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gX7A5nuUmkzPQUEPrxpArz+d6DA=="/>
    </ext>
  </extLst>
</workbook>
</file>

<file path=xl/sharedStrings.xml><?xml version="1.0" encoding="utf-8"?>
<sst xmlns="http://schemas.openxmlformats.org/spreadsheetml/2006/main" count="138924" uniqueCount="59827">
  <si>
    <t>Year attended</t>
  </si>
  <si>
    <t>email</t>
  </si>
  <si>
    <t>studentEmail</t>
  </si>
  <si>
    <t>phone</t>
  </si>
  <si>
    <t>FirstName</t>
  </si>
  <si>
    <t>LastName</t>
  </si>
  <si>
    <t>appUserID</t>
  </si>
  <si>
    <t>shipAddressee</t>
  </si>
  <si>
    <t>shipAddr1</t>
  </si>
  <si>
    <t>shipAddr2</t>
  </si>
  <si>
    <t>shipCity</t>
  </si>
  <si>
    <t>shipState</t>
  </si>
  <si>
    <t>shipZip</t>
  </si>
  <si>
    <t>shipCountry</t>
  </si>
  <si>
    <t>bbay43@gmail.com</t>
  </si>
  <si>
    <t>William</t>
  </si>
  <si>
    <t>Baynard</t>
  </si>
  <si>
    <t>William Baynard</t>
  </si>
  <si>
    <t>2300 Hopedale Avenue</t>
  </si>
  <si>
    <t>Charlotte</t>
  </si>
  <si>
    <t>NC</t>
  </si>
  <si>
    <t>United States</t>
  </si>
  <si>
    <t>barb@pioneerinc.com</t>
  </si>
  <si>
    <t>brookielauren@yahoo.com</t>
  </si>
  <si>
    <t>Brooke</t>
  </si>
  <si>
    <t>Schowalter</t>
  </si>
  <si>
    <t>Brooke Schowalter</t>
  </si>
  <si>
    <t>220 Taos</t>
  </si>
  <si>
    <t>Ada</t>
  </si>
  <si>
    <t>MI</t>
  </si>
  <si>
    <t>wdking3@gmail.com</t>
  </si>
  <si>
    <t>King</t>
  </si>
  <si>
    <t>William King</t>
  </si>
  <si>
    <t>1411 Myers Park Drive</t>
  </si>
  <si>
    <t>cusacks1@mac.com</t>
  </si>
  <si>
    <t>cusackpeter@gmail.com</t>
  </si>
  <si>
    <t>Peter</t>
  </si>
  <si>
    <t>Cusack</t>
  </si>
  <si>
    <t>Peter Cusack</t>
  </si>
  <si>
    <t>4711 Bradford St. NE</t>
  </si>
  <si>
    <t>Grand Rapids</t>
  </si>
  <si>
    <t>mrsregena@yahoo.com</t>
  </si>
  <si>
    <t>courtney_megan21@yahoo.com</t>
  </si>
  <si>
    <t>Courtney</t>
  </si>
  <si>
    <t>Stokes</t>
  </si>
  <si>
    <t>Courtney Stokes</t>
  </si>
  <si>
    <t>8431 Hoddinott Rd</t>
  </si>
  <si>
    <t>Adrian</t>
  </si>
  <si>
    <t>kwgray@mac.com</t>
  </si>
  <si>
    <t>thejackgray@gmail.com</t>
  </si>
  <si>
    <t>John</t>
  </si>
  <si>
    <t>Gray</t>
  </si>
  <si>
    <t>John Gray</t>
  </si>
  <si>
    <t>13 Farringdon Drive</t>
  </si>
  <si>
    <t>Greenville</t>
  </si>
  <si>
    <t>SC</t>
  </si>
  <si>
    <t>chrisphinton@hotmail.com</t>
  </si>
  <si>
    <t>Christopher</t>
  </si>
  <si>
    <t>Hinton</t>
  </si>
  <si>
    <t>Christopher Hinton</t>
  </si>
  <si>
    <t>409 34th St. NW</t>
  </si>
  <si>
    <t>Willmar</t>
  </si>
  <si>
    <t>MN</t>
  </si>
  <si>
    <t>graceworks2@gmail.com</t>
  </si>
  <si>
    <t>mtwinak@gmail.com</t>
  </si>
  <si>
    <t>Maya</t>
  </si>
  <si>
    <t>Tsao-Wu</t>
  </si>
  <si>
    <t>Maya Tsao-Wu</t>
  </si>
  <si>
    <t>13015 Lindsey Dr</t>
  </si>
  <si>
    <t>Anchorage</t>
  </si>
  <si>
    <t>AK</t>
  </si>
  <si>
    <t>Th3_Fa113n@hotmail.com</t>
  </si>
  <si>
    <t>Michael</t>
  </si>
  <si>
    <t>Holthouse</t>
  </si>
  <si>
    <t>Michael Holthouse</t>
  </si>
  <si>
    <t>Eagle Ridge Dr. E</t>
  </si>
  <si>
    <t>getti12@live.com</t>
  </si>
  <si>
    <t>Brigitte</t>
  </si>
  <si>
    <t>Boettcher</t>
  </si>
  <si>
    <t>Brigitte Boettcher</t>
  </si>
  <si>
    <t>pics2beremembered@gmail.com</t>
  </si>
  <si>
    <t>Gabriel</t>
  </si>
  <si>
    <t>Hawkins</t>
  </si>
  <si>
    <t>Gabriel Hawkins</t>
  </si>
  <si>
    <t>1504 E Skyline Dr</t>
  </si>
  <si>
    <t>Ellensburg</t>
  </si>
  <si>
    <t>WA</t>
  </si>
  <si>
    <t>theunexpect@me.com</t>
  </si>
  <si>
    <t>Cody</t>
  </si>
  <si>
    <t>Miller</t>
  </si>
  <si>
    <t>Cody Miller</t>
  </si>
  <si>
    <t>1504 Country Club Dr NE</t>
  </si>
  <si>
    <t>jcfollower14@gmail.com</t>
  </si>
  <si>
    <t>Gabe</t>
  </si>
  <si>
    <t>Thompson</t>
  </si>
  <si>
    <t>Gabe Thompson</t>
  </si>
  <si>
    <t>406 W. Mill St.</t>
  </si>
  <si>
    <t>Paynesville</t>
  </si>
  <si>
    <t>jparis@peoriachristian.org</t>
  </si>
  <si>
    <t>actuallyalex@hotmail.com</t>
  </si>
  <si>
    <t>Alexander</t>
  </si>
  <si>
    <t>Hilbert</t>
  </si>
  <si>
    <t>Alexander Hilbert</t>
  </si>
  <si>
    <t>4041 N Brookmont Rd</t>
  </si>
  <si>
    <t>Peoria</t>
  </si>
  <si>
    <t>IL</t>
  </si>
  <si>
    <t>ysakim@gmail.com</t>
  </si>
  <si>
    <t>Yunsang</t>
  </si>
  <si>
    <t>Kim</t>
  </si>
  <si>
    <t>Yunsang Kim</t>
  </si>
  <si>
    <t>1709 Oak Ridge</t>
  </si>
  <si>
    <t>Washington</t>
  </si>
  <si>
    <t>zuca96@yahoo.com</t>
  </si>
  <si>
    <t>Haleigh</t>
  </si>
  <si>
    <t>Hoskins</t>
  </si>
  <si>
    <t>Haleigh Hoskins</t>
  </si>
  <si>
    <t>2206 W. Rohmann Ave.</t>
  </si>
  <si>
    <t>West Peoria</t>
  </si>
  <si>
    <t>hearts.acs24@gmail.com</t>
  </si>
  <si>
    <t>Anne</t>
  </si>
  <si>
    <t>Sidler</t>
  </si>
  <si>
    <t>Anne Sidler</t>
  </si>
  <si>
    <t>1201 Fondulac Dr.</t>
  </si>
  <si>
    <t>East Peoria</t>
  </si>
  <si>
    <t>Logan</t>
  </si>
  <si>
    <t>Hobbs</t>
  </si>
  <si>
    <t>Logan Hobbs</t>
  </si>
  <si>
    <t>endlesssummers_13@hotmail.com</t>
  </si>
  <si>
    <t>Hernandez</t>
  </si>
  <si>
    <t>Maya Hernandez</t>
  </si>
  <si>
    <t>1707 W Teton Drive</t>
  </si>
  <si>
    <t>jetstar1223@sbcglobal.net</t>
  </si>
  <si>
    <t>Jennifer</t>
  </si>
  <si>
    <t>Tracy</t>
  </si>
  <si>
    <t>Jennifer Tracy</t>
  </si>
  <si>
    <t>1333 w. Tobi Ln.</t>
  </si>
  <si>
    <t>hirschj88@yahoo.com</t>
  </si>
  <si>
    <t>Jacob</t>
  </si>
  <si>
    <t>Hirschman</t>
  </si>
  <si>
    <t>Jacob Hirschman</t>
  </si>
  <si>
    <t>9291 Fredonia- Stockton rd</t>
  </si>
  <si>
    <t>Fredonia</t>
  </si>
  <si>
    <t>NY</t>
  </si>
  <si>
    <t>katshelley@insightbb.com</t>
  </si>
  <si>
    <t>Katherine</t>
  </si>
  <si>
    <t>Shelley</t>
  </si>
  <si>
    <t>Katherine Shelley</t>
  </si>
  <si>
    <t>128 Leslie Ave</t>
  </si>
  <si>
    <t>Evansville</t>
  </si>
  <si>
    <t>IN</t>
  </si>
  <si>
    <t>Juliebuccino@yahoo.com</t>
  </si>
  <si>
    <t>Kibuccino@yahoo.com</t>
  </si>
  <si>
    <t>Kieran</t>
  </si>
  <si>
    <t>Buccino</t>
  </si>
  <si>
    <t>Kieran Buccino</t>
  </si>
  <si>
    <t>30845 rcr 35</t>
  </si>
  <si>
    <t>Steamboat springs</t>
  </si>
  <si>
    <t>CO</t>
  </si>
  <si>
    <t>josephconnie@verizon.net</t>
  </si>
  <si>
    <t>bam1997@verizon.net</t>
  </si>
  <si>
    <t>Benjamin</t>
  </si>
  <si>
    <t>Mertan</t>
  </si>
  <si>
    <t>Benjamin Mertan</t>
  </si>
  <si>
    <t>42076 Porch Light Drive</t>
  </si>
  <si>
    <t>Aldie</t>
  </si>
  <si>
    <t>VA</t>
  </si>
  <si>
    <t>hannahelutz@msn.com</t>
  </si>
  <si>
    <t>Hannah</t>
  </si>
  <si>
    <t>Lutz</t>
  </si>
  <si>
    <t>Hannah Lutz</t>
  </si>
  <si>
    <t>1724 Bluffview Ln</t>
  </si>
  <si>
    <t>Carrollton</t>
  </si>
  <si>
    <t>TX</t>
  </si>
  <si>
    <t>Forgivenbyjgh@yahoo.com</t>
  </si>
  <si>
    <t>Shaina</t>
  </si>
  <si>
    <t>Sollenberger</t>
  </si>
  <si>
    <t>Shaina Sollenberger</t>
  </si>
  <si>
    <t>106 Flintstone Drive</t>
  </si>
  <si>
    <t>Newville</t>
  </si>
  <si>
    <t>PA</t>
  </si>
  <si>
    <t>Cgilles9@gmail.com</t>
  </si>
  <si>
    <t>Chris</t>
  </si>
  <si>
    <t>Gillespie</t>
  </si>
  <si>
    <t>Chris Gillespie</t>
  </si>
  <si>
    <t>3815 s elati street</t>
  </si>
  <si>
    <t>Englewood</t>
  </si>
  <si>
    <t>cssweeney57@gmail.com</t>
  </si>
  <si>
    <t>keegsta301@gmail.com</t>
  </si>
  <si>
    <t>Keegan</t>
  </si>
  <si>
    <t>Sweeney</t>
  </si>
  <si>
    <t>Keegan Sweeney</t>
  </si>
  <si>
    <t>W3066 Walnut Rd</t>
  </si>
  <si>
    <t>Fond du Lac</t>
  </si>
  <si>
    <t>WI</t>
  </si>
  <si>
    <t>mgklaus2@att.net</t>
  </si>
  <si>
    <t>soulriderone@yahoo.com</t>
  </si>
  <si>
    <t>Klaus</t>
  </si>
  <si>
    <t>Katherine Klaus</t>
  </si>
  <si>
    <t>3769 Murray Road</t>
  </si>
  <si>
    <t>Martinez</t>
  </si>
  <si>
    <t>GA</t>
  </si>
  <si>
    <t>taizfamily@comcast.net</t>
  </si>
  <si>
    <t>ashleytaiz@hotmail.com</t>
  </si>
  <si>
    <t>Ashley</t>
  </si>
  <si>
    <t>Taiz</t>
  </si>
  <si>
    <t>Ashley Taiz</t>
  </si>
  <si>
    <t>4563 Brooksdale Drive</t>
  </si>
  <si>
    <t>Sarasota</t>
  </si>
  <si>
    <t>FL</t>
  </si>
  <si>
    <t>kyla.benjamin@us.army.mil</t>
  </si>
  <si>
    <t>benjamin.keegan@rocketmail.com</t>
  </si>
  <si>
    <t>Keegan Benjamin</t>
  </si>
  <si>
    <t>18020 County Road F</t>
  </si>
  <si>
    <t>Smithville</t>
  </si>
  <si>
    <t>MO</t>
  </si>
  <si>
    <t>eekwendt@aol.com</t>
  </si>
  <si>
    <t>wendte1@spu.edu</t>
  </si>
  <si>
    <t>Emma</t>
  </si>
  <si>
    <t>Wendt</t>
  </si>
  <si>
    <t>Emma Wendt</t>
  </si>
  <si>
    <t>PSC 303 Box 97</t>
  </si>
  <si>
    <t>APO</t>
  </si>
  <si>
    <t>CA</t>
  </si>
  <si>
    <t>mwrobertson1948@yahoo.com</t>
  </si>
  <si>
    <t>olivia226@live.missouristate.edu</t>
  </si>
  <si>
    <t>Olivia</t>
  </si>
  <si>
    <t>Robertson</t>
  </si>
  <si>
    <t>Olivia Robertson</t>
  </si>
  <si>
    <t>10621 CR 6690</t>
  </si>
  <si>
    <t>West Plains</t>
  </si>
  <si>
    <t>mckgarnett@gmail.com</t>
  </si>
  <si>
    <t>swimchick.ke@gmail.com</t>
  </si>
  <si>
    <t>Kelsea</t>
  </si>
  <si>
    <t>Garnett</t>
  </si>
  <si>
    <t>Kelsea Garnett</t>
  </si>
  <si>
    <t>3642 FM 1565</t>
  </si>
  <si>
    <t>Caddo Mills</t>
  </si>
  <si>
    <t>donnabigler@yahoo.com</t>
  </si>
  <si>
    <t>nattles95@yahoo.com</t>
  </si>
  <si>
    <t>Natalie</t>
  </si>
  <si>
    <t>Bigler</t>
  </si>
  <si>
    <t>Natalie Bigler</t>
  </si>
  <si>
    <t>3830 W. Avenue N</t>
  </si>
  <si>
    <t>Palmdale</t>
  </si>
  <si>
    <t>acschmitt@mail.bradley.edu</t>
  </si>
  <si>
    <t>Schmitt</t>
  </si>
  <si>
    <t>Ashley Schmitt</t>
  </si>
  <si>
    <t>126 Stewart St</t>
  </si>
  <si>
    <t>theblevinsbunch@sc.rr.com</t>
  </si>
  <si>
    <t>panther462@me.com</t>
  </si>
  <si>
    <t>James</t>
  </si>
  <si>
    <t>Blevins</t>
  </si>
  <si>
    <t>James Blevins</t>
  </si>
  <si>
    <t>112 Oaks Court</t>
  </si>
  <si>
    <t>Lexington</t>
  </si>
  <si>
    <t>kategrace26@gmail.com</t>
  </si>
  <si>
    <t>Davis</t>
  </si>
  <si>
    <t>Katherine Davis</t>
  </si>
  <si>
    <t>9444 Alcosta Blvd</t>
  </si>
  <si>
    <t>San Ramon</t>
  </si>
  <si>
    <t>jamulder1@hotmail.com</t>
  </si>
  <si>
    <t>Joshua</t>
  </si>
  <si>
    <t>Mulder</t>
  </si>
  <si>
    <t>Joshua Mulder</t>
  </si>
  <si>
    <t>5333 HWY 71, NE</t>
  </si>
  <si>
    <t>Stpoage@att.net</t>
  </si>
  <si>
    <t>alex.poage@yahoo.com</t>
  </si>
  <si>
    <t>Alex</t>
  </si>
  <si>
    <t>Poage</t>
  </si>
  <si>
    <t>Alex Poage</t>
  </si>
  <si>
    <t>3401 SW Alameda Dr.</t>
  </si>
  <si>
    <t>Topeka</t>
  </si>
  <si>
    <t>KS</t>
  </si>
  <si>
    <t>myers.kam@gmail.com</t>
  </si>
  <si>
    <t>Kameron</t>
  </si>
  <si>
    <t>Myers</t>
  </si>
  <si>
    <t>Kameron Myers</t>
  </si>
  <si>
    <t>1285 Carriage Park Dr.</t>
  </si>
  <si>
    <t>Franklin</t>
  </si>
  <si>
    <t>TN</t>
  </si>
  <si>
    <t>jb222@mac.com</t>
  </si>
  <si>
    <t>Brwnemily24@gmail.com</t>
  </si>
  <si>
    <t>Emily</t>
  </si>
  <si>
    <t>Brown</t>
  </si>
  <si>
    <t>Emily Brown</t>
  </si>
  <si>
    <t>2401 Texland Cir</t>
  </si>
  <si>
    <t>Midland</t>
  </si>
  <si>
    <t>sethgruber91@gmail.com</t>
  </si>
  <si>
    <t>Seth</t>
  </si>
  <si>
    <t>Gruber</t>
  </si>
  <si>
    <t>Seth Gruber</t>
  </si>
  <si>
    <t>955 La Paz Rd.</t>
  </si>
  <si>
    <t>MB #1815</t>
  </si>
  <si>
    <t>Santa Barbara</t>
  </si>
  <si>
    <t>kmbehm@earthlink.net</t>
  </si>
  <si>
    <t>Hayley</t>
  </si>
  <si>
    <t>Behm</t>
  </si>
  <si>
    <t>Hayley Behm</t>
  </si>
  <si>
    <t>2535 Shadow View Circle</t>
  </si>
  <si>
    <t>Maitland</t>
  </si>
  <si>
    <t>jlmeli@sbcglobal.net</t>
  </si>
  <si>
    <t>Anna</t>
  </si>
  <si>
    <t>Meli</t>
  </si>
  <si>
    <t>Anna Meli</t>
  </si>
  <si>
    <t>41522 Vancouver Dr.</t>
  </si>
  <si>
    <t>Sterling Heights</t>
  </si>
  <si>
    <t>tectonics1@westernllc.net</t>
  </si>
  <si>
    <t>showcalves@westernllc.net</t>
  </si>
  <si>
    <t>Kort</t>
  </si>
  <si>
    <t>Henderson</t>
  </si>
  <si>
    <t>Kort Henderson</t>
  </si>
  <si>
    <t>5677 County Road 106</t>
  </si>
  <si>
    <t>Elbert</t>
  </si>
  <si>
    <t>micaelawiehe@gmail.com</t>
  </si>
  <si>
    <t>Micaela</t>
  </si>
  <si>
    <t>Wiehe</t>
  </si>
  <si>
    <t>Micaela Wiehe</t>
  </si>
  <si>
    <t>2616 Lee Anna Dr.</t>
  </si>
  <si>
    <t>schmidthome8@verizon.net</t>
  </si>
  <si>
    <t>inthedistancewindchimes@gmail.com</t>
  </si>
  <si>
    <t>Schmidt</t>
  </si>
  <si>
    <t>Jennifer Schmidt</t>
  </si>
  <si>
    <t>105 Brook Ridge Place</t>
  </si>
  <si>
    <t>Forest</t>
  </si>
  <si>
    <t>krkstanley@verizon.net</t>
  </si>
  <si>
    <t>kara.lynn.stanley11@gmail.com</t>
  </si>
  <si>
    <t>Kara</t>
  </si>
  <si>
    <t>Stanley</t>
  </si>
  <si>
    <t>Kara Stanley</t>
  </si>
  <si>
    <t>609 May Apple Way</t>
  </si>
  <si>
    <t>Venice</t>
  </si>
  <si>
    <t>mopasteris@gmail.com</t>
  </si>
  <si>
    <t>Maureen</t>
  </si>
  <si>
    <t>Pasteris</t>
  </si>
  <si>
    <t>Maureen Pasteris</t>
  </si>
  <si>
    <t>1814 E. St. Jude Ct.</t>
  </si>
  <si>
    <t>Peoria Hieghts</t>
  </si>
  <si>
    <t>sgrimes@community-emr.com</t>
  </si>
  <si>
    <t>azure54@community-emr.com</t>
  </si>
  <si>
    <t>Daniel</t>
  </si>
  <si>
    <t>Grimes</t>
  </si>
  <si>
    <t>Daniel Grimes</t>
  </si>
  <si>
    <t>13440 Duncan Run Rd</t>
  </si>
  <si>
    <t>Galena</t>
  </si>
  <si>
    <t>OH</t>
  </si>
  <si>
    <t>vfamfarm@gmail.com</t>
  </si>
  <si>
    <t>wolftothemax1995@gmail.com</t>
  </si>
  <si>
    <t>Vermeer</t>
  </si>
  <si>
    <t>Daniel Vermeer</t>
  </si>
  <si>
    <t>Hwy 75</t>
  </si>
  <si>
    <t>Pipestone</t>
  </si>
  <si>
    <t>lhaeger@prestonwoodchristian.org</t>
  </si>
  <si>
    <t>gregory.haeger@juno.com</t>
  </si>
  <si>
    <t>Gregory</t>
  </si>
  <si>
    <t>Haeger</t>
  </si>
  <si>
    <t>Gregory Haeger</t>
  </si>
  <si>
    <t>3429 estacado ln</t>
  </si>
  <si>
    <t>Plano</t>
  </si>
  <si>
    <t>brian.haeger@gmail.com</t>
  </si>
  <si>
    <t>brian</t>
  </si>
  <si>
    <t>haeger</t>
  </si>
  <si>
    <t>brian haeger</t>
  </si>
  <si>
    <t>plano</t>
  </si>
  <si>
    <t>bnjmnvrm@gmail.com</t>
  </si>
  <si>
    <t>Benjamin Vermeer</t>
  </si>
  <si>
    <t>1634 Hwy 75</t>
  </si>
  <si>
    <t>cakesfitfortheking@gmail.com</t>
  </si>
  <si>
    <t>Mariah</t>
  </si>
  <si>
    <t>Keehn</t>
  </si>
  <si>
    <t>Mariah Keehn</t>
  </si>
  <si>
    <t>5280 s 350 w</t>
  </si>
  <si>
    <t>North Judson</t>
  </si>
  <si>
    <t>ltwinak@gmail.com</t>
  </si>
  <si>
    <t>Lauren</t>
  </si>
  <si>
    <t>Lauren Tsao-Wu</t>
  </si>
  <si>
    <t>13015 Lindsey Dr.</t>
  </si>
  <si>
    <t>juleedmac@gmail.com</t>
  </si>
  <si>
    <t>amelie.cello@gmail.com</t>
  </si>
  <si>
    <t>Kristiana</t>
  </si>
  <si>
    <t>McCombs</t>
  </si>
  <si>
    <t>Kristiana McCombs</t>
  </si>
  <si>
    <t>4415 Yale Drive</t>
  </si>
  <si>
    <t>Rockford</t>
  </si>
  <si>
    <t>brucesanthi@indy.rr.com</t>
  </si>
  <si>
    <t>thomas.previn@gmail.com</t>
  </si>
  <si>
    <t>Jonathan</t>
  </si>
  <si>
    <t>Thomas</t>
  </si>
  <si>
    <t>Jonathan Thomas</t>
  </si>
  <si>
    <t>Gable Lake Drive</t>
  </si>
  <si>
    <t>Brownsburg</t>
  </si>
  <si>
    <t>cherreeboley@yahoo.com</t>
  </si>
  <si>
    <t>breeboley1996@yahoo.com</t>
  </si>
  <si>
    <t>Bree</t>
  </si>
  <si>
    <t>Boley</t>
  </si>
  <si>
    <t>Bree Boley</t>
  </si>
  <si>
    <t>1400 Pam Estates</t>
  </si>
  <si>
    <t>Olney</t>
  </si>
  <si>
    <t>ccleveland777@gmail.com</t>
  </si>
  <si>
    <t>jcleveland777@hotmail.com</t>
  </si>
  <si>
    <t>cleveland</t>
  </si>
  <si>
    <t>James cleveland</t>
  </si>
  <si>
    <t>1705 marie court</t>
  </si>
  <si>
    <t>spring hill</t>
  </si>
  <si>
    <t>alistar96@live.com</t>
  </si>
  <si>
    <t>Alexandria</t>
  </si>
  <si>
    <t>Keener</t>
  </si>
  <si>
    <t>Alexandria Keener</t>
  </si>
  <si>
    <t>309 N US HWY 421</t>
  </si>
  <si>
    <t>Zionsville</t>
  </si>
  <si>
    <t>indianrocks68@yahoo.com</t>
  </si>
  <si>
    <t>parpc-18@rhodes.edu</t>
  </si>
  <si>
    <t>Parish</t>
  </si>
  <si>
    <t>Christopher Parish</t>
  </si>
  <si>
    <t>10890 Christopher ct.</t>
  </si>
  <si>
    <t>Largo</t>
  </si>
  <si>
    <t>susan_cmc@hotmail.com</t>
  </si>
  <si>
    <t>ryan.boettger@yahoo.com</t>
  </si>
  <si>
    <t>Ryan</t>
  </si>
  <si>
    <t>Boettger</t>
  </si>
  <si>
    <t>Ryan Boettger</t>
  </si>
  <si>
    <t>27212 n 53rd ave</t>
  </si>
  <si>
    <t>Phoenix</t>
  </si>
  <si>
    <t>AZ</t>
  </si>
  <si>
    <t>mikeelmhorst@gmail.com</t>
  </si>
  <si>
    <t>Elmhorst</t>
  </si>
  <si>
    <t>Michael Elmhorst</t>
  </si>
  <si>
    <t>32134 CO RD 16</t>
  </si>
  <si>
    <t>jordanawalter777@gmail.com</t>
  </si>
  <si>
    <t>Jordan</t>
  </si>
  <si>
    <t>Walter</t>
  </si>
  <si>
    <t>Jordan Walter</t>
  </si>
  <si>
    <t>83643 425th St</t>
  </si>
  <si>
    <t>Bird Island</t>
  </si>
  <si>
    <t>schindlerredweik@hotmail.com</t>
  </si>
  <si>
    <t>Schindler</t>
  </si>
  <si>
    <t>Redweik</t>
  </si>
  <si>
    <t>Schindler Redweik</t>
  </si>
  <si>
    <t>2595 S 200 E</t>
  </si>
  <si>
    <t>KNOX</t>
  </si>
  <si>
    <t>mattlance@comcast.net</t>
  </si>
  <si>
    <t>Madeleine</t>
  </si>
  <si>
    <t>Lance</t>
  </si>
  <si>
    <t>Madeleine Lance</t>
  </si>
  <si>
    <t>3203 Reba Dr.</t>
  </si>
  <si>
    <t>Houston</t>
  </si>
  <si>
    <t>teresabrussell@yahoo.com</t>
  </si>
  <si>
    <t>haley1179@gmail.com</t>
  </si>
  <si>
    <t>Haley</t>
  </si>
  <si>
    <t>Russell</t>
  </si>
  <si>
    <t>Haley Russell</t>
  </si>
  <si>
    <t>12259 Stockbridge Ct. N.</t>
  </si>
  <si>
    <t>Jacksonville</t>
  </si>
  <si>
    <t>lancem@stthom.edu</t>
  </si>
  <si>
    <t>Matthew</t>
  </si>
  <si>
    <t>Matthew Lance</t>
  </si>
  <si>
    <t>williams7@gci.net</t>
  </si>
  <si>
    <t>Zachary</t>
  </si>
  <si>
    <t>Williams</t>
  </si>
  <si>
    <t>Zachary Williams</t>
  </si>
  <si>
    <t>6425 Tolhurst Court</t>
  </si>
  <si>
    <t>Howdyrussell@yahoo.com</t>
  </si>
  <si>
    <t>Howland</t>
  </si>
  <si>
    <t>Russell III</t>
  </si>
  <si>
    <t>Howland Russell III</t>
  </si>
  <si>
    <t>thenley116@gmail.com</t>
  </si>
  <si>
    <t>Tyler</t>
  </si>
  <si>
    <t>Henley</t>
  </si>
  <si>
    <t>Tyler Henley</t>
  </si>
  <si>
    <t>1380 Gulf Blvd Apt 105</t>
  </si>
  <si>
    <t>Clearwater</t>
  </si>
  <si>
    <t>sharris27@cougarmail.collin.edu</t>
  </si>
  <si>
    <t>Samantha</t>
  </si>
  <si>
    <t>Harris</t>
  </si>
  <si>
    <t>Samantha Harris</t>
  </si>
  <si>
    <t>9 Castillo Trail</t>
  </si>
  <si>
    <t>Wylie</t>
  </si>
  <si>
    <t>joelluther@yahoo.com</t>
  </si>
  <si>
    <t>bonnieluther47@yahoo.com</t>
  </si>
  <si>
    <t>Bonnie</t>
  </si>
  <si>
    <t>Luther</t>
  </si>
  <si>
    <t>Bonnie Luther</t>
  </si>
  <si>
    <t>1025 sunrise</t>
  </si>
  <si>
    <t>amarillo</t>
  </si>
  <si>
    <t>denabell3@yahoo.com</t>
  </si>
  <si>
    <t>graciegirltol@yahoo.com</t>
  </si>
  <si>
    <t>Grace</t>
  </si>
  <si>
    <t>Bell</t>
  </si>
  <si>
    <t>Grace Bell</t>
  </si>
  <si>
    <t>835 Karen Ct</t>
  </si>
  <si>
    <t>Westerville</t>
  </si>
  <si>
    <t>megamom4boyz@yahoo.com</t>
  </si>
  <si>
    <t>pate_train@yahoo.com</t>
  </si>
  <si>
    <t>Payton</t>
  </si>
  <si>
    <t>Drake</t>
  </si>
  <si>
    <t>Payton Drake</t>
  </si>
  <si>
    <t>213 N. Ida Street</t>
  </si>
  <si>
    <t>Lacon</t>
  </si>
  <si>
    <t>ngeaton@gmail.com</t>
  </si>
  <si>
    <t>Eaton</t>
  </si>
  <si>
    <t>Natalie Eaton</t>
  </si>
  <si>
    <t>4570 Oak Pond Rd</t>
  </si>
  <si>
    <t>Eagan</t>
  </si>
  <si>
    <t>jared.stuart@me.com</t>
  </si>
  <si>
    <t>Jared</t>
  </si>
  <si>
    <t>Stuart</t>
  </si>
  <si>
    <t>Jared Stuart</t>
  </si>
  <si>
    <t>865 Lancers Court East</t>
  </si>
  <si>
    <t>Monument</t>
  </si>
  <si>
    <t>kmjdailey@yahoo.com</t>
  </si>
  <si>
    <t>imarch4jesus@yahoo.com</t>
  </si>
  <si>
    <t>Jasmine</t>
  </si>
  <si>
    <t>Griffin</t>
  </si>
  <si>
    <t>Jasmine Griffin</t>
  </si>
  <si>
    <t>1536 Rosewood St.</t>
  </si>
  <si>
    <t>redelbunch@yahoo.com</t>
  </si>
  <si>
    <t>Mikala</t>
  </si>
  <si>
    <t>Redel</t>
  </si>
  <si>
    <t>Mikala Redel</t>
  </si>
  <si>
    <t>4354 S. Union St.</t>
  </si>
  <si>
    <t>Morrison</t>
  </si>
  <si>
    <t>debateandspeechnerd@gmail.com</t>
  </si>
  <si>
    <t>Tess</t>
  </si>
  <si>
    <t>Carr</t>
  </si>
  <si>
    <t>Tess Carr</t>
  </si>
  <si>
    <t>246 Timberland Avenue</t>
  </si>
  <si>
    <t>Longwood</t>
  </si>
  <si>
    <t>wardmom@mac.com</t>
  </si>
  <si>
    <t>statechamp2012@me.com</t>
  </si>
  <si>
    <t>Max</t>
  </si>
  <si>
    <t>Ward</t>
  </si>
  <si>
    <t>Max Ward</t>
  </si>
  <si>
    <t>17350 Lamplight Drive</t>
  </si>
  <si>
    <t>bobandbethc@yahoo.com</t>
  </si>
  <si>
    <t>annabeth.crittenden@gmail.com</t>
  </si>
  <si>
    <t>Mary</t>
  </si>
  <si>
    <t>Crittenden</t>
  </si>
  <si>
    <t>Mary Crittenden</t>
  </si>
  <si>
    <t>3919 Marie Cook Drive</t>
  </si>
  <si>
    <t>Montgomery</t>
  </si>
  <si>
    <t>AL</t>
  </si>
  <si>
    <t>Cook.michael28@yahoo.com</t>
  </si>
  <si>
    <t>cook.michael28@yahoo.com</t>
  </si>
  <si>
    <t>MIchael</t>
  </si>
  <si>
    <t>Cook</t>
  </si>
  <si>
    <t>MIchael Cook</t>
  </si>
  <si>
    <t>348 Judy Drive</t>
  </si>
  <si>
    <t>McDonough</t>
  </si>
  <si>
    <t>sclarke60@gmail.com</t>
  </si>
  <si>
    <t>iluvmagic@gmail.com</t>
  </si>
  <si>
    <t>Bronwyn</t>
  </si>
  <si>
    <t>Clarke</t>
  </si>
  <si>
    <t>Bronwyn Clarke</t>
  </si>
  <si>
    <t>4318 Shale St SE</t>
  </si>
  <si>
    <t>Lacey</t>
  </si>
  <si>
    <t>czizeks@juno.com</t>
  </si>
  <si>
    <t>johnczizek@gmail.com</t>
  </si>
  <si>
    <t>Czizek</t>
  </si>
  <si>
    <t>John Czizek</t>
  </si>
  <si>
    <t>1432 NW 72nd Ave</t>
  </si>
  <si>
    <t>Ankeny</t>
  </si>
  <si>
    <t>IA</t>
  </si>
  <si>
    <t>colekrajeski95@aim.com</t>
  </si>
  <si>
    <t>Cole</t>
  </si>
  <si>
    <t>Krajeski</t>
  </si>
  <si>
    <t>Cole Krajeski</t>
  </si>
  <si>
    <t>17745 Gulf Blvd.</t>
  </si>
  <si>
    <t>Apt. No. 402</t>
  </si>
  <si>
    <t>Redington Shores</t>
  </si>
  <si>
    <t>jenncrist14@hotmail.com</t>
  </si>
  <si>
    <t>Crist</t>
  </si>
  <si>
    <t>Jennifer Crist</t>
  </si>
  <si>
    <t>119 E. Center St.</t>
  </si>
  <si>
    <t>Lincoln</t>
  </si>
  <si>
    <t>harbins8@bellsouth.net</t>
  </si>
  <si>
    <t>strong2serve@aol.com</t>
  </si>
  <si>
    <t>Harbin</t>
  </si>
  <si>
    <t>Daniel Harbin</t>
  </si>
  <si>
    <t>130 Ellison Rd.</t>
  </si>
  <si>
    <t>Tyrone</t>
  </si>
  <si>
    <t>davidharbin94@aol.com</t>
  </si>
  <si>
    <t>David</t>
  </si>
  <si>
    <t>David Harbin</t>
  </si>
  <si>
    <t>derlldma@gmail.com</t>
  </si>
  <si>
    <t>elizbai09@gmail.com</t>
  </si>
  <si>
    <t>Laura</t>
  </si>
  <si>
    <t>Bailey</t>
  </si>
  <si>
    <t>Laura Bailey</t>
  </si>
  <si>
    <t>4420W 800S</t>
  </si>
  <si>
    <t>hmgreen1979@gmail.com</t>
  </si>
  <si>
    <t>Leavearansomnote@gmail.com</t>
  </si>
  <si>
    <t>Timothy</t>
  </si>
  <si>
    <t>Green</t>
  </si>
  <si>
    <t>Timothy Green</t>
  </si>
  <si>
    <t>1545 Meadow Branch Avenue</t>
  </si>
  <si>
    <t>Winchester</t>
  </si>
  <si>
    <t>wildhorsessbt@sbcglobal.net</t>
  </si>
  <si>
    <t>Sara</t>
  </si>
  <si>
    <t>Tindall-Wright</t>
  </si>
  <si>
    <t>Sara Tindall-Wright</t>
  </si>
  <si>
    <t>10111 Roseberry Dr</t>
  </si>
  <si>
    <t>La Porte</t>
  </si>
  <si>
    <t>pfschwarz@cox.net</t>
  </si>
  <si>
    <t>timmy_schwarz@hotmail.com</t>
  </si>
  <si>
    <t>Schwarz</t>
  </si>
  <si>
    <t>Timothy Schwarz</t>
  </si>
  <si>
    <t>1204 N Mulberry Place</t>
  </si>
  <si>
    <t>Wichita</t>
  </si>
  <si>
    <t>turtle_200@hotmail.com</t>
  </si>
  <si>
    <t>Thomas Schwarz</t>
  </si>
  <si>
    <t>djpianostudio@gmail.com</t>
  </si>
  <si>
    <t>amcrabtrey313@yahoo.com</t>
  </si>
  <si>
    <t>Amber</t>
  </si>
  <si>
    <t>Crabtrey</t>
  </si>
  <si>
    <t>Amber Crabtrey</t>
  </si>
  <si>
    <t>3101 Woodson Dr.</t>
  </si>
  <si>
    <t>McKinney</t>
  </si>
  <si>
    <t>backcountryscout@gmail.com</t>
  </si>
  <si>
    <t>Lesser</t>
  </si>
  <si>
    <t>Jonathan Lesser</t>
  </si>
  <si>
    <t>P.O. Box 522</t>
  </si>
  <si>
    <t>LaPorte</t>
  </si>
  <si>
    <t>stephanisuzanne@gmail.com</t>
  </si>
  <si>
    <t>Stephani</t>
  </si>
  <si>
    <t>Liesmaki</t>
  </si>
  <si>
    <t>Stephani Liesmaki</t>
  </si>
  <si>
    <t>14720 County Road 122</t>
  </si>
  <si>
    <t>Watertown</t>
  </si>
  <si>
    <t>4loons@gmail.com</t>
  </si>
  <si>
    <t>digitalzephyr44@gmail.com</t>
  </si>
  <si>
    <t>Tibbetts</t>
  </si>
  <si>
    <t>David Tibbetts</t>
  </si>
  <si>
    <t>13123 Hunters Valley St.</t>
  </si>
  <si>
    <t>San Antonio</t>
  </si>
  <si>
    <t>rusana2010@yahoo.com</t>
  </si>
  <si>
    <t>Rusana</t>
  </si>
  <si>
    <t>Rusana Bailey</t>
  </si>
  <si>
    <t>4420 W. 800 S.</t>
  </si>
  <si>
    <t>jones.whitney@icloud.com</t>
  </si>
  <si>
    <t>Whitney</t>
  </si>
  <si>
    <t>Jones</t>
  </si>
  <si>
    <t>Whitney Jones</t>
  </si>
  <si>
    <t>5962 Hidden Meadows Dr.</t>
  </si>
  <si>
    <t>Orange</t>
  </si>
  <si>
    <t>teao.nartio@yahoo.com</t>
  </si>
  <si>
    <t>Sean</t>
  </si>
  <si>
    <t>Martin</t>
  </si>
  <si>
    <t>Sean Martin</t>
  </si>
  <si>
    <t>306 East Front Street</t>
  </si>
  <si>
    <t>Wittenberg</t>
  </si>
  <si>
    <t>sjlaffey25@hotmail.com</t>
  </si>
  <si>
    <t>slaffey@rams.colostate.edu</t>
  </si>
  <si>
    <t>Samuel</t>
  </si>
  <si>
    <t>Laffey</t>
  </si>
  <si>
    <t>Samuel Laffey</t>
  </si>
  <si>
    <t>1001A East Harmony Rd</t>
  </si>
  <si>
    <t>PMB 507</t>
  </si>
  <si>
    <t>Fort Collins</t>
  </si>
  <si>
    <t>4Brands@knology.net</t>
  </si>
  <si>
    <t>Maddi@knology.net</t>
  </si>
  <si>
    <t>Madison</t>
  </si>
  <si>
    <t>Brand</t>
  </si>
  <si>
    <t>Madison Brand</t>
  </si>
  <si>
    <t>200 Magnolia Blvd.</t>
  </si>
  <si>
    <t>Maxwell AFB</t>
  </si>
  <si>
    <t>40ford.martin@gmail.com</t>
  </si>
  <si>
    <t>mitchell_martin3@hotmail.com</t>
  </si>
  <si>
    <t>Mitchell</t>
  </si>
  <si>
    <t>Mitchell Martin</t>
  </si>
  <si>
    <t>D1356Elm Street</t>
  </si>
  <si>
    <t>Marshfield</t>
  </si>
  <si>
    <t>Cmikus@tampabay.rr.com</t>
  </si>
  <si>
    <t>lmikus@tampabay.rr.com</t>
  </si>
  <si>
    <t>Mikus</t>
  </si>
  <si>
    <t>Lauren Mikus</t>
  </si>
  <si>
    <t>445 Poinsettia Road</t>
  </si>
  <si>
    <t>Belleair</t>
  </si>
  <si>
    <t>natalievac@yahoo.com</t>
  </si>
  <si>
    <t>abigail.lvac@gmail.com</t>
  </si>
  <si>
    <t>Abigail</t>
  </si>
  <si>
    <t>Vaccaro</t>
  </si>
  <si>
    <t>Abigail Vaccaro</t>
  </si>
  <si>
    <t>9042 Kenwood Ct</t>
  </si>
  <si>
    <t>Highlands Ranch</t>
  </si>
  <si>
    <t>kendall@netgilman.com</t>
  </si>
  <si>
    <t>Kendall</t>
  </si>
  <si>
    <t>Gilman</t>
  </si>
  <si>
    <t>Kendall Gilman</t>
  </si>
  <si>
    <t>1517 Westbury Drive</t>
  </si>
  <si>
    <t>Henrico</t>
  </si>
  <si>
    <t>scott.brooke8900@gmail.com</t>
  </si>
  <si>
    <t>Scott</t>
  </si>
  <si>
    <t>Brooke Scott</t>
  </si>
  <si>
    <t>3964 Horizon Hills Circle NW</t>
  </si>
  <si>
    <t>kiwishelly@hotmail.com</t>
  </si>
  <si>
    <t>twessy@live.com</t>
  </si>
  <si>
    <t>Wes</t>
  </si>
  <si>
    <t>Trent</t>
  </si>
  <si>
    <t>Wes Trent</t>
  </si>
  <si>
    <t>90 Aporo Road</t>
  </si>
  <si>
    <t>RD1 Upper Moutere</t>
  </si>
  <si>
    <t>Tasman</t>
  </si>
  <si>
    <t>Nelson</t>
  </si>
  <si>
    <t>New Zealand</t>
  </si>
  <si>
    <t>QueenVashti@sbcglobal.net</t>
  </si>
  <si>
    <t>scouter107@sbcglobal.net</t>
  </si>
  <si>
    <t>Caleb</t>
  </si>
  <si>
    <t>Caleb Ward</t>
  </si>
  <si>
    <t>10175 La Alegria Dr.</t>
  </si>
  <si>
    <t>Rancho Cordova</t>
  </si>
  <si>
    <t>thephillipsx6@gmail.com</t>
  </si>
  <si>
    <t>samphil7@gmail.com</t>
  </si>
  <si>
    <t>Phillips</t>
  </si>
  <si>
    <t>Samuel Phillips</t>
  </si>
  <si>
    <t>318 Timber Ridge Drive</t>
  </si>
  <si>
    <t>Ruston</t>
  </si>
  <si>
    <t>LA</t>
  </si>
  <si>
    <t>jenofruston@gmail.com</t>
  </si>
  <si>
    <t>maggie.morgan9376@gmail.com</t>
  </si>
  <si>
    <t>Morgan</t>
  </si>
  <si>
    <t>Mary Morgan</t>
  </si>
  <si>
    <t>116 Timber Ridge Circle</t>
  </si>
  <si>
    <t>kratcliff@lincolnschools.org</t>
  </si>
  <si>
    <t>marley_ruston_bearcats@hotmail.com</t>
  </si>
  <si>
    <t>Marley</t>
  </si>
  <si>
    <t>Ratcliff</t>
  </si>
  <si>
    <t>Marley Ratcliff</t>
  </si>
  <si>
    <t>127 Downs Road</t>
  </si>
  <si>
    <t>headoverheels115@gmail.com</t>
  </si>
  <si>
    <t>Warford</t>
  </si>
  <si>
    <t>Morgan Warford</t>
  </si>
  <si>
    <t>838 Helmsburg Rd</t>
  </si>
  <si>
    <t>Nashville</t>
  </si>
  <si>
    <t>queenshahrazad@sbcglobal.net</t>
  </si>
  <si>
    <t>Jubilee</t>
  </si>
  <si>
    <t>Jubilee Ward</t>
  </si>
  <si>
    <t>clevewatson.1992@yahoo.com</t>
  </si>
  <si>
    <t>matson53.95@gmail.com</t>
  </si>
  <si>
    <t>Watson</t>
  </si>
  <si>
    <t>Matthew Watson</t>
  </si>
  <si>
    <t>2406 Sir Guy Dr.</t>
  </si>
  <si>
    <t>Grand Prairie</t>
  </si>
  <si>
    <t>darylmullholand@clearwater.edu</t>
  </si>
  <si>
    <t>carabou15@gmail.com</t>
  </si>
  <si>
    <t>Cara-lyn</t>
  </si>
  <si>
    <t>Mullholand</t>
  </si>
  <si>
    <t>Cara-lyn Mullholand</t>
  </si>
  <si>
    <t>1009 Woodcrest Ave</t>
  </si>
  <si>
    <t>connie.mullholand@nck12.com</t>
  </si>
  <si>
    <t>Christa</t>
  </si>
  <si>
    <t>Christa Mullholand</t>
  </si>
  <si>
    <t>summitnate@gmail.com</t>
  </si>
  <si>
    <t>Nathaniel</t>
  </si>
  <si>
    <t>Riley</t>
  </si>
  <si>
    <t>Nathaniel Riley</t>
  </si>
  <si>
    <t>101 Walnut St.</t>
  </si>
  <si>
    <t>P.O. Box 172</t>
  </si>
  <si>
    <t>Hickman</t>
  </si>
  <si>
    <t>NE</t>
  </si>
  <si>
    <t>colene.michael@yahoo.com</t>
  </si>
  <si>
    <t>Colene</t>
  </si>
  <si>
    <t>Colene Michael</t>
  </si>
  <si>
    <t>1840 E 3100 N</t>
  </si>
  <si>
    <t>North Logan</t>
  </si>
  <si>
    <t>UT</t>
  </si>
  <si>
    <t>Tommyk226@yahoo.com</t>
  </si>
  <si>
    <t>tommyk226@yahoo.com</t>
  </si>
  <si>
    <t>Kleinwaechter</t>
  </si>
  <si>
    <t>Thomas Kleinwaechter</t>
  </si>
  <si>
    <t>20 Hoe Place</t>
  </si>
  <si>
    <t>Paia</t>
  </si>
  <si>
    <t>HI</t>
  </si>
  <si>
    <t>rosebud920@gmail.com</t>
  </si>
  <si>
    <t>Contreras</t>
  </si>
  <si>
    <t>Abigail Contreras</t>
  </si>
  <si>
    <t>26 Legends Drive</t>
  </si>
  <si>
    <t>Sharpsburg</t>
  </si>
  <si>
    <t>kathycarter2526@gmail.com</t>
  </si>
  <si>
    <t>ctc1996@gmail.com</t>
  </si>
  <si>
    <t>Carter</t>
  </si>
  <si>
    <t>Caleb Carter</t>
  </si>
  <si>
    <t>2526 Shoreline</t>
  </si>
  <si>
    <t>Abilene</t>
  </si>
  <si>
    <t>gailcowen@yahoo.com</t>
  </si>
  <si>
    <t>cowboyjon13@yahoo.com</t>
  </si>
  <si>
    <t>Cowen</t>
  </si>
  <si>
    <t>Jonathan Cowen</t>
  </si>
  <si>
    <t>C/O Kay Chandler</t>
  </si>
  <si>
    <t>HC 69 Box 69</t>
  </si>
  <si>
    <t>Hillsboro</t>
  </si>
  <si>
    <t>NM</t>
  </si>
  <si>
    <t>Bridgetfarless@yahoo.com</t>
  </si>
  <si>
    <t>glitterbubble@yahoo.com</t>
  </si>
  <si>
    <t>Ivy</t>
  </si>
  <si>
    <t>Farless</t>
  </si>
  <si>
    <t>Ivy Farless</t>
  </si>
  <si>
    <t>PO Box 1434</t>
  </si>
  <si>
    <t>Peralta</t>
  </si>
  <si>
    <t>stormi11@comcast.net</t>
  </si>
  <si>
    <t>pshinn-hagerman@comcast.net</t>
  </si>
  <si>
    <t>Stevie</t>
  </si>
  <si>
    <t>Hagerman</t>
  </si>
  <si>
    <t>Stevie Hagerman</t>
  </si>
  <si>
    <t>2184 Edgebrook Ave.</t>
  </si>
  <si>
    <t>Saint Paul</t>
  </si>
  <si>
    <t>tomgah@comcast.net</t>
  </si>
  <si>
    <t>Tomgah@comcast.net</t>
  </si>
  <si>
    <t>Bird</t>
  </si>
  <si>
    <t>Samuel Bird</t>
  </si>
  <si>
    <t>16145 Cliffrock CT.</t>
  </si>
  <si>
    <t>Colorado Springs</t>
  </si>
  <si>
    <t>bdahlseid@gmail.com</t>
  </si>
  <si>
    <t>Becca</t>
  </si>
  <si>
    <t>Dahlseid</t>
  </si>
  <si>
    <t>Becca Dahlseid</t>
  </si>
  <si>
    <t>3013 2nd AV NW</t>
  </si>
  <si>
    <t>tedcorwin@aol.com</t>
  </si>
  <si>
    <t>tcorwin3@gmail.com</t>
  </si>
  <si>
    <t>Theodore</t>
  </si>
  <si>
    <t>Corwin, III</t>
  </si>
  <si>
    <t>Theodore Corwin, III</t>
  </si>
  <si>
    <t>618 6th Ave Place NW</t>
  </si>
  <si>
    <t>Hickory</t>
  </si>
  <si>
    <t>randykim12@sbcglobal.net</t>
  </si>
  <si>
    <t>22Titanium14@gmail.com</t>
  </si>
  <si>
    <t>Adam</t>
  </si>
  <si>
    <t>Dubs</t>
  </si>
  <si>
    <t>Adam Dubs</t>
  </si>
  <si>
    <t>9513 Huckleberry Road</t>
  </si>
  <si>
    <t>Berrien Center</t>
  </si>
  <si>
    <t>cwhite63640@yahoo.com</t>
  </si>
  <si>
    <t>Brenna</t>
  </si>
  <si>
    <t>Norton</t>
  </si>
  <si>
    <t>Brenna Norton</t>
  </si>
  <si>
    <t>414 s. Fleming</t>
  </si>
  <si>
    <t>Farmington</t>
  </si>
  <si>
    <t>holmesmatt_1995@yahoo.com</t>
  </si>
  <si>
    <t>Holmes</t>
  </si>
  <si>
    <t>Matthew Holmes</t>
  </si>
  <si>
    <t>101 Magnolia Drive</t>
  </si>
  <si>
    <t>Kaw City</t>
  </si>
  <si>
    <t>OK</t>
  </si>
  <si>
    <t>mj_bizzell@yahoo.com</t>
  </si>
  <si>
    <t>sj.bizzell@yahoo.com</t>
  </si>
  <si>
    <t>Sarah</t>
  </si>
  <si>
    <t>Bizzell</t>
  </si>
  <si>
    <t>Sarah Bizzell</t>
  </si>
  <si>
    <t>4217 Merck Road</t>
  </si>
  <si>
    <t>Wilson</t>
  </si>
  <si>
    <t>dscesc@netzero.com</t>
  </si>
  <si>
    <t>seth.campbell@ohwg.cap.gov</t>
  </si>
  <si>
    <t>Campbell</t>
  </si>
  <si>
    <t>Seth Campbell</t>
  </si>
  <si>
    <t>3166 Blackberry Lane</t>
  </si>
  <si>
    <t>Rising Sun</t>
  </si>
  <si>
    <t>leanna.lindstrom@gmail.com</t>
  </si>
  <si>
    <t>LeAnna</t>
  </si>
  <si>
    <t>Lindstrom</t>
  </si>
  <si>
    <t>LeAnna Lindstrom</t>
  </si>
  <si>
    <t>1629 570th street</t>
  </si>
  <si>
    <t>Wood Lake</t>
  </si>
  <si>
    <t>gatorpierce6@yahoo.com</t>
  </si>
  <si>
    <t>mwpsunshine@gmail.com</t>
  </si>
  <si>
    <t>Megan</t>
  </si>
  <si>
    <t>Pierce</t>
  </si>
  <si>
    <t>Megan Pierce</t>
  </si>
  <si>
    <t>12450 Killigay Lane</t>
  </si>
  <si>
    <t>Maidens</t>
  </si>
  <si>
    <t>chanchan1t412@gmail.com</t>
  </si>
  <si>
    <t>Pearson</t>
  </si>
  <si>
    <t>Grace Pearson</t>
  </si>
  <si>
    <t>4161 Walnut St</t>
  </si>
  <si>
    <t>Port Allen</t>
  </si>
  <si>
    <t>tjgauss71@gmail.com</t>
  </si>
  <si>
    <t>Makayla</t>
  </si>
  <si>
    <t>Gauss</t>
  </si>
  <si>
    <t>Makayla Gauss</t>
  </si>
  <si>
    <t>1292 Township Rd. 353</t>
  </si>
  <si>
    <t>Polk</t>
  </si>
  <si>
    <t>workiewalker@yahoo.com</t>
  </si>
  <si>
    <t>Workman</t>
  </si>
  <si>
    <t>Joshua Workman</t>
  </si>
  <si>
    <t>820 Havenbrook Dr.</t>
  </si>
  <si>
    <t>Arlington</t>
  </si>
  <si>
    <t>ashley@danecarr.com</t>
  </si>
  <si>
    <t>musician4life@outlook.com</t>
  </si>
  <si>
    <t>Ashley Carr</t>
  </si>
  <si>
    <t>1703 Cowtown ct.</t>
  </si>
  <si>
    <t>Mansfield</t>
  </si>
  <si>
    <t>jvervalin@earthlink.net</t>
  </si>
  <si>
    <t>brycevervalin@earthlink.net</t>
  </si>
  <si>
    <t>Bryce</t>
  </si>
  <si>
    <t>Vervalin</t>
  </si>
  <si>
    <t>Bryce Vervalin</t>
  </si>
  <si>
    <t>670 Pinon Ridge Drive</t>
  </si>
  <si>
    <t>Woodland Park</t>
  </si>
  <si>
    <t>Melissasahlstrom@gmail.com</t>
  </si>
  <si>
    <t>Charismafaith@gmail.com</t>
  </si>
  <si>
    <t>Charisma</t>
  </si>
  <si>
    <t>Sahlstrom</t>
  </si>
  <si>
    <t>Charisma Sahlstrom</t>
  </si>
  <si>
    <t>17585 Aspen Avenue</t>
  </si>
  <si>
    <t>tomascfernandez@gmail.com</t>
  </si>
  <si>
    <t>Tomas</t>
  </si>
  <si>
    <t>Fernandez</t>
  </si>
  <si>
    <t>Tomas Fernandez</t>
  </si>
  <si>
    <t>3565 Big Pine Road</t>
  </si>
  <si>
    <t>Melbourne</t>
  </si>
  <si>
    <t>rachelbeth7958@gmail.com</t>
  </si>
  <si>
    <t>Rachel</t>
  </si>
  <si>
    <t>Faivre</t>
  </si>
  <si>
    <t>Rachel Faivre</t>
  </si>
  <si>
    <t>1516 Farmstead LN</t>
  </si>
  <si>
    <t>DeKalb</t>
  </si>
  <si>
    <t>kevin@degrootcpa.com</t>
  </si>
  <si>
    <t>colindegroot@gmail.com</t>
  </si>
  <si>
    <t>Colin</t>
  </si>
  <si>
    <t>DeGroot</t>
  </si>
  <si>
    <t>Colin DeGroot</t>
  </si>
  <si>
    <t>47222 S Rhonda Ave</t>
  </si>
  <si>
    <t>Sioux Falls</t>
  </si>
  <si>
    <t>SD</t>
  </si>
  <si>
    <t>degrootjosh@gmail.com</t>
  </si>
  <si>
    <t>Josh</t>
  </si>
  <si>
    <t>Josh DeGroot</t>
  </si>
  <si>
    <t>47222 S rhonda ave</t>
  </si>
  <si>
    <t>strikermom13@cox.net</t>
  </si>
  <si>
    <t>Eric</t>
  </si>
  <si>
    <t>Stringfield</t>
  </si>
  <si>
    <t>Eric Stringfield</t>
  </si>
  <si>
    <t>2511 N. Cranbrook Ct.</t>
  </si>
  <si>
    <t>dontwasteyourlife14@gmail.com</t>
  </si>
  <si>
    <t>Robert</t>
  </si>
  <si>
    <t>Agnew</t>
  </si>
  <si>
    <t>Robert Agnew</t>
  </si>
  <si>
    <t>26W107 Houghton LN</t>
  </si>
  <si>
    <t>WInfield</t>
  </si>
  <si>
    <t>KBHare@comcast.net</t>
  </si>
  <si>
    <t>ajhare@comcast.net</t>
  </si>
  <si>
    <t>Allison</t>
  </si>
  <si>
    <t>Hare</t>
  </si>
  <si>
    <t>Allison Hare</t>
  </si>
  <si>
    <t>6 Preserve Trail</t>
  </si>
  <si>
    <t>North Oaks</t>
  </si>
  <si>
    <t>lsoconnor64@gmail.com</t>
  </si>
  <si>
    <t>oconnor.lrn@gmail.com</t>
  </si>
  <si>
    <t>O'Connor</t>
  </si>
  <si>
    <t>Lauren O'Connor</t>
  </si>
  <si>
    <t>22 Keethler Dr S</t>
  </si>
  <si>
    <t>stewcrew4@hotmail.com</t>
  </si>
  <si>
    <t>LeeAnn</t>
  </si>
  <si>
    <t>Stewart</t>
  </si>
  <si>
    <t>LeeAnn Stewart</t>
  </si>
  <si>
    <t>9263 Osborn Road</t>
  </si>
  <si>
    <t>eric.doerr1@gmail.com</t>
  </si>
  <si>
    <t>theopendoerr@gmail.com</t>
  </si>
  <si>
    <t>Jessica</t>
  </si>
  <si>
    <t>Doerr</t>
  </si>
  <si>
    <t>Jessica Doerr</t>
  </si>
  <si>
    <t>1425 Sunnyside Ave.</t>
  </si>
  <si>
    <t>Lansing</t>
  </si>
  <si>
    <t>Megan.marie.johnson16@gmail.com</t>
  </si>
  <si>
    <t>megan.marie.johnson16@gmail.com</t>
  </si>
  <si>
    <t>Johnson</t>
  </si>
  <si>
    <t>Megan Johnson</t>
  </si>
  <si>
    <t>2830 211th St. SW</t>
  </si>
  <si>
    <t>Lynnwood</t>
  </si>
  <si>
    <t>hguerra@st.kishwaukeecollege.edu</t>
  </si>
  <si>
    <t>Guerra</t>
  </si>
  <si>
    <t>Hannah Guerra</t>
  </si>
  <si>
    <t>240 West Fuller Drive</t>
  </si>
  <si>
    <t>Waterman</t>
  </si>
  <si>
    <t>blest3xmom@aol.com</t>
  </si>
  <si>
    <t>stationary315@aol.com</t>
  </si>
  <si>
    <t>Rachel Williams</t>
  </si>
  <si>
    <t>10315 Ross Lake Dr</t>
  </si>
  <si>
    <t>Peyton</t>
  </si>
  <si>
    <t>fersanabrais@hotmail.com</t>
  </si>
  <si>
    <t>Maria</t>
  </si>
  <si>
    <t>Sanabrais</t>
  </si>
  <si>
    <t>Maria Sanabrais</t>
  </si>
  <si>
    <t>17585 Aspen Ave.</t>
  </si>
  <si>
    <t>macand4@msn.com</t>
  </si>
  <si>
    <t>ashton.anderson@live.com</t>
  </si>
  <si>
    <t>Ashton</t>
  </si>
  <si>
    <t>Anderson</t>
  </si>
  <si>
    <t>Ashton Anderson</t>
  </si>
  <si>
    <t>151 Mountain Cloud Cir</t>
  </si>
  <si>
    <t>vitaphones@msn.com</t>
  </si>
  <si>
    <t>Joy</t>
  </si>
  <si>
    <t>Kingham</t>
  </si>
  <si>
    <t>Joy Kingham</t>
  </si>
  <si>
    <t>6840 S. Elizabeth Circle</t>
  </si>
  <si>
    <t>Centennial</t>
  </si>
  <si>
    <t>megthe4th@gmail.com</t>
  </si>
  <si>
    <t>Meg</t>
  </si>
  <si>
    <t>Tubridy</t>
  </si>
  <si>
    <t>Meg Tubridy</t>
  </si>
  <si>
    <t>24 Coveys Way</t>
  </si>
  <si>
    <t>Saranac Lake</t>
  </si>
  <si>
    <t>ajicooper@gmail.com</t>
  </si>
  <si>
    <t>Audrey</t>
  </si>
  <si>
    <t>Cooper</t>
  </si>
  <si>
    <t>Audrey Cooper</t>
  </si>
  <si>
    <t>17204 2nd Ave NE</t>
  </si>
  <si>
    <t>Shoreline</t>
  </si>
  <si>
    <t>mestherhorton@yahoo.com</t>
  </si>
  <si>
    <t>h.joanna1440@yahoo.com</t>
  </si>
  <si>
    <t>Joanna</t>
  </si>
  <si>
    <t>Horton</t>
  </si>
  <si>
    <t>Joanna Horton</t>
  </si>
  <si>
    <t>1049 Phelps Circle</t>
  </si>
  <si>
    <t>Arkadelphia</t>
  </si>
  <si>
    <t>AR</t>
  </si>
  <si>
    <t>debnutting@gmail.com</t>
  </si>
  <si>
    <t>joeynutting@gmail.com</t>
  </si>
  <si>
    <t>Joseph</t>
  </si>
  <si>
    <t>Nutting</t>
  </si>
  <si>
    <t>Joseph Nutting</t>
  </si>
  <si>
    <t>4404 W 98th St Circle</t>
  </si>
  <si>
    <t>Bloomington</t>
  </si>
  <si>
    <t>lsade3@yahoo.com</t>
  </si>
  <si>
    <t>hawk2b@yahoo.com</t>
  </si>
  <si>
    <t>Leah</t>
  </si>
  <si>
    <t>Ade</t>
  </si>
  <si>
    <t>Leah Ade</t>
  </si>
  <si>
    <t>1112 Rushwood Dr.</t>
  </si>
  <si>
    <t>Derby</t>
  </si>
  <si>
    <t>sebelle14@gmail.com</t>
  </si>
  <si>
    <t>Scarlett</t>
  </si>
  <si>
    <t>Elsik</t>
  </si>
  <si>
    <t>Scarlett Elsik</t>
  </si>
  <si>
    <t>302 Woodchase</t>
  </si>
  <si>
    <t>Victoria</t>
  </si>
  <si>
    <t>mattjhenry17@gmail.com</t>
  </si>
  <si>
    <t>Henry</t>
  </si>
  <si>
    <t>Matthew Henry</t>
  </si>
  <si>
    <t>302 Woodchase Dr.</t>
  </si>
  <si>
    <t>clonglife@gmail.com</t>
  </si>
  <si>
    <t>lrachael55@yahoo.com</t>
  </si>
  <si>
    <t>Rachael</t>
  </si>
  <si>
    <t>Long</t>
  </si>
  <si>
    <t>Rachael Long</t>
  </si>
  <si>
    <t>8601 N. 103rd ave. #6</t>
  </si>
  <si>
    <t>anduril.selina@gmail.com</t>
  </si>
  <si>
    <t>Selina</t>
  </si>
  <si>
    <t>Gonzalez</t>
  </si>
  <si>
    <t>Selina Gonzalez</t>
  </si>
  <si>
    <t>3014 N. Logan Ave.</t>
  </si>
  <si>
    <t>Loveland</t>
  </si>
  <si>
    <t>mcnels2006@msn.com</t>
  </si>
  <si>
    <t>Mizladybugg@yahoo.com</t>
  </si>
  <si>
    <t>Kelli</t>
  </si>
  <si>
    <t>Kelli Nelson</t>
  </si>
  <si>
    <t>13761 N Winchester Way</t>
  </si>
  <si>
    <t>Parker</t>
  </si>
  <si>
    <t>car.copu@gmail.com</t>
  </si>
  <si>
    <t>Carmen</t>
  </si>
  <si>
    <t>Copu</t>
  </si>
  <si>
    <t>Carmen Copu</t>
  </si>
  <si>
    <t>Calea Miersig, Nr. 1</t>
  </si>
  <si>
    <t>Cum Nojorid</t>
  </si>
  <si>
    <t>Bihor</t>
  </si>
  <si>
    <t>Romania</t>
  </si>
  <si>
    <t>tlhull5@sbcglobal.net</t>
  </si>
  <si>
    <t>Hull</t>
  </si>
  <si>
    <t>Courtney Hull</t>
  </si>
  <si>
    <t>2433 Post Oak Rd</t>
  </si>
  <si>
    <t>Olathe</t>
  </si>
  <si>
    <t>tom@mfc.org</t>
  </si>
  <si>
    <t>annaprichard@gmail.com</t>
  </si>
  <si>
    <t>Prichard</t>
  </si>
  <si>
    <t>Anna Prichard</t>
  </si>
  <si>
    <t>4316 Washburn Ave N</t>
  </si>
  <si>
    <t>Minneapolis</t>
  </si>
  <si>
    <t>mrunzheimer@wi.rr.com</t>
  </si>
  <si>
    <t>evanr@live.com</t>
  </si>
  <si>
    <t>Evan</t>
  </si>
  <si>
    <t>Runzheimer</t>
  </si>
  <si>
    <t>Evan Runzheimer</t>
  </si>
  <si>
    <t>N19 W28081 Golf View Court</t>
  </si>
  <si>
    <t>Pewaukee</t>
  </si>
  <si>
    <t>kinchklan@sbcglobal.net</t>
  </si>
  <si>
    <t>stone_leah@sbcglobal.net</t>
  </si>
  <si>
    <t>Stone</t>
  </si>
  <si>
    <t>Leah Stone</t>
  </si>
  <si>
    <t>3118 Sunset Oaks</t>
  </si>
  <si>
    <t>natwatson@frontier.com</t>
  </si>
  <si>
    <t>watson_fam4@frontier.com</t>
  </si>
  <si>
    <t>Aaron</t>
  </si>
  <si>
    <t>Aaron Watson</t>
  </si>
  <si>
    <t>640 Ladyne Avenue</t>
  </si>
  <si>
    <t>Bolivar</t>
  </si>
  <si>
    <t>kimberlyheard88@gmail.com</t>
  </si>
  <si>
    <t>mrethano@yahoo.com</t>
  </si>
  <si>
    <t>Ethan</t>
  </si>
  <si>
    <t>Heard</t>
  </si>
  <si>
    <t>Ethan Heard</t>
  </si>
  <si>
    <t>909 Ridgeland Ct</t>
  </si>
  <si>
    <t>Apopka</t>
  </si>
  <si>
    <t>teacheroffour@comcast.net</t>
  </si>
  <si>
    <t>clark.ashley1995@yahoo.com</t>
  </si>
  <si>
    <t>Clark</t>
  </si>
  <si>
    <t>Ashley Clark</t>
  </si>
  <si>
    <t>4618 Spring Run Rd</t>
  </si>
  <si>
    <t>Warrenton</t>
  </si>
  <si>
    <t>dalton_gang@frontier.com</t>
  </si>
  <si>
    <t>youneedtherapyproblemchild@yahoo.com</t>
  </si>
  <si>
    <t>Lyndsey</t>
  </si>
  <si>
    <t>Dalton</t>
  </si>
  <si>
    <t>Lyndsey Dalton</t>
  </si>
  <si>
    <t>107 sonnett place</t>
  </si>
  <si>
    <t>Durham</t>
  </si>
  <si>
    <t>rachel@areaone.org</t>
  </si>
  <si>
    <t>bmwynn92@hotmail.com</t>
  </si>
  <si>
    <t>Brittany</t>
  </si>
  <si>
    <t>Wynn</t>
  </si>
  <si>
    <t>Brittany Wynn</t>
  </si>
  <si>
    <t>10365 Long Rd</t>
  </si>
  <si>
    <t>jltgclark01@mac.com</t>
  </si>
  <si>
    <t>Tyler Clark</t>
  </si>
  <si>
    <t>4809 103rd St.</t>
  </si>
  <si>
    <t>Lubbock</t>
  </si>
  <si>
    <t>erika.schoenberger@gmail.com</t>
  </si>
  <si>
    <t>schoenwr@gmail.com</t>
  </si>
  <si>
    <t>Schoenberger</t>
  </si>
  <si>
    <t>Whitney Schoenberger</t>
  </si>
  <si>
    <t>257 Shadow Lake Dr.</t>
  </si>
  <si>
    <t>Divide</t>
  </si>
  <si>
    <t>kellylevin6@gmail.com</t>
  </si>
  <si>
    <t>Chelsey</t>
  </si>
  <si>
    <t>Levin</t>
  </si>
  <si>
    <t>Chelsey Levin</t>
  </si>
  <si>
    <t>12869 N. 57th Ave.</t>
  </si>
  <si>
    <t>Glendale</t>
  </si>
  <si>
    <t>roxie7401@yahoo.com</t>
  </si>
  <si>
    <t>Kaleb</t>
  </si>
  <si>
    <t>Kaleb Pierce</t>
  </si>
  <si>
    <t>7401 County Road 19</t>
  </si>
  <si>
    <t>Fredericktown</t>
  </si>
  <si>
    <t>gin_gibs@yahoo.com</t>
  </si>
  <si>
    <t>austin_gibney@yahoo.com</t>
  </si>
  <si>
    <t>Austin</t>
  </si>
  <si>
    <t>Gibney</t>
  </si>
  <si>
    <t>Austin Gibney</t>
  </si>
  <si>
    <t>5690 Rossier Rd</t>
  </si>
  <si>
    <t>Canandaigua</t>
  </si>
  <si>
    <t>matthew_gibney@yahoo.com</t>
  </si>
  <si>
    <t>Matthew Gibney</t>
  </si>
  <si>
    <t>runsadierun@yahoo.com</t>
  </si>
  <si>
    <t>runorun@yahoo.com</t>
  </si>
  <si>
    <t>Owen</t>
  </si>
  <si>
    <t>Smith</t>
  </si>
  <si>
    <t>Owen Smith</t>
  </si>
  <si>
    <t>75 Morgan Avenue</t>
  </si>
  <si>
    <t>Ashland</t>
  </si>
  <si>
    <t>1travis-h@sbcglobal.net</t>
  </si>
  <si>
    <t>Travis</t>
  </si>
  <si>
    <t>Travis Hull</t>
  </si>
  <si>
    <t>dpchick1221@yahoo.com</t>
  </si>
  <si>
    <t>Taryn</t>
  </si>
  <si>
    <t>Taryn Long</t>
  </si>
  <si>
    <t>7202 Montego Dr.</t>
  </si>
  <si>
    <t>Rowlett</t>
  </si>
  <si>
    <t>cgonzalez5@wisc.edu</t>
  </si>
  <si>
    <t>Camille</t>
  </si>
  <si>
    <t>Camille Gonzalez</t>
  </si>
  <si>
    <t>1055 Riverknoll Cir</t>
  </si>
  <si>
    <t>Oconomowoc</t>
  </si>
  <si>
    <t>czrogers13@gmail.com</t>
  </si>
  <si>
    <t>Crawford</t>
  </si>
  <si>
    <t>Rogers</t>
  </si>
  <si>
    <t>Crawford Rogers</t>
  </si>
  <si>
    <t>133 Summer Circle</t>
  </si>
  <si>
    <t>Birmingham</t>
  </si>
  <si>
    <t>babiesaresweet@gmail.com</t>
  </si>
  <si>
    <t>Harmon</t>
  </si>
  <si>
    <t>Rachel Harmon</t>
  </si>
  <si>
    <t>3218 Cedar Lane</t>
  </si>
  <si>
    <t>Lafayette</t>
  </si>
  <si>
    <t>klinares122@gmail.com</t>
  </si>
  <si>
    <t>Katrina</t>
  </si>
  <si>
    <t>Linares</t>
  </si>
  <si>
    <t>Katrina Linares</t>
  </si>
  <si>
    <t>390 S.W. Linden Street</t>
  </si>
  <si>
    <t>reeser450@gmail.com</t>
  </si>
  <si>
    <t>Reese</t>
  </si>
  <si>
    <t>Rachel Reese</t>
  </si>
  <si>
    <t>365 East 75th Street</t>
  </si>
  <si>
    <t>Indianapolis</t>
  </si>
  <si>
    <t>bryangewick@gmail.com</t>
  </si>
  <si>
    <t>Bryan</t>
  </si>
  <si>
    <t>Gewickey</t>
  </si>
  <si>
    <t>Bryan Gewickey</t>
  </si>
  <si>
    <t>5255 Rainwood St</t>
  </si>
  <si>
    <t>Simi Valley</t>
  </si>
  <si>
    <t>d-dbodine@sbcglobal.net</t>
  </si>
  <si>
    <t>korellitor@gmail.com</t>
  </si>
  <si>
    <t>Joel</t>
  </si>
  <si>
    <t>Bodine</t>
  </si>
  <si>
    <t>Joel Bodine</t>
  </si>
  <si>
    <t>Ridgeway</t>
  </si>
  <si>
    <t>Saint Joseph</t>
  </si>
  <si>
    <t>vpurchas@fau.edu</t>
  </si>
  <si>
    <t>Purchase</t>
  </si>
  <si>
    <t>Victoria Purchase</t>
  </si>
  <si>
    <t>720 NE 12th Ave</t>
  </si>
  <si>
    <t>Pompano Beach</t>
  </si>
  <si>
    <t>josiah_swanson@yahoo.com</t>
  </si>
  <si>
    <t>Josiah</t>
  </si>
  <si>
    <t>Swanson</t>
  </si>
  <si>
    <t>Josiah Swanson</t>
  </si>
  <si>
    <t>310 East Johnson Street</t>
  </si>
  <si>
    <t>dream.mtn.rr@gmail.com</t>
  </si>
  <si>
    <t>everflight53@gmail.com</t>
  </si>
  <si>
    <t>Brazell</t>
  </si>
  <si>
    <t>Samuel Brazell</t>
  </si>
  <si>
    <t>8816 S.E. 12 St.</t>
  </si>
  <si>
    <t>Whitewater</t>
  </si>
  <si>
    <t>highmountainlady@gmail.com</t>
  </si>
  <si>
    <t>eaglecliffguy@gmail.com</t>
  </si>
  <si>
    <t>McNamara</t>
  </si>
  <si>
    <t>Joseph McNamara</t>
  </si>
  <si>
    <t>8715 Eagle Cliff Rd.</t>
  </si>
  <si>
    <t>Conifer</t>
  </si>
  <si>
    <t>laurance00@yahoo.com</t>
  </si>
  <si>
    <t>plaurance94@yahoo.com</t>
  </si>
  <si>
    <t>patrick</t>
  </si>
  <si>
    <t>laurance</t>
  </si>
  <si>
    <t>patrick laurance</t>
  </si>
  <si>
    <t>1600 milan ave</t>
  </si>
  <si>
    <t>south pasadena</t>
  </si>
  <si>
    <t>jrm1027@hotmail.com</t>
  </si>
  <si>
    <t>pinkchick270@aol.com</t>
  </si>
  <si>
    <t>Kaitlin</t>
  </si>
  <si>
    <t>Kaitlin Trent</t>
  </si>
  <si>
    <t>4937 Keene Road</t>
  </si>
  <si>
    <t>KY</t>
  </si>
  <si>
    <t>emmaklischer@gmail.com</t>
  </si>
  <si>
    <t>beautifulandcrazy1@gmail.com</t>
  </si>
  <si>
    <t>Savannah</t>
  </si>
  <si>
    <t>Klischer</t>
  </si>
  <si>
    <t>Savannah Klischer</t>
  </si>
  <si>
    <t>2945 Ocher Street</t>
  </si>
  <si>
    <t>Graham</t>
  </si>
  <si>
    <t>kristinaplaster@netscape.net</t>
  </si>
  <si>
    <t>Bridget</t>
  </si>
  <si>
    <t>Plaster</t>
  </si>
  <si>
    <t>Bridget Plaster</t>
  </si>
  <si>
    <t>2509 West Riviera Dr.</t>
  </si>
  <si>
    <t>Cedar Park</t>
  </si>
  <si>
    <t>sydpedigo@gmail.com</t>
  </si>
  <si>
    <t>Sydney</t>
  </si>
  <si>
    <t>Pedigo</t>
  </si>
  <si>
    <t>Sydney Pedigo</t>
  </si>
  <si>
    <t>6051 Northwood Rd.</t>
  </si>
  <si>
    <t>Dallas</t>
  </si>
  <si>
    <t>jahull1@yahoo.com</t>
  </si>
  <si>
    <t>Jackson</t>
  </si>
  <si>
    <t>Jackson Hull</t>
  </si>
  <si>
    <t>5401 El Dorado Drive</t>
  </si>
  <si>
    <t>Fort Worth</t>
  </si>
  <si>
    <t>rlarin64@comcast.net</t>
  </si>
  <si>
    <t>95baseball@comcast.net</t>
  </si>
  <si>
    <t>Andrew</t>
  </si>
  <si>
    <t>Larin</t>
  </si>
  <si>
    <t>Andrew Larin</t>
  </si>
  <si>
    <t>10709 Louisiana Ave. S</t>
  </si>
  <si>
    <t>joemartin305@yahoo.com</t>
  </si>
  <si>
    <t>aloliver18@gmail.com</t>
  </si>
  <si>
    <t>Oliver</t>
  </si>
  <si>
    <t>Ashley Oliver</t>
  </si>
  <si>
    <t>19020 SW 89th Ct.</t>
  </si>
  <si>
    <t>Cutler Bay</t>
  </si>
  <si>
    <t>technicolor.dreams96@gmail.com</t>
  </si>
  <si>
    <t>Maggie</t>
  </si>
  <si>
    <t>Randolph</t>
  </si>
  <si>
    <t>Maggie Randolph</t>
  </si>
  <si>
    <t>3530 Highway 13</t>
  </si>
  <si>
    <t>Erin</t>
  </si>
  <si>
    <t>kendrickvinar@gmail.com</t>
  </si>
  <si>
    <t>kendrickjr@enjoymore.net</t>
  </si>
  <si>
    <t>Kendrick</t>
  </si>
  <si>
    <t>Vinar</t>
  </si>
  <si>
    <t>Kendrick Vinar</t>
  </si>
  <si>
    <t>122 Fairmont Place</t>
  </si>
  <si>
    <t>Hillsborough</t>
  </si>
  <si>
    <t>buckandmarlis@gvtc.com</t>
  </si>
  <si>
    <t>swimmer16@gvtc.com</t>
  </si>
  <si>
    <t>Naomi</t>
  </si>
  <si>
    <t>Buchanan</t>
  </si>
  <si>
    <t>Naomi Buchanan</t>
  </si>
  <si>
    <t>27243 Boerne Glen</t>
  </si>
  <si>
    <t>Boerne</t>
  </si>
  <si>
    <t>mountainsmiles@gmail.com</t>
  </si>
  <si>
    <t>minenotyoursphilip@gmail.com</t>
  </si>
  <si>
    <t>philip</t>
  </si>
  <si>
    <t>albrecht</t>
  </si>
  <si>
    <t>philip albrecht</t>
  </si>
  <si>
    <t>3326 W. Saratoga Ave.</t>
  </si>
  <si>
    <t>kelli.kasperek@gmail.com</t>
  </si>
  <si>
    <t>kennedy.kasperek@aol.com</t>
  </si>
  <si>
    <t>Kennedy</t>
  </si>
  <si>
    <t>Kasperek</t>
  </si>
  <si>
    <t>Kennedy Kasperek</t>
  </si>
  <si>
    <t>9608 Utica Rd.</t>
  </si>
  <si>
    <t>godo@mvtvwireless.com</t>
  </si>
  <si>
    <t>George</t>
  </si>
  <si>
    <t>Orsten</t>
  </si>
  <si>
    <t>George Orsten</t>
  </si>
  <si>
    <t>1899 45th Ave SE</t>
  </si>
  <si>
    <t>gegegea@sbcglobal.net</t>
  </si>
  <si>
    <t>Hanna</t>
  </si>
  <si>
    <t>Sims</t>
  </si>
  <si>
    <t>Hanna Sims</t>
  </si>
  <si>
    <t>16233 Kentucky Rd</t>
  </si>
  <si>
    <t>Belton</t>
  </si>
  <si>
    <t>nieuws@parknicollet.com</t>
  </si>
  <si>
    <t>andrewnieuwsma@aol.com</t>
  </si>
  <si>
    <t>Nieuwsma</t>
  </si>
  <si>
    <t>Andrew Nieuwsma</t>
  </si>
  <si>
    <t>19105 Eagleview Lane</t>
  </si>
  <si>
    <t>Prior Lake</t>
  </si>
  <si>
    <t>td.5pence@juno.com</t>
  </si>
  <si>
    <t>nicknic59@gmail.com</t>
  </si>
  <si>
    <t>Nicole</t>
  </si>
  <si>
    <t>Nichols</t>
  </si>
  <si>
    <t>Nicole Nichols</t>
  </si>
  <si>
    <t>2115  170th St.</t>
  </si>
  <si>
    <t>Klemme</t>
  </si>
  <si>
    <t>themayflower59@gmail.com</t>
  </si>
  <si>
    <t>Emma Nichols</t>
  </si>
  <si>
    <t>50calibergun@gmail.com</t>
  </si>
  <si>
    <t>Dartanian</t>
  </si>
  <si>
    <t>Aldridge</t>
  </si>
  <si>
    <t>Dartanian Aldridge</t>
  </si>
  <si>
    <t>28765 Brewer Rd</t>
  </si>
  <si>
    <t>Soldotna</t>
  </si>
  <si>
    <t>caleb.bbb@hotmail.com</t>
  </si>
  <si>
    <t>caleb</t>
  </si>
  <si>
    <t>coombes</t>
  </si>
  <si>
    <t>caleb coombes</t>
  </si>
  <si>
    <t>211 Crest Dr.</t>
  </si>
  <si>
    <t>designatedmaksmen@gmail.com</t>
  </si>
  <si>
    <t>Designatedmaksmen@gmail.com</t>
  </si>
  <si>
    <t>Davey</t>
  </si>
  <si>
    <t>Seth Davey</t>
  </si>
  <si>
    <t>tim.hills@hotmail.com</t>
  </si>
  <si>
    <t>Tim</t>
  </si>
  <si>
    <t>Hills</t>
  </si>
  <si>
    <t>Tim Hills</t>
  </si>
  <si>
    <t>P.O. Box 3012</t>
  </si>
  <si>
    <t>lyonscalebnator1@gmail.com</t>
  </si>
  <si>
    <t>Lyons</t>
  </si>
  <si>
    <t>Caleb Lyons</t>
  </si>
  <si>
    <t>37053 Birchwood St.</t>
  </si>
  <si>
    <t>ericamcgahan@gmail.com</t>
  </si>
  <si>
    <t>Erica</t>
  </si>
  <si>
    <t>McGahan</t>
  </si>
  <si>
    <t>Erica McGahan</t>
  </si>
  <si>
    <t>p.o box 337</t>
  </si>
  <si>
    <t>Kenai</t>
  </si>
  <si>
    <t>kelseyrt16@gmail.com</t>
  </si>
  <si>
    <t>Kelsey</t>
  </si>
  <si>
    <t>Tachick</t>
  </si>
  <si>
    <t>Kelsey Tachick</t>
  </si>
  <si>
    <t>37395 Lancashire Drive</t>
  </si>
  <si>
    <t>Soldotna, Alaska 99669</t>
  </si>
  <si>
    <t>supera7@gmail.com</t>
  </si>
  <si>
    <t>Uchtman</t>
  </si>
  <si>
    <t>Adam Uchtman</t>
  </si>
  <si>
    <t>1510 Kittiwake ct.</t>
  </si>
  <si>
    <t>19fixiebiker95@gmail.com</t>
  </si>
  <si>
    <t>Mylon</t>
  </si>
  <si>
    <t>Weems</t>
  </si>
  <si>
    <t>Mylon Weems</t>
  </si>
  <si>
    <t>POBOX 4278</t>
  </si>
  <si>
    <t>SOLDOTNA</t>
  </si>
  <si>
    <t>kilerabit@gmail.com</t>
  </si>
  <si>
    <t>Koebryn</t>
  </si>
  <si>
    <t>Mlynarik</t>
  </si>
  <si>
    <t>Koebryn Mlynarik</t>
  </si>
  <si>
    <t>36315 Dawn Drive</t>
  </si>
  <si>
    <t>thomas.blada90@gmail.com</t>
  </si>
  <si>
    <t>Blada</t>
  </si>
  <si>
    <t>Thomas Blada</t>
  </si>
  <si>
    <t>Po. Box 153</t>
  </si>
  <si>
    <t>38915 Moose River Dr.</t>
  </si>
  <si>
    <t>Sterling</t>
  </si>
  <si>
    <t>zac.taplin@gmail.com</t>
  </si>
  <si>
    <t>zachary</t>
  </si>
  <si>
    <t>taplin</t>
  </si>
  <si>
    <t>zachary taplin</t>
  </si>
  <si>
    <t>39300 strawberry RD</t>
  </si>
  <si>
    <t>wiltse616@aol.com</t>
  </si>
  <si>
    <t>sarahandlexy@gmail.com</t>
  </si>
  <si>
    <t>Wiltse</t>
  </si>
  <si>
    <t>Sarah Wiltse</t>
  </si>
  <si>
    <t>3378 Softwind pt.</t>
  </si>
  <si>
    <t>Castle Rock</t>
  </si>
  <si>
    <t>michelle.jones923@gmail.com</t>
  </si>
  <si>
    <t>Michelle</t>
  </si>
  <si>
    <t>Michelle Jones</t>
  </si>
  <si>
    <t>119 Rockpoint Cir. East</t>
  </si>
  <si>
    <t>Pineville</t>
  </si>
  <si>
    <t>torimv14@gmail.com</t>
  </si>
  <si>
    <t>Vest</t>
  </si>
  <si>
    <t>Victoria Vest</t>
  </si>
  <si>
    <t>614 Arrow Dr NE</t>
  </si>
  <si>
    <t>Cleveland</t>
  </si>
  <si>
    <t>jetsknopp@gmail.com</t>
  </si>
  <si>
    <t>Knopp</t>
  </si>
  <si>
    <t>Thomas Knopp</t>
  </si>
  <si>
    <t>8020 E Sandlewood Ln</t>
  </si>
  <si>
    <t>Spokane</t>
  </si>
  <si>
    <t>kelkelcan@yahoo.com</t>
  </si>
  <si>
    <t>tanxgrl@yahoo.com</t>
  </si>
  <si>
    <t>Tanksley</t>
  </si>
  <si>
    <t>Anna Tanksley</t>
  </si>
  <si>
    <t>384 Sunward Drive</t>
  </si>
  <si>
    <t>NV</t>
  </si>
  <si>
    <t>orledanda@verizon.net</t>
  </si>
  <si>
    <t>littledrummergirl@verizon.net</t>
  </si>
  <si>
    <t>Miranda</t>
  </si>
  <si>
    <t>Reyes</t>
  </si>
  <si>
    <t>Miranda Reyes</t>
  </si>
  <si>
    <t>8268 124th Terrace North</t>
  </si>
  <si>
    <t>Delightedmom@gmail.com</t>
  </si>
  <si>
    <t>Notbob24@gmail.com</t>
  </si>
  <si>
    <t>Himelright</t>
  </si>
  <si>
    <t>Benjamin Himelright</t>
  </si>
  <si>
    <t>591 Cottontown Rd</t>
  </si>
  <si>
    <t>Strasburg</t>
  </si>
  <si>
    <t>carolyn.l.twomey@gmail.com</t>
  </si>
  <si>
    <t>cetskiandride@gmail.com</t>
  </si>
  <si>
    <t>Catherine</t>
  </si>
  <si>
    <t>Twomey</t>
  </si>
  <si>
    <t>Catherine Twomey</t>
  </si>
  <si>
    <t>9516 Oldhouse Dr</t>
  </si>
  <si>
    <t>Richmmond</t>
  </si>
  <si>
    <t>anwinter7@gmail.com</t>
  </si>
  <si>
    <t>Amy</t>
  </si>
  <si>
    <t>Winter</t>
  </si>
  <si>
    <t>Amy Winter</t>
  </si>
  <si>
    <t>23623 Meadcliff Place</t>
  </si>
  <si>
    <t>Diamond Bar</t>
  </si>
  <si>
    <t>jeffreydbrown28@yahoo.com</t>
  </si>
  <si>
    <t>tyler9966@sbcglobal.net</t>
  </si>
  <si>
    <t>Tyler Brown</t>
  </si>
  <si>
    <t>3720 SW Cobblestone Pl</t>
  </si>
  <si>
    <t>willdbecker@gmail.com</t>
  </si>
  <si>
    <t>Will</t>
  </si>
  <si>
    <t>Becker</t>
  </si>
  <si>
    <t>Will Becker</t>
  </si>
  <si>
    <t>3716 64th drive</t>
  </si>
  <si>
    <t>dmguth@comm1net.net</t>
  </si>
  <si>
    <t>Lillian</t>
  </si>
  <si>
    <t>Guth</t>
  </si>
  <si>
    <t>Lillian Guth</t>
  </si>
  <si>
    <t>1770 Taft Ave</t>
  </si>
  <si>
    <t>ssenisub-1@sbcglobal.net</t>
  </si>
  <si>
    <t>Brittnie</t>
  </si>
  <si>
    <t>Cannon</t>
  </si>
  <si>
    <t>Brittnie Cannon</t>
  </si>
  <si>
    <t>3900 Airport Road</t>
  </si>
  <si>
    <t>Bridgeport</t>
  </si>
  <si>
    <t>karen@stahr.com</t>
  </si>
  <si>
    <t>ben@stahr.com</t>
  </si>
  <si>
    <t>Stahr</t>
  </si>
  <si>
    <t>Benjamin Stahr</t>
  </si>
  <si>
    <t>10918 N 69th St</t>
  </si>
  <si>
    <t>Omaha</t>
  </si>
  <si>
    <t>tcsz@yahoo.com</t>
  </si>
  <si>
    <t>themule12@yahoo.com</t>
  </si>
  <si>
    <t>Weigand</t>
  </si>
  <si>
    <t>Samuel Weigand</t>
  </si>
  <si>
    <t>8104 West 110th Street Circle</t>
  </si>
  <si>
    <t>saraneumayer@hotmail.com</t>
  </si>
  <si>
    <t>Neumayer</t>
  </si>
  <si>
    <t>Sara Neumayer</t>
  </si>
  <si>
    <t>3533 Pinewood Ct</t>
  </si>
  <si>
    <t>Johnstown</t>
  </si>
  <si>
    <t>leachman@latech.edu</t>
  </si>
  <si>
    <t>chadl116@hotmail.com</t>
  </si>
  <si>
    <t>Steven</t>
  </si>
  <si>
    <t>Leachman</t>
  </si>
  <si>
    <t>Steven Leachman</t>
  </si>
  <si>
    <t>604 Monterey Drive</t>
  </si>
  <si>
    <t>gaylabell@usfamily.net</t>
  </si>
  <si>
    <t>Emily Bell</t>
  </si>
  <si>
    <t>9795 Crestwood Terr.</t>
  </si>
  <si>
    <t>Eden Prairie</t>
  </si>
  <si>
    <t>danenestewart@yahoo.com</t>
  </si>
  <si>
    <t>jaydestewart78@gmail.com</t>
  </si>
  <si>
    <t>Jayde</t>
  </si>
  <si>
    <t>Jayde Stewart</t>
  </si>
  <si>
    <t>17171 K Trail</t>
  </si>
  <si>
    <t>Perry</t>
  </si>
  <si>
    <t>Jhshifrin@gmail.com</t>
  </si>
  <si>
    <t>JShift592@gmail.com</t>
  </si>
  <si>
    <t>Shifrin</t>
  </si>
  <si>
    <t>Jonathan Shifrin</t>
  </si>
  <si>
    <t>6208 Devinney Circle</t>
  </si>
  <si>
    <t>Arvada</t>
  </si>
  <si>
    <t>stwei316@gmail.com</t>
  </si>
  <si>
    <t>njwei23@gmail.com</t>
  </si>
  <si>
    <t>Wei</t>
  </si>
  <si>
    <t>Nathaniel Wei</t>
  </si>
  <si>
    <t>6830 Stonebrook Pkwy</t>
  </si>
  <si>
    <t>Newlandlm@yahoo.com</t>
  </si>
  <si>
    <t>Jcapesn@yahoo.com</t>
  </si>
  <si>
    <t>Janey</t>
  </si>
  <si>
    <t>Newland</t>
  </si>
  <si>
    <t>Janey Newland</t>
  </si>
  <si>
    <t>4555 Hagan Rd</t>
  </si>
  <si>
    <t>Yonges Island</t>
  </si>
  <si>
    <t>cynthia.page@comcast.net</t>
  </si>
  <si>
    <t>panhead12345@comcast.net</t>
  </si>
  <si>
    <t>Page</t>
  </si>
  <si>
    <t>Timothy Page</t>
  </si>
  <si>
    <t>1118 Nucla St</t>
  </si>
  <si>
    <t>Aurora</t>
  </si>
  <si>
    <t>briana_ayers@hotmail.com</t>
  </si>
  <si>
    <t>Briana_ayers@hotmail.com</t>
  </si>
  <si>
    <t>Briana</t>
  </si>
  <si>
    <t>Ayers</t>
  </si>
  <si>
    <t>Briana Ayers</t>
  </si>
  <si>
    <t>302 Edgewood Place East</t>
  </si>
  <si>
    <t>tthomson@fccmorris.org</t>
  </si>
  <si>
    <t>isaacisit@gmail.com</t>
  </si>
  <si>
    <t>Isaac</t>
  </si>
  <si>
    <t>Thomson</t>
  </si>
  <si>
    <t>Isaac Thomson</t>
  </si>
  <si>
    <t>1312 Trend Dr.</t>
  </si>
  <si>
    <t>Morris</t>
  </si>
  <si>
    <t>forgod_solovedtheworld@q.com</t>
  </si>
  <si>
    <t>Kassidi</t>
  </si>
  <si>
    <t>Garbutt</t>
  </si>
  <si>
    <t>Kassidi Garbutt</t>
  </si>
  <si>
    <t>5165 Antelope Dr.</t>
  </si>
  <si>
    <t>Bar Nunn</t>
  </si>
  <si>
    <t>WY</t>
  </si>
  <si>
    <t>a.fergies@gmail.com</t>
  </si>
  <si>
    <t>ajcha2014@gmail.com</t>
  </si>
  <si>
    <t>Ferguson</t>
  </si>
  <si>
    <t>Alexander Ferguson</t>
  </si>
  <si>
    <t>225 S.E. 30th Street</t>
  </si>
  <si>
    <t>Edmond</t>
  </si>
  <si>
    <t>eliizabethdailey@gmail.com</t>
  </si>
  <si>
    <t>Elizabeth</t>
  </si>
  <si>
    <t>Dailey</t>
  </si>
  <si>
    <t>Elizabeth Dailey</t>
  </si>
  <si>
    <t>POB 930</t>
  </si>
  <si>
    <t>djfauth@reo-world.com</t>
  </si>
  <si>
    <t>rissamaroo@gmail.com</t>
  </si>
  <si>
    <t>Marissa</t>
  </si>
  <si>
    <t>Fauth</t>
  </si>
  <si>
    <t>Marissa Fauth</t>
  </si>
  <si>
    <t>1639 35th Ave Ct</t>
  </si>
  <si>
    <t>Greeley</t>
  </si>
  <si>
    <t>rmelder@comcast.net</t>
  </si>
  <si>
    <t>natalie.elder@comcast.net</t>
  </si>
  <si>
    <t>Elder</t>
  </si>
  <si>
    <t>Natalie Elder</t>
  </si>
  <si>
    <t>9227 169th Pl. NE</t>
  </si>
  <si>
    <t>Redmond</t>
  </si>
  <si>
    <t>johnstargel@msn.com</t>
  </si>
  <si>
    <t>laura.stargel@gmail.com</t>
  </si>
  <si>
    <t>Stargel</t>
  </si>
  <si>
    <t>Laura Stargel</t>
  </si>
  <si>
    <t>2626 Collins Avenue</t>
  </si>
  <si>
    <t>Lakeland</t>
  </si>
  <si>
    <t>gparke@tampabay.rr.com</t>
  </si>
  <si>
    <t>jeparke@tampabay.rr.com</t>
  </si>
  <si>
    <t>Parke</t>
  </si>
  <si>
    <t>Joshua Parke</t>
  </si>
  <si>
    <t>1008 Tanner Road</t>
  </si>
  <si>
    <t>Plant City</t>
  </si>
  <si>
    <t>fwschmale@sbcglobal.net</t>
  </si>
  <si>
    <t>jada.s@att.net</t>
  </si>
  <si>
    <t>Jada</t>
  </si>
  <si>
    <t>Schmale</t>
  </si>
  <si>
    <t>Jada Schmale</t>
  </si>
  <si>
    <t>1505 Labrador</t>
  </si>
  <si>
    <t>Garden City</t>
  </si>
  <si>
    <t>greene.katelyn13@hotmail.com</t>
  </si>
  <si>
    <t>Katelyn</t>
  </si>
  <si>
    <t>Greene</t>
  </si>
  <si>
    <t>Katelyn Greene</t>
  </si>
  <si>
    <t>3304 Yellowstar</t>
  </si>
  <si>
    <t>andrewdnapier@gmail.com</t>
  </si>
  <si>
    <t>Napier</t>
  </si>
  <si>
    <t>Andrew Napier</t>
  </si>
  <si>
    <t>14591 N 100th Way</t>
  </si>
  <si>
    <t>Scottsdale</t>
  </si>
  <si>
    <t>suzanne.gerschheimer@gmail.com</t>
  </si>
  <si>
    <t>Suzanne</t>
  </si>
  <si>
    <t>Gerschheimer</t>
  </si>
  <si>
    <t>Suzanne Gerschheimer</t>
  </si>
  <si>
    <t>Box 273</t>
  </si>
  <si>
    <t>Grunthal</t>
  </si>
  <si>
    <t>MB</t>
  </si>
  <si>
    <t>R0A 0R0</t>
  </si>
  <si>
    <t>Canada</t>
  </si>
  <si>
    <t>broeker.carileen16@gmail.com</t>
  </si>
  <si>
    <t>Carileen</t>
  </si>
  <si>
    <t>Broeker</t>
  </si>
  <si>
    <t>Carileen Broeker</t>
  </si>
  <si>
    <t>1874 Stollmeyer Rd.</t>
  </si>
  <si>
    <t>jmyardley@gmail.com</t>
  </si>
  <si>
    <t>Yardley</t>
  </si>
  <si>
    <t>James Yardley</t>
  </si>
  <si>
    <t>2409 Providence Hills Drive</t>
  </si>
  <si>
    <t>Matthews</t>
  </si>
  <si>
    <t>tippygirl10@gmail.com</t>
  </si>
  <si>
    <t>Tiffany</t>
  </si>
  <si>
    <t>Bergman</t>
  </si>
  <si>
    <t>Tiffany Bergman</t>
  </si>
  <si>
    <t>swallow st nw</t>
  </si>
  <si>
    <t>Coon Rapids</t>
  </si>
  <si>
    <t>alienecho@naver.com</t>
  </si>
  <si>
    <t>AREUM</t>
  </si>
  <si>
    <t>RYU</t>
  </si>
  <si>
    <t>AREUM RYU</t>
  </si>
  <si>
    <t>101dong 108ho Hanuri APT Yongamdong</t>
  </si>
  <si>
    <t>Chengjusi</t>
  </si>
  <si>
    <t>South Korea</t>
  </si>
  <si>
    <t>Korea, Republic of:</t>
  </si>
  <si>
    <t>t.slocomb@msn.com</t>
  </si>
  <si>
    <t>j.slocomb@msn.com</t>
  </si>
  <si>
    <t>Slocomb</t>
  </si>
  <si>
    <t>Jessica Slocomb</t>
  </si>
  <si>
    <t>819 Walnut. St.</t>
  </si>
  <si>
    <t>Windsor</t>
  </si>
  <si>
    <t>tomj@brooks-realty.com</t>
  </si>
  <si>
    <t>cbrooks927@yahoo.com</t>
  </si>
  <si>
    <t>Chessney</t>
  </si>
  <si>
    <t>Brooks</t>
  </si>
  <si>
    <t>Chessney Brooks</t>
  </si>
  <si>
    <t>Box 135</t>
  </si>
  <si>
    <t>stephenville</t>
  </si>
  <si>
    <t>sdadisman.cmalbums@gmail.com</t>
  </si>
  <si>
    <t>ksdadisman@students.nwc.edu</t>
  </si>
  <si>
    <t>Karissa</t>
  </si>
  <si>
    <t>Dadisman</t>
  </si>
  <si>
    <t>Karissa Dadisman</t>
  </si>
  <si>
    <t>1020  Wesley Dr.</t>
  </si>
  <si>
    <t>Maquoketa</t>
  </si>
  <si>
    <t>emily@lambsundries.com</t>
  </si>
  <si>
    <t>Lamb</t>
  </si>
  <si>
    <t>Emily Lamb</t>
  </si>
  <si>
    <t>1230 West High Point Lane</t>
  </si>
  <si>
    <t>chuebs@gmail.com</t>
  </si>
  <si>
    <t>huebner13@gmail.com</t>
  </si>
  <si>
    <t>Huebner</t>
  </si>
  <si>
    <t>Morgan Huebner</t>
  </si>
  <si>
    <t>17108 Toronto Avenue SE</t>
  </si>
  <si>
    <t>Spl4God@gmail.com</t>
  </si>
  <si>
    <t>spl4god@gmail.com</t>
  </si>
  <si>
    <t>Siera</t>
  </si>
  <si>
    <t>Lovett</t>
  </si>
  <si>
    <t>Siera Lovett</t>
  </si>
  <si>
    <t>P.O. Box 4562</t>
  </si>
  <si>
    <t>Lago Vista</t>
  </si>
  <si>
    <t>wild54@earthlink.net</t>
  </si>
  <si>
    <t>Jesse</t>
  </si>
  <si>
    <t>Hollen</t>
  </si>
  <si>
    <t>Jesse Hollen</t>
  </si>
  <si>
    <t>GreelyFamily@gmail.com</t>
  </si>
  <si>
    <t>Loganairsoftgreely@gmail.com</t>
  </si>
  <si>
    <t>Greely</t>
  </si>
  <si>
    <t>Logan Greely</t>
  </si>
  <si>
    <t>11033 Goodrich Circle</t>
  </si>
  <si>
    <t>annatraw@gmail.com</t>
  </si>
  <si>
    <t>trawsa@gmail.com</t>
  </si>
  <si>
    <t>Trawczynski</t>
  </si>
  <si>
    <t>Sarah Trawczynski</t>
  </si>
  <si>
    <t>10522 NE 152nd St.</t>
  </si>
  <si>
    <t>Bothell</t>
  </si>
  <si>
    <t>trawmatt@gmail.com</t>
  </si>
  <si>
    <t>Matthew Trawczynski</t>
  </si>
  <si>
    <t>parkerfamily9@yahoo.com</t>
  </si>
  <si>
    <t>m.deeparker@yahoo.com</t>
  </si>
  <si>
    <t>Meredith</t>
  </si>
  <si>
    <t>Meredith Parker</t>
  </si>
  <si>
    <t>3518 Stone Cliff Way</t>
  </si>
  <si>
    <t>Woodstock</t>
  </si>
  <si>
    <t>lkneal@live.com</t>
  </si>
  <si>
    <t>the-shieldmaiden@hotmail.com</t>
  </si>
  <si>
    <t>Mirriam</t>
  </si>
  <si>
    <t>Neal</t>
  </si>
  <si>
    <t>Mirriam Neal</t>
  </si>
  <si>
    <t>408 Scenic View Court</t>
  </si>
  <si>
    <t>Villa Rica</t>
  </si>
  <si>
    <t>riahn@live.com</t>
  </si>
  <si>
    <t>Marriah</t>
  </si>
  <si>
    <t>Marriah Neal</t>
  </si>
  <si>
    <t>Diana_Curti@baylor.edu</t>
  </si>
  <si>
    <t>Diana</t>
  </si>
  <si>
    <t>Curti</t>
  </si>
  <si>
    <t>Diana Curti</t>
  </si>
  <si>
    <t>1318 Kern Circle</t>
  </si>
  <si>
    <t>ostermann228@yahoo.com</t>
  </si>
  <si>
    <t>Bradley</t>
  </si>
  <si>
    <t>Ostermann</t>
  </si>
  <si>
    <t>Bradley Ostermann</t>
  </si>
  <si>
    <t>228 BelgiumTown Rd</t>
  </si>
  <si>
    <t>Norway</t>
  </si>
  <si>
    <t>andrew.dudney@gmail.com</t>
  </si>
  <si>
    <t>Dudney</t>
  </si>
  <si>
    <t>Andrew Dudney</t>
  </si>
  <si>
    <t>33 Silver Green, PO Box 5762</t>
  </si>
  <si>
    <t>Breckenridge</t>
  </si>
  <si>
    <t>catejeffrey1995@gmail.com</t>
  </si>
  <si>
    <t>Jeffrey</t>
  </si>
  <si>
    <t>Anna Jeffrey</t>
  </si>
  <si>
    <t>6115 Royal Crest</t>
  </si>
  <si>
    <t>kellyscows@gmail.com</t>
  </si>
  <si>
    <t>bdjam999@gmail.com</t>
  </si>
  <si>
    <t>Reeves</t>
  </si>
  <si>
    <t>Logan Reeves</t>
  </si>
  <si>
    <t>PO Box 1120</t>
  </si>
  <si>
    <t>Pelahatchie</t>
  </si>
  <si>
    <t>MS</t>
  </si>
  <si>
    <t>catherine.gilliland.ak@gmail.com</t>
  </si>
  <si>
    <t>clairescrochetedcrafts@gmail.com</t>
  </si>
  <si>
    <t>Claire</t>
  </si>
  <si>
    <t>Gilliland</t>
  </si>
  <si>
    <t>Claire Gilliland</t>
  </si>
  <si>
    <t>17913B Pioneer Drive</t>
  </si>
  <si>
    <t>Eagle River</t>
  </si>
  <si>
    <t>karenbullard@sbcglobal.net</t>
  </si>
  <si>
    <t>blythebullard@gmail.com</t>
  </si>
  <si>
    <t>Blythe</t>
  </si>
  <si>
    <t>Bullard</t>
  </si>
  <si>
    <t>Blythe Bullard</t>
  </si>
  <si>
    <t>3316 Arrowhead Drive</t>
  </si>
  <si>
    <t>thekochfamily1710@gmail.com</t>
  </si>
  <si>
    <t>tckoch@ymail.com</t>
  </si>
  <si>
    <t>taylor</t>
  </si>
  <si>
    <t>koch</t>
  </si>
  <si>
    <t>taylor koch</t>
  </si>
  <si>
    <t>1710 123rd st.</t>
  </si>
  <si>
    <t>burnsville</t>
  </si>
  <si>
    <t>tatebullard@gmail.com</t>
  </si>
  <si>
    <t>Tate</t>
  </si>
  <si>
    <t>Tate Bullard</t>
  </si>
  <si>
    <t>klassclown92@aol.com</t>
  </si>
  <si>
    <t>Rex</t>
  </si>
  <si>
    <t>Joshua Rex</t>
  </si>
  <si>
    <t>tuckbeth@gci.net</t>
  </si>
  <si>
    <t>trygve247@gmail.com</t>
  </si>
  <si>
    <t>Trygve</t>
  </si>
  <si>
    <t>Maakestad</t>
  </si>
  <si>
    <t>Trygve Maakestad</t>
  </si>
  <si>
    <t>17620 Pioneer Drive</t>
  </si>
  <si>
    <t>leighevans94@gmail.com</t>
  </si>
  <si>
    <t>Evans</t>
  </si>
  <si>
    <t>Grace Evans</t>
  </si>
  <si>
    <t>11516 Happy Valley</t>
  </si>
  <si>
    <t>Little Rock</t>
  </si>
  <si>
    <t>bruff@sybaritic.com</t>
  </si>
  <si>
    <t>Madeline</t>
  </si>
  <si>
    <t>Ruff</t>
  </si>
  <si>
    <t>Madeline Ruff</t>
  </si>
  <si>
    <t>4844 Aspen Dr</t>
  </si>
  <si>
    <t>Savage</t>
  </si>
  <si>
    <t>yaegerhorne64@gmail.com</t>
  </si>
  <si>
    <t>Nathanael</t>
  </si>
  <si>
    <t>Horne</t>
  </si>
  <si>
    <t>Nathanael Horne</t>
  </si>
  <si>
    <t>508 Patricia Ave</t>
  </si>
  <si>
    <t>Fruitland Park</t>
  </si>
  <si>
    <t>Rknowlton@edgewoodcommunity.org</t>
  </si>
  <si>
    <t>Knowlton</t>
  </si>
  <si>
    <t>Josh Knowlton</t>
  </si>
  <si>
    <t>620 E. Brown St.</t>
  </si>
  <si>
    <t>Waupun</t>
  </si>
  <si>
    <t>hannah.r.fulton@gmail.com</t>
  </si>
  <si>
    <t>Fulton</t>
  </si>
  <si>
    <t>Hannah Fulton</t>
  </si>
  <si>
    <t>4517 Golfview Dr.</t>
  </si>
  <si>
    <t>Shellhound11@gmail.com</t>
  </si>
  <si>
    <t>Stephen</t>
  </si>
  <si>
    <t>Steininger</t>
  </si>
  <si>
    <t>Stephen Steininger</t>
  </si>
  <si>
    <t>5125 Brady Rd.</t>
  </si>
  <si>
    <t>mjohnandsarah@gmail.com</t>
  </si>
  <si>
    <t>dancingbanana3@gmail.com</t>
  </si>
  <si>
    <t>McCully</t>
  </si>
  <si>
    <t>Abigail McCully</t>
  </si>
  <si>
    <t>403 Milwaukee St</t>
  </si>
  <si>
    <t>Clinton</t>
  </si>
  <si>
    <t>jonathan070394j@gmail.com</t>
  </si>
  <si>
    <t>Jee</t>
  </si>
  <si>
    <t>Jonathan Jee</t>
  </si>
  <si>
    <t>1287 Clearwater Drive</t>
  </si>
  <si>
    <t>Mandevile</t>
  </si>
  <si>
    <t>connieky@windstream.net</t>
  </si>
  <si>
    <t>kellyky@windstream.net</t>
  </si>
  <si>
    <t>Kelly</t>
  </si>
  <si>
    <t>Kelly Montgomery</t>
  </si>
  <si>
    <t>800 Celia Lane</t>
  </si>
  <si>
    <t>jusatzler@yahoo.com</t>
  </si>
  <si>
    <t>Julia</t>
  </si>
  <si>
    <t>Satzler</t>
  </si>
  <si>
    <t>Julia Satzler</t>
  </si>
  <si>
    <t>6847 Anderson Ave.</t>
  </si>
  <si>
    <t>Manhattan</t>
  </si>
  <si>
    <t>studiovoce@sbcglobal.net</t>
  </si>
  <si>
    <t>4Christian@live.com</t>
  </si>
  <si>
    <t>Christian</t>
  </si>
  <si>
    <t>Gamble</t>
  </si>
  <si>
    <t>Christian Gamble</t>
  </si>
  <si>
    <t>706 E. 125th Street</t>
  </si>
  <si>
    <t>Kansas City</t>
  </si>
  <si>
    <t>cowboykenp-public@yahoo.com</t>
  </si>
  <si>
    <t>djperano@gmail.com</t>
  </si>
  <si>
    <t>Perano</t>
  </si>
  <si>
    <t>Daniel Perano</t>
  </si>
  <si>
    <t>11373 Raggio Road</t>
  </si>
  <si>
    <t>agape9511@hotmail.com</t>
  </si>
  <si>
    <t>heemean</t>
  </si>
  <si>
    <t>kim</t>
  </si>
  <si>
    <t>heemean kim</t>
  </si>
  <si>
    <t>17208 toronto ave se</t>
  </si>
  <si>
    <t>prior lake</t>
  </si>
  <si>
    <t>jn2012@hotmail.com</t>
  </si>
  <si>
    <t>Nesslar</t>
  </si>
  <si>
    <t>Jennifer Nesslar</t>
  </si>
  <si>
    <t>10888 Harborside Drive</t>
  </si>
  <si>
    <t>ionutkuhls@hotmail.com</t>
  </si>
  <si>
    <t>Ionut</t>
  </si>
  <si>
    <t>Kuhls</t>
  </si>
  <si>
    <t>Ionut Kuhls</t>
  </si>
  <si>
    <t>N7585 Deer Path Rd</t>
  </si>
  <si>
    <t>lamplighthill@juno.com</t>
  </si>
  <si>
    <t>jpshurricane@gmail.com</t>
  </si>
  <si>
    <t>Jacob Smith</t>
  </si>
  <si>
    <t>15721 Graff Dr.</t>
  </si>
  <si>
    <t>Jamestown</t>
  </si>
  <si>
    <t>lize_blignaut@yahoo.com</t>
  </si>
  <si>
    <t>annekeblignaut@hotmail.com</t>
  </si>
  <si>
    <t>Anneke</t>
  </si>
  <si>
    <t>Blignaut</t>
  </si>
  <si>
    <t>Anneke Blignaut</t>
  </si>
  <si>
    <t>4122 Windcrest Dr</t>
  </si>
  <si>
    <t>Wesley Chapel</t>
  </si>
  <si>
    <t>bkwallace@mchsi.com</t>
  </si>
  <si>
    <t>Conrad</t>
  </si>
  <si>
    <t>Wallace</t>
  </si>
  <si>
    <t>Conrad Wallace</t>
  </si>
  <si>
    <t>14521 Joppa Ave. So.</t>
  </si>
  <si>
    <t>mrschmitt@yahoo.com</t>
  </si>
  <si>
    <t>mrdillens@yahoo.com</t>
  </si>
  <si>
    <t>Dillen</t>
  </si>
  <si>
    <t>Dillen Schmitt</t>
  </si>
  <si>
    <t>19455 Misty Morning Drive</t>
  </si>
  <si>
    <t>moorecrewjapans@yahoo.com</t>
  </si>
  <si>
    <t>stpmoore13@gmail.com</t>
  </si>
  <si>
    <t>Moore</t>
  </si>
  <si>
    <t>Stephen Moore</t>
  </si>
  <si>
    <t>2820 moonstone view</t>
  </si>
  <si>
    <t>colorado springs</t>
  </si>
  <si>
    <t>redeemedrebel555@gmail.com</t>
  </si>
  <si>
    <t>Chen</t>
  </si>
  <si>
    <t>Timothy Chen</t>
  </si>
  <si>
    <t>4208 Ulster Rd</t>
  </si>
  <si>
    <t>Beltsville</t>
  </si>
  <si>
    <t>MD</t>
  </si>
  <si>
    <t>aaronjensen@live.com</t>
  </si>
  <si>
    <t>Jensen</t>
  </si>
  <si>
    <t>Aaron Jensen</t>
  </si>
  <si>
    <t>1071 11th street</t>
  </si>
  <si>
    <t>tsholt@charter.net</t>
  </si>
  <si>
    <t>Timothysholtjr@gmail.com</t>
  </si>
  <si>
    <t>Holt, Jr</t>
  </si>
  <si>
    <t>Timothy Holt, Jr</t>
  </si>
  <si>
    <t>230  League Road</t>
  </si>
  <si>
    <t>Simpsonville</t>
  </si>
  <si>
    <t>hondeleven@yahoo.com</t>
  </si>
  <si>
    <t>Carlos</t>
  </si>
  <si>
    <t>Schallenmuller</t>
  </si>
  <si>
    <t>Carlos Schallenmuller</t>
  </si>
  <si>
    <t>7148 S. Grant St.</t>
  </si>
  <si>
    <t>brett.balley@q.com</t>
  </si>
  <si>
    <t>Shayna</t>
  </si>
  <si>
    <t>Balley</t>
  </si>
  <si>
    <t>Shayna Balley</t>
  </si>
  <si>
    <t>5385 South Gray Street</t>
  </si>
  <si>
    <t>Littleton</t>
  </si>
  <si>
    <t>eduell307@yahoo.com</t>
  </si>
  <si>
    <t>Elisa</t>
  </si>
  <si>
    <t>Duell</t>
  </si>
  <si>
    <t>Elisa Duell</t>
  </si>
  <si>
    <t>718 Apache Drive</t>
  </si>
  <si>
    <t>Alva</t>
  </si>
  <si>
    <t>mrsmckib@gmail.com</t>
  </si>
  <si>
    <t>mckibbenabby@yahoo.com</t>
  </si>
  <si>
    <t>McKibben</t>
  </si>
  <si>
    <t>Abigail McKibben</t>
  </si>
  <si>
    <t>1185 San Marcos</t>
  </si>
  <si>
    <t>Starkville</t>
  </si>
  <si>
    <t>jaledoux@yahoo.com</t>
  </si>
  <si>
    <t>morganaineledoux@gmail.com</t>
  </si>
  <si>
    <t>LeDoux</t>
  </si>
  <si>
    <t>Morgan LeDoux</t>
  </si>
  <si>
    <t>4125 Hwy 112</t>
  </si>
  <si>
    <t>DeRidder</t>
  </si>
  <si>
    <t>dokikennedy@aol.com</t>
  </si>
  <si>
    <t>Julia Kennedy</t>
  </si>
  <si>
    <t>8401 Saratoga</t>
  </si>
  <si>
    <t>jdstar@charter.net</t>
  </si>
  <si>
    <t>jdhillbomber@gmail.com</t>
  </si>
  <si>
    <t>John Watson</t>
  </si>
  <si>
    <t>403 Crest Cir N</t>
  </si>
  <si>
    <t>Jasper</t>
  </si>
  <si>
    <t>williamslaurie@bellsouth.net</t>
  </si>
  <si>
    <t>haileyannewilliams@gmail.com</t>
  </si>
  <si>
    <t>Hailey</t>
  </si>
  <si>
    <t>Hailey Williams</t>
  </si>
  <si>
    <t>23099 Dentville Rd</t>
  </si>
  <si>
    <t>Hazlehurst</t>
  </si>
  <si>
    <t>LLauraLS@yahoo.com</t>
  </si>
  <si>
    <t>Abbysheffield94@yahoo.com</t>
  </si>
  <si>
    <t>Sheffield</t>
  </si>
  <si>
    <t>Abigail Sheffield</t>
  </si>
  <si>
    <t>16192 E Phillips Drive</t>
  </si>
  <si>
    <t>jenmurphy929@gmail.com</t>
  </si>
  <si>
    <t>Jenna</t>
  </si>
  <si>
    <t>Murphy</t>
  </si>
  <si>
    <t>Jenna Murphy</t>
  </si>
  <si>
    <t>9193 Markleys Grove Blvd.</t>
  </si>
  <si>
    <t>Summerville</t>
  </si>
  <si>
    <t>tomlin139@gmail.com</t>
  </si>
  <si>
    <t>jj.bama6@gmail.com</t>
  </si>
  <si>
    <t>John James</t>
  </si>
  <si>
    <t>Tomlin</t>
  </si>
  <si>
    <t>John James Tomlin</t>
  </si>
  <si>
    <t>801 del rio pike</t>
  </si>
  <si>
    <t>N5</t>
  </si>
  <si>
    <t>bobmenges@bellsouth.net</t>
  </si>
  <si>
    <t>emmie24@bellsouth.net</t>
  </si>
  <si>
    <t>Menges</t>
  </si>
  <si>
    <t>Emily Menges</t>
  </si>
  <si>
    <t>11 Regency Oaks Drive</t>
  </si>
  <si>
    <t>bekahmenges@gmail.com</t>
  </si>
  <si>
    <t>Rebekah</t>
  </si>
  <si>
    <t>Rebekah Menges</t>
  </si>
  <si>
    <t>fwendland@gmail.com</t>
  </si>
  <si>
    <t>phoenixwendland5@gmail.com</t>
  </si>
  <si>
    <t>Wendland</t>
  </si>
  <si>
    <t>Isaac Wendland</t>
  </si>
  <si>
    <t>6313 homestead Rd</t>
  </si>
  <si>
    <t>Huntsville</t>
  </si>
  <si>
    <t>joel0712@neb.rr.com</t>
  </si>
  <si>
    <t>Mohrmann</t>
  </si>
  <si>
    <t>Joel Mohrmann</t>
  </si>
  <si>
    <t>700 Smoky Hill Rd.</t>
  </si>
  <si>
    <t>julia.beatty16@gmail.com</t>
  </si>
  <si>
    <t>Julia-Grace</t>
  </si>
  <si>
    <t>Beatty</t>
  </si>
  <si>
    <t>Julia-Grace Beatty</t>
  </si>
  <si>
    <t>1119 S. Redbud Dr.</t>
  </si>
  <si>
    <t>laurynvandenend@gmail.com</t>
  </si>
  <si>
    <t>Lauryn</t>
  </si>
  <si>
    <t>Van Denend</t>
  </si>
  <si>
    <t>Lauryn Van Denend</t>
  </si>
  <si>
    <t>45705 Stagecoach Rd</t>
  </si>
  <si>
    <t>opzepp0202@gmail.com</t>
  </si>
  <si>
    <t>Zepp</t>
  </si>
  <si>
    <t>Olivia Zepp</t>
  </si>
  <si>
    <t>301 NE 13th St.</t>
  </si>
  <si>
    <t>fayeleona@gmail.com</t>
  </si>
  <si>
    <t>briannafwestover@gmail.com</t>
  </si>
  <si>
    <t>Brianna</t>
  </si>
  <si>
    <t>Westover</t>
  </si>
  <si>
    <t>Brianna Westover</t>
  </si>
  <si>
    <t>216 Church</t>
  </si>
  <si>
    <t>Catasauqua</t>
  </si>
  <si>
    <t>horswell@suddenlink.net</t>
  </si>
  <si>
    <t>Brent</t>
  </si>
  <si>
    <t>Horswell</t>
  </si>
  <si>
    <t>Brent Horswell</t>
  </si>
  <si>
    <t>1036 Quail Pointe Drive</t>
  </si>
  <si>
    <t>Charleston</t>
  </si>
  <si>
    <t>butlerevents@sbcglobal.net</t>
  </si>
  <si>
    <t>cms67@hotmail.com</t>
  </si>
  <si>
    <t>Lindsey</t>
  </si>
  <si>
    <t>Stout</t>
  </si>
  <si>
    <t>Lindsey Stout</t>
  </si>
  <si>
    <t>1839 N. Columbine</t>
  </si>
  <si>
    <t>Andover</t>
  </si>
  <si>
    <t>claireverdoorn@gmail.com</t>
  </si>
  <si>
    <t>Verdoorn</t>
  </si>
  <si>
    <t>Claire Verdoorn</t>
  </si>
  <si>
    <t>4018 36th Pl</t>
  </si>
  <si>
    <t>Des Moines</t>
  </si>
  <si>
    <t>steve@milvain.com</t>
  </si>
  <si>
    <t>karina@milvain.com</t>
  </si>
  <si>
    <t>Karina</t>
  </si>
  <si>
    <t>Milvain</t>
  </si>
  <si>
    <t>Karina Milvain</t>
  </si>
  <si>
    <t>5148 Splitrail Ct</t>
  </si>
  <si>
    <t>Sallyrubottom@aol.com</t>
  </si>
  <si>
    <t>Rubottom</t>
  </si>
  <si>
    <t>Timothy Rubottom</t>
  </si>
  <si>
    <t>5050 Velda Dairy Road</t>
  </si>
  <si>
    <t>Tallahassee</t>
  </si>
  <si>
    <t>wernerott@sympatico.ca</t>
  </si>
  <si>
    <t>neilott@bell.net</t>
  </si>
  <si>
    <t>Neil</t>
  </si>
  <si>
    <t>Ott</t>
  </si>
  <si>
    <t>Neil Ott</t>
  </si>
  <si>
    <t>13 Hillborne Crt.</t>
  </si>
  <si>
    <t>Uxbridge</t>
  </si>
  <si>
    <t>Ontario</t>
  </si>
  <si>
    <t>L9P1R4</t>
  </si>
  <si>
    <t>luise.mctaggart@gmail.com</t>
  </si>
  <si>
    <t>Jaime</t>
  </si>
  <si>
    <t>McTaggart</t>
  </si>
  <si>
    <t>Jaime McTaggart</t>
  </si>
  <si>
    <t>39 Carmody Lane</t>
  </si>
  <si>
    <t>ON</t>
  </si>
  <si>
    <t>L9P 1A5</t>
  </si>
  <si>
    <t>dslkem@gmail.com</t>
  </si>
  <si>
    <t>emylee.vandenend@gmail.com</t>
  </si>
  <si>
    <t>Emylee</t>
  </si>
  <si>
    <t>Emylee Van Denend</t>
  </si>
  <si>
    <t>45705 Stagecoach Rd.</t>
  </si>
  <si>
    <t>theprincessdeb@gmail.com</t>
  </si>
  <si>
    <t>justinjay93@gmail.com</t>
  </si>
  <si>
    <t>Justin</t>
  </si>
  <si>
    <t>Pittman</t>
  </si>
  <si>
    <t>Justin Pittman</t>
  </si>
  <si>
    <t>1021 McLendon Dr.</t>
  </si>
  <si>
    <t>terbelcher@msn.com</t>
  </si>
  <si>
    <t>shaileykay@msn.com</t>
  </si>
  <si>
    <t>Shailey</t>
  </si>
  <si>
    <t>Belcher</t>
  </si>
  <si>
    <t>Shailey Belcher</t>
  </si>
  <si>
    <t>9040 Clapham Ct</t>
  </si>
  <si>
    <t>Klintaustin21@gmail.com</t>
  </si>
  <si>
    <t>Klint</t>
  </si>
  <si>
    <t>Keating</t>
  </si>
  <si>
    <t>Klint Keating</t>
  </si>
  <si>
    <t>5604 Flagstick Drive</t>
  </si>
  <si>
    <t>Granbury</t>
  </si>
  <si>
    <t>jeres@q.com</t>
  </si>
  <si>
    <t>petersheehan03@gmail.com</t>
  </si>
  <si>
    <t>Sheehan</t>
  </si>
  <si>
    <t>Peter Sheehan</t>
  </si>
  <si>
    <t>5207 W 113 Street</t>
  </si>
  <si>
    <t>thecarsons@alaska.com</t>
  </si>
  <si>
    <t>Carson</t>
  </si>
  <si>
    <t>Daniel Carson</t>
  </si>
  <si>
    <t>12830 Trent Circle</t>
  </si>
  <si>
    <t>smos32309@yahoo.com</t>
  </si>
  <si>
    <t>savanaosterbye@gmail.com</t>
  </si>
  <si>
    <t>Savana</t>
  </si>
  <si>
    <t>Osterbye</t>
  </si>
  <si>
    <t>Savana Osterbye</t>
  </si>
  <si>
    <t>4987 Glen Castle Dr</t>
  </si>
  <si>
    <t>knrlwhite@hotmail.com</t>
  </si>
  <si>
    <t>White</t>
  </si>
  <si>
    <t>Laura White</t>
  </si>
  <si>
    <t>5553 Cottonwood Circle</t>
  </si>
  <si>
    <t>West Des Moines</t>
  </si>
  <si>
    <t>rhurlbut@dalat.org</t>
  </si>
  <si>
    <t>bhurlbut@student.dalat.org</t>
  </si>
  <si>
    <t>Hurlbut</t>
  </si>
  <si>
    <t>Brittany Hurlbut</t>
  </si>
  <si>
    <t>25 Lorong Sungai Kelian</t>
  </si>
  <si>
    <t>Hillview Garden</t>
  </si>
  <si>
    <t>Tanjung Bungah</t>
  </si>
  <si>
    <t>Penang</t>
  </si>
  <si>
    <t>Malaysia</t>
  </si>
  <si>
    <t>jsblackmon@sbcglobal.net</t>
  </si>
  <si>
    <t>blonde_tomboy@sbcglobal.net</t>
  </si>
  <si>
    <t>Blackmon</t>
  </si>
  <si>
    <t>Emily Blackmon</t>
  </si>
  <si>
    <t>3906 Brookfield Drive</t>
  </si>
  <si>
    <t>jeanninefloyd@att.net</t>
  </si>
  <si>
    <t>gmaniac@att.net</t>
  </si>
  <si>
    <t>Garrett</t>
  </si>
  <si>
    <t>Floyd</t>
  </si>
  <si>
    <t>Garrett Floyd</t>
  </si>
  <si>
    <t>427 Meramec View Dr</t>
  </si>
  <si>
    <t>Eureka</t>
  </si>
  <si>
    <t>elisejeannine@gmail.com</t>
  </si>
  <si>
    <t>Elise</t>
  </si>
  <si>
    <t>Elise Floyd</t>
  </si>
  <si>
    <t>3511 Murfreesboro Rd,</t>
  </si>
  <si>
    <t>Readyville</t>
  </si>
  <si>
    <t>Lbarzler@yahoo.com</t>
  </si>
  <si>
    <t>Abarzler@yahoo.com</t>
  </si>
  <si>
    <t>Barzler</t>
  </si>
  <si>
    <t>Andrew Barzler</t>
  </si>
  <si>
    <t>4173 Douglass Way</t>
  </si>
  <si>
    <t>USAF Academy</t>
  </si>
  <si>
    <t>hosanna.frye@gmail.com</t>
  </si>
  <si>
    <t>Hosanna</t>
  </si>
  <si>
    <t>Frye</t>
  </si>
  <si>
    <t>Hosanna Frye</t>
  </si>
  <si>
    <t>19804 52nd Pl W</t>
  </si>
  <si>
    <t>familyrx@ymail.com</t>
  </si>
  <si>
    <t>Bellah</t>
  </si>
  <si>
    <t>Hosanna Bellah</t>
  </si>
  <si>
    <t>917 fox lane</t>
  </si>
  <si>
    <t>azle</t>
  </si>
  <si>
    <t>brookrakow@hotmail.com</t>
  </si>
  <si>
    <t>Brook</t>
  </si>
  <si>
    <t>Rakow</t>
  </si>
  <si>
    <t>Brook Rakow</t>
  </si>
  <si>
    <t>1901 Old Cheney Rd</t>
  </si>
  <si>
    <t>Pleasant Dale</t>
  </si>
  <si>
    <t>GOD_RULES@comcast.net</t>
  </si>
  <si>
    <t>Brill</t>
  </si>
  <si>
    <t>Seth Brill</t>
  </si>
  <si>
    <t>18812 E. Lasalle Place</t>
  </si>
  <si>
    <t>mikekiiskila@aol.com</t>
  </si>
  <si>
    <t>Kiiskila</t>
  </si>
  <si>
    <t>Hannah Kiiskila</t>
  </si>
  <si>
    <t>3910 Heritage Ridge Dr.</t>
  </si>
  <si>
    <t>Wisconsin Rapids</t>
  </si>
  <si>
    <t>lofgrenma@yahoo.com</t>
  </si>
  <si>
    <t>fruitietootie33@gmail.com</t>
  </si>
  <si>
    <t>Bethany</t>
  </si>
  <si>
    <t>Lofgren</t>
  </si>
  <si>
    <t>Bethany Lofgren</t>
  </si>
  <si>
    <t>100 E Sycamore</t>
  </si>
  <si>
    <t>Haviland</t>
  </si>
  <si>
    <t>jbanko@trinitasfinancial.com</t>
  </si>
  <si>
    <t>j5banko1@gmail.com</t>
  </si>
  <si>
    <t>Banko</t>
  </si>
  <si>
    <t>John Banko</t>
  </si>
  <si>
    <t>10118 Quarry Hill Place</t>
  </si>
  <si>
    <t>cherischeffel@msn.com</t>
  </si>
  <si>
    <t>baseball_lefty11@hotmail.com</t>
  </si>
  <si>
    <t>Scheffel</t>
  </si>
  <si>
    <t>Peter Scheffel</t>
  </si>
  <si>
    <t>9791 Summit Ridge Place</t>
  </si>
  <si>
    <t>bnanavywife@hotmail.com</t>
  </si>
  <si>
    <t>kaylynneberens@hotmail.com</t>
  </si>
  <si>
    <t>Kaylynne</t>
  </si>
  <si>
    <t>Berens</t>
  </si>
  <si>
    <t>Kaylynne Berens</t>
  </si>
  <si>
    <t>617 Hitching Post Dr</t>
  </si>
  <si>
    <t>Brandon</t>
  </si>
  <si>
    <t>tina.stewart@cps.k12.ar.us</t>
  </si>
  <si>
    <t>mstew455@ozarks.edu</t>
  </si>
  <si>
    <t>Megan Stewart</t>
  </si>
  <si>
    <t>4625 Shekinah Ln</t>
  </si>
  <si>
    <t>Springdale</t>
  </si>
  <si>
    <t>andyme95@gmail.com</t>
  </si>
  <si>
    <t>Eash</t>
  </si>
  <si>
    <t>Andrew Eash</t>
  </si>
  <si>
    <t>2661 Fuller Rd.</t>
  </si>
  <si>
    <t>kn1994@hotmail.com</t>
  </si>
  <si>
    <t>Kristin</t>
  </si>
  <si>
    <t>Kristin Nesslar</t>
  </si>
  <si>
    <t>dawnhome100@gamil.com</t>
  </si>
  <si>
    <t>lukecsmith1997@gmail.com</t>
  </si>
  <si>
    <t>Luke</t>
  </si>
  <si>
    <t>Luke Smith</t>
  </si>
  <si>
    <t>540 Laurelwood Drive</t>
  </si>
  <si>
    <t>rieldeal41@gmail.com</t>
  </si>
  <si>
    <t>socalcallie@gmail.com</t>
  </si>
  <si>
    <t>Callie</t>
  </si>
  <si>
    <t>Riel</t>
  </si>
  <si>
    <t>Callie Riel</t>
  </si>
  <si>
    <t>24922 Hollow Circle</t>
  </si>
  <si>
    <t>Laguna Niguel</t>
  </si>
  <si>
    <t>jill.lane@live.com</t>
  </si>
  <si>
    <t>Jill</t>
  </si>
  <si>
    <t>Adams</t>
  </si>
  <si>
    <t>Jill Adams</t>
  </si>
  <si>
    <t>2 North Meadow Lane</t>
  </si>
  <si>
    <t>Frewsburg</t>
  </si>
  <si>
    <t>kaila@lindseyhome.com</t>
  </si>
  <si>
    <t>Kaila</t>
  </si>
  <si>
    <t>Kaila Lindsey</t>
  </si>
  <si>
    <t>1218 Garden Brk</t>
  </si>
  <si>
    <t>Sugar Land</t>
  </si>
  <si>
    <t>michaeljthompson@cox.net</t>
  </si>
  <si>
    <t>Michael Thompson</t>
  </si>
  <si>
    <t>32181 Via Los Coyotes</t>
  </si>
  <si>
    <t>San Juan Capistrano</t>
  </si>
  <si>
    <t>phoebe_bermudez@bellsouth.net</t>
  </si>
  <si>
    <t>Phoebe</t>
  </si>
  <si>
    <t>Bermudez</t>
  </si>
  <si>
    <t>Phoebe Bermudez</t>
  </si>
  <si>
    <t>439 Plantain Terrace</t>
  </si>
  <si>
    <t>Peachtree City</t>
  </si>
  <si>
    <t>8caucutt@prodigy.net</t>
  </si>
  <si>
    <t>calebcaucutt@gmail.com</t>
  </si>
  <si>
    <t>Caucutt</t>
  </si>
  <si>
    <t>Caleb Caucutt</t>
  </si>
  <si>
    <t>4840 Alcyn Drive</t>
  </si>
  <si>
    <t>Racine</t>
  </si>
  <si>
    <t>martysuem@verizon.net</t>
  </si>
  <si>
    <t>petrinas@juno.com</t>
  </si>
  <si>
    <t>Petra</t>
  </si>
  <si>
    <t>Mick</t>
  </si>
  <si>
    <t>Petra Mick</t>
  </si>
  <si>
    <t>4702 BAY CREST DRIVE</t>
  </si>
  <si>
    <t>TAMPA</t>
  </si>
  <si>
    <t>shel.streed@yahoo.com</t>
  </si>
  <si>
    <t>ax4545@hotmail.com</t>
  </si>
  <si>
    <t>Dale</t>
  </si>
  <si>
    <t>Alex Dale</t>
  </si>
  <si>
    <t>18500 SW 132nd AVE</t>
  </si>
  <si>
    <t>Miami</t>
  </si>
  <si>
    <t>momlangley@gmail.com</t>
  </si>
  <si>
    <t>jl4fhandl@gmail.com</t>
  </si>
  <si>
    <t>Langley</t>
  </si>
  <si>
    <t>Justin Langley</t>
  </si>
  <si>
    <t>3111 Bethel Blvd</t>
  </si>
  <si>
    <t>Zion</t>
  </si>
  <si>
    <t>urreamatthew@gmail.com</t>
  </si>
  <si>
    <t>urreamatthew@yahoo.com</t>
  </si>
  <si>
    <t>Urrea</t>
  </si>
  <si>
    <t>Matthew Urrea</t>
  </si>
  <si>
    <t>11831lyndora street</t>
  </si>
  <si>
    <t>norwalk</t>
  </si>
  <si>
    <t>crshuntington@gmail.com</t>
  </si>
  <si>
    <t>samuelhuntington94@yahoo.com</t>
  </si>
  <si>
    <t>Huntington</t>
  </si>
  <si>
    <t>Samuel Huntington</t>
  </si>
  <si>
    <t>8600 E Hidden Valley Rd.</t>
  </si>
  <si>
    <t>aturner533@yahoo.com</t>
  </si>
  <si>
    <t>turner.adam71@yahoo.com</t>
  </si>
  <si>
    <t>Turner</t>
  </si>
  <si>
    <t>Adam Turner</t>
  </si>
  <si>
    <t>711 Belmont St.</t>
  </si>
  <si>
    <t>Stamps</t>
  </si>
  <si>
    <t>beccaslocum@reagan.com</t>
  </si>
  <si>
    <t>Paulislocum@gmail.com</t>
  </si>
  <si>
    <t>Paulina</t>
  </si>
  <si>
    <t>Slocum</t>
  </si>
  <si>
    <t>Paulina Slocum</t>
  </si>
  <si>
    <t>1463 Sunset Ridge Road</t>
  </si>
  <si>
    <t>jprahlow@sbmf.org</t>
  </si>
  <si>
    <t>nprahlow@yahoo.com</t>
  </si>
  <si>
    <t>Noah</t>
  </si>
  <si>
    <t>Prahlow</t>
  </si>
  <si>
    <t>Noah Prahlow</t>
  </si>
  <si>
    <t>1212 Galien-Buchanan Rd</t>
  </si>
  <si>
    <t>Galien</t>
  </si>
  <si>
    <t>hagen5family@aol.com</t>
  </si>
  <si>
    <t>Samuelsamson13@aol.com</t>
  </si>
  <si>
    <t>Sam</t>
  </si>
  <si>
    <t>Hagen</t>
  </si>
  <si>
    <t>Sam Hagen</t>
  </si>
  <si>
    <t>20685 Lynn Dr</t>
  </si>
  <si>
    <t>hollybearden@hotmail.com</t>
  </si>
  <si>
    <t>HollyBearden@hotmail.com</t>
  </si>
  <si>
    <t>Bearden</t>
  </si>
  <si>
    <t>Bonnie Bearden</t>
  </si>
  <si>
    <t>4403 86th</t>
  </si>
  <si>
    <t>Levi</t>
  </si>
  <si>
    <t>Levi Bailey</t>
  </si>
  <si>
    <t>tjelinski1@frontiernet.net</t>
  </si>
  <si>
    <t>thetalker@frontiernet.net</t>
  </si>
  <si>
    <t>Mikaela</t>
  </si>
  <si>
    <t>Jelinski</t>
  </si>
  <si>
    <t>Mikaela Jelinski</t>
  </si>
  <si>
    <t>17791 Hollybrook Trail</t>
  </si>
  <si>
    <t>Lakeville</t>
  </si>
  <si>
    <t>thave@bellsouth.net</t>
  </si>
  <si>
    <t>Rudolph</t>
  </si>
  <si>
    <t>Havelka</t>
  </si>
  <si>
    <t>Rudolph Havelka</t>
  </si>
  <si>
    <t>850 NW 3rd Ave</t>
  </si>
  <si>
    <t>Boca Raton</t>
  </si>
  <si>
    <t>afmc4045@yahoo.com</t>
  </si>
  <si>
    <t>Farr</t>
  </si>
  <si>
    <t>John Farr</t>
  </si>
  <si>
    <t>3945 Geneva Place</t>
  </si>
  <si>
    <t>13JWebb@spirit-lake.k12.ia.us</t>
  </si>
  <si>
    <t>Webb</t>
  </si>
  <si>
    <t>Jaime Webb</t>
  </si>
  <si>
    <t>10168 240th Ave.</t>
  </si>
  <si>
    <t>Spirit Lake</t>
  </si>
  <si>
    <t>kfausett@elp.rr.com</t>
  </si>
  <si>
    <t>missyfausett95@gmail.com</t>
  </si>
  <si>
    <t>Fausett</t>
  </si>
  <si>
    <t>Marissa Fausett</t>
  </si>
  <si>
    <t>221 E. Cloud Song Dr.</t>
  </si>
  <si>
    <t>Santa Teresa</t>
  </si>
  <si>
    <t>Michaeldiana_2000@yahoo.com</t>
  </si>
  <si>
    <t>Jdwill95@gmail.com</t>
  </si>
  <si>
    <t>Jonathan Williams</t>
  </si>
  <si>
    <t>27731 rainbow circle</t>
  </si>
  <si>
    <t>Lathrup village</t>
  </si>
  <si>
    <t>Alanhull@sbcglobal.net</t>
  </si>
  <si>
    <t>tuckfree@yahoo.com</t>
  </si>
  <si>
    <t>Tucker</t>
  </si>
  <si>
    <t>Freeland</t>
  </si>
  <si>
    <t>Tucker Freeland</t>
  </si>
  <si>
    <t>1710 5th Ave</t>
  </si>
  <si>
    <t>as.estrada@yahoo.com</t>
  </si>
  <si>
    <t>Aleydis</t>
  </si>
  <si>
    <t>Estrada</t>
  </si>
  <si>
    <t>Aleydis Estrada</t>
  </si>
  <si>
    <t>2424 N. 114th Lane</t>
  </si>
  <si>
    <t>Avondale</t>
  </si>
  <si>
    <t>Chloe</t>
  </si>
  <si>
    <t>Chloe Bermudez</t>
  </si>
  <si>
    <t>alexlchan@verizon.net</t>
  </si>
  <si>
    <t>Christine</t>
  </si>
  <si>
    <t>Chan</t>
  </si>
  <si>
    <t>Christine Chan</t>
  </si>
  <si>
    <t>ejgray@juno.com</t>
  </si>
  <si>
    <t>katie.booksforever@gmail.com</t>
  </si>
  <si>
    <t>Kathryn</t>
  </si>
  <si>
    <t>Kathryn Gray</t>
  </si>
  <si>
    <t>930 Neon Forest Circle</t>
  </si>
  <si>
    <t>Longmont</t>
  </si>
  <si>
    <t>hungryzach@gmail.com</t>
  </si>
  <si>
    <t>Shingler</t>
  </si>
  <si>
    <t>Zachary Shingler</t>
  </si>
  <si>
    <t>5257 W. Frier Dr.</t>
  </si>
  <si>
    <t>joshr_nerat@hotmail.com</t>
  </si>
  <si>
    <t>Nerat</t>
  </si>
  <si>
    <t>Joshua Nerat</t>
  </si>
  <si>
    <t>W6615 Number 11.5 Road</t>
  </si>
  <si>
    <t>donaldson@mcg.net</t>
  </si>
  <si>
    <t>donal123@crk.umn.edu</t>
  </si>
  <si>
    <t>Donaldson</t>
  </si>
  <si>
    <t>John Donaldson</t>
  </si>
  <si>
    <t>18790 Magenta Bay</t>
  </si>
  <si>
    <t>jagood25@hotmail.com</t>
  </si>
  <si>
    <t>Jahaziel</t>
  </si>
  <si>
    <t>Good</t>
  </si>
  <si>
    <t>Jahaziel Good</t>
  </si>
  <si>
    <t>5775 E. 100 N.</t>
  </si>
  <si>
    <t>Knox</t>
  </si>
  <si>
    <t>sjscountrygirl@gmail.com</t>
  </si>
  <si>
    <t>samantha</t>
  </si>
  <si>
    <t>sikkenga</t>
  </si>
  <si>
    <t>samantha sikkenga</t>
  </si>
  <si>
    <t>9691 Sikkenga Rd</t>
  </si>
  <si>
    <t>Montague</t>
  </si>
  <si>
    <t>dywans22@gmail.com</t>
  </si>
  <si>
    <t>Sonya</t>
  </si>
  <si>
    <t>Dywan</t>
  </si>
  <si>
    <t>Sonya Dywan</t>
  </si>
  <si>
    <t>3350 S. Garfield Ave.</t>
  </si>
  <si>
    <t>Twiggydancer@yahoo.com</t>
  </si>
  <si>
    <t>ash.carlson94@gmail.com</t>
  </si>
  <si>
    <t>Carlson</t>
  </si>
  <si>
    <t>Ashley Carlson</t>
  </si>
  <si>
    <t>5920 eiler rd</t>
  </si>
  <si>
    <t>wilsonnathant@gmail.com</t>
  </si>
  <si>
    <t>judah.d.wilson@gmail.com</t>
  </si>
  <si>
    <t>Judah</t>
  </si>
  <si>
    <t>Judah Wilson</t>
  </si>
  <si>
    <t>128 Water Street</t>
  </si>
  <si>
    <t>Ovilla</t>
  </si>
  <si>
    <t>jarrett.tribe@comcast.net_configioDeactivated</t>
  </si>
  <si>
    <t>farfromhome412@gmail.com</t>
  </si>
  <si>
    <t>Nathan</t>
  </si>
  <si>
    <t>Jarrett</t>
  </si>
  <si>
    <t>Nathan Jarrett</t>
  </si>
  <si>
    <t>2587 Integrity Court</t>
  </si>
  <si>
    <t>christelhouston@gmail.com</t>
  </si>
  <si>
    <t>eidolem94@gmail.com</t>
  </si>
  <si>
    <t>melodie</t>
  </si>
  <si>
    <t>houston</t>
  </si>
  <si>
    <t>melodie houston</t>
  </si>
  <si>
    <t>po box 775662</t>
  </si>
  <si>
    <t>steamboat springs</t>
  </si>
  <si>
    <t>krwink1@juno.com</t>
  </si>
  <si>
    <t>Cory</t>
  </si>
  <si>
    <t>Winkelhake</t>
  </si>
  <si>
    <t>Cory Winkelhake</t>
  </si>
  <si>
    <t>4475 Shubert Drive</t>
  </si>
  <si>
    <t>c.bartholomew@aol.com</t>
  </si>
  <si>
    <t>Clayton</t>
  </si>
  <si>
    <t>Bartholomew</t>
  </si>
  <si>
    <t>Clayton Bartholomew</t>
  </si>
  <si>
    <t>11902 W. Dora</t>
  </si>
  <si>
    <t>carlamarlahotpad@gmail.com</t>
  </si>
  <si>
    <t>teamdeems@gmail.com</t>
  </si>
  <si>
    <t>Tessa</t>
  </si>
  <si>
    <t>Deems</t>
  </si>
  <si>
    <t>Tessa Deems</t>
  </si>
  <si>
    <t>2865 Hanley rd</t>
  </si>
  <si>
    <t>Central Point</t>
  </si>
  <si>
    <t>OR</t>
  </si>
  <si>
    <t>renee.angelica.neufeld@gmail.com</t>
  </si>
  <si>
    <t>renee.angelica.neufeld@hotmail.com</t>
  </si>
  <si>
    <t>Ren√©e</t>
  </si>
  <si>
    <t>Neufeld</t>
  </si>
  <si>
    <t>Ren√©e Neufeld</t>
  </si>
  <si>
    <t>3201 58 Ave</t>
  </si>
  <si>
    <t>Lloydminster</t>
  </si>
  <si>
    <t>Alberta</t>
  </si>
  <si>
    <t>T9V 1X5</t>
  </si>
  <si>
    <t>mfredrickson6@comcast.net</t>
  </si>
  <si>
    <t>brfredrickso@bsu.edu</t>
  </si>
  <si>
    <t>Ben</t>
  </si>
  <si>
    <t>Fredrickson</t>
  </si>
  <si>
    <t>Ben Fredrickson</t>
  </si>
  <si>
    <t>7550 Steeplebush Lane</t>
  </si>
  <si>
    <t>Belmont</t>
  </si>
  <si>
    <t>tylermewbourn@gmail.com</t>
  </si>
  <si>
    <t>Mewbourn</t>
  </si>
  <si>
    <t>Tyler Mewbourn</t>
  </si>
  <si>
    <t>25455 Cottonbelt Road</t>
  </si>
  <si>
    <t>Elkmont</t>
  </si>
  <si>
    <t>snowball13a.k.f@gmail.com</t>
  </si>
  <si>
    <t>Amanda</t>
  </si>
  <si>
    <t>Frost</t>
  </si>
  <si>
    <t>Amanda Frost</t>
  </si>
  <si>
    <t>13914 Aquila Circle</t>
  </si>
  <si>
    <t>marrah8@aol.com</t>
  </si>
  <si>
    <t>graciegirl2013@gmail.com</t>
  </si>
  <si>
    <t>Marrah</t>
  </si>
  <si>
    <t>Grace Marrah</t>
  </si>
  <si>
    <t>1022 Larkstone Dr.</t>
  </si>
  <si>
    <t>Columbus</t>
  </si>
  <si>
    <t>bandsmay@sympatico.ca</t>
  </si>
  <si>
    <t>swimmermaus@hotmail.com</t>
  </si>
  <si>
    <t>May</t>
  </si>
  <si>
    <t>Micaela May</t>
  </si>
  <si>
    <t>451 Reach St</t>
  </si>
  <si>
    <t>sedwards01@bellsouth.net</t>
  </si>
  <si>
    <t>balletgirl_12@yahoo.com</t>
  </si>
  <si>
    <t>Edwards</t>
  </si>
  <si>
    <t>Anna Edwards</t>
  </si>
  <si>
    <t>2462 Oak Park Drive</t>
  </si>
  <si>
    <t>Tupelo</t>
  </si>
  <si>
    <t>Hope</t>
  </si>
  <si>
    <t>Hope Marrah</t>
  </si>
  <si>
    <t>1022 Larkstone Drive</t>
  </si>
  <si>
    <t>dransom@yc.edu</t>
  </si>
  <si>
    <t>dmransom@juno.com</t>
  </si>
  <si>
    <t>Hayden</t>
  </si>
  <si>
    <t>Ransom</t>
  </si>
  <si>
    <t>Hayden Ransom</t>
  </si>
  <si>
    <t>P.O. Box 228</t>
  </si>
  <si>
    <t>12360 W. Elderberry</t>
  </si>
  <si>
    <t>Skull Valley</t>
  </si>
  <si>
    <t>jdfogle7@yahoo.com</t>
  </si>
  <si>
    <t>sarahfogle@yahoo.com</t>
  </si>
  <si>
    <t>Fogle</t>
  </si>
  <si>
    <t>Sarah Fogle</t>
  </si>
  <si>
    <t>1660 Sunset Ave.</t>
  </si>
  <si>
    <t>Lancaster</t>
  </si>
  <si>
    <t>wendybischof@msn.com_configioDeactivated</t>
  </si>
  <si>
    <t>wendybischof@msn.com</t>
  </si>
  <si>
    <t>Caden</t>
  </si>
  <si>
    <t>Bischof</t>
  </si>
  <si>
    <t>Caden Bischof</t>
  </si>
  <si>
    <t>17329 Wirt St</t>
  </si>
  <si>
    <t>barbgenda@gmail.com</t>
  </si>
  <si>
    <t>jacobgenda1995@gmail.com</t>
  </si>
  <si>
    <t>Genda</t>
  </si>
  <si>
    <t>Jacob Genda</t>
  </si>
  <si>
    <t>501 Glen Owen Lane</t>
  </si>
  <si>
    <t>Berryville</t>
  </si>
  <si>
    <t>kimberlymcadams@gmail.com</t>
  </si>
  <si>
    <t>kdrmcadams@gmail.com</t>
  </si>
  <si>
    <t>Kaitlynn</t>
  </si>
  <si>
    <t>McAdams</t>
  </si>
  <si>
    <t>Kaitlynn McAdams</t>
  </si>
  <si>
    <t>5416 County Road 206</t>
  </si>
  <si>
    <t>brejohnson@cox.net</t>
  </si>
  <si>
    <t>Emily Johnson</t>
  </si>
  <si>
    <t>614 N Fir ST</t>
  </si>
  <si>
    <t>Jenks</t>
  </si>
  <si>
    <t>cdduncan@cox.net</t>
  </si>
  <si>
    <t>courtnderek@cox.net</t>
  </si>
  <si>
    <t>Duncan</t>
  </si>
  <si>
    <t>Courtney Duncan</t>
  </si>
  <si>
    <t>7171 S. 234th East Ave</t>
  </si>
  <si>
    <t>Broken Arrow</t>
  </si>
  <si>
    <t>cbpolito@gmail.com</t>
  </si>
  <si>
    <t>jolinapolito775@gmail.com</t>
  </si>
  <si>
    <t>Angelina</t>
  </si>
  <si>
    <t>Polito</t>
  </si>
  <si>
    <t>Angelina Polito</t>
  </si>
  <si>
    <t>12325 N Brightridge Drive</t>
  </si>
  <si>
    <t>Oro Valley</t>
  </si>
  <si>
    <t>scottjcowden@gmail.com</t>
  </si>
  <si>
    <t>Cowden</t>
  </si>
  <si>
    <t>Scott Cowden</t>
  </si>
  <si>
    <t>50 Caldwell Rd</t>
  </si>
  <si>
    <t>jehmccoy@gmail.com</t>
  </si>
  <si>
    <t>writer.hk1432@gmail.com</t>
  </si>
  <si>
    <t>McCoy</t>
  </si>
  <si>
    <t>Hannah McCoy</t>
  </si>
  <si>
    <t>524 Stinson Ct.</t>
  </si>
  <si>
    <t>Statesville</t>
  </si>
  <si>
    <t>swahl@bellsouth.net</t>
  </si>
  <si>
    <t>sarah4thecross@gmail.com</t>
  </si>
  <si>
    <t>Wahl</t>
  </si>
  <si>
    <t>Sarah Wahl</t>
  </si>
  <si>
    <t>3611 Wahl Rd</t>
  </si>
  <si>
    <t>hmathes@my.heartland.edu</t>
  </si>
  <si>
    <t>Mathes</t>
  </si>
  <si>
    <t>Hannah Mathes</t>
  </si>
  <si>
    <t>7965 E 1540 N Rd</t>
  </si>
  <si>
    <t>simones3@hcjb.org</t>
  </si>
  <si>
    <t>n.simone56@gmail.com</t>
  </si>
  <si>
    <t>Simone</t>
  </si>
  <si>
    <t>Nathaniel Simone</t>
  </si>
  <si>
    <t>58660 Broadway Blvd</t>
  </si>
  <si>
    <t>Elkhart</t>
  </si>
  <si>
    <t>mariahvick@ymail.com</t>
  </si>
  <si>
    <t>Vick</t>
  </si>
  <si>
    <t>Mariah Vick</t>
  </si>
  <si>
    <t>6871 County Road 1103</t>
  </si>
  <si>
    <t>Celina</t>
  </si>
  <si>
    <t>mc9jo@wildblue.net</t>
  </si>
  <si>
    <t>joliette.povich@gmail.com</t>
  </si>
  <si>
    <t>Joliette</t>
  </si>
  <si>
    <t>Povich</t>
  </si>
  <si>
    <t>Joliette Povich</t>
  </si>
  <si>
    <t>2049 H Road</t>
  </si>
  <si>
    <t>Bark River</t>
  </si>
  <si>
    <t>Joseph Povich</t>
  </si>
  <si>
    <t>krsskrebs@yahoo.com</t>
  </si>
  <si>
    <t>Krebs</t>
  </si>
  <si>
    <t>Karissa Krebs</t>
  </si>
  <si>
    <t>3366 W. 55th Pl.</t>
  </si>
  <si>
    <t>Denver</t>
  </si>
  <si>
    <t>ahbalm@midco.net</t>
  </si>
  <si>
    <t>aninja33@gmail.com</t>
  </si>
  <si>
    <t>Balm</t>
  </si>
  <si>
    <t>Andrew Balm</t>
  </si>
  <si>
    <t>327 Meridian Cir</t>
  </si>
  <si>
    <t>Mapleton</t>
  </si>
  <si>
    <t>ND</t>
  </si>
  <si>
    <t>parkynlot@hotmail.com_configioDeactivated</t>
  </si>
  <si>
    <t>mariahparkyn@hotmail.com</t>
  </si>
  <si>
    <t>Parkyn</t>
  </si>
  <si>
    <t>Mariah Parkyn</t>
  </si>
  <si>
    <t>9464 N. Dixboro Road</t>
  </si>
  <si>
    <t>South Lyon</t>
  </si>
  <si>
    <t>ogborns@cox.net</t>
  </si>
  <si>
    <t>Ogborn</t>
  </si>
  <si>
    <t>Sarah Ogborn</t>
  </si>
  <si>
    <t>7859 N 155th St</t>
  </si>
  <si>
    <t>Bennington</t>
  </si>
  <si>
    <t>kellybjenkins1@gmail.com</t>
  </si>
  <si>
    <t>jenkins.r.kendall@gmail.com</t>
  </si>
  <si>
    <t>Jenkins</t>
  </si>
  <si>
    <t>Kendall Jenkins</t>
  </si>
  <si>
    <t>96 Locust Lane</t>
  </si>
  <si>
    <t>Bluemont</t>
  </si>
  <si>
    <t>dan.prenzlow@state.co.us</t>
  </si>
  <si>
    <t>Alaura</t>
  </si>
  <si>
    <t>Prenzlow</t>
  </si>
  <si>
    <t>Alaura Prenzlow</t>
  </si>
  <si>
    <t>1760 smoke ridge dr</t>
  </si>
  <si>
    <t>colo springs</t>
  </si>
  <si>
    <t>chulyn.1.1@sbcglobal.net</t>
  </si>
  <si>
    <t>mirandy.lynn@yahoo.com</t>
  </si>
  <si>
    <t>Mirandy</t>
  </si>
  <si>
    <t>McNeely</t>
  </si>
  <si>
    <t>Mirandy McNeely</t>
  </si>
  <si>
    <t>203 Wolfe Street</t>
  </si>
  <si>
    <t>Cedar Hill</t>
  </si>
  <si>
    <t>dhackbart@juno.com</t>
  </si>
  <si>
    <t>jackson.hackbart@gmail.com</t>
  </si>
  <si>
    <t>Hackbart</t>
  </si>
  <si>
    <t>Jackson Hackbart</t>
  </si>
  <si>
    <t>2432 Fletcher Rd</t>
  </si>
  <si>
    <t>Seward</t>
  </si>
  <si>
    <t>4wigley@suddenlink.net</t>
  </si>
  <si>
    <t>Mark</t>
  </si>
  <si>
    <t>Wigley</t>
  </si>
  <si>
    <t>Mark Wigley</t>
  </si>
  <si>
    <t>3022 Hickory Ridge Circle</t>
  </si>
  <si>
    <t>dkuneli@yahoo.com</t>
  </si>
  <si>
    <t>faithfulfinns@sbcglobal.net</t>
  </si>
  <si>
    <t>daniel</t>
  </si>
  <si>
    <t>kuneli</t>
  </si>
  <si>
    <t>daniel kuneli</t>
  </si>
  <si>
    <t>3111 haskell st</t>
  </si>
  <si>
    <t>kalamazoo</t>
  </si>
  <si>
    <t>xyz96@hughes.net</t>
  </si>
  <si>
    <t>David Martinez</t>
  </si>
  <si>
    <t>412 XYZ Ranch Rd</t>
  </si>
  <si>
    <t>Arenas Valley</t>
  </si>
  <si>
    <t>tammy.wasinger@gmail.com</t>
  </si>
  <si>
    <t>austinwasinger@gmail.com</t>
  </si>
  <si>
    <t>Wasinger</t>
  </si>
  <si>
    <t>Austin Wasinger</t>
  </si>
  <si>
    <t>6751 Shimmering Moon Ln</t>
  </si>
  <si>
    <t>Rachel.ritchhart@gmail.com</t>
  </si>
  <si>
    <t>Ritchhart</t>
  </si>
  <si>
    <t>Rachel Ritchhart</t>
  </si>
  <si>
    <t>10901 64th street</t>
  </si>
  <si>
    <t>Kenosha</t>
  </si>
  <si>
    <t>taylors@zoominternet.net</t>
  </si>
  <si>
    <t>Taylor</t>
  </si>
  <si>
    <t>Ethan Taylor</t>
  </si>
  <si>
    <t>770 Sandusky Street</t>
  </si>
  <si>
    <t>pbengt78@gmail.com</t>
  </si>
  <si>
    <t>maiyaemily@gmail.com</t>
  </si>
  <si>
    <t>Maiya</t>
  </si>
  <si>
    <t>Bengtson</t>
  </si>
  <si>
    <t>Maiya Bengtson</t>
  </si>
  <si>
    <t>1861 310 Avenue</t>
  </si>
  <si>
    <t>schweinsbergclan@msn.com</t>
  </si>
  <si>
    <t>sam_schweinz@hotmail.com</t>
  </si>
  <si>
    <t>Schweinsberg</t>
  </si>
  <si>
    <t>Samuel Schweinsberg</t>
  </si>
  <si>
    <t>2647 S. 60th E.</t>
  </si>
  <si>
    <t>Idaho Falls</t>
  </si>
  <si>
    <t>ID</t>
  </si>
  <si>
    <t>thelukester11@gmail.com</t>
  </si>
  <si>
    <t>Luke Schweinsberg</t>
  </si>
  <si>
    <t>2647 S. 60th E</t>
  </si>
  <si>
    <t>jrdnbngtsn@gmail.com</t>
  </si>
  <si>
    <t>Jordan Bengtson</t>
  </si>
  <si>
    <t>Kenndy</t>
  </si>
  <si>
    <t>quanruthie@gmail.com</t>
  </si>
  <si>
    <t>rlquanbeck@gmail.com</t>
  </si>
  <si>
    <t>Quanbeck</t>
  </si>
  <si>
    <t>Rachel Quanbeck</t>
  </si>
  <si>
    <t>1103 S Grove Ave</t>
  </si>
  <si>
    <t>Hallock</t>
  </si>
  <si>
    <t>robesondm@gmail.com</t>
  </si>
  <si>
    <t>meleakat@gmail.com</t>
  </si>
  <si>
    <t>Melea</t>
  </si>
  <si>
    <t>Robeson</t>
  </si>
  <si>
    <t>Melea Robeson</t>
  </si>
  <si>
    <t>62250 305th St</t>
  </si>
  <si>
    <t>Maxwell</t>
  </si>
  <si>
    <t>teresaandrews38@yahoo.com</t>
  </si>
  <si>
    <t>bradyshawnandrews@gmail.com</t>
  </si>
  <si>
    <t>Brady</t>
  </si>
  <si>
    <t>Andrews</t>
  </si>
  <si>
    <t>Brady Andrews</t>
  </si>
  <si>
    <t>335 Pond View Lane</t>
  </si>
  <si>
    <t>email4mrt@yahoo.com</t>
  </si>
  <si>
    <t>Tung</t>
  </si>
  <si>
    <t>Caleb Tung</t>
  </si>
  <si>
    <t>1204 Slash Pine Dr.</t>
  </si>
  <si>
    <t>Flower Mound</t>
  </si>
  <si>
    <t>Corrie</t>
  </si>
  <si>
    <t>Corrie Tung</t>
  </si>
  <si>
    <t>drtomreed@earthlink.net</t>
  </si>
  <si>
    <t>sonlightcity@gmail.com</t>
  </si>
  <si>
    <t>Reed</t>
  </si>
  <si>
    <t>Ryan Reed</t>
  </si>
  <si>
    <t>29 Raintree Place</t>
  </si>
  <si>
    <t>The Woodlands</t>
  </si>
  <si>
    <t>lisa.bliss@me.com</t>
  </si>
  <si>
    <t>Bliss</t>
  </si>
  <si>
    <t>Jacob Bliss</t>
  </si>
  <si>
    <t>mrkreps@comcast.net</t>
  </si>
  <si>
    <t>alexandererrichiello@hsestudents.org</t>
  </si>
  <si>
    <t>Errichiello</t>
  </si>
  <si>
    <t>Alexander Errichiello</t>
  </si>
  <si>
    <t>10514 Collingswood Lane</t>
  </si>
  <si>
    <t>Fishers</t>
  </si>
  <si>
    <t>ksieb5@netzero.net</t>
  </si>
  <si>
    <t>Kohl</t>
  </si>
  <si>
    <t>Siebert</t>
  </si>
  <si>
    <t>Kohl Siebert</t>
  </si>
  <si>
    <t>7020 Oleatha Ave</t>
  </si>
  <si>
    <t>St Louis</t>
  </si>
  <si>
    <t>Reid</t>
  </si>
  <si>
    <t>Reid Siebert</t>
  </si>
  <si>
    <t>jennywhitlow@gmail.com</t>
  </si>
  <si>
    <t>sparkswhitlow@gmail.com</t>
  </si>
  <si>
    <t>Whitlow</t>
  </si>
  <si>
    <t>Ashley Whitlow</t>
  </si>
  <si>
    <t>1196 Lazio Ct</t>
  </si>
  <si>
    <t>Greenwood</t>
  </si>
  <si>
    <t>thepetriks@gmail.com</t>
  </si>
  <si>
    <t>elizabethpetrik@gmail.com</t>
  </si>
  <si>
    <t>Petrik</t>
  </si>
  <si>
    <t>Elizabeth Petrik</t>
  </si>
  <si>
    <t>9611 N Normandie Ln</t>
  </si>
  <si>
    <t>beautywithin95@hotmail.com</t>
  </si>
  <si>
    <t>Arielle</t>
  </si>
  <si>
    <t>Arielle Norton</t>
  </si>
  <si>
    <t>5423 N. Rees Ct.</t>
  </si>
  <si>
    <t>Spokane Valley</t>
  </si>
  <si>
    <t>jabolduc92@gmail.com</t>
  </si>
  <si>
    <t>is5991b@gmail.com</t>
  </si>
  <si>
    <t>Bolduc</t>
  </si>
  <si>
    <t>Isaac Bolduc</t>
  </si>
  <si>
    <t>38013 450th Ave. NW</t>
  </si>
  <si>
    <t>Larinda_mehlhoff_@hotmail.com</t>
  </si>
  <si>
    <t>Larinda</t>
  </si>
  <si>
    <t>Mehlhoff</t>
  </si>
  <si>
    <t>Larinda Mehlhoff</t>
  </si>
  <si>
    <t>97 Duncan district rd</t>
  </si>
  <si>
    <t>Sheridan</t>
  </si>
  <si>
    <t>MT</t>
  </si>
  <si>
    <t>loganhondarider@gmail.com</t>
  </si>
  <si>
    <t>Logan Mehlhoff</t>
  </si>
  <si>
    <t>97 Duncan District Road</t>
  </si>
  <si>
    <t>fiddlers3@earthlink.net</t>
  </si>
  <si>
    <t>sarahrunsxc@gmail.com</t>
  </si>
  <si>
    <t>Gunnells</t>
  </si>
  <si>
    <t>Sarah Gunnells</t>
  </si>
  <si>
    <t>1098 Quail Creek Cove</t>
  </si>
  <si>
    <t>llpoley@gmail.com</t>
  </si>
  <si>
    <t>mcpoley@gmail.com</t>
  </si>
  <si>
    <t>mark</t>
  </si>
  <si>
    <t>Poleynard</t>
  </si>
  <si>
    <t>mark Poleynard</t>
  </si>
  <si>
    <t>311 Treetops Dr.</t>
  </si>
  <si>
    <t>Seneca</t>
  </si>
  <si>
    <t>ten40s@gmail.com</t>
  </si>
  <si>
    <t>40family.joe@gmail.com</t>
  </si>
  <si>
    <t>Forti</t>
  </si>
  <si>
    <t>Joseph Forti</t>
  </si>
  <si>
    <t>5125 C.R. 60</t>
  </si>
  <si>
    <t>St. Joe</t>
  </si>
  <si>
    <t>srykhus@sio.midco.net</t>
  </si>
  <si>
    <t>ryanrykhus@gmail.com</t>
  </si>
  <si>
    <t>Rykhus</t>
  </si>
  <si>
    <t>Ryan Rykhus</t>
  </si>
  <si>
    <t>1301 S Overlund Pass</t>
  </si>
  <si>
    <t>1xx8xy@gmail.com</t>
  </si>
  <si>
    <t>private_ryan_15@yahoo.com</t>
  </si>
  <si>
    <t>Lawrence</t>
  </si>
  <si>
    <t>Ryan Lawrence</t>
  </si>
  <si>
    <t>86 Sunnyland Dr.</t>
  </si>
  <si>
    <t>savannah.diekhoff@gmail.com</t>
  </si>
  <si>
    <t>Diekhoff</t>
  </si>
  <si>
    <t>Savannah Diekhoff</t>
  </si>
  <si>
    <t>24846 Emmanuel Lane</t>
  </si>
  <si>
    <t>Tremont</t>
  </si>
  <si>
    <t>chirp.chirp@icloud.com</t>
  </si>
  <si>
    <t>lcbookworm@icloud.com</t>
  </si>
  <si>
    <t>Callaway</t>
  </si>
  <si>
    <t>Leah Callaway</t>
  </si>
  <si>
    <t>POB 158</t>
  </si>
  <si>
    <t>Fletcher</t>
  </si>
  <si>
    <t>EdComm@doglover.com</t>
  </si>
  <si>
    <t>Afrogrease114@manlymail.net</t>
  </si>
  <si>
    <t>Sanburn</t>
  </si>
  <si>
    <t>Benjamin Sanburn</t>
  </si>
  <si>
    <t>1427 Nottingham Drive</t>
  </si>
  <si>
    <t>Owatonna</t>
  </si>
  <si>
    <t>noelle.gebel@isponline.org</t>
  </si>
  <si>
    <t>k9academy2@gmail.com</t>
  </si>
  <si>
    <t>Gebel</t>
  </si>
  <si>
    <t>Clark Gebel</t>
  </si>
  <si>
    <t>103 Guild Hall Drive</t>
  </si>
  <si>
    <t>Columbia</t>
  </si>
  <si>
    <t>vueck123@naver.com</t>
  </si>
  <si>
    <t>Paul</t>
  </si>
  <si>
    <t>Lee</t>
  </si>
  <si>
    <t>Paul Lee</t>
  </si>
  <si>
    <t>Life Apt. 102-601</t>
  </si>
  <si>
    <t>Bundang</t>
  </si>
  <si>
    <t>Seongnam</t>
  </si>
  <si>
    <t>orrjp@earthlink.net</t>
  </si>
  <si>
    <t>thefirstnoelle23@gmail.com</t>
  </si>
  <si>
    <t>Noelle</t>
  </si>
  <si>
    <t>Orr</t>
  </si>
  <si>
    <t>Noelle Orr</t>
  </si>
  <si>
    <t>1006 McKean Circle</t>
  </si>
  <si>
    <t>Winter Park</t>
  </si>
  <si>
    <t>cakesrok@aol.com</t>
  </si>
  <si>
    <t>Engelman</t>
  </si>
  <si>
    <t>Abigail Engelman</t>
  </si>
  <si>
    <t>TaitPowell@gmail.com</t>
  </si>
  <si>
    <t>Taitpowell@gmail.com</t>
  </si>
  <si>
    <t>Tait</t>
  </si>
  <si>
    <t>Powell</t>
  </si>
  <si>
    <t>Tait Powell</t>
  </si>
  <si>
    <t>118 Cemetry Hill Rd</t>
  </si>
  <si>
    <t>Cardwell</t>
  </si>
  <si>
    <t>bethanylynnae@gmail.com</t>
  </si>
  <si>
    <t>Los</t>
  </si>
  <si>
    <t>Bethany Los</t>
  </si>
  <si>
    <t>593 14th St. SE</t>
  </si>
  <si>
    <t>Sioux Center</t>
  </si>
  <si>
    <t>talldude2013@yahoo.com</t>
  </si>
  <si>
    <t>Stands</t>
  </si>
  <si>
    <t>Levi Stands</t>
  </si>
  <si>
    <t>18 Shamrock Lane</t>
  </si>
  <si>
    <t>Livingston</t>
  </si>
  <si>
    <t>victorypalm@hotmail.com</t>
  </si>
  <si>
    <t>Tamara</t>
  </si>
  <si>
    <t>Willey</t>
  </si>
  <si>
    <t>Tamara Willey</t>
  </si>
  <si>
    <t>205 Raphael Road</t>
  </si>
  <si>
    <t>pitbull11496@bellsouth.net</t>
  </si>
  <si>
    <t>Pitman</t>
  </si>
  <si>
    <t>Graham Pitman</t>
  </si>
  <si>
    <t>170 River Falls Drive</t>
  </si>
  <si>
    <t>ihlenfield@hotmail.com</t>
  </si>
  <si>
    <t>mtihlenfield@gmail.com</t>
  </si>
  <si>
    <t>Ihlenfield</t>
  </si>
  <si>
    <t>Matthew Ihlenfield</t>
  </si>
  <si>
    <t>5999 Harbour Town Circle</t>
  </si>
  <si>
    <t>famille_faas@yahoo.com</t>
  </si>
  <si>
    <t>Isaiah</t>
  </si>
  <si>
    <t>Faas</t>
  </si>
  <si>
    <t>Isaiah Faas</t>
  </si>
  <si>
    <t>3435 Bamber Valley Rd. S.W.</t>
  </si>
  <si>
    <t>Rochester</t>
  </si>
  <si>
    <t>timharder76@gmail.com</t>
  </si>
  <si>
    <t>vanessaquinones95@gmail.com</t>
  </si>
  <si>
    <t>Vanessa</t>
  </si>
  <si>
    <t>Quinones</t>
  </si>
  <si>
    <t>Vanessa Quinones</t>
  </si>
  <si>
    <t>14440 Holiday Court</t>
  </si>
  <si>
    <t>Apple Valley</t>
  </si>
  <si>
    <t>aeppinger@comcast.net</t>
  </si>
  <si>
    <t>deborahepp29@gmail.com</t>
  </si>
  <si>
    <t>Deborah</t>
  </si>
  <si>
    <t>Eppinger</t>
  </si>
  <si>
    <t>Deborah Eppinger</t>
  </si>
  <si>
    <t>6017 Leigh Read Road</t>
  </si>
  <si>
    <t>dwkurz@hotmail.com</t>
  </si>
  <si>
    <t>firstpeterone.three@gmail.com</t>
  </si>
  <si>
    <t>Kurz</t>
  </si>
  <si>
    <t>Peter Kurz</t>
  </si>
  <si>
    <t>13813 N. Travois Trail</t>
  </si>
  <si>
    <t>mjejdavis@comcast.net</t>
  </si>
  <si>
    <t>theflowerfades@gmail.com</t>
  </si>
  <si>
    <t>Ellen</t>
  </si>
  <si>
    <t>Ellen Davis</t>
  </si>
  <si>
    <t>5089 NW 171st Place</t>
  </si>
  <si>
    <t>Portland</t>
  </si>
  <si>
    <t>asteroidinfinity@gmail.com</t>
  </si>
  <si>
    <t>Josh Davis</t>
  </si>
  <si>
    <t>dale.mcguire@alcoa.com</t>
  </si>
  <si>
    <t>g3.2013@gmail.com</t>
  </si>
  <si>
    <t>McGuire</t>
  </si>
  <si>
    <t>Tim McGuire</t>
  </si>
  <si>
    <t>6677 Enterprise Rd</t>
  </si>
  <si>
    <t>Ferndale</t>
  </si>
  <si>
    <t>yang.aaron.h@gmail.com</t>
  </si>
  <si>
    <t>Yang</t>
  </si>
  <si>
    <t>Aaron Yang</t>
  </si>
  <si>
    <t>2801 W. Gail Drive</t>
  </si>
  <si>
    <t>Chandler</t>
  </si>
  <si>
    <t>sgmarley@hotmail.com</t>
  </si>
  <si>
    <t>Sarah Marley</t>
  </si>
  <si>
    <t>45 Gardner St.</t>
  </si>
  <si>
    <t>jpolson95@gmail.com</t>
  </si>
  <si>
    <t>John-Paul</t>
  </si>
  <si>
    <t>Olson</t>
  </si>
  <si>
    <t>John-Paul Olson</t>
  </si>
  <si>
    <t>105 8th st</t>
  </si>
  <si>
    <t>okie_countrysc@hotmail.com</t>
  </si>
  <si>
    <t>Katie</t>
  </si>
  <si>
    <t>Dean</t>
  </si>
  <si>
    <t>Katie Dean</t>
  </si>
  <si>
    <t>11196 N 2080 rd.</t>
  </si>
  <si>
    <t>Canute</t>
  </si>
  <si>
    <t>writerspage.kjm@gmail.com</t>
  </si>
  <si>
    <t>Kathleen</t>
  </si>
  <si>
    <t>Mahoney</t>
  </si>
  <si>
    <t>Kathleen Mahoney</t>
  </si>
  <si>
    <t>12628 N 300 W</t>
  </si>
  <si>
    <t>Macy</t>
  </si>
  <si>
    <t>lanecrf@gmail.com</t>
  </si>
  <si>
    <t>Warren</t>
  </si>
  <si>
    <t>Brush</t>
  </si>
  <si>
    <t>Warren Brush</t>
  </si>
  <si>
    <t>P.O. Box 2903</t>
  </si>
  <si>
    <t>312 Sterling rd.</t>
  </si>
  <si>
    <t>Norris</t>
  </si>
  <si>
    <t>bnorman@tchs.us</t>
  </si>
  <si>
    <t>Norman</t>
  </si>
  <si>
    <t>Jacob Norman</t>
  </si>
  <si>
    <t>11108 N Mataro Ave.</t>
  </si>
  <si>
    <t>Citrus Sorings</t>
  </si>
  <si>
    <t>abigail.wiebe2015@gmail.com</t>
  </si>
  <si>
    <t>Wiebe</t>
  </si>
  <si>
    <t>Abigail Wiebe</t>
  </si>
  <si>
    <t>West Covina</t>
  </si>
  <si>
    <t>deanstephabbott@comcast.net</t>
  </si>
  <si>
    <t>kittychester2@gmail.com</t>
  </si>
  <si>
    <t>Abbott</t>
  </si>
  <si>
    <t>Mariah Abbott</t>
  </si>
  <si>
    <t>4305 York Ave. N</t>
  </si>
  <si>
    <t>Robbinsdale</t>
  </si>
  <si>
    <t>13sidney@gmail.com</t>
  </si>
  <si>
    <t>Sidney</t>
  </si>
  <si>
    <t>Lloyd</t>
  </si>
  <si>
    <t>Sidney Lloyd</t>
  </si>
  <si>
    <t>1202 Holly Ave.</t>
  </si>
  <si>
    <t>Harrisonville</t>
  </si>
  <si>
    <t>mail@derekduncan.me</t>
  </si>
  <si>
    <t>Derek</t>
  </si>
  <si>
    <t>Derek Duncan</t>
  </si>
  <si>
    <t>jhb2460@bellsouth.net</t>
  </si>
  <si>
    <t>Brookins</t>
  </si>
  <si>
    <t>Jacob Brookins</t>
  </si>
  <si>
    <t>2460 NW 108th Drive</t>
  </si>
  <si>
    <t>Coral Springs</t>
  </si>
  <si>
    <t>Jkb2460@bellsouth.net</t>
  </si>
  <si>
    <t>Joshua Brookins</t>
  </si>
  <si>
    <t>2460 NW 108th Dr.</t>
  </si>
  <si>
    <t>huebertem@gmail.com</t>
  </si>
  <si>
    <t>Huebert</t>
  </si>
  <si>
    <t>Emily Huebert</t>
  </si>
  <si>
    <t>1406 N 161st</t>
  </si>
  <si>
    <t>petemidd@gmail.com</t>
  </si>
  <si>
    <t>Middleton</t>
  </si>
  <si>
    <t>Peter Middleton</t>
  </si>
  <si>
    <t>10707 32nd Ave N</t>
  </si>
  <si>
    <t>Plymouth</t>
  </si>
  <si>
    <t>gobsofgabberts@msn.com</t>
  </si>
  <si>
    <t>kevingabbert31@yahoo.com</t>
  </si>
  <si>
    <t>Kevin</t>
  </si>
  <si>
    <t>Gabbert</t>
  </si>
  <si>
    <t>Kevin Gabbert</t>
  </si>
  <si>
    <t>2017 Ring Teal Ln</t>
  </si>
  <si>
    <t>jason.domer@gmail.com</t>
  </si>
  <si>
    <t>jcjunction@gmail.com</t>
  </si>
  <si>
    <t>Conley</t>
  </si>
  <si>
    <t>John Conley</t>
  </si>
  <si>
    <t>2619 26th Ave.</t>
  </si>
  <si>
    <t>Forest Grove</t>
  </si>
  <si>
    <t>maelboz@gci.net</t>
  </si>
  <si>
    <t>daniel.bozone@gci.net</t>
  </si>
  <si>
    <t>Bozone</t>
  </si>
  <si>
    <t>Daniel Bozone</t>
  </si>
  <si>
    <t>P.O. Box 671951</t>
  </si>
  <si>
    <t>Chugiak</t>
  </si>
  <si>
    <t>Billybarrow@bellsouth.net</t>
  </si>
  <si>
    <t>BRBman@integrity.com</t>
  </si>
  <si>
    <t>Blake</t>
  </si>
  <si>
    <t>Barrow</t>
  </si>
  <si>
    <t>Blake Barrow</t>
  </si>
  <si>
    <t>12758 Jefferson Drive</t>
  </si>
  <si>
    <t>Duncanville</t>
  </si>
  <si>
    <t>januaryrose7@gmail.com</t>
  </si>
  <si>
    <t>Lane</t>
  </si>
  <si>
    <t>Hannah Lane</t>
  </si>
  <si>
    <t>3225 Brunswick Dr.</t>
  </si>
  <si>
    <t>terrywhitley@juno.com</t>
  </si>
  <si>
    <t>micah@rickwhitley.com</t>
  </si>
  <si>
    <t>Micah</t>
  </si>
  <si>
    <t>Whitley</t>
  </si>
  <si>
    <t>Micah Whitley</t>
  </si>
  <si>
    <t>3500 S. Hampton Rd</t>
  </si>
  <si>
    <t>Oak Leaf</t>
  </si>
  <si>
    <t>cara.byrns@tkc.edu</t>
  </si>
  <si>
    <t>Cara</t>
  </si>
  <si>
    <t>Byrns</t>
  </si>
  <si>
    <t>Cara Byrns</t>
  </si>
  <si>
    <t>129 Woodbury Ave</t>
  </si>
  <si>
    <t>Syracuse</t>
  </si>
  <si>
    <t>krhofe@gmail.com</t>
  </si>
  <si>
    <t>lewsamhof@gmail.com</t>
  </si>
  <si>
    <t>Lewis</t>
  </si>
  <si>
    <t>Hofer</t>
  </si>
  <si>
    <t>Lewis Hofer</t>
  </si>
  <si>
    <t>P.O. Box 134</t>
  </si>
  <si>
    <t>Onida</t>
  </si>
  <si>
    <t>gashlaw1@hotmail.com</t>
  </si>
  <si>
    <t>jgl2013@hotmail.com</t>
  </si>
  <si>
    <t>Jackson Lawrence</t>
  </si>
  <si>
    <t>631 5th St SW</t>
  </si>
  <si>
    <t>Gordo</t>
  </si>
  <si>
    <t>wchaverlah@gmail.com</t>
  </si>
  <si>
    <t>Wesley</t>
  </si>
  <si>
    <t>Haverlah</t>
  </si>
  <si>
    <t>Wesley Haverlah</t>
  </si>
  <si>
    <t>P.O. Box 2221</t>
  </si>
  <si>
    <t>College Station</t>
  </si>
  <si>
    <t>rlamb2424@gmail.com</t>
  </si>
  <si>
    <t>TicenZeno82@gmail.com</t>
  </si>
  <si>
    <t>Malone</t>
  </si>
  <si>
    <t>Alexander Malone</t>
  </si>
  <si>
    <t>360 Bridge Grove</t>
  </si>
  <si>
    <t>Douglasville</t>
  </si>
  <si>
    <t>bethanyr@1scom.net</t>
  </si>
  <si>
    <t>Renfro</t>
  </si>
  <si>
    <t>Bethany Renfro</t>
  </si>
  <si>
    <t>362 Twin Creek Lane</t>
  </si>
  <si>
    <t>Springtown</t>
  </si>
  <si>
    <t>20082128@stu.zps.org</t>
  </si>
  <si>
    <t>Vanlaar</t>
  </si>
  <si>
    <t>Joshua Vanlaar</t>
  </si>
  <si>
    <t>900 W. 32nd street</t>
  </si>
  <si>
    <t>Holland</t>
  </si>
  <si>
    <t>dkn@eastwest.org</t>
  </si>
  <si>
    <t>marie_nelson1994@yahoo.com</t>
  </si>
  <si>
    <t>Christina</t>
  </si>
  <si>
    <t>Christina Nelson</t>
  </si>
  <si>
    <t>5114 Del Roy Dr</t>
  </si>
  <si>
    <t>sethklosheim@hotmail.com</t>
  </si>
  <si>
    <t>Klosheim</t>
  </si>
  <si>
    <t>Seth Klosheim</t>
  </si>
  <si>
    <t>643  Co Hwy 59</t>
  </si>
  <si>
    <t>Cooperstown</t>
  </si>
  <si>
    <t>jcmccune@telus.net</t>
  </si>
  <si>
    <t>Kerry</t>
  </si>
  <si>
    <t>McCune</t>
  </si>
  <si>
    <t>Kerry McCune</t>
  </si>
  <si>
    <t>apsgenesis11@yahoo.com</t>
  </si>
  <si>
    <t>xRiooox@yahoo.com</t>
  </si>
  <si>
    <t>Rio</t>
  </si>
  <si>
    <t>Sommer</t>
  </si>
  <si>
    <t>Rio Sommer</t>
  </si>
  <si>
    <t>6942 FM 1960 East #111</t>
  </si>
  <si>
    <t>Humble</t>
  </si>
  <si>
    <t>aeternaloptimist@gmail.com</t>
  </si>
  <si>
    <t>Pontier</t>
  </si>
  <si>
    <t>Anna Pontier</t>
  </si>
  <si>
    <t>23045 N.W. West Union Rd</t>
  </si>
  <si>
    <t>cofam4him@hotmail.com</t>
  </si>
  <si>
    <t>christmasbabe1225@hotmail.com</t>
  </si>
  <si>
    <t>Ones</t>
  </si>
  <si>
    <t>Natalie Ones</t>
  </si>
  <si>
    <t>9520 Elm Street</t>
  </si>
  <si>
    <t>spockracer@gmail.com</t>
  </si>
  <si>
    <t>McGinnis</t>
  </si>
  <si>
    <t>Josiah McGinnis</t>
  </si>
  <si>
    <t>800779 S. 3300 Rd.</t>
  </si>
  <si>
    <t>Welston</t>
  </si>
  <si>
    <t>aestes21@gmail.com</t>
  </si>
  <si>
    <t>Estes</t>
  </si>
  <si>
    <t>Andrew Estes</t>
  </si>
  <si>
    <t>1706 Queensborough Dr.</t>
  </si>
  <si>
    <t>greyghost1860@gmail.com</t>
  </si>
  <si>
    <t>Ben Kurz</t>
  </si>
  <si>
    <t>mnwright0430@yahoo.com</t>
  </si>
  <si>
    <t>Wright</t>
  </si>
  <si>
    <t>Marissa Wright</t>
  </si>
  <si>
    <t>8925 Trinity Gdns N</t>
  </si>
  <si>
    <t>Brooklyn Park</t>
  </si>
  <si>
    <t>deshellerenee@yahoo.com</t>
  </si>
  <si>
    <t>Tre'vion</t>
  </si>
  <si>
    <t>Headings</t>
  </si>
  <si>
    <t>Tre'vion Headings</t>
  </si>
  <si>
    <t>zaccattac@gmail.com</t>
  </si>
  <si>
    <t>Grant</t>
  </si>
  <si>
    <t>Zachary Grant</t>
  </si>
  <si>
    <t>803 Maci Drive</t>
  </si>
  <si>
    <t>Siloam Springs</t>
  </si>
  <si>
    <t>jeff.s.tanner@gmail.com</t>
  </si>
  <si>
    <t>danieltanner1616@yahoo.com</t>
  </si>
  <si>
    <t>Tanner</t>
  </si>
  <si>
    <t>Daniel Tanner</t>
  </si>
  <si>
    <t>2708 River Forest Drive</t>
  </si>
  <si>
    <t>nicolegil95@aol.com</t>
  </si>
  <si>
    <t>Gilson</t>
  </si>
  <si>
    <t>Nicole Gilson</t>
  </si>
  <si>
    <t>4100 73rd Pl</t>
  </si>
  <si>
    <t>Urbandale</t>
  </si>
  <si>
    <t>jordan.ellis.ghs@gmail.com</t>
  </si>
  <si>
    <t>Ellis</t>
  </si>
  <si>
    <t>Jordan Ellis</t>
  </si>
  <si>
    <t>eringeon@yahoo.com</t>
  </si>
  <si>
    <t>Dudgeon</t>
  </si>
  <si>
    <t>Erin Dudgeon</t>
  </si>
  <si>
    <t>735 Southwest Sleret Aveune</t>
  </si>
  <si>
    <t>Gresham</t>
  </si>
  <si>
    <t>shower_blessings@yahoo.com</t>
  </si>
  <si>
    <t>allyson4jesus@yahoo.com</t>
  </si>
  <si>
    <t>Allyson</t>
  </si>
  <si>
    <t>Lim</t>
  </si>
  <si>
    <t>Allyson Lim</t>
  </si>
  <si>
    <t>14 Arboleda</t>
  </si>
  <si>
    <t>Rancho Santa Margarita</t>
  </si>
  <si>
    <t>ramzafeare@yahoo.com</t>
  </si>
  <si>
    <t>Victor</t>
  </si>
  <si>
    <t>Victor Chan</t>
  </si>
  <si>
    <t>1712 Pin Oak Parkway</t>
  </si>
  <si>
    <t>Bowie</t>
  </si>
  <si>
    <t>arj512@gmail.com</t>
  </si>
  <si>
    <t>Ashley Johnson</t>
  </si>
  <si>
    <t>Po Box 1110</t>
  </si>
  <si>
    <t>Delta Junction</t>
  </si>
  <si>
    <t>kesteve1004@msn.com</t>
  </si>
  <si>
    <t>dashdog1@gmail.com</t>
  </si>
  <si>
    <t>Kemper</t>
  </si>
  <si>
    <t>Sean Kemper</t>
  </si>
  <si>
    <t>3244 Honey Locust Drive</t>
  </si>
  <si>
    <t>home@txdittmer.com</t>
  </si>
  <si>
    <t>emilynicole@txdittmer.com</t>
  </si>
  <si>
    <t>Dittmer</t>
  </si>
  <si>
    <t>Emily Dittmer</t>
  </si>
  <si>
    <t>2103 Alto Ave</t>
  </si>
  <si>
    <t>abagofy@gmail.com</t>
  </si>
  <si>
    <t>Skyler</t>
  </si>
  <si>
    <t>Skyler Johnson</t>
  </si>
  <si>
    <t>7898 m139</t>
  </si>
  <si>
    <t>Berrien springs</t>
  </si>
  <si>
    <t>joannarochelle@gmail.com</t>
  </si>
  <si>
    <t>Litwiller</t>
  </si>
  <si>
    <t>Joanna Litwiller</t>
  </si>
  <si>
    <t>P.O. Box 876</t>
  </si>
  <si>
    <t>godsgrlalwys@gmail.com</t>
  </si>
  <si>
    <t>Lair</t>
  </si>
  <si>
    <t>Makayla Lair</t>
  </si>
  <si>
    <t>8515 Lefevre</t>
  </si>
  <si>
    <t>Casstown</t>
  </si>
  <si>
    <t>DarcySellsKC@gmail.com</t>
  </si>
  <si>
    <t>Tafoya</t>
  </si>
  <si>
    <t>Stephen Tafoya</t>
  </si>
  <si>
    <t>9601 Hardy</t>
  </si>
  <si>
    <t>Overland Park</t>
  </si>
  <si>
    <t>heatherlittle@me.com</t>
  </si>
  <si>
    <t>clalittl@iu.edu</t>
  </si>
  <si>
    <t>Little</t>
  </si>
  <si>
    <t>Claire Little</t>
  </si>
  <si>
    <t>5012 Arden Ave. So.</t>
  </si>
  <si>
    <t>Edina</t>
  </si>
  <si>
    <t>emerald6@starstream.net</t>
  </si>
  <si>
    <t>Carly</t>
  </si>
  <si>
    <t>Carly Anderson</t>
  </si>
  <si>
    <t>6505 Emerald Ct</t>
  </si>
  <si>
    <t>Rocklin</t>
  </si>
  <si>
    <t>AndrewElder@comcast.net</t>
  </si>
  <si>
    <t>Andrew Elder</t>
  </si>
  <si>
    <t>7218 Fremont Ave N</t>
  </si>
  <si>
    <t>Seattle</t>
  </si>
  <si>
    <t>bschlern@aol.com</t>
  </si>
  <si>
    <t>pkaes33@gmail.com</t>
  </si>
  <si>
    <t>Schlernitzauer</t>
  </si>
  <si>
    <t>Ashley Schlernitzauer</t>
  </si>
  <si>
    <t>15400 Brenton Hills Ave</t>
  </si>
  <si>
    <t>sevenxhome@aol.com</t>
  </si>
  <si>
    <t>Siegel</t>
  </si>
  <si>
    <t>Ethan Siegel</t>
  </si>
  <si>
    <t>9660 Stange Avenue</t>
  </si>
  <si>
    <t>Las Vegas</t>
  </si>
  <si>
    <t>joohit03@gmail.com</t>
  </si>
  <si>
    <t>Joohee</t>
  </si>
  <si>
    <t>Choi</t>
  </si>
  <si>
    <t>Joohee Choi</t>
  </si>
  <si>
    <t>363 Chang 1-dong, Dobong-gu</t>
  </si>
  <si>
    <t>Shinhwa Villa, Ga-302</t>
  </si>
  <si>
    <t>Seoul</t>
  </si>
  <si>
    <t>bn-steck@hotmail.com</t>
  </si>
  <si>
    <t>stecklyaaron@gmail.com</t>
  </si>
  <si>
    <t>Steckly</t>
  </si>
  <si>
    <t>Aaron Steckly</t>
  </si>
  <si>
    <t>3302 Pioneers Rd.</t>
  </si>
  <si>
    <t>Milford</t>
  </si>
  <si>
    <t>missalou1@gmail.com</t>
  </si>
  <si>
    <t>Missy</t>
  </si>
  <si>
    <t>Allen</t>
  </si>
  <si>
    <t>Missy Allen</t>
  </si>
  <si>
    <t>15274 CO RD N</t>
  </si>
  <si>
    <t>Model</t>
  </si>
  <si>
    <t>joegampy@aol.com</t>
  </si>
  <si>
    <t>Mooradian</t>
  </si>
  <si>
    <t>Joseph Mooradian</t>
  </si>
  <si>
    <t>180 Aqueduct Road</t>
  </si>
  <si>
    <t>Washington Crossing</t>
  </si>
  <si>
    <t>akcmin@gmail.com</t>
  </si>
  <si>
    <t>snow-power@hotmail.com</t>
  </si>
  <si>
    <t>Christen</t>
  </si>
  <si>
    <t>Couch</t>
  </si>
  <si>
    <t>Christen Couch</t>
  </si>
  <si>
    <t>32 Paddlecreek Avenue</t>
  </si>
  <si>
    <t>Lukebates@bellsouth.net</t>
  </si>
  <si>
    <t>lukebates@bellsouth.net</t>
  </si>
  <si>
    <t>Bates</t>
  </si>
  <si>
    <t>Luke Bates</t>
  </si>
  <si>
    <t>116 Sourwood Trail</t>
  </si>
  <si>
    <t>Fayetteville</t>
  </si>
  <si>
    <t>chantel_jones@sbcglobal.net</t>
  </si>
  <si>
    <t>payton_smith@sbcglobal.net</t>
  </si>
  <si>
    <t>Payton Smith</t>
  </si>
  <si>
    <t>4212 N Brookmont</t>
  </si>
  <si>
    <t>mckenna.catherine1028@gmail.com</t>
  </si>
  <si>
    <t>McKenna</t>
  </si>
  <si>
    <t>McKenna Little</t>
  </si>
  <si>
    <t>kayleeb.200@gmail.com</t>
  </si>
  <si>
    <t>Kaylee</t>
  </si>
  <si>
    <t>Beutler</t>
  </si>
  <si>
    <t>Kaylee Beutler</t>
  </si>
  <si>
    <t>1550 Snapdragon LN</t>
  </si>
  <si>
    <t>missybick1@aol.com</t>
  </si>
  <si>
    <t>branbick123@aol.com</t>
  </si>
  <si>
    <t>Bickerstaff</t>
  </si>
  <si>
    <t>Brandon Bickerstaff</t>
  </si>
  <si>
    <t>2612 Coral Stone Ct.</t>
  </si>
  <si>
    <t>Windermere</t>
  </si>
  <si>
    <t>annashores@libertyassurance.com</t>
  </si>
  <si>
    <t>claireshores@gmail.com</t>
  </si>
  <si>
    <t>Shores</t>
  </si>
  <si>
    <t>Anna Shores</t>
  </si>
  <si>
    <t>4604 Paradise Rd</t>
  </si>
  <si>
    <t>Bentonia</t>
  </si>
  <si>
    <t>cireese1@hotmail.com</t>
  </si>
  <si>
    <t>Admay15@hotmail.com</t>
  </si>
  <si>
    <t>Alexandra</t>
  </si>
  <si>
    <t>Alexandra May</t>
  </si>
  <si>
    <t>106 Major Circle</t>
  </si>
  <si>
    <t>Saltillo</t>
  </si>
  <si>
    <t>nbjesusfreak12@gmail.com</t>
  </si>
  <si>
    <t>Nicholas</t>
  </si>
  <si>
    <t>Nicholas Bell</t>
  </si>
  <si>
    <t>835 Karen Ct.</t>
  </si>
  <si>
    <t>cindypaul@comcast.net</t>
  </si>
  <si>
    <t>david.paul.1@hope.edu</t>
  </si>
  <si>
    <t>david</t>
  </si>
  <si>
    <t>paul</t>
  </si>
  <si>
    <t>david paul</t>
  </si>
  <si>
    <t>2060 St. Andrews Dr.</t>
  </si>
  <si>
    <t>Presto</t>
  </si>
  <si>
    <t>wolfpack07@iwichita.com</t>
  </si>
  <si>
    <t>hannah224@iwichita.com</t>
  </si>
  <si>
    <t>Wolfenberger</t>
  </si>
  <si>
    <t>Hannah Wolfenberger</t>
  </si>
  <si>
    <t>PO Box 29</t>
  </si>
  <si>
    <t>319 W.11th</t>
  </si>
  <si>
    <t>Newton</t>
  </si>
  <si>
    <t>janemomx7@aol.com</t>
  </si>
  <si>
    <t>Tuttlekids@aol.com</t>
  </si>
  <si>
    <t>Tuttle</t>
  </si>
  <si>
    <t>Elizabeth Tuttle</t>
  </si>
  <si>
    <t>1566 Chadderton Ct.</t>
  </si>
  <si>
    <t>ezrawoodward@gmail.com</t>
  </si>
  <si>
    <t>ezra</t>
  </si>
  <si>
    <t>woodward</t>
  </si>
  <si>
    <t>ezra woodward</t>
  </si>
  <si>
    <t>531 roy north road</t>
  </si>
  <si>
    <t>carrolton</t>
  </si>
  <si>
    <t>kristenk4@gmail.com</t>
  </si>
  <si>
    <t>josiah.kenniv@me.com</t>
  </si>
  <si>
    <t>Kenniv</t>
  </si>
  <si>
    <t>Josiah Kenniv</t>
  </si>
  <si>
    <t>2019 Phillips Rd.</t>
  </si>
  <si>
    <t>Lebanon</t>
  </si>
  <si>
    <t>mmjjwinkler@yahoo.com</t>
  </si>
  <si>
    <t>Winkler</t>
  </si>
  <si>
    <t>Jessica Winkler</t>
  </si>
  <si>
    <t>2123 Teakwood Dr.</t>
  </si>
  <si>
    <t>snyderwendy@sbcglobal.net</t>
  </si>
  <si>
    <t>KSnyder@my.kc.edu</t>
  </si>
  <si>
    <t>Snyder</t>
  </si>
  <si>
    <t>Kelsey Snyder</t>
  </si>
  <si>
    <t>715 Moorefield Ct</t>
  </si>
  <si>
    <t>Springfield</t>
  </si>
  <si>
    <t>Isingtohim247@gmail.com</t>
  </si>
  <si>
    <t>isingtohim247@gmail.com</t>
  </si>
  <si>
    <t>Miner</t>
  </si>
  <si>
    <t>Allison Miner</t>
  </si>
  <si>
    <t>1072 Via San Jose</t>
  </si>
  <si>
    <t>Newbury Park</t>
  </si>
  <si>
    <t>leslie2@afo.net</t>
  </si>
  <si>
    <t>peyton211@afo.net</t>
  </si>
  <si>
    <t>peyton</t>
  </si>
  <si>
    <t>holliday</t>
  </si>
  <si>
    <t>peyton holliday</t>
  </si>
  <si>
    <t>1536 Columbine drive</t>
  </si>
  <si>
    <t>jpforjc@gmail.com</t>
  </si>
  <si>
    <t>Street</t>
  </si>
  <si>
    <t>Joshua Street</t>
  </si>
  <si>
    <t>1115 East Hauser</t>
  </si>
  <si>
    <t>Litchfield</t>
  </si>
  <si>
    <t>kindria_mkay@yahoo.com</t>
  </si>
  <si>
    <t>animeking2020@gmail.com</t>
  </si>
  <si>
    <t>Rashad</t>
  </si>
  <si>
    <t>Rashad Ward</t>
  </si>
  <si>
    <t>5836 Crane</t>
  </si>
  <si>
    <t>Detroit</t>
  </si>
  <si>
    <t>rmilligan@blueridgehospice.org</t>
  </si>
  <si>
    <t>laurelmilligan@gmail.com</t>
  </si>
  <si>
    <t>Milligan</t>
  </si>
  <si>
    <t>Daniel Milligan</t>
  </si>
  <si>
    <t>1603 Valley Avenue</t>
  </si>
  <si>
    <t>philippsawyer@rocketmail.com</t>
  </si>
  <si>
    <t>Sawyer</t>
  </si>
  <si>
    <t>Philipp</t>
  </si>
  <si>
    <t>Sawyer Philipp</t>
  </si>
  <si>
    <t>292 34th st dr se</t>
  </si>
  <si>
    <t>Cedar Rapids</t>
  </si>
  <si>
    <t>jeffg777@comcast.net</t>
  </si>
  <si>
    <t>jgibbies@comcast.net</t>
  </si>
  <si>
    <t>Gibbs</t>
  </si>
  <si>
    <t>Jonathan Gibbs</t>
  </si>
  <si>
    <t>311 Briarwood Ln.</t>
  </si>
  <si>
    <t>Algonquin</t>
  </si>
  <si>
    <t>bakerblessings@bellsouth.net</t>
  </si>
  <si>
    <t>barista.baby2014@gmail.com</t>
  </si>
  <si>
    <t>Rilee</t>
  </si>
  <si>
    <t>Baker</t>
  </si>
  <si>
    <t>Rilee Baker</t>
  </si>
  <si>
    <t>580 Pruett Rd</t>
  </si>
  <si>
    <t>Dickson</t>
  </si>
  <si>
    <t>m8eagle8@gmail.com</t>
  </si>
  <si>
    <t>m8eagle8@gmai.com</t>
  </si>
  <si>
    <t>Lucero</t>
  </si>
  <si>
    <t>Michael Lucero</t>
  </si>
  <si>
    <t>PO Box 766</t>
  </si>
  <si>
    <t>Santa Clara</t>
  </si>
  <si>
    <t>sageharris17@gmail.com</t>
  </si>
  <si>
    <t>sage</t>
  </si>
  <si>
    <t>harris</t>
  </si>
  <si>
    <t>sage harris</t>
  </si>
  <si>
    <t>301 chandler lake ct</t>
  </si>
  <si>
    <t>fort worth</t>
  </si>
  <si>
    <t>lesandtiffany@comcast.net</t>
  </si>
  <si>
    <t>jt-mcclure@comcast.net</t>
  </si>
  <si>
    <t>McClure</t>
  </si>
  <si>
    <t>Justin McClure</t>
  </si>
  <si>
    <t>16016 39th Ave SE</t>
  </si>
  <si>
    <t>ian-mccclure@comcast.net</t>
  </si>
  <si>
    <t>Ian</t>
  </si>
  <si>
    <t>Mcclure</t>
  </si>
  <si>
    <t>Ian Mcclure</t>
  </si>
  <si>
    <t>16016 39th ave se</t>
  </si>
  <si>
    <t>bothell</t>
  </si>
  <si>
    <t>jgjlsmbl@gmail.com</t>
  </si>
  <si>
    <t>monicaaneeb@gmail.com</t>
  </si>
  <si>
    <t>Monica</t>
  </si>
  <si>
    <t>Neeb</t>
  </si>
  <si>
    <t>Monica Neeb</t>
  </si>
  <si>
    <t>5289 S State Road 9</t>
  </si>
  <si>
    <t>Fountaintown</t>
  </si>
  <si>
    <t>Dk_wood55@yahoo.com</t>
  </si>
  <si>
    <t>D.wood@hotmail.com</t>
  </si>
  <si>
    <t>Downey</t>
  </si>
  <si>
    <t>Wood</t>
  </si>
  <si>
    <t>Downey Wood</t>
  </si>
  <si>
    <t>9485 castle oaks dr</t>
  </si>
  <si>
    <t>Fountain</t>
  </si>
  <si>
    <t>veach4family@gmail.com</t>
  </si>
  <si>
    <t>eliseveach95@gmail.com</t>
  </si>
  <si>
    <t>Veach</t>
  </si>
  <si>
    <t>Elise Veach</t>
  </si>
  <si>
    <t>8938 Hirning Rd.</t>
  </si>
  <si>
    <t>Lenexa</t>
  </si>
  <si>
    <t>vandergriend5@att.net</t>
  </si>
  <si>
    <t>Vander Griend</t>
  </si>
  <si>
    <t>Justin Vander Griend</t>
  </si>
  <si>
    <t>12214 W. Ridgepoint St.</t>
  </si>
  <si>
    <t>homeiq@aol.com</t>
  </si>
  <si>
    <t>aprilsimmonds@gmail.com</t>
  </si>
  <si>
    <t>April</t>
  </si>
  <si>
    <t>Simmonds</t>
  </si>
  <si>
    <t>April Simmonds</t>
  </si>
  <si>
    <t>5370 Concession 6</t>
  </si>
  <si>
    <t>L9P 1R4</t>
  </si>
  <si>
    <t>nailedpromise@hotmail.com</t>
  </si>
  <si>
    <t>Spencer</t>
  </si>
  <si>
    <t>Delling</t>
  </si>
  <si>
    <t>Spencer Delling</t>
  </si>
  <si>
    <t>jennifermannar@netscape.net</t>
  </si>
  <si>
    <t>Mannar</t>
  </si>
  <si>
    <t>Jared Mannar</t>
  </si>
  <si>
    <t>6717 Dream Weaver Dr.</t>
  </si>
  <si>
    <t>juli_overton@yahoo.com</t>
  </si>
  <si>
    <t>themucker12@gmail.com</t>
  </si>
  <si>
    <t>Overton</t>
  </si>
  <si>
    <t>Hannah Overton</t>
  </si>
  <si>
    <t>2880 Arnold Avenue</t>
  </si>
  <si>
    <t>ceciliaanndrake@gmail.com</t>
  </si>
  <si>
    <t>ceciliaannDrake@hotmail.com</t>
  </si>
  <si>
    <t>Cecilia</t>
  </si>
  <si>
    <t>Cecilia Drake</t>
  </si>
  <si>
    <t>760 Columbia Road 71</t>
  </si>
  <si>
    <t>Waldo</t>
  </si>
  <si>
    <t>nathanstorm95@gmail.com</t>
  </si>
  <si>
    <t>Storm</t>
  </si>
  <si>
    <t>Nathan Storm</t>
  </si>
  <si>
    <t>19661 William st.</t>
  </si>
  <si>
    <t>vickiewheeler5@yahoo.com</t>
  </si>
  <si>
    <t>sweet.and.sour2014@gmail.com</t>
  </si>
  <si>
    <t>Wheeler</t>
  </si>
  <si>
    <t>Sarah Wheeler</t>
  </si>
  <si>
    <t>990 Coon Creek Rd</t>
  </si>
  <si>
    <t>jim.minnery@gmail.com</t>
  </si>
  <si>
    <t>Savanna</t>
  </si>
  <si>
    <t>Minnery</t>
  </si>
  <si>
    <t>Savanna Minnery</t>
  </si>
  <si>
    <t>PO Box 231425</t>
  </si>
  <si>
    <t>drdillardlm@aol.com</t>
  </si>
  <si>
    <t>mldillard0308@yahoo.com</t>
  </si>
  <si>
    <t>Dillard</t>
  </si>
  <si>
    <t>Luke Dillard</t>
  </si>
  <si>
    <t>1385 Ch Rankin Road</t>
  </si>
  <si>
    <t>White Pine</t>
  </si>
  <si>
    <t>rick_partin@huntsman.com</t>
  </si>
  <si>
    <t>jrpartin@bellsouth.net</t>
  </si>
  <si>
    <t>Partin</t>
  </si>
  <si>
    <t>John Partin</t>
  </si>
  <si>
    <t>508 Hedgewood Terrace</t>
  </si>
  <si>
    <t>Greer</t>
  </si>
  <si>
    <t>kcfootballchick1963@yahoo.com</t>
  </si>
  <si>
    <t>botkin.haden@gmail.com</t>
  </si>
  <si>
    <t>Haden</t>
  </si>
  <si>
    <t>Botkin</t>
  </si>
  <si>
    <t>Haden Botkin</t>
  </si>
  <si>
    <t>503 Chestnut St</t>
  </si>
  <si>
    <t>Blue Rapids</t>
  </si>
  <si>
    <t>avhickstn@aol.com</t>
  </si>
  <si>
    <t>Hicks</t>
  </si>
  <si>
    <t>Andrew Hicks</t>
  </si>
  <si>
    <t>700 Shockley Ave.</t>
  </si>
  <si>
    <t>Morristown</t>
  </si>
  <si>
    <t>deliver2chris@netscape.net</t>
  </si>
  <si>
    <t>btoles@nmsu.edu</t>
  </si>
  <si>
    <t>Brian</t>
  </si>
  <si>
    <t>Toles</t>
  </si>
  <si>
    <t>Brian Toles</t>
  </si>
  <si>
    <t>Box 1963</t>
  </si>
  <si>
    <t>siffordsfour@yahoo.com</t>
  </si>
  <si>
    <t>siffordsfourl@yahoo.com</t>
  </si>
  <si>
    <t>Sifford</t>
  </si>
  <si>
    <t>Josiah Sifford</t>
  </si>
  <si>
    <t>65418 Barleon Road</t>
  </si>
  <si>
    <t>McArthur</t>
  </si>
  <si>
    <t>sarahg.fraser@gmail.com</t>
  </si>
  <si>
    <t>Fraser</t>
  </si>
  <si>
    <t>Sarah Fraser</t>
  </si>
  <si>
    <t>9349 S CR 575 W</t>
  </si>
  <si>
    <t>Knightstown</t>
  </si>
  <si>
    <t>kawannop@hotmail.com</t>
  </si>
  <si>
    <t>sam.wannop@hotmail.com</t>
  </si>
  <si>
    <t>Wannop</t>
  </si>
  <si>
    <t>Sam Wannop</t>
  </si>
  <si>
    <t>36 Heather Ave</t>
  </si>
  <si>
    <t>Cambridge</t>
  </si>
  <si>
    <t>N3C 3C2</t>
  </si>
  <si>
    <t>eelsanadi@gmail.com</t>
  </si>
  <si>
    <t>El Sanadi</t>
  </si>
  <si>
    <t>Emily El Sanadi</t>
  </si>
  <si>
    <t>14959 Hillbrook Circle</t>
  </si>
  <si>
    <t>jbealor@verizon.net</t>
  </si>
  <si>
    <t>qbealor@verizon.net</t>
  </si>
  <si>
    <t>Bealor</t>
  </si>
  <si>
    <t>Jesse Bealor</t>
  </si>
  <si>
    <t>13306 Meadow Wood Ct</t>
  </si>
  <si>
    <t>Tampa</t>
  </si>
  <si>
    <t>khrodenhausen@unomaha.edu</t>
  </si>
  <si>
    <t>KHRodenhausen@unomaha.edu</t>
  </si>
  <si>
    <t>Kyle</t>
  </si>
  <si>
    <t>Rodenhausen</t>
  </si>
  <si>
    <t>Kyle Rodenhausen</t>
  </si>
  <si>
    <t>2120 Franklin Drive</t>
  </si>
  <si>
    <t>Papillion</t>
  </si>
  <si>
    <t>hnoyes@gfwireless.com</t>
  </si>
  <si>
    <t>Noyes</t>
  </si>
  <si>
    <t>Hannah Noyes</t>
  </si>
  <si>
    <t>7025 16th St. SE</t>
  </si>
  <si>
    <t>Grand Forks</t>
  </si>
  <si>
    <t>jenny@schroeder1.com</t>
  </si>
  <si>
    <t>Schroeder</t>
  </si>
  <si>
    <t>Jennifer Schroeder</t>
  </si>
  <si>
    <t>12772 Gordon Drive</t>
  </si>
  <si>
    <t>pkarram@hotmail.com</t>
  </si>
  <si>
    <t>ckarram@gmail.com</t>
  </si>
  <si>
    <t>Karram</t>
  </si>
  <si>
    <t>Courtney Karram</t>
  </si>
  <si>
    <t>321 E Conference Dr</t>
  </si>
  <si>
    <t>laquart@gmail.com</t>
  </si>
  <si>
    <t>saquart95@gmail.com</t>
  </si>
  <si>
    <t>Sydne</t>
  </si>
  <si>
    <t>Aquart</t>
  </si>
  <si>
    <t>Sydne Aquart</t>
  </si>
  <si>
    <t>13340 SW 98 Place</t>
  </si>
  <si>
    <t>rsk3436@att.net</t>
  </si>
  <si>
    <t>Jane</t>
  </si>
  <si>
    <t>Koval</t>
  </si>
  <si>
    <t>Jane Koval</t>
  </si>
  <si>
    <t>3436 E Wilson Drive</t>
  </si>
  <si>
    <t>Mooresville</t>
  </si>
  <si>
    <t>2015jillybean@gmail.com</t>
  </si>
  <si>
    <t>Jill Koval</t>
  </si>
  <si>
    <t>sammy.jaber@yahoo.com</t>
  </si>
  <si>
    <t>husam</t>
  </si>
  <si>
    <t>jaber</t>
  </si>
  <si>
    <t>husam jaber</t>
  </si>
  <si>
    <t>4435 franklin ave</t>
  </si>
  <si>
    <t>western springs</t>
  </si>
  <si>
    <t>trayer.shelly@gmail.com</t>
  </si>
  <si>
    <t>ashley.trayer@gmail.com</t>
  </si>
  <si>
    <t>Trayer</t>
  </si>
  <si>
    <t>Ashley Trayer</t>
  </si>
  <si>
    <t>14128 South Fork</t>
  </si>
  <si>
    <t>Aviston</t>
  </si>
  <si>
    <t>wab25@dnet.net</t>
  </si>
  <si>
    <t>Christy</t>
  </si>
  <si>
    <t>Barton</t>
  </si>
  <si>
    <t>Christy Barton</t>
  </si>
  <si>
    <t>416 Rabbit Creek Road</t>
  </si>
  <si>
    <t>greg@geneseo.net</t>
  </si>
  <si>
    <t>Longbons</t>
  </si>
  <si>
    <t>Tessa Longbons</t>
  </si>
  <si>
    <t>27050 Ridge Road</t>
  </si>
  <si>
    <t>Prophetstown</t>
  </si>
  <si>
    <t>joshkettelkamp@yahoo.com</t>
  </si>
  <si>
    <t>Kettelkamp</t>
  </si>
  <si>
    <t>Joshua Kettelkamp</t>
  </si>
  <si>
    <t>1310 Secrist Rd</t>
  </si>
  <si>
    <t>Marion</t>
  </si>
  <si>
    <t>codymb36@gmail.com</t>
  </si>
  <si>
    <t>Cody Brooks</t>
  </si>
  <si>
    <t>615 Ashford Dr. NE</t>
  </si>
  <si>
    <t>kitzmillerfamily@columbus.rr.com</t>
  </si>
  <si>
    <t>saved@columbus.rr.com</t>
  </si>
  <si>
    <t>Corbin</t>
  </si>
  <si>
    <t>Kitzmiller</t>
  </si>
  <si>
    <t>Corbin Kitzmiller</t>
  </si>
  <si>
    <t>9445 Strawser St</t>
  </si>
  <si>
    <t>Orient</t>
  </si>
  <si>
    <t>199ranch@gmail.com</t>
  </si>
  <si>
    <t>Newman-Mariotti</t>
  </si>
  <si>
    <t>Hannah Newman-Mariotti</t>
  </si>
  <si>
    <t>10529 S.W. 30th St</t>
  </si>
  <si>
    <t>Towanda</t>
  </si>
  <si>
    <t>Tyree1@gmail.com</t>
  </si>
  <si>
    <t>marshalltyree@gmail.com</t>
  </si>
  <si>
    <t>Marshall</t>
  </si>
  <si>
    <t>Tyree</t>
  </si>
  <si>
    <t>Marshall Tyree</t>
  </si>
  <si>
    <t>414 Pine Ridge Road</t>
  </si>
  <si>
    <t>kimbabeep@gmail.com</t>
  </si>
  <si>
    <t>natalieparrott@gmail.com</t>
  </si>
  <si>
    <t>Parrott</t>
  </si>
  <si>
    <t>Natalie Parrott</t>
  </si>
  <si>
    <t>599 Seven Oaks Road</t>
  </si>
  <si>
    <t>storsethfamily@hotmail.com</t>
  </si>
  <si>
    <t>Storseth</t>
  </si>
  <si>
    <t>Gabriel Storseth</t>
  </si>
  <si>
    <t>3219 Signal Hill Dr.</t>
  </si>
  <si>
    <t>Friendswood</t>
  </si>
  <si>
    <t>katherine.gardner@sckans.edu</t>
  </si>
  <si>
    <t>katiegardner4@gmail.com</t>
  </si>
  <si>
    <t>Gardner</t>
  </si>
  <si>
    <t>Katherine Gardner</t>
  </si>
  <si>
    <t>501 E. 11th Ave</t>
  </si>
  <si>
    <t>Winfield</t>
  </si>
  <si>
    <t>zayitbranch@yahoo.com</t>
  </si>
  <si>
    <t>bngarcia95@gmail.com</t>
  </si>
  <si>
    <t>Garcia</t>
  </si>
  <si>
    <t>Brittany Garcia</t>
  </si>
  <si>
    <t>4962 CR 16</t>
  </si>
  <si>
    <t>Cotopaxi</t>
  </si>
  <si>
    <t>cyjuan77@gmail.com</t>
  </si>
  <si>
    <t>thejonathanjuan@gmail.com</t>
  </si>
  <si>
    <t>Juan</t>
  </si>
  <si>
    <t>Jonathan Juan</t>
  </si>
  <si>
    <t>215 South Canterbury Drive</t>
  </si>
  <si>
    <t>Carbondale</t>
  </si>
  <si>
    <t>djulrichs@bresnan.net</t>
  </si>
  <si>
    <t>hulrichs@hotmail.com</t>
  </si>
  <si>
    <t>Ulrichs</t>
  </si>
  <si>
    <t>Hannah Ulrichs</t>
  </si>
  <si>
    <t>2620 Lake Elmo Dr</t>
  </si>
  <si>
    <t>Billings</t>
  </si>
  <si>
    <t>writing-class@hotmail.com</t>
  </si>
  <si>
    <t>drewknight3@gmail.com</t>
  </si>
  <si>
    <t>Knight</t>
  </si>
  <si>
    <t>Andrew Knight</t>
  </si>
  <si>
    <t>18433 12th Avenue West</t>
  </si>
  <si>
    <t>stephi.sparks@gmail.com</t>
  </si>
  <si>
    <t>Stephanie</t>
  </si>
  <si>
    <t>Sparks</t>
  </si>
  <si>
    <t>Stephanie Sparks</t>
  </si>
  <si>
    <t>2208 Creekside Dr</t>
  </si>
  <si>
    <t>mf-schneider@sbcglobal.net</t>
  </si>
  <si>
    <t>Marc</t>
  </si>
  <si>
    <t>Schneider</t>
  </si>
  <si>
    <t>Marc Schneider</t>
  </si>
  <si>
    <t>3810 76th Street</t>
  </si>
  <si>
    <t>kingeseige@gmail.com</t>
  </si>
  <si>
    <t>Jahn</t>
  </si>
  <si>
    <t>Christian Jahn</t>
  </si>
  <si>
    <t>3837 Thornton Ave</t>
  </si>
  <si>
    <t>timfrancis@centuytel.net</t>
  </si>
  <si>
    <t>timfrancis@centurytel.net</t>
  </si>
  <si>
    <t>Francis</t>
  </si>
  <si>
    <t>Aaron Francis</t>
  </si>
  <si>
    <t>10389 Fishback road</t>
  </si>
  <si>
    <t>Gravette</t>
  </si>
  <si>
    <t>victoria-sue@yahoo.com</t>
  </si>
  <si>
    <t>victoria_sue@yahoo.com</t>
  </si>
  <si>
    <t>Richardson</t>
  </si>
  <si>
    <t>Victoria Richardson</t>
  </si>
  <si>
    <t>8604 Horton Circle</t>
  </si>
  <si>
    <t>jcolepaugh@gmail.com</t>
  </si>
  <si>
    <t>Colepaugh</t>
  </si>
  <si>
    <t>Nicholas Colepaugh</t>
  </si>
  <si>
    <t>9104 Arbourgate Meadows Lane</t>
  </si>
  <si>
    <t>schmidt2012@kc.rr.com</t>
  </si>
  <si>
    <t>caschmid95@gmail.com</t>
  </si>
  <si>
    <t>Charlie</t>
  </si>
  <si>
    <t>Charlie Schmidt</t>
  </si>
  <si>
    <t>13016 W 69th St.</t>
  </si>
  <si>
    <t>Shawnee</t>
  </si>
  <si>
    <t>evanman@frontiernet.net</t>
  </si>
  <si>
    <t>Jennings</t>
  </si>
  <si>
    <t>Evan Jennings</t>
  </si>
  <si>
    <t>9678 East Road</t>
  </si>
  <si>
    <t>Lowville</t>
  </si>
  <si>
    <t>calebtrayer@gmail.com</t>
  </si>
  <si>
    <t>Caleb Trayer</t>
  </si>
  <si>
    <t>gabriellathemayer94@gmail.com</t>
  </si>
  <si>
    <t>Gabriella</t>
  </si>
  <si>
    <t>Mayer</t>
  </si>
  <si>
    <t>Gabriella Mayer</t>
  </si>
  <si>
    <t>7615 Winding Oaks Drive</t>
  </si>
  <si>
    <t>kariv90@comcast.net</t>
  </si>
  <si>
    <t>tatumv13@gmail.com</t>
  </si>
  <si>
    <t>Tatum</t>
  </si>
  <si>
    <t>Volf</t>
  </si>
  <si>
    <t>Tatum Volf</t>
  </si>
  <si>
    <t>2245 Bluebird Dr.</t>
  </si>
  <si>
    <t>tvcs@fmtc.com</t>
  </si>
  <si>
    <t>Montessa</t>
  </si>
  <si>
    <t>Winebarger</t>
  </si>
  <si>
    <t>Montessa Winebarger</t>
  </si>
  <si>
    <t>1662 Pennington Dr</t>
  </si>
  <si>
    <t>bbedard@optonline.net</t>
  </si>
  <si>
    <t>ebag123@gmail.com</t>
  </si>
  <si>
    <t>Bedard</t>
  </si>
  <si>
    <t>Gabriel Bedard</t>
  </si>
  <si>
    <t>88 Carletondale Road</t>
  </si>
  <si>
    <t>Ringwood</t>
  </si>
  <si>
    <t>NJ</t>
  </si>
  <si>
    <t>Hiatt</t>
  </si>
  <si>
    <t>Hailey Hiatt</t>
  </si>
  <si>
    <t>2200  Sunset Drive</t>
  </si>
  <si>
    <t>Selena</t>
  </si>
  <si>
    <t>Selena Hernandez</t>
  </si>
  <si>
    <t>1743 Pennington Dr.</t>
  </si>
  <si>
    <t>kennethwicker@icloud.com</t>
  </si>
  <si>
    <t>bjwicker@mac.com</t>
  </si>
  <si>
    <t>Wicker</t>
  </si>
  <si>
    <t>Benjamin Wicker</t>
  </si>
  <si>
    <t>1264 Sweet Williams Lane</t>
  </si>
  <si>
    <t>New Market</t>
  </si>
  <si>
    <t>brookiepo@gmail.com</t>
  </si>
  <si>
    <t>Polek</t>
  </si>
  <si>
    <t>Brooke Polek</t>
  </si>
  <si>
    <t>1301 Mica Mountain Road</t>
  </si>
  <si>
    <t>Deary</t>
  </si>
  <si>
    <t>duella2@asme.org</t>
  </si>
  <si>
    <t>bryanduell@reagan.com</t>
  </si>
  <si>
    <t>Bryan Duell</t>
  </si>
  <si>
    <t>eden.reeves@yahoo.com</t>
  </si>
  <si>
    <t>Eden</t>
  </si>
  <si>
    <t>Eden Reeves</t>
  </si>
  <si>
    <t>2112 Pintail Drive</t>
  </si>
  <si>
    <t>dwhuber@newulmtel.net</t>
  </si>
  <si>
    <t>chris.huber12@hotmail.com</t>
  </si>
  <si>
    <t>Huber</t>
  </si>
  <si>
    <t>Christopher Huber</t>
  </si>
  <si>
    <t>1809 Ashland Road</t>
  </si>
  <si>
    <t>New Ulm</t>
  </si>
  <si>
    <t>d.bunch4@yahoo.com</t>
  </si>
  <si>
    <t>Sierra</t>
  </si>
  <si>
    <t>Bunch</t>
  </si>
  <si>
    <t>Sierra Bunch</t>
  </si>
  <si>
    <t>7401 Watford Ave.</t>
  </si>
  <si>
    <t>Baton Rouge</t>
  </si>
  <si>
    <t>rugby.mclean@gmail.com</t>
  </si>
  <si>
    <t>McLean</t>
  </si>
  <si>
    <t>Daniel McLean</t>
  </si>
  <si>
    <t>4012 Milano Lane</t>
  </si>
  <si>
    <t>emmachristinejones@me.com</t>
  </si>
  <si>
    <t>Emma Jones</t>
  </si>
  <si>
    <t>3830 Woodburn St</t>
  </si>
  <si>
    <t>dstuk@newulmtel.net</t>
  </si>
  <si>
    <t>davestuk2@gmail.com</t>
  </si>
  <si>
    <t>Stuk</t>
  </si>
  <si>
    <t>David Stuk</t>
  </si>
  <si>
    <t>18696 Frontier Lane</t>
  </si>
  <si>
    <t>jlapjones@centurylink.net</t>
  </si>
  <si>
    <t>Patrick</t>
  </si>
  <si>
    <t>Patrick Jones</t>
  </si>
  <si>
    <t>13106 Hwy 164</t>
  </si>
  <si>
    <t>Clarksville</t>
  </si>
  <si>
    <t>wax6moon@aol.com</t>
  </si>
  <si>
    <t>ashleyheartshachie@yahoo.com</t>
  </si>
  <si>
    <t>Moon</t>
  </si>
  <si>
    <t>Ashley Moon</t>
  </si>
  <si>
    <t>317 East University Avenue</t>
  </si>
  <si>
    <t>Waxahachie</t>
  </si>
  <si>
    <t>glynne.a.davis@gmail.com</t>
  </si>
  <si>
    <t>Glynne</t>
  </si>
  <si>
    <t>Glynne Davis</t>
  </si>
  <si>
    <t>11251 152nd Rd</t>
  </si>
  <si>
    <t>marrfam@gmail.com</t>
  </si>
  <si>
    <t>Marr</t>
  </si>
  <si>
    <t>Stephen Marr</t>
  </si>
  <si>
    <t>211 west 4th street</t>
  </si>
  <si>
    <t>PO BOX 342</t>
  </si>
  <si>
    <t>Flagler</t>
  </si>
  <si>
    <t>auvyloo@gmail.com</t>
  </si>
  <si>
    <t>Evangeline</t>
  </si>
  <si>
    <t>Evangeline Marr</t>
  </si>
  <si>
    <t>PO Box 342</t>
  </si>
  <si>
    <t>aidan.keefe.s@gmail.com</t>
  </si>
  <si>
    <t>Aidan</t>
  </si>
  <si>
    <t>Aidan Sawyer</t>
  </si>
  <si>
    <t>211 County Highway 52</t>
  </si>
  <si>
    <t>Rockstarjames1@aol.com</t>
  </si>
  <si>
    <t>rockstarjames1@aol.com</t>
  </si>
  <si>
    <t>James Taylor</t>
  </si>
  <si>
    <t>7715 Grover Avenue</t>
  </si>
  <si>
    <t>jlasche@cybermesa.com</t>
  </si>
  <si>
    <t>alasche@gmail.com</t>
  </si>
  <si>
    <t>Lasche</t>
  </si>
  <si>
    <t>Anna Lasche</t>
  </si>
  <si>
    <t>1508  Silver Ave SW</t>
  </si>
  <si>
    <t>Albuquerque</t>
  </si>
  <si>
    <t>Andrew.carleton02@gmail.com</t>
  </si>
  <si>
    <t>Carleton</t>
  </si>
  <si>
    <t>Andrew Carleton</t>
  </si>
  <si>
    <t>15750 Willo Pines Lane</t>
  </si>
  <si>
    <t>Montverde</t>
  </si>
  <si>
    <t>slhavekost@iquest.net</t>
  </si>
  <si>
    <t>Havekost</t>
  </si>
  <si>
    <t>Hope Havekost</t>
  </si>
  <si>
    <t>3600 E 250 S</t>
  </si>
  <si>
    <t>empeck96@gmail.com</t>
  </si>
  <si>
    <t>Peck</t>
  </si>
  <si>
    <t>Emily Peck</t>
  </si>
  <si>
    <t>PO Box 1347</t>
  </si>
  <si>
    <t>Cripple Creek</t>
  </si>
  <si>
    <t>cacinteriors@mac.com</t>
  </si>
  <si>
    <t>gracecolombo21@gmail.com</t>
  </si>
  <si>
    <t>Colombo</t>
  </si>
  <si>
    <t>Grace Colombo</t>
  </si>
  <si>
    <t>9209 Westview Circle</t>
  </si>
  <si>
    <t>allyclaw3949@yahoo.com</t>
  </si>
  <si>
    <t>allison.clawson@gmail.com</t>
  </si>
  <si>
    <t>Clawson</t>
  </si>
  <si>
    <t>Allison Clawson</t>
  </si>
  <si>
    <t>2887 57th Ave</t>
  </si>
  <si>
    <t>Princeton</t>
  </si>
  <si>
    <t>soccerotis.95@gmail.com</t>
  </si>
  <si>
    <t>soccer.otis95@gmail.com</t>
  </si>
  <si>
    <t>Otis</t>
  </si>
  <si>
    <t>Naomi Otis</t>
  </si>
  <si>
    <t>11 Torrey Hill Range Road</t>
  </si>
  <si>
    <t>Freeport</t>
  </si>
  <si>
    <t>ME</t>
  </si>
  <si>
    <t>mayfulong@gmail.com</t>
  </si>
  <si>
    <t>wlong0827@gmail.com</t>
  </si>
  <si>
    <t>William Long</t>
  </si>
  <si>
    <t>4105 Dornoch Lane</t>
  </si>
  <si>
    <t>fuhr0060@umn.edu</t>
  </si>
  <si>
    <t>Alyssa</t>
  </si>
  <si>
    <t>Fuhrman</t>
  </si>
  <si>
    <t>Alyssa Fuhrman</t>
  </si>
  <si>
    <t>1031 Lake Susan Drive</t>
  </si>
  <si>
    <t>Chanhassen</t>
  </si>
  <si>
    <t>margi.ehrke@almacardinals.org</t>
  </si>
  <si>
    <t>aehrke@hotmail.com</t>
  </si>
  <si>
    <t>Andrea</t>
  </si>
  <si>
    <t>Ehrke</t>
  </si>
  <si>
    <t>Andrea Ehrke</t>
  </si>
  <si>
    <t>P.O. Box 985</t>
  </si>
  <si>
    <t>Alma</t>
  </si>
  <si>
    <t>tjsprik@msn.com</t>
  </si>
  <si>
    <t>jms6548@psu.edu</t>
  </si>
  <si>
    <t>Sprik</t>
  </si>
  <si>
    <t>Jordan Sprik</t>
  </si>
  <si>
    <t>401 Berry Lane</t>
  </si>
  <si>
    <t>Media</t>
  </si>
  <si>
    <t>cooperkelemen@mac.com</t>
  </si>
  <si>
    <t>Kelemen</t>
  </si>
  <si>
    <t>Cooper Kelemen</t>
  </si>
  <si>
    <t>6132 Saratoga Circle</t>
  </si>
  <si>
    <t>normrob@hotmail.com</t>
  </si>
  <si>
    <t>Jannessa</t>
  </si>
  <si>
    <t>Mariscal</t>
  </si>
  <si>
    <t>Jannessa Mariscal</t>
  </si>
  <si>
    <t>34932 Ave H</t>
  </si>
  <si>
    <t>Yucaipa</t>
  </si>
  <si>
    <t>skticknor@aol.com</t>
  </si>
  <si>
    <t>Abbeytol@aol.com</t>
  </si>
  <si>
    <t>Ticknor</t>
  </si>
  <si>
    <t>Abigail Ticknor</t>
  </si>
  <si>
    <t>8392 Gallop Dr.</t>
  </si>
  <si>
    <t>sevenknowles@myfairpoint.net</t>
  </si>
  <si>
    <t>patriot.sniper@gmail.com</t>
  </si>
  <si>
    <t>Jeremy</t>
  </si>
  <si>
    <t>Knowles</t>
  </si>
  <si>
    <t>Jeremy Knowles</t>
  </si>
  <si>
    <t>139 Maquoit Rd</t>
  </si>
  <si>
    <t>Brunswick</t>
  </si>
  <si>
    <t>andbldg@cal.net</t>
  </si>
  <si>
    <t>luvstoswim@gmail.com</t>
  </si>
  <si>
    <t>Kevin Anderson</t>
  </si>
  <si>
    <t>3327 Granada Dr.</t>
  </si>
  <si>
    <t>Cameron Park</t>
  </si>
  <si>
    <t>danielhinten@centurytel.net</t>
  </si>
  <si>
    <t>hintend@gmail.com</t>
  </si>
  <si>
    <t>Donald</t>
  </si>
  <si>
    <t>Hinten</t>
  </si>
  <si>
    <t>Donald Hinten</t>
  </si>
  <si>
    <t>1057 business 60-63</t>
  </si>
  <si>
    <t>willow springs</t>
  </si>
  <si>
    <t>dkb.bash@gmail.com</t>
  </si>
  <si>
    <t>Denby</t>
  </si>
  <si>
    <t>Bash</t>
  </si>
  <si>
    <t>Denby Bash</t>
  </si>
  <si>
    <t>P.O. Box 1559</t>
  </si>
  <si>
    <t>StephyAriana94@live.com</t>
  </si>
  <si>
    <t>Stephanie Garcia</t>
  </si>
  <si>
    <t>1032 Saratoga Dr NE</t>
  </si>
  <si>
    <t>Rio Rancho</t>
  </si>
  <si>
    <t>kaseylange@ymail.com</t>
  </si>
  <si>
    <t>Kasey</t>
  </si>
  <si>
    <t>Lange</t>
  </si>
  <si>
    <t>Kasey Lange</t>
  </si>
  <si>
    <t>553 Red Maple Drive</t>
  </si>
  <si>
    <t>Mandeville</t>
  </si>
  <si>
    <t>bs2alaska2@aol.com</t>
  </si>
  <si>
    <t>nathanmswan@gamail.com</t>
  </si>
  <si>
    <t>Swan</t>
  </si>
  <si>
    <t>Nathan Swan</t>
  </si>
  <si>
    <t>5015 E. 98th Ave</t>
  </si>
  <si>
    <t>khhanfield@gmail.com</t>
  </si>
  <si>
    <t>Noel</t>
  </si>
  <si>
    <t>Field</t>
  </si>
  <si>
    <t>Noel Field</t>
  </si>
  <si>
    <t>carstensenclaire@gmail.com</t>
  </si>
  <si>
    <t>Carstensen</t>
  </si>
  <si>
    <t>Claire Carstensen</t>
  </si>
  <si>
    <t>2486 Sanctuary Cir</t>
  </si>
  <si>
    <t>Fairfield</t>
  </si>
  <si>
    <t>echaffin@swbell.net</t>
  </si>
  <si>
    <t>ryan.chaffin@yahoo.com</t>
  </si>
  <si>
    <t>Chaffin</t>
  </si>
  <si>
    <t>Ryan Chaffin</t>
  </si>
  <si>
    <t>6530 8th St</t>
  </si>
  <si>
    <t>diananeumann@live.com</t>
  </si>
  <si>
    <t>abramneumann@live.com</t>
  </si>
  <si>
    <t>Abram</t>
  </si>
  <si>
    <t>Neumann</t>
  </si>
  <si>
    <t>Abram Neumann</t>
  </si>
  <si>
    <t>360 Quinlan Ave. S</t>
  </si>
  <si>
    <t>StephanieHowey@gmail.com</t>
  </si>
  <si>
    <t>josiah.howey@gmail.com</t>
  </si>
  <si>
    <t>Howey</t>
  </si>
  <si>
    <t>Josiah Howey</t>
  </si>
  <si>
    <t>1251 Scranton Street</t>
  </si>
  <si>
    <t>b.decker@jvcs.org</t>
  </si>
  <si>
    <t>donnie.w.decker@gmail.com</t>
  </si>
  <si>
    <t>Decker</t>
  </si>
  <si>
    <t>Donald Decker</t>
  </si>
  <si>
    <t>40106 176th St</t>
  </si>
  <si>
    <t>Frankfort</t>
  </si>
  <si>
    <t>kagriffindesign@gmail.com</t>
  </si>
  <si>
    <t>Samuel Griffin</t>
  </si>
  <si>
    <t>813 Oakland Drive</t>
  </si>
  <si>
    <t>Sparta</t>
  </si>
  <si>
    <t>hyacinthgal@gmail.com</t>
  </si>
  <si>
    <t>kathleenmcguire@clearwater.edu</t>
  </si>
  <si>
    <t>Kathleen McGuire</t>
  </si>
  <si>
    <t>9998 56th ave n</t>
  </si>
  <si>
    <t>St PetersBurg</t>
  </si>
  <si>
    <t>deemclan@yahoo.com</t>
  </si>
  <si>
    <t>kennedy.deem@gmail.com</t>
  </si>
  <si>
    <t>Deem</t>
  </si>
  <si>
    <t>Kennedy Deem</t>
  </si>
  <si>
    <t>359 Laurel Dr.</t>
  </si>
  <si>
    <t>Aylett</t>
  </si>
  <si>
    <t>Wood.dmwood1@gmail.com</t>
  </si>
  <si>
    <t>Savannah.dmwood1@gmail.com</t>
  </si>
  <si>
    <t>Savannah Wood</t>
  </si>
  <si>
    <t>4317 W 102nd St N</t>
  </si>
  <si>
    <t>Colfax</t>
  </si>
  <si>
    <t>rockfamily1@bellsouth.net</t>
  </si>
  <si>
    <t>iontstorm@bellsouth.net</t>
  </si>
  <si>
    <t>Rock</t>
  </si>
  <si>
    <t>Andrew Rock</t>
  </si>
  <si>
    <t>12582 Renaee Circle</t>
  </si>
  <si>
    <t>Mc Calla</t>
  </si>
  <si>
    <t>nm4sandra@yahoo.com</t>
  </si>
  <si>
    <t>nmluke@yahoo.com</t>
  </si>
  <si>
    <t>Luke Pierce</t>
  </si>
  <si>
    <t>Burton Meadows Dr. NE</t>
  </si>
  <si>
    <t>wise.mom3@gmail.com</t>
  </si>
  <si>
    <t>wise.son2@gmail.com</t>
  </si>
  <si>
    <t>Jack</t>
  </si>
  <si>
    <t>Wise</t>
  </si>
  <si>
    <t>Jack Wise</t>
  </si>
  <si>
    <t>3131 Corrib Drive</t>
  </si>
  <si>
    <t>ncledgett@yahoo.com</t>
  </si>
  <si>
    <t>Cledgett</t>
  </si>
  <si>
    <t>Jonathan Cledgett</t>
  </si>
  <si>
    <t>2235 Gile Hollow Road</t>
  </si>
  <si>
    <t>Hinsdale</t>
  </si>
  <si>
    <t>shmill87@yahoo.com</t>
  </si>
  <si>
    <t>Heidi</t>
  </si>
  <si>
    <t>Mathems</t>
  </si>
  <si>
    <t>Heidi Mathems</t>
  </si>
  <si>
    <t>bpaldrich@yahoo.com</t>
  </si>
  <si>
    <t>bpaldrich@yahoo.coom</t>
  </si>
  <si>
    <t>Aldrich</t>
  </si>
  <si>
    <t>Bradley Aldrich</t>
  </si>
  <si>
    <t>409 34th St. NE</t>
  </si>
  <si>
    <t>ARV7@Cornell.edu</t>
  </si>
  <si>
    <t>ashleevanasse@gmail.com</t>
  </si>
  <si>
    <t>Vanasse</t>
  </si>
  <si>
    <t>Elizabeth Vanasse</t>
  </si>
  <si>
    <t>207 South Staghorn Lane</t>
  </si>
  <si>
    <t>walkerfamily9@comcast.net</t>
  </si>
  <si>
    <t>joywalker@comcast.net</t>
  </si>
  <si>
    <t>Walker</t>
  </si>
  <si>
    <t>Joy Walker</t>
  </si>
  <si>
    <t>804 W. Outer Drive</t>
  </si>
  <si>
    <t>Oak RIdge</t>
  </si>
  <si>
    <t>pjvast5@yahoo.com</t>
  </si>
  <si>
    <t>Vastbinder</t>
  </si>
  <si>
    <t>Peter Vastbinder</t>
  </si>
  <si>
    <t>7652 Lodge Pole Trail</t>
  </si>
  <si>
    <t>danacr8ive@hotmail.com</t>
  </si>
  <si>
    <t>sarahsintomusic@gmail.com</t>
  </si>
  <si>
    <t>Hammett</t>
  </si>
  <si>
    <t>Sarah Hammett</t>
  </si>
  <si>
    <t>6533 Pisgah Church rd</t>
  </si>
  <si>
    <t>wenseashell@aol.com</t>
  </si>
  <si>
    <t>robbytiptontol@yahoo.com</t>
  </si>
  <si>
    <t>Tipton</t>
  </si>
  <si>
    <t>Robert Tipton</t>
  </si>
  <si>
    <t>1661 Kaiser Drive</t>
  </si>
  <si>
    <t>Reynoldsburg</t>
  </si>
  <si>
    <t>ropingotter@gmail.com</t>
  </si>
  <si>
    <t>Joshua Snyder</t>
  </si>
  <si>
    <t>13111 Johnson Road</t>
  </si>
  <si>
    <t>Churubusco</t>
  </si>
  <si>
    <t>christy1slaton@yahoo.com</t>
  </si>
  <si>
    <t>jeslaton@gmail.com</t>
  </si>
  <si>
    <t>Slaton</t>
  </si>
  <si>
    <t>Jordan Slaton</t>
  </si>
  <si>
    <t>6837 Fielder Rd.</t>
  </si>
  <si>
    <t>jumpn4joy95@gmail.com</t>
  </si>
  <si>
    <t>Hannah Snyder</t>
  </si>
  <si>
    <t>mommamargo@gmail.com</t>
  </si>
  <si>
    <t>hadassahre@gmail.com</t>
  </si>
  <si>
    <t>Hadassah</t>
  </si>
  <si>
    <t>DeLong</t>
  </si>
  <si>
    <t>Hadassah DeLong</t>
  </si>
  <si>
    <t>112 Walnut Drive</t>
  </si>
  <si>
    <t>Pampa</t>
  </si>
  <si>
    <t>pat.amsden@campappanoose.org</t>
  </si>
  <si>
    <t>Kamaal</t>
  </si>
  <si>
    <t>Amsden</t>
  </si>
  <si>
    <t>Kamaal Amsden</t>
  </si>
  <si>
    <t>12971  137th  Avenue</t>
  </si>
  <si>
    <t>lovetoteachvcp@verizon.net</t>
  </si>
  <si>
    <t>cellomat516@yahoo.com</t>
  </si>
  <si>
    <t>Gustafson</t>
  </si>
  <si>
    <t>Matthew Gustafson</t>
  </si>
  <si>
    <t>3806 Gardenia Avenue</t>
  </si>
  <si>
    <t>Long Beach</t>
  </si>
  <si>
    <t>mcallen5@hotmail.com</t>
  </si>
  <si>
    <t>McKenna Allen</t>
  </si>
  <si>
    <t>7078 Indian Wells Rd</t>
  </si>
  <si>
    <t>Sanger</t>
  </si>
  <si>
    <t>gballen4@hotmail.com</t>
  </si>
  <si>
    <t>Grayson</t>
  </si>
  <si>
    <t>Grayson Allen</t>
  </si>
  <si>
    <t>whiterose0717@yahoo.com</t>
  </si>
  <si>
    <t>Monica Johnson</t>
  </si>
  <si>
    <t>106 14th Street</t>
  </si>
  <si>
    <t>Dallas Center</t>
  </si>
  <si>
    <t>lauriecurtis@islandmanagement.com</t>
  </si>
  <si>
    <t>tuckercurtis95@gmail.com</t>
  </si>
  <si>
    <t>Curtis</t>
  </si>
  <si>
    <t>Robert Curtis</t>
  </si>
  <si>
    <t>4623 San Jose Street W</t>
  </si>
  <si>
    <t>Andersonjanemarie@gmail.com</t>
  </si>
  <si>
    <t>andersonem95@gmail.com</t>
  </si>
  <si>
    <t>Emily Anderson</t>
  </si>
  <si>
    <t>4196 Lori Lynn Lane</t>
  </si>
  <si>
    <t>Whitmore Lake</t>
  </si>
  <si>
    <t>scbaker6@gmail.com</t>
  </si>
  <si>
    <t>Sarah Baker</t>
  </si>
  <si>
    <t>3201 Lockwood Drive</t>
  </si>
  <si>
    <t>Chattanooga</t>
  </si>
  <si>
    <t>Dhudson310@msn.com</t>
  </si>
  <si>
    <t>Connor</t>
  </si>
  <si>
    <t>Hudson</t>
  </si>
  <si>
    <t>Connor Hudson</t>
  </si>
  <si>
    <t>emilymcarlson@aol.com</t>
  </si>
  <si>
    <t>Emily Carlson</t>
  </si>
  <si>
    <t>10009 Oakwood Dr</t>
  </si>
  <si>
    <t>wade4jesus@sbcglobal.net</t>
  </si>
  <si>
    <t>Johnston</t>
  </si>
  <si>
    <t>Nathanael Johnston</t>
  </si>
  <si>
    <t>7722 Slough Rd</t>
  </si>
  <si>
    <t>Corpus Christi</t>
  </si>
  <si>
    <t>Kingdomchild37@gmail.com</t>
  </si>
  <si>
    <t>Kenney</t>
  </si>
  <si>
    <t>Gibbons</t>
  </si>
  <si>
    <t>Kenney Gibbons</t>
  </si>
  <si>
    <t>70 Benson Street</t>
  </si>
  <si>
    <t>mrediger@us.ci.org</t>
  </si>
  <si>
    <t>andrew.rediger@yahoo.com</t>
  </si>
  <si>
    <t>Rediger</t>
  </si>
  <si>
    <t>Andrew Rediger</t>
  </si>
  <si>
    <t>6308 Dewsbury Drive</t>
  </si>
  <si>
    <t>raylene98b@aol.com</t>
  </si>
  <si>
    <t>Hlavaty, Jr</t>
  </si>
  <si>
    <t>Michael Hlavaty, Jr</t>
  </si>
  <si>
    <t>98-B County Road 1950</t>
  </si>
  <si>
    <t>Jeromesville</t>
  </si>
  <si>
    <t>freetown4@comcast.net</t>
  </si>
  <si>
    <t>annalieseallen@gmail.com</t>
  </si>
  <si>
    <t>Annaliese</t>
  </si>
  <si>
    <t>Annaliese Allen</t>
  </si>
  <si>
    <t>5015 Horseshoe Bend St</t>
  </si>
  <si>
    <t>birdhousegourd@yahoo.com</t>
  </si>
  <si>
    <t>dakotajames23@gmail.com</t>
  </si>
  <si>
    <t>Dakota</t>
  </si>
  <si>
    <t>Peterson</t>
  </si>
  <si>
    <t>Dakota Peterson</t>
  </si>
  <si>
    <t>1N701 Newton</t>
  </si>
  <si>
    <t>Glen Ellyn</t>
  </si>
  <si>
    <t>lebrunta04@students.crown.edu</t>
  </si>
  <si>
    <t>ashton.lebrun@yahoo.com</t>
  </si>
  <si>
    <t>LeBrun</t>
  </si>
  <si>
    <t>Ashton LeBrun</t>
  </si>
  <si>
    <t>Sunset Trail</t>
  </si>
  <si>
    <t>Pine City</t>
  </si>
  <si>
    <t>SummitMinistries@myEminent.com</t>
  </si>
  <si>
    <t>DavidsPsalm19@gmail.com</t>
  </si>
  <si>
    <t>Galev</t>
  </si>
  <si>
    <t>David Galev</t>
  </si>
  <si>
    <t>1118 S Keats St</t>
  </si>
  <si>
    <t>Anaheim</t>
  </si>
  <si>
    <t>thejohnson8@gmail.com</t>
  </si>
  <si>
    <t>Shiloh</t>
  </si>
  <si>
    <t>Shiloh Johnson</t>
  </si>
  <si>
    <t>7898 M-139</t>
  </si>
  <si>
    <t>Berrien Springs</t>
  </si>
  <si>
    <t>kelcieroo@aol.com</t>
  </si>
  <si>
    <t>Kelcie</t>
  </si>
  <si>
    <t>Wellendorf</t>
  </si>
  <si>
    <t>Kelcie Wellendorf</t>
  </si>
  <si>
    <t>8465 Valleybrook St SE</t>
  </si>
  <si>
    <t>East Canton</t>
  </si>
  <si>
    <t>nicholasarnal@gmail.com</t>
  </si>
  <si>
    <t>Arnal</t>
  </si>
  <si>
    <t>Nicholas Arnal</t>
  </si>
  <si>
    <t>9450 120th Street</t>
  </si>
  <si>
    <t>Seminole</t>
  </si>
  <si>
    <t>quadinthezoo@yahoo.com</t>
  </si>
  <si>
    <t>Emily Smith</t>
  </si>
  <si>
    <t>990 Finley Dr.</t>
  </si>
  <si>
    <t>Forest Park</t>
  </si>
  <si>
    <t>robbiemct@live.com</t>
  </si>
  <si>
    <t>Robert McTaggart</t>
  </si>
  <si>
    <t>39 Carmody Ln</t>
  </si>
  <si>
    <t>polinghome@gmail.com</t>
  </si>
  <si>
    <t>Poling</t>
  </si>
  <si>
    <t>Micah Poling</t>
  </si>
  <si>
    <t>6221 NW Kiacut Rd.</t>
  </si>
  <si>
    <t>Gaston</t>
  </si>
  <si>
    <t>scagnina@msn.com</t>
  </si>
  <si>
    <t>ecagnina@msn.com</t>
  </si>
  <si>
    <t>elizabeth</t>
  </si>
  <si>
    <t>cagnina</t>
  </si>
  <si>
    <t>elizabeth cagnina</t>
  </si>
  <si>
    <t>5939 preston gate ct</t>
  </si>
  <si>
    <t>dallas</t>
  </si>
  <si>
    <t>dsbowman@frontier.com</t>
  </si>
  <si>
    <t>jabowman711@gmail.com</t>
  </si>
  <si>
    <t>Julie</t>
  </si>
  <si>
    <t>Bowman</t>
  </si>
  <si>
    <t>Julie Bowman</t>
  </si>
  <si>
    <t>135 Fox Ridge Circle</t>
  </si>
  <si>
    <t>sjbowman711@gmail.com</t>
  </si>
  <si>
    <t>Sarah Bowman</t>
  </si>
  <si>
    <t>mgbowman711@gmail.com</t>
  </si>
  <si>
    <t>Melissa</t>
  </si>
  <si>
    <t>Melissa Bowman</t>
  </si>
  <si>
    <t>heiwot.girma@gmail.com</t>
  </si>
  <si>
    <t>Heiwot</t>
  </si>
  <si>
    <t>Wolde-Rufael</t>
  </si>
  <si>
    <t>Heiwot Wolde-Rufael</t>
  </si>
  <si>
    <t>1830 Apollo Rd.</t>
  </si>
  <si>
    <t>Apt. 2078</t>
  </si>
  <si>
    <t>Garland</t>
  </si>
  <si>
    <t>super5@bellsouth.net</t>
  </si>
  <si>
    <t>silverstreak952@hotmail.com</t>
  </si>
  <si>
    <t>Super</t>
  </si>
  <si>
    <t>Michael Super</t>
  </si>
  <si>
    <t>565 NW 53rd St</t>
  </si>
  <si>
    <t>terryjo.edwards@gmail.com</t>
  </si>
  <si>
    <t>westin.edwards@gmail.com</t>
  </si>
  <si>
    <t>Westin</t>
  </si>
  <si>
    <t>Westin Edwards</t>
  </si>
  <si>
    <t>413 Chancery Lane</t>
  </si>
  <si>
    <t>Cathypolk1@gmail.com</t>
  </si>
  <si>
    <t>Carsonpolk@yahoo.com</t>
  </si>
  <si>
    <t>Cathryn</t>
  </si>
  <si>
    <t>Cathryn Polk</t>
  </si>
  <si>
    <t>109 Hewitt Road</t>
  </si>
  <si>
    <t>Fountain Inn</t>
  </si>
  <si>
    <t>hobbes13@netzero.com</t>
  </si>
  <si>
    <t>Jonathon</t>
  </si>
  <si>
    <t>Hart</t>
  </si>
  <si>
    <t>Jonathon Hart</t>
  </si>
  <si>
    <t>260 N. Lake Shore Dr.</t>
  </si>
  <si>
    <t>Mooseheart</t>
  </si>
  <si>
    <t>drposie@gmail.com</t>
  </si>
  <si>
    <t>McAlister</t>
  </si>
  <si>
    <t>Sheridan McAlister</t>
  </si>
  <si>
    <t>P.O. Box 472</t>
  </si>
  <si>
    <t>72 Chestnut Hill Rd.</t>
  </si>
  <si>
    <t>Monterey</t>
  </si>
  <si>
    <t>MA</t>
  </si>
  <si>
    <t>srbamford@yahoo.com</t>
  </si>
  <si>
    <t>lilbamf247@gmail.com</t>
  </si>
  <si>
    <t>Jason</t>
  </si>
  <si>
    <t>Bamford</t>
  </si>
  <si>
    <t>Jason Bamford</t>
  </si>
  <si>
    <t>560 Countryside Drive South</t>
  </si>
  <si>
    <t>Troy</t>
  </si>
  <si>
    <t>jlgrantz@fuse.net</t>
  </si>
  <si>
    <t>Grantz</t>
  </si>
  <si>
    <t>Luke Grantz</t>
  </si>
  <si>
    <t>5525 Choctaw Lane</t>
  </si>
  <si>
    <t>Hamilton</t>
  </si>
  <si>
    <t>simpsobo@bryan.edu</t>
  </si>
  <si>
    <t>614rfmann@gmail.com</t>
  </si>
  <si>
    <t>Mann</t>
  </si>
  <si>
    <t>Robert Mann</t>
  </si>
  <si>
    <t>404 Biltmore Ave</t>
  </si>
  <si>
    <t>Lynchburg</t>
  </si>
  <si>
    <t>holzlawfirm@gmail.com</t>
  </si>
  <si>
    <t>a.holz.94@hotmail.com</t>
  </si>
  <si>
    <t>Annie</t>
  </si>
  <si>
    <t>Holz</t>
  </si>
  <si>
    <t>Annie Holz</t>
  </si>
  <si>
    <t>PO Box 236</t>
  </si>
  <si>
    <t>Conneaut</t>
  </si>
  <si>
    <t>luvbeingmarried2him@gmail.com</t>
  </si>
  <si>
    <t>dramasecret@gmail.com</t>
  </si>
  <si>
    <t>Abbey</t>
  </si>
  <si>
    <t>Abbey Ott</t>
  </si>
  <si>
    <t>8421 Pioneer Road</t>
  </si>
  <si>
    <t>Larsen</t>
  </si>
  <si>
    <t>shaundrafmcguire@gmail.com</t>
  </si>
  <si>
    <t>Shaundra</t>
  </si>
  <si>
    <t>Shaundra McGuire</t>
  </si>
  <si>
    <t>9998 56th ave n.</t>
  </si>
  <si>
    <t>ST PETE</t>
  </si>
  <si>
    <t>crazyklh@gmail.com</t>
  </si>
  <si>
    <t>khirstynknows@gmail.com</t>
  </si>
  <si>
    <t>Khirstian</t>
  </si>
  <si>
    <t>Howard</t>
  </si>
  <si>
    <t>Khirstian Howard</t>
  </si>
  <si>
    <t>145 s mcdonough st apt 22a</t>
  </si>
  <si>
    <t>jonesboro</t>
  </si>
  <si>
    <t>vknapp5@gmail.com</t>
  </si>
  <si>
    <t>fivecentmelody@gmail.com</t>
  </si>
  <si>
    <t>Knapp</t>
  </si>
  <si>
    <t>Nicole Knapp</t>
  </si>
  <si>
    <t>22415 Golfview Lane</t>
  </si>
  <si>
    <t>jlschweiz@gmail.com</t>
  </si>
  <si>
    <t>k.schweizer406@gmail.com</t>
  </si>
  <si>
    <t>Schweizer</t>
  </si>
  <si>
    <t>Katherine Schweizer</t>
  </si>
  <si>
    <t>15980 Longmeadow Lane</t>
  </si>
  <si>
    <t>erin.pluspub@gmail.com</t>
  </si>
  <si>
    <t>411888@live.com</t>
  </si>
  <si>
    <t>Rush</t>
  </si>
  <si>
    <t>Joshua Rush</t>
  </si>
  <si>
    <t>PO Box  11681</t>
  </si>
  <si>
    <t>briannajayeanderson@yahoo.com</t>
  </si>
  <si>
    <t>Brianna Anderson</t>
  </si>
  <si>
    <t>3133 Kings Canyon dr</t>
  </si>
  <si>
    <t>annalise.meyer@yahoo.com</t>
  </si>
  <si>
    <t>Meyer</t>
  </si>
  <si>
    <t>Anna Meyer</t>
  </si>
  <si>
    <t>395 Fox Ridge Circle</t>
  </si>
  <si>
    <t>Lewisville</t>
  </si>
  <si>
    <t>skypilot180@gmail.com</t>
  </si>
  <si>
    <t>calebmurphy67@gmail.com</t>
  </si>
  <si>
    <t>Caleb Murphy</t>
  </si>
  <si>
    <t>P.O. Box 247</t>
  </si>
  <si>
    <t>Fort Thomas</t>
  </si>
  <si>
    <t>davidlind84@yahoo.com</t>
  </si>
  <si>
    <t>Lind</t>
  </si>
  <si>
    <t>David Lind</t>
  </si>
  <si>
    <t>1007 W. Montoya Ln.</t>
  </si>
  <si>
    <t>curtjcre@aol.com</t>
  </si>
  <si>
    <t>andrewjcreath@gmail.com</t>
  </si>
  <si>
    <t>Creath</t>
  </si>
  <si>
    <t>Andrew Creath</t>
  </si>
  <si>
    <t>6514 Tulip Court</t>
  </si>
  <si>
    <t>Liberty Township</t>
  </si>
  <si>
    <t>caheadlee@yahoo.com</t>
  </si>
  <si>
    <t>jaredheadlee@yahoo.com</t>
  </si>
  <si>
    <t>Headlee</t>
  </si>
  <si>
    <t>Jared Headlee</t>
  </si>
  <si>
    <t>6777 Marine City Hwy.</t>
  </si>
  <si>
    <t>Cottrellville</t>
  </si>
  <si>
    <t>aniie@comcast.net</t>
  </si>
  <si>
    <t>anniie@comcast.net</t>
  </si>
  <si>
    <t>Eigner</t>
  </si>
  <si>
    <t>Benjamin Eigner</t>
  </si>
  <si>
    <t>7566 Crestview Drive</t>
  </si>
  <si>
    <t>Joshuafl@comcast.net</t>
  </si>
  <si>
    <t>Joshua McLean</t>
  </si>
  <si>
    <t>4012 Milano ln</t>
  </si>
  <si>
    <t>Lontmont</t>
  </si>
  <si>
    <t>wilfert4@msn.com</t>
  </si>
  <si>
    <t>Brendan</t>
  </si>
  <si>
    <t>Wilfert</t>
  </si>
  <si>
    <t>Brendan Wilfert</t>
  </si>
  <si>
    <t>20980 NW Oliver Hill Rd</t>
  </si>
  <si>
    <t>North Plains</t>
  </si>
  <si>
    <t>kimberlykirby5@comcast.net</t>
  </si>
  <si>
    <t>abigailkirby@rocketmail.com</t>
  </si>
  <si>
    <t>Kirby</t>
  </si>
  <si>
    <t>Abigail Kirby</t>
  </si>
  <si>
    <t>1614 Brazos Gate Drive</t>
  </si>
  <si>
    <t>Richmond</t>
  </si>
  <si>
    <t>mj.good2013@gmail.com</t>
  </si>
  <si>
    <t>Michael Good</t>
  </si>
  <si>
    <t>1142 Wolf Trap Road</t>
  </si>
  <si>
    <t>South Boston</t>
  </si>
  <si>
    <t>Cole Wilfert</t>
  </si>
  <si>
    <t>ssonbuchner@wcala.org</t>
  </si>
  <si>
    <t>asonbuchner@gmail.com</t>
  </si>
  <si>
    <t>Abby</t>
  </si>
  <si>
    <t>Sonbuchner</t>
  </si>
  <si>
    <t>Abby Sonbuchner</t>
  </si>
  <si>
    <t>159 Providence Lane</t>
  </si>
  <si>
    <t>Opelousas</t>
  </si>
  <si>
    <t>mcpolan@hotmail.com</t>
  </si>
  <si>
    <t>jocelynpolan@yahoo.com</t>
  </si>
  <si>
    <t>Jocelyn</t>
  </si>
  <si>
    <t>Polan</t>
  </si>
  <si>
    <t>Jocelyn Polan</t>
  </si>
  <si>
    <t>4121 Prairie Fire Cir</t>
  </si>
  <si>
    <t>mcfamily8@kc.rr.com</t>
  </si>
  <si>
    <t>clint44@kc.rr.com</t>
  </si>
  <si>
    <t>McCullough</t>
  </si>
  <si>
    <t>Clinton McCullough</t>
  </si>
  <si>
    <t>5800 W 181 Street</t>
  </si>
  <si>
    <t>Stilwell</t>
  </si>
  <si>
    <t>ranacama4@yahoo.com</t>
  </si>
  <si>
    <t>Flack</t>
  </si>
  <si>
    <t>Caleb Flack</t>
  </si>
  <si>
    <t>607 S Florida Avenue</t>
  </si>
  <si>
    <t>godrocks38@yahoo.com</t>
  </si>
  <si>
    <t>Susan</t>
  </si>
  <si>
    <t>Obi</t>
  </si>
  <si>
    <t>Susan Obi</t>
  </si>
  <si>
    <t>331 Stillwood Court</t>
  </si>
  <si>
    <t>Jonesboro</t>
  </si>
  <si>
    <t>thecmagguy@gmail.com</t>
  </si>
  <si>
    <t>Grissom</t>
  </si>
  <si>
    <t>Clark Grissom</t>
  </si>
  <si>
    <t>1141 Saturn way Bx3403</t>
  </si>
  <si>
    <t>Crestline</t>
  </si>
  <si>
    <t>jburdick14@stny.rr.com</t>
  </si>
  <si>
    <t>annajoyburdick88@hotmail.com</t>
  </si>
  <si>
    <t>Burdick</t>
  </si>
  <si>
    <t>Anna Burdick</t>
  </si>
  <si>
    <t>1426 Terbury Rd</t>
  </si>
  <si>
    <t>Alfred Station</t>
  </si>
  <si>
    <t>rebekah.landeene@gmail.com</t>
  </si>
  <si>
    <t>Rebekah.Landeene@gmail.com</t>
  </si>
  <si>
    <t>Landeene</t>
  </si>
  <si>
    <t>Rebekah Landeene</t>
  </si>
  <si>
    <t>118 Woodruff Ct.</t>
  </si>
  <si>
    <t>Aiken</t>
  </si>
  <si>
    <t>profamilyhome@comcast.net</t>
  </si>
  <si>
    <t>joshua-jesussaves@comcast.net</t>
  </si>
  <si>
    <t>Joshua Richardson</t>
  </si>
  <si>
    <t>5800 Cromwell</t>
  </si>
  <si>
    <t>West Bloomfield</t>
  </si>
  <si>
    <t>melodyhope413@gmail.com</t>
  </si>
  <si>
    <t>melodyhope413@mail.com</t>
  </si>
  <si>
    <t>Melody</t>
  </si>
  <si>
    <t>Ricks</t>
  </si>
  <si>
    <t>Melody Ricks</t>
  </si>
  <si>
    <t>1309 S Monroe St.</t>
  </si>
  <si>
    <t>San Angelo</t>
  </si>
  <si>
    <t>acombs@jscc.edu</t>
  </si>
  <si>
    <t>Combs</t>
  </si>
  <si>
    <t>Nathan Combs</t>
  </si>
  <si>
    <t>dangliherals@gmail.com</t>
  </si>
  <si>
    <t>clinton</t>
  </si>
  <si>
    <t>bell</t>
  </si>
  <si>
    <t>clinton bell</t>
  </si>
  <si>
    <t>9795 Crestwood Ter</t>
  </si>
  <si>
    <t>matthew61921@hotmail.com</t>
  </si>
  <si>
    <t>joehigh52@gmail.com</t>
  </si>
  <si>
    <t>High</t>
  </si>
  <si>
    <t>Joseph High</t>
  </si>
  <si>
    <t>21727 W 95th Terrace</t>
  </si>
  <si>
    <t>14gstrable@clhscadets.com</t>
  </si>
  <si>
    <t>Gennea</t>
  </si>
  <si>
    <t>Strable</t>
  </si>
  <si>
    <t>Gennea Strable</t>
  </si>
  <si>
    <t>4215 Winston Drive</t>
  </si>
  <si>
    <t>Fort Wayne</t>
  </si>
  <si>
    <t>riverdragon@kastanet.org</t>
  </si>
  <si>
    <t>Lydia</t>
  </si>
  <si>
    <t>McGarvey</t>
  </si>
  <si>
    <t>Lydia McGarvey</t>
  </si>
  <si>
    <t>7610 Walkup Rd</t>
  </si>
  <si>
    <t>Waxhaw</t>
  </si>
  <si>
    <t>rickettr@bryan.edu</t>
  </si>
  <si>
    <t>psa96scr@gmail.com</t>
  </si>
  <si>
    <t>Ricketts</t>
  </si>
  <si>
    <t>Stephen Ricketts</t>
  </si>
  <si>
    <t>984 Edgewater Ave.</t>
  </si>
  <si>
    <t>Dayton</t>
  </si>
  <si>
    <t>pdillahunt@msn.com</t>
  </si>
  <si>
    <t>dillahuntmark@gmail.com</t>
  </si>
  <si>
    <t>Dillahunt</t>
  </si>
  <si>
    <t>Mark Dillahunt</t>
  </si>
  <si>
    <t>863 Buckeye Court</t>
  </si>
  <si>
    <t>Tipp City</t>
  </si>
  <si>
    <t>farmboy@wtciweb.com</t>
  </si>
  <si>
    <t>Brock</t>
  </si>
  <si>
    <t>Shiloh Brock</t>
  </si>
  <si>
    <t>2284 N 130th Rd.</t>
  </si>
  <si>
    <t>Hunter KS 67452</t>
  </si>
  <si>
    <t>Hunter</t>
  </si>
  <si>
    <t>rayangerman@aol.com</t>
  </si>
  <si>
    <t>austinfwb@aol.com</t>
  </si>
  <si>
    <t>Angerman</t>
  </si>
  <si>
    <t>Austin Angerman</t>
  </si>
  <si>
    <t>206 Devon Ct.</t>
  </si>
  <si>
    <t>Fort Walton Beach</t>
  </si>
  <si>
    <t>marydixon530@yahoo.com</t>
  </si>
  <si>
    <t>Dixon</t>
  </si>
  <si>
    <t>Mary Dixon</t>
  </si>
  <si>
    <t>11190 CR 1500</t>
  </si>
  <si>
    <t>evan.prehn.123@gmail.com</t>
  </si>
  <si>
    <t>Prehn</t>
  </si>
  <si>
    <t>Evan Prehn</t>
  </si>
  <si>
    <t>29 Green Timber Loop</t>
  </si>
  <si>
    <t>Purvis</t>
  </si>
  <si>
    <t>platypuswrestler@gmail.com</t>
  </si>
  <si>
    <t>Taimur</t>
  </si>
  <si>
    <t>Khan</t>
  </si>
  <si>
    <t>Taimur Khan</t>
  </si>
  <si>
    <t>3900 N Harmony Town Hall Rd</t>
  </si>
  <si>
    <t>Janesville</t>
  </si>
  <si>
    <t>Mdboriack@gmail.com</t>
  </si>
  <si>
    <t>Christieonstage@gmail.com</t>
  </si>
  <si>
    <t>Christie</t>
  </si>
  <si>
    <t>Boriack</t>
  </si>
  <si>
    <t>Christie Boriack</t>
  </si>
  <si>
    <t>22909 Kobs</t>
  </si>
  <si>
    <t>Tomball</t>
  </si>
  <si>
    <t>kb3422@k12.sd.us</t>
  </si>
  <si>
    <t>Brusven</t>
  </si>
  <si>
    <t>Kelly Brusven</t>
  </si>
  <si>
    <t>1609 Flag Mountain Drive</t>
  </si>
  <si>
    <t>Pierre</t>
  </si>
  <si>
    <t>mcollins412@comcast.net</t>
  </si>
  <si>
    <t>tcolli15@kent.edu</t>
  </si>
  <si>
    <t>Collins</t>
  </si>
  <si>
    <t>Travis Collins</t>
  </si>
  <si>
    <t>412 15th Street</t>
  </si>
  <si>
    <t>Wellsville</t>
  </si>
  <si>
    <t>undercoverwriter@yahoo.com</t>
  </si>
  <si>
    <t>Witowich</t>
  </si>
  <si>
    <t>Elizabeth Witowich</t>
  </si>
  <si>
    <t>332 Wayne Street</t>
  </si>
  <si>
    <t>Baden</t>
  </si>
  <si>
    <t>samatm@ncn.net</t>
  </si>
  <si>
    <t>ashley_sam_6@hotmail.com</t>
  </si>
  <si>
    <t>Samuelson</t>
  </si>
  <si>
    <t>Ashley Samuelson</t>
  </si>
  <si>
    <t>55324 175th</t>
  </si>
  <si>
    <t>Pocahontas</t>
  </si>
  <si>
    <t>lederman7@gmail.com</t>
  </si>
  <si>
    <t>kinzer97@gmail.com</t>
  </si>
  <si>
    <t>Kinsey</t>
  </si>
  <si>
    <t>Lederman</t>
  </si>
  <si>
    <t>Kinsey Lederman</t>
  </si>
  <si>
    <t>16926 Amstutz Road</t>
  </si>
  <si>
    <t>Leo</t>
  </si>
  <si>
    <t>rbhlad@yahoo.com</t>
  </si>
  <si>
    <t>jenessa_hlad31@hotmail.com</t>
  </si>
  <si>
    <t>Jenessa</t>
  </si>
  <si>
    <t>Hlad</t>
  </si>
  <si>
    <t>Jenessa Hlad</t>
  </si>
  <si>
    <t>557 E Hawk Dr</t>
  </si>
  <si>
    <t>Sylvan Grove</t>
  </si>
  <si>
    <t>Chassity28@gmail.com</t>
  </si>
  <si>
    <t>Chassity</t>
  </si>
  <si>
    <t>Jorgensen</t>
  </si>
  <si>
    <t>Chassity Jorgensen</t>
  </si>
  <si>
    <t>420 South 5th</t>
  </si>
  <si>
    <t>crazynks@twinvalley.net</t>
  </si>
  <si>
    <t>McCosh</t>
  </si>
  <si>
    <t>Amanda McCosh</t>
  </si>
  <si>
    <t>smishysue@yahoo.com</t>
  </si>
  <si>
    <t>ropeitgirl@yahoo.com</t>
  </si>
  <si>
    <t>Reinert</t>
  </si>
  <si>
    <t>Haley Reinert</t>
  </si>
  <si>
    <t>2621 E.Quartz Dr.</t>
  </si>
  <si>
    <t>kingsdaughter16@sbcglobal.net</t>
  </si>
  <si>
    <t>Ashlyn</t>
  </si>
  <si>
    <t>Sorge</t>
  </si>
  <si>
    <t>Ashlyn Sorge</t>
  </si>
  <si>
    <t>44930 Qualls Rd.</t>
  </si>
  <si>
    <t>Hempstead</t>
  </si>
  <si>
    <t>Trevor</t>
  </si>
  <si>
    <t>Trevor Ransom</t>
  </si>
  <si>
    <t>12360 W. Elderberry Ln.</t>
  </si>
  <si>
    <t>clbeck@swbell.net</t>
  </si>
  <si>
    <t>emilycbeckham@gmail.com</t>
  </si>
  <si>
    <t>Beckham</t>
  </si>
  <si>
    <t>Emily Beckham</t>
  </si>
  <si>
    <t>1609 Elmwood Dr</t>
  </si>
  <si>
    <t>ky854run@aol.com</t>
  </si>
  <si>
    <t>Girl4Lord@aol.com</t>
  </si>
  <si>
    <t>Karen</t>
  </si>
  <si>
    <t>Yeager</t>
  </si>
  <si>
    <t>Karen Yeager</t>
  </si>
  <si>
    <t>PO Box 3523</t>
  </si>
  <si>
    <t>Chinle</t>
  </si>
  <si>
    <t>billandmardyfreeman@gmail.com</t>
  </si>
  <si>
    <t>Freeman</t>
  </si>
  <si>
    <t>Joel Freeman</t>
  </si>
  <si>
    <t>25467 SW 1st Ave</t>
  </si>
  <si>
    <t>Newberry</t>
  </si>
  <si>
    <t>garryswafford@centurylink.net</t>
  </si>
  <si>
    <t>Swafford</t>
  </si>
  <si>
    <t>Jeremy Swafford</t>
  </si>
  <si>
    <t>1925 Western Hills Ddr.</t>
  </si>
  <si>
    <t>catiesongster@gmail.com</t>
  </si>
  <si>
    <t>mtn.andwavej@gmail.com</t>
  </si>
  <si>
    <t>Songster</t>
  </si>
  <si>
    <t>Joshua Songster</t>
  </si>
  <si>
    <t>265 Parkman St.</t>
  </si>
  <si>
    <t>Altadena</t>
  </si>
  <si>
    <t>chanelle.jarrett@gmail.com</t>
  </si>
  <si>
    <t>Chelsea</t>
  </si>
  <si>
    <t>Chelsea Jarrett</t>
  </si>
  <si>
    <t>14 Tremayne Drive</t>
  </si>
  <si>
    <t>Mount Barker</t>
  </si>
  <si>
    <t>SA</t>
  </si>
  <si>
    <t>Australia</t>
  </si>
  <si>
    <t>laurakate.clark@gmail.com</t>
  </si>
  <si>
    <t>Laura Clark</t>
  </si>
  <si>
    <t>52607 Netherlands Ave.</t>
  </si>
  <si>
    <t>Clarksburg</t>
  </si>
  <si>
    <t>jxsnjohnsons@juno.com</t>
  </si>
  <si>
    <t>emjay796@gmail.com</t>
  </si>
  <si>
    <t>520 Division Ave.</t>
  </si>
  <si>
    <t>reneaanderson@msn.com</t>
  </si>
  <si>
    <t>vexiwolf@msn.com</t>
  </si>
  <si>
    <t>Nicole Anderson</t>
  </si>
  <si>
    <t>6759 Wolf Creek Ct. NE</t>
  </si>
  <si>
    <t>kristihumphrey94@gmail.com</t>
  </si>
  <si>
    <t>kristicoolmail@gmai.com</t>
  </si>
  <si>
    <t>Kristi</t>
  </si>
  <si>
    <t>Humphrey</t>
  </si>
  <si>
    <t>Kristi Humphrey</t>
  </si>
  <si>
    <t>22455 Pine Tree Lane</t>
  </si>
  <si>
    <t>Hockley</t>
  </si>
  <si>
    <t>mandisue97@gmail.com</t>
  </si>
  <si>
    <t>Mandi</t>
  </si>
  <si>
    <t>Mandi Humphrey</t>
  </si>
  <si>
    <t>Jeremyhumphrey93@gmail.com</t>
  </si>
  <si>
    <t>Jeremy Humphrey</t>
  </si>
  <si>
    <t>22455 pine tree lane</t>
  </si>
  <si>
    <t>tgiletto55@gmail.com</t>
  </si>
  <si>
    <t>jordangiletto@gmail.com</t>
  </si>
  <si>
    <t>jordan</t>
  </si>
  <si>
    <t>giletto</t>
  </si>
  <si>
    <t>jordan giletto</t>
  </si>
  <si>
    <t>11749 durrand st</t>
  </si>
  <si>
    <t>college station</t>
  </si>
  <si>
    <t>Raylin</t>
  </si>
  <si>
    <t>Raylin Swafford</t>
  </si>
  <si>
    <t>1925 Western Hills Dr.</t>
  </si>
  <si>
    <t>wrightathome2@gmail.com</t>
  </si>
  <si>
    <t>margiescardies@gmail.com</t>
  </si>
  <si>
    <t>Margaree</t>
  </si>
  <si>
    <t>Margaree Wright</t>
  </si>
  <si>
    <t>5 Peacock Lane</t>
  </si>
  <si>
    <t>Georgetown</t>
  </si>
  <si>
    <t>dmead1212@gmail.com</t>
  </si>
  <si>
    <t>Mead</t>
  </si>
  <si>
    <t>Daniel Mead</t>
  </si>
  <si>
    <t>1069 Vinewood Dr.</t>
  </si>
  <si>
    <t>soccerrocksjw@gmail.com</t>
  </si>
  <si>
    <t>Joshua Wright</t>
  </si>
  <si>
    <t>Boehmcasey@yahoo.com</t>
  </si>
  <si>
    <t>boehmcasey@yahoo.com</t>
  </si>
  <si>
    <t>Casey</t>
  </si>
  <si>
    <t>Boehm</t>
  </si>
  <si>
    <t>Casey Boehm</t>
  </si>
  <si>
    <t>2752 34th st</t>
  </si>
  <si>
    <t>Mandan</t>
  </si>
  <si>
    <t>karlakkh@gmail.com</t>
  </si>
  <si>
    <t>Harvey</t>
  </si>
  <si>
    <t>Kelsey Harvey</t>
  </si>
  <si>
    <t>hhacademy6@gmail.com</t>
  </si>
  <si>
    <t>drew.hh6@gmail.com</t>
  </si>
  <si>
    <t>Harrison</t>
  </si>
  <si>
    <t>John Harrison</t>
  </si>
  <si>
    <t>12481 New Douglas Road</t>
  </si>
  <si>
    <t>New Douglas</t>
  </si>
  <si>
    <t>hwong1252@gmail.com</t>
  </si>
  <si>
    <t>ewong94@gmail.com</t>
  </si>
  <si>
    <t>Wong</t>
  </si>
  <si>
    <t>Ethan Wong</t>
  </si>
  <si>
    <t>1252 Stockton Street</t>
  </si>
  <si>
    <t>matt.mclenon@softekinc.com</t>
  </si>
  <si>
    <t>McLenon</t>
  </si>
  <si>
    <t>Madison McLenon</t>
  </si>
  <si>
    <t>10012 W. 50th Terrace</t>
  </si>
  <si>
    <t>Merriam</t>
  </si>
  <si>
    <t>rcastro18@liberty.edu</t>
  </si>
  <si>
    <t>Castro</t>
  </si>
  <si>
    <t>Rachel Castro</t>
  </si>
  <si>
    <t>550 Cloudcroft drive</t>
  </si>
  <si>
    <t>Monroe</t>
  </si>
  <si>
    <t>thecondellas@charter.net</t>
  </si>
  <si>
    <t>Condella</t>
  </si>
  <si>
    <t>Andrew Condella</t>
  </si>
  <si>
    <t>2235 Pleasant View Rd</t>
  </si>
  <si>
    <t>Pleasant View</t>
  </si>
  <si>
    <t>TriciaBaskerville@gmail.com</t>
  </si>
  <si>
    <t>Patricia</t>
  </si>
  <si>
    <t>Baskerville</t>
  </si>
  <si>
    <t>Patricia Baskerville</t>
  </si>
  <si>
    <t>467 Hollett Street</t>
  </si>
  <si>
    <t>mdhowell1@hotmail.com</t>
  </si>
  <si>
    <t>kelseyhowell@aol.com</t>
  </si>
  <si>
    <t>Howell</t>
  </si>
  <si>
    <t>Kelsey Howell</t>
  </si>
  <si>
    <t>206 Pear Orchard Rd</t>
  </si>
  <si>
    <t>Elizabethtown</t>
  </si>
  <si>
    <t>Ann-rosenthal@uiowa.edu</t>
  </si>
  <si>
    <t>daniel_rosenthal@aol.com</t>
  </si>
  <si>
    <t>Rosenthal</t>
  </si>
  <si>
    <t>Daniel Rosenthal</t>
  </si>
  <si>
    <t>3935 Nancy Jane Ln NE</t>
  </si>
  <si>
    <t>ander6_@msn.com</t>
  </si>
  <si>
    <t>landerson16@hotmail.com</t>
  </si>
  <si>
    <t>Levi Anderson</t>
  </si>
  <si>
    <t>22820 Northmen St.</t>
  </si>
  <si>
    <t>Brook Park</t>
  </si>
  <si>
    <t>93sparkles@gmail.com</t>
  </si>
  <si>
    <t>Yaste</t>
  </si>
  <si>
    <t>Lydia Yaste</t>
  </si>
  <si>
    <t>wyastee@gmail.com</t>
  </si>
  <si>
    <t>Thomas Yaste</t>
  </si>
  <si>
    <t>4540 E 250 South</t>
  </si>
  <si>
    <t>Bluffton</t>
  </si>
  <si>
    <t>craig.stein@mcnichols.com</t>
  </si>
  <si>
    <t>cstein.swim@gmail.com</t>
  </si>
  <si>
    <t>Corey</t>
  </si>
  <si>
    <t>Stein</t>
  </si>
  <si>
    <t>Corey Stein</t>
  </si>
  <si>
    <t>2107 Houndstooth Dr.</t>
  </si>
  <si>
    <t>jkalb@santel.net</t>
  </si>
  <si>
    <t>d-k-josiah@hotmail.com</t>
  </si>
  <si>
    <t>Kalb</t>
  </si>
  <si>
    <t>David Kalb</t>
  </si>
  <si>
    <t>39635 236 street</t>
  </si>
  <si>
    <t>woonsocket</t>
  </si>
  <si>
    <t>catiebeth122@catt.com</t>
  </si>
  <si>
    <t>Poole</t>
  </si>
  <si>
    <t>Catherine Poole</t>
  </si>
  <si>
    <t>904 Hullender Road</t>
  </si>
  <si>
    <t>Ringgold</t>
  </si>
  <si>
    <t>live4jesus.hs@gmail.com</t>
  </si>
  <si>
    <t>Hunter Smith</t>
  </si>
  <si>
    <t>115 Shady Oak Lane</t>
  </si>
  <si>
    <t>j.zane18@yahoo.com</t>
  </si>
  <si>
    <t>Ulrich</t>
  </si>
  <si>
    <t>Josiah Ulrich</t>
  </si>
  <si>
    <t>1607 County Rd 1200 N</t>
  </si>
  <si>
    <t>Roanoke</t>
  </si>
  <si>
    <t>talium4u-hq-aj@hotmail.com</t>
  </si>
  <si>
    <t>Cho</t>
  </si>
  <si>
    <t>Julia Cho</t>
  </si>
  <si>
    <t>22 Horseneck Road</t>
  </si>
  <si>
    <t>Montville</t>
  </si>
  <si>
    <t>mbicket12@yahoo.com</t>
  </si>
  <si>
    <t>Melanie</t>
  </si>
  <si>
    <t>Bicket</t>
  </si>
  <si>
    <t>Melanie Bicket</t>
  </si>
  <si>
    <t>25200 S Ridge RD</t>
  </si>
  <si>
    <t>Beavercreek</t>
  </si>
  <si>
    <t>Andrew.schindler@gmail.com</t>
  </si>
  <si>
    <t>Andrew Schindler</t>
  </si>
  <si>
    <t>16375 wagon ct.</t>
  </si>
  <si>
    <t>efreemusic@gmail.com</t>
  </si>
  <si>
    <t>babetteak@gmail.com</t>
  </si>
  <si>
    <t>Rankin</t>
  </si>
  <si>
    <t>Elizabeth Rankin</t>
  </si>
  <si>
    <t>622 1st Street</t>
  </si>
  <si>
    <t>bhjmaley@ncn.net</t>
  </si>
  <si>
    <t>hbmae8@gmail.com</t>
  </si>
  <si>
    <t>Maley</t>
  </si>
  <si>
    <t>Hannah Maley</t>
  </si>
  <si>
    <t>203 Locust Street</t>
  </si>
  <si>
    <t>Rolfe</t>
  </si>
  <si>
    <t>jadexter55@yahoo.com</t>
  </si>
  <si>
    <t>Mackenzie</t>
  </si>
  <si>
    <t>Lester</t>
  </si>
  <si>
    <t>Mackenzie Lester</t>
  </si>
  <si>
    <t>139 Pearl Dr.</t>
  </si>
  <si>
    <t>sjejtski@aol.com</t>
  </si>
  <si>
    <t>eliztski@yahoo.com</t>
  </si>
  <si>
    <t>Tomaszewski</t>
  </si>
  <si>
    <t>Elizabeth Tomaszewski</t>
  </si>
  <si>
    <t>Bayview Dr.</t>
  </si>
  <si>
    <t>Lake Zurich</t>
  </si>
  <si>
    <t>Bethanygrace93@gmail.com</t>
  </si>
  <si>
    <t>Bethany Hammett</t>
  </si>
  <si>
    <t>lsefamily@gmail.com</t>
  </si>
  <si>
    <t>anna.danae@gmail.com</t>
  </si>
  <si>
    <t>Anna Eaton</t>
  </si>
  <si>
    <t>617 Sunbrook SE</t>
  </si>
  <si>
    <t>Ben.yount5@gmail.com</t>
  </si>
  <si>
    <t>ben.yount5@gmail.com</t>
  </si>
  <si>
    <t>Yount</t>
  </si>
  <si>
    <t>Benjamin Yount</t>
  </si>
  <si>
    <t>423 Lane 12</t>
  </si>
  <si>
    <t>syoung7@gmail.com</t>
  </si>
  <si>
    <t>samyoung175@gmail.com</t>
  </si>
  <si>
    <t>Young</t>
  </si>
  <si>
    <t>Samuel Young</t>
  </si>
  <si>
    <t>57 James Landing Road</t>
  </si>
  <si>
    <t>Newport News</t>
  </si>
  <si>
    <t>christine.gerrelts@gmail.com</t>
  </si>
  <si>
    <t>Gerrelts</t>
  </si>
  <si>
    <t>Christine Gerrelts</t>
  </si>
  <si>
    <t>5977 133rd St Ct</t>
  </si>
  <si>
    <t>eschaffhauser@keloland.com</t>
  </si>
  <si>
    <t>jordyn_opsahl@hotmail.com</t>
  </si>
  <si>
    <t>Jordyn</t>
  </si>
  <si>
    <t>Opsahl</t>
  </si>
  <si>
    <t>Jordyn Opsahl</t>
  </si>
  <si>
    <t>315 E 6th Ave</t>
  </si>
  <si>
    <t>Groton</t>
  </si>
  <si>
    <t>morripm@gmail.com</t>
  </si>
  <si>
    <t>mmtreefrog@gmail.com</t>
  </si>
  <si>
    <t>Megan Morrison</t>
  </si>
  <si>
    <t>6825 Daffodil Terrace</t>
  </si>
  <si>
    <t>Kakiedoo_21@sbcglobal.net</t>
  </si>
  <si>
    <t>Kaylie</t>
  </si>
  <si>
    <t>Watkins</t>
  </si>
  <si>
    <t>Kaylie Watkins</t>
  </si>
  <si>
    <t>15707-1 Brown Rd</t>
  </si>
  <si>
    <t>gods-girl103@att.net</t>
  </si>
  <si>
    <t>Phipps</t>
  </si>
  <si>
    <t>Christine Phipps</t>
  </si>
  <si>
    <t>103 High View Ct.</t>
  </si>
  <si>
    <t>huggins8@verizon.net</t>
  </si>
  <si>
    <t>Renee'</t>
  </si>
  <si>
    <t>Huggins</t>
  </si>
  <si>
    <t>Renee' Huggins</t>
  </si>
  <si>
    <t>Bx 28465</t>
  </si>
  <si>
    <t>eharms@nvc.net</t>
  </si>
  <si>
    <t>Harms</t>
  </si>
  <si>
    <t>Ellen Harms</t>
  </si>
  <si>
    <t>12912 400th Ave.</t>
  </si>
  <si>
    <t>acapo@worldview.org</t>
  </si>
  <si>
    <t>Amelia</t>
  </si>
  <si>
    <t>Capo</t>
  </si>
  <si>
    <t>Amelia Capo</t>
  </si>
  <si>
    <t>253 Cody Lane</t>
  </si>
  <si>
    <t>Bastrop</t>
  </si>
  <si>
    <t>rj.murphy10@yahoo.com</t>
  </si>
  <si>
    <t>crazy_zebra_girl@yahoo.com</t>
  </si>
  <si>
    <t>Lynne</t>
  </si>
  <si>
    <t>Lynne Murphy</t>
  </si>
  <si>
    <t>627 W. Stanford Ave.</t>
  </si>
  <si>
    <t>Gilbert</t>
  </si>
  <si>
    <t>rickybobdal@gmail.com</t>
  </si>
  <si>
    <t>stine.robb13@gmail.com</t>
  </si>
  <si>
    <t>Robb</t>
  </si>
  <si>
    <t>Christine Robb</t>
  </si>
  <si>
    <t>10208 Mustang Wells Dr</t>
  </si>
  <si>
    <t>Benbrook</t>
  </si>
  <si>
    <t>imkens@gmail.com</t>
  </si>
  <si>
    <t>sabre4life@gmail.com</t>
  </si>
  <si>
    <t>Imken</t>
  </si>
  <si>
    <t>Kara Imken</t>
  </si>
  <si>
    <t>3711 Oak Meadow Dr.</t>
  </si>
  <si>
    <t>Round Rock</t>
  </si>
  <si>
    <t>Aidan@crossroadsmedhat.ca</t>
  </si>
  <si>
    <t>Wengel</t>
  </si>
  <si>
    <t>Aidan Wengel</t>
  </si>
  <si>
    <t>18 Sheep River Link</t>
  </si>
  <si>
    <t>Okotoks</t>
  </si>
  <si>
    <t>T1S 1R3</t>
  </si>
  <si>
    <t>iowastaters@att.net</t>
  </si>
  <si>
    <t>ilaria</t>
  </si>
  <si>
    <t>Rossini</t>
  </si>
  <si>
    <t>ilaria Rossini</t>
  </si>
  <si>
    <t>521 Old Oak Circle</t>
  </si>
  <si>
    <t>clifton.hartsfield@verizon.net</t>
  </si>
  <si>
    <t>livibrooke14@gmail.com</t>
  </si>
  <si>
    <t>Hartsfield</t>
  </si>
  <si>
    <t>Olivia Hartsfield</t>
  </si>
  <si>
    <t>5032 Erika Place</t>
  </si>
  <si>
    <t>Port Republic</t>
  </si>
  <si>
    <t>hayleyj.41@gmail.com</t>
  </si>
  <si>
    <t>Costello</t>
  </si>
  <si>
    <t>Hayley Costello</t>
  </si>
  <si>
    <t>4339 Fairview Rd</t>
  </si>
  <si>
    <t>desertrosebud2784@gmail.com</t>
  </si>
  <si>
    <t>Renata</t>
  </si>
  <si>
    <t>Bonney</t>
  </si>
  <si>
    <t>Renata Bonney</t>
  </si>
  <si>
    <t>10009 Calle Chulita rd NW</t>
  </si>
  <si>
    <t>meadowsrun@cox.net</t>
  </si>
  <si>
    <t>zeeecon@cox.net</t>
  </si>
  <si>
    <t>Eliza</t>
  </si>
  <si>
    <t>Runion</t>
  </si>
  <si>
    <t>Eliza Runion</t>
  </si>
  <si>
    <t>7808 Sleeping Pine Street</t>
  </si>
  <si>
    <t>levigulliver@gmail.com</t>
  </si>
  <si>
    <t>Gulliver</t>
  </si>
  <si>
    <t>Levi Gulliver</t>
  </si>
  <si>
    <t>2800 Summer Swan Dr,</t>
  </si>
  <si>
    <t>Orlando</t>
  </si>
  <si>
    <t>susan.witter@comcast.net</t>
  </si>
  <si>
    <t>freedombrothersons@gmail.com</t>
  </si>
  <si>
    <t>Kory</t>
  </si>
  <si>
    <t>Witter</t>
  </si>
  <si>
    <t>Kory Witter</t>
  </si>
  <si>
    <t>4354 Winterstone Dr.</t>
  </si>
  <si>
    <t>jeffstanfill@bellsouth.net</t>
  </si>
  <si>
    <t>catau@bellsouth.net</t>
  </si>
  <si>
    <t>Stanfill</t>
  </si>
  <si>
    <t>Alex Stanfill</t>
  </si>
  <si>
    <t>6584 Landmor</t>
  </si>
  <si>
    <t>Central</t>
  </si>
  <si>
    <t>timmyswish@yahoo.com</t>
  </si>
  <si>
    <t>airsofthobbe@yahoo.com</t>
  </si>
  <si>
    <t>Nathaniel Smith</t>
  </si>
  <si>
    <t>13044 Bellerive Lane</t>
  </si>
  <si>
    <t>krstark@gmail.com</t>
  </si>
  <si>
    <t>ryanmstark@gmail.com</t>
  </si>
  <si>
    <t>Stark</t>
  </si>
  <si>
    <t>Ryan Stark</t>
  </si>
  <si>
    <t>5277 Warren Rd</t>
  </si>
  <si>
    <t>Ann Arbor</t>
  </si>
  <si>
    <t>kimdouglas88@comcast.net</t>
  </si>
  <si>
    <t>summmerbreeze96@gmail.com</t>
  </si>
  <si>
    <t>Summer</t>
  </si>
  <si>
    <t>Douglas</t>
  </si>
  <si>
    <t>Summer Douglas</t>
  </si>
  <si>
    <t>3314 Burr Oak Lane</t>
  </si>
  <si>
    <t>Island Lake</t>
  </si>
  <si>
    <t>lnalexander13@gmail.com</t>
  </si>
  <si>
    <t>Lauren Alexander</t>
  </si>
  <si>
    <t>5163 Old Post Rd.</t>
  </si>
  <si>
    <t>Amissville</t>
  </si>
  <si>
    <t>josephbrock@k-state.edu</t>
  </si>
  <si>
    <t>Joseph Brock</t>
  </si>
  <si>
    <t>2284 N 130th Rd</t>
  </si>
  <si>
    <t>capturethemomentlv@gmail.com</t>
  </si>
  <si>
    <t>vegasgurl150@gmail.com</t>
  </si>
  <si>
    <t>Lily</t>
  </si>
  <si>
    <t>Knott</t>
  </si>
  <si>
    <t>Lily Knott</t>
  </si>
  <si>
    <t>6316 Vicuna Dr</t>
  </si>
  <si>
    <t>gfcarver@thecarvers.net</t>
  </si>
  <si>
    <t>elisa.rebecca@yahoo.com</t>
  </si>
  <si>
    <t>Elisabeth</t>
  </si>
  <si>
    <t>Carver</t>
  </si>
  <si>
    <t>Elisabeth Carver</t>
  </si>
  <si>
    <t>520 Snow Circle</t>
  </si>
  <si>
    <t>Sanford</t>
  </si>
  <si>
    <t>brennanfoster6@gmail.com</t>
  </si>
  <si>
    <t>Brennan</t>
  </si>
  <si>
    <t>Foster</t>
  </si>
  <si>
    <t>Brennan Foster</t>
  </si>
  <si>
    <t>220 Willow Creek Drive</t>
  </si>
  <si>
    <t>Glenn Heights</t>
  </si>
  <si>
    <t>knlgaylor7@mac.com_configioDeactivated</t>
  </si>
  <si>
    <t>shelbylynng@gmail.com</t>
  </si>
  <si>
    <t>Shelby</t>
  </si>
  <si>
    <t>Gaylor</t>
  </si>
  <si>
    <t>Shelby Gaylor</t>
  </si>
  <si>
    <t>1924 Coldstone Way</t>
  </si>
  <si>
    <t>jill.kuyt@gmail.com</t>
  </si>
  <si>
    <t>Jillian</t>
  </si>
  <si>
    <t>Kuyt</t>
  </si>
  <si>
    <t>Jillian Kuyt</t>
  </si>
  <si>
    <t>2333 Barn Swallow Dr.</t>
  </si>
  <si>
    <t>tukongbb@gmail.com</t>
  </si>
  <si>
    <t>Frickenstein</t>
  </si>
  <si>
    <t>Alex Frickenstein</t>
  </si>
  <si>
    <t>4139 Mississippi Ave.</t>
  </si>
  <si>
    <t>smj4jesus@gmail.com</t>
  </si>
  <si>
    <t>Smj4jesus@gmail.com</t>
  </si>
  <si>
    <t>Sarah Johnston</t>
  </si>
  <si>
    <t>shellypeters@gmail.com</t>
  </si>
  <si>
    <t>bccomixco@gmail.com</t>
  </si>
  <si>
    <t>Childs</t>
  </si>
  <si>
    <t>Brady Childs</t>
  </si>
  <si>
    <t>7545 Fremont Ave S</t>
  </si>
  <si>
    <t>Richfield</t>
  </si>
  <si>
    <t>brad_tricia@sbcglobal.net</t>
  </si>
  <si>
    <t>jordancook@sbcglobal.net</t>
  </si>
  <si>
    <t>Jordan Cook</t>
  </si>
  <si>
    <t>309 Erskine</t>
  </si>
  <si>
    <t>Longview</t>
  </si>
  <si>
    <t>mandie29@comcast.net</t>
  </si>
  <si>
    <t>mandie2906@gmail.com</t>
  </si>
  <si>
    <t>Sepolio</t>
  </si>
  <si>
    <t>Courtney Sepolio</t>
  </si>
  <si>
    <t>802 12th Avenue</t>
  </si>
  <si>
    <t>Lagrange</t>
  </si>
  <si>
    <t>jenlynn68@gmail.com</t>
  </si>
  <si>
    <t>abigail.smith@theoden.com</t>
  </si>
  <si>
    <t>Abigail Smith</t>
  </si>
  <si>
    <t>5675 S Routt St</t>
  </si>
  <si>
    <t>i.fullinwider@gmail.com</t>
  </si>
  <si>
    <t>Fullinwider</t>
  </si>
  <si>
    <t>Ian Fullinwider</t>
  </si>
  <si>
    <t>1457 S Peakview Drive</t>
  </si>
  <si>
    <t>TruthWalker2000@gmail.com</t>
  </si>
  <si>
    <t>Frey</t>
  </si>
  <si>
    <t>David Frey</t>
  </si>
  <si>
    <t>412 Fleetwood Road SW</t>
  </si>
  <si>
    <t>steven.cole@roch.edu</t>
  </si>
  <si>
    <t>bjaminwithme@gmail.com</t>
  </si>
  <si>
    <t>Benjamin Cole</t>
  </si>
  <si>
    <t>1809 35th Ave SE</t>
  </si>
  <si>
    <t>cstoal@sbcglobal.net</t>
  </si>
  <si>
    <t>olivertoal@yahoo.com</t>
  </si>
  <si>
    <t>Toal</t>
  </si>
  <si>
    <t>Oliver Toal</t>
  </si>
  <si>
    <t>50 Nook Farms Road</t>
  </si>
  <si>
    <t>CT</t>
  </si>
  <si>
    <t>dpool@tctwest.net</t>
  </si>
  <si>
    <t>courtnie82@gmail.com</t>
  </si>
  <si>
    <t>Pool</t>
  </si>
  <si>
    <t>Courtney Pool</t>
  </si>
  <si>
    <t>129 W. Pat OHara, Dr.</t>
  </si>
  <si>
    <t>theralstonclan@yahoo.com</t>
  </si>
  <si>
    <t>sralston73@yahoo.com</t>
  </si>
  <si>
    <t>Ralston</t>
  </si>
  <si>
    <t>Sarah Ralston</t>
  </si>
  <si>
    <t>31 Mt. Olympus Pl.</t>
  </si>
  <si>
    <t>mtfamily@centurytel.net</t>
  </si>
  <si>
    <t>mtcowsandplows@gmail.com</t>
  </si>
  <si>
    <t>Meuli</t>
  </si>
  <si>
    <t>Matthew Meuli</t>
  </si>
  <si>
    <t>PO Box 2</t>
  </si>
  <si>
    <t>45400 Lake Mary Ronan Rd</t>
  </si>
  <si>
    <t>gardnerc@wudosis.wustl.edu</t>
  </si>
  <si>
    <t>annie.gardner44@gmail.com</t>
  </si>
  <si>
    <t>Annie Gardner</t>
  </si>
  <si>
    <t>2174 Meadow Dr.</t>
  </si>
  <si>
    <t>Barnhart</t>
  </si>
  <si>
    <t>gibbsy6@msn.com</t>
  </si>
  <si>
    <t>emmagibbs@msn.com</t>
  </si>
  <si>
    <t>Emma Gibbs</t>
  </si>
  <si>
    <t>224 Chelmsford Dr</t>
  </si>
  <si>
    <t>Marietta</t>
  </si>
  <si>
    <t>jschumaker@netzero.net</t>
  </si>
  <si>
    <t>cschumaker@centurytel.net</t>
  </si>
  <si>
    <t>Cade</t>
  </si>
  <si>
    <t>Schumaker</t>
  </si>
  <si>
    <t>Cade Schumaker</t>
  </si>
  <si>
    <t>8121 Polk St.</t>
  </si>
  <si>
    <t>Zeeland</t>
  </si>
  <si>
    <t>livingingrace123@gmail.com</t>
  </si>
  <si>
    <t>Mikayla</t>
  </si>
  <si>
    <t>Mikayla Meuli</t>
  </si>
  <si>
    <t>45400 Lake Mary Ronan Road</t>
  </si>
  <si>
    <t>julieanneconroy@gmail.com</t>
  </si>
  <si>
    <t>dredre219@gmail.com</t>
  </si>
  <si>
    <t>Conroy</t>
  </si>
  <si>
    <t>Isaac Conroy</t>
  </si>
  <si>
    <t>10132 Riley Street</t>
  </si>
  <si>
    <t>artvictory@comcast.net</t>
  </si>
  <si>
    <t>alliebarrick@aol.com</t>
  </si>
  <si>
    <t>Barrick</t>
  </si>
  <si>
    <t>Alexandria Barrick</t>
  </si>
  <si>
    <t>340 Mourning Dove Drive</t>
  </si>
  <si>
    <t>Newark</t>
  </si>
  <si>
    <t>DE</t>
  </si>
  <si>
    <t>duprefamily1318@gmail.com</t>
  </si>
  <si>
    <t>gunnmann@gmail.com</t>
  </si>
  <si>
    <t>Wyatt</t>
  </si>
  <si>
    <t>Dupre</t>
  </si>
  <si>
    <t>Wyatt Dupre</t>
  </si>
  <si>
    <t>1318 State Route 89</t>
  </si>
  <si>
    <t>gganahl@gmail.com</t>
  </si>
  <si>
    <t>Ganahl</t>
  </si>
  <si>
    <t>Graham Ganahl</t>
  </si>
  <si>
    <t>susieplank@gmail.com</t>
  </si>
  <si>
    <t>jaydrum83@gmail.com</t>
  </si>
  <si>
    <t>Jay</t>
  </si>
  <si>
    <t>Plank</t>
  </si>
  <si>
    <t>Jay Plank</t>
  </si>
  <si>
    <t>1109 Chestnut Dr.</t>
  </si>
  <si>
    <t>edpoplin@aol.com</t>
  </si>
  <si>
    <t>Poplin</t>
  </si>
  <si>
    <t>Isaac Poplin</t>
  </si>
  <si>
    <t>540 Middleton Drive</t>
  </si>
  <si>
    <t>lowellassembly@yahoo.com</t>
  </si>
  <si>
    <t>Alex Brown</t>
  </si>
  <si>
    <t>1313 West Cottonwood</t>
  </si>
  <si>
    <t>briandmel1@yahoo.com</t>
  </si>
  <si>
    <t>hotmanc@students.wwu.edu</t>
  </si>
  <si>
    <t>Hotman</t>
  </si>
  <si>
    <t>Chloe Hotman</t>
  </si>
  <si>
    <t>1711 Little Bow Ave</t>
  </si>
  <si>
    <t>North Las Vegas</t>
  </si>
  <si>
    <t>Austin Brown</t>
  </si>
  <si>
    <t>mamaAngieatelier@gmail.com</t>
  </si>
  <si>
    <t>deers.n.turkeys@gmail.com</t>
  </si>
  <si>
    <t>Emily Walker</t>
  </si>
  <si>
    <t>P. O. Box 1813</t>
  </si>
  <si>
    <t>jd@lufts.net</t>
  </si>
  <si>
    <t>JD@lufts.net</t>
  </si>
  <si>
    <t>Luft</t>
  </si>
  <si>
    <t>Justin Luft</t>
  </si>
  <si>
    <t>4720 Summerlin Rd. NW</t>
  </si>
  <si>
    <t>mcamenisch77@gmail.com</t>
  </si>
  <si>
    <t>camenischsamuel@gmail.com</t>
  </si>
  <si>
    <t>Camenisch</t>
  </si>
  <si>
    <t>Samuel Camenisch</t>
  </si>
  <si>
    <t>6315 Hwy. 135 NE</t>
  </si>
  <si>
    <t>New Salisbury</t>
  </si>
  <si>
    <t>hannah.michelle.ryan@gmail.com</t>
  </si>
  <si>
    <t>Hannah Ryan</t>
  </si>
  <si>
    <t>6906 Newbury Cir.</t>
  </si>
  <si>
    <t>marie.dudrey@gmail.com</t>
  </si>
  <si>
    <t>cld0104@comcast.net</t>
  </si>
  <si>
    <t>Conner</t>
  </si>
  <si>
    <t>Dudrey</t>
  </si>
  <si>
    <t>Conner Dudrey</t>
  </si>
  <si>
    <t>3228 Billington Dr</t>
  </si>
  <si>
    <t>Erie</t>
  </si>
  <si>
    <t>owlmermaids94@gmail.com</t>
  </si>
  <si>
    <t>Hall</t>
  </si>
  <si>
    <t>Amanda Hall</t>
  </si>
  <si>
    <t>5112 Prescott Dr.</t>
  </si>
  <si>
    <t>Minnetonka</t>
  </si>
  <si>
    <t>bbeeaall@yahoo.com</t>
  </si>
  <si>
    <t>Marilee</t>
  </si>
  <si>
    <t>Beal</t>
  </si>
  <si>
    <t>Marilee Beal</t>
  </si>
  <si>
    <t>3120 Harrow Dr</t>
  </si>
  <si>
    <t>mkstef@bellsouth.net</t>
  </si>
  <si>
    <t>bpackers12@gmail.com</t>
  </si>
  <si>
    <t>BRAD</t>
  </si>
  <si>
    <t>STEFANOVIC</t>
  </si>
  <si>
    <t>BRAD STEFANOVIC</t>
  </si>
  <si>
    <t>11865 NW 3RD DRIVE</t>
  </si>
  <si>
    <t>CORAL SPRINGS</t>
  </si>
  <si>
    <t>rlhaley6@gmail.com</t>
  </si>
  <si>
    <t>micah</t>
  </si>
  <si>
    <t>haley</t>
  </si>
  <si>
    <t>micah haley</t>
  </si>
  <si>
    <t>333 Alta Vista Drive</t>
  </si>
  <si>
    <t>jswanson2010@yahoo.com</t>
  </si>
  <si>
    <t>Jason Swanson</t>
  </si>
  <si>
    <t>1882 Katherine Court</t>
  </si>
  <si>
    <t>Turlock</t>
  </si>
  <si>
    <t>cadillac3646@yahoo.com</t>
  </si>
  <si>
    <t>areyoutheman13@yahoo.com</t>
  </si>
  <si>
    <t>Charles</t>
  </si>
  <si>
    <t>Charles Johnson</t>
  </si>
  <si>
    <t>219 Azalea Cir</t>
  </si>
  <si>
    <t>gretchenboardman@mac.com</t>
  </si>
  <si>
    <t>doeraemi@me.com</t>
  </si>
  <si>
    <t>Boardman</t>
  </si>
  <si>
    <t>Lauren Boardman</t>
  </si>
  <si>
    <t>369 Annette Court</t>
  </si>
  <si>
    <t>Wyckoff</t>
  </si>
  <si>
    <t>lightningpg14@yahoo.com</t>
  </si>
  <si>
    <t>Lambert</t>
  </si>
  <si>
    <t>Trevor Lambert</t>
  </si>
  <si>
    <t>10308 Chauncey Cir</t>
  </si>
  <si>
    <t>Blair</t>
  </si>
  <si>
    <t>donnawillett@bellsouth.net</t>
  </si>
  <si>
    <t>musicdramaqueen@gmail.com</t>
  </si>
  <si>
    <t>Lindsay</t>
  </si>
  <si>
    <t>Willett</t>
  </si>
  <si>
    <t>Lindsay Willett</t>
  </si>
  <si>
    <t>3906 Lorien Way</t>
  </si>
  <si>
    <t>Kennesaw</t>
  </si>
  <si>
    <t>icc239@gmail.com</t>
  </si>
  <si>
    <t>Isabel</t>
  </si>
  <si>
    <t>Ching</t>
  </si>
  <si>
    <t>Isabel Ching</t>
  </si>
  <si>
    <t>5618 Harbor Town Dr.</t>
  </si>
  <si>
    <t>chelseywright@mail.com</t>
  </si>
  <si>
    <t>chelseywright@ymail.com</t>
  </si>
  <si>
    <t>Chelsey Wright</t>
  </si>
  <si>
    <t>172 hogan ln</t>
  </si>
  <si>
    <t>ashville</t>
  </si>
  <si>
    <t>jefferybrown5366@comcast.net</t>
  </si>
  <si>
    <t>brown.hannahj@gmail.com</t>
  </si>
  <si>
    <t>Hannah Brown</t>
  </si>
  <si>
    <t>4403 Hunter Creek Rd</t>
  </si>
  <si>
    <t>Northport</t>
  </si>
  <si>
    <t>dphall96@gmail.com</t>
  </si>
  <si>
    <t>Daniel Hall</t>
  </si>
  <si>
    <t>5112 Prescott dr.</t>
  </si>
  <si>
    <t>joey.gabriano@mac.com</t>
  </si>
  <si>
    <t>Gabriano</t>
  </si>
  <si>
    <t>Joseph Gabriano</t>
  </si>
  <si>
    <t>11414 Coralberry Dr</t>
  </si>
  <si>
    <t>Frisco</t>
  </si>
  <si>
    <t>kilmers@comcast.net</t>
  </si>
  <si>
    <t>Kilmer</t>
  </si>
  <si>
    <t>Ryan Kilmer</t>
  </si>
  <si>
    <t>wrightgina67@yahoo.com</t>
  </si>
  <si>
    <t>Gina</t>
  </si>
  <si>
    <t>Gina Wright</t>
  </si>
  <si>
    <t>172 Hogan LN</t>
  </si>
  <si>
    <t>Ashville</t>
  </si>
  <si>
    <t>josiahl4jc@gmail.com</t>
  </si>
  <si>
    <t>Josiahl4jc@gmail.com</t>
  </si>
  <si>
    <t>Josiah Lederman</t>
  </si>
  <si>
    <t>16926 Amstutz Rd</t>
  </si>
  <si>
    <t>wolffpackbsa@gmail.com</t>
  </si>
  <si>
    <t>Wolff</t>
  </si>
  <si>
    <t>Jonathan Wolff</t>
  </si>
  <si>
    <t>8424 Sandowne Lane</t>
  </si>
  <si>
    <t>Huntersville</t>
  </si>
  <si>
    <t>Who.lee.aaa@gmail.com</t>
  </si>
  <si>
    <t>Doherty</t>
  </si>
  <si>
    <t>Julia Doherty</t>
  </si>
  <si>
    <t>660 Madrid ct</t>
  </si>
  <si>
    <t>ozarka@juno.com</t>
  </si>
  <si>
    <t>sarah_beara_hayes@yahoo.com</t>
  </si>
  <si>
    <t>Hayes</t>
  </si>
  <si>
    <t>Sarah Hayes</t>
  </si>
  <si>
    <t>305 Shootout Lane</t>
  </si>
  <si>
    <t>ashorette0830@gmail.com</t>
  </si>
  <si>
    <t>Shorette</t>
  </si>
  <si>
    <t>Alexandra Shorette</t>
  </si>
  <si>
    <t>5415 S 7th Ave</t>
  </si>
  <si>
    <t>Countryside</t>
  </si>
  <si>
    <t>matthewlofgren@gmail.com</t>
  </si>
  <si>
    <t>Matthew Lofgren</t>
  </si>
  <si>
    <t>419 Forest Hills Blvd</t>
  </si>
  <si>
    <t>Naples</t>
  </si>
  <si>
    <t>hwolff@hillsdale.edu</t>
  </si>
  <si>
    <t>Hannah Wolff</t>
  </si>
  <si>
    <t>gould_melanie@hotmail.com</t>
  </si>
  <si>
    <t>robgould13@gmail.com</t>
  </si>
  <si>
    <t>Gould</t>
  </si>
  <si>
    <t>Robert Gould</t>
  </si>
  <si>
    <t>67 West Sandusky Street</t>
  </si>
  <si>
    <t>jjd5353@gmail.com</t>
  </si>
  <si>
    <t>caleb.dewolf@gmail.com</t>
  </si>
  <si>
    <t>DeWolf</t>
  </si>
  <si>
    <t>Caleb DeWolf</t>
  </si>
  <si>
    <t>13169 England St.</t>
  </si>
  <si>
    <t>princess_in_pink_856@hotmail.com</t>
  </si>
  <si>
    <t>Tahnee</t>
  </si>
  <si>
    <t>Bartel</t>
  </si>
  <si>
    <t>Tahnee Bartel</t>
  </si>
  <si>
    <t>16 Oak Cres</t>
  </si>
  <si>
    <t>Steinbach</t>
  </si>
  <si>
    <t>bringtheheat2008@yahoo.com</t>
  </si>
  <si>
    <t>Matthew Johnson</t>
  </si>
  <si>
    <t>907 Dunkirk Lane</t>
  </si>
  <si>
    <t>amend.r@gmail.com</t>
  </si>
  <si>
    <t>rachel.amend@gmail.com</t>
  </si>
  <si>
    <t>Amend</t>
  </si>
  <si>
    <t>Rachel Amend</t>
  </si>
  <si>
    <t>6695 Sheller Rd.</t>
  </si>
  <si>
    <t>Chambersburg</t>
  </si>
  <si>
    <t>jarredamdahl@hotmail.com</t>
  </si>
  <si>
    <t>jarredamdahl@gmail.com</t>
  </si>
  <si>
    <t>Jarred</t>
  </si>
  <si>
    <t>Amdahl</t>
  </si>
  <si>
    <t>Jarred Amdahl</t>
  </si>
  <si>
    <t>41965 SD Hwy 38</t>
  </si>
  <si>
    <t>fulton</t>
  </si>
  <si>
    <t>cnf1991@gmail.com_configioDeactivated</t>
  </si>
  <si>
    <t>hfernando94@gmail.com</t>
  </si>
  <si>
    <t>hannah</t>
  </si>
  <si>
    <t>fernando</t>
  </si>
  <si>
    <t>hannah fernando</t>
  </si>
  <si>
    <t>2566 Thorn Creek St SE</t>
  </si>
  <si>
    <t>Kentwood</t>
  </si>
  <si>
    <t>ksbmichael@gmail.com</t>
  </si>
  <si>
    <t>sjmichael3@gmail.com</t>
  </si>
  <si>
    <t>Skyler Michael</t>
  </si>
  <si>
    <t>88 Standish Drive</t>
  </si>
  <si>
    <t>Ormond Beach</t>
  </si>
  <si>
    <t>kckrager@q.com</t>
  </si>
  <si>
    <t>Krager</t>
  </si>
  <si>
    <t>Evan Krager</t>
  </si>
  <si>
    <t>6155 Moorfield Avenue</t>
  </si>
  <si>
    <t>mswiebe@frontier.com</t>
  </si>
  <si>
    <t>jess_wiebe4@hotmail.com</t>
  </si>
  <si>
    <t>Jessica Wiebe</t>
  </si>
  <si>
    <t>33852 Co Rd 45</t>
  </si>
  <si>
    <t>Bingham Lake</t>
  </si>
  <si>
    <t>edensprings@aol.com</t>
  </si>
  <si>
    <t>postuloprovolo@yahoo.com</t>
  </si>
  <si>
    <t>Rodney</t>
  </si>
  <si>
    <t>Roberts</t>
  </si>
  <si>
    <t>Rodney Roberts</t>
  </si>
  <si>
    <t>106 County Road 164</t>
  </si>
  <si>
    <t>Athens</t>
  </si>
  <si>
    <t>mamaweso@gmail.com</t>
  </si>
  <si>
    <t>terrorocks@yahoo.com</t>
  </si>
  <si>
    <t>Wesolowski</t>
  </si>
  <si>
    <t>Matthew Wesolowski</t>
  </si>
  <si>
    <t>1285 Morgan Springs 76Road</t>
  </si>
  <si>
    <t>wardchastity@aol.com</t>
  </si>
  <si>
    <t>dwfms@yahoo.com</t>
  </si>
  <si>
    <t>Devin</t>
  </si>
  <si>
    <t>Devin Ward</t>
  </si>
  <si>
    <t>170 Tanner Cir</t>
  </si>
  <si>
    <t>maddox_melrose@yahoo.com</t>
  </si>
  <si>
    <t>jacobmaddox4@yahoo.com</t>
  </si>
  <si>
    <t>Maddox</t>
  </si>
  <si>
    <t>Jacob Maddox</t>
  </si>
  <si>
    <t>8175 Merrian Road</t>
  </si>
  <si>
    <t>Keystone Heights</t>
  </si>
  <si>
    <t>mail@nheri.org</t>
  </si>
  <si>
    <t>Mail@nheri.org</t>
  </si>
  <si>
    <t>Abbie</t>
  </si>
  <si>
    <t>Ray</t>
  </si>
  <si>
    <t>Abbie Ray</t>
  </si>
  <si>
    <t>5940 Fruitland Rd. NE</t>
  </si>
  <si>
    <t>Salem</t>
  </si>
  <si>
    <t>kteeters2@comcast.net</t>
  </si>
  <si>
    <t>jfire22@comcast.net</t>
  </si>
  <si>
    <t>Barrett</t>
  </si>
  <si>
    <t>Teeters</t>
  </si>
  <si>
    <t>Barrett Teeters</t>
  </si>
  <si>
    <t>7620 East Cypresshead Drive</t>
  </si>
  <si>
    <t>Parkland</t>
  </si>
  <si>
    <t>debweakly@comcast.net</t>
  </si>
  <si>
    <t>jackweakly@gmail.com</t>
  </si>
  <si>
    <t>Weakly</t>
  </si>
  <si>
    <t>Jack Weakly</t>
  </si>
  <si>
    <t>18798 Pagentry Place</t>
  </si>
  <si>
    <t>Monuument</t>
  </si>
  <si>
    <t>miranda.poskey@gmail.com</t>
  </si>
  <si>
    <t>Poskey</t>
  </si>
  <si>
    <t>Miranda Poskey</t>
  </si>
  <si>
    <t>8290 Winding Passage Dr.</t>
  </si>
  <si>
    <t>mfhargis@earthlink.net</t>
  </si>
  <si>
    <t>Hargis</t>
  </si>
  <si>
    <t>Elizabeth Hargis</t>
  </si>
  <si>
    <t>laurenmelchers@yahoo.com</t>
  </si>
  <si>
    <t>Melchers</t>
  </si>
  <si>
    <t>Lauren Melchers</t>
  </si>
  <si>
    <t>7 Falcon Ridge Ct.</t>
  </si>
  <si>
    <t>fourhranch@windstream.net</t>
  </si>
  <si>
    <t>13cows@windstream.net</t>
  </si>
  <si>
    <t>andrew</t>
  </si>
  <si>
    <t>horvath</t>
  </si>
  <si>
    <t>andrew horvath</t>
  </si>
  <si>
    <t>14719 40th Street</t>
  </si>
  <si>
    <t>Live Oak</t>
  </si>
  <si>
    <t>Rtamstutz@aol.com</t>
  </si>
  <si>
    <t>Pramstutz@aol.com</t>
  </si>
  <si>
    <t>Amstutz</t>
  </si>
  <si>
    <t>Parker Amstutz</t>
  </si>
  <si>
    <t>1890 Marview Dr.</t>
  </si>
  <si>
    <t>Thousand Oaks</t>
  </si>
  <si>
    <t>gbisson9@gmail.com</t>
  </si>
  <si>
    <t>Bisson</t>
  </si>
  <si>
    <t>Gabriel Bisson</t>
  </si>
  <si>
    <t>4557 Falcon Cir.</t>
  </si>
  <si>
    <t>krumpeckrc@aol.com</t>
  </si>
  <si>
    <t>dkhero1@aol.com</t>
  </si>
  <si>
    <t>dylan</t>
  </si>
  <si>
    <t>krumpeck</t>
  </si>
  <si>
    <t>dylan krumpeck</t>
  </si>
  <si>
    <t>83 South Peak Trail</t>
  </si>
  <si>
    <t>Boulder</t>
  </si>
  <si>
    <t>cdtoussaint@gmail.com</t>
  </si>
  <si>
    <t>saralyngt@gmail.com</t>
  </si>
  <si>
    <t>Saralyn</t>
  </si>
  <si>
    <t>Toussaint</t>
  </si>
  <si>
    <t>Saralyn Toussaint</t>
  </si>
  <si>
    <t>330 valencia</t>
  </si>
  <si>
    <t>Gulf BReeze</t>
  </si>
  <si>
    <t>punderwood93@gmail.com</t>
  </si>
  <si>
    <t>underwood.anderson@gmail.com</t>
  </si>
  <si>
    <t>Underwood</t>
  </si>
  <si>
    <t>Anderson Underwood</t>
  </si>
  <si>
    <t>136 Grande View Lane</t>
  </si>
  <si>
    <t>Maylene</t>
  </si>
  <si>
    <t>ellheeg@gmail.com</t>
  </si>
  <si>
    <t>Ellyn</t>
  </si>
  <si>
    <t>Heegaard</t>
  </si>
  <si>
    <t>Ellyn Heegaard</t>
  </si>
  <si>
    <t>735 Cambridge Pl</t>
  </si>
  <si>
    <t>Sycamore</t>
  </si>
  <si>
    <t>bemelikian@gmail.com</t>
  </si>
  <si>
    <t>amcheercutie96@gmail.com</t>
  </si>
  <si>
    <t>Melikian</t>
  </si>
  <si>
    <t>Alyssa Melikian</t>
  </si>
  <si>
    <t>29004 Oakland Hills Dr.</t>
  </si>
  <si>
    <t>minilime24@sbcglobal.net</t>
  </si>
  <si>
    <t>Burke</t>
  </si>
  <si>
    <t>Ellyn Burke</t>
  </si>
  <si>
    <t>2425 Bryn Mawr Lane</t>
  </si>
  <si>
    <t>Crystal Lake</t>
  </si>
  <si>
    <t>hubinger@wcomco.net</t>
  </si>
  <si>
    <t>Hubinger</t>
  </si>
  <si>
    <t>Jessica Hubinger</t>
  </si>
  <si>
    <t>11700 Waldron rd.</t>
  </si>
  <si>
    <t>Waldron</t>
  </si>
  <si>
    <t>morris.6@sbcglobal.net</t>
  </si>
  <si>
    <t>Parker Morris</t>
  </si>
  <si>
    <t>147 Belle Terre</t>
  </si>
  <si>
    <t>Florian5@comcast.net</t>
  </si>
  <si>
    <t>jordanflorian95@gmail.com</t>
  </si>
  <si>
    <t>Florian</t>
  </si>
  <si>
    <t>Jordan Florian</t>
  </si>
  <si>
    <t>2654 Russell Road</t>
  </si>
  <si>
    <t>Baroda</t>
  </si>
  <si>
    <t>dustin</t>
  </si>
  <si>
    <t>dustin krumpeck</t>
  </si>
  <si>
    <t>83 s peak trail</t>
  </si>
  <si>
    <t>boulder</t>
  </si>
  <si>
    <t>howiex4@gmail.com</t>
  </si>
  <si>
    <t>97wesley@gmail.com</t>
  </si>
  <si>
    <t>Wesley Howell</t>
  </si>
  <si>
    <t>853 Torrey Pines Cir.</t>
  </si>
  <si>
    <t>rob_olga@juno.com</t>
  </si>
  <si>
    <t>jared</t>
  </si>
  <si>
    <t>buniel</t>
  </si>
  <si>
    <t>jared buniel</t>
  </si>
  <si>
    <t>680 torrey pines dr.</t>
  </si>
  <si>
    <t>sumter</t>
  </si>
  <si>
    <t>joseph.stroud94@gmail.com</t>
  </si>
  <si>
    <t>Stroud</t>
  </si>
  <si>
    <t>Joseph Stroud</t>
  </si>
  <si>
    <t>10596 Brenton Lane</t>
  </si>
  <si>
    <t>Dodge City</t>
  </si>
  <si>
    <t>ohiotreehouse@gmail.com</t>
  </si>
  <si>
    <t>smeagol4ever@gmail.com</t>
  </si>
  <si>
    <t>Forrest</t>
  </si>
  <si>
    <t>Sierra Forrest</t>
  </si>
  <si>
    <t>2886 Timbercreek Dr.</t>
  </si>
  <si>
    <t>Raymondgaskill@gmail.com</t>
  </si>
  <si>
    <t>Raymond</t>
  </si>
  <si>
    <t>Gaskill</t>
  </si>
  <si>
    <t>Raymond Gaskill</t>
  </si>
  <si>
    <t>601 Ashland</t>
  </si>
  <si>
    <t>River Forest</t>
  </si>
  <si>
    <t>ttkids@juno.com</t>
  </si>
  <si>
    <t>hannah.engling@yahoo.com</t>
  </si>
  <si>
    <t>Engling</t>
  </si>
  <si>
    <t>Hannah Engling</t>
  </si>
  <si>
    <t>1005 Eagles Ridge Dr.</t>
  </si>
  <si>
    <t>Cicero</t>
  </si>
  <si>
    <t>dkdavies7@gmail.com</t>
  </si>
  <si>
    <t>lildavies@gmail.com</t>
  </si>
  <si>
    <t>Davies</t>
  </si>
  <si>
    <t>Seth Davies</t>
  </si>
  <si>
    <t>2095 72nd Street</t>
  </si>
  <si>
    <t>Byron Center</t>
  </si>
  <si>
    <t>mbblom@q.com</t>
  </si>
  <si>
    <t>daniel.lee.blom@gmail.com</t>
  </si>
  <si>
    <t>Blom</t>
  </si>
  <si>
    <t>Daniel Blom</t>
  </si>
  <si>
    <t>304 Wauconda Road</t>
  </si>
  <si>
    <t>Marshalltown</t>
  </si>
  <si>
    <t>lukemaser@gmail.com</t>
  </si>
  <si>
    <t>Maser</t>
  </si>
  <si>
    <t>Luke Maser</t>
  </si>
  <si>
    <t>219 Clark St.</t>
  </si>
  <si>
    <t>Swanton</t>
  </si>
  <si>
    <t>maria.engling@gmail.com</t>
  </si>
  <si>
    <t>Maria Engling</t>
  </si>
  <si>
    <t>christine2817@msn.com</t>
  </si>
  <si>
    <t>carl-mcdonald@hotmail.com</t>
  </si>
  <si>
    <t>Carl</t>
  </si>
  <si>
    <t>McDonald</t>
  </si>
  <si>
    <t>Carl McDonald</t>
  </si>
  <si>
    <t>22513 E Powers PL</t>
  </si>
  <si>
    <t>atticusj10@gmail.com</t>
  </si>
  <si>
    <t>Atticus</t>
  </si>
  <si>
    <t>Atticus Brown</t>
  </si>
  <si>
    <t>4050 Holston College Rd</t>
  </si>
  <si>
    <t>Louisville</t>
  </si>
  <si>
    <t>richard.atwell@netzero.com</t>
  </si>
  <si>
    <t>Atwell</t>
  </si>
  <si>
    <t>Joanna Atwell</t>
  </si>
  <si>
    <t>8760 Three Notch Road</t>
  </si>
  <si>
    <t>Mobile</t>
  </si>
  <si>
    <t>naishfamily@charter.net</t>
  </si>
  <si>
    <t>abbynaish@gmail.com</t>
  </si>
  <si>
    <t>Naish</t>
  </si>
  <si>
    <t>Lauren Naish</t>
  </si>
  <si>
    <t>313 Cedar Hill Drive</t>
  </si>
  <si>
    <t>weber1@embarqmail.com</t>
  </si>
  <si>
    <t>Weber</t>
  </si>
  <si>
    <t>Bradley Weber</t>
  </si>
  <si>
    <t>1290 Lake Susan Hills Drive</t>
  </si>
  <si>
    <t>Meshruss@aol.com</t>
  </si>
  <si>
    <t>Renew.jon@gmail.com</t>
  </si>
  <si>
    <t>Daniels</t>
  </si>
  <si>
    <t>Jonathan Daniels</t>
  </si>
  <si>
    <t>22506 Miramar Crest Drive</t>
  </si>
  <si>
    <t>mmclement@aol.com</t>
  </si>
  <si>
    <t>eclement95@gmail.com</t>
  </si>
  <si>
    <t>Clement</t>
  </si>
  <si>
    <t>Emily Clement</t>
  </si>
  <si>
    <t>3013 Newbury Circle</t>
  </si>
  <si>
    <t>jordon181994@gmail.com</t>
  </si>
  <si>
    <t>Jordon</t>
  </si>
  <si>
    <t>VanDyke</t>
  </si>
  <si>
    <t>Jordon VanDyke</t>
  </si>
  <si>
    <t>2715 Dickinson</t>
  </si>
  <si>
    <t>Miles City</t>
  </si>
  <si>
    <t>lucysfaith07@gmail.com</t>
  </si>
  <si>
    <t>Karisa</t>
  </si>
  <si>
    <t>Noble</t>
  </si>
  <si>
    <t>Karisa Noble</t>
  </si>
  <si>
    <t>2654 Champa St.</t>
  </si>
  <si>
    <t>jbikes2wk@live.com</t>
  </si>
  <si>
    <t>HaidaJoe@live.com</t>
  </si>
  <si>
    <t>Scully</t>
  </si>
  <si>
    <t>Joseph Scully</t>
  </si>
  <si>
    <t>875 Haida Lane</t>
  </si>
  <si>
    <t>Fairbanks</t>
  </si>
  <si>
    <t>jrussell@pobox.com</t>
  </si>
  <si>
    <t>dreambig355@yahoo.com</t>
  </si>
  <si>
    <t>Leanna</t>
  </si>
  <si>
    <t>Leanna Russell</t>
  </si>
  <si>
    <t>6532 Hawk Court</t>
  </si>
  <si>
    <t>Mason</t>
  </si>
  <si>
    <t>gutierrez505@q.com</t>
  </si>
  <si>
    <t>samantha.gutierrez09@gmail.com</t>
  </si>
  <si>
    <t>Gutierrez</t>
  </si>
  <si>
    <t>Samantha Gutierrez</t>
  </si>
  <si>
    <t>Nambe Ct</t>
  </si>
  <si>
    <t>Sandia Park</t>
  </si>
  <si>
    <t>pran@gmx.com</t>
  </si>
  <si>
    <t>Peter Randolph</t>
  </si>
  <si>
    <t>764 County Road 414</t>
  </si>
  <si>
    <t>Boaz</t>
  </si>
  <si>
    <t>dkwillcox@gmail.com</t>
  </si>
  <si>
    <t>Ezekiel</t>
  </si>
  <si>
    <t>Willcox</t>
  </si>
  <si>
    <t>Ezekiel Willcox</t>
  </si>
  <si>
    <t>800 Loch Lommond</t>
  </si>
  <si>
    <t>Hutchinson</t>
  </si>
  <si>
    <t>johnson.actuary@comcast.net</t>
  </si>
  <si>
    <t>Yackly</t>
  </si>
  <si>
    <t>Gabe Yackly</t>
  </si>
  <si>
    <t>506 Ladyslipper Ave NE</t>
  </si>
  <si>
    <t>New Prague</t>
  </si>
  <si>
    <t>hmboylan@gmail.com</t>
  </si>
  <si>
    <t>Boston</t>
  </si>
  <si>
    <t>Boylan</t>
  </si>
  <si>
    <t>Boston Boylan</t>
  </si>
  <si>
    <t>20441 Everton Trail Ct N</t>
  </si>
  <si>
    <t>Forest Lake</t>
  </si>
  <si>
    <t>Besteele@yahoo.com</t>
  </si>
  <si>
    <t>astonsteele@yahoo.com</t>
  </si>
  <si>
    <t>Steele</t>
  </si>
  <si>
    <t>Ashton Steele</t>
  </si>
  <si>
    <t>9449 Adlai Terrance</t>
  </si>
  <si>
    <t>Lakside</t>
  </si>
  <si>
    <t>theleemanranch@gmail.com</t>
  </si>
  <si>
    <t>Leeman</t>
  </si>
  <si>
    <t>Blake Leeman</t>
  </si>
  <si>
    <t>419 Great Oaks Blvd</t>
  </si>
  <si>
    <t>Monticello</t>
  </si>
  <si>
    <t>klhart712@gmail.com</t>
  </si>
  <si>
    <t>Austin Hart</t>
  </si>
  <si>
    <t>2521 Sage Court</t>
  </si>
  <si>
    <t>kyfilly127@gmail.com</t>
  </si>
  <si>
    <t>Rebekah Green</t>
  </si>
  <si>
    <t>P.O. Box 127</t>
  </si>
  <si>
    <t>Argillite</t>
  </si>
  <si>
    <t>martingail59@yahoo.com</t>
  </si>
  <si>
    <t>jonnymart95@rocketmail.com</t>
  </si>
  <si>
    <t>Jonathan Martin</t>
  </si>
  <si>
    <t>2240 SE Maple St.</t>
  </si>
  <si>
    <t>CalebRGreen@student.cofo.edu</t>
  </si>
  <si>
    <t>Caleb Green</t>
  </si>
  <si>
    <t>mark.carole.watson@gmail.com</t>
  </si>
  <si>
    <t>nate.d.watson@gmail.com</t>
  </si>
  <si>
    <t>Nathan Watson</t>
  </si>
  <si>
    <t>1101 Murray Creek Ln.</t>
  </si>
  <si>
    <t>Cully@taylorcreative.net</t>
  </si>
  <si>
    <t>John Taylor</t>
  </si>
  <si>
    <t>8604 Jade Drive</t>
  </si>
  <si>
    <t>laebaer@gmail.com</t>
  </si>
  <si>
    <t>blkbaer@gmail.com</t>
  </si>
  <si>
    <t>Baer</t>
  </si>
  <si>
    <t>Blake Baer</t>
  </si>
  <si>
    <t>282 Cove Lane</t>
  </si>
  <si>
    <t>Bedford</t>
  </si>
  <si>
    <t>twang95@sbcglobal.net</t>
  </si>
  <si>
    <t>Martens</t>
  </si>
  <si>
    <t>Madison Martens</t>
  </si>
  <si>
    <t>34319 High Point Drive</t>
  </si>
  <si>
    <t>Magnolia</t>
  </si>
  <si>
    <t>jbgreen127@gmail.com</t>
  </si>
  <si>
    <t>Joseph Green</t>
  </si>
  <si>
    <t>dharma.leon@att.net</t>
  </si>
  <si>
    <t>rjljesusfreak@att.net</t>
  </si>
  <si>
    <t>L√≥pez</t>
  </si>
  <si>
    <t>Raymond L√≥pez</t>
  </si>
  <si>
    <t>1309 S Mildred Avenue</t>
  </si>
  <si>
    <t>Sedalia</t>
  </si>
  <si>
    <t>bgriffith95@windstream.net</t>
  </si>
  <si>
    <t>Griffith</t>
  </si>
  <si>
    <t>Bryan Griffith</t>
  </si>
  <si>
    <t>11280 S. 275th E. Ave</t>
  </si>
  <si>
    <t>Coweta</t>
  </si>
  <si>
    <t>skmoore63@comcast.net</t>
  </si>
  <si>
    <t>eeyoremoore@comcast.net</t>
  </si>
  <si>
    <t>Ariel</t>
  </si>
  <si>
    <t>Ariel Moore</t>
  </si>
  <si>
    <t>1451 Manley Loop</t>
  </si>
  <si>
    <t>joey.sardella@yahoo.com</t>
  </si>
  <si>
    <t>Sardella</t>
  </si>
  <si>
    <t>Joseph Sardella</t>
  </si>
  <si>
    <t>25767 N. 67th Dr.</t>
  </si>
  <si>
    <t>jaysontelford@gmail.com</t>
  </si>
  <si>
    <t>Jayson</t>
  </si>
  <si>
    <t>Telford</t>
  </si>
  <si>
    <t>Jayson Telford</t>
  </si>
  <si>
    <t>5070 S 1200 E</t>
  </si>
  <si>
    <t>Ogden</t>
  </si>
  <si>
    <t>lydiaruthk@bellsouth.net</t>
  </si>
  <si>
    <t>Kaercher</t>
  </si>
  <si>
    <t>Lydia Kaercher</t>
  </si>
  <si>
    <t>6250 Timber Run Dr.</t>
  </si>
  <si>
    <t>Bartlett</t>
  </si>
  <si>
    <t>Vbragg@cfl.rr.com</t>
  </si>
  <si>
    <t>Bragg</t>
  </si>
  <si>
    <t>Elizabeth Bragg</t>
  </si>
  <si>
    <t>6815 Valhalla way</t>
  </si>
  <si>
    <t>mattynoakes08@gmail.com</t>
  </si>
  <si>
    <t>Noakes</t>
  </si>
  <si>
    <t>Matthew Noakes</t>
  </si>
  <si>
    <t>#8889 4th Concession</t>
  </si>
  <si>
    <t>Sandford</t>
  </si>
  <si>
    <t>L0C 1E0</t>
  </si>
  <si>
    <t>mseibler@gmail.com</t>
  </si>
  <si>
    <t>cseibler@gmail.com</t>
  </si>
  <si>
    <t>Seibler</t>
  </si>
  <si>
    <t>Christopher Seibler</t>
  </si>
  <si>
    <t>247 Woodland Greens Drive</t>
  </si>
  <si>
    <t>Ponte Vedra</t>
  </si>
  <si>
    <t>a.fierer@myactv.net</t>
  </si>
  <si>
    <t>guppi@myactv.net</t>
  </si>
  <si>
    <t>Eli</t>
  </si>
  <si>
    <t>Fierer</t>
  </si>
  <si>
    <t>Eli Fierer</t>
  </si>
  <si>
    <t>8206 Dam Number 4 Road</t>
  </si>
  <si>
    <t>Williamsport</t>
  </si>
  <si>
    <t>giftspeople@gmail.com</t>
  </si>
  <si>
    <t>dalbert444@yahoo.com</t>
  </si>
  <si>
    <t>Dalbert</t>
  </si>
  <si>
    <t>Dalbert Chen</t>
  </si>
  <si>
    <t>2407 Springpark Way</t>
  </si>
  <si>
    <t>ki@churchstuff.net</t>
  </si>
  <si>
    <t>Ki</t>
  </si>
  <si>
    <t>Hawthorne</t>
  </si>
  <si>
    <t>Ki Hawthorne</t>
  </si>
  <si>
    <t>16495 Mount Herman Ln</t>
  </si>
  <si>
    <t>emongmaps@hotmail.com</t>
  </si>
  <si>
    <t>Feulmer</t>
  </si>
  <si>
    <t>Isaac Feulmer</t>
  </si>
  <si>
    <t>P.O. Box 155</t>
  </si>
  <si>
    <t>9938 S. Church St.</t>
  </si>
  <si>
    <t>Hunt</t>
  </si>
  <si>
    <t>guy_in_tbilisi@yahoo.com</t>
  </si>
  <si>
    <t>RuhlmannJM@cox.net</t>
  </si>
  <si>
    <t>Ruhlmann</t>
  </si>
  <si>
    <t>Josh Ruhlmann</t>
  </si>
  <si>
    <t>5107 Bluestem Rd</t>
  </si>
  <si>
    <t>thenae12@yahoo.com</t>
  </si>
  <si>
    <t>Lanae</t>
  </si>
  <si>
    <t>Lanae Nelson</t>
  </si>
  <si>
    <t>41855 State Hwy 48</t>
  </si>
  <si>
    <t>Hinckley</t>
  </si>
  <si>
    <t>joe@fbcbristol.org</t>
  </si>
  <si>
    <t>coleemmert2@gmail.com</t>
  </si>
  <si>
    <t>Edward</t>
  </si>
  <si>
    <t>Emmert</t>
  </si>
  <si>
    <t>Edward Emmert</t>
  </si>
  <si>
    <t>320 Mia Drive</t>
  </si>
  <si>
    <t>Bristol</t>
  </si>
  <si>
    <t>d.d.foster24@gmail.com</t>
  </si>
  <si>
    <t>Daniel Foster</t>
  </si>
  <si>
    <t>155 Myrtle Terrace</t>
  </si>
  <si>
    <t>binkleyclan@aeneas.net</t>
  </si>
  <si>
    <t>tansil.binkley@my.uu.edu</t>
  </si>
  <si>
    <t>Tansil</t>
  </si>
  <si>
    <t>Binkley</t>
  </si>
  <si>
    <t>Tansil Binkley</t>
  </si>
  <si>
    <t>99 Gracelyn Drive</t>
  </si>
  <si>
    <t>sandrastoller@comcast.net</t>
  </si>
  <si>
    <t>ansonstoller@comcast.net</t>
  </si>
  <si>
    <t>Anson</t>
  </si>
  <si>
    <t>Stoller</t>
  </si>
  <si>
    <t>Anson Stoller</t>
  </si>
  <si>
    <t>10360 Stoneflower Dr.</t>
  </si>
  <si>
    <t>walanhudson@gmail.com</t>
  </si>
  <si>
    <t>Joshuahudson94@gmail.com</t>
  </si>
  <si>
    <t>Joshua Hudson</t>
  </si>
  <si>
    <t>5321 hickory  hill Dr</t>
  </si>
  <si>
    <t>Trussville</t>
  </si>
  <si>
    <t>mikeskane99@hotmail.com</t>
  </si>
  <si>
    <t>emilykane16@yahoo.com</t>
  </si>
  <si>
    <t>Kane</t>
  </si>
  <si>
    <t>Emily Kane</t>
  </si>
  <si>
    <t>5132 Steuben Dr.</t>
  </si>
  <si>
    <t>Memphis</t>
  </si>
  <si>
    <t>michellegeffken@rcn.com</t>
  </si>
  <si>
    <t>akgcode@rcn.com</t>
  </si>
  <si>
    <t>Geffken</t>
  </si>
  <si>
    <t>Anna Geffken</t>
  </si>
  <si>
    <t>635 South Street</t>
  </si>
  <si>
    <t>Roslindale</t>
  </si>
  <si>
    <t>bryguyllotr@yahoo.com</t>
  </si>
  <si>
    <t>Bryguyllotr@yahoo.com</t>
  </si>
  <si>
    <t>Atkinson</t>
  </si>
  <si>
    <t>Bryan Atkinson</t>
  </si>
  <si>
    <t>1064 e.fairfield st.</t>
  </si>
  <si>
    <t>Mesa</t>
  </si>
  <si>
    <t>jandybriggs@aol.com</t>
  </si>
  <si>
    <t>linnea.briggs@gmail.com</t>
  </si>
  <si>
    <t>Linnea</t>
  </si>
  <si>
    <t>Briggs</t>
  </si>
  <si>
    <t>Linnea Briggs</t>
  </si>
  <si>
    <t>226 S. Cave Creek Drive</t>
  </si>
  <si>
    <t>benjamingeffkin@gmail.com</t>
  </si>
  <si>
    <t>Benjamin Geffken</t>
  </si>
  <si>
    <t>jclark9942@aol.com</t>
  </si>
  <si>
    <t>cherrycokeispink@aol.com</t>
  </si>
  <si>
    <t>Cassidy</t>
  </si>
  <si>
    <t>Cassidy Clark</t>
  </si>
  <si>
    <t>494 Doubletrace Lane</t>
  </si>
  <si>
    <t>blythe.jay@gmail.com</t>
  </si>
  <si>
    <t>Blythe Johnson</t>
  </si>
  <si>
    <t>8041 S. Harrison Cir.</t>
  </si>
  <si>
    <t>Michaela</t>
  </si>
  <si>
    <t>Michaela Ruhlmann</t>
  </si>
  <si>
    <t>nblakely@ups.com</t>
  </si>
  <si>
    <t>Blakely</t>
  </si>
  <si>
    <t>Natalie Blakely</t>
  </si>
  <si>
    <t>3 Dogwood Lane</t>
  </si>
  <si>
    <t>ndjohns@pld.com</t>
  </si>
  <si>
    <t>blessingmqrshall@gmail.com</t>
  </si>
  <si>
    <t>Ellis Scott</t>
  </si>
  <si>
    <t>735 W New Hampshire</t>
  </si>
  <si>
    <t>Osborne</t>
  </si>
  <si>
    <t>5silvers@carolina.rr.com</t>
  </si>
  <si>
    <t>h.n.silver96@gmail.com</t>
  </si>
  <si>
    <t>Silver</t>
  </si>
  <si>
    <t>Hannah Silver</t>
  </si>
  <si>
    <t>14500 Thompson Rd</t>
  </si>
  <si>
    <t>dkp_1999@yahoo.com</t>
  </si>
  <si>
    <t>hdo1996@gmail.com</t>
  </si>
  <si>
    <t>Haley Phillips</t>
  </si>
  <si>
    <t>4843 AL Hwy 144</t>
  </si>
  <si>
    <t>Ragland</t>
  </si>
  <si>
    <t>leesieweesie@yahoo.com</t>
  </si>
  <si>
    <t>Seldenrust</t>
  </si>
  <si>
    <t>Elise Seldenrust</t>
  </si>
  <si>
    <t>2109 Blue Gramma Trail</t>
  </si>
  <si>
    <t>never2manyshoes002@yahoo.com</t>
  </si>
  <si>
    <t>Never2manyshoes002@yahoo.com</t>
  </si>
  <si>
    <t>Crews</t>
  </si>
  <si>
    <t>Rachel Crews</t>
  </si>
  <si>
    <t>580 Warren Thomas</t>
  </si>
  <si>
    <t>Texarkana</t>
  </si>
  <si>
    <t>liveoutloud61@gmail.com</t>
  </si>
  <si>
    <t>Janet</t>
  </si>
  <si>
    <t>Janet Patrick</t>
  </si>
  <si>
    <t>Po Box 580</t>
  </si>
  <si>
    <t>Colton</t>
  </si>
  <si>
    <t>newsome14@gmail.com</t>
  </si>
  <si>
    <t>Jamin</t>
  </si>
  <si>
    <t>Newsome</t>
  </si>
  <si>
    <t>Jamin Newsome</t>
  </si>
  <si>
    <t>2525 NE 126th St.</t>
  </si>
  <si>
    <t>limlow@yahoo.com</t>
  </si>
  <si>
    <t>Low</t>
  </si>
  <si>
    <t>Josiah Low</t>
  </si>
  <si>
    <t>negvesky.stephen@gmail.com</t>
  </si>
  <si>
    <t>Negvesky</t>
  </si>
  <si>
    <t>Stephen Negvesky</t>
  </si>
  <si>
    <t>1919 11th ave</t>
  </si>
  <si>
    <t>beckyj167@aol.com</t>
  </si>
  <si>
    <t>markj95@gmail.com</t>
  </si>
  <si>
    <t>Mark Johnson</t>
  </si>
  <si>
    <t>231 Shenandoah Drive</t>
  </si>
  <si>
    <t>Hoover</t>
  </si>
  <si>
    <t>baileybunch@windstream.net</t>
  </si>
  <si>
    <t>Matthew Bailey</t>
  </si>
  <si>
    <t>33787 US Highway 411</t>
  </si>
  <si>
    <t>lschneider@nc.rr.com</t>
  </si>
  <si>
    <t>treflip96@gmail.com</t>
  </si>
  <si>
    <t>Daniel Schneider</t>
  </si>
  <si>
    <t>5520 Furan Ct</t>
  </si>
  <si>
    <t>Fuquay</t>
  </si>
  <si>
    <t>Stephaniebruderer@yahoo.com</t>
  </si>
  <si>
    <t>Bruderer</t>
  </si>
  <si>
    <t>Ashley Bruderer</t>
  </si>
  <si>
    <t>susalee.spruill@comcast.net</t>
  </si>
  <si>
    <t>spruillp14@ensworth.com</t>
  </si>
  <si>
    <t>Spruill</t>
  </si>
  <si>
    <t>Peter Spruill</t>
  </si>
  <si>
    <t>5825 Robert E Lee Dr</t>
  </si>
  <si>
    <t>becky@legaleagleinc.com</t>
  </si>
  <si>
    <t>elicarnahan@gmail.com</t>
  </si>
  <si>
    <t>Elisha</t>
  </si>
  <si>
    <t>Carnahan</t>
  </si>
  <si>
    <t>Elisha Carnahan</t>
  </si>
  <si>
    <t>102 Castlewood Dr</t>
  </si>
  <si>
    <t>jmarrah16@gmail.com</t>
  </si>
  <si>
    <t>Jacob Marrah</t>
  </si>
  <si>
    <t>victoria.wabler@gmail.com</t>
  </si>
  <si>
    <t>Wabler</t>
  </si>
  <si>
    <t>Victoria Wabler</t>
  </si>
  <si>
    <t>5841 Oak Creek Trail</t>
  </si>
  <si>
    <t>Huber Heights</t>
  </si>
  <si>
    <t>to_nathaniel@verizon.net</t>
  </si>
  <si>
    <t>ozma1515@yahoo.com</t>
  </si>
  <si>
    <t>Bennett</t>
  </si>
  <si>
    <t>Briana Bennett</t>
  </si>
  <si>
    <t>5240 Hawthorne Rd NW</t>
  </si>
  <si>
    <t>brucecash4@gmail.com</t>
  </si>
  <si>
    <t>brucecash3@gmail.com</t>
  </si>
  <si>
    <t>Bruce</t>
  </si>
  <si>
    <t>Bruce McAlister</t>
  </si>
  <si>
    <t>PO Box 472</t>
  </si>
  <si>
    <t>sjanebailey113@gmail.com</t>
  </si>
  <si>
    <t>Sarah Bailey</t>
  </si>
  <si>
    <t>33787 US Highway</t>
  </si>
  <si>
    <t>cott3@comcast.net</t>
  </si>
  <si>
    <t>Cotting</t>
  </si>
  <si>
    <t>Anna Cotting</t>
  </si>
  <si>
    <t>2378 Wildwood Circle</t>
  </si>
  <si>
    <t>lolitahanks@aol.com</t>
  </si>
  <si>
    <t>comradejalen21@yahoo.com</t>
  </si>
  <si>
    <t>Jalen</t>
  </si>
  <si>
    <t>Onisko</t>
  </si>
  <si>
    <t>Jalen Onisko</t>
  </si>
  <si>
    <t>1005 Northridge Road</t>
  </si>
  <si>
    <t>inkedlemonade@gmail.com</t>
  </si>
  <si>
    <t>Sarah Cotting</t>
  </si>
  <si>
    <t>jmboriack@gmail.com</t>
  </si>
  <si>
    <t>John Boriack</t>
  </si>
  <si>
    <t>19218  Oldwick Brook Dr.</t>
  </si>
  <si>
    <t>aaronstoller@comcast.net</t>
  </si>
  <si>
    <t>Aaron Stoller</t>
  </si>
  <si>
    <t>greg-gilbaugh@mchsi.com</t>
  </si>
  <si>
    <t>Gilbaugh</t>
  </si>
  <si>
    <t>Andrew Gilbaugh</t>
  </si>
  <si>
    <t>1736 Red Oak Dr</t>
  </si>
  <si>
    <t>Coralville</t>
  </si>
  <si>
    <t>jzeiser@sctray.com</t>
  </si>
  <si>
    <t>zphil96@gmail.com</t>
  </si>
  <si>
    <t>Philip</t>
  </si>
  <si>
    <t>Zeiser</t>
  </si>
  <si>
    <t>Philip Zeiser</t>
  </si>
  <si>
    <t>17 Rock Crest Drive</t>
  </si>
  <si>
    <t>Signal Mountain</t>
  </si>
  <si>
    <t>vhstaffordjr@msn.com</t>
  </si>
  <si>
    <t>vernon3rd@gmail.com</t>
  </si>
  <si>
    <t>Vernon III</t>
  </si>
  <si>
    <t>Stafford</t>
  </si>
  <si>
    <t>Vernon III Stafford</t>
  </si>
  <si>
    <t>1594 Courtfield Lane</t>
  </si>
  <si>
    <t>Collierville</t>
  </si>
  <si>
    <t>drcook11@gmal.com</t>
  </si>
  <si>
    <t>tcook339@gmail.com</t>
  </si>
  <si>
    <t>Timothy Cook</t>
  </si>
  <si>
    <t>4704 Fairlea Dr</t>
  </si>
  <si>
    <t>Valrico</t>
  </si>
  <si>
    <t>kevin.gokmen@chugach-ak.com</t>
  </si>
  <si>
    <t>Gokmen</t>
  </si>
  <si>
    <t>Kemper Gokmen</t>
  </si>
  <si>
    <t>5007 Brookwood Dr. NW</t>
  </si>
  <si>
    <t>lilchin28@gmail.com</t>
  </si>
  <si>
    <t>Chin</t>
  </si>
  <si>
    <t>Lillian Chin</t>
  </si>
  <si>
    <t>407 2nd St. E</t>
  </si>
  <si>
    <t>Newhall</t>
  </si>
  <si>
    <t>dajako4shop@yahoo.com</t>
  </si>
  <si>
    <t>joshkoman96@yahoo.com</t>
  </si>
  <si>
    <t>Ko</t>
  </si>
  <si>
    <t>Joshua Ko</t>
  </si>
  <si>
    <t>1220 Rivera Street</t>
  </si>
  <si>
    <t>El Cerrito</t>
  </si>
  <si>
    <t>muddemily@aol.com</t>
  </si>
  <si>
    <t>Mudd</t>
  </si>
  <si>
    <t>Rachel Mudd</t>
  </si>
  <si>
    <t>stevewhip@gmail.com</t>
  </si>
  <si>
    <t>aaronwhip@gmail.com</t>
  </si>
  <si>
    <t>Whipple</t>
  </si>
  <si>
    <t>Aaron Whipple</t>
  </si>
  <si>
    <t>68 Brooke Ridge Trail</t>
  </si>
  <si>
    <t>shawneereller@hotmail.com</t>
  </si>
  <si>
    <t>mike27_7@live.com</t>
  </si>
  <si>
    <t>Reller</t>
  </si>
  <si>
    <t>Michael Reller</t>
  </si>
  <si>
    <t>1847 Fain Cemetery Road</t>
  </si>
  <si>
    <t>Dandridge</t>
  </si>
  <si>
    <t>ganzeclan@charter.net</t>
  </si>
  <si>
    <t>ganzeclanalex@charter.net</t>
  </si>
  <si>
    <t>Ganzemiller</t>
  </si>
  <si>
    <t>Alex Ganzemiller</t>
  </si>
  <si>
    <t>504 Garland St E</t>
  </si>
  <si>
    <t>West Salem</t>
  </si>
  <si>
    <t>L5R4@hargray.com</t>
  </si>
  <si>
    <t>lifuller4@gmail.com</t>
  </si>
  <si>
    <t>Fuller</t>
  </si>
  <si>
    <t>Lincoln Fuller</t>
  </si>
  <si>
    <t>41 Shrimp Lane</t>
  </si>
  <si>
    <t>Hilton Head Island</t>
  </si>
  <si>
    <t>jcpaul134@aol.com</t>
  </si>
  <si>
    <t>Paulukaitis</t>
  </si>
  <si>
    <t>Jonathan Paulukaitis</t>
  </si>
  <si>
    <t>134 derek dr.</t>
  </si>
  <si>
    <t>Weatherford</t>
  </si>
  <si>
    <t>drcook11@gmail.com</t>
  </si>
  <si>
    <t>laurelecook1515@gmail.com</t>
  </si>
  <si>
    <t>Laurel</t>
  </si>
  <si>
    <t>Laurel Cook</t>
  </si>
  <si>
    <t>4704 Fairlea Dr.</t>
  </si>
  <si>
    <t>Itoews12@gmail.com</t>
  </si>
  <si>
    <t>Ivan</t>
  </si>
  <si>
    <t>Toews</t>
  </si>
  <si>
    <t>Ivan Toews</t>
  </si>
  <si>
    <t>228 1/2 West Sacramento Ave</t>
  </si>
  <si>
    <t>Chico</t>
  </si>
  <si>
    <t>andy.lohrman@frontier.com</t>
  </si>
  <si>
    <t>judahel@frontier.com</t>
  </si>
  <si>
    <t>Lohrman</t>
  </si>
  <si>
    <t>Judah Lohrman</t>
  </si>
  <si>
    <t>6367 N Murphy Rd</t>
  </si>
  <si>
    <t>Brazil</t>
  </si>
  <si>
    <t>dorscht7@mac.com</t>
  </si>
  <si>
    <t>Dorscht</t>
  </si>
  <si>
    <t>Eric Dorscht</t>
  </si>
  <si>
    <t>3265 Pony Tracks Dr.</t>
  </si>
  <si>
    <t>Livimac15@yahoo.com</t>
  </si>
  <si>
    <t>Olivia Cook</t>
  </si>
  <si>
    <t>4704 Fairlea Drive</t>
  </si>
  <si>
    <t>bobbymatthews92@gmail.com</t>
  </si>
  <si>
    <t>Robert Matthews</t>
  </si>
  <si>
    <t>katierosepaul@aol.com</t>
  </si>
  <si>
    <t>Katelyn Paulukaitis</t>
  </si>
  <si>
    <t>134 Derek Drive</t>
  </si>
  <si>
    <t>rebecca.benjamin@embarqmail.com</t>
  </si>
  <si>
    <t>Rebecca</t>
  </si>
  <si>
    <t>Rebecca Benjamin</t>
  </si>
  <si>
    <t>2316 S. Lake Sharon Road</t>
  </si>
  <si>
    <t>Warsaw</t>
  </si>
  <si>
    <t>scottlaurasa@gmail.com</t>
  </si>
  <si>
    <t>adenallyn10312@gmail.com</t>
  </si>
  <si>
    <t>Aden</t>
  </si>
  <si>
    <t>Parsons</t>
  </si>
  <si>
    <t>Aden Parsons</t>
  </si>
  <si>
    <t>1467 Bonnie View Ct</t>
  </si>
  <si>
    <t>kwthorman@gmail.com</t>
  </si>
  <si>
    <t>Avidtjorman@yahoo.com</t>
  </si>
  <si>
    <t>Thorman</t>
  </si>
  <si>
    <t>David Thorman</t>
  </si>
  <si>
    <t>1395 slate mine road</t>
  </si>
  <si>
    <t>Fairmount</t>
  </si>
  <si>
    <t>4evercaptivated@gmail.com</t>
  </si>
  <si>
    <t>Langeland</t>
  </si>
  <si>
    <t>Sarah Langeland</t>
  </si>
  <si>
    <t>12781 Gordon Drive</t>
  </si>
  <si>
    <t>dandsmoore@earthlink.net</t>
  </si>
  <si>
    <t>Elise Moore</t>
  </si>
  <si>
    <t>590 Eden Rock Rd</t>
  </si>
  <si>
    <t>larry@insightfuldata.com</t>
  </si>
  <si>
    <t>brianmchaney97@gmail.com</t>
  </si>
  <si>
    <t>McHaney</t>
  </si>
  <si>
    <t>Brian McHaney</t>
  </si>
  <si>
    <t>2200 Dobree St.</t>
  </si>
  <si>
    <t>Mkeski@arvig.net</t>
  </si>
  <si>
    <t>Maddykeski@gmail.com</t>
  </si>
  <si>
    <t>Madelin</t>
  </si>
  <si>
    <t>Keskitalo</t>
  </si>
  <si>
    <t>Madelin Keskitalo</t>
  </si>
  <si>
    <t>49599 Co. Hwy. 54</t>
  </si>
  <si>
    <t>Ottertail</t>
  </si>
  <si>
    <t>Sandi.harvey@gmail.com</t>
  </si>
  <si>
    <t>waffles.harvey@gmail.com</t>
  </si>
  <si>
    <t>Will Harvey</t>
  </si>
  <si>
    <t>8474 CR33</t>
  </si>
  <si>
    <t>Killen</t>
  </si>
  <si>
    <t>kaarinscoma@gmail.com</t>
  </si>
  <si>
    <t>katelynscoma@gmail.com</t>
  </si>
  <si>
    <t>Scoma</t>
  </si>
  <si>
    <t>Katelyn Scoma</t>
  </si>
  <si>
    <t>1028 N County Road 21</t>
  </si>
  <si>
    <t>Berthoud</t>
  </si>
  <si>
    <t>lindapflores@yahoo.com</t>
  </si>
  <si>
    <t>Linda</t>
  </si>
  <si>
    <t>Flores</t>
  </si>
  <si>
    <t>Linda Flores</t>
  </si>
  <si>
    <t>Scott.Stroven@cru.org</t>
  </si>
  <si>
    <t>anna.stroven@aol.com</t>
  </si>
  <si>
    <t>Stroven</t>
  </si>
  <si>
    <t>Anna Stroven</t>
  </si>
  <si>
    <t>5310 Keswick Ct</t>
  </si>
  <si>
    <t>hartmannron@gmail.com</t>
  </si>
  <si>
    <t>ihart84@live.com</t>
  </si>
  <si>
    <t>Hartmann</t>
  </si>
  <si>
    <t>Isaac Hartmann</t>
  </si>
  <si>
    <t>7555 Nw 16th St</t>
  </si>
  <si>
    <t>Kelsey.Stroven@aol.com</t>
  </si>
  <si>
    <t>Kelsey Stroven</t>
  </si>
  <si>
    <t>5310 Keswick Ct.</t>
  </si>
  <si>
    <t>jonnylee17@gmail.com</t>
  </si>
  <si>
    <t>Jonathan Lee</t>
  </si>
  <si>
    <t>5838 Vargas Ct.</t>
  </si>
  <si>
    <t>San Jose</t>
  </si>
  <si>
    <t>leakeesee@yahoo.com</t>
  </si>
  <si>
    <t>naster504@yahoo.com</t>
  </si>
  <si>
    <t>natalie</t>
  </si>
  <si>
    <t>keesee</t>
  </si>
  <si>
    <t>natalie keesee</t>
  </si>
  <si>
    <t>5813 Highland Blvd</t>
  </si>
  <si>
    <t>midland</t>
  </si>
  <si>
    <t>conrad.reb@gmail.com</t>
  </si>
  <si>
    <t>Rebecca Conrad</t>
  </si>
  <si>
    <t>4117 Groometown Rd</t>
  </si>
  <si>
    <t>Greensboro</t>
  </si>
  <si>
    <t>jnpardue@gmail.com</t>
  </si>
  <si>
    <t>sarah@parduehome.net</t>
  </si>
  <si>
    <t>Pardue</t>
  </si>
  <si>
    <t>Sarah Pardue</t>
  </si>
  <si>
    <t>2553 Milton Lane</t>
  </si>
  <si>
    <t>Thompsons Station</t>
  </si>
  <si>
    <t>Revreng@gmail.com</t>
  </si>
  <si>
    <t>Regreng94@gmail.com</t>
  </si>
  <si>
    <t>Reginald</t>
  </si>
  <si>
    <t>Eng</t>
  </si>
  <si>
    <t>Reginald Eng</t>
  </si>
  <si>
    <t>9725 Yale ave.</t>
  </si>
  <si>
    <t>Norwood young America</t>
  </si>
  <si>
    <t>lohengrin2000@sbcglobal.net</t>
  </si>
  <si>
    <t>Shortt</t>
  </si>
  <si>
    <t>Ian Shortt</t>
  </si>
  <si>
    <t>17415 Moreton Lane</t>
  </si>
  <si>
    <t>Spring</t>
  </si>
  <si>
    <t>lwilde4@yahoo.com</t>
  </si>
  <si>
    <t>carolinelwilde@gmail.com</t>
  </si>
  <si>
    <t>Caroline</t>
  </si>
  <si>
    <t>Wilde</t>
  </si>
  <si>
    <t>Caroline Wilde</t>
  </si>
  <si>
    <t>2009 Yokley</t>
  </si>
  <si>
    <t>Rockdale</t>
  </si>
  <si>
    <t>annawilson114@gmail.com</t>
  </si>
  <si>
    <t>Anna Wilson</t>
  </si>
  <si>
    <t>2716 Altadena Rd</t>
  </si>
  <si>
    <t>kbever008@gmail.com</t>
  </si>
  <si>
    <t>leaveit2bever@gmail.com</t>
  </si>
  <si>
    <t>Bever</t>
  </si>
  <si>
    <t>Brent Bever</t>
  </si>
  <si>
    <t>9632 Howell PR RD NE</t>
  </si>
  <si>
    <t>lanhamfamily@q.com</t>
  </si>
  <si>
    <t>Renee</t>
  </si>
  <si>
    <t>Lanham</t>
  </si>
  <si>
    <t>Renee Lanham</t>
  </si>
  <si>
    <t>7409 Bryn Mawr Drive</t>
  </si>
  <si>
    <t>peter.mchaney@okbu.edu</t>
  </si>
  <si>
    <t>Peter McHaney</t>
  </si>
  <si>
    <t>2200 Dobree</t>
  </si>
  <si>
    <t>wilforbes@lakemac.net</t>
  </si>
  <si>
    <t>nathanforbes17@yahoo.com</t>
  </si>
  <si>
    <t>Forbes</t>
  </si>
  <si>
    <t>Nathan Forbes</t>
  </si>
  <si>
    <t>273 Hwy. 92 W</t>
  </si>
  <si>
    <t>Lemoyne</t>
  </si>
  <si>
    <t>albertluh@yahoo.com</t>
  </si>
  <si>
    <t>Luh</t>
  </si>
  <si>
    <t>Alexander Luh</t>
  </si>
  <si>
    <t>4013 Moreland Way</t>
  </si>
  <si>
    <t>lkmgmg@gmail.com</t>
  </si>
  <si>
    <t>Groce</t>
  </si>
  <si>
    <t>Victoria Groce</t>
  </si>
  <si>
    <t>3944 Weyburn Dr.</t>
  </si>
  <si>
    <t>Robyned143@msn.com</t>
  </si>
  <si>
    <t>prov.31.swimgirl@gmail.com</t>
  </si>
  <si>
    <t>Ramos</t>
  </si>
  <si>
    <t>Madison Ramos</t>
  </si>
  <si>
    <t>2583 pinewood Ln</t>
  </si>
  <si>
    <t>Layton</t>
  </si>
  <si>
    <t>sandifc@gmail.com</t>
  </si>
  <si>
    <t>janafc93@gmail.com</t>
  </si>
  <si>
    <t>Jana</t>
  </si>
  <si>
    <t>Jana Miller</t>
  </si>
  <si>
    <t>32833 SE 47th Pl.</t>
  </si>
  <si>
    <t>Fall City</t>
  </si>
  <si>
    <t>steelelandon@yahoo.com</t>
  </si>
  <si>
    <t>Landon</t>
  </si>
  <si>
    <t>Landon Steele</t>
  </si>
  <si>
    <t>9449 Adlai Ter</t>
  </si>
  <si>
    <t>lakeside</t>
  </si>
  <si>
    <t>hbs02860@ucmo.edu</t>
  </si>
  <si>
    <t>Sanders</t>
  </si>
  <si>
    <t>Hailey Sanders</t>
  </si>
  <si>
    <t>152 Honeybee Dr.</t>
  </si>
  <si>
    <t>Branson</t>
  </si>
  <si>
    <t>anneliesephippen@gmail.com</t>
  </si>
  <si>
    <t>Anneliese</t>
  </si>
  <si>
    <t>Phippen</t>
  </si>
  <si>
    <t>Anneliese Phippen</t>
  </si>
  <si>
    <t>3303 N. HWY 67</t>
  </si>
  <si>
    <t>songshoofbeats@gmail.com</t>
  </si>
  <si>
    <t>Destiny</t>
  </si>
  <si>
    <t>Destiny Miller</t>
  </si>
  <si>
    <t>9718 Harrier way</t>
  </si>
  <si>
    <t>Elk Grove</t>
  </si>
  <si>
    <t>Betsyreich@wavecable.com</t>
  </si>
  <si>
    <t>betsyreich@wavecable.com</t>
  </si>
  <si>
    <t>Betsy</t>
  </si>
  <si>
    <t>Reich</t>
  </si>
  <si>
    <t>Betsy Reich</t>
  </si>
  <si>
    <t>2795 Bag End Way</t>
  </si>
  <si>
    <t>Port Orchard</t>
  </si>
  <si>
    <t>karrietracy@msn.com</t>
  </si>
  <si>
    <t>anya.tracy@gmail.com</t>
  </si>
  <si>
    <t>Anya</t>
  </si>
  <si>
    <t>Anya Tracy</t>
  </si>
  <si>
    <t>425 Sunlight Dr</t>
  </si>
  <si>
    <t>s.s.hees@hotmail.com</t>
  </si>
  <si>
    <t>Hees</t>
  </si>
  <si>
    <t>Spencer Hees</t>
  </si>
  <si>
    <t>403 Virginia Avenue</t>
  </si>
  <si>
    <t>Carterville</t>
  </si>
  <si>
    <t>tjlebbs@gmail.com</t>
  </si>
  <si>
    <t>Lebbs</t>
  </si>
  <si>
    <t>Adam Lebbs</t>
  </si>
  <si>
    <t>10860 N. Torey Lane</t>
  </si>
  <si>
    <t>Tucson</t>
  </si>
  <si>
    <t>dbrhsm@msn.com</t>
  </si>
  <si>
    <t>Hannah Johnson</t>
  </si>
  <si>
    <t>12325 Oregon Wagon Trail</t>
  </si>
  <si>
    <t>doohyunkwon@gmail.com</t>
  </si>
  <si>
    <t>Doo</t>
  </si>
  <si>
    <t>Kwon</t>
  </si>
  <si>
    <t>Doo Kwon</t>
  </si>
  <si>
    <t>1401 W. 227th ST</t>
  </si>
  <si>
    <t>Torrance</t>
  </si>
  <si>
    <t>dkwon008@ucr.edu</t>
  </si>
  <si>
    <t>Doohee</t>
  </si>
  <si>
    <t>Doohee Kwon</t>
  </si>
  <si>
    <t>1401 W, 227ST</t>
  </si>
  <si>
    <t>daviddickey2000@yahoo.com</t>
  </si>
  <si>
    <t>carolinemarie14@gmail.com</t>
  </si>
  <si>
    <t>Dickey</t>
  </si>
  <si>
    <t>Caroline Dickey</t>
  </si>
  <si>
    <t>102 Raintree Circle</t>
  </si>
  <si>
    <t>Minot</t>
  </si>
  <si>
    <t>jhoward97@gmail.com</t>
  </si>
  <si>
    <t>Jenna Howard</t>
  </si>
  <si>
    <t>209 Reedy Creek Ctr</t>
  </si>
  <si>
    <t>ronm.steel@gmail.com</t>
  </si>
  <si>
    <t>alexis</t>
  </si>
  <si>
    <t>munoz</t>
  </si>
  <si>
    <t>alexis munoz</t>
  </si>
  <si>
    <t>339 deer rd</t>
  </si>
  <si>
    <t>tescott</t>
  </si>
  <si>
    <t>chadduncan8@gmail.com</t>
  </si>
  <si>
    <t>Chad</t>
  </si>
  <si>
    <t>Chad Duncan</t>
  </si>
  <si>
    <t>8 Stoneridge</t>
  </si>
  <si>
    <t>Coto de Caza</t>
  </si>
  <si>
    <t>Isaiah72595@yahoo.com</t>
  </si>
  <si>
    <t>Chavez</t>
  </si>
  <si>
    <t>Isaiah Chavez</t>
  </si>
  <si>
    <t>319 Timor Rd.</t>
  </si>
  <si>
    <t>hiddengiant3@gmail.com</t>
  </si>
  <si>
    <t>Myles</t>
  </si>
  <si>
    <t>Myles Thompson</t>
  </si>
  <si>
    <t>108 Jamestown place</t>
  </si>
  <si>
    <t>Hendersonville</t>
  </si>
  <si>
    <t>keelimallory@gmail.com</t>
  </si>
  <si>
    <t>Keeli</t>
  </si>
  <si>
    <t>Mallory</t>
  </si>
  <si>
    <t>Keeli Mallory</t>
  </si>
  <si>
    <t>2333 S US Hwy 287</t>
  </si>
  <si>
    <t>teamroperforCHRIST@yahoo.com</t>
  </si>
  <si>
    <t>Erica Reinert</t>
  </si>
  <si>
    <t>vondablount@crosspointeacademy.org</t>
  </si>
  <si>
    <t>Blount</t>
  </si>
  <si>
    <t>Ethan Blount</t>
  </si>
  <si>
    <t>164 Patton Ct.</t>
  </si>
  <si>
    <t>gkosobucki@sbcglobal.net</t>
  </si>
  <si>
    <t>ekosobucki@sbcglobal.net</t>
  </si>
  <si>
    <t>Kosobucki</t>
  </si>
  <si>
    <t>Eliza Kosobucki</t>
  </si>
  <si>
    <t>1146 E. Ohio St.</t>
  </si>
  <si>
    <t>tmburnet@redred.com</t>
  </si>
  <si>
    <t>heather.burnett42@gmail.com</t>
  </si>
  <si>
    <t>Heather</t>
  </si>
  <si>
    <t>Burnett</t>
  </si>
  <si>
    <t>Heather Burnett</t>
  </si>
  <si>
    <t>18293 County Hwy 5</t>
  </si>
  <si>
    <t>Walnut Grove</t>
  </si>
  <si>
    <t>carolkeetonpool@gmail.com</t>
  </si>
  <si>
    <t>tpool.4048@wcstudents.wc.edu</t>
  </si>
  <si>
    <t>Tirzah</t>
  </si>
  <si>
    <t>Tirzah Pool</t>
  </si>
  <si>
    <t>108 Viannah Drive</t>
  </si>
  <si>
    <t>Aledo</t>
  </si>
  <si>
    <t>10pools@outdrs.net</t>
  </si>
  <si>
    <t>Susanna</t>
  </si>
  <si>
    <t>Susanna Pool</t>
  </si>
  <si>
    <t>ericalynnfindlayy@gmail.com</t>
  </si>
  <si>
    <t>Findlay</t>
  </si>
  <si>
    <t>Erica Findlay</t>
  </si>
  <si>
    <t>LMB314@verizon.net</t>
  </si>
  <si>
    <t>konrad.bjerga@gmail.com</t>
  </si>
  <si>
    <t>Konrad</t>
  </si>
  <si>
    <t>Bjerga</t>
  </si>
  <si>
    <t>Konrad Bjerga</t>
  </si>
  <si>
    <t>1044 Canterbury Lane</t>
  </si>
  <si>
    <t>Keller</t>
  </si>
  <si>
    <t>oscchance@gmail.com</t>
  </si>
  <si>
    <t>Chance</t>
  </si>
  <si>
    <t>Samuel Chance</t>
  </si>
  <si>
    <t>3161 E 246th Street</t>
  </si>
  <si>
    <t>graceodyssey@yahoo.com</t>
  </si>
  <si>
    <t>Van Fossen</t>
  </si>
  <si>
    <t>Aaron Van Fossen</t>
  </si>
  <si>
    <t>711 25th Street</t>
  </si>
  <si>
    <t>Bettendorf</t>
  </si>
  <si>
    <t>Caleb Van Fossen</t>
  </si>
  <si>
    <t>speak0605@gmail.com</t>
  </si>
  <si>
    <t>speak 0605@gmail.com</t>
  </si>
  <si>
    <t>peak</t>
  </si>
  <si>
    <t>zachary peak</t>
  </si>
  <si>
    <t>3215 smilley honea rd</t>
  </si>
  <si>
    <t>magnolia</t>
  </si>
  <si>
    <t>blakeblount37@gmail.com</t>
  </si>
  <si>
    <t>Blake Blount</t>
  </si>
  <si>
    <t>Tlwebb@aol.com</t>
  </si>
  <si>
    <t>Zakatak3613@gmail.com</t>
  </si>
  <si>
    <t>Zachary Webb</t>
  </si>
  <si>
    <t>2535 South Humboldt St.</t>
  </si>
  <si>
    <t>muhlks@yahoo.com</t>
  </si>
  <si>
    <t>lifethruchrist_2009@yahoo.com</t>
  </si>
  <si>
    <t>Uhl</t>
  </si>
  <si>
    <t>Alyssa Uhl</t>
  </si>
  <si>
    <t>25550 W. 127th St.</t>
  </si>
  <si>
    <t>bjoyful_721@yahoo.com</t>
  </si>
  <si>
    <t>Breanna</t>
  </si>
  <si>
    <t>Breanna Uhl</t>
  </si>
  <si>
    <t>ztalldrinkofwater1196@gmail.com</t>
  </si>
  <si>
    <t>Zephra</t>
  </si>
  <si>
    <t>Zephra Cole</t>
  </si>
  <si>
    <t>1809 35th ve SE</t>
  </si>
  <si>
    <t>tropexs@hawaii.rr.com</t>
  </si>
  <si>
    <t>tb4christ116@hawaii.rr.com</t>
  </si>
  <si>
    <t>Tyler Barton</t>
  </si>
  <si>
    <t>5869E Kololia Place</t>
  </si>
  <si>
    <t>Kapaa</t>
  </si>
  <si>
    <t>Benflowe@aol.com</t>
  </si>
  <si>
    <t>Benlowe3@gmail.com</t>
  </si>
  <si>
    <t>Lowe III</t>
  </si>
  <si>
    <t>Benjamin Lowe III</t>
  </si>
  <si>
    <t>309 Stonewyck Dr</t>
  </si>
  <si>
    <t>Burlington</t>
  </si>
  <si>
    <t>lucindajoy@gmail.com</t>
  </si>
  <si>
    <t>Lucinda</t>
  </si>
  <si>
    <t>Gates</t>
  </si>
  <si>
    <t>Lucinda Gates</t>
  </si>
  <si>
    <t>404 N West Ave</t>
  </si>
  <si>
    <t>Anthony</t>
  </si>
  <si>
    <t>andrea.lagace@mavs.uta.edu</t>
  </si>
  <si>
    <t>Lagace</t>
  </si>
  <si>
    <t>Andrea Lagace</t>
  </si>
  <si>
    <t>8184 Bramble Creek Court</t>
  </si>
  <si>
    <t>wackiejackie75@gmail.com</t>
  </si>
  <si>
    <t>Jackie</t>
  </si>
  <si>
    <t>Kocher</t>
  </si>
  <si>
    <t>Jackie Kocher</t>
  </si>
  <si>
    <t>1026 La Grange Ave.</t>
  </si>
  <si>
    <t>Lsmith154@nc.rr.com</t>
  </si>
  <si>
    <t>Chazz95@ymail.com</t>
  </si>
  <si>
    <t>Charles Smith</t>
  </si>
  <si>
    <t>306 Kettlebridge Drive</t>
  </si>
  <si>
    <t>Cary</t>
  </si>
  <si>
    <t>dkdonnel@valassis.com</t>
  </si>
  <si>
    <t>nolan8697@gmail.com</t>
  </si>
  <si>
    <t>Nolan</t>
  </si>
  <si>
    <t>Donnelly</t>
  </si>
  <si>
    <t>Nolan Donnelly</t>
  </si>
  <si>
    <t>339 Miller St.</t>
  </si>
  <si>
    <t>robbey.orth@outlook.com</t>
  </si>
  <si>
    <t>Orth</t>
  </si>
  <si>
    <t>Robert Orth</t>
  </si>
  <si>
    <t>3005 N Spring Ct.</t>
  </si>
  <si>
    <t>jean.t.ruwe@gmail.com</t>
  </si>
  <si>
    <t>t.ruwe.95@gmail.com</t>
  </si>
  <si>
    <t>Ruwe</t>
  </si>
  <si>
    <t>Thomas Ruwe</t>
  </si>
  <si>
    <t>12173 Co. Rd. 9</t>
  </si>
  <si>
    <t>jlsnively3@aol.com</t>
  </si>
  <si>
    <t>csnively1997@gmail.com</t>
  </si>
  <si>
    <t>Clay</t>
  </si>
  <si>
    <t>Snively</t>
  </si>
  <si>
    <t>Clay Snively</t>
  </si>
  <si>
    <t>PO Box 1259</t>
  </si>
  <si>
    <t>Haines City</t>
  </si>
  <si>
    <t>Helen@cameronbutcher.com</t>
  </si>
  <si>
    <t>annkelly.cameron@gmail.com</t>
  </si>
  <si>
    <t>Ann Kelly</t>
  </si>
  <si>
    <t>Cameron</t>
  </si>
  <si>
    <t>Ann Kelly Cameron</t>
  </si>
  <si>
    <t>3319 Promontory Peak Dr</t>
  </si>
  <si>
    <t>j2r2bryan@aol.com</t>
  </si>
  <si>
    <t>jakester0497@aol.com</t>
  </si>
  <si>
    <t>Jacob Bryan</t>
  </si>
  <si>
    <t>PO Box 3024</t>
  </si>
  <si>
    <t>kathy.force@gmail.com</t>
  </si>
  <si>
    <t>fingerman.force@gmail.com</t>
  </si>
  <si>
    <t>Force</t>
  </si>
  <si>
    <t>Daniel Force</t>
  </si>
  <si>
    <t>601 Atlantic Rd.  SE</t>
  </si>
  <si>
    <t>kaitychan147@yahoo.com</t>
  </si>
  <si>
    <t>brian-sa@hotmail.com</t>
  </si>
  <si>
    <t>sa</t>
  </si>
  <si>
    <t>brian sa</t>
  </si>
  <si>
    <t>147 hasgate dr.</t>
  </si>
  <si>
    <t>delmar</t>
  </si>
  <si>
    <t>vacgeddes@yahoo.com</t>
  </si>
  <si>
    <t>18secondsb4sunrise@gmail.com</t>
  </si>
  <si>
    <t>Geddes</t>
  </si>
  <si>
    <t>Jordan Geddes</t>
  </si>
  <si>
    <t>1349 N.Hidden Creek Dr.</t>
  </si>
  <si>
    <t>Saline</t>
  </si>
  <si>
    <t>13nboyce@cgrove417.org</t>
  </si>
  <si>
    <t>Boyce</t>
  </si>
  <si>
    <t>Nathaniel Boyce</t>
  </si>
  <si>
    <t>1222 Old Hwy 4</t>
  </si>
  <si>
    <t>Council Grove</t>
  </si>
  <si>
    <t>runningmusicalcherrygunbubbles@gmail.com</t>
  </si>
  <si>
    <t>Shank</t>
  </si>
  <si>
    <t>Kristin Shank</t>
  </si>
  <si>
    <t>182 W Chicago Rd</t>
  </si>
  <si>
    <t>Coldwater</t>
  </si>
  <si>
    <t>kyleander2@gmail.com</t>
  </si>
  <si>
    <t>William Anderson</t>
  </si>
  <si>
    <t>4103 Butterfield Drive</t>
  </si>
  <si>
    <t>tcbanks7@gmail.com</t>
  </si>
  <si>
    <t>Banks</t>
  </si>
  <si>
    <t>Thomas Banks</t>
  </si>
  <si>
    <t>RR 1 Box 573</t>
  </si>
  <si>
    <t>Cashion</t>
  </si>
  <si>
    <t>mikelauriehanley@gmail.com</t>
  </si>
  <si>
    <t>Brianne</t>
  </si>
  <si>
    <t>Hanley</t>
  </si>
  <si>
    <t>Brianne Hanley</t>
  </si>
  <si>
    <t>11320 Spring Hollow Drive</t>
  </si>
  <si>
    <t>Knoxville</t>
  </si>
  <si>
    <t>Kwatson918@gmail.com</t>
  </si>
  <si>
    <t>Elijah</t>
  </si>
  <si>
    <t>Elijah Watson</t>
  </si>
  <si>
    <t>1101 Mendonsa Rd</t>
  </si>
  <si>
    <t>dapstasko@gmail.com</t>
  </si>
  <si>
    <t>joshua</t>
  </si>
  <si>
    <t>stasko</t>
  </si>
  <si>
    <t>joshua stasko</t>
  </si>
  <si>
    <t>127 state route 30a</t>
  </si>
  <si>
    <t>schoharie</t>
  </si>
  <si>
    <t>cherrylimeade812@yahoo.com</t>
  </si>
  <si>
    <t>Kinsey Smith</t>
  </si>
  <si>
    <t>2222 Hummingbird Lane</t>
  </si>
  <si>
    <t>feldrick@nettally.com</t>
  </si>
  <si>
    <t>fsu4eva@gmail.com</t>
  </si>
  <si>
    <t>Feldman</t>
  </si>
  <si>
    <t>Daniel Feldman</t>
  </si>
  <si>
    <t>2916 Springfield Dr.</t>
  </si>
  <si>
    <t>akuehne@sbcglobal.net</t>
  </si>
  <si>
    <t>addy_k@sbcglobal.net</t>
  </si>
  <si>
    <t>addison</t>
  </si>
  <si>
    <t>kuehne</t>
  </si>
  <si>
    <t>addison kuehne</t>
  </si>
  <si>
    <t>971 dry creek rd.</t>
  </si>
  <si>
    <t>campbell</t>
  </si>
  <si>
    <t>ghartlaub@msn.com</t>
  </si>
  <si>
    <t>Hartlaub</t>
  </si>
  <si>
    <t>Anna Hartlaub</t>
  </si>
  <si>
    <t>3440 Theatre Rd</t>
  </si>
  <si>
    <t>Delavan</t>
  </si>
  <si>
    <t>Paul Hartlaub</t>
  </si>
  <si>
    <t>JMMedawar@sbcglobal.net</t>
  </si>
  <si>
    <t>sophiamedawar@gmail.com</t>
  </si>
  <si>
    <t>Sophia</t>
  </si>
  <si>
    <t>Medawar</t>
  </si>
  <si>
    <t>Sophia Medawar</t>
  </si>
  <si>
    <t>7446 Treeline Dr SE</t>
  </si>
  <si>
    <t>5930 28th street SE</t>
  </si>
  <si>
    <t>karinamurphy414@yahoo.com</t>
  </si>
  <si>
    <t>nicknurtle211@gmail.com</t>
  </si>
  <si>
    <t>Nicholas Murphy</t>
  </si>
  <si>
    <t>22092 Bardwell Ave.</t>
  </si>
  <si>
    <t>terry_pankratz1@yahoo.com_configioDeactivated</t>
  </si>
  <si>
    <t>carterpankratz@yahoo.com</t>
  </si>
  <si>
    <t>Pankratz</t>
  </si>
  <si>
    <t>Carter Pankratz</t>
  </si>
  <si>
    <t>805 West A Street</t>
  </si>
  <si>
    <t>mlecrazy4jc@aol.com</t>
  </si>
  <si>
    <t>Heck</t>
  </si>
  <si>
    <t>Emily Heck</t>
  </si>
  <si>
    <t>9482 Dodge Rd</t>
  </si>
  <si>
    <t>Lucerne Valley</t>
  </si>
  <si>
    <t>tdickson12@hotmail.com</t>
  </si>
  <si>
    <t>Samuel Dickson</t>
  </si>
  <si>
    <t>20 Lowery Estates Court</t>
  </si>
  <si>
    <t>Florissant</t>
  </si>
  <si>
    <t>rashby@gatesvilleisd.org</t>
  </si>
  <si>
    <t>jordymcca@gmail.com</t>
  </si>
  <si>
    <t>McCabe</t>
  </si>
  <si>
    <t>Jordan McCabe</t>
  </si>
  <si>
    <t>2535 FM 116</t>
  </si>
  <si>
    <t>Gatesville</t>
  </si>
  <si>
    <t>cindylweis@gmail.com</t>
  </si>
  <si>
    <t>biztweis@gmail.com</t>
  </si>
  <si>
    <t>Buzuayu</t>
  </si>
  <si>
    <t>Weis</t>
  </si>
  <si>
    <t>Buzuayu Weis</t>
  </si>
  <si>
    <t>1071 Winding Waters Circle</t>
  </si>
  <si>
    <t>Winter Springs</t>
  </si>
  <si>
    <t>tnlangford@msn.com</t>
  </si>
  <si>
    <t>Langford</t>
  </si>
  <si>
    <t>Andrew Langford</t>
  </si>
  <si>
    <t>8654 Vista Pine Court</t>
  </si>
  <si>
    <t>faith.hurst@sim.org</t>
  </si>
  <si>
    <t>kayla.hurst4@gmail.com</t>
  </si>
  <si>
    <t>Kayla</t>
  </si>
  <si>
    <t>Hurst</t>
  </si>
  <si>
    <t>Kayla Hurst</t>
  </si>
  <si>
    <t>599 Fairview Ave</t>
  </si>
  <si>
    <t>Elmhurst</t>
  </si>
  <si>
    <t>mmiller005@triad.rr.com</t>
  </si>
  <si>
    <t>Meredith Miller</t>
  </si>
  <si>
    <t>1009 Brookview Dr.</t>
  </si>
  <si>
    <t>Elon</t>
  </si>
  <si>
    <t>dannyprinz595@gmail.com</t>
  </si>
  <si>
    <t>Prinz</t>
  </si>
  <si>
    <t>Daniel Prinz</t>
  </si>
  <si>
    <t>9815 SW 76 Street</t>
  </si>
  <si>
    <t>jisaac@ffhillcrest.org</t>
  </si>
  <si>
    <t>Taylor Isaac</t>
  </si>
  <si>
    <t>526 E. Bancroft Av</t>
  </si>
  <si>
    <t>Fergus Falls</t>
  </si>
  <si>
    <t>stephaniecj22@gmail.com</t>
  </si>
  <si>
    <t>hannahnj17@gmail.com</t>
  </si>
  <si>
    <t>3565 Grant Wood Forest Ln. SE</t>
  </si>
  <si>
    <t>debbieissa@flowja.com</t>
  </si>
  <si>
    <t>iissa@aisk.com</t>
  </si>
  <si>
    <t>Isabella</t>
  </si>
  <si>
    <t>Issa</t>
  </si>
  <si>
    <t>Isabella Issa</t>
  </si>
  <si>
    <t>12a Farringdon Drive</t>
  </si>
  <si>
    <t>Kingston 6</t>
  </si>
  <si>
    <t>Jamaica</t>
  </si>
  <si>
    <t>lisa.pinney@hotmail.com</t>
  </si>
  <si>
    <t>Lisa</t>
  </si>
  <si>
    <t>Pinney</t>
  </si>
  <si>
    <t>Lisa Pinney</t>
  </si>
  <si>
    <t>8975 millen avenue</t>
  </si>
  <si>
    <t>Montreal</t>
  </si>
  <si>
    <t>spanofamily@yahoo.com</t>
  </si>
  <si>
    <t>Spano</t>
  </si>
  <si>
    <t>Michael Spano</t>
  </si>
  <si>
    <t>5961 Spanish Oaks Lane</t>
  </si>
  <si>
    <t>lundstrom.kailee@yahoo.com</t>
  </si>
  <si>
    <t>Kailee</t>
  </si>
  <si>
    <t>Lundstrom</t>
  </si>
  <si>
    <t>Kailee Lundstrom</t>
  </si>
  <si>
    <t>6312 73rd Street.</t>
  </si>
  <si>
    <t>Apt 1002</t>
  </si>
  <si>
    <t>chris@calvarychapelcr.org</t>
  </si>
  <si>
    <t>Sweaterlady7@yahoo.com</t>
  </si>
  <si>
    <t>Coffman</t>
  </si>
  <si>
    <t>Leah Coffman</t>
  </si>
  <si>
    <t>15930 Golden Eye Ct.</t>
  </si>
  <si>
    <t>molliebongwelove@yahoo.com</t>
  </si>
  <si>
    <t>Mollie</t>
  </si>
  <si>
    <t>Love</t>
  </si>
  <si>
    <t>Mollie Love</t>
  </si>
  <si>
    <t>5835 Teaberry Ave</t>
  </si>
  <si>
    <t>lkbrown8694@yahoo.com</t>
  </si>
  <si>
    <t>eb.brown02@yahoo.com</t>
  </si>
  <si>
    <t>eric</t>
  </si>
  <si>
    <t>brown</t>
  </si>
  <si>
    <t>eric brown</t>
  </si>
  <si>
    <t>PO box 120</t>
  </si>
  <si>
    <t>bushland</t>
  </si>
  <si>
    <t>Mank</t>
  </si>
  <si>
    <t>Katie Mank</t>
  </si>
  <si>
    <t>9075 Tanglewood Road</t>
  </si>
  <si>
    <t>Franktown</t>
  </si>
  <si>
    <t>Deanfamily1@gmail.com</t>
  </si>
  <si>
    <t>Katelyn Dean</t>
  </si>
  <si>
    <t>13858 range court</t>
  </si>
  <si>
    <t>Auburn</t>
  </si>
  <si>
    <t>iloveyp@msn.com</t>
  </si>
  <si>
    <t>echooo.lu@yahoo.com</t>
  </si>
  <si>
    <t>ECHO</t>
  </si>
  <si>
    <t>LU</t>
  </si>
  <si>
    <t>ECHO LU</t>
  </si>
  <si>
    <t>1514 Longview Dr.</t>
  </si>
  <si>
    <t>traelingeurope1@yahoo.com</t>
  </si>
  <si>
    <t>gradyshueradiology@yahoo.com</t>
  </si>
  <si>
    <t>Shue</t>
  </si>
  <si>
    <t>William Shue</t>
  </si>
  <si>
    <t>880 18TH AVE CT NW</t>
  </si>
  <si>
    <t>Grady</t>
  </si>
  <si>
    <t>Shue    III</t>
  </si>
  <si>
    <t>Grady Shue    III</t>
  </si>
  <si>
    <t>880 18th AVE CT NW</t>
  </si>
  <si>
    <t>kay@parduehome.net</t>
  </si>
  <si>
    <t>Elizabeth Pardue</t>
  </si>
  <si>
    <t>Thompson Station</t>
  </si>
  <si>
    <t>Katelin</t>
  </si>
  <si>
    <t>Katelin Boriack</t>
  </si>
  <si>
    <t>19218 Oldwick Brook Dr</t>
  </si>
  <si>
    <t>royandnancy@gmail.com_configioDeactivated</t>
  </si>
  <si>
    <t>stephen.j.costa@gmail.com</t>
  </si>
  <si>
    <t>Costa</t>
  </si>
  <si>
    <t>Stephen Costa</t>
  </si>
  <si>
    <t>6 Turnberry Court</t>
  </si>
  <si>
    <t>Voorhees</t>
  </si>
  <si>
    <t>hdnichols92@yahoo.com</t>
  </si>
  <si>
    <t>Hannah Nichols</t>
  </si>
  <si>
    <t>900 N. Leverett</t>
  </si>
  <si>
    <t>Ave.</t>
  </si>
  <si>
    <t>bslm1999@yahoo.com</t>
  </si>
  <si>
    <t>miranda1354e@gmail.com</t>
  </si>
  <si>
    <t>Espey</t>
  </si>
  <si>
    <t>Miranda Espey</t>
  </si>
  <si>
    <t>62 County Road 3741</t>
  </si>
  <si>
    <t>Enterprise</t>
  </si>
  <si>
    <t>bethanyb@iastate.edu</t>
  </si>
  <si>
    <t>Berger</t>
  </si>
  <si>
    <t>Bethany Berger</t>
  </si>
  <si>
    <t>57165 210th St.</t>
  </si>
  <si>
    <t>Ames</t>
  </si>
  <si>
    <t>dyckacademy@yahoo.ca</t>
  </si>
  <si>
    <t>Dyck</t>
  </si>
  <si>
    <t>Natalie Dyck</t>
  </si>
  <si>
    <t>cyndy_jace@hotmail.com</t>
  </si>
  <si>
    <t>kjdavenport12@my.trine.edu</t>
  </si>
  <si>
    <t>Davenport</t>
  </si>
  <si>
    <t>Katherine Davenport</t>
  </si>
  <si>
    <t>3305 e Shaughniss rd</t>
  </si>
  <si>
    <t>Angola</t>
  </si>
  <si>
    <t>hmader92@gmail.com</t>
  </si>
  <si>
    <t>Hans</t>
  </si>
  <si>
    <t>Mader</t>
  </si>
  <si>
    <t>Hans Mader</t>
  </si>
  <si>
    <t>117 Oakland Trace</t>
  </si>
  <si>
    <t>jearl131@gmail.com</t>
  </si>
  <si>
    <t>Jearl131@gmail.com</t>
  </si>
  <si>
    <t>Earl</t>
  </si>
  <si>
    <t>Jason Earl</t>
  </si>
  <si>
    <t>91634 Earl's Lane</t>
  </si>
  <si>
    <t>Grass Valley</t>
  </si>
  <si>
    <t>Mckeeck@s.dcsdk12.org</t>
  </si>
  <si>
    <t>Mckee</t>
  </si>
  <si>
    <t>Christian Mckee</t>
  </si>
  <si>
    <t>1338 N. Callahan ave.</t>
  </si>
  <si>
    <t>kbrown@thebrowncompany.com</t>
  </si>
  <si>
    <t>collinbrown77@yahoo.com</t>
  </si>
  <si>
    <t>Collin</t>
  </si>
  <si>
    <t>Collin Brown</t>
  </si>
  <si>
    <t>902 Quaker Bend</t>
  </si>
  <si>
    <t>sheryl.hamlin@verizon.net</t>
  </si>
  <si>
    <t>elyons.strength@verizon.net</t>
  </si>
  <si>
    <t>Alice</t>
  </si>
  <si>
    <t>Hamlin</t>
  </si>
  <si>
    <t>Alice Hamlin</t>
  </si>
  <si>
    <t>1464 Suffolk Ave</t>
  </si>
  <si>
    <t>moxietown@gmail.com</t>
  </si>
  <si>
    <t>Charles Baker</t>
  </si>
  <si>
    <t>92 Summer St</t>
  </si>
  <si>
    <t>Lisbon Falls</t>
  </si>
  <si>
    <t>Stinenator@comcast.net</t>
  </si>
  <si>
    <t>jumclean@wpmfg.com</t>
  </si>
  <si>
    <t>Justin McLean</t>
  </si>
  <si>
    <t>4012 Milano Ln</t>
  </si>
  <si>
    <t>lindagarciauspu@gmail.com</t>
  </si>
  <si>
    <t>annagarcia4@gmail.com</t>
  </si>
  <si>
    <t>Anna Garcia</t>
  </si>
  <si>
    <t>36 Hiawatha Drive</t>
  </si>
  <si>
    <t>Battle Creek</t>
  </si>
  <si>
    <t>kmerideth@rollins.edu</t>
  </si>
  <si>
    <t>Merideth</t>
  </si>
  <si>
    <t>Kelly Merideth</t>
  </si>
  <si>
    <t>1804 Hempel Avenue</t>
  </si>
  <si>
    <t>cthomp10@ashland.edu</t>
  </si>
  <si>
    <t>Connor Thompson</t>
  </si>
  <si>
    <t>6573 Glen Coe Drive</t>
  </si>
  <si>
    <t>Brecksville</t>
  </si>
  <si>
    <t>conniehammond@rocketmail.com</t>
  </si>
  <si>
    <t>Connie</t>
  </si>
  <si>
    <t>Hammond</t>
  </si>
  <si>
    <t>Connie Hammond</t>
  </si>
  <si>
    <t>405 Security Blvd.</t>
  </si>
  <si>
    <t>cgwales7@aol.com</t>
  </si>
  <si>
    <t>waleri96@gmail.com</t>
  </si>
  <si>
    <t>Wales</t>
  </si>
  <si>
    <t>Eric Wales</t>
  </si>
  <si>
    <t>1072 Stonehill Dr.</t>
  </si>
  <si>
    <t>jennifer.sooners@gmail.com</t>
  </si>
  <si>
    <t>lukewilliams.sooners@gmail.com</t>
  </si>
  <si>
    <t>Hayden Williams</t>
  </si>
  <si>
    <t>8730 Arbor Park Ct.</t>
  </si>
  <si>
    <t>jeffscoolkidacount321@gmail.com</t>
  </si>
  <si>
    <t>Buehler</t>
  </si>
  <si>
    <t>Jeffrey Buehler</t>
  </si>
  <si>
    <t>65 Clare Ct.</t>
  </si>
  <si>
    <t>Amberrcarmody@hotmail.com</t>
  </si>
  <si>
    <t>Carmody</t>
  </si>
  <si>
    <t>Amber Carmody</t>
  </si>
  <si>
    <t>440 wagon train dr</t>
  </si>
  <si>
    <t>krhite@covenant-farm.com</t>
  </si>
  <si>
    <t>njhite@covenant-farm.com</t>
  </si>
  <si>
    <t>Hite</t>
  </si>
  <si>
    <t>Noah Hite</t>
  </si>
  <si>
    <t>620 170th St.</t>
  </si>
  <si>
    <t>Osceola</t>
  </si>
  <si>
    <t>kings.five@verizon.net</t>
  </si>
  <si>
    <t>mattking2015@gmail.com</t>
  </si>
  <si>
    <t>Matthew King</t>
  </si>
  <si>
    <t>8116 Bent Tree Springs Drive</t>
  </si>
  <si>
    <t>lcholstein@hotmail.com</t>
  </si>
  <si>
    <t>heyparkproductions@gmail.com</t>
  </si>
  <si>
    <t>Holstein</t>
  </si>
  <si>
    <t>Parker Holstein</t>
  </si>
  <si>
    <t>5006 Ann Lee Drive</t>
  </si>
  <si>
    <t>Cross Lanes</t>
  </si>
  <si>
    <t>WV</t>
  </si>
  <si>
    <t>sbull@gracecrusaders.org</t>
  </si>
  <si>
    <t>ailisbull1015@hotmail.com</t>
  </si>
  <si>
    <t>Ailis</t>
  </si>
  <si>
    <t>Bull</t>
  </si>
  <si>
    <t>Ailis Bull</t>
  </si>
  <si>
    <t>2418 N. 1550 E. Rd.</t>
  </si>
  <si>
    <t>Watseka</t>
  </si>
  <si>
    <t>Carmical</t>
  </si>
  <si>
    <t>Connor Carmical</t>
  </si>
  <si>
    <t>3357 S. 5770 E. Rd.</t>
  </si>
  <si>
    <t>St  Anne</t>
  </si>
  <si>
    <t>jacksonhole@ipa.net</t>
  </si>
  <si>
    <t>secwolfhowl@hotmail.com</t>
  </si>
  <si>
    <t>Clancy</t>
  </si>
  <si>
    <t>Sarah Clancy</t>
  </si>
  <si>
    <t>704 Orleans</t>
  </si>
  <si>
    <t>Natchez</t>
  </si>
  <si>
    <t>doctorfunnywoman@hotmail.com</t>
  </si>
  <si>
    <t>rach_radiant@hotmail.com</t>
  </si>
  <si>
    <t>Olugbemi</t>
  </si>
  <si>
    <t>Rachel Olugbemi</t>
  </si>
  <si>
    <t>13 Cronin Rd</t>
  </si>
  <si>
    <t>Presque Isle</t>
  </si>
  <si>
    <t>IamDUANE128@gmail.com</t>
  </si>
  <si>
    <t>IamDuane128@gmail.com</t>
  </si>
  <si>
    <t>Lazarus</t>
  </si>
  <si>
    <t>Coats</t>
  </si>
  <si>
    <t>Lazarus Coats</t>
  </si>
  <si>
    <t>2581 Waldron Rd.</t>
  </si>
  <si>
    <t>Kankakee</t>
  </si>
  <si>
    <t>hannah.topalian@gmail.com</t>
  </si>
  <si>
    <t>Topalian</t>
  </si>
  <si>
    <t>Hannah Topalian</t>
  </si>
  <si>
    <t>908 Percy Court</t>
  </si>
  <si>
    <t>Bourbonnais</t>
  </si>
  <si>
    <t>jrs.ditto@yahoo.com</t>
  </si>
  <si>
    <t>Simmons</t>
  </si>
  <si>
    <t>Joseph Simmons</t>
  </si>
  <si>
    <t>1745 Sunnyside</t>
  </si>
  <si>
    <t>sewcreativegifts@gmail.com</t>
  </si>
  <si>
    <t>Rachelle</t>
  </si>
  <si>
    <t>Rachelle Jones</t>
  </si>
  <si>
    <t>dayjm@qwest.net</t>
  </si>
  <si>
    <t>j.alexander.day@gmail.com</t>
  </si>
  <si>
    <t>Day</t>
  </si>
  <si>
    <t>Jonathan Day</t>
  </si>
  <si>
    <t>10726 Fillmore Way</t>
  </si>
  <si>
    <t>Northglenn</t>
  </si>
  <si>
    <t>inlovewithchrist.john316@gmail.com</t>
  </si>
  <si>
    <t>Katy</t>
  </si>
  <si>
    <t>Leamons</t>
  </si>
  <si>
    <t>Katy Leamons</t>
  </si>
  <si>
    <t>16001 CR 15</t>
  </si>
  <si>
    <t>Ackerly</t>
  </si>
  <si>
    <t>marlakayo@yahoo.com</t>
  </si>
  <si>
    <t>ttaylorohair@yahoo.com</t>
  </si>
  <si>
    <t>O'Hair</t>
  </si>
  <si>
    <t>Thomas O'Hair</t>
  </si>
  <si>
    <t>404 Sunset Lane</t>
  </si>
  <si>
    <t>jeannine109@comcast.net</t>
  </si>
  <si>
    <t>yoshi115@comcast.net</t>
  </si>
  <si>
    <t>Yoshida</t>
  </si>
  <si>
    <t>Bryan Yoshida</t>
  </si>
  <si>
    <t>1921 S. Estes St.</t>
  </si>
  <si>
    <t>Lakewood</t>
  </si>
  <si>
    <t>soundmind7@gmail.com</t>
  </si>
  <si>
    <t>soccergirl4jesus@gmail.com</t>
  </si>
  <si>
    <t>Lindsey Hudson</t>
  </si>
  <si>
    <t>168 Quail Ridge Dr</t>
  </si>
  <si>
    <t>simeon.j.switzer@gmail.com</t>
  </si>
  <si>
    <t>Simeon</t>
  </si>
  <si>
    <t>Switzer</t>
  </si>
  <si>
    <t>Simeon Switzer</t>
  </si>
  <si>
    <t>5770 Kenowa Ave. S.W.</t>
  </si>
  <si>
    <t>Grandville</t>
  </si>
  <si>
    <t>jakemills23@Gmail.com</t>
  </si>
  <si>
    <t>Jake</t>
  </si>
  <si>
    <t>Mills</t>
  </si>
  <si>
    <t>Jake Mills</t>
  </si>
  <si>
    <t>19631 Thunder RD E</t>
  </si>
  <si>
    <t>sloaniegirl@gmail.com</t>
  </si>
  <si>
    <t>sutton.c.foulds@gmail.com</t>
  </si>
  <si>
    <t>Sutton</t>
  </si>
  <si>
    <t>Foulds</t>
  </si>
  <si>
    <t>Sutton Foulds</t>
  </si>
  <si>
    <t>5804 Devlin Place</t>
  </si>
  <si>
    <t>MIDLAND</t>
  </si>
  <si>
    <t>michelle@cadcamlab.org</t>
  </si>
  <si>
    <t>dkman16@gmail.com</t>
  </si>
  <si>
    <t>Denton</t>
  </si>
  <si>
    <t>McAdam</t>
  </si>
  <si>
    <t>Denton McAdam</t>
  </si>
  <si>
    <t>1255 N. London Road</t>
  </si>
  <si>
    <t>Belle Plaine</t>
  </si>
  <si>
    <t>schieffelin2@gmail.com</t>
  </si>
  <si>
    <t>Schieffelin</t>
  </si>
  <si>
    <t>Marissa Schieffelin</t>
  </si>
  <si>
    <t>P.O. Box 521</t>
  </si>
  <si>
    <t>Limon</t>
  </si>
  <si>
    <t>megancernek@yahoo.com</t>
  </si>
  <si>
    <t>Cernek</t>
  </si>
  <si>
    <t>Megan Cernek</t>
  </si>
  <si>
    <t>3796 Powell Rd</t>
  </si>
  <si>
    <t>Elton</t>
  </si>
  <si>
    <t>schieffelin@gmail.com</t>
  </si>
  <si>
    <t>Halle</t>
  </si>
  <si>
    <t>Halle Schieffelin</t>
  </si>
  <si>
    <t>allisonkatebrown@gmail.com</t>
  </si>
  <si>
    <t>Allison Brown</t>
  </si>
  <si>
    <t>3119 Humble Ave</t>
  </si>
  <si>
    <t>ivahendon@gmail.com</t>
  </si>
  <si>
    <t>Martha</t>
  </si>
  <si>
    <t>Hendon</t>
  </si>
  <si>
    <t>Martha Hendon</t>
  </si>
  <si>
    <t>392 Ridgeview dr</t>
  </si>
  <si>
    <t>firstimpressions17@me.com</t>
  </si>
  <si>
    <t>Hollenbeck</t>
  </si>
  <si>
    <t>Rachel Hollenbeck</t>
  </si>
  <si>
    <t>gkpraider94@aol.com</t>
  </si>
  <si>
    <t>Polvado</t>
  </si>
  <si>
    <t>Grayson Polvado</t>
  </si>
  <si>
    <t>2104 Mustang</t>
  </si>
  <si>
    <t>Levelland</t>
  </si>
  <si>
    <t>annagloria1012@gmail.com</t>
  </si>
  <si>
    <t>Fienemann</t>
  </si>
  <si>
    <t>Anna Fienemann</t>
  </si>
  <si>
    <t>P.O Box 2313</t>
  </si>
  <si>
    <t>thernandez@gmail.com</t>
  </si>
  <si>
    <t>tinkrbell@gmail.com</t>
  </si>
  <si>
    <t>Hope Hernandez</t>
  </si>
  <si>
    <t>17271 Muscogee Valley Trail</t>
  </si>
  <si>
    <t>campjcb@cox.net</t>
  </si>
  <si>
    <t>dan.brad1@gmail.com</t>
  </si>
  <si>
    <t>Brademeyer</t>
  </si>
  <si>
    <t>Daniel Brademeyer</t>
  </si>
  <si>
    <t>1514 W. Chilton Ave</t>
  </si>
  <si>
    <t>sophiaw519@gmail.com</t>
  </si>
  <si>
    <t>Sophia White</t>
  </si>
  <si>
    <t>2811 W. Windflower Ct.</t>
  </si>
  <si>
    <t>tomiannz@rocketmail.com</t>
  </si>
  <si>
    <t>kendra</t>
  </si>
  <si>
    <t>zwonitzer</t>
  </si>
  <si>
    <t>kendra zwonitzer</t>
  </si>
  <si>
    <t>6465 shadybrook trail</t>
  </si>
  <si>
    <t>machesney park</t>
  </si>
  <si>
    <t>glenlyn@austin.rr.com</t>
  </si>
  <si>
    <t>miragan@austin.rr.com</t>
  </si>
  <si>
    <t>Ragan</t>
  </si>
  <si>
    <t>Michael Ragan</t>
  </si>
  <si>
    <t>13006 South Madrone Trail</t>
  </si>
  <si>
    <t>lasc4@verizon.net</t>
  </si>
  <si>
    <t>blcarson.15@gmail.com</t>
  </si>
  <si>
    <t>Benjamin Carson</t>
  </si>
  <si>
    <t>2710 Barret Ave</t>
  </si>
  <si>
    <t>Rktormohlen@msn.com</t>
  </si>
  <si>
    <t>Daughterofthelord@live.com</t>
  </si>
  <si>
    <t>Kristen</t>
  </si>
  <si>
    <t>Tormohlen</t>
  </si>
  <si>
    <t>Kristen Tormohlen</t>
  </si>
  <si>
    <t>15079 E Bellewood Dr</t>
  </si>
  <si>
    <t>sistersaints@gmail.com</t>
  </si>
  <si>
    <t>imagodgirl94@yahoo.com</t>
  </si>
  <si>
    <t>Wagner</t>
  </si>
  <si>
    <t>Miranda Wagner</t>
  </si>
  <si>
    <t>12125 Banning Rd.</t>
  </si>
  <si>
    <t>Mount Vernon</t>
  </si>
  <si>
    <t>tinaoliphant@cox.net</t>
  </si>
  <si>
    <t>Addiboo1234@gmail.com</t>
  </si>
  <si>
    <t>Addison</t>
  </si>
  <si>
    <t>Oliphant</t>
  </si>
  <si>
    <t>Addison Oliphant</t>
  </si>
  <si>
    <t>9516 Regal Lane</t>
  </si>
  <si>
    <t>Oklahoma City</t>
  </si>
  <si>
    <t>Martyand9@aol.com</t>
  </si>
  <si>
    <t>Sawall</t>
  </si>
  <si>
    <t>Christopher Sawall</t>
  </si>
  <si>
    <t>2234 West Shore Dr.</t>
  </si>
  <si>
    <t>Delafield</t>
  </si>
  <si>
    <t>curtisfamily22@frontier.com</t>
  </si>
  <si>
    <t>Emilee</t>
  </si>
  <si>
    <t>Emilee Curtis</t>
  </si>
  <si>
    <t>212 Meadowbrook Lane</t>
  </si>
  <si>
    <t>Hartanna005@gmail.com</t>
  </si>
  <si>
    <t>Albu</t>
  </si>
  <si>
    <t>Leah Albu</t>
  </si>
  <si>
    <t>12070 E. Arizona Avenue</t>
  </si>
  <si>
    <t>eyedocmd@aol.com</t>
  </si>
  <si>
    <t>yanceym@stolaf.edu</t>
  </si>
  <si>
    <t>Yancey</t>
  </si>
  <si>
    <t>Michelle Yancey</t>
  </si>
  <si>
    <t>740 Park St. E</t>
  </si>
  <si>
    <t>Wayzata</t>
  </si>
  <si>
    <t>hannah.yancey@hope.edu</t>
  </si>
  <si>
    <t>Hannah Yancey</t>
  </si>
  <si>
    <t>740 Park Street E</t>
  </si>
  <si>
    <t>est893jones@frontier.com</t>
  </si>
  <si>
    <t>jjgo1way@frontier.com</t>
  </si>
  <si>
    <t>Joshua Jones</t>
  </si>
  <si>
    <t>118 Alan Dr.</t>
  </si>
  <si>
    <t>Fremont</t>
  </si>
  <si>
    <t>udr@gvtc.com</t>
  </si>
  <si>
    <t>c.jenkins3313@yahoo.com</t>
  </si>
  <si>
    <t>Caleb Jenkins</t>
  </si>
  <si>
    <t>4110 Chisos Lane</t>
  </si>
  <si>
    <t>kamokitty94@gmail.com</t>
  </si>
  <si>
    <t>Larson</t>
  </si>
  <si>
    <t>Micah Larson</t>
  </si>
  <si>
    <t>7155 edgefield rd</t>
  </si>
  <si>
    <t>Concord</t>
  </si>
  <si>
    <t>streeter551@bresnan.net</t>
  </si>
  <si>
    <t>levi.streeter@gmail.com</t>
  </si>
  <si>
    <t>Streeter</t>
  </si>
  <si>
    <t>Levi Streeter</t>
  </si>
  <si>
    <t>551 Indian Trail</t>
  </si>
  <si>
    <t>twaldee@gmail.com</t>
  </si>
  <si>
    <t>carolyn</t>
  </si>
  <si>
    <t>waldee</t>
  </si>
  <si>
    <t>carolyn waldee</t>
  </si>
  <si>
    <t>6167 inverness terrace</t>
  </si>
  <si>
    <t>fairview</t>
  </si>
  <si>
    <t>elijah@e3cubestore.com</t>
  </si>
  <si>
    <t>Elijah@E3cubestore.com</t>
  </si>
  <si>
    <t>Cross</t>
  </si>
  <si>
    <t>Elijah Cross</t>
  </si>
  <si>
    <t>5622 Whitaker Rd.</t>
  </si>
  <si>
    <t>alexander.rcfd@gmail.com</t>
  </si>
  <si>
    <t>Alexander Jones</t>
  </si>
  <si>
    <t>580 Sunset Lane</t>
  </si>
  <si>
    <t>Richland Center</t>
  </si>
  <si>
    <t>A_branch@cox.net</t>
  </si>
  <si>
    <t>1artist_4eternity@cox.net</t>
  </si>
  <si>
    <t>Flavin</t>
  </si>
  <si>
    <t>Jennifer Flavin</t>
  </si>
  <si>
    <t>1432 East Encinas Avenue</t>
  </si>
  <si>
    <t>danamcquitty@aol.com</t>
  </si>
  <si>
    <t>sammcquitty@yahoo.com</t>
  </si>
  <si>
    <t>McQuitty</t>
  </si>
  <si>
    <t>Samuel McQuitty</t>
  </si>
  <si>
    <t>60 Meadowbrook Lane</t>
  </si>
  <si>
    <t>davidsalvato@att.net</t>
  </si>
  <si>
    <t>Kaiser</t>
  </si>
  <si>
    <t>Alex Kaiser</t>
  </si>
  <si>
    <t>POB 1394</t>
  </si>
  <si>
    <t>Cottonwood</t>
  </si>
  <si>
    <t>KCKFRA.chad@gmail.com</t>
  </si>
  <si>
    <t>Thelazorblade@gmail.com</t>
  </si>
  <si>
    <t>Womble</t>
  </si>
  <si>
    <t>Tyler Womble</t>
  </si>
  <si>
    <t>7112 Rowland Ave</t>
  </si>
  <si>
    <t>Rashelleathome@yahoo.com</t>
  </si>
  <si>
    <t>Soccer9534@yahoo.com</t>
  </si>
  <si>
    <t>Grant Stafford</t>
  </si>
  <si>
    <t>1070 miller road</t>
  </si>
  <si>
    <t>Signal mtn</t>
  </si>
  <si>
    <t>jakinfella95@gmail.com</t>
  </si>
  <si>
    <t>Jason Roberts</t>
  </si>
  <si>
    <t>14360 Mesa Court</t>
  </si>
  <si>
    <t>Red Bluff</t>
  </si>
  <si>
    <t>matstaff@gmail.com</t>
  </si>
  <si>
    <t>Austin Stafford</t>
  </si>
  <si>
    <t>612 west Harrison Street</t>
  </si>
  <si>
    <t>Paulding</t>
  </si>
  <si>
    <t>shellnic96@gmail.com</t>
  </si>
  <si>
    <t>shelly</t>
  </si>
  <si>
    <t>stafford</t>
  </si>
  <si>
    <t>shelly stafford</t>
  </si>
  <si>
    <t>612 West Harrison Street</t>
  </si>
  <si>
    <t>lcs.schad@outlook.com</t>
  </si>
  <si>
    <t>Lucas</t>
  </si>
  <si>
    <t>Schad</t>
  </si>
  <si>
    <t>Lucas Schad</t>
  </si>
  <si>
    <t>5185 Cameron Dr. NW</t>
  </si>
  <si>
    <t>Christmasbelle1@aol.com</t>
  </si>
  <si>
    <t>jcsharpdude@gmail.com</t>
  </si>
  <si>
    <t>10909 Eamom Rd NW</t>
  </si>
  <si>
    <t>Calgary</t>
  </si>
  <si>
    <t>AB</t>
  </si>
  <si>
    <t>T3G5H2</t>
  </si>
  <si>
    <t>writingwithgrace@gmail.com</t>
  </si>
  <si>
    <t>Grace Hudson</t>
  </si>
  <si>
    <t>10909 Eamon Rd NW</t>
  </si>
  <si>
    <t>els@vantagetrailers.ca</t>
  </si>
  <si>
    <t>beth.hierden@gmail.com</t>
  </si>
  <si>
    <t>Van Hierden</t>
  </si>
  <si>
    <t>Bethany Van Hierden</t>
  </si>
  <si>
    <t>RR8-30-14</t>
  </si>
  <si>
    <t>Lethbridge</t>
  </si>
  <si>
    <t>T1J4P4</t>
  </si>
  <si>
    <t>crvanhierden@hotmail.com</t>
  </si>
  <si>
    <t>Chelsia</t>
  </si>
  <si>
    <t>Chelsia Van Hierden</t>
  </si>
  <si>
    <t>RR8 Site 30 Comp 14</t>
  </si>
  <si>
    <t>T1J 4P4</t>
  </si>
  <si>
    <t>cibit@hotmail.ca</t>
  </si>
  <si>
    <t>Zaitsoff</t>
  </si>
  <si>
    <t>Grace Zaitsoff</t>
  </si>
  <si>
    <t>333 10th St. SW</t>
  </si>
  <si>
    <t>Medicine Hat</t>
  </si>
  <si>
    <t>Dmacfadden@stny.rr.com</t>
  </si>
  <si>
    <t>MacFadden</t>
  </si>
  <si>
    <t>Lucas MacFadden</t>
  </si>
  <si>
    <t>505 McFadden Rd.</t>
  </si>
  <si>
    <t>Apalachian</t>
  </si>
  <si>
    <t>amyjoakin@bellsouth.net</t>
  </si>
  <si>
    <t>tylerakin@att.net</t>
  </si>
  <si>
    <t>Akin</t>
  </si>
  <si>
    <t>Tyler Akin</t>
  </si>
  <si>
    <t>9417 Dawson Hill Rd</t>
  </si>
  <si>
    <t>lynne.tryphosa45@gmail.com</t>
  </si>
  <si>
    <t>Charissa</t>
  </si>
  <si>
    <t>Stevens</t>
  </si>
  <si>
    <t>Charissa Stevens</t>
  </si>
  <si>
    <t>18050 County Road 20</t>
  </si>
  <si>
    <t>dawsfam@att.net</t>
  </si>
  <si>
    <t>megenator521@gmail.com</t>
  </si>
  <si>
    <t>Daws</t>
  </si>
  <si>
    <t>Megan Daws</t>
  </si>
  <si>
    <t>951 Finney Drive</t>
  </si>
  <si>
    <t>gerthes@gmail.com</t>
  </si>
  <si>
    <t>Gerthe</t>
  </si>
  <si>
    <t>Nathaniel Gerthe</t>
  </si>
  <si>
    <t>2607 Appleton Court</t>
  </si>
  <si>
    <t>gillianewing@rocketmail.com</t>
  </si>
  <si>
    <t>Gillian</t>
  </si>
  <si>
    <t>Ewing</t>
  </si>
  <si>
    <t>Gillian Ewing</t>
  </si>
  <si>
    <t>2990 Outlook Dr</t>
  </si>
  <si>
    <t>gperkins33@yahoo.com</t>
  </si>
  <si>
    <t>gjperkins@olivet.edu</t>
  </si>
  <si>
    <t>Perkins</t>
  </si>
  <si>
    <t>Grant Perkins</t>
  </si>
  <si>
    <t>517 Catherine Dr.</t>
  </si>
  <si>
    <t>P.O. Box 631</t>
  </si>
  <si>
    <t>Sweetser</t>
  </si>
  <si>
    <t>myungkikim@yahoo.com</t>
  </si>
  <si>
    <t>kclover95@yahoo.com</t>
  </si>
  <si>
    <t>Kaylee Kim</t>
  </si>
  <si>
    <t>60 carpenter ave</t>
  </si>
  <si>
    <t>1Fl</t>
  </si>
  <si>
    <t>staten island</t>
  </si>
  <si>
    <t>loweryjody@gmail.com</t>
  </si>
  <si>
    <t>dillonlwy@gmail.com</t>
  </si>
  <si>
    <t>Dillon</t>
  </si>
  <si>
    <t>Lowery</t>
  </si>
  <si>
    <t>Dillon Lowery</t>
  </si>
  <si>
    <t>78 Fairwind Dr</t>
  </si>
  <si>
    <t>Orrington</t>
  </si>
  <si>
    <t>andrews611@yahoo.com</t>
  </si>
  <si>
    <t>aschnurr2013@gmail.com</t>
  </si>
  <si>
    <t>Schnurr</t>
  </si>
  <si>
    <t>Andrew Schnurr</t>
  </si>
  <si>
    <t>1728 Wendmere Ln.</t>
  </si>
  <si>
    <t>dabacf@yahoo.com</t>
  </si>
  <si>
    <t>bethany1194@gmail.com</t>
  </si>
  <si>
    <t>Horbach</t>
  </si>
  <si>
    <t>Bethany Horbach</t>
  </si>
  <si>
    <t>12606 British Knoll Court</t>
  </si>
  <si>
    <t>pcrbmail@yahoo.com</t>
  </si>
  <si>
    <t>rachaelleejoy@gmail.com</t>
  </si>
  <si>
    <t>Rachael Lee</t>
  </si>
  <si>
    <t>27121 Hidden Trail</t>
  </si>
  <si>
    <t>Laguna Hills</t>
  </si>
  <si>
    <t>jdavis@payh.org</t>
  </si>
  <si>
    <t>Kyler</t>
  </si>
  <si>
    <t>Ray Kyler</t>
  </si>
  <si>
    <t>1603 McIntosh Street</t>
  </si>
  <si>
    <t>P.O. Box 525</t>
  </si>
  <si>
    <t>Vidalia</t>
  </si>
  <si>
    <t>susannerock@msn.com</t>
  </si>
  <si>
    <t>rachelrock5@hotmail.com</t>
  </si>
  <si>
    <t>Rachel Rock</t>
  </si>
  <si>
    <t>4359 Bent Tree Lane</t>
  </si>
  <si>
    <t>adad@sbcglobal.net</t>
  </si>
  <si>
    <t>ampark707@gmail.com</t>
  </si>
  <si>
    <t>Park</t>
  </si>
  <si>
    <t>Alexander Park</t>
  </si>
  <si>
    <t>146 Gadwall St</t>
  </si>
  <si>
    <t>American Canyon</t>
  </si>
  <si>
    <t>nylamidd@gmail.com</t>
  </si>
  <si>
    <t>hgmidd@gmail.com</t>
  </si>
  <si>
    <t>Henry Middleton</t>
  </si>
  <si>
    <t>tk@cvinternet.net</t>
  </si>
  <si>
    <t>kkloveshockey@hotmail.com</t>
  </si>
  <si>
    <t>Knutson</t>
  </si>
  <si>
    <t>Kristi Knutson</t>
  </si>
  <si>
    <t>HC 60 Box 229K</t>
  </si>
  <si>
    <t>Mile 6 1/2 Edgerton Hwy.</t>
  </si>
  <si>
    <t>Copper Center</t>
  </si>
  <si>
    <t>diana_gustafson@hotmail.com</t>
  </si>
  <si>
    <t>ebony_dove@hotmail.com</t>
  </si>
  <si>
    <t>Melody Gustafson</t>
  </si>
  <si>
    <t>3950 Dakota Ave.</t>
  </si>
  <si>
    <t>Cocoa</t>
  </si>
  <si>
    <t>ojune22@yahoo.com</t>
  </si>
  <si>
    <t>Seanhenry</t>
  </si>
  <si>
    <t>Vandyke</t>
  </si>
  <si>
    <t>Seanhenry Vandyke</t>
  </si>
  <si>
    <t>3039 Amsterdam Road</t>
  </si>
  <si>
    <t>P.O.Box 898</t>
  </si>
  <si>
    <t>Belgrade</t>
  </si>
  <si>
    <t>skkearns92@gmail.com</t>
  </si>
  <si>
    <t>Skkearns92@gmail.com</t>
  </si>
  <si>
    <t>Sarah Kaitlyn</t>
  </si>
  <si>
    <t>Waltrip</t>
  </si>
  <si>
    <t>Sarah Kaitlyn Waltrip</t>
  </si>
  <si>
    <t>110 Deerfield Court</t>
  </si>
  <si>
    <t>dan@cvcc.us</t>
  </si>
  <si>
    <t>courtney.m.2014@gmail.com</t>
  </si>
  <si>
    <t>Courtney Morgan</t>
  </si>
  <si>
    <t>608 Wintergreen Dr.</t>
  </si>
  <si>
    <t>Purcellville</t>
  </si>
  <si>
    <t>sgweldon1990@gmail.com</t>
  </si>
  <si>
    <t>Weldon</t>
  </si>
  <si>
    <t>Scott Weldon</t>
  </si>
  <si>
    <t>4938 Look Kinney Circle</t>
  </si>
  <si>
    <t>Liverpool</t>
  </si>
  <si>
    <t>superpannah@gmail.com</t>
  </si>
  <si>
    <t>Superpannah@gmail.com</t>
  </si>
  <si>
    <t>Pannah</t>
  </si>
  <si>
    <t>McKenzie</t>
  </si>
  <si>
    <t>Pannah McKenzie</t>
  </si>
  <si>
    <t>165 legacy pointe dr</t>
  </si>
  <si>
    <t>pascullidaniel@gmail.com</t>
  </si>
  <si>
    <t>Pasculli</t>
  </si>
  <si>
    <t>Daniel Pasculli</t>
  </si>
  <si>
    <t>578 W Watersford Dr</t>
  </si>
  <si>
    <t>Eagle</t>
  </si>
  <si>
    <t>semplerj@yahoo.com</t>
  </si>
  <si>
    <t>ksemple@comcast.net</t>
  </si>
  <si>
    <t>Semple</t>
  </si>
  <si>
    <t>Kathryn Semple</t>
  </si>
  <si>
    <t>301 Fairfax St</t>
  </si>
  <si>
    <t>djpayne1964@gmail.com</t>
  </si>
  <si>
    <t>tigress207@gmail.com</t>
  </si>
  <si>
    <t>Payne</t>
  </si>
  <si>
    <t>Lauren Payne</t>
  </si>
  <si>
    <t>5799 Co RD 29</t>
  </si>
  <si>
    <t>bkandersen@hotmail.com</t>
  </si>
  <si>
    <t>luvfmx123@gmail.com</t>
  </si>
  <si>
    <t>Andersen</t>
  </si>
  <si>
    <t>Cody Andersen</t>
  </si>
  <si>
    <t>15055 Wellwood Drive</t>
  </si>
  <si>
    <t>andersonclan86@gmail.com</t>
  </si>
  <si>
    <t>williamglenn95@gmail.com</t>
  </si>
  <si>
    <t>45 Old Ivy Road</t>
  </si>
  <si>
    <t>Stockbridge</t>
  </si>
  <si>
    <t>amayhill@ksu.edu</t>
  </si>
  <si>
    <t>Johnathan</t>
  </si>
  <si>
    <t>Mayhill</t>
  </si>
  <si>
    <t>Johnathan Mayhill</t>
  </si>
  <si>
    <t>222 North Washington</t>
  </si>
  <si>
    <t>beethoven24@gmail.com</t>
  </si>
  <si>
    <t>Meirow</t>
  </si>
  <si>
    <t>Max Meirow</t>
  </si>
  <si>
    <t>676 Buckleigh Ct. NW</t>
  </si>
  <si>
    <t>marlaweeks@earthlink.net</t>
  </si>
  <si>
    <t>waverlyweeks@earthlink.net</t>
  </si>
  <si>
    <t>Waverly</t>
  </si>
  <si>
    <t>Weeks</t>
  </si>
  <si>
    <t>Waverly Weeks</t>
  </si>
  <si>
    <t>4775 Kenley Place</t>
  </si>
  <si>
    <t>jjpeanut2@verizon.net</t>
  </si>
  <si>
    <t>LeBlanc</t>
  </si>
  <si>
    <t>Jordan LeBlanc</t>
  </si>
  <si>
    <t>36 Laurelwood Drive</t>
  </si>
  <si>
    <t>Westminster</t>
  </si>
  <si>
    <t>b.marshall@nsbconline.org</t>
  </si>
  <si>
    <t>n.marshall3@verizon.net</t>
  </si>
  <si>
    <t>Natalie Marshall</t>
  </si>
  <si>
    <t>7560 Daphne Dr.</t>
  </si>
  <si>
    <t>North Syracuse</t>
  </si>
  <si>
    <t>sabrinalrodriguez10@yahoo.com</t>
  </si>
  <si>
    <t>Sabrina</t>
  </si>
  <si>
    <t>Rodriguez</t>
  </si>
  <si>
    <t>Sabrina Rodriguez</t>
  </si>
  <si>
    <t>1278 Nettles Cemetery Road</t>
  </si>
  <si>
    <t>surf_watchers@yahoo.com</t>
  </si>
  <si>
    <t>timothy.wilkie@gmail.com</t>
  </si>
  <si>
    <t>Wilkie</t>
  </si>
  <si>
    <t>Timothy Wilkie</t>
  </si>
  <si>
    <t>7677 Canyon Oak Dr.</t>
  </si>
  <si>
    <t>mlhuston@aol.com</t>
  </si>
  <si>
    <t>Huston</t>
  </si>
  <si>
    <t>Matthew Huston</t>
  </si>
  <si>
    <t>1450 Ward Circle</t>
  </si>
  <si>
    <t>David Huston</t>
  </si>
  <si>
    <t>danielle.r.turley@gmail.com</t>
  </si>
  <si>
    <t>Danielle</t>
  </si>
  <si>
    <t>Turley</t>
  </si>
  <si>
    <t>Danielle Turley</t>
  </si>
  <si>
    <t>13640 Lakeshore Dr.</t>
  </si>
  <si>
    <t>Rutledge</t>
  </si>
  <si>
    <t>bgvillines@msn.com</t>
  </si>
  <si>
    <t>vill5954@vandals.uidaho.edu</t>
  </si>
  <si>
    <t>Villines</t>
  </si>
  <si>
    <t>Jesse Villines</t>
  </si>
  <si>
    <t>160 Argonne</t>
  </si>
  <si>
    <t>Soda Springs</t>
  </si>
  <si>
    <t>cs3396@k12.sd.us</t>
  </si>
  <si>
    <t>christian</t>
  </si>
  <si>
    <t>swenson</t>
  </si>
  <si>
    <t>christian swenson</t>
  </si>
  <si>
    <t>230 Nidaros Ave.</t>
  </si>
  <si>
    <t>po box 404</t>
  </si>
  <si>
    <t>Baltic</t>
  </si>
  <si>
    <t>tex1777@hotmail.com</t>
  </si>
  <si>
    <t>Michael Villines</t>
  </si>
  <si>
    <t>ehanleynj2010@gmail.com</t>
  </si>
  <si>
    <t>ZachHanley@gmail.com</t>
  </si>
  <si>
    <t>Zachary Hanley</t>
  </si>
  <si>
    <t>212 Hopkins Road</t>
  </si>
  <si>
    <t>Mickleton</t>
  </si>
  <si>
    <t>NateHanley012@gmail.com</t>
  </si>
  <si>
    <t>Nathan Hanley</t>
  </si>
  <si>
    <t>jim.dawson63@ymail.com</t>
  </si>
  <si>
    <t>micahjdawson@gmail.com</t>
  </si>
  <si>
    <t>Dawson</t>
  </si>
  <si>
    <t>Micah Dawson</t>
  </si>
  <si>
    <t>East Park Drive</t>
  </si>
  <si>
    <t>ewolfram@mines.edu</t>
  </si>
  <si>
    <t>Wolfram</t>
  </si>
  <si>
    <t>Edward Wolfram</t>
  </si>
  <si>
    <t>8190 Julian Street</t>
  </si>
  <si>
    <t>cavanaugh.megan@yahoo.com</t>
  </si>
  <si>
    <t>Cavanaugh</t>
  </si>
  <si>
    <t>Megan Cavanaugh</t>
  </si>
  <si>
    <t>2431 Fox Farm Road</t>
  </si>
  <si>
    <t>Worthington</t>
  </si>
  <si>
    <t>sre.henderson@gmail.com</t>
  </si>
  <si>
    <t>Samantha Henderson</t>
  </si>
  <si>
    <t>Unit 49, 117-139 Palm Meadows Drive</t>
  </si>
  <si>
    <t>Gold Coast</t>
  </si>
  <si>
    <t>QLD</t>
  </si>
  <si>
    <t>molzahn6@cox.net</t>
  </si>
  <si>
    <t>wonton104@gmail.com</t>
  </si>
  <si>
    <t>Molzahn</t>
  </si>
  <si>
    <t>David Molzahn</t>
  </si>
  <si>
    <t>3856 Larchwood Dr</t>
  </si>
  <si>
    <t>Virginia Beach</t>
  </si>
  <si>
    <t>faithhopelove41@yahoo.com</t>
  </si>
  <si>
    <t>fromthelions@yahoo.com</t>
  </si>
  <si>
    <t>Deal</t>
  </si>
  <si>
    <t>Danielle Deal</t>
  </si>
  <si>
    <t>0058 County Road 36</t>
  </si>
  <si>
    <t>Avilla</t>
  </si>
  <si>
    <t>grahamhendrikmyers@gmail.com</t>
  </si>
  <si>
    <t>Graham Myers</t>
  </si>
  <si>
    <t>111 Mohawk</t>
  </si>
  <si>
    <t>Manitou Springs</t>
  </si>
  <si>
    <t>sandie.mtnman.gilliland@gmail.com</t>
  </si>
  <si>
    <t>Sandie</t>
  </si>
  <si>
    <t>Sandie Gilliland</t>
  </si>
  <si>
    <t>48097 Igloo Ave</t>
  </si>
  <si>
    <t>kris0119@pie.midco.net_configioDeactivated</t>
  </si>
  <si>
    <t>Buchholtz</t>
  </si>
  <si>
    <t>Karissa Buchholtz</t>
  </si>
  <si>
    <t>1709 Flag Mountain Drive</t>
  </si>
  <si>
    <t>Pallison@bellsouth.net</t>
  </si>
  <si>
    <t>Artist@mindspring.com</t>
  </si>
  <si>
    <t>Jerry</t>
  </si>
  <si>
    <t>Jerry Ward</t>
  </si>
  <si>
    <t>5330 John's View Street</t>
  </si>
  <si>
    <t>Alpharetta</t>
  </si>
  <si>
    <t>karl013@centurytel.net</t>
  </si>
  <si>
    <t>hannahmiller05@gmail.com</t>
  </si>
  <si>
    <t>Hannah Wilson</t>
  </si>
  <si>
    <t>PO Box 313</t>
  </si>
  <si>
    <t>Shaw Island</t>
  </si>
  <si>
    <t>djauld@sbcglobal.net</t>
  </si>
  <si>
    <t>madi_paige123@yahoo.com</t>
  </si>
  <si>
    <t>Auld</t>
  </si>
  <si>
    <t>Madison Auld</t>
  </si>
  <si>
    <t>35143 EW 1370</t>
  </si>
  <si>
    <t>Konawa</t>
  </si>
  <si>
    <t>rachelanne94@gmail.com</t>
  </si>
  <si>
    <t>Rachel Miller</t>
  </si>
  <si>
    <t>9067 141 lane</t>
  </si>
  <si>
    <t>wloffert@earthlink.net</t>
  </si>
  <si>
    <t>Loffert</t>
  </si>
  <si>
    <t>Danielle Loffert</t>
  </si>
  <si>
    <t>152 Bennink Hall</t>
  </si>
  <si>
    <t>8grainsofreiss@cox.net</t>
  </si>
  <si>
    <t>Dasha</t>
  </si>
  <si>
    <t>Reiss</t>
  </si>
  <si>
    <t>Dasha Reiss</t>
  </si>
  <si>
    <t>111 LENNOX CT</t>
  </si>
  <si>
    <t>NEW ORLEANS</t>
  </si>
  <si>
    <t>amholder07@gmail.com</t>
  </si>
  <si>
    <t>holder.olivia@gmail.com</t>
  </si>
  <si>
    <t>Holder</t>
  </si>
  <si>
    <t>Olivia Holder</t>
  </si>
  <si>
    <t>arianna.holder@gmail.com</t>
  </si>
  <si>
    <t>Arianna</t>
  </si>
  <si>
    <t>Arianna Holder</t>
  </si>
  <si>
    <t>4228 Dunhagan Road</t>
  </si>
  <si>
    <t>izbizdove2@gmail.com</t>
  </si>
  <si>
    <t>Isabelle</t>
  </si>
  <si>
    <t>Ketcham</t>
  </si>
  <si>
    <t>Isabelle Ketcham</t>
  </si>
  <si>
    <t>1009 Glacier Court</t>
  </si>
  <si>
    <t>jennifer.oberg@gmail.com</t>
  </si>
  <si>
    <t>Jenny</t>
  </si>
  <si>
    <t>Oberg</t>
  </si>
  <si>
    <t>Jenny Oberg</t>
  </si>
  <si>
    <t>6403 NW 164th St.</t>
  </si>
  <si>
    <t>Alachua</t>
  </si>
  <si>
    <t>brooksbruening@gmail.com</t>
  </si>
  <si>
    <t>Bruening</t>
  </si>
  <si>
    <t>Elizabeth Bruening</t>
  </si>
  <si>
    <t>44 Wintergreen Road</t>
  </si>
  <si>
    <t>rkubick@hotmail.com</t>
  </si>
  <si>
    <t>sknuggetsfan@gmail.com</t>
  </si>
  <si>
    <t>Kubick</t>
  </si>
  <si>
    <t>Sarah Kubick</t>
  </si>
  <si>
    <t>1656 E Otero Ln</t>
  </si>
  <si>
    <t>sara.wixon@gmail.com</t>
  </si>
  <si>
    <t>Wixon</t>
  </si>
  <si>
    <t>Sara Wixon</t>
  </si>
  <si>
    <t>2375 E Medicine Lake Blvd</t>
  </si>
  <si>
    <t>Lsudab@cox.net</t>
  </si>
  <si>
    <t>Dabadie</t>
  </si>
  <si>
    <t>Lauren Dabadie</t>
  </si>
  <si>
    <t>1161 s cloverdale</t>
  </si>
  <si>
    <t>rjwcsu@gmail.com</t>
  </si>
  <si>
    <t>reklawjr@gmail.com</t>
  </si>
  <si>
    <t>Jake Walker</t>
  </si>
  <si>
    <t>49390 EW 1440</t>
  </si>
  <si>
    <t>csheets55@yahoo.com</t>
  </si>
  <si>
    <t>Cori</t>
  </si>
  <si>
    <t>Sheets</t>
  </si>
  <si>
    <t>Cori Sheets</t>
  </si>
  <si>
    <t>2517 69th street</t>
  </si>
  <si>
    <t>cherie.creech@yahoo.com</t>
  </si>
  <si>
    <t>mdlowery22@yahoo.com</t>
  </si>
  <si>
    <t>Morgan Lowery</t>
  </si>
  <si>
    <t>2513 Humble</t>
  </si>
  <si>
    <t>katelyn.creech@yahoo.com</t>
  </si>
  <si>
    <t>Creech</t>
  </si>
  <si>
    <t>Katelyn Creech</t>
  </si>
  <si>
    <t>4105 Kingwood Ct.</t>
  </si>
  <si>
    <t>tetalbert87@gmail.com</t>
  </si>
  <si>
    <t>Talbert</t>
  </si>
  <si>
    <t>Josiah Talbert</t>
  </si>
  <si>
    <t>13825 W 116 Terrace</t>
  </si>
  <si>
    <t>tetalbert@yahoo.com</t>
  </si>
  <si>
    <t>Ezra</t>
  </si>
  <si>
    <t>Ezra Talbert</t>
  </si>
  <si>
    <t>13825 W 116th Terrace</t>
  </si>
  <si>
    <t>kmart066@fiu.edu</t>
  </si>
  <si>
    <t>Katherine Martin</t>
  </si>
  <si>
    <t>19020 SW 89 CT</t>
  </si>
  <si>
    <t>kskramr@gmail.com</t>
  </si>
  <si>
    <t>Kramer</t>
  </si>
  <si>
    <t>Chelsea Kramer</t>
  </si>
  <si>
    <t>11605 Meridian Mkt Vw</t>
  </si>
  <si>
    <t>Ste. 124, #109</t>
  </si>
  <si>
    <t>Falcon</t>
  </si>
  <si>
    <t>meekmail@sbcglobal.net</t>
  </si>
  <si>
    <t>legomonkeyman@sbcglobal.net</t>
  </si>
  <si>
    <t>Meeker</t>
  </si>
  <si>
    <t>Charles Meeker</t>
  </si>
  <si>
    <t>840 Longview Ave</t>
  </si>
  <si>
    <t>lufkinconstruction@gmail.com</t>
  </si>
  <si>
    <t>Lufkin</t>
  </si>
  <si>
    <t>Blake Lufkin</t>
  </si>
  <si>
    <t>PO Box 242</t>
  </si>
  <si>
    <t>Eddington</t>
  </si>
  <si>
    <t>tlc4mykids@aol.com</t>
  </si>
  <si>
    <t>Grant Lufkin</t>
  </si>
  <si>
    <t>jeep@ncf1.org</t>
  </si>
  <si>
    <t>Seth Larson</t>
  </si>
  <si>
    <t>28236 Rocky Rd.</t>
  </si>
  <si>
    <t>Parma</t>
  </si>
  <si>
    <t>Darren</t>
  </si>
  <si>
    <t>Darren Larson</t>
  </si>
  <si>
    <t>Maloney_Thomas@yahoo.com</t>
  </si>
  <si>
    <t>Maloney</t>
  </si>
  <si>
    <t>Michael Maloney</t>
  </si>
  <si>
    <t>5301 Boxwood way</t>
  </si>
  <si>
    <t>dac@hamilton.net</t>
  </si>
  <si>
    <t>hjcarlson3@yahoo.com</t>
  </si>
  <si>
    <t>Hannah Carlson</t>
  </si>
  <si>
    <t>2104 East 13 Road</t>
  </si>
  <si>
    <t>Hampton</t>
  </si>
  <si>
    <t>Mohammedmansaray@lionmail.sagu.edu</t>
  </si>
  <si>
    <t>Mo</t>
  </si>
  <si>
    <t>Mansaray</t>
  </si>
  <si>
    <t>Mo Mansaray</t>
  </si>
  <si>
    <t>12482 Abrams rd apt# 827</t>
  </si>
  <si>
    <t>stephanieeyecare@hotmail.com</t>
  </si>
  <si>
    <t>joyce</t>
  </si>
  <si>
    <t>lee</t>
  </si>
  <si>
    <t>joyce lee</t>
  </si>
  <si>
    <t>14270 holly glen ct</t>
  </si>
  <si>
    <t>manassas</t>
  </si>
  <si>
    <t>Faith</t>
  </si>
  <si>
    <t>Faith Lee</t>
  </si>
  <si>
    <t>14270 Holly Glen Ct.</t>
  </si>
  <si>
    <t>Manassas</t>
  </si>
  <si>
    <t>fmcole4358@me.com</t>
  </si>
  <si>
    <t>etcole@me.com</t>
  </si>
  <si>
    <t>Elisabeth Cole</t>
  </si>
  <si>
    <t>10210 E Speedway Blvd, #56</t>
  </si>
  <si>
    <t>towerdweller@live.com</t>
  </si>
  <si>
    <t>alee6167@hotmail.com</t>
  </si>
  <si>
    <t>Aviel</t>
  </si>
  <si>
    <t>Aviel Lee</t>
  </si>
  <si>
    <t>P.O. Box 108</t>
  </si>
  <si>
    <t>dkishi@sbcglobal.net</t>
  </si>
  <si>
    <t>danielmkishi@gmail.com</t>
  </si>
  <si>
    <t>Kishi</t>
  </si>
  <si>
    <t>Daniel Kishi</t>
  </si>
  <si>
    <t>19544 Crystal Oak</t>
  </si>
  <si>
    <t>jenbarber4@gmail.com</t>
  </si>
  <si>
    <t>acbarber@umich.edu</t>
  </si>
  <si>
    <t>Barber</t>
  </si>
  <si>
    <t>Andrew Barber</t>
  </si>
  <si>
    <t>3234 Creston Circle</t>
  </si>
  <si>
    <t>Superior Township</t>
  </si>
  <si>
    <t>rachellekasten@charter.net</t>
  </si>
  <si>
    <t>mattkasten9078@gmail.com</t>
  </si>
  <si>
    <t>Kasten</t>
  </si>
  <si>
    <t>Matthew Kasten</t>
  </si>
  <si>
    <t>7750 Huron River Dr.</t>
  </si>
  <si>
    <t>Dexter</t>
  </si>
  <si>
    <t>inthefogg@gmail.com</t>
  </si>
  <si>
    <t>Fogg</t>
  </si>
  <si>
    <t>Austin Fogg</t>
  </si>
  <si>
    <t>4114 Douglass Loop</t>
  </si>
  <si>
    <t>tfamfive@aol.com</t>
  </si>
  <si>
    <t>Tolnay</t>
  </si>
  <si>
    <t>Joshua Tolnay</t>
  </si>
  <si>
    <t>1915 Laurinda Drive</t>
  </si>
  <si>
    <t>proffitts@proffittcards.com</t>
  </si>
  <si>
    <t>gracegirl14@gmail.com</t>
  </si>
  <si>
    <t>Proffitt</t>
  </si>
  <si>
    <t>Bridget Proffitt</t>
  </si>
  <si>
    <t>1476 Halpin Rd</t>
  </si>
  <si>
    <t>cooljoey96@yahoo.com</t>
  </si>
  <si>
    <t>Cabauy</t>
  </si>
  <si>
    <t>Joseph Cabauy</t>
  </si>
  <si>
    <t>7962 NW 161st terr</t>
  </si>
  <si>
    <t>Miami Lakes</t>
  </si>
  <si>
    <t>donald@calvaryrr.org</t>
  </si>
  <si>
    <t>otoniel</t>
  </si>
  <si>
    <t>olivas</t>
  </si>
  <si>
    <t>otoniel olivas</t>
  </si>
  <si>
    <t>138 frontage rd</t>
  </si>
  <si>
    <t>brittanyfaith95@gmail.com</t>
  </si>
  <si>
    <t>Brittany Proffitt</t>
  </si>
  <si>
    <t>kennediebrown115@gmail.com</t>
  </si>
  <si>
    <t>Kennedie</t>
  </si>
  <si>
    <t>Kennedie Brown</t>
  </si>
  <si>
    <t>2133 Hartstone Dr. SE</t>
  </si>
  <si>
    <t>Caledonia</t>
  </si>
  <si>
    <t>peterdude99@gmail.com</t>
  </si>
  <si>
    <t>Peter Schmidt</t>
  </si>
  <si>
    <t>818 Collins Road</t>
  </si>
  <si>
    <t>rkilgore@wispertel.net</t>
  </si>
  <si>
    <t>rylie@wispertel.net</t>
  </si>
  <si>
    <t>Rylie</t>
  </si>
  <si>
    <t>Kilgore</t>
  </si>
  <si>
    <t>Rylie Kilgore</t>
  </si>
  <si>
    <t>11525 Conifer Ridge Dr.</t>
  </si>
  <si>
    <t>christian5065@gmail.com</t>
  </si>
  <si>
    <t>Damico</t>
  </si>
  <si>
    <t>Christian Damico</t>
  </si>
  <si>
    <t>225 Greenfair Trl</t>
  </si>
  <si>
    <t>Roswell</t>
  </si>
  <si>
    <t>pwg@mit.edu</t>
  </si>
  <si>
    <t>Peter Gilliland</t>
  </si>
  <si>
    <t>8788 Herbison Road</t>
  </si>
  <si>
    <t>rachel.anne@me.com</t>
  </si>
  <si>
    <t>Rachel Brazell</t>
  </si>
  <si>
    <t>19587 Meadowood Ln</t>
  </si>
  <si>
    <t>kpadron@att.net</t>
  </si>
  <si>
    <t>Padron</t>
  </si>
  <si>
    <t>Katherine Padron</t>
  </si>
  <si>
    <t>3902 NE 20 Cir.</t>
  </si>
  <si>
    <t>Homestead</t>
  </si>
  <si>
    <t>counselor_reed@yahoo.com</t>
  </si>
  <si>
    <t>Rachel Reed</t>
  </si>
  <si>
    <t>1209 Dickerson Ave.</t>
  </si>
  <si>
    <t>Newcastle</t>
  </si>
  <si>
    <t>hug-addict@hotmail.com</t>
  </si>
  <si>
    <t>Rachel Tait</t>
  </si>
  <si>
    <t>3877 105th St NE</t>
  </si>
  <si>
    <t>Kandiyohi</t>
  </si>
  <si>
    <t>ethomas768@yahoo.com</t>
  </si>
  <si>
    <t>Elizabeth Thomas</t>
  </si>
  <si>
    <t>PO Box 768</t>
  </si>
  <si>
    <t>Everson</t>
  </si>
  <si>
    <t>warrioronthewall@gmail.com</t>
  </si>
  <si>
    <t>smb_1996@yahoo.com</t>
  </si>
  <si>
    <t>Shoshannah</t>
  </si>
  <si>
    <t>Bontrager</t>
  </si>
  <si>
    <t>Shoshannah Bontrager</t>
  </si>
  <si>
    <t>54037 County Road 39</t>
  </si>
  <si>
    <t>Middlebury</t>
  </si>
  <si>
    <t>farleym777@msn.com</t>
  </si>
  <si>
    <t>sfarley172@gmail.com</t>
  </si>
  <si>
    <t>Farley</t>
  </si>
  <si>
    <t>Seth Farley</t>
  </si>
  <si>
    <t>299 Tappahanna Hundred</t>
  </si>
  <si>
    <t>Surry</t>
  </si>
  <si>
    <t>joeleamit@hotmail.com</t>
  </si>
  <si>
    <t>lesleamitchem@gmail.com</t>
  </si>
  <si>
    <t>Leslea</t>
  </si>
  <si>
    <t>Mitchem</t>
  </si>
  <si>
    <t>Leslea Mitchem</t>
  </si>
  <si>
    <t>601 Franklin</t>
  </si>
  <si>
    <t>P.O. Box 481</t>
  </si>
  <si>
    <t>Sedgwick</t>
  </si>
  <si>
    <t>maybender@gmail.com</t>
  </si>
  <si>
    <t>dogsportsmicah@gmail.com</t>
  </si>
  <si>
    <t>Bender</t>
  </si>
  <si>
    <t>Micah Bender</t>
  </si>
  <si>
    <t>610 Watson St.</t>
  </si>
  <si>
    <t>slmlj@aol.com</t>
  </si>
  <si>
    <t>wlj9969@gmail.com</t>
  </si>
  <si>
    <t>Walter Johnston</t>
  </si>
  <si>
    <t>202 Boisenberry Drive</t>
  </si>
  <si>
    <t>iamasuineg@gmail.com</t>
  </si>
  <si>
    <t>Jenifer</t>
  </si>
  <si>
    <t>Magar</t>
  </si>
  <si>
    <t>Jenifer Magar</t>
  </si>
  <si>
    <t>32147 Whippoorwill Dr.</t>
  </si>
  <si>
    <t>swimmer_harpist93@yahoo.com</t>
  </si>
  <si>
    <t>Aimee</t>
  </si>
  <si>
    <t>Dwyer</t>
  </si>
  <si>
    <t>Aimee Dwyer</t>
  </si>
  <si>
    <t>542 first ave</t>
  </si>
  <si>
    <t>callison.pam@gmail.com</t>
  </si>
  <si>
    <t>jstn.callison@gmail.com</t>
  </si>
  <si>
    <t>Callison</t>
  </si>
  <si>
    <t>Justin Callison</t>
  </si>
  <si>
    <t>402 Saddlebrook Dr.</t>
  </si>
  <si>
    <t>synchrotiger@gmail.com</t>
  </si>
  <si>
    <t>Bilger</t>
  </si>
  <si>
    <t>Abigail Bilger</t>
  </si>
  <si>
    <t>6914 Paiute Dr</t>
  </si>
  <si>
    <t>bwgortney@hotmail.com</t>
  </si>
  <si>
    <t>Amaris</t>
  </si>
  <si>
    <t>Gortney</t>
  </si>
  <si>
    <t>Amaris Gortney</t>
  </si>
  <si>
    <t>2356 Attala Road 2997</t>
  </si>
  <si>
    <t>McCool</t>
  </si>
  <si>
    <t>kastmo@suddenlink.net</t>
  </si>
  <si>
    <t>kkastmo@yahoo.com</t>
  </si>
  <si>
    <t>Kastmo</t>
  </si>
  <si>
    <t>Katrina Kastmo</t>
  </si>
  <si>
    <t>5696 County Road 1143</t>
  </si>
  <si>
    <t>hans.kirkman@gmail.com</t>
  </si>
  <si>
    <t>Kirkman</t>
  </si>
  <si>
    <t>Mitchell Kirkman</t>
  </si>
  <si>
    <t>4020 Vine Grove Rd.</t>
  </si>
  <si>
    <t>Vine Grove</t>
  </si>
  <si>
    <t>Braxton</t>
  </si>
  <si>
    <t>Braxton Kirkman</t>
  </si>
  <si>
    <t>4020 Vine Grove Rd</t>
  </si>
  <si>
    <t>jlbermudez96@gmail.com</t>
  </si>
  <si>
    <t>Jocelyn Bermudez</t>
  </si>
  <si>
    <t>6831 Harding St.</t>
  </si>
  <si>
    <t>Hollywood</t>
  </si>
  <si>
    <t>info@tracimorrow.com</t>
  </si>
  <si>
    <t>hollimorrow13@gmail.com</t>
  </si>
  <si>
    <t>Holli</t>
  </si>
  <si>
    <t>Morrow</t>
  </si>
  <si>
    <t>Holli Morrow</t>
  </si>
  <si>
    <t>127 Catherine Park Dr</t>
  </si>
  <si>
    <t>Glendora</t>
  </si>
  <si>
    <t>jason@yourbetterbuilder.com</t>
  </si>
  <si>
    <t>ngeffers@mail.com</t>
  </si>
  <si>
    <t>Geffers</t>
  </si>
  <si>
    <t>Nicholas Geffers</t>
  </si>
  <si>
    <t>8275 Pioneer Rd.</t>
  </si>
  <si>
    <t>gbw81680@juno.com</t>
  </si>
  <si>
    <t>naomigrl@yahoo.com</t>
  </si>
  <si>
    <t>Naomi Walker</t>
  </si>
  <si>
    <t>1743 Jade</t>
  </si>
  <si>
    <t>abunchabochys@msn.com</t>
  </si>
  <si>
    <t>Bochy</t>
  </si>
  <si>
    <t>Samuel Bochy</t>
  </si>
  <si>
    <t>1356 Spur Lane</t>
  </si>
  <si>
    <t>pilgrim_777@msn.com</t>
  </si>
  <si>
    <t>regina.mott@hotmail.com</t>
  </si>
  <si>
    <t>Regina</t>
  </si>
  <si>
    <t>Mott</t>
  </si>
  <si>
    <t>Regina Mott</t>
  </si>
  <si>
    <t>1935 Watertown Rd</t>
  </si>
  <si>
    <t>Long Lake</t>
  </si>
  <si>
    <t>michelle.ranta@gmail.com</t>
  </si>
  <si>
    <t>Meganne</t>
  </si>
  <si>
    <t>Ranta</t>
  </si>
  <si>
    <t>Meganne Ranta</t>
  </si>
  <si>
    <t>530A  South Winter</t>
  </si>
  <si>
    <t>manchesterutd7@gmail.com</t>
  </si>
  <si>
    <t>Wei Chen</t>
  </si>
  <si>
    <t>No. 8 Lane 80 San-Min Rd. Chiung-lin Shiang</t>
  </si>
  <si>
    <t>Hsinchu</t>
  </si>
  <si>
    <t>Taiwan, Province Of China</t>
  </si>
  <si>
    <t>svrehoboth@aol.com</t>
  </si>
  <si>
    <t>jessevia98@gmail.com</t>
  </si>
  <si>
    <t>Via</t>
  </si>
  <si>
    <t>Jesse Via</t>
  </si>
  <si>
    <t>367 Green Level Rd</t>
  </si>
  <si>
    <t>King William</t>
  </si>
  <si>
    <t>katieaymin@gmail.com</t>
  </si>
  <si>
    <t>Aymin</t>
  </si>
  <si>
    <t>Katherine Aymin</t>
  </si>
  <si>
    <t>r8p8gager@msn.com</t>
  </si>
  <si>
    <t>bethany.gager@yahoo.com</t>
  </si>
  <si>
    <t>Gager</t>
  </si>
  <si>
    <t>Bethany Gager</t>
  </si>
  <si>
    <t>14054 W 84th Place</t>
  </si>
  <si>
    <t>Ladyluellen5@yahoo.com</t>
  </si>
  <si>
    <t>Armstead</t>
  </si>
  <si>
    <t>Hannah Armstead</t>
  </si>
  <si>
    <t>15055 S.</t>
  </si>
  <si>
    <t>Green Tree Drive</t>
  </si>
  <si>
    <t>Oregon City</t>
  </si>
  <si>
    <t>gpbm33@frontier.com</t>
  </si>
  <si>
    <t>Robe</t>
  </si>
  <si>
    <t>Simeon Robe</t>
  </si>
  <si>
    <t>5115 Marshfield Road</t>
  </si>
  <si>
    <t>mstenz95@gmail.com</t>
  </si>
  <si>
    <t>MStenz95@gmail.com</t>
  </si>
  <si>
    <t>Mari</t>
  </si>
  <si>
    <t>Stensrud</t>
  </si>
  <si>
    <t>Mari Stensrud</t>
  </si>
  <si>
    <t>6791 Tartan Curve</t>
  </si>
  <si>
    <t>mcleigh23@gmail.com</t>
  </si>
  <si>
    <t>Leigh</t>
  </si>
  <si>
    <t>Mary Leigh</t>
  </si>
  <si>
    <t>201 Greenwood Place</t>
  </si>
  <si>
    <t>Hattiesburg</t>
  </si>
  <si>
    <t>domesticma@embarqmail.com</t>
  </si>
  <si>
    <t>David Brown</t>
  </si>
  <si>
    <t>4920 South River School Rd</t>
  </si>
  <si>
    <t>Wade</t>
  </si>
  <si>
    <t>mckinney.shannon@gmail.com</t>
  </si>
  <si>
    <t>mmckin19275@viterbo.edu</t>
  </si>
  <si>
    <t>Madeleine McKinney</t>
  </si>
  <si>
    <t>1518 South 10th St.</t>
  </si>
  <si>
    <t>La Crosse</t>
  </si>
  <si>
    <t>english1@reagan.com</t>
  </si>
  <si>
    <t>English</t>
  </si>
  <si>
    <t>English Hinton</t>
  </si>
  <si>
    <t>17722 Morninghigh Drive</t>
  </si>
  <si>
    <t>tadams008@student.monroecc.edu</t>
  </si>
  <si>
    <t>Tessa Adams</t>
  </si>
  <si>
    <t>40 Bellmawr Dr.</t>
  </si>
  <si>
    <t>hessing00@gmail.com</t>
  </si>
  <si>
    <t>Hessing</t>
  </si>
  <si>
    <t>Alyssa Hessing</t>
  </si>
  <si>
    <t>6713 Camelia</t>
  </si>
  <si>
    <t>Miramar</t>
  </si>
  <si>
    <t>maryjeanishis@gmail.com</t>
  </si>
  <si>
    <t>mr.g.man.97@gmail.com</t>
  </si>
  <si>
    <t>Mason Phillips</t>
  </si>
  <si>
    <t>606 Laguna Dr</t>
  </si>
  <si>
    <t>wags@watermark.org</t>
  </si>
  <si>
    <t>kirbywags@sbcglobal.net</t>
  </si>
  <si>
    <t>Kirby Wagner</t>
  </si>
  <si>
    <t>7908 Bryn Mawr</t>
  </si>
  <si>
    <t>clstone6@gmail.com</t>
  </si>
  <si>
    <t>carolynstone718@yahoo.com</t>
  </si>
  <si>
    <t>Carolyn</t>
  </si>
  <si>
    <t>Carolyn Stone</t>
  </si>
  <si>
    <t>7007 High Point Lane</t>
  </si>
  <si>
    <t>jordy.910@gmail.com</t>
  </si>
  <si>
    <t>Pettit</t>
  </si>
  <si>
    <t>Jordan Pettit</t>
  </si>
  <si>
    <t>4816 Pleasant View Dr.</t>
  </si>
  <si>
    <t>Chubbuck</t>
  </si>
  <si>
    <t>acoughlin@glazierfootballclinics.com</t>
  </si>
  <si>
    <t>Coughlin</t>
  </si>
  <si>
    <t>Aaron Coughlin</t>
  </si>
  <si>
    <t>12496 Creekhurst Dr.</t>
  </si>
  <si>
    <t>kelseythepirate@hotmail.com</t>
  </si>
  <si>
    <t>kelsey</t>
  </si>
  <si>
    <t>reese</t>
  </si>
  <si>
    <t>kelsey reese</t>
  </si>
  <si>
    <t>bonnie.gager36@yahoo.com</t>
  </si>
  <si>
    <t>Bonnie Gager</t>
  </si>
  <si>
    <t>14054 West 84th Place</t>
  </si>
  <si>
    <t>shadows2sunshine@gmail.com</t>
  </si>
  <si>
    <t>Michael McDonald</t>
  </si>
  <si>
    <t>10932 206th ST SE</t>
  </si>
  <si>
    <t>Snohomish</t>
  </si>
  <si>
    <t>caroldewitt1015@gmail.com</t>
  </si>
  <si>
    <t>garrettdoit@gmail.com</t>
  </si>
  <si>
    <t>DeWitt</t>
  </si>
  <si>
    <t>Garrett DeWitt</t>
  </si>
  <si>
    <t>2015 Cobblestone Drive</t>
  </si>
  <si>
    <t>Spring Hill</t>
  </si>
  <si>
    <t>djnogreek@gmail.com</t>
  </si>
  <si>
    <t>David Allen</t>
  </si>
  <si>
    <t>Kirock8@aol.com</t>
  </si>
  <si>
    <t>Barker</t>
  </si>
  <si>
    <t>Will Barker</t>
  </si>
  <si>
    <t>179 wexham rd</t>
  </si>
  <si>
    <t>Winston salem</t>
  </si>
  <si>
    <t>mrs.swany@gmail.com</t>
  </si>
  <si>
    <t>raebird3@gmail.com</t>
  </si>
  <si>
    <t>Betsy Swanson</t>
  </si>
  <si>
    <t>8530 Valley View Ct</t>
  </si>
  <si>
    <t>thejmaldonado@gmail.com</t>
  </si>
  <si>
    <t>Maldonado</t>
  </si>
  <si>
    <t>Justin Maldonado</t>
  </si>
  <si>
    <t>6646 NW 175th Ter</t>
  </si>
  <si>
    <t>Okinawa95@yahoo.com</t>
  </si>
  <si>
    <t>Caroline Jones</t>
  </si>
  <si>
    <t>60 Tappahanna Hundred</t>
  </si>
  <si>
    <t>surry</t>
  </si>
  <si>
    <t>becky.bush10@gmail.com</t>
  </si>
  <si>
    <t>Bush</t>
  </si>
  <si>
    <t>Rebecca Bush</t>
  </si>
  <si>
    <t>285 Aslan Way</t>
  </si>
  <si>
    <t>Pell City</t>
  </si>
  <si>
    <t>deborah@gowilhd.com</t>
  </si>
  <si>
    <t>Deborah English</t>
  </si>
  <si>
    <t>167 S. Ensenada Dr.</t>
  </si>
  <si>
    <t>Pueblo West</t>
  </si>
  <si>
    <t>hollypop_art@yahoo.com</t>
  </si>
  <si>
    <t>hsargent@rams.colostate.edu</t>
  </si>
  <si>
    <t>Holly</t>
  </si>
  <si>
    <t>Sargent</t>
  </si>
  <si>
    <t>Holly Sargent</t>
  </si>
  <si>
    <t>13926 Elm St</t>
  </si>
  <si>
    <t>Thornton</t>
  </si>
  <si>
    <t>katierehmann@hotmail.com_configioDeactivated</t>
  </si>
  <si>
    <t>josiahrehmann@hotmail.com</t>
  </si>
  <si>
    <t>Rehmann</t>
  </si>
  <si>
    <t>Josiah Rehmann</t>
  </si>
  <si>
    <t>624 Pheasant Run</t>
  </si>
  <si>
    <t>Winsted</t>
  </si>
  <si>
    <t>laura_loo_18@hotmail.com</t>
  </si>
  <si>
    <t>Laura Williams</t>
  </si>
  <si>
    <t>5100 S 98th Street</t>
  </si>
  <si>
    <t>janekouts@yahoo.com</t>
  </si>
  <si>
    <t>zeekgecko@gmail.com</t>
  </si>
  <si>
    <t>Carrie</t>
  </si>
  <si>
    <t>Kouts</t>
  </si>
  <si>
    <t>Carrie Kouts</t>
  </si>
  <si>
    <t>3001 Orlando Road</t>
  </si>
  <si>
    <t>bobbilester@yahoo.com</t>
  </si>
  <si>
    <t>brysonlester@ymail.com</t>
  </si>
  <si>
    <t>Bryson</t>
  </si>
  <si>
    <t>Bryson Lester</t>
  </si>
  <si>
    <t>9947 Lancaster Rd.</t>
  </si>
  <si>
    <t>Rudy</t>
  </si>
  <si>
    <t>priestmrll@gmail.com</t>
  </si>
  <si>
    <t>Bridges</t>
  </si>
  <si>
    <t>Briana Bridges</t>
  </si>
  <si>
    <t>300 crabapple dr</t>
  </si>
  <si>
    <t>conniekauffman@embarqmail.com</t>
  </si>
  <si>
    <t>agkauffman@embarqmail.com</t>
  </si>
  <si>
    <t>Kauffman</t>
  </si>
  <si>
    <t>Allison Kauffman</t>
  </si>
  <si>
    <t>2310 Franklin Rd.</t>
  </si>
  <si>
    <t>shawndeb@charter.net</t>
  </si>
  <si>
    <t>Skylar</t>
  </si>
  <si>
    <t>Bainbridge</t>
  </si>
  <si>
    <t>Skylar Bainbridge</t>
  </si>
  <si>
    <t>20717 Castlewood Drive</t>
  </si>
  <si>
    <t>josiejolibois@gmail.com</t>
  </si>
  <si>
    <t>Josie</t>
  </si>
  <si>
    <t>Jolibois</t>
  </si>
  <si>
    <t>Josie Jolibois</t>
  </si>
  <si>
    <t>15911 Maison Drive</t>
  </si>
  <si>
    <t>Greenwell Springs</t>
  </si>
  <si>
    <t>abtnlin@yahoo.com</t>
  </si>
  <si>
    <t>Lin</t>
  </si>
  <si>
    <t>Nathan Lin</t>
  </si>
  <si>
    <t>llinstad@yahoo.com</t>
  </si>
  <si>
    <t>Linstad</t>
  </si>
  <si>
    <t>Ashley Linstad</t>
  </si>
  <si>
    <t>3184 vista diego</t>
  </si>
  <si>
    <t>Jamul</t>
  </si>
  <si>
    <t>jooheepak@gmail.com</t>
  </si>
  <si>
    <t>Joo Hee</t>
  </si>
  <si>
    <t>Pak</t>
  </si>
  <si>
    <t>Joo Hee Pak</t>
  </si>
  <si>
    <t>22722 Juniper Avenue</t>
  </si>
  <si>
    <t>dlpatter@gmail.com</t>
  </si>
  <si>
    <t>mossybark@gmail.com</t>
  </si>
  <si>
    <t>Patterson</t>
  </si>
  <si>
    <t>Anna Patterson</t>
  </si>
  <si>
    <t>400 NORTHWOOD CIRCLE</t>
  </si>
  <si>
    <t>CROSS JUNCTION</t>
  </si>
  <si>
    <t>MyHealingJoy@gmail.com</t>
  </si>
  <si>
    <t>ZoeWolfenbarger@yahoo.com</t>
  </si>
  <si>
    <t>Zoe</t>
  </si>
  <si>
    <t>Wolfenbarger</t>
  </si>
  <si>
    <t>Zoe Wolfenbarger</t>
  </si>
  <si>
    <t>577 Preakness Stakes St</t>
  </si>
  <si>
    <t>rnkrue@yahoo.com</t>
  </si>
  <si>
    <t>Krueger</t>
  </si>
  <si>
    <t>Steven Krueger</t>
  </si>
  <si>
    <t>3895 Park Creek Drive</t>
  </si>
  <si>
    <t>Southaven</t>
  </si>
  <si>
    <t>lrbrowniii@sbcglobal.net</t>
  </si>
  <si>
    <t>tennisdave95@gmail.com</t>
  </si>
  <si>
    <t>1738 Wright Ave</t>
  </si>
  <si>
    <t>Sunnyvale</t>
  </si>
  <si>
    <t>greenapple94@sbcglobal.net</t>
  </si>
  <si>
    <t>Nam</t>
  </si>
  <si>
    <t>Jeffrey Nam</t>
  </si>
  <si>
    <t>16210 Van Ness Ave</t>
  </si>
  <si>
    <t>sucala@sbcglobal.net</t>
  </si>
  <si>
    <t>Sucala</t>
  </si>
  <si>
    <t>Alexander Sucala</t>
  </si>
  <si>
    <t>21300 Almaden Rd, #115</t>
  </si>
  <si>
    <t>tsucala@gmail.com</t>
  </si>
  <si>
    <t>Timotei</t>
  </si>
  <si>
    <t>Timotei Sucala</t>
  </si>
  <si>
    <t>20394 almaden road</t>
  </si>
  <si>
    <t>san jose</t>
  </si>
  <si>
    <t>walkers6@comcast.net</t>
  </si>
  <si>
    <t>Austin Walker</t>
  </si>
  <si>
    <t>7542 Woodland Bay Drive</t>
  </si>
  <si>
    <t>lwycoff@bridgeandstream.com</t>
  </si>
  <si>
    <t>blainewycoff@live.com</t>
  </si>
  <si>
    <t>Blaine</t>
  </si>
  <si>
    <t>Wycoff</t>
  </si>
  <si>
    <t>Blaine Wycoff</t>
  </si>
  <si>
    <t>14017 Furrow Rd</t>
  </si>
  <si>
    <t>Larkspur</t>
  </si>
  <si>
    <t>markandlinda@hughes.net</t>
  </si>
  <si>
    <t>joshaking64@gmail.com</t>
  </si>
  <si>
    <t>Joshua King</t>
  </si>
  <si>
    <t>10223 Grand Prairie Road</t>
  </si>
  <si>
    <t>richardsonje@uindy.edu</t>
  </si>
  <si>
    <t>Johanna</t>
  </si>
  <si>
    <t>Johanna Richardson</t>
  </si>
  <si>
    <t>244 East Monroe Street</t>
  </si>
  <si>
    <t>bethy.mccray@gmail.com</t>
  </si>
  <si>
    <t>McCray</t>
  </si>
  <si>
    <t>Elizabeth McCray</t>
  </si>
  <si>
    <t>US HIghway 52</t>
  </si>
  <si>
    <t>New Palestine</t>
  </si>
  <si>
    <t>dhallst@comcast.net</t>
  </si>
  <si>
    <t>erichllstrm@gmail.com</t>
  </si>
  <si>
    <t>Hallstrom</t>
  </si>
  <si>
    <t>Eric Hallstrom</t>
  </si>
  <si>
    <t>6808 Brittany Rd</t>
  </si>
  <si>
    <t>willowlocust3@gmail.com</t>
  </si>
  <si>
    <t>willowlocust3@gmial.com</t>
  </si>
  <si>
    <t>Ervin</t>
  </si>
  <si>
    <t>David Ervin</t>
  </si>
  <si>
    <t>David  Ervin</t>
  </si>
  <si>
    <t>218 Westridge rd</t>
  </si>
  <si>
    <t>Advance</t>
  </si>
  <si>
    <t>razo4777@hotmail.com</t>
  </si>
  <si>
    <t>peter.razo45@gmail.com</t>
  </si>
  <si>
    <t>Razo</t>
  </si>
  <si>
    <t>Peter Razo</t>
  </si>
  <si>
    <t>1604 Lazy Lane</t>
  </si>
  <si>
    <t>High Point</t>
  </si>
  <si>
    <t>nathan.ambrose42@gmail.com</t>
  </si>
  <si>
    <t>Ambrose</t>
  </si>
  <si>
    <t>Nathan Ambrose</t>
  </si>
  <si>
    <t>12045 Elkins Road</t>
  </si>
  <si>
    <t>Dade City</t>
  </si>
  <si>
    <t>dschrade@gmail.com</t>
  </si>
  <si>
    <t>josiahschrade@gmail.com</t>
  </si>
  <si>
    <t>Schrade</t>
  </si>
  <si>
    <t>Josiah Schrade</t>
  </si>
  <si>
    <t>1609 Blue Grass Blvd</t>
  </si>
  <si>
    <t>Deland</t>
  </si>
  <si>
    <t>bjh9306@yahoo.com</t>
  </si>
  <si>
    <t>Hendrickson</t>
  </si>
  <si>
    <t>Bethany Hendrickson</t>
  </si>
  <si>
    <t>2520 Silver Fox Tr.</t>
  </si>
  <si>
    <t>rkeshian@kilpatricktownsend.com</t>
  </si>
  <si>
    <t>keshta@wfu.edu</t>
  </si>
  <si>
    <t>Keshian</t>
  </si>
  <si>
    <t>Thomas Keshian</t>
  </si>
  <si>
    <t>320 Roslyn Road</t>
  </si>
  <si>
    <t>Winston-Salem</t>
  </si>
  <si>
    <t>matpiaso234@gmail.com</t>
  </si>
  <si>
    <t>eide</t>
  </si>
  <si>
    <t>Jesse eide</t>
  </si>
  <si>
    <t>2115 cliffview drive</t>
  </si>
  <si>
    <t>eagan</t>
  </si>
  <si>
    <t>memax12@juno.com</t>
  </si>
  <si>
    <t>Schrom</t>
  </si>
  <si>
    <t>Aaron Schrom</t>
  </si>
  <si>
    <t>914 Hannah Dr.</t>
  </si>
  <si>
    <t>Lititz</t>
  </si>
  <si>
    <t>bigblueinfl@comcast.net</t>
  </si>
  <si>
    <t>hayesriskservices@gmail.com</t>
  </si>
  <si>
    <t>Joshua Hayes</t>
  </si>
  <si>
    <t>196 Elmwood Drive</t>
  </si>
  <si>
    <t>St Johns</t>
  </si>
  <si>
    <t>ladybug_vanoss@yahoo.com</t>
  </si>
  <si>
    <t>Stephens</t>
  </si>
  <si>
    <t>Mikala Stephens</t>
  </si>
  <si>
    <t>1 North Cottonwood</t>
  </si>
  <si>
    <t>Stratford</t>
  </si>
  <si>
    <t>Kellierainh2o@gmail.com</t>
  </si>
  <si>
    <t>Corban</t>
  </si>
  <si>
    <t>Rainwater</t>
  </si>
  <si>
    <t>Corban Rainwater</t>
  </si>
  <si>
    <t>2020 post oak ct.</t>
  </si>
  <si>
    <t>Conyers</t>
  </si>
  <si>
    <t>kaseplace@gmail.com</t>
  </si>
  <si>
    <t>calebscape@gmail.com</t>
  </si>
  <si>
    <t>Kase</t>
  </si>
  <si>
    <t>Caleb Kase</t>
  </si>
  <si>
    <t>5275 Sweet Breeze Lane</t>
  </si>
  <si>
    <t>Traverse City</t>
  </si>
  <si>
    <t>ryandwyer19@gmail.com</t>
  </si>
  <si>
    <t>Ryan Dwyer</t>
  </si>
  <si>
    <t>114 Tremont Drive</t>
  </si>
  <si>
    <t>yellowdogkennel@yahoo.com</t>
  </si>
  <si>
    <t>Appleton</t>
  </si>
  <si>
    <t>Brooke Appleton</t>
  </si>
  <si>
    <t>1531 Liberty Expressway S.E.</t>
  </si>
  <si>
    <t>Albany</t>
  </si>
  <si>
    <t>jellis4jesus@gmail.com</t>
  </si>
  <si>
    <t>carson5454@gmail.com</t>
  </si>
  <si>
    <t>Gladys</t>
  </si>
  <si>
    <t>Gladys Ellis</t>
  </si>
  <si>
    <t>7797 S. Newland St.</t>
  </si>
  <si>
    <t>byron@mts.net</t>
  </si>
  <si>
    <t>amyu@mts.net</t>
  </si>
  <si>
    <t>Unger</t>
  </si>
  <si>
    <t>Amy Unger</t>
  </si>
  <si>
    <t>325 Linwood Street</t>
  </si>
  <si>
    <t>Winnipeg</t>
  </si>
  <si>
    <t>Manitoba</t>
  </si>
  <si>
    <t>R3J 2C8</t>
  </si>
  <si>
    <t>jtanddt2000@yahoo.com</t>
  </si>
  <si>
    <t>Terpsma</t>
  </si>
  <si>
    <t>Kelsey Terpsma</t>
  </si>
  <si>
    <t>7614 Phares Drive</t>
  </si>
  <si>
    <t>mcswillingheart@gmail.com</t>
  </si>
  <si>
    <t>Suarez</t>
  </si>
  <si>
    <t>Micaela Suarez</t>
  </si>
  <si>
    <t>555 Goosehole Rd</t>
  </si>
  <si>
    <t>Benson</t>
  </si>
  <si>
    <t>lpstockman@gmail.com</t>
  </si>
  <si>
    <t>dwightboystockman@gmail.com</t>
  </si>
  <si>
    <t>Dwight</t>
  </si>
  <si>
    <t>Stockman</t>
  </si>
  <si>
    <t>Dwight Stockman</t>
  </si>
  <si>
    <t>7122 Dahlia</t>
  </si>
  <si>
    <t>Baytown</t>
  </si>
  <si>
    <t>dbruton@nc.rr.com</t>
  </si>
  <si>
    <t>shackelj@gmail.com</t>
  </si>
  <si>
    <t>Shackelford</t>
  </si>
  <si>
    <t>Jenna Shackelford</t>
  </si>
  <si>
    <t>1645 Banbury Drive</t>
  </si>
  <si>
    <t>martica272003@yahoo.com</t>
  </si>
  <si>
    <t>bacosta27@gmail.com</t>
  </si>
  <si>
    <t>Acosta</t>
  </si>
  <si>
    <t>Brandon Acosta</t>
  </si>
  <si>
    <t>251 Hamilton Rd. East</t>
  </si>
  <si>
    <t>anna.browder@rocky.edu</t>
  </si>
  <si>
    <t>Browder</t>
  </si>
  <si>
    <t>Anna Browder</t>
  </si>
  <si>
    <t>2811 Louise Lane</t>
  </si>
  <si>
    <t>barlowgirl63@yahoo.com</t>
  </si>
  <si>
    <t>Enlow</t>
  </si>
  <si>
    <t>Rachel Enlow</t>
  </si>
  <si>
    <t>109 Blue Grass Drive</t>
  </si>
  <si>
    <t>doug.steven@stevencabinets.com</t>
  </si>
  <si>
    <t>bdsteven16@gmail.com</t>
  </si>
  <si>
    <t>Blake Steven</t>
  </si>
  <si>
    <t>1001 Hilloway Circle</t>
  </si>
  <si>
    <t>Burnsville</t>
  </si>
  <si>
    <t>callie@creationsbycallie.com</t>
  </si>
  <si>
    <t>Beck</t>
  </si>
  <si>
    <t>Callie Beck</t>
  </si>
  <si>
    <t>850 Bryan Lane</t>
  </si>
  <si>
    <t>Lumberton</t>
  </si>
  <si>
    <t>deana_claton@yahoo.com</t>
  </si>
  <si>
    <t>poppysreba@gmail.com</t>
  </si>
  <si>
    <t>Claton</t>
  </si>
  <si>
    <t>Rebecca Claton</t>
  </si>
  <si>
    <t>16330 Stage Stop Road</t>
  </si>
  <si>
    <t>chrisjamesjackmccray@gmail.com</t>
  </si>
  <si>
    <t>James McCray</t>
  </si>
  <si>
    <t>348 valley club circle</t>
  </si>
  <si>
    <t>marcantel_22@yahoo.com</t>
  </si>
  <si>
    <t>Marcante;</t>
  </si>
  <si>
    <t>Jared Marcante;</t>
  </si>
  <si>
    <t>P.O. Box 41</t>
  </si>
  <si>
    <t>Singer</t>
  </si>
  <si>
    <t>lrose95@cox.net</t>
  </si>
  <si>
    <t>Colston</t>
  </si>
  <si>
    <t>Elizabeth Colston</t>
  </si>
  <si>
    <t>4820 Michael Pl</t>
  </si>
  <si>
    <t>Del City</t>
  </si>
  <si>
    <t>zvanfleet13@charter.net</t>
  </si>
  <si>
    <t>Van Fleet</t>
  </si>
  <si>
    <t>Zachary Van Fleet</t>
  </si>
  <si>
    <t>P.O. BOX  641</t>
  </si>
  <si>
    <t>Chickamauga</t>
  </si>
  <si>
    <t>rhea.efs@gmail.com</t>
  </si>
  <si>
    <t>Forrest Perry</t>
  </si>
  <si>
    <t>P.O. Box 544</t>
  </si>
  <si>
    <t>Richard</t>
  </si>
  <si>
    <t>Richard Gunnells</t>
  </si>
  <si>
    <t>johnnykarls@mac.com</t>
  </si>
  <si>
    <t>jonahboy22@yahoo.com</t>
  </si>
  <si>
    <t>Jonah</t>
  </si>
  <si>
    <t>Karls</t>
  </si>
  <si>
    <t>Jonah Karls</t>
  </si>
  <si>
    <t>1630 Delta Road</t>
  </si>
  <si>
    <t>lpsminiatures@yahoo.com</t>
  </si>
  <si>
    <t>jake_silvera@yahoo.com</t>
  </si>
  <si>
    <t>Silvera</t>
  </si>
  <si>
    <t>Jacob Silvera</t>
  </si>
  <si>
    <t>9627 Circle R Dr</t>
  </si>
  <si>
    <t>Valley Center</t>
  </si>
  <si>
    <t>mmil166@tigers.lsu.edu</t>
  </si>
  <si>
    <t>Madison Mills</t>
  </si>
  <si>
    <t>881 River Road</t>
  </si>
  <si>
    <t>Sunshine</t>
  </si>
  <si>
    <t>donvski@yahoo.com</t>
  </si>
  <si>
    <t>Vinca</t>
  </si>
  <si>
    <t>Jensen Vinca</t>
  </si>
  <si>
    <t>238 Puiwa Road</t>
  </si>
  <si>
    <t>Honolulu</t>
  </si>
  <si>
    <t>Ellarier@gmail.com</t>
  </si>
  <si>
    <t>thecoby0@gmail.com</t>
  </si>
  <si>
    <t>Rosales</t>
  </si>
  <si>
    <t>Jacob Rosales</t>
  </si>
  <si>
    <t>Sn Lucas Evangelists</t>
  </si>
  <si>
    <t>Municipio tlajomulco de Z.</t>
  </si>
  <si>
    <t>Jalisco</t>
  </si>
  <si>
    <t>Mexico</t>
  </si>
  <si>
    <t>arlenfjones@gmail.com</t>
  </si>
  <si>
    <t>stephenajones@live.com</t>
  </si>
  <si>
    <t>Stephen Jones</t>
  </si>
  <si>
    <t>Pintail Ct.</t>
  </si>
  <si>
    <t>conradandsara@xtra.co.nz</t>
  </si>
  <si>
    <t>McDonnell</t>
  </si>
  <si>
    <t>Caleb McDonnell</t>
  </si>
  <si>
    <t>34 Parnell St</t>
  </si>
  <si>
    <t>Lower Hutt</t>
  </si>
  <si>
    <t>Carterelliot64@yahoo.com</t>
  </si>
  <si>
    <t>carterelliot64@yahoo.com</t>
  </si>
  <si>
    <t>Cathern</t>
  </si>
  <si>
    <t>Collier</t>
  </si>
  <si>
    <t>Cathern Collier</t>
  </si>
  <si>
    <t>607 E High St</t>
  </si>
  <si>
    <t>cedenf@gmail.com</t>
  </si>
  <si>
    <t>Edenfield</t>
  </si>
  <si>
    <t>Robert Edenfield</t>
  </si>
  <si>
    <t>114 Beaulieu Bend</t>
  </si>
  <si>
    <t>phkistler@gmail.com</t>
  </si>
  <si>
    <t>Kistler</t>
  </si>
  <si>
    <t>Patrick Kistler</t>
  </si>
  <si>
    <t>109 Modena Island Drive</t>
  </si>
  <si>
    <t>kdmiller24@gmail.com</t>
  </si>
  <si>
    <t>Kayla Miller</t>
  </si>
  <si>
    <t>107 Spring House Dr.</t>
  </si>
  <si>
    <t>carolinechris212@gmail.com</t>
  </si>
  <si>
    <t>Caroline Moore</t>
  </si>
  <si>
    <t>10 Shipyard Lane</t>
  </si>
  <si>
    <t>jpaskauskas5@gmail.com</t>
  </si>
  <si>
    <t>Paskauskas</t>
  </si>
  <si>
    <t>Joel Paskauskas</t>
  </si>
  <si>
    <t>6 William Jay Court</t>
  </si>
  <si>
    <t>courtney.sanderlin@gmail.com</t>
  </si>
  <si>
    <t>courtney</t>
  </si>
  <si>
    <t>sanderlin</t>
  </si>
  <si>
    <t>courtney sanderlin</t>
  </si>
  <si>
    <t>91 ted newton ave</t>
  </si>
  <si>
    <t>bloomingdale</t>
  </si>
  <si>
    <t>maggie.schambach12@gmail.com</t>
  </si>
  <si>
    <t>Schambach</t>
  </si>
  <si>
    <t>Maggie Schambach</t>
  </si>
  <si>
    <t>16 Clarendon Road</t>
  </si>
  <si>
    <t>carolinesmith1995@gmail.com</t>
  </si>
  <si>
    <t>Caroline Smith</t>
  </si>
  <si>
    <t>400 Cardinal Street</t>
  </si>
  <si>
    <t>Pooler</t>
  </si>
  <si>
    <t>jackiewigley@gmail.com</t>
  </si>
  <si>
    <t>Jackie Wigley</t>
  </si>
  <si>
    <t>123 Brannen Drive</t>
  </si>
  <si>
    <t>icvp1996@gmail.com</t>
  </si>
  <si>
    <t>Van Puffelen</t>
  </si>
  <si>
    <t>Isaac Van Puffelen</t>
  </si>
  <si>
    <t>14 Woodland Creek RD</t>
  </si>
  <si>
    <t>Holly.borntrager@gmail.com</t>
  </si>
  <si>
    <t>Borntrager</t>
  </si>
  <si>
    <t>Holly Borntrager</t>
  </si>
  <si>
    <t>2370 Perkins rd</t>
  </si>
  <si>
    <t>Macon</t>
  </si>
  <si>
    <t>cbirkett@bellsouth.net</t>
  </si>
  <si>
    <t>spydar@bellsouth.net</t>
  </si>
  <si>
    <t>Birkett</t>
  </si>
  <si>
    <t>Sean Birkett</t>
  </si>
  <si>
    <t>1704 SW 32ter</t>
  </si>
  <si>
    <t>Palm City</t>
  </si>
  <si>
    <t>bclwest@velociter.net</t>
  </si>
  <si>
    <t>farmersdaughter65@digitalpath.net</t>
  </si>
  <si>
    <t>Weststeyn</t>
  </si>
  <si>
    <t>Sarah Weststeyn</t>
  </si>
  <si>
    <t>1763 South Hewitt Rd</t>
  </si>
  <si>
    <t>Linden</t>
  </si>
  <si>
    <t>tina@homelifeacademy.com</t>
  </si>
  <si>
    <t>tractorman420@gmail.com</t>
  </si>
  <si>
    <t>Shreeve</t>
  </si>
  <si>
    <t>Andrew Shreeve</t>
  </si>
  <si>
    <t>20483 Hwy 79</t>
  </si>
  <si>
    <t>Gadsden</t>
  </si>
  <si>
    <t>bobandmaryj@gmail.com</t>
  </si>
  <si>
    <t>pyrogun15@hotmail.com</t>
  </si>
  <si>
    <t>Jeremiah</t>
  </si>
  <si>
    <t>Jeremiah Johnson</t>
  </si>
  <si>
    <t>17421 Allen St.</t>
  </si>
  <si>
    <t>Roseville</t>
  </si>
  <si>
    <t>vndnbrink@hotmail.com</t>
  </si>
  <si>
    <t>jvandenbrink94@gmail.com</t>
  </si>
  <si>
    <t>VandenBrink</t>
  </si>
  <si>
    <t>Jake VandenBrink</t>
  </si>
  <si>
    <t>2753 102nd Pl. NE</t>
  </si>
  <si>
    <t>Bellevue</t>
  </si>
  <si>
    <t>kennarae.95@gmail.com</t>
  </si>
  <si>
    <t>Kenna</t>
  </si>
  <si>
    <t>Sattley</t>
  </si>
  <si>
    <t>Kenna Sattley</t>
  </si>
  <si>
    <t>4234 Utah Avenue</t>
  </si>
  <si>
    <t>Grand Island</t>
  </si>
  <si>
    <t>Suncrest@pixius.net</t>
  </si>
  <si>
    <t>Johnnydruebke@gmail.com</t>
  </si>
  <si>
    <t>Ruebke</t>
  </si>
  <si>
    <t>Jonathan Ruebke</t>
  </si>
  <si>
    <t>4819 S. Hillside</t>
  </si>
  <si>
    <t>bcjenson@comcast.net</t>
  </si>
  <si>
    <t>em_jayz@comcast.net</t>
  </si>
  <si>
    <t>Jenson</t>
  </si>
  <si>
    <t>Megan Jenson</t>
  </si>
  <si>
    <t>27520 SE 31st Pl</t>
  </si>
  <si>
    <t>Sammamish</t>
  </si>
  <si>
    <t>Drewfasbender@yahoo.com</t>
  </si>
  <si>
    <t>Drew</t>
  </si>
  <si>
    <t>Fasbender</t>
  </si>
  <si>
    <t>Drew Fasbender</t>
  </si>
  <si>
    <t>428 dove ridge rd.</t>
  </si>
  <si>
    <t>rlholdridge@gmail.com</t>
  </si>
  <si>
    <t>Holdridge</t>
  </si>
  <si>
    <t>Rachelle Holdridge</t>
  </si>
  <si>
    <t>625 Solana Rd SW</t>
  </si>
  <si>
    <t>Deming</t>
  </si>
  <si>
    <t>Rachel.a.driscoll@gmail.com</t>
  </si>
  <si>
    <t>Driscoll</t>
  </si>
  <si>
    <t>Rachel Driscoll</t>
  </si>
  <si>
    <t>1257 Pinpointe Drive</t>
  </si>
  <si>
    <t>wwebb@earlwebbrealestate.com</t>
  </si>
  <si>
    <t>4webb@btes.tv</t>
  </si>
  <si>
    <t>Aaron Webb</t>
  </si>
  <si>
    <t>919 Beechwood Dr.</t>
  </si>
  <si>
    <t>gracebassandsoccer@gmail.com</t>
  </si>
  <si>
    <t>Grace Moore</t>
  </si>
  <si>
    <t>1201 E. Adams Dr.</t>
  </si>
  <si>
    <t>hopecmoore56@gmail.com</t>
  </si>
  <si>
    <t>Hope Moore</t>
  </si>
  <si>
    <t>1201 East Adams Drive</t>
  </si>
  <si>
    <t>Franklin, IN 46131</t>
  </si>
  <si>
    <t>homebydesign3@gmail.com</t>
  </si>
  <si>
    <t>Lillard</t>
  </si>
  <si>
    <t>Andrew Lillard</t>
  </si>
  <si>
    <t>1614 Gray Road</t>
  </si>
  <si>
    <t>mountiangirl7@gmail.com</t>
  </si>
  <si>
    <t>life.adventure7@gmail.com</t>
  </si>
  <si>
    <t>Lydia Johnson</t>
  </si>
  <si>
    <t>653 W. Madison St.</t>
  </si>
  <si>
    <t>Ottawa</t>
  </si>
  <si>
    <t>glenfarley1@mac.com</t>
  </si>
  <si>
    <t>hoopsfarley4@gmail.com</t>
  </si>
  <si>
    <t>Jacob Farley</t>
  </si>
  <si>
    <t>4986 Courtland Loop</t>
  </si>
  <si>
    <t>redwhiteandblue92@gmail.com</t>
  </si>
  <si>
    <t>Jaclyn</t>
  </si>
  <si>
    <t>Jaclyn Anderson</t>
  </si>
  <si>
    <t>6828 Clift St.</t>
  </si>
  <si>
    <t>North Richland Hills</t>
  </si>
  <si>
    <t>samwisethebrave94@gmail.com</t>
  </si>
  <si>
    <t>samuel.p.little@gmail.com</t>
  </si>
  <si>
    <t>Samuel Little</t>
  </si>
  <si>
    <t>175 Goldfinch Path</t>
  </si>
  <si>
    <t>Acworth</t>
  </si>
  <si>
    <t>crikeyguvnr@gmail.com</t>
  </si>
  <si>
    <t>Dunn</t>
  </si>
  <si>
    <t>Elizabeth Dunn</t>
  </si>
  <si>
    <t>PO Box 783</t>
  </si>
  <si>
    <t>Kenbridge</t>
  </si>
  <si>
    <t>abigail.j.english@gmail.com</t>
  </si>
  <si>
    <t>Abigail English</t>
  </si>
  <si>
    <t>361 West Indigo Drive</t>
  </si>
  <si>
    <t>Kris.Smith@sbcsavannah.org</t>
  </si>
  <si>
    <t>levismi@gmail.com</t>
  </si>
  <si>
    <t>Levi Smith</t>
  </si>
  <si>
    <t>365 Woodchuck Lane</t>
  </si>
  <si>
    <t>Counce</t>
  </si>
  <si>
    <t>pnlpwhly@juno.com</t>
  </si>
  <si>
    <t>Whaley</t>
  </si>
  <si>
    <t>Jonah Whaley</t>
  </si>
  <si>
    <t>1717 Blackwood Drive</t>
  </si>
  <si>
    <t>mills.landon@gmail.com</t>
  </si>
  <si>
    <t>Landon Mills</t>
  </si>
  <si>
    <t>alyjen@comcast.net</t>
  </si>
  <si>
    <t>Alyssa Jenson</t>
  </si>
  <si>
    <t>thedalytribe@gmail.com</t>
  </si>
  <si>
    <t>dalyma@dukes.jmu.edu</t>
  </si>
  <si>
    <t>Meghan</t>
  </si>
  <si>
    <t>Daly</t>
  </si>
  <si>
    <t>Meghan Daly</t>
  </si>
  <si>
    <t>2617 Park Green Way</t>
  </si>
  <si>
    <t>Glen Allen</t>
  </si>
  <si>
    <t>vtmomof3@hotmail.com</t>
  </si>
  <si>
    <t>bekahtkd@gmail.com</t>
  </si>
  <si>
    <t>Rebekah Pierce</t>
  </si>
  <si>
    <t>4363 Sandy Valley Road</t>
  </si>
  <si>
    <t>Mechanicsville</t>
  </si>
  <si>
    <t>dicennoah@gmail.com</t>
  </si>
  <si>
    <t>Dicen</t>
  </si>
  <si>
    <t>Noah Dicen</t>
  </si>
  <si>
    <t>18 Yorkshire Park</t>
  </si>
  <si>
    <t>rooreyna95@yahoo.com</t>
  </si>
  <si>
    <t>Reyna</t>
  </si>
  <si>
    <t>Zachary Reyna</t>
  </si>
  <si>
    <t>15229 Old Spanish Trail</t>
  </si>
  <si>
    <t>Paradis</t>
  </si>
  <si>
    <t>nishgolf@gmail.com</t>
  </si>
  <si>
    <t>Nishizaki</t>
  </si>
  <si>
    <t>Troy Nishizaki</t>
  </si>
  <si>
    <t>5550 Marbella Dr.</t>
  </si>
  <si>
    <t>haveydog1994@yahoo.com</t>
  </si>
  <si>
    <t>Josiah Havekost</t>
  </si>
  <si>
    <t>3600 e 250 s</t>
  </si>
  <si>
    <t>Lizacoutu@gmail.com</t>
  </si>
  <si>
    <t>K.y.l.coutu@gmail.com</t>
  </si>
  <si>
    <t>Coutu</t>
  </si>
  <si>
    <t>Daniel Coutu</t>
  </si>
  <si>
    <t>4828 Radcliff Rd</t>
  </si>
  <si>
    <t>Raleigh</t>
  </si>
  <si>
    <t>joyceharkey@gmail.com</t>
  </si>
  <si>
    <t>peharkey@hotmail.com</t>
  </si>
  <si>
    <t>Paige</t>
  </si>
  <si>
    <t>Harkey</t>
  </si>
  <si>
    <t>Paige Harkey</t>
  </si>
  <si>
    <t>14 Old Line Court</t>
  </si>
  <si>
    <t>Elkton</t>
  </si>
  <si>
    <t>Crumpfarm@aol.com</t>
  </si>
  <si>
    <t>Crumpler</t>
  </si>
  <si>
    <t>Grace Crumpler</t>
  </si>
  <si>
    <t>813 crumpler rd</t>
  </si>
  <si>
    <t>Sulphur</t>
  </si>
  <si>
    <t>crumpfarm@aol.com</t>
  </si>
  <si>
    <t>Pugliese</t>
  </si>
  <si>
    <t>Chloe Pugliese</t>
  </si>
  <si>
    <t>813 Crumpler Rd.</t>
  </si>
  <si>
    <t>emily.27hope@gmail.com</t>
  </si>
  <si>
    <t>Emily McCray</t>
  </si>
  <si>
    <t>7718 W US highway 52</t>
  </si>
  <si>
    <t>alauricella@its.nicholls.edu</t>
  </si>
  <si>
    <t>Alauricella@its.nicholls.edu</t>
  </si>
  <si>
    <t>Lauricella</t>
  </si>
  <si>
    <t>Anthony Lauricella</t>
  </si>
  <si>
    <t>315 alix street</t>
  </si>
  <si>
    <t>New Orleans</t>
  </si>
  <si>
    <t>Jillunruh725@gmail.com</t>
  </si>
  <si>
    <t>Unruh</t>
  </si>
  <si>
    <t>Jillian Unruh</t>
  </si>
  <si>
    <t>15819 Ash St.</t>
  </si>
  <si>
    <t>drogerson4@gmail.com</t>
  </si>
  <si>
    <t>aaronrogerson.com@gmail.com</t>
  </si>
  <si>
    <t>Rogerson</t>
  </si>
  <si>
    <t>Matthew Rogerson</t>
  </si>
  <si>
    <t>4724 Appletree Drive</t>
  </si>
  <si>
    <t>Moseley</t>
  </si>
  <si>
    <t>nmoriarty@cox.net</t>
  </si>
  <si>
    <t>purplestofthepurples@hotmail.com</t>
  </si>
  <si>
    <t>Gonzales</t>
  </si>
  <si>
    <t>Daniel Gonzales</t>
  </si>
  <si>
    <t>2849 E Pershing Avenue</t>
  </si>
  <si>
    <t>joya200@gmail.com</t>
  </si>
  <si>
    <t>Joy Williams</t>
  </si>
  <si>
    <t>285 Mountain Drive</t>
  </si>
  <si>
    <t>ydpath@sbcglobal.net</t>
  </si>
  <si>
    <t>luvinmuzik@sbcglobal.net</t>
  </si>
  <si>
    <t>Gabrielle</t>
  </si>
  <si>
    <t>Dowdy</t>
  </si>
  <si>
    <t>Gabrielle Dowdy</t>
  </si>
  <si>
    <t>1125 Laurelwood Road</t>
  </si>
  <si>
    <t>Kettering</t>
  </si>
  <si>
    <t>hearts4home@juno.com</t>
  </si>
  <si>
    <t>axbroomes@wichita.edu</t>
  </si>
  <si>
    <t>Alainna</t>
  </si>
  <si>
    <t>Broomes</t>
  </si>
  <si>
    <t>Alainna Broomes</t>
  </si>
  <si>
    <t>3737 N. 127TH STREET</t>
  </si>
  <si>
    <t>WICHITA</t>
  </si>
  <si>
    <t>gabriel</t>
  </si>
  <si>
    <t>bellah</t>
  </si>
  <si>
    <t>gabriel bellah</t>
  </si>
  <si>
    <t>Ibelieve919@gmail.com</t>
  </si>
  <si>
    <t>Perryman</t>
  </si>
  <si>
    <t>Luke Perryman</t>
  </si>
  <si>
    <t>2 Hoolet Court</t>
  </si>
  <si>
    <t>Candler</t>
  </si>
  <si>
    <t>merties1@hotmail.com</t>
  </si>
  <si>
    <t>Isaac Smith</t>
  </si>
  <si>
    <t>861 Greenwood Lane</t>
  </si>
  <si>
    <t>Gaylord</t>
  </si>
  <si>
    <t>sarahfreund14@hotmail.com</t>
  </si>
  <si>
    <t>Freund</t>
  </si>
  <si>
    <t>Sarah Freund</t>
  </si>
  <si>
    <t>125 Waterway Dr.</t>
  </si>
  <si>
    <t>lilgrazie@mac.com</t>
  </si>
  <si>
    <t>Benjamin Graham</t>
  </si>
  <si>
    <t>7749 Detrick Jordan Pike</t>
  </si>
  <si>
    <t>New Carlisle</t>
  </si>
  <si>
    <t>supergirl3468@gmail.com</t>
  </si>
  <si>
    <t>Politano</t>
  </si>
  <si>
    <t>Elizabeth Politano</t>
  </si>
  <si>
    <t>4204 Hunters Trace</t>
  </si>
  <si>
    <t>acalder1996@hotmail.com</t>
  </si>
  <si>
    <t>Calder</t>
  </si>
  <si>
    <t>Austin Calder</t>
  </si>
  <si>
    <t>1548 SW 4th Avw</t>
  </si>
  <si>
    <t>mjm5683@gmail.com</t>
  </si>
  <si>
    <t>Juliana</t>
  </si>
  <si>
    <t>Juliana Martinez</t>
  </si>
  <si>
    <t>pbandcb@afo.net</t>
  </si>
  <si>
    <t>bazsaw@afo.net</t>
  </si>
  <si>
    <t>Bazil</t>
  </si>
  <si>
    <t>Joseph Bazil</t>
  </si>
  <si>
    <t>11841 FM 724</t>
  </si>
  <si>
    <t>gabeschrade@yahoo.com</t>
  </si>
  <si>
    <t>Gabe Schrade</t>
  </si>
  <si>
    <t>Blue Grass Blvd</t>
  </si>
  <si>
    <t>toabi2911@gmail.com</t>
  </si>
  <si>
    <t>Abigail Martin</t>
  </si>
  <si>
    <t>207 Third Street</t>
  </si>
  <si>
    <t>Broadway</t>
  </si>
  <si>
    <t>desiringtruth95@gmail.com</t>
  </si>
  <si>
    <t>William Graham</t>
  </si>
  <si>
    <t>megmichaelis@gmail.com</t>
  </si>
  <si>
    <t>Michaelis</t>
  </si>
  <si>
    <t>Megan Michaelis</t>
  </si>
  <si>
    <t>10909 Quebec Ave</t>
  </si>
  <si>
    <t>ahennek@integraonline.com</t>
  </si>
  <si>
    <t>aaron.hennek@gmail.com</t>
  </si>
  <si>
    <t>Hennek</t>
  </si>
  <si>
    <t>Aaron Hennek</t>
  </si>
  <si>
    <t>2909 Sequoia Ct</t>
  </si>
  <si>
    <t>bbblowery@aol.com</t>
  </si>
  <si>
    <t>Treshaun</t>
  </si>
  <si>
    <t>Billingslea</t>
  </si>
  <si>
    <t>Treshaun Billingslea</t>
  </si>
  <si>
    <t>872 Hilton Drive</t>
  </si>
  <si>
    <t>lori.hannah@att.net</t>
  </si>
  <si>
    <t>Logan Hannah</t>
  </si>
  <si>
    <t>124 Pleasant Vallhey Lane</t>
  </si>
  <si>
    <t>quiverfull7@gmail.com</t>
  </si>
  <si>
    <t>bzee97@gmail.com</t>
  </si>
  <si>
    <t>Ziegler</t>
  </si>
  <si>
    <t>Ben Ziegler</t>
  </si>
  <si>
    <t>30795 Grant Rd.</t>
  </si>
  <si>
    <t>Genoa</t>
  </si>
  <si>
    <t>annajoymartin@gmail.com</t>
  </si>
  <si>
    <t>Anna Martin</t>
  </si>
  <si>
    <t>12213 Hampton Crossing Drive</t>
  </si>
  <si>
    <t>Chesterfield</t>
  </si>
  <si>
    <t>jeanniefulbright@me.com</t>
  </si>
  <si>
    <t>austinfulbright@gmail.com</t>
  </si>
  <si>
    <t>Fulbright</t>
  </si>
  <si>
    <t>Austin Fulbright</t>
  </si>
  <si>
    <t>12090 South Magnolia Circle</t>
  </si>
  <si>
    <t>Johns Creek</t>
  </si>
  <si>
    <t>joyhorsegirl15@aol.com</t>
  </si>
  <si>
    <t>Brianna Knight</t>
  </si>
  <si>
    <t>3510 GA Hwy 313</t>
  </si>
  <si>
    <t>Sylvester</t>
  </si>
  <si>
    <t>cjnoe@msn.com</t>
  </si>
  <si>
    <t>Noe</t>
  </si>
  <si>
    <t>Hope Noe</t>
  </si>
  <si>
    <t>2627 W. US Highway 52</t>
  </si>
  <si>
    <t>Rushville</t>
  </si>
  <si>
    <t>timewarpclassics@gmail.com</t>
  </si>
  <si>
    <t>Massingill</t>
  </si>
  <si>
    <t>Jeremy Massingill</t>
  </si>
  <si>
    <t>336 Spalding Lane</t>
  </si>
  <si>
    <t>Cox's Creek</t>
  </si>
  <si>
    <t>warrendaniel437@gmail.com</t>
  </si>
  <si>
    <t>Daniel Warren</t>
  </si>
  <si>
    <t>103 Crestview Dr</t>
  </si>
  <si>
    <t>briangrimm@live.com</t>
  </si>
  <si>
    <t>ctg123@hotmail.com</t>
  </si>
  <si>
    <t>Caley</t>
  </si>
  <si>
    <t>Grimm</t>
  </si>
  <si>
    <t>Caley Grimm</t>
  </si>
  <si>
    <t>889 East 133rd Avenue</t>
  </si>
  <si>
    <t>robinwht77@gmail.com</t>
  </si>
  <si>
    <t>Levi907@gmail.com</t>
  </si>
  <si>
    <t>Judah White</t>
  </si>
  <si>
    <t>23486 Almira</t>
  </si>
  <si>
    <t>Southfield</t>
  </si>
  <si>
    <t>merrittdupon@gmail.com</t>
  </si>
  <si>
    <t>hisfarmergirl@gmail.com</t>
  </si>
  <si>
    <t>Sydnee</t>
  </si>
  <si>
    <t>Dupon</t>
  </si>
  <si>
    <t>Sydnee Dupon</t>
  </si>
  <si>
    <t>13550 Alex Pl.</t>
  </si>
  <si>
    <t>angie@skeen.co</t>
  </si>
  <si>
    <t>alex@alexskeen.com</t>
  </si>
  <si>
    <t>Skeen</t>
  </si>
  <si>
    <t>Alex Skeen</t>
  </si>
  <si>
    <t>4017 St Andrews Dr</t>
  </si>
  <si>
    <t>bobchar65@gmail.com</t>
  </si>
  <si>
    <t>emmekay7@gmail.com</t>
  </si>
  <si>
    <t>Emmelie</t>
  </si>
  <si>
    <t>Dabill</t>
  </si>
  <si>
    <t>Emmelie Dabill</t>
  </si>
  <si>
    <t>30976 Marigold Lane</t>
  </si>
  <si>
    <t>christinahastings@gmail.com</t>
  </si>
  <si>
    <t>Hastings</t>
  </si>
  <si>
    <t>Christina Hastings</t>
  </si>
  <si>
    <t>17102 Sleepy Hollow Dr.</t>
  </si>
  <si>
    <t>brotherjeff777@sbcglobal.net</t>
  </si>
  <si>
    <t>COLIN</t>
  </si>
  <si>
    <t>BROWNSBERGER</t>
  </si>
  <si>
    <t>COLIN BROWNSBERGER</t>
  </si>
  <si>
    <t>1315 S MARION AVE</t>
  </si>
  <si>
    <t>LOUISVILLE</t>
  </si>
  <si>
    <t>coburngaudet@gmail.com</t>
  </si>
  <si>
    <t>lanegaudet@gmail.com</t>
  </si>
  <si>
    <t>Gaudet</t>
  </si>
  <si>
    <t>Lane Gaudet</t>
  </si>
  <si>
    <t>5 Stoddard Street</t>
  </si>
  <si>
    <t>Upton</t>
  </si>
  <si>
    <t>rvs092400@aol.com</t>
  </si>
  <si>
    <t>rstaff2013@gmail.com</t>
  </si>
  <si>
    <t>Rachel Stafford</t>
  </si>
  <si>
    <t>8700 Deerland Grove Dr.</t>
  </si>
  <si>
    <t>darrenmiles94@gmail.com</t>
  </si>
  <si>
    <t>Miles</t>
  </si>
  <si>
    <t>Darren Miles</t>
  </si>
  <si>
    <t>163 Roberts Road</t>
  </si>
  <si>
    <t>john@gracechurchcobb.org</t>
  </si>
  <si>
    <t>jax3200@gmail.com</t>
  </si>
  <si>
    <t>Jackson Harris</t>
  </si>
  <si>
    <t>2206 Sugar Maple Court</t>
  </si>
  <si>
    <t>swartzen@frontiernet.net</t>
  </si>
  <si>
    <t>billyswartzendruber@gmail.com</t>
  </si>
  <si>
    <t>Swartzendruber</t>
  </si>
  <si>
    <t>William Swartzendruber</t>
  </si>
  <si>
    <t>26 Barkely Dr.</t>
  </si>
  <si>
    <t>Atmore AL 36502</t>
  </si>
  <si>
    <t>Atmore</t>
  </si>
  <si>
    <t>kayleymforshey@gmail.com</t>
  </si>
  <si>
    <t>Kayley</t>
  </si>
  <si>
    <t>Forshey</t>
  </si>
  <si>
    <t>Kayley Forshey</t>
  </si>
  <si>
    <t>mitchell.pivovar@yahoo.com</t>
  </si>
  <si>
    <t>Pivovar</t>
  </si>
  <si>
    <t>John Pivovar</t>
  </si>
  <si>
    <t>6915 Reeds rd</t>
  </si>
  <si>
    <t>Prairie Village</t>
  </si>
  <si>
    <t>jvoeller@voellerlaw.com</t>
  </si>
  <si>
    <t>Voeller</t>
  </si>
  <si>
    <t>Jared Voeller</t>
  </si>
  <si>
    <t>hanahbanana96@ymail.com</t>
  </si>
  <si>
    <t>hannahbanana96@ymail.com</t>
  </si>
  <si>
    <t>Hannah Ward</t>
  </si>
  <si>
    <t>P.O. Box 99</t>
  </si>
  <si>
    <t>Locust Fork</t>
  </si>
  <si>
    <t>tabors5@charter.net</t>
  </si>
  <si>
    <t>acttabor@gmail.com</t>
  </si>
  <si>
    <t>Tabor</t>
  </si>
  <si>
    <t>Amy Tabor</t>
  </si>
  <si>
    <t>1303 Fletcher Ave. SW</t>
  </si>
  <si>
    <t>Decatur</t>
  </si>
  <si>
    <t>brenda.harkins@gmail.com</t>
  </si>
  <si>
    <t>benundecided97@gmail.com</t>
  </si>
  <si>
    <t>Harkins</t>
  </si>
  <si>
    <t>Benjamin Harkins</t>
  </si>
  <si>
    <t>3233 Blue Quail Lane</t>
  </si>
  <si>
    <t>jerome.goecker@gmail.com</t>
  </si>
  <si>
    <t>Jerome</t>
  </si>
  <si>
    <t>Goecker</t>
  </si>
  <si>
    <t>Jerome Goecker</t>
  </si>
  <si>
    <t>3910 Mountain View Drive</t>
  </si>
  <si>
    <t>sltabor812@gmail.com</t>
  </si>
  <si>
    <t>Sierra Tabor</t>
  </si>
  <si>
    <t>1303 Fletcher Ave.  SW</t>
  </si>
  <si>
    <t>kathyabullock@gmail.com</t>
  </si>
  <si>
    <t>zbullock2332@gmail.com</t>
  </si>
  <si>
    <t>Bullock</t>
  </si>
  <si>
    <t>Zachary Bullock</t>
  </si>
  <si>
    <t>9810 Deer Ridge Pl</t>
  </si>
  <si>
    <t>San Diego</t>
  </si>
  <si>
    <t>toareidak@gmail.com</t>
  </si>
  <si>
    <t>Jacob Dean</t>
  </si>
  <si>
    <t>6331 Carpenters Lane</t>
  </si>
  <si>
    <t>Bjprice6@gmail.com</t>
  </si>
  <si>
    <t>Price</t>
  </si>
  <si>
    <t>Abigail Price</t>
  </si>
  <si>
    <t>9330 Arabian Run</t>
  </si>
  <si>
    <t>tchild@childress.net</t>
  </si>
  <si>
    <t>childress.lydia@gmail.com</t>
  </si>
  <si>
    <t>Childress</t>
  </si>
  <si>
    <t>Lydia Childress</t>
  </si>
  <si>
    <t>10600 Garrison Road</t>
  </si>
  <si>
    <t>sjbrown15@frontier.com</t>
  </si>
  <si>
    <t>Samuel Brown</t>
  </si>
  <si>
    <t>10533S. 375W.</t>
  </si>
  <si>
    <t>Union Mills</t>
  </si>
  <si>
    <t>Gracesmith461@bellsouth.net</t>
  </si>
  <si>
    <t>Grace Smith</t>
  </si>
  <si>
    <t>2530 Remington Rd</t>
  </si>
  <si>
    <t>jenniferleeva@yahoo.com</t>
  </si>
  <si>
    <t>allylee.2015@yahoo.com</t>
  </si>
  <si>
    <t>Allison Lee</t>
  </si>
  <si>
    <t>22989 Lois Ln</t>
  </si>
  <si>
    <t>Brambleton</t>
  </si>
  <si>
    <t>172 Hogan ln</t>
  </si>
  <si>
    <t>alh0049@auburn.edu</t>
  </si>
  <si>
    <t>Aspen</t>
  </si>
  <si>
    <t>Hancock</t>
  </si>
  <si>
    <t>Aspen Hancock</t>
  </si>
  <si>
    <t>449 N Donahue Dr Apt B12</t>
  </si>
  <si>
    <t>daholmes17@gmail.com</t>
  </si>
  <si>
    <t>David Holmes</t>
  </si>
  <si>
    <t>46 Butler Farm Road</t>
  </si>
  <si>
    <t>Seabrook</t>
  </si>
  <si>
    <t>TamaraCPA@earthlink.net</t>
  </si>
  <si>
    <t>KCarlone@outlook.com</t>
  </si>
  <si>
    <t>Kaleigh</t>
  </si>
  <si>
    <t>Carlone</t>
  </si>
  <si>
    <t>Kaleigh Carlone</t>
  </si>
  <si>
    <t>45784 White Pines Drive</t>
  </si>
  <si>
    <t>Novi</t>
  </si>
  <si>
    <t>dean@deanwilken.com</t>
  </si>
  <si>
    <t>hockeydefender@yahoo.com</t>
  </si>
  <si>
    <t>Wilken</t>
  </si>
  <si>
    <t>John Wilken</t>
  </si>
  <si>
    <t>464 Chesley Avenue</t>
  </si>
  <si>
    <t>Mountain View</t>
  </si>
  <si>
    <t>doolittlefam@gmail.com</t>
  </si>
  <si>
    <t>Doolittle</t>
  </si>
  <si>
    <t>Amanda Doolittle</t>
  </si>
  <si>
    <t>1990 Linglr Creek Rd</t>
  </si>
  <si>
    <t>Sarah Doolittle</t>
  </si>
  <si>
    <t>1990 Lingle Creek Road</t>
  </si>
  <si>
    <t>nevergrowup94@gmail.com</t>
  </si>
  <si>
    <t>Zarr</t>
  </si>
  <si>
    <t>Sarah Zarr</t>
  </si>
  <si>
    <t>956 Peachcrest Dr.</t>
  </si>
  <si>
    <t>Pueblo</t>
  </si>
  <si>
    <t>jdbourg1@aol.com</t>
  </si>
  <si>
    <t>Bourg</t>
  </si>
  <si>
    <t>Joshua Bourg</t>
  </si>
  <si>
    <t>26205 W. Arbor Ln</t>
  </si>
  <si>
    <t>CHANNAHON</t>
  </si>
  <si>
    <t>megamomx7@yahoo.com</t>
  </si>
  <si>
    <t>moriahj13@gmail.com</t>
  </si>
  <si>
    <t>Moriah</t>
  </si>
  <si>
    <t>Hairston</t>
  </si>
  <si>
    <t>Moriah Hairston</t>
  </si>
  <si>
    <t>7221 Central Ave</t>
  </si>
  <si>
    <t>apt</t>
  </si>
  <si>
    <t>oopskristyna@yahoo.com</t>
  </si>
  <si>
    <t>Kristyna</t>
  </si>
  <si>
    <t>Zaharek</t>
  </si>
  <si>
    <t>Kristyna Zaharek</t>
  </si>
  <si>
    <t>3272 US Rt 42 E</t>
  </si>
  <si>
    <t>Cedarville</t>
  </si>
  <si>
    <t>geiszgirl@live.com</t>
  </si>
  <si>
    <t>Geisz</t>
  </si>
  <si>
    <t>Chelsey Geisz</t>
  </si>
  <si>
    <t>605 High Valley Court</t>
  </si>
  <si>
    <t>the1stjesse@gmail.com</t>
  </si>
  <si>
    <t>jesse</t>
  </si>
  <si>
    <t>poling</t>
  </si>
  <si>
    <t>jesse poling</t>
  </si>
  <si>
    <t>6221 nw Kiacut Rd</t>
  </si>
  <si>
    <t>claymaker2110@yahoo.com</t>
  </si>
  <si>
    <t>Carlos Suarez</t>
  </si>
  <si>
    <t>jkaster@comcast.net</t>
  </si>
  <si>
    <t>svenkaster@comcast.net</t>
  </si>
  <si>
    <t>Sven</t>
  </si>
  <si>
    <t>Kaster</t>
  </si>
  <si>
    <t>Sven Kaster</t>
  </si>
  <si>
    <t>1089 Oxbow Lake Road</t>
  </si>
  <si>
    <t>White Lake</t>
  </si>
  <si>
    <t>megankaster@comcast.net</t>
  </si>
  <si>
    <t>Megan Kaster</t>
  </si>
  <si>
    <t>maureenreed.burke@gmail.com</t>
  </si>
  <si>
    <t>jburke16@utk.edu</t>
  </si>
  <si>
    <t>Joseph Burke</t>
  </si>
  <si>
    <t>107 Breckenridge Rd.</t>
  </si>
  <si>
    <t>Tullahoma</t>
  </si>
  <si>
    <t>thehendryfamily@gmail.com</t>
  </si>
  <si>
    <t>jonathan</t>
  </si>
  <si>
    <t>hendry</t>
  </si>
  <si>
    <t>jonathan hendry</t>
  </si>
  <si>
    <t>1215 Bunker Hill Loop</t>
  </si>
  <si>
    <t>bedford</t>
  </si>
  <si>
    <t>crownofhope@gmail.com</t>
  </si>
  <si>
    <t>Southards</t>
  </si>
  <si>
    <t>Laura Southards</t>
  </si>
  <si>
    <t>2249 Cortland</t>
  </si>
  <si>
    <t>apland@gorge.net</t>
  </si>
  <si>
    <t>kristian.apland@Gmail.com</t>
  </si>
  <si>
    <t>Kristian</t>
  </si>
  <si>
    <t>Apland</t>
  </si>
  <si>
    <t>Kristian Apland</t>
  </si>
  <si>
    <t>4206 Belmont Dr.</t>
  </si>
  <si>
    <t>Hood River</t>
  </si>
  <si>
    <t>caraottachick@gmail.com</t>
  </si>
  <si>
    <t>Caraotta</t>
  </si>
  <si>
    <t>Leah Caraotta</t>
  </si>
  <si>
    <t>8934 Winding Prairie Trail</t>
  </si>
  <si>
    <t>Belvidere</t>
  </si>
  <si>
    <t>James.glenn@collegeplus.org</t>
  </si>
  <si>
    <t>Glenn</t>
  </si>
  <si>
    <t>Jordan Glenn</t>
  </si>
  <si>
    <t>julian@vantagetrailers.ca</t>
  </si>
  <si>
    <t>Julian</t>
  </si>
  <si>
    <t>Julian Van Hierden</t>
  </si>
  <si>
    <t>RR 8-30-14</t>
  </si>
  <si>
    <t>masandal@gwtc.net</t>
  </si>
  <si>
    <t>Ridge</t>
  </si>
  <si>
    <t>Sandal</t>
  </si>
  <si>
    <t>Ridge Sandal</t>
  </si>
  <si>
    <t>22802 Quinn R.d</t>
  </si>
  <si>
    <t>Quinn</t>
  </si>
  <si>
    <t>currybunch@cox.net</t>
  </si>
  <si>
    <t>nickcurry97@gmail.com</t>
  </si>
  <si>
    <t>Nickolas</t>
  </si>
  <si>
    <t>Curry</t>
  </si>
  <si>
    <t>Nickolas Curry</t>
  </si>
  <si>
    <t>2025 W Ashley Dr</t>
  </si>
  <si>
    <t>keah.beeftu@gmail.com</t>
  </si>
  <si>
    <t>Keah</t>
  </si>
  <si>
    <t>Beeftu</t>
  </si>
  <si>
    <t>Keah Beeftu</t>
  </si>
  <si>
    <t>4231 Rocky Ford Drive</t>
  </si>
  <si>
    <t>Prosper</t>
  </si>
  <si>
    <t>bcevans_outpost@yahoo.com</t>
  </si>
  <si>
    <t>jesseswordsmith@gmail.com</t>
  </si>
  <si>
    <t>Jesse Evans</t>
  </si>
  <si>
    <t>P. O. Box 331</t>
  </si>
  <si>
    <t>julia@echoridgefarm.net</t>
  </si>
  <si>
    <t>julia.koehler@teenpact.com</t>
  </si>
  <si>
    <t>Koehler</t>
  </si>
  <si>
    <t>Julia Koehler</t>
  </si>
  <si>
    <t>4674 Hominy Ridge Rd.</t>
  </si>
  <si>
    <t>sampkivvi@gmail.com</t>
  </si>
  <si>
    <t>Pallesen</t>
  </si>
  <si>
    <t>Samuel Pallesen</t>
  </si>
  <si>
    <t>9 Douglas Street</t>
  </si>
  <si>
    <t>Waiwhetu</t>
  </si>
  <si>
    <t>Wellington</t>
  </si>
  <si>
    <t>suecom5@hotmail.com</t>
  </si>
  <si>
    <t>karl.comstedt@gmail.com</t>
  </si>
  <si>
    <t>Karl</t>
  </si>
  <si>
    <t>Comstedt</t>
  </si>
  <si>
    <t>Karl Comstedt</t>
  </si>
  <si>
    <t>2658 Beech Cir</t>
  </si>
  <si>
    <t>jenniferswansonrocks@gmail.com</t>
  </si>
  <si>
    <t>Jennifer Swanson</t>
  </si>
  <si>
    <t>23020 Ammick Ct</t>
  </si>
  <si>
    <t>ellisexpress@aol.com</t>
  </si>
  <si>
    <t>katherinesellis@yahoo.com</t>
  </si>
  <si>
    <t>Katherine Ellis</t>
  </si>
  <si>
    <t>900 Johnson Rd</t>
  </si>
  <si>
    <t>Craig</t>
  </si>
  <si>
    <t>andrewthekhan@gmail.com</t>
  </si>
  <si>
    <t>khan</t>
  </si>
  <si>
    <t>andrew khan</t>
  </si>
  <si>
    <t>23 cluny hill</t>
  </si>
  <si>
    <t>singapore</t>
  </si>
  <si>
    <t>Singapore</t>
  </si>
  <si>
    <t>privateerchris@gmail.com</t>
  </si>
  <si>
    <t>Christopher Lambert</t>
  </si>
  <si>
    <t>1479 Bailey ln</t>
  </si>
  <si>
    <t>Paradise</t>
  </si>
  <si>
    <t>atherton05@mac.com</t>
  </si>
  <si>
    <t>Facethechase@gmail.com</t>
  </si>
  <si>
    <t>chase</t>
  </si>
  <si>
    <t>atherton</t>
  </si>
  <si>
    <t>chase atherton</t>
  </si>
  <si>
    <t>676 Murray drive</t>
  </si>
  <si>
    <t>El Cajon</t>
  </si>
  <si>
    <t>jcrowley3@comcast.net</t>
  </si>
  <si>
    <t>Crowley</t>
  </si>
  <si>
    <t>Christian Crowley</t>
  </si>
  <si>
    <t>74 Winter Wheat Pl.</t>
  </si>
  <si>
    <t>auxpenksaw@dslextreme.com</t>
  </si>
  <si>
    <t>mpenksaw@dslextreme.com</t>
  </si>
  <si>
    <t>Penksaw</t>
  </si>
  <si>
    <t>Matthew Penksaw</t>
  </si>
  <si>
    <t>395 Etna Circle</t>
  </si>
  <si>
    <t>Brea</t>
  </si>
  <si>
    <t>millsfield@sbcglobal.net</t>
  </si>
  <si>
    <t>Jacques</t>
  </si>
  <si>
    <t>Taylor Jacques</t>
  </si>
  <si>
    <t>408 W Red Rock RD</t>
  </si>
  <si>
    <t>Benate1cake@gmail.com</t>
  </si>
  <si>
    <t>Dragstrem</t>
  </si>
  <si>
    <t>Benjamin Dragstrem</t>
  </si>
  <si>
    <t>6116 Cora Ave.</t>
  </si>
  <si>
    <t>Justinaintbustin@gmail.com</t>
  </si>
  <si>
    <t>justinaintbustin@gmail.com</t>
  </si>
  <si>
    <t>Justin Franklin</t>
  </si>
  <si>
    <t>916 S. Elmerita Ave</t>
  </si>
  <si>
    <t>tigeronepointone@gmail.com</t>
  </si>
  <si>
    <t>Joshua Franklin</t>
  </si>
  <si>
    <t>7434 E. Eli Dr.</t>
  </si>
  <si>
    <t>Susannah.m.m@gmail.com</t>
  </si>
  <si>
    <t>susannah.m.m@gmail.com</t>
  </si>
  <si>
    <t>Susannah</t>
  </si>
  <si>
    <t>Susannah Miller</t>
  </si>
  <si>
    <t>104 Friars</t>
  </si>
  <si>
    <t>Williamsburg</t>
  </si>
  <si>
    <t>elizabethmckenzie777@gmail.com</t>
  </si>
  <si>
    <t>Elizabeth McKenzie</t>
  </si>
  <si>
    <t>342 Pine Grove Rd</t>
  </si>
  <si>
    <t>Blythewood</t>
  </si>
  <si>
    <t>smcguire@sc.rr.com</t>
  </si>
  <si>
    <t>Emily McGuire</t>
  </si>
  <si>
    <t>200 Colleton Court</t>
  </si>
  <si>
    <t>kathyaluri@gmail.com</t>
  </si>
  <si>
    <t>lily.aluri@gmail.com</t>
  </si>
  <si>
    <t>Lilian</t>
  </si>
  <si>
    <t>Aluri</t>
  </si>
  <si>
    <t>Lilian Aluri</t>
  </si>
  <si>
    <t>1827 Greene Street</t>
  </si>
  <si>
    <t>bj.primer@gmail.com</t>
  </si>
  <si>
    <t>Rosanna</t>
  </si>
  <si>
    <t>Primer</t>
  </si>
  <si>
    <t>Rosanna Primer</t>
  </si>
  <si>
    <t>PO Box 534</t>
  </si>
  <si>
    <t>Fernwood</t>
  </si>
  <si>
    <t>dawn.barden@gmail.com</t>
  </si>
  <si>
    <t>mtbarden@gmail.com</t>
  </si>
  <si>
    <t>Barden</t>
  </si>
  <si>
    <t>Matthew Barden</t>
  </si>
  <si>
    <t>10110 Tomahawk Trail</t>
  </si>
  <si>
    <t>theethanater@hotmail.com</t>
  </si>
  <si>
    <t>Aho</t>
  </si>
  <si>
    <t>Ethan Aho</t>
  </si>
  <si>
    <t>48767 County Highway 19</t>
  </si>
  <si>
    <t>Sebeka</t>
  </si>
  <si>
    <t>clpatter@gmail.com</t>
  </si>
  <si>
    <t>CARRIE</t>
  </si>
  <si>
    <t>PATTERSON</t>
  </si>
  <si>
    <t>CARRIE PATTERSON</t>
  </si>
  <si>
    <t>18170 BRIARHAVEN CT</t>
  </si>
  <si>
    <t>MONUMENT</t>
  </si>
  <si>
    <t>bwoodall@llmed.org</t>
  </si>
  <si>
    <t>thewoodalls@mac.com</t>
  </si>
  <si>
    <t>Woodall</t>
  </si>
  <si>
    <t>Sarah Woodall</t>
  </si>
  <si>
    <t>10701 CR 1206</t>
  </si>
  <si>
    <t>Malakoff</t>
  </si>
  <si>
    <t>dgcoonradt@yahoo.com</t>
  </si>
  <si>
    <t>Coonradt</t>
  </si>
  <si>
    <t>Daniel Coonradt</t>
  </si>
  <si>
    <t>4299 Brush Ridge Dr</t>
  </si>
  <si>
    <t>tbclaw8@gmail.com</t>
  </si>
  <si>
    <t>dodots11@yahoo.com</t>
  </si>
  <si>
    <t>Bethany Clawson</t>
  </si>
  <si>
    <t>2887 57th ave</t>
  </si>
  <si>
    <t>dlelston@windomnet.com</t>
  </si>
  <si>
    <t>amy.leigh.2013@hotmail.com</t>
  </si>
  <si>
    <t>Elston</t>
  </si>
  <si>
    <t>Amy Elston</t>
  </si>
  <si>
    <t>688 River Road</t>
  </si>
  <si>
    <t>Windom</t>
  </si>
  <si>
    <t>admin@summit.org</t>
  </si>
  <si>
    <t>test@test.com</t>
  </si>
  <si>
    <t>S3</t>
  </si>
  <si>
    <t>Tester</t>
  </si>
  <si>
    <t>S3 Tester</t>
  </si>
  <si>
    <t>123 Address</t>
  </si>
  <si>
    <t>City</t>
  </si>
  <si>
    <t>esther@webis.net</t>
  </si>
  <si>
    <t>thomas@webis.net</t>
  </si>
  <si>
    <t>Kac</t>
  </si>
  <si>
    <t>Thomas Kac</t>
  </si>
  <si>
    <t>11268 Latigo Lane</t>
  </si>
  <si>
    <t>Stephen@webis.net</t>
  </si>
  <si>
    <t>Stephen Kac</t>
  </si>
  <si>
    <t>travelingeurope1@yahoo.com</t>
  </si>
  <si>
    <t>daveandevelyn66@hotmail.com</t>
  </si>
  <si>
    <t>coloradogarrison46@gmail.com</t>
  </si>
  <si>
    <t>garret</t>
  </si>
  <si>
    <t>garrison</t>
  </si>
  <si>
    <t>garret garrison</t>
  </si>
  <si>
    <t>4005 chenwood ln</t>
  </si>
  <si>
    <t>louisville</t>
  </si>
  <si>
    <t>ed.miller.98074@comcast.net</t>
  </si>
  <si>
    <t>locsinbaerg@roadrunner.com</t>
  </si>
  <si>
    <t>Baerg</t>
  </si>
  <si>
    <t>Monica Baerg</t>
  </si>
  <si>
    <t>1228 S 5th Av</t>
  </si>
  <si>
    <t>Arcadia</t>
  </si>
  <si>
    <t>Arianna Baerg</t>
  </si>
  <si>
    <t>myers-45@hotmail.com</t>
  </si>
  <si>
    <t>Dana</t>
  </si>
  <si>
    <t>Dana Myers</t>
  </si>
  <si>
    <t>1725 Staunton Ave</t>
  </si>
  <si>
    <t>baileycsullivan12@verizon.net</t>
  </si>
  <si>
    <t>Sullivan</t>
  </si>
  <si>
    <t>Bailey Sullivan</t>
  </si>
  <si>
    <t>2315 S. Lila Lane</t>
  </si>
  <si>
    <t>janice.krogman@gmail.com</t>
  </si>
  <si>
    <t>Krogman</t>
  </si>
  <si>
    <t>Stephen Krogman</t>
  </si>
  <si>
    <t>1787 Hendon Road</t>
  </si>
  <si>
    <t>Soddy Daisy</t>
  </si>
  <si>
    <t>cadmad@comcast.net</t>
  </si>
  <si>
    <t>pipboy8787@gmail.com</t>
  </si>
  <si>
    <t>Michael Davis</t>
  </si>
  <si>
    <t>2405 Crestmount Lane</t>
  </si>
  <si>
    <t>mjohns19@gmail.com</t>
  </si>
  <si>
    <t>samthejohnson@gmail.com</t>
  </si>
  <si>
    <t>Samuel Johnson</t>
  </si>
  <si>
    <t>3606 Rhode Island Ave So</t>
  </si>
  <si>
    <t>St Louis Park</t>
  </si>
  <si>
    <t>bigshoe777@bigplanet.com</t>
  </si>
  <si>
    <t>Jabe</t>
  </si>
  <si>
    <t>Gonder</t>
  </si>
  <si>
    <t>Jabe Gonder</t>
  </si>
  <si>
    <t>1649 Memorial Drive SE</t>
  </si>
  <si>
    <t>ljelrod@gmail.com</t>
  </si>
  <si>
    <t>markelrod1@gmail.com</t>
  </si>
  <si>
    <t>Elrod</t>
  </si>
  <si>
    <t>Mark Elrod</t>
  </si>
  <si>
    <t>10145 Mound Spring Terrace</t>
  </si>
  <si>
    <t>8happycampers@att.net</t>
  </si>
  <si>
    <t>h2dqflute@gmail.com</t>
  </si>
  <si>
    <t>Hildebrandt</t>
  </si>
  <si>
    <t>Hannah Hildebrandt</t>
  </si>
  <si>
    <t>5350 Skinner Ln</t>
  </si>
  <si>
    <t>beckadees@yahoo.com</t>
  </si>
  <si>
    <t>Nathan Brand</t>
  </si>
  <si>
    <t>3024 Del Rio Drive</t>
  </si>
  <si>
    <t>Belleair Bluffs</t>
  </si>
  <si>
    <t>shcreates@gmail.com</t>
  </si>
  <si>
    <t>Sarah Hildebrandt</t>
  </si>
  <si>
    <t>5350 Skinner Lane</t>
  </si>
  <si>
    <t>jmayala@toast.net</t>
  </si>
  <si>
    <t>Elianna</t>
  </si>
  <si>
    <t>Ayala</t>
  </si>
  <si>
    <t>Elianna Ayala</t>
  </si>
  <si>
    <t>8713 Blackoaks Lane North</t>
  </si>
  <si>
    <t>Maple Grove</t>
  </si>
  <si>
    <t>Ash3mdl@yahoo.com</t>
  </si>
  <si>
    <t>vonasche@gmail.com</t>
  </si>
  <si>
    <t>Louis</t>
  </si>
  <si>
    <t>Asche</t>
  </si>
  <si>
    <t>Louis Asche</t>
  </si>
  <si>
    <t>7121 Garfield Avenue South</t>
  </si>
  <si>
    <t>maryjalderton@gmail.com</t>
  </si>
  <si>
    <t>joshdalderton@gmail.com</t>
  </si>
  <si>
    <t>Alderton</t>
  </si>
  <si>
    <t>Joshua Alderton</t>
  </si>
  <si>
    <t>25550 S Flanders Ct</t>
  </si>
  <si>
    <t>pattimae357@yahoo.com</t>
  </si>
  <si>
    <t>Pattimae357@yahoo.com</t>
  </si>
  <si>
    <t>Leach</t>
  </si>
  <si>
    <t>Hannah Leach</t>
  </si>
  <si>
    <t>892 Scarborough Drive</t>
  </si>
  <si>
    <t>danpropst@pie.midco.net</t>
  </si>
  <si>
    <t>rachelannpropst@gmail.com</t>
  </si>
  <si>
    <t>Propst</t>
  </si>
  <si>
    <t>Rachel Propst</t>
  </si>
  <si>
    <t>1016 Winchester Dr</t>
  </si>
  <si>
    <t>timothyjhowey@gmail.com</t>
  </si>
  <si>
    <t>Timothy Howey</t>
  </si>
  <si>
    <t>11226 Panorama Court</t>
  </si>
  <si>
    <t>shopping4family@cox.net</t>
  </si>
  <si>
    <t>taylor@taylorfalduti.com</t>
  </si>
  <si>
    <t>Falduti</t>
  </si>
  <si>
    <t>Taylor Falduti</t>
  </si>
  <si>
    <t>10103 Via Rita</t>
  </si>
  <si>
    <t>Santee</t>
  </si>
  <si>
    <t>colechessnut@yahoo.com</t>
  </si>
  <si>
    <t>Cole Claton</t>
  </si>
  <si>
    <t>rickanna@Q.com</t>
  </si>
  <si>
    <t>Ailiana</t>
  </si>
  <si>
    <t>Ailiana Dabill</t>
  </si>
  <si>
    <t>14269 Cottage Grove Drive</t>
  </si>
  <si>
    <t>Baxter</t>
  </si>
  <si>
    <t>jael_robitaille@ntm.org</t>
  </si>
  <si>
    <t>averymrobitaille@gmail.com</t>
  </si>
  <si>
    <t>Avery</t>
  </si>
  <si>
    <t>Robitaille</t>
  </si>
  <si>
    <t>Avery Robitaille</t>
  </si>
  <si>
    <t>1069 Archer St.</t>
  </si>
  <si>
    <t>beech_one@hotmail.com</t>
  </si>
  <si>
    <t>jazzysgirl111@gmail.com</t>
  </si>
  <si>
    <t>Madysen</t>
  </si>
  <si>
    <t>Madysen Williams</t>
  </si>
  <si>
    <t>5443 Gainesville Hwy</t>
  </si>
  <si>
    <t>Alto</t>
  </si>
  <si>
    <t>skafffred@yahoo.com</t>
  </si>
  <si>
    <t>amandaskaff@yahoo.com</t>
  </si>
  <si>
    <t>Skaff</t>
  </si>
  <si>
    <t>Amanda Skaff</t>
  </si>
  <si>
    <t>224 Samuel</t>
  </si>
  <si>
    <t>deanzaban@gmail.com</t>
  </si>
  <si>
    <t>DeAnza</t>
  </si>
  <si>
    <t>Banuelos</t>
  </si>
  <si>
    <t>DeAnza Banuelos</t>
  </si>
  <si>
    <t>1401 Expedition Ct.</t>
  </si>
  <si>
    <t>camdonsteele@gmail.com</t>
  </si>
  <si>
    <t>Camdon</t>
  </si>
  <si>
    <t>Camdon Steele</t>
  </si>
  <si>
    <t>9449 Adlai Terrace</t>
  </si>
  <si>
    <t>Lakeside</t>
  </si>
  <si>
    <t>mthomas@thetorch.net</t>
  </si>
  <si>
    <t>e.beth2014@gmail.com</t>
  </si>
  <si>
    <t>Emily Thomas</t>
  </si>
  <si>
    <t>222 Deerfield circle</t>
  </si>
  <si>
    <t>Mount Airy</t>
  </si>
  <si>
    <t>seckert67@hotmail.com</t>
  </si>
  <si>
    <t>jseckert77@gmail.com</t>
  </si>
  <si>
    <t>Eckert</t>
  </si>
  <si>
    <t>Jonah Eckert</t>
  </si>
  <si>
    <t>5673 Hazelgreen Ct</t>
  </si>
  <si>
    <t>Terre Haute</t>
  </si>
  <si>
    <t>lmelendyk@gmail.com</t>
  </si>
  <si>
    <t>elkgirl97@gmail.com</t>
  </si>
  <si>
    <t>emma</t>
  </si>
  <si>
    <t>kritzman</t>
  </si>
  <si>
    <t>emma kritzman</t>
  </si>
  <si>
    <t>920 Amelia Dr NE</t>
  </si>
  <si>
    <t>Mkopf7@gmail.com</t>
  </si>
  <si>
    <t>TKopf101@gmail.com</t>
  </si>
  <si>
    <t>Trenton</t>
  </si>
  <si>
    <t>Kopf</t>
  </si>
  <si>
    <t>Trenton Kopf</t>
  </si>
  <si>
    <t>2149 51st Street Drive</t>
  </si>
  <si>
    <t>Mt Auburn</t>
  </si>
  <si>
    <t>email@hookstone.net</t>
  </si>
  <si>
    <t>katy@moltzau.net</t>
  </si>
  <si>
    <t>Moltzau</t>
  </si>
  <si>
    <t>Kathryn Moltzau</t>
  </si>
  <si>
    <t>2972 W. Long Dr.</t>
  </si>
  <si>
    <t>Unit C</t>
  </si>
  <si>
    <t>Matthew Moltzau</t>
  </si>
  <si>
    <t>landsquine@gmail.com</t>
  </si>
  <si>
    <t>Quine</t>
  </si>
  <si>
    <t>Seth Quine</t>
  </si>
  <si>
    <t>17151 E. Ford Dr.</t>
  </si>
  <si>
    <t>jojorgensen@student.linnmar.org</t>
  </si>
  <si>
    <t>Joel Jorgensen</t>
  </si>
  <si>
    <t>1394 Marion Airport Road</t>
  </si>
  <si>
    <t>Ron@rohrssen.us</t>
  </si>
  <si>
    <t>Rohrssen</t>
  </si>
  <si>
    <t>Holly Rohrssen</t>
  </si>
  <si>
    <t>amychristine127@gmail.com</t>
  </si>
  <si>
    <t>Hammerton</t>
  </si>
  <si>
    <t>Amy Hammerton</t>
  </si>
  <si>
    <t>6225 North Teal Wood Circle</t>
  </si>
  <si>
    <t>kimmyjoy74@gmail.com</t>
  </si>
  <si>
    <t>collingrabill@gmail.com</t>
  </si>
  <si>
    <t>Grabill</t>
  </si>
  <si>
    <t>Collin Grabill</t>
  </si>
  <si>
    <t>828 Lakeview Dr</t>
  </si>
  <si>
    <t>william.gingras@gmail.com</t>
  </si>
  <si>
    <t>Gingras</t>
  </si>
  <si>
    <t>Will Gingras</t>
  </si>
  <si>
    <t>1878 Lakeview Road</t>
  </si>
  <si>
    <t>marc.reppermund@monarchoilcompany.net</t>
  </si>
  <si>
    <t>sbrepper@yahoo.com</t>
  </si>
  <si>
    <t>Reppermund</t>
  </si>
  <si>
    <t>Shayna Reppermund</t>
  </si>
  <si>
    <t>240 Kittanning Pike</t>
  </si>
  <si>
    <t>Pittsburgh</t>
  </si>
  <si>
    <t>lawrenceu@afo.net</t>
  </si>
  <si>
    <t>underwoodamy95@hotmail.com</t>
  </si>
  <si>
    <t>Amy Underwood</t>
  </si>
  <si>
    <t>4811 Auburn Drive South</t>
  </si>
  <si>
    <t>alfonso.c.madrazo@gmail.com</t>
  </si>
  <si>
    <t>Alfonso</t>
  </si>
  <si>
    <t>Madrazo</t>
  </si>
  <si>
    <t>Alfonso Madrazo</t>
  </si>
  <si>
    <t>1200 country club drive apt 5403</t>
  </si>
  <si>
    <t>lkhellman8@gmail.com</t>
  </si>
  <si>
    <t>sjhellman97@gmail.com</t>
  </si>
  <si>
    <t>Hellman</t>
  </si>
  <si>
    <t>Sidney Hellman</t>
  </si>
  <si>
    <t>1160 250 Street</t>
  </si>
  <si>
    <t>sheldots95@gmail.com</t>
  </si>
  <si>
    <t>Shelby Hellman</t>
  </si>
  <si>
    <t>1160 250th St</t>
  </si>
  <si>
    <t>lovinglife4jesus@yahoo.com</t>
  </si>
  <si>
    <t>Shawna</t>
  </si>
  <si>
    <t>Mumma</t>
  </si>
  <si>
    <t>Shawna Mumma</t>
  </si>
  <si>
    <t>9 Scarlet Oak Circle</t>
  </si>
  <si>
    <t>bmumma9@gmail.com</t>
  </si>
  <si>
    <t>Brittney</t>
  </si>
  <si>
    <t>Brittney Mumma</t>
  </si>
  <si>
    <t>steve@stevetappe.com</t>
  </si>
  <si>
    <t>emmamtappe@gmail.com</t>
  </si>
  <si>
    <t>Tappe</t>
  </si>
  <si>
    <t>Emma Tappe</t>
  </si>
  <si>
    <t>2853 S Ursula Ct</t>
  </si>
  <si>
    <t>stormeygrace@tds.net</t>
  </si>
  <si>
    <t>Stormey</t>
  </si>
  <si>
    <t>Coleman</t>
  </si>
  <si>
    <t>Stormey Coleman</t>
  </si>
  <si>
    <t>246 Talc mine road</t>
  </si>
  <si>
    <t>jasper</t>
  </si>
  <si>
    <t>alexcoleman@tds.net</t>
  </si>
  <si>
    <t>Alex Coleman</t>
  </si>
  <si>
    <t>246 talc mine road</t>
  </si>
  <si>
    <t>jameycoleman@tds.net</t>
  </si>
  <si>
    <t>stormeycoleman@tds.net</t>
  </si>
  <si>
    <t>Christian Coleman</t>
  </si>
  <si>
    <t>246 Talc Mine road</t>
  </si>
  <si>
    <t>mandymoo2@verizon.net</t>
  </si>
  <si>
    <t>Tyrrell</t>
  </si>
  <si>
    <t>Amanda Tyrrell</t>
  </si>
  <si>
    <t>10206 N. Armenia Ave.</t>
  </si>
  <si>
    <t>andrewding@cox.net</t>
  </si>
  <si>
    <t>Ding</t>
  </si>
  <si>
    <t>Andrew Ding</t>
  </si>
  <si>
    <t>2428 E Iris Dr</t>
  </si>
  <si>
    <t>stacyhhill@gmail.com</t>
  </si>
  <si>
    <t>samueljhill9501@gmail.com</t>
  </si>
  <si>
    <t>Hill</t>
  </si>
  <si>
    <t>Samuel Hill</t>
  </si>
  <si>
    <t>130 E Selwood Lane</t>
  </si>
  <si>
    <t>michelledavis10@gmail.com</t>
  </si>
  <si>
    <t>daxtond10@gmail.com</t>
  </si>
  <si>
    <t>Daxton</t>
  </si>
  <si>
    <t>Daxton Davis</t>
  </si>
  <si>
    <t>8821 Smokey Canyon Way</t>
  </si>
  <si>
    <t>hiisavedmii@gmail.com</t>
  </si>
  <si>
    <t>Bran</t>
  </si>
  <si>
    <t>Jacob Bran</t>
  </si>
  <si>
    <t>620 Eastwood Drive</t>
  </si>
  <si>
    <t>Solon</t>
  </si>
  <si>
    <t>mysavior2012@gmail.com</t>
  </si>
  <si>
    <t>Sarah Bran</t>
  </si>
  <si>
    <t>tshusker@gmail.com</t>
  </si>
  <si>
    <t>Stack</t>
  </si>
  <si>
    <t>Jonathan Stack</t>
  </si>
  <si>
    <t>8940 Cedar Breaks Drive</t>
  </si>
  <si>
    <t>lhua@pvlearners.net</t>
  </si>
  <si>
    <t>Hua</t>
  </si>
  <si>
    <t>Joshua Hua</t>
  </si>
  <si>
    <t>5649 East Beverly Lane</t>
  </si>
  <si>
    <t>comp_illit@hotmail.com</t>
  </si>
  <si>
    <t>DiVittore</t>
  </si>
  <si>
    <t>John-Paul DiVittore</t>
  </si>
  <si>
    <t>rjones6977@aol.com</t>
  </si>
  <si>
    <t>onlymeandmyguitar@gmail.com</t>
  </si>
  <si>
    <t>McKayla</t>
  </si>
  <si>
    <t>McKayla Jones</t>
  </si>
  <si>
    <t>1353 Montcombe Drive</t>
  </si>
  <si>
    <t>terriscotts@aol.com</t>
  </si>
  <si>
    <t>jarodn97@gmail.com</t>
  </si>
  <si>
    <t>Jarod</t>
  </si>
  <si>
    <t>Jarod Norris</t>
  </si>
  <si>
    <t>8934 34th Street South</t>
  </si>
  <si>
    <t>Scotts</t>
  </si>
  <si>
    <t>cchaffer@mac.com</t>
  </si>
  <si>
    <t>midge3@me.com</t>
  </si>
  <si>
    <t>Maddie</t>
  </si>
  <si>
    <t>Chaffer</t>
  </si>
  <si>
    <t>Maddie Chaffer</t>
  </si>
  <si>
    <t>5677 Manchester Hills Dr. SE</t>
  </si>
  <si>
    <t>donnaclayton@foothillsschool.net</t>
  </si>
  <si>
    <t>Alex9305@yahoo.com</t>
  </si>
  <si>
    <t>Alex Clayton</t>
  </si>
  <si>
    <t>9305 Spencer Court</t>
  </si>
  <si>
    <t>blakelydibble@gmail.com</t>
  </si>
  <si>
    <t>megandibble1@gmail.com</t>
  </si>
  <si>
    <t>Dibble</t>
  </si>
  <si>
    <t>Megan Dibble</t>
  </si>
  <si>
    <t>6723 Cabin Creek Drive</t>
  </si>
  <si>
    <t>all.talk.in.the.alleys@gmail.com</t>
  </si>
  <si>
    <t>Rikkers</t>
  </si>
  <si>
    <t>Timothy Rikkers</t>
  </si>
  <si>
    <t>6454 Derwyn Ct</t>
  </si>
  <si>
    <t>pancakesandnarnia@gmail.com</t>
  </si>
  <si>
    <t>Quintana</t>
  </si>
  <si>
    <t>David Quintana</t>
  </si>
  <si>
    <t>dianevanhandel@gmail.com</t>
  </si>
  <si>
    <t>VanHandel</t>
  </si>
  <si>
    <t>Natalie VanHandel</t>
  </si>
  <si>
    <t>5819 N Paseo Ventoso</t>
  </si>
  <si>
    <t>agreer01@earthlink.com</t>
  </si>
  <si>
    <t>Jacob Greer</t>
  </si>
  <si>
    <t>2125 Fox Trail Dr. NE</t>
  </si>
  <si>
    <t>jcldvm95@yahoo.com</t>
  </si>
  <si>
    <t>jameslyttle96@gmail.com</t>
  </si>
  <si>
    <t>Lyttle</t>
  </si>
  <si>
    <t>James Lyttle</t>
  </si>
  <si>
    <t>803 Merrick Drive</t>
  </si>
  <si>
    <t>mrfe@centurytel.net</t>
  </si>
  <si>
    <t>slipperboymurphy@gmail.com</t>
  </si>
  <si>
    <t>Connor Murphy</t>
  </si>
  <si>
    <t>41071 Wilderness Valley Road</t>
  </si>
  <si>
    <t>Polson</t>
  </si>
  <si>
    <t>elect@smtel.com</t>
  </si>
  <si>
    <t>karatekid4christ@gmail.com</t>
  </si>
  <si>
    <t>Peter Peck</t>
  </si>
  <si>
    <t>9500 MT Hwy 324</t>
  </si>
  <si>
    <t>camif10@me.com</t>
  </si>
  <si>
    <t>Kitten</t>
  </si>
  <si>
    <t>Camille Kitten</t>
  </si>
  <si>
    <t>7008 59th St.</t>
  </si>
  <si>
    <t>AJOZOinChrist@aol.com</t>
  </si>
  <si>
    <t>narnia.freakvz@gmail.com</t>
  </si>
  <si>
    <t>Zornes</t>
  </si>
  <si>
    <t>Victoria Zornes</t>
  </si>
  <si>
    <t>3685 S Truckee Way</t>
  </si>
  <si>
    <t>gebhartfamily@q.com</t>
  </si>
  <si>
    <t>Gebhart</t>
  </si>
  <si>
    <t>Daniel Gebhart</t>
  </si>
  <si>
    <t>8741 Bellcove Circle</t>
  </si>
  <si>
    <t>Cross_shadow@q.com</t>
  </si>
  <si>
    <t>Hoppes</t>
  </si>
  <si>
    <t>Natalie Hoppes</t>
  </si>
  <si>
    <t>448 W. Dory Way</t>
  </si>
  <si>
    <t>Blackhawk</t>
  </si>
  <si>
    <t>johnsara4@msn.com</t>
  </si>
  <si>
    <t>molly.a.brownell@icloud.com</t>
  </si>
  <si>
    <t>Molly</t>
  </si>
  <si>
    <t>Brownell</t>
  </si>
  <si>
    <t>Molly Brownell</t>
  </si>
  <si>
    <t>1052 Milstead Dr.</t>
  </si>
  <si>
    <t>Hiawatha</t>
  </si>
  <si>
    <t>atleecatlett@gmail.com</t>
  </si>
  <si>
    <t>Atlee</t>
  </si>
  <si>
    <t>Catlett</t>
  </si>
  <si>
    <t>Atlee Catlett</t>
  </si>
  <si>
    <t>953 Gold Mine RD</t>
  </si>
  <si>
    <t>Palmyra</t>
  </si>
  <si>
    <t>thesonsetmefree@yahoo.com</t>
  </si>
  <si>
    <t>pianoadin@gmail.com</t>
  </si>
  <si>
    <t>Adin</t>
  </si>
  <si>
    <t>Herr</t>
  </si>
  <si>
    <t>Adin Herr</t>
  </si>
  <si>
    <t>373 Parkland Dr. SE</t>
  </si>
  <si>
    <t>pickmike@aol.com</t>
  </si>
  <si>
    <t>apickering@ccsdstudent.org</t>
  </si>
  <si>
    <t>Pickering</t>
  </si>
  <si>
    <t>Andrew Pickering</t>
  </si>
  <si>
    <t>2781 Jeremy Ct NW</t>
  </si>
  <si>
    <t>Swisher</t>
  </si>
  <si>
    <t>sarah.betsch@me.com</t>
  </si>
  <si>
    <t>Betsch</t>
  </si>
  <si>
    <t>Sarah Betsch</t>
  </si>
  <si>
    <t>P.O. Box 759</t>
  </si>
  <si>
    <t>adderhunter@gmail.com</t>
  </si>
  <si>
    <t>Carrick</t>
  </si>
  <si>
    <t>Stephen Carrick</t>
  </si>
  <si>
    <t>1507 48th ST NE</t>
  </si>
  <si>
    <t>hurley4god@gmail.com</t>
  </si>
  <si>
    <t>futbolchica14@gmail.com</t>
  </si>
  <si>
    <t>Hurley</t>
  </si>
  <si>
    <t>Anna Hurley</t>
  </si>
  <si>
    <t>454 Tyler Dr.</t>
  </si>
  <si>
    <t>Pleasant Hill</t>
  </si>
  <si>
    <t>rwwarnoc@msn.com</t>
  </si>
  <si>
    <t>Warnock</t>
  </si>
  <si>
    <t>Lisa Warnock</t>
  </si>
  <si>
    <t>240 16th Avenue Ct</t>
  </si>
  <si>
    <t>cforstrom@msn.com</t>
  </si>
  <si>
    <t>lexi4strom@gmail.com</t>
  </si>
  <si>
    <t>Lexi</t>
  </si>
  <si>
    <t>Forstrom</t>
  </si>
  <si>
    <t>Lexi Forstrom</t>
  </si>
  <si>
    <t>6704 Stonybrook ln NE</t>
  </si>
  <si>
    <t>lmurphy577@gmail.com</t>
  </si>
  <si>
    <t>Laurel Murphy</t>
  </si>
  <si>
    <t>134 3rd St. N</t>
  </si>
  <si>
    <t>PO Box 267</t>
  </si>
  <si>
    <t>Central City</t>
  </si>
  <si>
    <t>chuckwendywest@yahoo.com</t>
  </si>
  <si>
    <t>scwmusiclover@yahoo.com</t>
  </si>
  <si>
    <t>West</t>
  </si>
  <si>
    <t>Sarah West</t>
  </si>
  <si>
    <t>11127 Glenmoor Pl</t>
  </si>
  <si>
    <t>bggiles@wisc.edu</t>
  </si>
  <si>
    <t>Giles</t>
  </si>
  <si>
    <t>Benjamin Giles</t>
  </si>
  <si>
    <t>8 Aurora Lane</t>
  </si>
  <si>
    <t>qmgerrish@gmail.com</t>
  </si>
  <si>
    <t>Gerrish</t>
  </si>
  <si>
    <t>Quinn Gerrish</t>
  </si>
  <si>
    <t>8601 Meadowbrook Dr</t>
  </si>
  <si>
    <t>dfvrph4crw@gmail.com</t>
  </si>
  <si>
    <t>Vickers</t>
  </si>
  <si>
    <t>Stephen Vickers</t>
  </si>
  <si>
    <t>1509 west Westhill drive</t>
  </si>
  <si>
    <t>Cleburne</t>
  </si>
  <si>
    <t>makarshady@gmail.com</t>
  </si>
  <si>
    <t>makarshady@yahoo.com</t>
  </si>
  <si>
    <t>Shady</t>
  </si>
  <si>
    <t>Makar</t>
  </si>
  <si>
    <t>Shady Makar</t>
  </si>
  <si>
    <t>535 W Duarte Rd. #8</t>
  </si>
  <si>
    <t>thelowfamily2912@gmail.com</t>
  </si>
  <si>
    <t>John Low</t>
  </si>
  <si>
    <t>1530 Hunters Field Ln</t>
  </si>
  <si>
    <t>tmwd513@gmail.com</t>
  </si>
  <si>
    <t>Thomas Wood</t>
  </si>
  <si>
    <t>2453 Fairway Village Drive</t>
  </si>
  <si>
    <t>Park City</t>
  </si>
  <si>
    <t>costachejp@yahoo.ca</t>
  </si>
  <si>
    <t>abbyco6@gmail.com</t>
  </si>
  <si>
    <t>Costache</t>
  </si>
  <si>
    <t>Abby Costache</t>
  </si>
  <si>
    <t>1464 Lindenbrook Ln.</t>
  </si>
  <si>
    <t>shinigamitheoffspring@gmail.com</t>
  </si>
  <si>
    <t>Carlile</t>
  </si>
  <si>
    <t>Ben Carlile</t>
  </si>
  <si>
    <t>267 Norman Dr. NE</t>
  </si>
  <si>
    <t>kgo1965@gmail.com</t>
  </si>
  <si>
    <t>drewodell498@gmail.com</t>
  </si>
  <si>
    <t>O'Dell</t>
  </si>
  <si>
    <t>Andrew O'Dell</t>
  </si>
  <si>
    <t>109 Robin Rd.</t>
  </si>
  <si>
    <t>achristofferson26@gmail.com</t>
  </si>
  <si>
    <t>Christofferson</t>
  </si>
  <si>
    <t>Annie Christofferson</t>
  </si>
  <si>
    <t>345 63rd Ave SW</t>
  </si>
  <si>
    <t>ryan4143@gmail.com</t>
  </si>
  <si>
    <t>Ryan Carlile</t>
  </si>
  <si>
    <t>267 Norman Dr., NE</t>
  </si>
  <si>
    <t>mirmen@ccsdstudent.org</t>
  </si>
  <si>
    <t>Mirmen@ccsdstudent.org</t>
  </si>
  <si>
    <t>Irmen</t>
  </si>
  <si>
    <t>Mariah Irmen</t>
  </si>
  <si>
    <t>6212 Hoover Trail Rd SW</t>
  </si>
  <si>
    <t>jdrawalter@hotmail.com</t>
  </si>
  <si>
    <t>rachel.walter45@yahoo.com</t>
  </si>
  <si>
    <t>Rachel Walter</t>
  </si>
  <si>
    <t>1960 Diamond Creek Dr.</t>
  </si>
  <si>
    <t>rihoobler@student.linnmar.org</t>
  </si>
  <si>
    <t>Hoobler</t>
  </si>
  <si>
    <t>Richard Hoobler</t>
  </si>
  <si>
    <t>1810 25th Ave</t>
  </si>
  <si>
    <t>loretta@bushlack.com</t>
  </si>
  <si>
    <t>Jake@bushlack.com</t>
  </si>
  <si>
    <t>Bushlack</t>
  </si>
  <si>
    <t>Jake Bushlack</t>
  </si>
  <si>
    <t>335 Irish Dr</t>
  </si>
  <si>
    <t>idylantom@gmail.com</t>
  </si>
  <si>
    <t>Dylan</t>
  </si>
  <si>
    <t>Manternach</t>
  </si>
  <si>
    <t>Dylan Manternach</t>
  </si>
  <si>
    <t>1310 Secrist Rd.</t>
  </si>
  <si>
    <t>katshelley1@gmail.com</t>
  </si>
  <si>
    <t>jvbantz@msn.com</t>
  </si>
  <si>
    <t>njbantz@gmail.com</t>
  </si>
  <si>
    <t>Bantz</t>
  </si>
  <si>
    <t>Natalie Bantz</t>
  </si>
  <si>
    <t>3419 Brookview DR</t>
  </si>
  <si>
    <t>lbarnett095@gmail.com</t>
  </si>
  <si>
    <t>Barnett</t>
  </si>
  <si>
    <t>Lance Barnett</t>
  </si>
  <si>
    <t>kimberlyjoy@bellsouth.net</t>
  </si>
  <si>
    <t>Ledbetter</t>
  </si>
  <si>
    <t>Megan Ledbetter</t>
  </si>
  <si>
    <t>2412 Hicks Lane</t>
  </si>
  <si>
    <t>lindsey.eades1@gmail.com</t>
  </si>
  <si>
    <t>Eades</t>
  </si>
  <si>
    <t>Lindsey Eades</t>
  </si>
  <si>
    <t>4528 Walker street NE</t>
  </si>
  <si>
    <t>m.christopher2628@gmail.com</t>
  </si>
  <si>
    <t>Michal</t>
  </si>
  <si>
    <t>Michal Christopher</t>
  </si>
  <si>
    <t>5930 Flagstone Dr. NE</t>
  </si>
  <si>
    <t>margie@databaseguy.com</t>
  </si>
  <si>
    <t>Leonard</t>
  </si>
  <si>
    <t>Nicholas Leonard</t>
  </si>
  <si>
    <t>2817 Westwood Drive NW</t>
  </si>
  <si>
    <t>abby@databaseguy.com</t>
  </si>
  <si>
    <t>Abigail Leonard</t>
  </si>
  <si>
    <t>andikitten33@gmail.com</t>
  </si>
  <si>
    <t>Andi</t>
  </si>
  <si>
    <t>Andi Kitten</t>
  </si>
  <si>
    <t>bst368@aol.com</t>
  </si>
  <si>
    <t>rudyutz1@gmail.com</t>
  </si>
  <si>
    <t>Benett</t>
  </si>
  <si>
    <t>Keith</t>
  </si>
  <si>
    <t>Benett Keith</t>
  </si>
  <si>
    <t>109 Harbor Drive</t>
  </si>
  <si>
    <t>Belleair Beach</t>
  </si>
  <si>
    <t>elleross04@gmail.com</t>
  </si>
  <si>
    <t>Ross</t>
  </si>
  <si>
    <t>Gabrielle Ross</t>
  </si>
  <si>
    <t>2028 Walnut Ct SE</t>
  </si>
  <si>
    <t>emilydwyerircs@gmail.com</t>
  </si>
  <si>
    <t>Emily Dwyer</t>
  </si>
  <si>
    <t>1018 18th St SW</t>
  </si>
  <si>
    <t>jamesflavin@projecthosts.com</t>
  </si>
  <si>
    <t>aflavin2010@gmail.com</t>
  </si>
  <si>
    <t>Alexander Flavin</t>
  </si>
  <si>
    <t>17914 S. Center Rd</t>
  </si>
  <si>
    <t>Conneautville</t>
  </si>
  <si>
    <t>david.romans6@gmail.com</t>
  </si>
  <si>
    <t>johnarkdesign@gmail.com</t>
  </si>
  <si>
    <t>Chua</t>
  </si>
  <si>
    <t>John Chua</t>
  </si>
  <si>
    <t>1 Youngberg Terrace</t>
  </si>
  <si>
    <t>#10-05, Avon Park</t>
  </si>
  <si>
    <t>janna.psalm23@gmail.com</t>
  </si>
  <si>
    <t>Janna</t>
  </si>
  <si>
    <t>Janna Chua</t>
  </si>
  <si>
    <t>bornwithteeth@gmail.com</t>
  </si>
  <si>
    <t>Timothy Zornes</t>
  </si>
  <si>
    <t>akgerhold@aol.com</t>
  </si>
  <si>
    <t>Alisa</t>
  </si>
  <si>
    <t>Gerhold</t>
  </si>
  <si>
    <t>Alisa Gerhold</t>
  </si>
  <si>
    <t>2300 Camelot Ave NW</t>
  </si>
  <si>
    <t>jaculbe@msn.com</t>
  </si>
  <si>
    <t>hfjaculbe@gmail.com</t>
  </si>
  <si>
    <t>Jaculbe</t>
  </si>
  <si>
    <t>Hanna Jaculbe</t>
  </si>
  <si>
    <t>4000 Fox Hollow Ct.</t>
  </si>
  <si>
    <t>beckersflooring@gmail.com</t>
  </si>
  <si>
    <t>Beckersflooring@gmail.com</t>
  </si>
  <si>
    <t>Jordan Becker</t>
  </si>
  <si>
    <t>16944 Highway 18</t>
  </si>
  <si>
    <t>luvrb@frontier.com</t>
  </si>
  <si>
    <t>cpaul.1003@gmail.com</t>
  </si>
  <si>
    <t>Claire Paul</t>
  </si>
  <si>
    <t>2611 Pine Ridge Court</t>
  </si>
  <si>
    <t>Portage</t>
  </si>
  <si>
    <t>kmalloy919@gmail.com</t>
  </si>
  <si>
    <t>Malloy</t>
  </si>
  <si>
    <t>Kelsey Malloy</t>
  </si>
  <si>
    <t>397 Eastland Drive SE</t>
  </si>
  <si>
    <t>sas4iowa@gmail.com</t>
  </si>
  <si>
    <t>swandog2410@gmail.com</t>
  </si>
  <si>
    <t>Lauren Swanson</t>
  </si>
  <si>
    <t>3520 35th Street</t>
  </si>
  <si>
    <t>ricketypic@sbcglobal.net</t>
  </si>
  <si>
    <t>bullitt64@gmail.com</t>
  </si>
  <si>
    <t>jackson</t>
  </si>
  <si>
    <t>millwee</t>
  </si>
  <si>
    <t>jackson millwee</t>
  </si>
  <si>
    <t>13507 christopher dr</t>
  </si>
  <si>
    <t>little rock</t>
  </si>
  <si>
    <t>radams@rockymtnoptions.com</t>
  </si>
  <si>
    <t>sonnyaz@bigegameranch.com</t>
  </si>
  <si>
    <t>Hannah Adams</t>
  </si>
  <si>
    <t>7019 S. Frog Hollow Ln</t>
  </si>
  <si>
    <t>Evergreen</t>
  </si>
  <si>
    <t>dpmilligan95@gmail.com</t>
  </si>
  <si>
    <t>the1andonlyPaul@gmail.com</t>
  </si>
  <si>
    <t>Elliott</t>
  </si>
  <si>
    <t>Paul Elliott</t>
  </si>
  <si>
    <t>1205 East 2nd Street</t>
  </si>
  <si>
    <t>Anamosa</t>
  </si>
  <si>
    <t>geojhmom@gmail.com</t>
  </si>
  <si>
    <t>supergracer1@gmail.com</t>
  </si>
  <si>
    <t>Grace Andersen</t>
  </si>
  <si>
    <t>200 20th st sw</t>
  </si>
  <si>
    <t>thewishaus@gmail.com</t>
  </si>
  <si>
    <t>mr.wishau@gmail.com</t>
  </si>
  <si>
    <t>Wishau</t>
  </si>
  <si>
    <t>Ben Wishau</t>
  </si>
  <si>
    <t>1132 North Loomis st.</t>
  </si>
  <si>
    <t>Naperville</t>
  </si>
  <si>
    <t>amber@mcd1.com</t>
  </si>
  <si>
    <t>michael@mcd1.com</t>
  </si>
  <si>
    <t>10932 206th Street SE</t>
  </si>
  <si>
    <t>mcclure.kimber@gmail.com</t>
  </si>
  <si>
    <t>elisemcclure11@yahoo.com</t>
  </si>
  <si>
    <t>Elise McClure</t>
  </si>
  <si>
    <t>6929 Pensacola Drive</t>
  </si>
  <si>
    <t>greghogan@comcast.net</t>
  </si>
  <si>
    <t>oceanlover1996@gmail.com</t>
  </si>
  <si>
    <t>Kellie</t>
  </si>
  <si>
    <t>Hogan</t>
  </si>
  <si>
    <t>Kellie Hogan</t>
  </si>
  <si>
    <t>20896 E Berry Pl</t>
  </si>
  <si>
    <t>matthew@mcd1.com</t>
  </si>
  <si>
    <t>Matthew McDonald</t>
  </si>
  <si>
    <t>daleledbetter@bellsouth.net</t>
  </si>
  <si>
    <t>Caleb Ledbetter</t>
  </si>
  <si>
    <t>grays@teamwesley.org</t>
  </si>
  <si>
    <t>bizbeth500@gmail.com</t>
  </si>
  <si>
    <t>Elisabeth Gray</t>
  </si>
  <si>
    <t>3981 S 132 Ave</t>
  </si>
  <si>
    <t>Hesperia</t>
  </si>
  <si>
    <t>racheliteen@yahoo.com</t>
  </si>
  <si>
    <t>Iteen</t>
  </si>
  <si>
    <t>Kyle Iteen</t>
  </si>
  <si>
    <t>2975 N 56 AVE</t>
  </si>
  <si>
    <t>HART</t>
  </si>
  <si>
    <t>libbyk59@verizon.net</t>
  </si>
  <si>
    <t>katieeklingstedt@gmail.com</t>
  </si>
  <si>
    <t>Klingstedt</t>
  </si>
  <si>
    <t>Katherine Klingstedt</t>
  </si>
  <si>
    <t>2213 High Point Dr.</t>
  </si>
  <si>
    <t>ahoekstra14@unity.pvt.k12.ia.us</t>
  </si>
  <si>
    <t>Arie</t>
  </si>
  <si>
    <t>Hoekstra</t>
  </si>
  <si>
    <t>Arie Hoekstra</t>
  </si>
  <si>
    <t>411 5th Street NE</t>
  </si>
  <si>
    <t>books.becca@gmail.com</t>
  </si>
  <si>
    <t>Rebecca Gonzalez</t>
  </si>
  <si>
    <t>3014 Logan Ave</t>
  </si>
  <si>
    <t>syugovich@comcast.net</t>
  </si>
  <si>
    <t>Yugovich</t>
  </si>
  <si>
    <t>Sarah Yugovich</t>
  </si>
  <si>
    <t>piercelogan97@yahoo.com</t>
  </si>
  <si>
    <t>Logan Pierce</t>
  </si>
  <si>
    <t>4532 Kevin's Way</t>
  </si>
  <si>
    <t>Mt. Pleasant</t>
  </si>
  <si>
    <t>sskotte@san.rr.com</t>
  </si>
  <si>
    <t>skotte.david@gmail.com</t>
  </si>
  <si>
    <t>Skotte</t>
  </si>
  <si>
    <t>David Skotte</t>
  </si>
  <si>
    <t>13195 Deron Ave</t>
  </si>
  <si>
    <t>olivermc4@gmail.com</t>
  </si>
  <si>
    <t>Harold</t>
  </si>
  <si>
    <t>Harold Oliver</t>
  </si>
  <si>
    <t>101 Lake Dr.</t>
  </si>
  <si>
    <t>LaGrange</t>
  </si>
  <si>
    <t>joanneweiss@cox.net</t>
  </si>
  <si>
    <t>Spicybeast15@gmail.com</t>
  </si>
  <si>
    <t>Weiss</t>
  </si>
  <si>
    <t>Mason Weiss</t>
  </si>
  <si>
    <t>20851 E. Mewes Rd</t>
  </si>
  <si>
    <t>Queen Creek</t>
  </si>
  <si>
    <t>suewest@wheehaa.com</t>
  </si>
  <si>
    <t>monica.west@wheehaa.com</t>
  </si>
  <si>
    <t>Monica West</t>
  </si>
  <si>
    <t>6455 Vessey Rd</t>
  </si>
  <si>
    <t>zachsnider13@yahoo.com</t>
  </si>
  <si>
    <t>Zach</t>
  </si>
  <si>
    <t>Snider</t>
  </si>
  <si>
    <t>Zach Snider</t>
  </si>
  <si>
    <t>121 Heatherview Dr.</t>
  </si>
  <si>
    <t>elginzel@gmail.com</t>
  </si>
  <si>
    <t>Elginzel@gmail.com</t>
  </si>
  <si>
    <t>Ginzel</t>
  </si>
  <si>
    <t>Emma Ginzel</t>
  </si>
  <si>
    <t>8121 N. Crab Orchard Ct.</t>
  </si>
  <si>
    <t>kjgood98@hotmail.com</t>
  </si>
  <si>
    <t>Mikaela Good</t>
  </si>
  <si>
    <t>527 East Maple Ridge Court</t>
  </si>
  <si>
    <t>Edelstein</t>
  </si>
  <si>
    <t>xiuyuan97@gmail.com</t>
  </si>
  <si>
    <t>Schulze</t>
  </si>
  <si>
    <t>Samantha Schulze</t>
  </si>
  <si>
    <t>126 Brentwood Drive</t>
  </si>
  <si>
    <t>anielson98@gmail.com</t>
  </si>
  <si>
    <t>anieslon98@gmail.com</t>
  </si>
  <si>
    <t>Nielson</t>
  </si>
  <si>
    <t>Abby Nielson</t>
  </si>
  <si>
    <t>1220 West Margaret Avenue</t>
  </si>
  <si>
    <t>franolovespoohjonasandtwilight@yahoo.com</t>
  </si>
  <si>
    <t>Francesca</t>
  </si>
  <si>
    <t>Riggins</t>
  </si>
  <si>
    <t>Francesca Riggins</t>
  </si>
  <si>
    <t>6415 North Jamestown Road</t>
  </si>
  <si>
    <t>kdoolin43@gmail.com</t>
  </si>
  <si>
    <t>Doolin</t>
  </si>
  <si>
    <t>Kayla Doolin</t>
  </si>
  <si>
    <t>4410 West Lyons Ct.</t>
  </si>
  <si>
    <t>steidinger.dylan@yahoo.com</t>
  </si>
  <si>
    <t>steidinger@yahoo.com</t>
  </si>
  <si>
    <t>Steidinger</t>
  </si>
  <si>
    <t>Dylan Steidinger</t>
  </si>
  <si>
    <t>4704 W. Bridalwood Dr.</t>
  </si>
  <si>
    <t>tosmallforyousoftball21@yahoo.com</t>
  </si>
  <si>
    <t>beccalynns23@yahoo.com</t>
  </si>
  <si>
    <t>Rebecca Simmons</t>
  </si>
  <si>
    <t>335 w. walnut</t>
  </si>
  <si>
    <t>Washburn</t>
  </si>
  <si>
    <t>malloryshaver@ymail.com</t>
  </si>
  <si>
    <t>Shaver</t>
  </si>
  <si>
    <t>Mallory Shaver</t>
  </si>
  <si>
    <t>6905 North Hunters Trace</t>
  </si>
  <si>
    <t>kerriejarvis@yahoo.com</t>
  </si>
  <si>
    <t>cjj12370@gmail.com</t>
  </si>
  <si>
    <t>Jarvis</t>
  </si>
  <si>
    <t>Charlie Jarvis</t>
  </si>
  <si>
    <t>3023 W Pilgrims Way</t>
  </si>
  <si>
    <t>hefflebee@hotmail.com</t>
  </si>
  <si>
    <t>maeham97@hotmail.com</t>
  </si>
  <si>
    <t>Whitenberg</t>
  </si>
  <si>
    <t>Catherine Whitenberg</t>
  </si>
  <si>
    <t>5503 Arroyo St.</t>
  </si>
  <si>
    <t>sinniste@verizon.net</t>
  </si>
  <si>
    <t>rsinni@verizon.net</t>
  </si>
  <si>
    <t>Sinni</t>
  </si>
  <si>
    <t>Ryan Sinni</t>
  </si>
  <si>
    <t>18847 Porterfield Way</t>
  </si>
  <si>
    <t>Germantown</t>
  </si>
  <si>
    <t>stbamillard@tds.net</t>
  </si>
  <si>
    <t>amillard@wsesu.net</t>
  </si>
  <si>
    <t>Millard</t>
  </si>
  <si>
    <t>Abigail Millard</t>
  </si>
  <si>
    <t>703 Maple St</t>
  </si>
  <si>
    <t>Perkinsville</t>
  </si>
  <si>
    <t>VT</t>
  </si>
  <si>
    <t>mellissamariotti@aol.com</t>
  </si>
  <si>
    <t>matthew</t>
  </si>
  <si>
    <t>Newman</t>
  </si>
  <si>
    <t>matthew Newman</t>
  </si>
  <si>
    <t>10529 sw 30th</t>
  </si>
  <si>
    <t>towanda</t>
  </si>
  <si>
    <t>jackcevert@gmail.com</t>
  </si>
  <si>
    <t>Evert</t>
  </si>
  <si>
    <t>John Evert</t>
  </si>
  <si>
    <t>116 Saint Anthony Drive</t>
  </si>
  <si>
    <t>idancecrazy95@gmail.com</t>
  </si>
  <si>
    <t>Rehm</t>
  </si>
  <si>
    <t>Julia Rehm</t>
  </si>
  <si>
    <t>1781 Mill Ridge Road</t>
  </si>
  <si>
    <t>Dow City</t>
  </si>
  <si>
    <t>debbiefarley96@yahoo.com</t>
  </si>
  <si>
    <t>Deborah Farley</t>
  </si>
  <si>
    <t>170 County Road 281</t>
  </si>
  <si>
    <t>olivia@scottacdemy.net</t>
  </si>
  <si>
    <t>olivia@scottacademy.net</t>
  </si>
  <si>
    <t>Olivia Scott</t>
  </si>
  <si>
    <t>102 S. Market St.</t>
  </si>
  <si>
    <t>P.O. Box 287</t>
  </si>
  <si>
    <t>Bondville</t>
  </si>
  <si>
    <t>ryaniteen@gmail.com</t>
  </si>
  <si>
    <t>Ryan Iteen</t>
  </si>
  <si>
    <t>2975 N 56 Ave.</t>
  </si>
  <si>
    <t>freddie@aucegypt.edu</t>
  </si>
  <si>
    <t>Freddie</t>
  </si>
  <si>
    <t>Thabet</t>
  </si>
  <si>
    <t>Freddie Thabet</t>
  </si>
  <si>
    <t>70 Marghani street</t>
  </si>
  <si>
    <t>Cairo</t>
  </si>
  <si>
    <t>Egypt</t>
  </si>
  <si>
    <t>shady.george98@hotmail.co.uk</t>
  </si>
  <si>
    <t>Shady Thabet</t>
  </si>
  <si>
    <t>70 Marghani Street</t>
  </si>
  <si>
    <t>bethrt3@att.net</t>
  </si>
  <si>
    <t>brredwine@gmail.com</t>
  </si>
  <si>
    <t>Redwine</t>
  </si>
  <si>
    <t>Brandon Redwine</t>
  </si>
  <si>
    <t>1156 Crest Meadow</t>
  </si>
  <si>
    <t>Haslet</t>
  </si>
  <si>
    <t>kyndall.miller30@gmail.com</t>
  </si>
  <si>
    <t>Kyndall</t>
  </si>
  <si>
    <t>Kyndall Miller</t>
  </si>
  <si>
    <t>1500 1st Ave. N.</t>
  </si>
  <si>
    <t>POB 186</t>
  </si>
  <si>
    <t>azgurl4God@hotmail.com</t>
  </si>
  <si>
    <t>emmerzgrace@gmail.com</t>
  </si>
  <si>
    <t>kidrick</t>
  </si>
  <si>
    <t>emma kidrick</t>
  </si>
  <si>
    <t>850 evergreen rd</t>
  </si>
  <si>
    <t>prescott</t>
  </si>
  <si>
    <t>ashacorae43@gmail.com</t>
  </si>
  <si>
    <t>Asha</t>
  </si>
  <si>
    <t>Asha Cooper</t>
  </si>
  <si>
    <t>8333 Fairhaven Drive</t>
  </si>
  <si>
    <t>Gaithersburg</t>
  </si>
  <si>
    <t>llaskin@impulse.net_OLD</t>
  </si>
  <si>
    <t>blaskin@samford.edu</t>
  </si>
  <si>
    <t>Laskin</t>
  </si>
  <si>
    <t>Bethany Laskin</t>
  </si>
  <si>
    <t>5280 Paseo Cameo</t>
  </si>
  <si>
    <t>ranywahba@hotmail.com</t>
  </si>
  <si>
    <t>Rany</t>
  </si>
  <si>
    <t>Wahba</t>
  </si>
  <si>
    <t>Rany Wahba</t>
  </si>
  <si>
    <t>6123 Queens Brigade Court</t>
  </si>
  <si>
    <t>Fairfax</t>
  </si>
  <si>
    <t>ghc95@sbcglobal.net</t>
  </si>
  <si>
    <t>Grayson Cook</t>
  </si>
  <si>
    <t>gnlseven@gmail.com</t>
  </si>
  <si>
    <t>joseflovin@gmail.com</t>
  </si>
  <si>
    <t>Josef</t>
  </si>
  <si>
    <t>Lovin</t>
  </si>
  <si>
    <t>Josef Lovin</t>
  </si>
  <si>
    <t>58301 210th St.</t>
  </si>
  <si>
    <t>Nevada</t>
  </si>
  <si>
    <t>pegsue33@hotmail.com</t>
  </si>
  <si>
    <t>mikelansing20@hotmail.com</t>
  </si>
  <si>
    <t>Michael Lansing</t>
  </si>
  <si>
    <t>2180 Jefferson St.</t>
  </si>
  <si>
    <t>Riverside</t>
  </si>
  <si>
    <t>bebeckygray@hotmail.com</t>
  </si>
  <si>
    <t>grayd15@shelby.k12.mi.us</t>
  </si>
  <si>
    <t>Deanna</t>
  </si>
  <si>
    <t>Deanna Gray</t>
  </si>
  <si>
    <t>785 W Buchanan Rd</t>
  </si>
  <si>
    <t>brandee@calicofamily.com</t>
  </si>
  <si>
    <t>mandee@calicofamily.com</t>
  </si>
  <si>
    <t>Mandee</t>
  </si>
  <si>
    <t>Mandee Knowles</t>
  </si>
  <si>
    <t>3430 Double Tree Ct.</t>
  </si>
  <si>
    <t>marissa@calicofamily.com</t>
  </si>
  <si>
    <t>Marissa Knowles</t>
  </si>
  <si>
    <t>sdryberg@swwnet.com</t>
  </si>
  <si>
    <t>Ryberg</t>
  </si>
  <si>
    <t>Logan Ryberg</t>
  </si>
  <si>
    <t>53310 880th St</t>
  </si>
  <si>
    <t>cms4u@bellsouth.net</t>
  </si>
  <si>
    <t>Courtney Smith</t>
  </si>
  <si>
    <t>6189 NW 53rd Circle</t>
  </si>
  <si>
    <t>brandon.wright24601@gmail.com</t>
  </si>
  <si>
    <t>Brandon Wright</t>
  </si>
  <si>
    <t>7000 Tupa Drive</t>
  </si>
  <si>
    <t>jbschu2@hotmail.com</t>
  </si>
  <si>
    <t>schumacher.181@osu.edu</t>
  </si>
  <si>
    <t>Makaila</t>
  </si>
  <si>
    <t>Schumacher</t>
  </si>
  <si>
    <t>Makaila Schumacher</t>
  </si>
  <si>
    <t>2706 Crawfis Road SE</t>
  </si>
  <si>
    <t>jbthe3rd@hotmail.com</t>
  </si>
  <si>
    <t>Schumacher III</t>
  </si>
  <si>
    <t>Jack Schumacher III</t>
  </si>
  <si>
    <t>iplay88keys@comcast.net</t>
  </si>
  <si>
    <t>teeitagain@gmail.com</t>
  </si>
  <si>
    <t>Alvis</t>
  </si>
  <si>
    <t>Justin Alvis</t>
  </si>
  <si>
    <t>8933 Stonecrest Way</t>
  </si>
  <si>
    <t>klshippy@iname.com</t>
  </si>
  <si>
    <t>jeshippy@iname.com</t>
  </si>
  <si>
    <t>Shippy</t>
  </si>
  <si>
    <t>John Shippy</t>
  </si>
  <si>
    <t>1619 E. Westchester Dr.</t>
  </si>
  <si>
    <t>Tempe</t>
  </si>
  <si>
    <t>monsterx3725@gmail.com</t>
  </si>
  <si>
    <t>Benz</t>
  </si>
  <si>
    <t>Kathryn Benz</t>
  </si>
  <si>
    <t>1304 Granada Ln</t>
  </si>
  <si>
    <t>dareenhabashy@gmail.com</t>
  </si>
  <si>
    <t>Dareenhabashy@gmail.com</t>
  </si>
  <si>
    <t>Dareen</t>
  </si>
  <si>
    <t>Habashy</t>
  </si>
  <si>
    <t>Dareen Habashy</t>
  </si>
  <si>
    <t>10 St el Zohour, Heliopolis</t>
  </si>
  <si>
    <t>joe.yardley@gmail.com</t>
  </si>
  <si>
    <t>Joseph Yardley</t>
  </si>
  <si>
    <t>2409 Providence Hills Dr.</t>
  </si>
  <si>
    <t>jamm0629@comcast.net</t>
  </si>
  <si>
    <t>redeye5288@gmail.com</t>
  </si>
  <si>
    <t>Morales</t>
  </si>
  <si>
    <t>Jordan Morales</t>
  </si>
  <si>
    <t>6594 NW 1st Street</t>
  </si>
  <si>
    <t>Margate</t>
  </si>
  <si>
    <t>Ckuchenbec@gmail.com</t>
  </si>
  <si>
    <t>ckuchenbec@gmail.com</t>
  </si>
  <si>
    <t>Corinna</t>
  </si>
  <si>
    <t>Kuchenbecker</t>
  </si>
  <si>
    <t>Corinna Kuchenbecker</t>
  </si>
  <si>
    <t>6183 NW 56 Drive</t>
  </si>
  <si>
    <t>cnturngren@hotmail.com</t>
  </si>
  <si>
    <t>Turngren</t>
  </si>
  <si>
    <t>Christina Turngren</t>
  </si>
  <si>
    <t>8507 134th Street</t>
  </si>
  <si>
    <t>smith.diana.d@gmail.com</t>
  </si>
  <si>
    <t>smith.c.cotner@gmail.com</t>
  </si>
  <si>
    <t>Colin Smith</t>
  </si>
  <si>
    <t>12003 S. Warpaint Drive</t>
  </si>
  <si>
    <t>llhovy@yahoo.com</t>
  </si>
  <si>
    <t>granthovander@yahoo.com</t>
  </si>
  <si>
    <t>Hovander</t>
  </si>
  <si>
    <t>Grant Hovander</t>
  </si>
  <si>
    <t>11313 Tunnel Hill Way</t>
  </si>
  <si>
    <t>Gold River</t>
  </si>
  <si>
    <t>jghave@bellsouth.net</t>
  </si>
  <si>
    <t>Jack Havelka</t>
  </si>
  <si>
    <t>naples.id@modetransportation.com</t>
  </si>
  <si>
    <t>kylepaulus82@yahoo.com</t>
  </si>
  <si>
    <t>Paulus</t>
  </si>
  <si>
    <t>Kyle Paulus</t>
  </si>
  <si>
    <t>446 Calvary Road</t>
  </si>
  <si>
    <t>anna15ward1996@yahoo.com</t>
  </si>
  <si>
    <t>Anna Ward</t>
  </si>
  <si>
    <t>4765 Knollwood dr.</t>
  </si>
  <si>
    <t>sdburke9@gmail.com</t>
  </si>
  <si>
    <t>Micahike@GMAIL.COM</t>
  </si>
  <si>
    <t>Micah Burke</t>
  </si>
  <si>
    <t>2239 E Appleby Rd</t>
  </si>
  <si>
    <t>lynettemcm@aol.com</t>
  </si>
  <si>
    <t>rmcmi.ircs@gmail.com</t>
  </si>
  <si>
    <t>McMillin</t>
  </si>
  <si>
    <t>Ryan McMillin</t>
  </si>
  <si>
    <t>7288 61 Avenue North</t>
  </si>
  <si>
    <t>St Petersburg</t>
  </si>
  <si>
    <t>CRFrye72@live.com</t>
  </si>
  <si>
    <t>fryej15@shelby.k12.mi.us</t>
  </si>
  <si>
    <t>Jeremiah Frye</t>
  </si>
  <si>
    <t>2790 S 132nd Ave</t>
  </si>
  <si>
    <t>fryez14@shelby.k12.mi.us</t>
  </si>
  <si>
    <t>Zechariah</t>
  </si>
  <si>
    <t>Zechariah Frye</t>
  </si>
  <si>
    <t>madisonschwindenhammer@yahoo.com</t>
  </si>
  <si>
    <t>Schwindenhammer</t>
  </si>
  <si>
    <t>Madison Schwindenhammer</t>
  </si>
  <si>
    <t>6024 S. Hollis Road</t>
  </si>
  <si>
    <t>Bartonville</t>
  </si>
  <si>
    <t>pnchlsn@mtco.com</t>
  </si>
  <si>
    <t>Piper</t>
  </si>
  <si>
    <t>Nicholson</t>
  </si>
  <si>
    <t>Piper Nicholson</t>
  </si>
  <si>
    <t>65 Blackberry Lane</t>
  </si>
  <si>
    <t>Morton</t>
  </si>
  <si>
    <t>lisascottr@yahoo.com</t>
  </si>
  <si>
    <t>iairishgirl@yahoo.com</t>
  </si>
  <si>
    <t>Shannon</t>
  </si>
  <si>
    <t>rickman</t>
  </si>
  <si>
    <t>Shannon rickman</t>
  </si>
  <si>
    <t>8005 S. Clayton Circle</t>
  </si>
  <si>
    <t>sbw@jchristopherwhite.com</t>
  </si>
  <si>
    <t>kmwdancer12@gmail.com</t>
  </si>
  <si>
    <t>Kirsten</t>
  </si>
  <si>
    <t>Kirsten White</t>
  </si>
  <si>
    <t>4126 Ash Court</t>
  </si>
  <si>
    <t>mrtnfamily8@gmail.com_configioDeactivated</t>
  </si>
  <si>
    <t>2of6mrtns@gmail.com</t>
  </si>
  <si>
    <t>Merten</t>
  </si>
  <si>
    <t>Madeline Merten</t>
  </si>
  <si>
    <t>237 Arnica Dr.</t>
  </si>
  <si>
    <t>cierra541@gmail.com</t>
  </si>
  <si>
    <t>Cierra541@gmail.com</t>
  </si>
  <si>
    <t>Cierra</t>
  </si>
  <si>
    <t>Holzboog</t>
  </si>
  <si>
    <t>Cierra Holzboog</t>
  </si>
  <si>
    <t>P.O. Box 423</t>
  </si>
  <si>
    <t>Wasco</t>
  </si>
  <si>
    <t>rlsholmes@yahoo.com</t>
  </si>
  <si>
    <t>shayneh07@yahoo.com</t>
  </si>
  <si>
    <t>Shaynee</t>
  </si>
  <si>
    <t>Shaynee Holmes</t>
  </si>
  <si>
    <t>PO Box 381</t>
  </si>
  <si>
    <t>Kent</t>
  </si>
  <si>
    <t>bobby_labrant@indianrocks.org</t>
  </si>
  <si>
    <t>blabrant1@gmail.com</t>
  </si>
  <si>
    <t>Bobbi</t>
  </si>
  <si>
    <t>LaBrant</t>
  </si>
  <si>
    <t>Bobbi LaBrant</t>
  </si>
  <si>
    <t>14148 Josephine st</t>
  </si>
  <si>
    <t>grace.c.mcclure@gmail.com</t>
  </si>
  <si>
    <t>Grace McClure</t>
  </si>
  <si>
    <t>1513 Tree Farm Drive</t>
  </si>
  <si>
    <t>jcapesn@yahoo.com</t>
  </si>
  <si>
    <t>4555 Hagan Road</t>
  </si>
  <si>
    <t>francesenewland@yahoo.com</t>
  </si>
  <si>
    <t>Frances</t>
  </si>
  <si>
    <t>Frances Newland</t>
  </si>
  <si>
    <t>bdcarlson74@gmail.com</t>
  </si>
  <si>
    <t>stellersue3@gmail.com</t>
  </si>
  <si>
    <t>Esther</t>
  </si>
  <si>
    <t>Esther Carlson</t>
  </si>
  <si>
    <t>11 W. Dogwood RD</t>
  </si>
  <si>
    <t>Pasco</t>
  </si>
  <si>
    <t>ariley95@gmail.com</t>
  </si>
  <si>
    <t>Andrew Riley</t>
  </si>
  <si>
    <t>P.O.Box 172</t>
  </si>
  <si>
    <t>yross.ircs@gmail.com</t>
  </si>
  <si>
    <t>Yuri</t>
  </si>
  <si>
    <t>Yuri Ross</t>
  </si>
  <si>
    <t>12900 Vonn Road</t>
  </si>
  <si>
    <t>Apt. D-201</t>
  </si>
  <si>
    <t>kmaye13@gmail.com</t>
  </si>
  <si>
    <t>Kmaye13@gmail.com</t>
  </si>
  <si>
    <t>Kesley</t>
  </si>
  <si>
    <t>Mayes</t>
  </si>
  <si>
    <t>Kesley Mayes</t>
  </si>
  <si>
    <t>18230 Weatherwood dr</t>
  </si>
  <si>
    <t>cassidishaw@yahoo.com</t>
  </si>
  <si>
    <t>Cassidi</t>
  </si>
  <si>
    <t>Shaw</t>
  </si>
  <si>
    <t>Cassidi Shaw</t>
  </si>
  <si>
    <t>222 MThwy 359</t>
  </si>
  <si>
    <t>deborahjoyful@yahoo.com</t>
  </si>
  <si>
    <t>Kangas</t>
  </si>
  <si>
    <t>Deborah Kangas</t>
  </si>
  <si>
    <t>13016 W 78th St</t>
  </si>
  <si>
    <t>slreiss@windstream.net</t>
  </si>
  <si>
    <t>Caleb Reiss</t>
  </si>
  <si>
    <t>37115 mahoney rd.</t>
  </si>
  <si>
    <t>abbygrace014@yahoo.com</t>
  </si>
  <si>
    <t>Noblett</t>
  </si>
  <si>
    <t>Abigail Noblett</t>
  </si>
  <si>
    <t>1717 W. Shields Dr.</t>
  </si>
  <si>
    <t>Sherman</t>
  </si>
  <si>
    <t>jessiehope00@yahoo.com</t>
  </si>
  <si>
    <t>Jessica Noblett</t>
  </si>
  <si>
    <t>1717 w shields dr</t>
  </si>
  <si>
    <t>basketball694@gmail.com</t>
  </si>
  <si>
    <t>Schaffner</t>
  </si>
  <si>
    <t>Derek Schaffner</t>
  </si>
  <si>
    <t>1119 E London ave.</t>
  </si>
  <si>
    <t>peoria heights</t>
  </si>
  <si>
    <t>kgreen@zioneagles.org</t>
  </si>
  <si>
    <t>skinnyeyesjones9@gmail.com</t>
  </si>
  <si>
    <t>Regan</t>
  </si>
  <si>
    <t>Regan Green</t>
  </si>
  <si>
    <t>6506 Breckenridge Cove</t>
  </si>
  <si>
    <t>calli106@umn.edu</t>
  </si>
  <si>
    <t>Keagan</t>
  </si>
  <si>
    <t>Callis</t>
  </si>
  <si>
    <t>Keagan Callis</t>
  </si>
  <si>
    <t>4035 Nathan Ln N</t>
  </si>
  <si>
    <t>curtis.moody@yahoo.com</t>
  </si>
  <si>
    <t>vance.moody@yahoo.com</t>
  </si>
  <si>
    <t>Vance</t>
  </si>
  <si>
    <t>Moody</t>
  </si>
  <si>
    <t>Vance Moody</t>
  </si>
  <si>
    <t>2011 Fostoria Tram Rd.</t>
  </si>
  <si>
    <t>brooke12erin@gmail.com</t>
  </si>
  <si>
    <t>bsweeneya@gmail.com</t>
  </si>
  <si>
    <t>Brooke Sweeney</t>
  </si>
  <si>
    <t>552 Scarborough Drive</t>
  </si>
  <si>
    <t>Chesapeake</t>
  </si>
  <si>
    <t>doingwhatyoushould@gmail.com</t>
  </si>
  <si>
    <t>Abigail Thompson</t>
  </si>
  <si>
    <t>211 Graham Rd</t>
  </si>
  <si>
    <t>Campbellsville</t>
  </si>
  <si>
    <t>courtneyweso@yahoo.com</t>
  </si>
  <si>
    <t>Courtney Wesolowski</t>
  </si>
  <si>
    <t>1285 Morgan Springs Rd</t>
  </si>
  <si>
    <t>bdevries1ircs@gmail.com</t>
  </si>
  <si>
    <t>Devries</t>
  </si>
  <si>
    <t>Bailey Devries</t>
  </si>
  <si>
    <t>1851 Gulf Blvd</t>
  </si>
  <si>
    <t>Balleair Beach</t>
  </si>
  <si>
    <t>thedunganfamily@gmail.com</t>
  </si>
  <si>
    <t>jdungan7@gmail.com</t>
  </si>
  <si>
    <t>Dungan</t>
  </si>
  <si>
    <t>Jacob Dungan</t>
  </si>
  <si>
    <t>12177 Thompson Road</t>
  </si>
  <si>
    <t>Willis</t>
  </si>
  <si>
    <t>michael_gingras@earthlink.net</t>
  </si>
  <si>
    <t>Michael Gingras</t>
  </si>
  <si>
    <t>1878 Lakeview RD</t>
  </si>
  <si>
    <t>dpetersMU@gmail.com</t>
  </si>
  <si>
    <t>Danae</t>
  </si>
  <si>
    <t>Peters</t>
  </si>
  <si>
    <t>Danae Peters</t>
  </si>
  <si>
    <t>603 South Grand Ave.</t>
  </si>
  <si>
    <t>Chatham</t>
  </si>
  <si>
    <t>jian0510@gmail.com</t>
  </si>
  <si>
    <t>Alicia</t>
  </si>
  <si>
    <t>Cloer</t>
  </si>
  <si>
    <t>Alicia Cloer</t>
  </si>
  <si>
    <t>1605 Beville Drive</t>
  </si>
  <si>
    <t>blangr@consolidated.net</t>
  </si>
  <si>
    <t>armycorp300@yahoo.com</t>
  </si>
  <si>
    <t>Lang</t>
  </si>
  <si>
    <t>Trevor Lang</t>
  </si>
  <si>
    <t>10388 Northridge Dr</t>
  </si>
  <si>
    <t>Conroe</t>
  </si>
  <si>
    <t>ashton_k@sbcglobal.net</t>
  </si>
  <si>
    <t>ashton</t>
  </si>
  <si>
    <t>ashton kuehne</t>
  </si>
  <si>
    <t>gfienemann97@gmail.com</t>
  </si>
  <si>
    <t>Gloria</t>
  </si>
  <si>
    <t>Gloria Fienemann</t>
  </si>
  <si>
    <t>PO Box 2313</t>
  </si>
  <si>
    <t>Peachtre</t>
  </si>
  <si>
    <t>cmezz1912@gmail.com</t>
  </si>
  <si>
    <t>Mezzatesta</t>
  </si>
  <si>
    <t>Christine Mezzatesta</t>
  </si>
  <si>
    <t>105 Saint Andrews Walk</t>
  </si>
  <si>
    <t>chapelfolks@gmail.com</t>
  </si>
  <si>
    <t>mkmshepherdgirl@gmail.com</t>
  </si>
  <si>
    <t>400 Ray Road</t>
  </si>
  <si>
    <t>Sharps Chapel</t>
  </si>
  <si>
    <t>jamesdkopsa@gmail.com</t>
  </si>
  <si>
    <t>Kopsa</t>
  </si>
  <si>
    <t>James Kopsa</t>
  </si>
  <si>
    <t>450 Skyline Dr.</t>
  </si>
  <si>
    <t>Elkhorn</t>
  </si>
  <si>
    <t>deanofit@gmail.com</t>
  </si>
  <si>
    <t>tylerthechessmaster@gmail.com</t>
  </si>
  <si>
    <t>Sjoquist</t>
  </si>
  <si>
    <t>Tyler Sjoquist</t>
  </si>
  <si>
    <t>5230 W 102nd St</t>
  </si>
  <si>
    <t>Apt #210</t>
  </si>
  <si>
    <t>finsaas@tds.net</t>
  </si>
  <si>
    <t>Finsaas</t>
  </si>
  <si>
    <t>Joel Finsaas</t>
  </si>
  <si>
    <t>6820 150th Ave NW</t>
  </si>
  <si>
    <t>New London</t>
  </si>
  <si>
    <t>Tim Finsaas</t>
  </si>
  <si>
    <t>6820 150 Ave NW</t>
  </si>
  <si>
    <t>friesenmitchell@ymail.com</t>
  </si>
  <si>
    <t>Friesen</t>
  </si>
  <si>
    <t>Mitchell Friesen</t>
  </si>
  <si>
    <t>5171 97th St NE</t>
  </si>
  <si>
    <t>JLONG0105@student.pusd11.net</t>
  </si>
  <si>
    <t>Joshua Long</t>
  </si>
  <si>
    <t>8601 N. 103rd. Ave.</t>
  </si>
  <si>
    <t>benner6997@gmail.com</t>
  </si>
  <si>
    <t>Benjamin Anderson</t>
  </si>
  <si>
    <t>17688 Lorence Way</t>
  </si>
  <si>
    <t>hannahthomas@grandecom.net</t>
  </si>
  <si>
    <t>Hannah Thomas</t>
  </si>
  <si>
    <t>2512 W. Dengar Ave.</t>
  </si>
  <si>
    <t>deb.isaac@yahoo.com</t>
  </si>
  <si>
    <t>imhdash@gmail.com</t>
  </si>
  <si>
    <t>Isaac Hans</t>
  </si>
  <si>
    <t>2250 S. 425 W.</t>
  </si>
  <si>
    <t>emilyminahan@yahoo.com</t>
  </si>
  <si>
    <t>Minahan</t>
  </si>
  <si>
    <t>Emily Minahan</t>
  </si>
  <si>
    <t>2313 Calle La Serna</t>
  </si>
  <si>
    <t>San Clemente</t>
  </si>
  <si>
    <t>silverstringsaea@me.com</t>
  </si>
  <si>
    <t>Ainsley</t>
  </si>
  <si>
    <t>Anderton</t>
  </si>
  <si>
    <t>Ainsley Anderton</t>
  </si>
  <si>
    <t>1 Chippewa Lane</t>
  </si>
  <si>
    <t>Sea Ranch Lakes</t>
  </si>
  <si>
    <t>eandp@conwaycorp.net</t>
  </si>
  <si>
    <t>toahero@conwaycorp.net</t>
  </si>
  <si>
    <t>Hopp</t>
  </si>
  <si>
    <t>Andrew Hopp</t>
  </si>
  <si>
    <t>3345 Vineyard Dr</t>
  </si>
  <si>
    <t>Conway</t>
  </si>
  <si>
    <t>website8449@cox.net</t>
  </si>
  <si>
    <t>Cornelius</t>
  </si>
  <si>
    <t>Stephen Cornelius</t>
  </si>
  <si>
    <t>19921 C St</t>
  </si>
  <si>
    <t>proverbs30_31@comcast.net</t>
  </si>
  <si>
    <t>Amanda Page</t>
  </si>
  <si>
    <t>Michael Cornelius</t>
  </si>
  <si>
    <t>bartholowonline@gmail.com</t>
  </si>
  <si>
    <t>pumpkingrace@gmail.com</t>
  </si>
  <si>
    <t>Bartholow</t>
  </si>
  <si>
    <t>Grace Bartholow</t>
  </si>
  <si>
    <t>2450 Summit Drive</t>
  </si>
  <si>
    <t>Santa Rosa</t>
  </si>
  <si>
    <t>tate_bartholow@yahoo.com</t>
  </si>
  <si>
    <t>Tate Bartholow</t>
  </si>
  <si>
    <t>the4turner@gmail.com</t>
  </si>
  <si>
    <t>Lauren Turner</t>
  </si>
  <si>
    <t>4210 Meadowbrook lane</t>
  </si>
  <si>
    <t>christinabantz14@gmail.com</t>
  </si>
  <si>
    <t>Christina Bantz</t>
  </si>
  <si>
    <t>810 Hampton Court</t>
  </si>
  <si>
    <t>226 S Cave Creek Dr.</t>
  </si>
  <si>
    <t>schoolies221@hotmail.com</t>
  </si>
  <si>
    <t>gid_wolfhound737@hotmail.com</t>
  </si>
  <si>
    <t>Gideon</t>
  </si>
  <si>
    <t>Grafe</t>
  </si>
  <si>
    <t>Gideon Grafe</t>
  </si>
  <si>
    <t>P O Box 2689</t>
  </si>
  <si>
    <t>Corrales</t>
  </si>
  <si>
    <t>oligeeb@yahoo.com</t>
  </si>
  <si>
    <t>oligeeh@yahoo.com</t>
  </si>
  <si>
    <t>Oligee</t>
  </si>
  <si>
    <t>Haley Oligee</t>
  </si>
  <si>
    <t>3312 Rome Lane</t>
  </si>
  <si>
    <t>Stevensville</t>
  </si>
  <si>
    <t>sarahmflores28@gmail.com</t>
  </si>
  <si>
    <t>Sarah Flores</t>
  </si>
  <si>
    <t>447 Mcleod St.</t>
  </si>
  <si>
    <t>Livermore</t>
  </si>
  <si>
    <t>nonettegimotea@gmail.com</t>
  </si>
  <si>
    <t>miguelgimotea@gmail.com</t>
  </si>
  <si>
    <t>Miguel</t>
  </si>
  <si>
    <t>Gimotea</t>
  </si>
  <si>
    <t>Miguel Gimotea</t>
  </si>
  <si>
    <t>2315 Devries Lane</t>
  </si>
  <si>
    <t>Palmhurst</t>
  </si>
  <si>
    <t>dawbailey@yahoo.com</t>
  </si>
  <si>
    <t>Makala</t>
  </si>
  <si>
    <t>Makala Bailey</t>
  </si>
  <si>
    <t>173 Oliver Edwards</t>
  </si>
  <si>
    <t>Jonesborough</t>
  </si>
  <si>
    <t>schneidergirls@gmail.com</t>
  </si>
  <si>
    <t>Amelia Schneider</t>
  </si>
  <si>
    <t>18 Phyllis Lane</t>
  </si>
  <si>
    <t>monika@hybinette.com</t>
  </si>
  <si>
    <t>Monika</t>
  </si>
  <si>
    <t>Hybinette</t>
  </si>
  <si>
    <t>Monika Hybinette</t>
  </si>
  <si>
    <t>6471 Crestbrook Dr.</t>
  </si>
  <si>
    <t>Milton Lane</t>
  </si>
  <si>
    <t>debbieschandler@verizon.net</t>
  </si>
  <si>
    <t>gracechandler97@gmail.com</t>
  </si>
  <si>
    <t>Grace Chandler</t>
  </si>
  <si>
    <t>1355 Forest Park Street</t>
  </si>
  <si>
    <t>Martez413@yahoo.com</t>
  </si>
  <si>
    <t>Martez</t>
  </si>
  <si>
    <t>Martez Johnson</t>
  </si>
  <si>
    <t>5720 N. Eastvue</t>
  </si>
  <si>
    <t>khutchins@peoriachristian.org</t>
  </si>
  <si>
    <t>Hutchins</t>
  </si>
  <si>
    <t>Ryan Hutchins</t>
  </si>
  <si>
    <t>6203 N. Post Oak Rd</t>
  </si>
  <si>
    <t>andup8@aol.com</t>
  </si>
  <si>
    <t>parmenter</t>
  </si>
  <si>
    <t>andrew parmenter</t>
  </si>
  <si>
    <t>3730 N. Harmon Ave.</t>
  </si>
  <si>
    <t>peoria</t>
  </si>
  <si>
    <t>d.schaffner000@gmail.com</t>
  </si>
  <si>
    <t>Drew Schaffner</t>
  </si>
  <si>
    <t>1119 E LONDON AVENUE</t>
  </si>
  <si>
    <t>PEORIA HEIGHTS</t>
  </si>
  <si>
    <t>galloways6@bellsouth.net</t>
  </si>
  <si>
    <t>russell.k.galloway@gmail.com</t>
  </si>
  <si>
    <t>Galloway</t>
  </si>
  <si>
    <t>Russell Galloway</t>
  </si>
  <si>
    <t>4144 Stone River Road</t>
  </si>
  <si>
    <t>john@matychuk.net</t>
  </si>
  <si>
    <t>Matychuk</t>
  </si>
  <si>
    <t>John Matychuk</t>
  </si>
  <si>
    <t>4815 S 161 Circle</t>
  </si>
  <si>
    <t>appleg8t@earthlink.net</t>
  </si>
  <si>
    <t>cameron@alex.pcsmed.com</t>
  </si>
  <si>
    <t>Cameron Haley</t>
  </si>
  <si>
    <t>Visalia</t>
  </si>
  <si>
    <t>cheryl.kaye1010@gmail.com</t>
  </si>
  <si>
    <t>Cheryl</t>
  </si>
  <si>
    <t>Wisner</t>
  </si>
  <si>
    <t>Cheryl Wisner</t>
  </si>
  <si>
    <t>1406 Warren Ave</t>
  </si>
  <si>
    <t>ckb2460@gmail.com</t>
  </si>
  <si>
    <t>Caleb Brookins</t>
  </si>
  <si>
    <t>2460NW108th Dr.</t>
  </si>
  <si>
    <t>mschn4@illinois.edu</t>
  </si>
  <si>
    <t>Maxwell Schneider</t>
  </si>
  <si>
    <t>1813 Parkfield Drive</t>
  </si>
  <si>
    <t>Pekin</t>
  </si>
  <si>
    <t>msuttonlcs@aol.com</t>
  </si>
  <si>
    <t>jakesutton5@aol.com</t>
  </si>
  <si>
    <t>Jacob Sutton</t>
  </si>
  <si>
    <t>750 Bray Station Rd.</t>
  </si>
  <si>
    <t>alexnuccio@email.arizona.edu</t>
  </si>
  <si>
    <t>alexander</t>
  </si>
  <si>
    <t>nuccio</t>
  </si>
  <si>
    <t>alexander nuccio</t>
  </si>
  <si>
    <t>4450 e. sierra sunset trail</t>
  </si>
  <si>
    <t>cave creek</t>
  </si>
  <si>
    <t>teresaflowers7@comcast.net</t>
  </si>
  <si>
    <t>ricrocflow@comcast.net</t>
  </si>
  <si>
    <t>Ricky</t>
  </si>
  <si>
    <t>Flowers</t>
  </si>
  <si>
    <t>Ricky Flowers</t>
  </si>
  <si>
    <t>1625 E. Hermosa Dr.</t>
  </si>
  <si>
    <t>mel@zastoupil.org</t>
  </si>
  <si>
    <t>dazastoupil2014@foothillsschool.net</t>
  </si>
  <si>
    <t>Zastoupil</t>
  </si>
  <si>
    <t>Daniel Zastoupil</t>
  </si>
  <si>
    <t>4590 71st Street</t>
  </si>
  <si>
    <t>La Mesa</t>
  </si>
  <si>
    <t>mibry305@gmail.com</t>
  </si>
  <si>
    <t>Bryan Martin</t>
  </si>
  <si>
    <t>19020 SW 89 Ct</t>
  </si>
  <si>
    <t>wisnerjedidiah@yahoo.com</t>
  </si>
  <si>
    <t>Jedidiah</t>
  </si>
  <si>
    <t>Jedidiah Wisner</t>
  </si>
  <si>
    <t>1406 Warren</t>
  </si>
  <si>
    <t>teamborchert@gmail.com</t>
  </si>
  <si>
    <t>defenderofgrace498@gmail.com</t>
  </si>
  <si>
    <t>Borchert</t>
  </si>
  <si>
    <t>Mollie Borchert</t>
  </si>
  <si>
    <t>2965 Royal Pine Drive</t>
  </si>
  <si>
    <t>burns.10@osu.edu</t>
  </si>
  <si>
    <t>jmwright@insight.rr.com</t>
  </si>
  <si>
    <t>John Wright</t>
  </si>
  <si>
    <t>8517 Fallgold Lane</t>
  </si>
  <si>
    <t>julzsilla@gmail.com</t>
  </si>
  <si>
    <t>Julianne</t>
  </si>
  <si>
    <t>Silla</t>
  </si>
  <si>
    <t>Julianne Silla</t>
  </si>
  <si>
    <t>513 Maple Ave.</t>
  </si>
  <si>
    <t>South San Francisco</t>
  </si>
  <si>
    <t>reginahoffman@foothillsschool.net</t>
  </si>
  <si>
    <t>cahoffman2014@foothillsschool.net</t>
  </si>
  <si>
    <t>Hoffman</t>
  </si>
  <si>
    <t>Caleb Hoffman</t>
  </si>
  <si>
    <t>9366 Telkaif St</t>
  </si>
  <si>
    <t>jrannable@comcast.net</t>
  </si>
  <si>
    <t>victoria.annable@yahoo.com</t>
  </si>
  <si>
    <t>Annable</t>
  </si>
  <si>
    <t>Victoria Annable</t>
  </si>
  <si>
    <t>2727 Windwood Drive</t>
  </si>
  <si>
    <t>jroseannable@gmail.com</t>
  </si>
  <si>
    <t>Jenna Annable</t>
  </si>
  <si>
    <t>b.of.god@gmail.com</t>
  </si>
  <si>
    <t>Dustin</t>
  </si>
  <si>
    <t>Scheie</t>
  </si>
  <si>
    <t>Dustin Scheie</t>
  </si>
  <si>
    <t>4860 Blue Spruce Cr.</t>
  </si>
  <si>
    <t>jswemail@juno.com</t>
  </si>
  <si>
    <t>andrewmw1@comcast.net</t>
  </si>
  <si>
    <t>Andrew Williams</t>
  </si>
  <si>
    <t>9900 Oxborough Road</t>
  </si>
  <si>
    <t>we-ski@cox.net</t>
  </si>
  <si>
    <t>Iswim15@cox.net</t>
  </si>
  <si>
    <t>Christensen</t>
  </si>
  <si>
    <t>Elizabeth Christensen</t>
  </si>
  <si>
    <t>7840 Keystone DR</t>
  </si>
  <si>
    <t>ccooper16@comcast.net</t>
  </si>
  <si>
    <t>Charles Cooper</t>
  </si>
  <si>
    <t>3775 Ross Ridge Dr</t>
  </si>
  <si>
    <t>Olive Branch</t>
  </si>
  <si>
    <t>8allens@gmail.com</t>
  </si>
  <si>
    <t>brooke.allen95@yahoo.com</t>
  </si>
  <si>
    <t>Virginia</t>
  </si>
  <si>
    <t>Virginia Allen</t>
  </si>
  <si>
    <t>1606 North Martha Ct</t>
  </si>
  <si>
    <t>Brentwood</t>
  </si>
  <si>
    <t>julianoelcampbell@gmail.com</t>
  </si>
  <si>
    <t>Julia Campbell</t>
  </si>
  <si>
    <t>4041 S.E. Lenore Circle</t>
  </si>
  <si>
    <t>Troutdale</t>
  </si>
  <si>
    <t>dbtdds@gmail.com</t>
  </si>
  <si>
    <t>etslowmoe@gmail.com</t>
  </si>
  <si>
    <t>Ethan Thompson</t>
  </si>
  <si>
    <t>2308 Plymouth Street</t>
  </si>
  <si>
    <t>Blacksburg</t>
  </si>
  <si>
    <t>eacuffman@live.com</t>
  </si>
  <si>
    <t>Eacuffman@live.com</t>
  </si>
  <si>
    <t>Cuffman</t>
  </si>
  <si>
    <t>Elizabeth Cuffman</t>
  </si>
  <si>
    <t>702 State Route 58</t>
  </si>
  <si>
    <t>ethanfriesz@gmail.com</t>
  </si>
  <si>
    <t>Friesz</t>
  </si>
  <si>
    <t>Ethan Friesz</t>
  </si>
  <si>
    <t>33734 Meadow Rd</t>
  </si>
  <si>
    <t>khenney@charter.net</t>
  </si>
  <si>
    <t>Khenney@charter.net</t>
  </si>
  <si>
    <t>Henney</t>
  </si>
  <si>
    <t>David Henney</t>
  </si>
  <si>
    <t>5408 Wedgefield Rd</t>
  </si>
  <si>
    <t>melannallen@gmail.com</t>
  </si>
  <si>
    <t>Melissa Allen</t>
  </si>
  <si>
    <t>4335 133rd Ave. NE</t>
  </si>
  <si>
    <t>Spicer</t>
  </si>
  <si>
    <t>starrfamily@charter.net</t>
  </si>
  <si>
    <t>ejoystarr@gmail.com</t>
  </si>
  <si>
    <t>Starr</t>
  </si>
  <si>
    <t>Emily Starr</t>
  </si>
  <si>
    <t>1300 11th Street SW</t>
  </si>
  <si>
    <t>kwinb@ymail.com</t>
  </si>
  <si>
    <t>Quinn Barnett</t>
  </si>
  <si>
    <t>19015 Barnett Drive</t>
  </si>
  <si>
    <t>Todd</t>
  </si>
  <si>
    <t>sergiojen7@gmail.com</t>
  </si>
  <si>
    <t>sergiosofie@gmail.com</t>
  </si>
  <si>
    <t>sergio</t>
  </si>
  <si>
    <t>Sophia sergio</t>
  </si>
  <si>
    <t>1552 Country Club Dr.</t>
  </si>
  <si>
    <t>Niles</t>
  </si>
  <si>
    <t>juliebjork@gmail.com</t>
  </si>
  <si>
    <t>mallorymbjork@gmail.com</t>
  </si>
  <si>
    <t>Bjork</t>
  </si>
  <si>
    <t>Mallory Bjork</t>
  </si>
  <si>
    <t>1666 540th St.</t>
  </si>
  <si>
    <t>Albert City</t>
  </si>
  <si>
    <t>rfiser@sprintmail.com</t>
  </si>
  <si>
    <t>shootthebreeze32@gmail.com</t>
  </si>
  <si>
    <t>Fiser</t>
  </si>
  <si>
    <t>Hannah Fiser</t>
  </si>
  <si>
    <t>319 Glenside Road</t>
  </si>
  <si>
    <t>Palmer Lake</t>
  </si>
  <si>
    <t>bjorkmadelyn@gmail.com</t>
  </si>
  <si>
    <t>Madelyn</t>
  </si>
  <si>
    <t>Madelyn Bjork</t>
  </si>
  <si>
    <t>jtjochim1@msn.com</t>
  </si>
  <si>
    <t>Jochim</t>
  </si>
  <si>
    <t>Justin Jochim</t>
  </si>
  <si>
    <t>32, 17th Ave. North</t>
  </si>
  <si>
    <t>Hopkins</t>
  </si>
  <si>
    <t>drewby115@gmail.com</t>
  </si>
  <si>
    <t>Drew Pettit</t>
  </si>
  <si>
    <t>bartschfam@juno.com</t>
  </si>
  <si>
    <t>Bartsch</t>
  </si>
  <si>
    <t>Jonathon Bartsch</t>
  </si>
  <si>
    <t>5012 Parkview Drive</t>
  </si>
  <si>
    <t>wfhama@comcast.net</t>
  </si>
  <si>
    <t>mkhama6363@hotmail.com</t>
  </si>
  <si>
    <t>Hamasaki</t>
  </si>
  <si>
    <t>Megan Hamasaki</t>
  </si>
  <si>
    <t>10215 Beacon Ave. S</t>
  </si>
  <si>
    <t>Tukwila</t>
  </si>
  <si>
    <t>jcspeis@verizon.net</t>
  </si>
  <si>
    <t>DarrahBSpeis@Hotmail.com</t>
  </si>
  <si>
    <t>Darrah</t>
  </si>
  <si>
    <t>Speis</t>
  </si>
  <si>
    <t>Darrah Speis</t>
  </si>
  <si>
    <t>15309 Winchester RD SW</t>
  </si>
  <si>
    <t>Cumberland</t>
  </si>
  <si>
    <t>JILEKINS@HUTCHTEL.NET</t>
  </si>
  <si>
    <t>JOSIAHALDRICH@GMAIL.COM</t>
  </si>
  <si>
    <t>JOSIAH</t>
  </si>
  <si>
    <t>ALDRICH</t>
  </si>
  <si>
    <t>JOSIAH ALDRICH</t>
  </si>
  <si>
    <t>PO BOX 125</t>
  </si>
  <si>
    <t>LESTER PRAIRIE</t>
  </si>
  <si>
    <t>bwalsted@gmail.com</t>
  </si>
  <si>
    <t>fwalsted@gmail.com</t>
  </si>
  <si>
    <t>Walsted</t>
  </si>
  <si>
    <t>Forrest Walsted</t>
  </si>
  <si>
    <t>4358 FM 1568</t>
  </si>
  <si>
    <t>speakfriend@charter.net</t>
  </si>
  <si>
    <t>zpederson16@gmail.com</t>
  </si>
  <si>
    <t>Pederson</t>
  </si>
  <si>
    <t>Zachary Pederson</t>
  </si>
  <si>
    <t>2845 13th Street</t>
  </si>
  <si>
    <t>Eau Claire</t>
  </si>
  <si>
    <t>akmcintyre@gmail.com</t>
  </si>
  <si>
    <t>abigail.g.mcintyre@gmail.com</t>
  </si>
  <si>
    <t>McIntyre</t>
  </si>
  <si>
    <t>Abigail McIntyre</t>
  </si>
  <si>
    <t>1017 Callowhill Road</t>
  </si>
  <si>
    <t>Perkasie</t>
  </si>
  <si>
    <t>littlebird480799@gmail.com</t>
  </si>
  <si>
    <t>Aubrey</t>
  </si>
  <si>
    <t>Cunningham</t>
  </si>
  <si>
    <t>Aubrey Cunningham</t>
  </si>
  <si>
    <t>9350 Fredonia Stockton Road</t>
  </si>
  <si>
    <t>jdsatre@juno.com</t>
  </si>
  <si>
    <t>Satre</t>
  </si>
  <si>
    <t>Hannah Satre</t>
  </si>
  <si>
    <t>913 Clinton Avenue</t>
  </si>
  <si>
    <t>lonestarva2@gmail.com</t>
  </si>
  <si>
    <t>cer.squirt@gmail.com</t>
  </si>
  <si>
    <t>Carli</t>
  </si>
  <si>
    <t>Rau</t>
  </si>
  <si>
    <t>Carli Rau</t>
  </si>
  <si>
    <t>5737 Balls Mill Rd</t>
  </si>
  <si>
    <t>samweller16@icloud.com</t>
  </si>
  <si>
    <t>sam</t>
  </si>
  <si>
    <t>Weller</t>
  </si>
  <si>
    <t>sam Weller</t>
  </si>
  <si>
    <t>11793 oval dr east</t>
  </si>
  <si>
    <t>James Mudd</t>
  </si>
  <si>
    <t>1805 S. 34th Place</t>
  </si>
  <si>
    <t>dlbrewster6@yahoo.com</t>
  </si>
  <si>
    <t>mikeydbrewster@yahoo.com</t>
  </si>
  <si>
    <t>Brewster</t>
  </si>
  <si>
    <t>Michael Brewster</t>
  </si>
  <si>
    <t>403 North Glendale Avenue</t>
  </si>
  <si>
    <t>kfujan@ymail.com</t>
  </si>
  <si>
    <t>Kfujan@ymail.com</t>
  </si>
  <si>
    <t>Fujan</t>
  </si>
  <si>
    <t>Kaylee Fujan</t>
  </si>
  <si>
    <t>-8905 north HWS Cleveland Blvd</t>
  </si>
  <si>
    <t>jturner5@q.com</t>
  </si>
  <si>
    <t>Jillian Turner</t>
  </si>
  <si>
    <t>2149 E Cortez Drive</t>
  </si>
  <si>
    <t>shelleyanddan@cox.net</t>
  </si>
  <si>
    <t>laura_christensen95@yahoo.com</t>
  </si>
  <si>
    <t>Laura Christensen</t>
  </si>
  <si>
    <t>7625 Meredith Ave</t>
  </si>
  <si>
    <t>wb0nni@msn.com</t>
  </si>
  <si>
    <t>saraissisters@msn.com</t>
  </si>
  <si>
    <t>Hopper</t>
  </si>
  <si>
    <t>Laura Hopper</t>
  </si>
  <si>
    <t>125 Norbeck Dr.</t>
  </si>
  <si>
    <t>jessica.way15@yahoo.com</t>
  </si>
  <si>
    <t>Way</t>
  </si>
  <si>
    <t>Jessica Way</t>
  </si>
  <si>
    <t>13901 SW 20th Street</t>
  </si>
  <si>
    <t>Davie</t>
  </si>
  <si>
    <t>bendiez94@yahoo.com</t>
  </si>
  <si>
    <t>Williamson</t>
  </si>
  <si>
    <t>Benjamin Williamson</t>
  </si>
  <si>
    <t>22549 62nd rd</t>
  </si>
  <si>
    <t>Burden</t>
  </si>
  <si>
    <t>ajcspeis@hotmail.com</t>
  </si>
  <si>
    <t>Atticus Speis</t>
  </si>
  <si>
    <t>lindsey.jayne.lewin@gmail.com</t>
  </si>
  <si>
    <t>Lewin</t>
  </si>
  <si>
    <t>Lindsey Lewin</t>
  </si>
  <si>
    <t>673 Hickory Way</t>
  </si>
  <si>
    <t>Oneida</t>
  </si>
  <si>
    <t>morningstar@triwest.net</t>
  </si>
  <si>
    <t>bjbecker_27@ymail.com</t>
  </si>
  <si>
    <t>Benjamin Becker</t>
  </si>
  <si>
    <t>W18111 Prairie Road East</t>
  </si>
  <si>
    <t>Osseo</t>
  </si>
  <si>
    <t>victoriabass515@yahoo.com</t>
  </si>
  <si>
    <t>Bass</t>
  </si>
  <si>
    <t>Victoria Bass</t>
  </si>
  <si>
    <t>617 East Broadway St.</t>
  </si>
  <si>
    <t>Three Rivers</t>
  </si>
  <si>
    <t>wordnerd15@gmail.com</t>
  </si>
  <si>
    <t>Busche</t>
  </si>
  <si>
    <t>Christina Busche</t>
  </si>
  <si>
    <t>6701 Copperfield Drive</t>
  </si>
  <si>
    <t>stan@bureks.net</t>
  </si>
  <si>
    <t>Nold</t>
  </si>
  <si>
    <t>Abbey Nold</t>
  </si>
  <si>
    <t>sethc@studyjam.com</t>
  </si>
  <si>
    <t>Gregory Carmody</t>
  </si>
  <si>
    <t>5837 Petersburg lane</t>
  </si>
  <si>
    <t>valerielhall@gmail.com</t>
  </si>
  <si>
    <t>JonDanHall@gmail.com</t>
  </si>
  <si>
    <t>Jon</t>
  </si>
  <si>
    <t>Jon Hall</t>
  </si>
  <si>
    <t>12936 Portland Avenue South</t>
  </si>
  <si>
    <t>chipshungwe@hotmail.com</t>
  </si>
  <si>
    <t>mhungwe@gmail.com</t>
  </si>
  <si>
    <t>Manjere</t>
  </si>
  <si>
    <t>Hungwe</t>
  </si>
  <si>
    <t>Manjere Hungwe</t>
  </si>
  <si>
    <t>903 Franklin Street</t>
  </si>
  <si>
    <t>Houghton</t>
  </si>
  <si>
    <t>drewbie@att.net</t>
  </si>
  <si>
    <t>Drew Fountain</t>
  </si>
  <si>
    <t>3097 Carrie Ln.</t>
  </si>
  <si>
    <t>Leetonia</t>
  </si>
  <si>
    <t>huckabam@yahoo.com</t>
  </si>
  <si>
    <t>MiShai</t>
  </si>
  <si>
    <t>Huckaba</t>
  </si>
  <si>
    <t>MiShai Huckaba</t>
  </si>
  <si>
    <t>PO Box 10</t>
  </si>
  <si>
    <t>kathleenannrn@yahoo.com</t>
  </si>
  <si>
    <t>KathleenAnnRN@yahoo.com</t>
  </si>
  <si>
    <t>Megan Edwards</t>
  </si>
  <si>
    <t>6433 Crystal Mountain Rd</t>
  </si>
  <si>
    <t>tnuccio@cisco.com</t>
  </si>
  <si>
    <t>christopher</t>
  </si>
  <si>
    <t>christopher nuccio</t>
  </si>
  <si>
    <t>graftauctions@fuse.net</t>
  </si>
  <si>
    <t>smartmeg@fuse.net</t>
  </si>
  <si>
    <t>Graft</t>
  </si>
  <si>
    <t>Megan Graft</t>
  </si>
  <si>
    <t>1908 Swan Circle</t>
  </si>
  <si>
    <t>Hebron</t>
  </si>
  <si>
    <t>adameugeneepp@gmail.com</t>
  </si>
  <si>
    <t>Epp</t>
  </si>
  <si>
    <t>Adam Epp</t>
  </si>
  <si>
    <t>308 East Knott St</t>
  </si>
  <si>
    <t>Hesston</t>
  </si>
  <si>
    <t>jangosaiz@yahoo.com</t>
  </si>
  <si>
    <t>Saiz</t>
  </si>
  <si>
    <t>Jared Saiz</t>
  </si>
  <si>
    <t>7018 Western Ave</t>
  </si>
  <si>
    <t>memories@gate.net</t>
  </si>
  <si>
    <t>Crook</t>
  </si>
  <si>
    <t>Rachel Crook</t>
  </si>
  <si>
    <t>211 K Road</t>
  </si>
  <si>
    <t>Piedmont</t>
  </si>
  <si>
    <t>mitch@mycalvary.org</t>
  </si>
  <si>
    <t>norlytheborly@yahoo.com</t>
  </si>
  <si>
    <t>Nora</t>
  </si>
  <si>
    <t>Nora Larson</t>
  </si>
  <si>
    <t>2100 B Street</t>
  </si>
  <si>
    <t>dmhartwell@yahoo.com</t>
  </si>
  <si>
    <t>djhartwell19@yahoo.com</t>
  </si>
  <si>
    <t>Hartwell</t>
  </si>
  <si>
    <t>David Hartwell</t>
  </si>
  <si>
    <t>3441 W. Valley View Dr.</t>
  </si>
  <si>
    <t>Sarah_hartwell@yahoo.com</t>
  </si>
  <si>
    <t>Sarah Hartwell</t>
  </si>
  <si>
    <t>jenwah@fuse.net</t>
  </si>
  <si>
    <t>Wilhelm</t>
  </si>
  <si>
    <t>Jillian Wilhelm</t>
  </si>
  <si>
    <t>3331 Parkhill Dr.</t>
  </si>
  <si>
    <t>Cincinnati</t>
  </si>
  <si>
    <t>hannah_grebe@hotmail.com</t>
  </si>
  <si>
    <t>Grebe</t>
  </si>
  <si>
    <t>Hannah Grebe</t>
  </si>
  <si>
    <t>16146 SW 149th St.</t>
  </si>
  <si>
    <t>Rose Hill</t>
  </si>
  <si>
    <t>karenaknapp@gmail.com</t>
  </si>
  <si>
    <t>ktaknapp@gmail.com</t>
  </si>
  <si>
    <t>Katie Knapp</t>
  </si>
  <si>
    <t>8535 Avens Circle</t>
  </si>
  <si>
    <t>paulfolkers@yahoo.com</t>
  </si>
  <si>
    <t>Jfolkers@ftcpioneers.org</t>
  </si>
  <si>
    <t>Jasmin</t>
  </si>
  <si>
    <t>Folkers</t>
  </si>
  <si>
    <t>Jasmin Folkers</t>
  </si>
  <si>
    <t>5230 county road p37</t>
  </si>
  <si>
    <t>carol@elderjones.com</t>
  </si>
  <si>
    <t>mintchocolate13@gmail.com</t>
  </si>
  <si>
    <t>Elstad</t>
  </si>
  <si>
    <t>Elise Elstad</t>
  </si>
  <si>
    <t>813 Springhill Drive</t>
  </si>
  <si>
    <t>kit@willockdevelopment.com</t>
  </si>
  <si>
    <t>vw9260@gmail.com</t>
  </si>
  <si>
    <t>Willock</t>
  </si>
  <si>
    <t>Virginia Willock</t>
  </si>
  <si>
    <t>310 Hidden Valley Rd.</t>
  </si>
  <si>
    <t>amweb2911@new.rr.com</t>
  </si>
  <si>
    <t>rachel.webster16@new.rr.com</t>
  </si>
  <si>
    <t>Webster</t>
  </si>
  <si>
    <t>Rachel Webster</t>
  </si>
  <si>
    <t>N324 Fieldside Lane</t>
  </si>
  <si>
    <t>mswaitley@yahoo.com</t>
  </si>
  <si>
    <t>cwaitley@ymail.com</t>
  </si>
  <si>
    <t>Carlie</t>
  </si>
  <si>
    <t>Waitley</t>
  </si>
  <si>
    <t>Carlie Waitley</t>
  </si>
  <si>
    <t>33130 Rd 768</t>
  </si>
  <si>
    <t>rraunikar@aol.com</t>
  </si>
  <si>
    <t>annaraunikar@gmail.com</t>
  </si>
  <si>
    <t>Raunikar</t>
  </si>
  <si>
    <t>Anna Raunikar</t>
  </si>
  <si>
    <t>3 Canosa Ct</t>
  </si>
  <si>
    <t>DanielGSawall@yahoo.com</t>
  </si>
  <si>
    <t>Daniel Sawall</t>
  </si>
  <si>
    <t>dragonfly87tm@gmail.com</t>
  </si>
  <si>
    <t>hedgie36rm@gmail.com</t>
  </si>
  <si>
    <t>Rachel McArthur</t>
  </si>
  <si>
    <t>25511 Ipava Ave.</t>
  </si>
  <si>
    <t>kmarie0721@gmail.com</t>
  </si>
  <si>
    <t>Katrina Payne</t>
  </si>
  <si>
    <t>17104 Rainbow Terrace</t>
  </si>
  <si>
    <t>Odessa</t>
  </si>
  <si>
    <t>ernie_richards@ntm.org</t>
  </si>
  <si>
    <t>matthew_rushlow@yahoo.com</t>
  </si>
  <si>
    <t>Richards</t>
  </si>
  <si>
    <t>Levi Richards</t>
  </si>
  <si>
    <t>915 N. Hartwell Ave</t>
  </si>
  <si>
    <t>Waukesha</t>
  </si>
  <si>
    <t>wesleymmyers@gmail.com</t>
  </si>
  <si>
    <t>Wesley Myers</t>
  </si>
  <si>
    <t>3010 Flintwood Dr.</t>
  </si>
  <si>
    <t>daniel@torahtimes.org</t>
  </si>
  <si>
    <t>Shoshanna</t>
  </si>
  <si>
    <t>Gregg</t>
  </si>
  <si>
    <t>Shoshanna Gregg</t>
  </si>
  <si>
    <t>1956 Lobdell Point Road</t>
  </si>
  <si>
    <t>Washington Island</t>
  </si>
  <si>
    <t>miryamdebug@gmail.com</t>
  </si>
  <si>
    <t>Miryam</t>
  </si>
  <si>
    <t>Miryam Gregg</t>
  </si>
  <si>
    <t>1956 Lodell Point Road</t>
  </si>
  <si>
    <t>mikedavis.is58@gmail.com</t>
  </si>
  <si>
    <t>joshuajdavis1996@gmail.com</t>
  </si>
  <si>
    <t>Joshua Davis</t>
  </si>
  <si>
    <t>6928 Candlewick Dr NE</t>
  </si>
  <si>
    <t>Lcbimm@msn.com</t>
  </si>
  <si>
    <t>aliegator1@msn.com</t>
  </si>
  <si>
    <t>Alie</t>
  </si>
  <si>
    <t>Bimm</t>
  </si>
  <si>
    <t>Alie Bimm</t>
  </si>
  <si>
    <t>18470 Appaloosa Rd</t>
  </si>
  <si>
    <t>mnjrush@aol.com</t>
  </si>
  <si>
    <t>jrush242@gmail.com</t>
  </si>
  <si>
    <t>Jenna Rush</t>
  </si>
  <si>
    <t>1936 Brookview Ct.</t>
  </si>
  <si>
    <t>Bloomfield Twp</t>
  </si>
  <si>
    <t>hannahlantz13@gmail.com</t>
  </si>
  <si>
    <t>Lantz</t>
  </si>
  <si>
    <t>Hannah Lantz</t>
  </si>
  <si>
    <t>46751 paradise road</t>
  </si>
  <si>
    <t>ryscoga@live.com</t>
  </si>
  <si>
    <t>Ryder</t>
  </si>
  <si>
    <t>Gaenz</t>
  </si>
  <si>
    <t>Ryder Gaenz</t>
  </si>
  <si>
    <t>11044 NW 19th Manor</t>
  </si>
  <si>
    <t>hollyloveing@gmail.com</t>
  </si>
  <si>
    <t>Loveing</t>
  </si>
  <si>
    <t>Holly Loveing</t>
  </si>
  <si>
    <t>P.O. Box 31</t>
  </si>
  <si>
    <t>keithaprice@me.com</t>
  </si>
  <si>
    <t>savybess@gmail.com</t>
  </si>
  <si>
    <t>Savannah Price</t>
  </si>
  <si>
    <t>6716 E FM 1431</t>
  </si>
  <si>
    <t>Marble Falls</t>
  </si>
  <si>
    <t>luannw_texas@yahoo.com</t>
  </si>
  <si>
    <t>jamie.texas@gmail.com</t>
  </si>
  <si>
    <t>Jamie</t>
  </si>
  <si>
    <t>Jamie Wheeler</t>
  </si>
  <si>
    <t>28134 Canyon Wren Dr.</t>
  </si>
  <si>
    <t>Kenigsberg@juno.com</t>
  </si>
  <si>
    <t>Kenigsberg</t>
  </si>
  <si>
    <t>Ryan Kenigsberg</t>
  </si>
  <si>
    <t>814 54th Avenue Court</t>
  </si>
  <si>
    <t>Matthew Kenigsberg</t>
  </si>
  <si>
    <t>814 54th Ave Court</t>
  </si>
  <si>
    <t>hollykbrant@gmail.com</t>
  </si>
  <si>
    <t>ahannahbrant@gmail.com</t>
  </si>
  <si>
    <t>Brant</t>
  </si>
  <si>
    <t>Abbey Brant</t>
  </si>
  <si>
    <t>4026 Emerald Branch Ln.</t>
  </si>
  <si>
    <t>mountfamily@bellsouth.net</t>
  </si>
  <si>
    <t>ngmount97@gmail.com</t>
  </si>
  <si>
    <t>Mount</t>
  </si>
  <si>
    <t>Natalie Mount</t>
  </si>
  <si>
    <t>10224 Bayart Way</t>
  </si>
  <si>
    <t>clairemhudson4@gmail.com</t>
  </si>
  <si>
    <t>Claire Hudson</t>
  </si>
  <si>
    <t>24 Church Ranches Blvd NW</t>
  </si>
  <si>
    <t>T3R1C1</t>
  </si>
  <si>
    <t>benmmathews@gmail.com</t>
  </si>
  <si>
    <t>Mathews</t>
  </si>
  <si>
    <t>Benjamin Mathews</t>
  </si>
  <si>
    <t>11625 151st Ave. Ct. E.</t>
  </si>
  <si>
    <t>Puyallup</t>
  </si>
  <si>
    <t>onna.scott8900@gmail.com</t>
  </si>
  <si>
    <t>Onna</t>
  </si>
  <si>
    <t>Onna Scott</t>
  </si>
  <si>
    <t>zimsrus5@yahoo.com</t>
  </si>
  <si>
    <t>Zimmerman</t>
  </si>
  <si>
    <t>Jennifer Zimmerman</t>
  </si>
  <si>
    <t>8705 Side Saddle Rd</t>
  </si>
  <si>
    <t>a_vergel@msn.com</t>
  </si>
  <si>
    <t>david.vergel97@gmail.com</t>
  </si>
  <si>
    <t>Vergel</t>
  </si>
  <si>
    <t>David Vergel</t>
  </si>
  <si>
    <t>22432 15th Place W</t>
  </si>
  <si>
    <t>mrgusmiller@gmail.com</t>
  </si>
  <si>
    <t>Jpmiller7015@gmail.com</t>
  </si>
  <si>
    <t>Joshua Miller</t>
  </si>
  <si>
    <t>7015 Beaver Creek Lane</t>
  </si>
  <si>
    <t>joveerod@gmail.com</t>
  </si>
  <si>
    <t>Joveena</t>
  </si>
  <si>
    <t>Joveena Rodriguez</t>
  </si>
  <si>
    <t>514 s. Jack tone Rd</t>
  </si>
  <si>
    <t>Ripon</t>
  </si>
  <si>
    <t>5Poynts4Him@charter.net</t>
  </si>
  <si>
    <t>dpoynt4Him@outlook.com</t>
  </si>
  <si>
    <t>Poynter</t>
  </si>
  <si>
    <t>David Poynter</t>
  </si>
  <si>
    <t>3501 Ellis Street</t>
  </si>
  <si>
    <t>beccaboo572@gmail.com</t>
  </si>
  <si>
    <t>Henkel</t>
  </si>
  <si>
    <t>Rebecca Henkel</t>
  </si>
  <si>
    <t>333 Mette Court</t>
  </si>
  <si>
    <t>Folsom</t>
  </si>
  <si>
    <t>etejano.eun@gmail.com</t>
  </si>
  <si>
    <t>Esther Eunice</t>
  </si>
  <si>
    <t>Tejano</t>
  </si>
  <si>
    <t>Esther Eunice Tejano</t>
  </si>
  <si>
    <t>1200 Creekside Dr. Apt. 1613</t>
  </si>
  <si>
    <t>larinda_horse_chick_@hotmail.com</t>
  </si>
  <si>
    <t>97 Duncan Dist Rd</t>
  </si>
  <si>
    <t>jkslrogers@gmail.com</t>
  </si>
  <si>
    <t>kyle.patrick.rogers@gmail.com</t>
  </si>
  <si>
    <t>Kyle Rogers</t>
  </si>
  <si>
    <t>5730 151st ST SE</t>
  </si>
  <si>
    <t>Everett</t>
  </si>
  <si>
    <t>drewstechsolutions@gmail.com</t>
  </si>
  <si>
    <t>Andrew Webster</t>
  </si>
  <si>
    <t>N324 Fieldside lane</t>
  </si>
  <si>
    <t>eideg_yam@yahoo.com</t>
  </si>
  <si>
    <t>w1442012@apps.losrios.edu</t>
  </si>
  <si>
    <t>Gedie May</t>
  </si>
  <si>
    <t>Licaycay</t>
  </si>
  <si>
    <t>Gedie May Licaycay</t>
  </si>
  <si>
    <t>7836 Creek Valley Circle</t>
  </si>
  <si>
    <t>Sacramento</t>
  </si>
  <si>
    <t>bjwedel@santel.net</t>
  </si>
  <si>
    <t>nathan.sj.wedel@gmail.com</t>
  </si>
  <si>
    <t>Wedel</t>
  </si>
  <si>
    <t>Nathan Wedel</t>
  </si>
  <si>
    <t>19772 409th Ave.</t>
  </si>
  <si>
    <t>Yale</t>
  </si>
  <si>
    <t>bpana12@gmail.com</t>
  </si>
  <si>
    <t>Panaccione</t>
  </si>
  <si>
    <t>Sarah Panaccione</t>
  </si>
  <si>
    <t>6451 E. Hawthorn Dr.</t>
  </si>
  <si>
    <t>Apt A</t>
  </si>
  <si>
    <t>USAFA</t>
  </si>
  <si>
    <t>jljaeb@hotmail.com</t>
  </si>
  <si>
    <t>Jaeb</t>
  </si>
  <si>
    <t>Joel Jaeb</t>
  </si>
  <si>
    <t>2001 Gallagher Rd</t>
  </si>
  <si>
    <t>Dover</t>
  </si>
  <si>
    <t>jaszczak@mtu.edu</t>
  </si>
  <si>
    <t>dcjaszczak@att.net</t>
  </si>
  <si>
    <t>Jaszczak</t>
  </si>
  <si>
    <t>David Jaszczak</t>
  </si>
  <si>
    <t>1104 Summit St.</t>
  </si>
  <si>
    <t>dean.business.only@gmail.com</t>
  </si>
  <si>
    <t>jhd2s8a0c43c@gmail.com</t>
  </si>
  <si>
    <t>Jonathan Dean</t>
  </si>
  <si>
    <t>731 5th Street</t>
  </si>
  <si>
    <t>PO Box 422</t>
  </si>
  <si>
    <t>rljaszcz@mtu.edu</t>
  </si>
  <si>
    <t>Rebecca Jaszczak</t>
  </si>
  <si>
    <t>harleyheidi@creasman.org</t>
  </si>
  <si>
    <t>jesse@creasman.org</t>
  </si>
  <si>
    <t>Creasman</t>
  </si>
  <si>
    <t>Jesse Creasman</t>
  </si>
  <si>
    <t>15931 Promontory Rd,</t>
  </si>
  <si>
    <t>Chino Hills</t>
  </si>
  <si>
    <t>emilylangeland@gmail.com</t>
  </si>
  <si>
    <t>Emily Langeland</t>
  </si>
  <si>
    <t>houstonla223@gmail.com</t>
  </si>
  <si>
    <t>runningfree315@gmail.com</t>
  </si>
  <si>
    <t>Bethany Houston</t>
  </si>
  <si>
    <t>520 Valley Drive</t>
  </si>
  <si>
    <t>Stillman Valley</t>
  </si>
  <si>
    <t>jrosik@att.net</t>
  </si>
  <si>
    <t>arosik67@gmail.com</t>
  </si>
  <si>
    <t>Annalise</t>
  </si>
  <si>
    <t>Rosik</t>
  </si>
  <si>
    <t>Annalise Rosik</t>
  </si>
  <si>
    <t>1352 W Menlo</t>
  </si>
  <si>
    <t>Fresno</t>
  </si>
  <si>
    <t>mckennaquinn.johnson@gmail.com</t>
  </si>
  <si>
    <t>McKenna Johnson</t>
  </si>
  <si>
    <t>243 13th St. NE</t>
  </si>
  <si>
    <t>Byron</t>
  </si>
  <si>
    <t>psalm139wow@juno.com</t>
  </si>
  <si>
    <t>bontragerb@limonbadgers.com</t>
  </si>
  <si>
    <t>Benjamin Bontrager</t>
  </si>
  <si>
    <t>po box 247</t>
  </si>
  <si>
    <t>limon</t>
  </si>
  <si>
    <t>jonesalan@suddenlink.net</t>
  </si>
  <si>
    <t>Dakotaj45@hotmail.com</t>
  </si>
  <si>
    <t>Dakota Jones</t>
  </si>
  <si>
    <t>5009 Diamond Drive</t>
  </si>
  <si>
    <t>katelynescott11@gmail.com</t>
  </si>
  <si>
    <t>Katelyn Scott</t>
  </si>
  <si>
    <t>3125 Emerson Place</t>
  </si>
  <si>
    <t>kierstenmallory@gmail.com</t>
  </si>
  <si>
    <t>Kiersten</t>
  </si>
  <si>
    <t>Kiersten Mallory</t>
  </si>
  <si>
    <t>2333 S US Highway 287</t>
  </si>
  <si>
    <t>bcrempel95@gmail.com</t>
  </si>
  <si>
    <t>calebrempel@yahoo.com</t>
  </si>
  <si>
    <t>Rempel</t>
  </si>
  <si>
    <t>Caleb Rempel</t>
  </si>
  <si>
    <t>721 Basinger Memorial Drive</t>
  </si>
  <si>
    <t>Mountain Lake</t>
  </si>
  <si>
    <t>kellym6896@yahoo.com</t>
  </si>
  <si>
    <t>meatstick5411@gmail.com</t>
  </si>
  <si>
    <t>Tyler Morgan</t>
  </si>
  <si>
    <t>1524 5th Ave</t>
  </si>
  <si>
    <t>idiotsguidetoannalise@yahoo.com</t>
  </si>
  <si>
    <t>Wainwright</t>
  </si>
  <si>
    <t>Annalise Wainwright</t>
  </si>
  <si>
    <t>2420 20th Ave. S</t>
  </si>
  <si>
    <t>Apt. 307</t>
  </si>
  <si>
    <t>Fargo</t>
  </si>
  <si>
    <t>bibaherman@gmail.com</t>
  </si>
  <si>
    <t>iherman14@gmail.com</t>
  </si>
  <si>
    <t>Herman</t>
  </si>
  <si>
    <t>Isabella Herman</t>
  </si>
  <si>
    <t>1501 S CLINTON ST</t>
  </si>
  <si>
    <t>FORT WAYNE</t>
  </si>
  <si>
    <t>thevickerys@mac.com</t>
  </si>
  <si>
    <t>allyvick96@gmail.com</t>
  </si>
  <si>
    <t>Vickery</t>
  </si>
  <si>
    <t>Allison Vickery</t>
  </si>
  <si>
    <t>10530 Windjammer Ct.</t>
  </si>
  <si>
    <t>daykayurek@att.net</t>
  </si>
  <si>
    <t>rubberducky737@gmail.com</t>
  </si>
  <si>
    <t>Yurek</t>
  </si>
  <si>
    <t>Lydia Yurek</t>
  </si>
  <si>
    <t>5122 Woodside Court</t>
  </si>
  <si>
    <t>Carmel</t>
  </si>
  <si>
    <t>jamerboth@gmail.com</t>
  </si>
  <si>
    <t>joseph.merboth@gmail.com</t>
  </si>
  <si>
    <t>Merboth</t>
  </si>
  <si>
    <t>Joseph Merboth</t>
  </si>
  <si>
    <t>730 Conestoga Trail</t>
  </si>
  <si>
    <t>daniel.j.merboth@gmail.com</t>
  </si>
  <si>
    <t>Daniel Merboth</t>
  </si>
  <si>
    <t>b.edyn@yahoo.com</t>
  </si>
  <si>
    <t>Edyn</t>
  </si>
  <si>
    <t>Ballard</t>
  </si>
  <si>
    <t>Edyn Ballard</t>
  </si>
  <si>
    <t>1503 W Raymond Rd</t>
  </si>
  <si>
    <t>slipperylisa@gmail.com</t>
  </si>
  <si>
    <t>Lisa Emmert</t>
  </si>
  <si>
    <t>47451 M-26</t>
  </si>
  <si>
    <t>ericanickel@sbcglobal.net</t>
  </si>
  <si>
    <t>Nickel</t>
  </si>
  <si>
    <t>Erica Nickel</t>
  </si>
  <si>
    <t>221 Brook Lane Ave.</t>
  </si>
  <si>
    <t>ian.austin97@gmail.com</t>
  </si>
  <si>
    <t>Carmichael</t>
  </si>
  <si>
    <t>Ian Carmichael</t>
  </si>
  <si>
    <t>910 Santee Drive</t>
  </si>
  <si>
    <t>Florence</t>
  </si>
  <si>
    <t>nhlkenny19@gmail.com</t>
  </si>
  <si>
    <t>kenneth</t>
  </si>
  <si>
    <t>fuller</t>
  </si>
  <si>
    <t>kenneth fuller</t>
  </si>
  <si>
    <t>5417 county RD 579</t>
  </si>
  <si>
    <t>Seffner</t>
  </si>
  <si>
    <t>onenisly4him@gmail.com</t>
  </si>
  <si>
    <t>Nisly</t>
  </si>
  <si>
    <t>Jonathan Nisly</t>
  </si>
  <si>
    <t>PO Box 238</t>
  </si>
  <si>
    <t>Sioux Narrows</t>
  </si>
  <si>
    <t>P0X1N0</t>
  </si>
  <si>
    <t>max8beta@gmail.com</t>
  </si>
  <si>
    <t>jpdonahoo@liberty.edu</t>
  </si>
  <si>
    <t>Donahoo</t>
  </si>
  <si>
    <t>Jason Donahoo</t>
  </si>
  <si>
    <t>1086 McKnights Way</t>
  </si>
  <si>
    <t>darastill5@aol.com</t>
  </si>
  <si>
    <t>stillamanda00@gmail.com</t>
  </si>
  <si>
    <t>Still</t>
  </si>
  <si>
    <t>Amanda Still</t>
  </si>
  <si>
    <t>439 Jefferson St.</t>
  </si>
  <si>
    <t>marywrennclark@gmail.com</t>
  </si>
  <si>
    <t>Davidsamuelclark@gmail.com</t>
  </si>
  <si>
    <t>David Clark</t>
  </si>
  <si>
    <t>6641 Kilimanjaro Drive</t>
  </si>
  <si>
    <t>beachym1@yahoo.com</t>
  </si>
  <si>
    <t>Beachy</t>
  </si>
  <si>
    <t>Megan Beachy</t>
  </si>
  <si>
    <t>900 Thornapple Grove</t>
  </si>
  <si>
    <t>pinkandblackjazz@hotmail.com</t>
  </si>
  <si>
    <t>Calise</t>
  </si>
  <si>
    <t>Neitzell</t>
  </si>
  <si>
    <t>Calise Neitzell</t>
  </si>
  <si>
    <t>412 1st ST SE</t>
  </si>
  <si>
    <t>kellyandnathan@yahoo.com</t>
  </si>
  <si>
    <t>Snackjam1@yahoo.com</t>
  </si>
  <si>
    <t>Fleming</t>
  </si>
  <si>
    <t>Nathan Fleming</t>
  </si>
  <si>
    <t>3800 NW 54th</t>
  </si>
  <si>
    <t>kb2atarcza@yahoo.com</t>
  </si>
  <si>
    <t>at216@st-andrews.ac.uk</t>
  </si>
  <si>
    <t>Tarcza</t>
  </si>
  <si>
    <t>Anna Tarcza</t>
  </si>
  <si>
    <t>106 Duncannon Road</t>
  </si>
  <si>
    <t>Bel Air</t>
  </si>
  <si>
    <t>julisita123@gmail.com</t>
  </si>
  <si>
    <t>Julissa</t>
  </si>
  <si>
    <t>Decima</t>
  </si>
  <si>
    <t>Julissa Decima</t>
  </si>
  <si>
    <t>2683 via de la valle</t>
  </si>
  <si>
    <t>suite g-350</t>
  </si>
  <si>
    <t>del mar</t>
  </si>
  <si>
    <t>morejoy13@comcast.net</t>
  </si>
  <si>
    <t>HannahAnne58@gmail.com</t>
  </si>
  <si>
    <t>Gary</t>
  </si>
  <si>
    <t>Hannah Gary</t>
  </si>
  <si>
    <t>7478 Lou Lane</t>
  </si>
  <si>
    <t>mechanicsville</t>
  </si>
  <si>
    <t>ivoryfingers@windowslive.com</t>
  </si>
  <si>
    <t>Hansen</t>
  </si>
  <si>
    <t>Jane Hansen</t>
  </si>
  <si>
    <t>14109 Kirkland Ridge</t>
  </si>
  <si>
    <t>imac.thims@gmail.com</t>
  </si>
  <si>
    <t>Camille Smith</t>
  </si>
  <si>
    <t>12500 Santa Lucia Road</t>
  </si>
  <si>
    <t>Atascadero</t>
  </si>
  <si>
    <t>naomi@thecrouses.com</t>
  </si>
  <si>
    <t>glcrouse1@gmail.com</t>
  </si>
  <si>
    <t>Crouse</t>
  </si>
  <si>
    <t>Gilbert Crouse</t>
  </si>
  <si>
    <t>PO Box 3779</t>
  </si>
  <si>
    <t>gehrtj@yahoo.com</t>
  </si>
  <si>
    <t>Gehrt</t>
  </si>
  <si>
    <t>Jonah Gehrt</t>
  </si>
  <si>
    <t>813 8th Ave NW</t>
  </si>
  <si>
    <t>jayne.janowski@gmail.com</t>
  </si>
  <si>
    <t>Jayne</t>
  </si>
  <si>
    <t>Janowski</t>
  </si>
  <si>
    <t>Jayne Janowski</t>
  </si>
  <si>
    <t>tylerwhiteheadphotography@gmail.com</t>
  </si>
  <si>
    <t>Whitehead</t>
  </si>
  <si>
    <t>Tyler Whitehead</t>
  </si>
  <si>
    <t>14481 via venezia #709</t>
  </si>
  <si>
    <t>san diego</t>
  </si>
  <si>
    <t>jleeschmitt@yahoo.com</t>
  </si>
  <si>
    <t>cschmitt97@gmail.com</t>
  </si>
  <si>
    <t>James Schmitt</t>
  </si>
  <si>
    <t>80 Walker Road</t>
  </si>
  <si>
    <t>crosstribemom@yahoo.com</t>
  </si>
  <si>
    <t>Bonnie Cross</t>
  </si>
  <si>
    <t>PO Box 4697</t>
  </si>
  <si>
    <t>beckyliz16@yahoo.com</t>
  </si>
  <si>
    <t>Rebekah Abbey</t>
  </si>
  <si>
    <t>6770 County Road 129</t>
  </si>
  <si>
    <t>Ovid</t>
  </si>
  <si>
    <t>meant2shine4him@gmail.com</t>
  </si>
  <si>
    <t>Meant2shine4him@gmail.com</t>
  </si>
  <si>
    <t>Reynolds</t>
  </si>
  <si>
    <t>Sarah Reynolds</t>
  </si>
  <si>
    <t>33255 Hickory Ave</t>
  </si>
  <si>
    <t>Sioux City</t>
  </si>
  <si>
    <t>jwreynolds14@gmail.com</t>
  </si>
  <si>
    <t>Jwreynolds14@gmail.com</t>
  </si>
  <si>
    <t>Kirsten Reynolds</t>
  </si>
  <si>
    <t>Hickory avenue</t>
  </si>
  <si>
    <t>Sioux city</t>
  </si>
  <si>
    <t>6-jenksters@comcast.net</t>
  </si>
  <si>
    <t>bradleigh.jenkins17@gmail.com</t>
  </si>
  <si>
    <t>Bradleigh</t>
  </si>
  <si>
    <t>Bradleigh Jenkins</t>
  </si>
  <si>
    <t>2449 Bitterroot Circle</t>
  </si>
  <si>
    <t>lordsendmez@gmail.com</t>
  </si>
  <si>
    <t>Elizabeth Reynolds</t>
  </si>
  <si>
    <t>33255 Hickory Ave.</t>
  </si>
  <si>
    <t>Matthew Reynolds</t>
  </si>
  <si>
    <t>Siuox City</t>
  </si>
  <si>
    <t>bobbi.wood@charter.net</t>
  </si>
  <si>
    <t>danwood95@outlook.com</t>
  </si>
  <si>
    <t>Daniel Wood</t>
  </si>
  <si>
    <t>21897 Peepsock Road</t>
  </si>
  <si>
    <t>smiller@fremontchristian.com</t>
  </si>
  <si>
    <t>Nickyreads@yahoo.com</t>
  </si>
  <si>
    <t>Nicole Miller</t>
  </si>
  <si>
    <t>11377 Sunrise Ct</t>
  </si>
  <si>
    <t>Rancho Cucamonga</t>
  </si>
  <si>
    <t>wintera6615@iowalakes.edu</t>
  </si>
  <si>
    <t>Abigail Winter</t>
  </si>
  <si>
    <t>1710 540th Ave</t>
  </si>
  <si>
    <t>Armstrong</t>
  </si>
  <si>
    <t>tweeterfantasy@gmail.com</t>
  </si>
  <si>
    <t>Mallory Smith</t>
  </si>
  <si>
    <t>pinehillacres@juno.com</t>
  </si>
  <si>
    <t>martenspreston@gmail.com</t>
  </si>
  <si>
    <t>Preston</t>
  </si>
  <si>
    <t>Preston Martens</t>
  </si>
  <si>
    <t>51552 180th Street</t>
  </si>
  <si>
    <t>johnmark.shields13087@lexschools.org</t>
  </si>
  <si>
    <t>JohnMark</t>
  </si>
  <si>
    <t>Shields</t>
  </si>
  <si>
    <t>JohnMark Shields</t>
  </si>
  <si>
    <t>101 Apache</t>
  </si>
  <si>
    <t>noel@brettadams.com</t>
  </si>
  <si>
    <t>eliza@brettadams.com</t>
  </si>
  <si>
    <t>Eliza Adams</t>
  </si>
  <si>
    <t>1914 Stonehenge Cove</t>
  </si>
  <si>
    <t>annabeth.fly.payne@gmail.com</t>
  </si>
  <si>
    <t>Annabeth</t>
  </si>
  <si>
    <t>Annabeth Payne</t>
  </si>
  <si>
    <t>9265 White Blossom Way</t>
  </si>
  <si>
    <t>kenthaeffner@hotmail.com</t>
  </si>
  <si>
    <t>Haeffner</t>
  </si>
  <si>
    <t>William Haeffner</t>
  </si>
  <si>
    <t>6620 NE 21 Ave</t>
  </si>
  <si>
    <t>Fort Lauderdale</t>
  </si>
  <si>
    <t>natthevet@yahoo.com</t>
  </si>
  <si>
    <t>Natalie Miller</t>
  </si>
  <si>
    <t>correenjones@yahoo.com</t>
  </si>
  <si>
    <t>ks_jones57@yahoo.com</t>
  </si>
  <si>
    <t>Kyler Jones</t>
  </si>
  <si>
    <t>1531 Main St. South</t>
  </si>
  <si>
    <t>alltiredout@juno.com</t>
  </si>
  <si>
    <t>ultimatecoltsfan@hotmail.com</t>
  </si>
  <si>
    <t>Busenitz</t>
  </si>
  <si>
    <t>Trevor Busenitz</t>
  </si>
  <si>
    <t>2141 Boyd</t>
  </si>
  <si>
    <t>the1angel@gmail.com</t>
  </si>
  <si>
    <t>Miguel Dean</t>
  </si>
  <si>
    <t>alotamiles@yahoo.com</t>
  </si>
  <si>
    <t>CD3203@k12.sd.us</t>
  </si>
  <si>
    <t>Cortney</t>
  </si>
  <si>
    <t>Dowling</t>
  </si>
  <si>
    <t>Cortney Dowling</t>
  </si>
  <si>
    <t>318 N. Jefferson Ave.</t>
  </si>
  <si>
    <t>bgm@gotvc.net</t>
  </si>
  <si>
    <t>Moser V</t>
  </si>
  <si>
    <t>John Moser V</t>
  </si>
  <si>
    <t>P.O. box 397</t>
  </si>
  <si>
    <t>Waitsburg</t>
  </si>
  <si>
    <t>riss.728@hotmail.com</t>
  </si>
  <si>
    <t>Fuchser</t>
  </si>
  <si>
    <t>Marissa Fuchser</t>
  </si>
  <si>
    <t>8400 W Trevisa Ct.</t>
  </si>
  <si>
    <t>Malcolm</t>
  </si>
  <si>
    <t>kimmcleod68@hotmail.com</t>
  </si>
  <si>
    <t>cam4christ96@gmail.com</t>
  </si>
  <si>
    <t>McLeod</t>
  </si>
  <si>
    <t>Christian McLeod</t>
  </si>
  <si>
    <t>6619 Pisgah Church Road</t>
  </si>
  <si>
    <t>fiveroses@bellsouth.net</t>
  </si>
  <si>
    <t>Rose</t>
  </si>
  <si>
    <t>Sarah Rose</t>
  </si>
  <si>
    <t>9646 Lehigh ave.</t>
  </si>
  <si>
    <t>steve@mycalvary.org</t>
  </si>
  <si>
    <t>emily</t>
  </si>
  <si>
    <t>anderson</t>
  </si>
  <si>
    <t>emily anderson</t>
  </si>
  <si>
    <t>1735 north 70th street</t>
  </si>
  <si>
    <t>lincoln</t>
  </si>
  <si>
    <t>roepcke@verizon.net</t>
  </si>
  <si>
    <t>djinpa14@gmail.com</t>
  </si>
  <si>
    <t>Roepcke</t>
  </si>
  <si>
    <t>Deanna Roepcke</t>
  </si>
  <si>
    <t>347 Green Valley Road</t>
  </si>
  <si>
    <t>Langhorne</t>
  </si>
  <si>
    <t>cheyenneprevatt@gmail.com</t>
  </si>
  <si>
    <t>Cheyenne</t>
  </si>
  <si>
    <t>Prevatt</t>
  </si>
  <si>
    <t>Cheyenne Prevatt</t>
  </si>
  <si>
    <t>519 W. 12th St.</t>
  </si>
  <si>
    <t>Goodland</t>
  </si>
  <si>
    <t>sportsfanzach71@gmail.com</t>
  </si>
  <si>
    <t>Zachary Lee</t>
  </si>
  <si>
    <t>2020 S 112th St</t>
  </si>
  <si>
    <t>webbk948@gmail.com</t>
  </si>
  <si>
    <t>Kayla Webb</t>
  </si>
  <si>
    <t>3397 Adrian Ave</t>
  </si>
  <si>
    <t>Kaleb Rose</t>
  </si>
  <si>
    <t>9646 Lehigh Ave</t>
  </si>
  <si>
    <t>Alvarado.Cruz01@gmail.com</t>
  </si>
  <si>
    <t>Diego</t>
  </si>
  <si>
    <t>Alvarado</t>
  </si>
  <si>
    <t>Diego Alvarado</t>
  </si>
  <si>
    <t>1841 East Erie Street</t>
  </si>
  <si>
    <t>deb.moe@frontier.com</t>
  </si>
  <si>
    <t>sangwoo122996@gmail.com</t>
  </si>
  <si>
    <t>SangWoo</t>
  </si>
  <si>
    <t>SangWoo Kim</t>
  </si>
  <si>
    <t>14157 Flagstone Trail</t>
  </si>
  <si>
    <t>va4millers@verizon.net</t>
  </si>
  <si>
    <t>Moriah Miller</t>
  </si>
  <si>
    <t>15333 Colonel Tansill</t>
  </si>
  <si>
    <t>Woodbridge</t>
  </si>
  <si>
    <t>sophiadanielson@gmail.com</t>
  </si>
  <si>
    <t>Danielson</t>
  </si>
  <si>
    <t>Sophia Danielson</t>
  </si>
  <si>
    <t>7620 Lonergan Court</t>
  </si>
  <si>
    <t>jj4moore@comcast.net</t>
  </si>
  <si>
    <t>robertmoore8957@gmail.com</t>
  </si>
  <si>
    <t>Robert Moore</t>
  </si>
  <si>
    <t>8957 E. Cedar Hill Place</t>
  </si>
  <si>
    <t>Lone Tree</t>
  </si>
  <si>
    <t>dcrawford@mchsi.com</t>
  </si>
  <si>
    <t>fishhunter1104@gmail.com</t>
  </si>
  <si>
    <t>Hunter Crawford</t>
  </si>
  <si>
    <t>5224 waterbury rd</t>
  </si>
  <si>
    <t>moun</t>
  </si>
  <si>
    <t>prestonsmith@bellsouth.net</t>
  </si>
  <si>
    <t>GymDawg33@gmail.com</t>
  </si>
  <si>
    <t>Christina Smith</t>
  </si>
  <si>
    <t>3271 Circle Oaks Dr SE</t>
  </si>
  <si>
    <t>Atlanta</t>
  </si>
  <si>
    <t>no1spidermanfan@yahoo.com</t>
  </si>
  <si>
    <t>Nicholas Peters</t>
  </si>
  <si>
    <t>376 Grant Street</t>
  </si>
  <si>
    <t>PO Box 134</t>
  </si>
  <si>
    <t>Walden</t>
  </si>
  <si>
    <t>justineferry422@gmail.com</t>
  </si>
  <si>
    <t>Heaththeman14@gmail.com</t>
  </si>
  <si>
    <t>Heathman</t>
  </si>
  <si>
    <t>Ferry</t>
  </si>
  <si>
    <t>Heathman Ferry</t>
  </si>
  <si>
    <t>355 Hoyt ST SE</t>
  </si>
  <si>
    <t>anna.simmler@gmail.com</t>
  </si>
  <si>
    <t>Simmler</t>
  </si>
  <si>
    <t>Anna Simmler</t>
  </si>
  <si>
    <t>253 Centre Street</t>
  </si>
  <si>
    <t>Bath</t>
  </si>
  <si>
    <t>crazycolors7@gmail.com</t>
  </si>
  <si>
    <t>Michelle Hickman</t>
  </si>
  <si>
    <t>2218 W. Ridge Pointe Ave</t>
  </si>
  <si>
    <t>Nampa</t>
  </si>
  <si>
    <t>tcasen@windstream.net</t>
  </si>
  <si>
    <t>jorcase@yahoo.com</t>
  </si>
  <si>
    <t>Case</t>
  </si>
  <si>
    <t>Jordan Case</t>
  </si>
  <si>
    <t>1576 Prairie Ln</t>
  </si>
  <si>
    <t>ashleyhickman2015@gmail.com</t>
  </si>
  <si>
    <t>Ashley Hickman</t>
  </si>
  <si>
    <t>2218 W. Ridge Pointe Ave.</t>
  </si>
  <si>
    <t>dhaze93963@isp.com</t>
  </si>
  <si>
    <t>Rockderm@yahoo.com</t>
  </si>
  <si>
    <t>Abigail Miller</t>
  </si>
  <si>
    <t>457 Preston Drive</t>
  </si>
  <si>
    <t>Harrisonburg</t>
  </si>
  <si>
    <t>somboss42@gmail.com</t>
  </si>
  <si>
    <t>white</t>
  </si>
  <si>
    <t>joshua white</t>
  </si>
  <si>
    <t>950 W 12th</t>
  </si>
  <si>
    <t>njmonseth@gmail.com</t>
  </si>
  <si>
    <t>jake041497@gmail.com</t>
  </si>
  <si>
    <t>Monseth</t>
  </si>
  <si>
    <t>Jacob Monseth</t>
  </si>
  <si>
    <t>223 Cherrywood Ave NW</t>
  </si>
  <si>
    <t>St. Michael</t>
  </si>
  <si>
    <t>lynmorris9@aol.com</t>
  </si>
  <si>
    <t>micah.morris42@gmail.com</t>
  </si>
  <si>
    <t>Micah Morris</t>
  </si>
  <si>
    <t>3644 El Grande Court</t>
  </si>
  <si>
    <t>isaacpearson25@gmail.com</t>
  </si>
  <si>
    <t>Isaac Pearson</t>
  </si>
  <si>
    <t>2600 crystal dr</t>
  </si>
  <si>
    <t>ian-mcclure@comcast.net</t>
  </si>
  <si>
    <t>ian</t>
  </si>
  <si>
    <t>mcclure</t>
  </si>
  <si>
    <t>ian mcclure</t>
  </si>
  <si>
    <t>buzysinger3@gmail.com</t>
  </si>
  <si>
    <t>a.carlton@students.clark.edu</t>
  </si>
  <si>
    <t>Carlton</t>
  </si>
  <si>
    <t>Alexandria Carlton</t>
  </si>
  <si>
    <t>5202 Texana Dr</t>
  </si>
  <si>
    <t>#611</t>
  </si>
  <si>
    <t>tessabrooke@live.com</t>
  </si>
  <si>
    <t>Voccola</t>
  </si>
  <si>
    <t>Tessa Voccola</t>
  </si>
  <si>
    <t>620 West 2nd North Street</t>
  </si>
  <si>
    <t>blankismyname@gmail.com</t>
  </si>
  <si>
    <t>Corry</t>
  </si>
  <si>
    <t>Corry Weldon</t>
  </si>
  <si>
    <t>6064 Vista Linda Ln</t>
  </si>
  <si>
    <t>choice.avera97@yahoo.com</t>
  </si>
  <si>
    <t>Daniella</t>
  </si>
  <si>
    <t>Daniella Anderson</t>
  </si>
  <si>
    <t>38 Trotters Circle</t>
  </si>
  <si>
    <t>Delaware</t>
  </si>
  <si>
    <t>dheinle@embarqmail.com</t>
  </si>
  <si>
    <t>rebekahheinle@gmail.com</t>
  </si>
  <si>
    <t>Heinle</t>
  </si>
  <si>
    <t>Rebekah Heinle</t>
  </si>
  <si>
    <t>4246 Milligans Cove Rd</t>
  </si>
  <si>
    <t>Manns Choice</t>
  </si>
  <si>
    <t>maners@aircanopy.net</t>
  </si>
  <si>
    <t>maners.adam@gmail.com</t>
  </si>
  <si>
    <t>Maners</t>
  </si>
  <si>
    <t>Adam Maners</t>
  </si>
  <si>
    <t>430 Country Ridge Lane</t>
  </si>
  <si>
    <t>Red Oak</t>
  </si>
  <si>
    <t>kristinhill5@msn.com</t>
  </si>
  <si>
    <t>Mallory Hill</t>
  </si>
  <si>
    <t>7301 Ridgemong Dr</t>
  </si>
  <si>
    <t>webe1wells@aol.com</t>
  </si>
  <si>
    <t>jacklyn2wells@gmail.com</t>
  </si>
  <si>
    <t>Jacklyn</t>
  </si>
  <si>
    <t>Wells</t>
  </si>
  <si>
    <t>Jacklyn Wells</t>
  </si>
  <si>
    <t>817 Del Oro Dr</t>
  </si>
  <si>
    <t>Ojai</t>
  </si>
  <si>
    <t>bpiner@itechjax.com</t>
  </si>
  <si>
    <t>dpiner@itechjax.com</t>
  </si>
  <si>
    <t>Piner</t>
  </si>
  <si>
    <t>Daniel Piner</t>
  </si>
  <si>
    <t>1920 Covemont Ct</t>
  </si>
  <si>
    <t>Middleburg</t>
  </si>
  <si>
    <t>ladanielson13130@gmail.com</t>
  </si>
  <si>
    <t>Luke Danielson</t>
  </si>
  <si>
    <t>7620 lonergan court</t>
  </si>
  <si>
    <t>don_hartman@yahoo.com</t>
  </si>
  <si>
    <t>brendan.hartman@tcu.edu</t>
  </si>
  <si>
    <t>Hartman</t>
  </si>
  <si>
    <t>Brendan Hartman</t>
  </si>
  <si>
    <t>1017 Sir Lancelot Circle</t>
  </si>
  <si>
    <t>nhloewen@hotmail.com</t>
  </si>
  <si>
    <t>bjloewen2014@hotmail.com</t>
  </si>
  <si>
    <t>Loewen</t>
  </si>
  <si>
    <t>Benjamin Loewen</t>
  </si>
  <si>
    <t>1820 Valley View Ct</t>
  </si>
  <si>
    <t>Huron</t>
  </si>
  <si>
    <t>lo1girl@hotmail.com</t>
  </si>
  <si>
    <t>Julianne Loewen</t>
  </si>
  <si>
    <t>1820 Valley View Court</t>
  </si>
  <si>
    <t>mom5and1@yahoo.com</t>
  </si>
  <si>
    <t>madams7.1@netzero.net</t>
  </si>
  <si>
    <t>Jennifer Adams</t>
  </si>
  <si>
    <t>40 Bellmawr Dr</t>
  </si>
  <si>
    <t>jill</t>
  </si>
  <si>
    <t>adams</t>
  </si>
  <si>
    <t>jill adams</t>
  </si>
  <si>
    <t>crystalelkins@sbcglobal.net</t>
  </si>
  <si>
    <t>noahdelkins@yahoo.com</t>
  </si>
  <si>
    <t>Elkins</t>
  </si>
  <si>
    <t>Noah Elkins</t>
  </si>
  <si>
    <t>2188 Co. St. 2830</t>
  </si>
  <si>
    <t>Chickasha</t>
  </si>
  <si>
    <t>bbpmep@gmail.com</t>
  </si>
  <si>
    <t>Bbpmep@gmail.com</t>
  </si>
  <si>
    <t>Pennington</t>
  </si>
  <si>
    <t>Kathryn Pennington</t>
  </si>
  <si>
    <t>1880 Anasazi Ct.</t>
  </si>
  <si>
    <t>gamble.luke1@gmail.com</t>
  </si>
  <si>
    <t>Luke Gamble</t>
  </si>
  <si>
    <t>11970 Combes Park Drive</t>
  </si>
  <si>
    <t>Boise</t>
  </si>
  <si>
    <t>kgudeman2012@embarqmail.com</t>
  </si>
  <si>
    <t>Kate</t>
  </si>
  <si>
    <t>Gudeman</t>
  </si>
  <si>
    <t>Kate Gudeman</t>
  </si>
  <si>
    <t>1941 N. U.S. 35</t>
  </si>
  <si>
    <t>Winamac</t>
  </si>
  <si>
    <t>michellevolgren@gmail.com</t>
  </si>
  <si>
    <t>A.volgren25@gmail.com</t>
  </si>
  <si>
    <t>Volgren</t>
  </si>
  <si>
    <t>Anna Volgren</t>
  </si>
  <si>
    <t>7414 Hydram Ave. S.</t>
  </si>
  <si>
    <t>Cottage Grove</t>
  </si>
  <si>
    <t>bktmkt@msn.com</t>
  </si>
  <si>
    <t>rachel_l_taylor@hotmail.com</t>
  </si>
  <si>
    <t>Rachel Taylor</t>
  </si>
  <si>
    <t>8475 Boone Rd.</t>
  </si>
  <si>
    <t>Yoder</t>
  </si>
  <si>
    <t>littleredpg@yahoo.com</t>
  </si>
  <si>
    <t>Riley Lambert</t>
  </si>
  <si>
    <t>10308 Chauncey Circle</t>
  </si>
  <si>
    <t>mysdpadres@gmail.com</t>
  </si>
  <si>
    <t>Hewitt</t>
  </si>
  <si>
    <t>Mikaela Hewitt</t>
  </si>
  <si>
    <t>3246 Arroyo Verde Court</t>
  </si>
  <si>
    <t>tdoster94@hotmail.com</t>
  </si>
  <si>
    <t>cjdoster@ncsu.edu</t>
  </si>
  <si>
    <t>Cassie</t>
  </si>
  <si>
    <t>Doster</t>
  </si>
  <si>
    <t>Cassie Doster</t>
  </si>
  <si>
    <t>2343 Clarks Chapel Rd</t>
  </si>
  <si>
    <t>Fanklin</t>
  </si>
  <si>
    <t>Boone_Powell@baylor.edu</t>
  </si>
  <si>
    <t>Boone</t>
  </si>
  <si>
    <t>Boone Powell</t>
  </si>
  <si>
    <t>1036 Liberty Park Drive #36</t>
  </si>
  <si>
    <t>sagetheule@gmail.com</t>
  </si>
  <si>
    <t>Sage</t>
  </si>
  <si>
    <t>Theule</t>
  </si>
  <si>
    <t>Sage Theule</t>
  </si>
  <si>
    <t>142 Corralitos Rd</t>
  </si>
  <si>
    <t>Arroyo Grande</t>
  </si>
  <si>
    <t>ncderoos@cableone.net</t>
  </si>
  <si>
    <t>ntderoos@gmail.com</t>
  </si>
  <si>
    <t>DeRoos</t>
  </si>
  <si>
    <t>Noah DeRoos</t>
  </si>
  <si>
    <t>1 Rose Lane</t>
  </si>
  <si>
    <t>Dhaze93963@isp.com</t>
  </si>
  <si>
    <t>Murray</t>
  </si>
  <si>
    <t>Josiah Murray</t>
  </si>
  <si>
    <t>512 Painter Road</t>
  </si>
  <si>
    <t>Fall Branch</t>
  </si>
  <si>
    <t>hannah.mcclendon@gmail.com</t>
  </si>
  <si>
    <t>McClendon</t>
  </si>
  <si>
    <t>Hannah McClendon</t>
  </si>
  <si>
    <t>1951 Preserve Drive</t>
  </si>
  <si>
    <t>bibisisi@gmail.com</t>
  </si>
  <si>
    <t>pauljjang77@gmail.com</t>
  </si>
  <si>
    <t>Jang</t>
  </si>
  <si>
    <t>Paul Jang</t>
  </si>
  <si>
    <t>3016 Oak Park Cir NE</t>
  </si>
  <si>
    <t>gsmith561@yahoo.com</t>
  </si>
  <si>
    <t>christiansmith561@yahoo.com</t>
  </si>
  <si>
    <t>Christian Smith</t>
  </si>
  <si>
    <t>4062 Oxbow Drive</t>
  </si>
  <si>
    <t>Coconut Creek</t>
  </si>
  <si>
    <t>samsiy@cox.net</t>
  </si>
  <si>
    <t>graciesiy@gmail.com</t>
  </si>
  <si>
    <t>Siy</t>
  </si>
  <si>
    <t>Grace Siy</t>
  </si>
  <si>
    <t>104 S. 51st Street</t>
  </si>
  <si>
    <t>woodak@mosquitonet.com</t>
  </si>
  <si>
    <t>im.living.4.the.lord@gmail.com</t>
  </si>
  <si>
    <t>Kiana</t>
  </si>
  <si>
    <t>Kiana Wood</t>
  </si>
  <si>
    <t>3843 Old Nenana Hwy.</t>
  </si>
  <si>
    <t>thelundys@q.com</t>
  </si>
  <si>
    <t>klundycap@gmail.com</t>
  </si>
  <si>
    <t>Lundy</t>
  </si>
  <si>
    <t>Kirby Lundy</t>
  </si>
  <si>
    <t>8533 10th Street SE</t>
  </si>
  <si>
    <t>Buffalo</t>
  </si>
  <si>
    <t>jweisser@lps.org</t>
  </si>
  <si>
    <t>jorgiaweisser042@hotmail.com</t>
  </si>
  <si>
    <t>Jorgia</t>
  </si>
  <si>
    <t>Weisser</t>
  </si>
  <si>
    <t>Jorgia Weisser</t>
  </si>
  <si>
    <t>1524 West Lake Court</t>
  </si>
  <si>
    <t>merrymaidsdairy@gmail.com</t>
  </si>
  <si>
    <t>Chloe Stokes</t>
  </si>
  <si>
    <t>poyntesb@uwec.edu</t>
  </si>
  <si>
    <t>Stephen Poynter</t>
  </si>
  <si>
    <t>3501 Ellis St</t>
  </si>
  <si>
    <t>joshnavin24@hotmail.com</t>
  </si>
  <si>
    <t>Joshnavin24@hotmail.com</t>
  </si>
  <si>
    <t>Navin</t>
  </si>
  <si>
    <t>Joshua Navin</t>
  </si>
  <si>
    <t>HMLA-169 ORD BOX 555781</t>
  </si>
  <si>
    <t>Camp Pendleton</t>
  </si>
  <si>
    <t>mltx2@sbcglobal.net</t>
  </si>
  <si>
    <t>s.thompson9@ymail.com</t>
  </si>
  <si>
    <t>Seth Thompson</t>
  </si>
  <si>
    <t>24141 Olivera Drive</t>
  </si>
  <si>
    <t>Mission Viejo</t>
  </si>
  <si>
    <t>gregfryhomes@yahoo.com</t>
  </si>
  <si>
    <t>frytalitha9@yahoo.com</t>
  </si>
  <si>
    <t>Talitha</t>
  </si>
  <si>
    <t>Fry</t>
  </si>
  <si>
    <t>Talitha Fry</t>
  </si>
  <si>
    <t>2492 Garner Field Rd.</t>
  </si>
  <si>
    <t>Uvalde</t>
  </si>
  <si>
    <t>mmm101695@yahoo.com</t>
  </si>
  <si>
    <t>McKelvey</t>
  </si>
  <si>
    <t>Maggie McKelvey</t>
  </si>
  <si>
    <t>39119 Prentiss Road</t>
  </si>
  <si>
    <t>Apt 106</t>
  </si>
  <si>
    <t>Harrison Township</t>
  </si>
  <si>
    <t>dtbg@aol.com</t>
  </si>
  <si>
    <t>bunheaded@gmail.com</t>
  </si>
  <si>
    <t>Calvert</t>
  </si>
  <si>
    <t>Bonnie Calvert</t>
  </si>
  <si>
    <t>25301 W. Riverside Street</t>
  </si>
  <si>
    <t>Buckeye</t>
  </si>
  <si>
    <t>alexmon223@gmail.com</t>
  </si>
  <si>
    <t>Alexander Monseth</t>
  </si>
  <si>
    <t>gmm606@hotmail.com</t>
  </si>
  <si>
    <t>Margaret</t>
  </si>
  <si>
    <t>McGraw</t>
  </si>
  <si>
    <t>Margaret McGraw</t>
  </si>
  <si>
    <t>1344 Reid Farm Road</t>
  </si>
  <si>
    <t>quietlives@cableone.net</t>
  </si>
  <si>
    <t>darbyd7@ymail.com</t>
  </si>
  <si>
    <t>Carlstrom</t>
  </si>
  <si>
    <t>Bridget Carlstrom</t>
  </si>
  <si>
    <t>783 Forest Glen</t>
  </si>
  <si>
    <t>mamierose@ymail.com</t>
  </si>
  <si>
    <t>Mamie</t>
  </si>
  <si>
    <t>Mamie Carlstrom</t>
  </si>
  <si>
    <t>s.fishcanfly@live.com</t>
  </si>
  <si>
    <t>Shade</t>
  </si>
  <si>
    <t>Fish</t>
  </si>
  <si>
    <t>Shade Fish</t>
  </si>
  <si>
    <t>316 Mina Lane</t>
  </si>
  <si>
    <t>Grants Pass</t>
  </si>
  <si>
    <t>trevor0423@gmail.com</t>
  </si>
  <si>
    <t>Pereira</t>
  </si>
  <si>
    <t>Trevor Pereira</t>
  </si>
  <si>
    <t>231 Riverfront Terrace Apt 310</t>
  </si>
  <si>
    <t>faganfamily777@gmail.com</t>
  </si>
  <si>
    <t>tdfagan@presby.edu</t>
  </si>
  <si>
    <t>Fagan</t>
  </si>
  <si>
    <t>Tyler Fagan</t>
  </si>
  <si>
    <t>3653 West John Paul Jones Road</t>
  </si>
  <si>
    <t>Timmonsville</t>
  </si>
  <si>
    <t>cssmuk@ameritech.net</t>
  </si>
  <si>
    <t>Smuk</t>
  </si>
  <si>
    <t>Charles Smuk</t>
  </si>
  <si>
    <t>3317 Harvest Ridge Rd.</t>
  </si>
  <si>
    <t>Geneva</t>
  </si>
  <si>
    <t>forhmblack1@yahoo.com</t>
  </si>
  <si>
    <t>Black</t>
  </si>
  <si>
    <t>Hannah Black</t>
  </si>
  <si>
    <t>16701 NW 40th St.</t>
  </si>
  <si>
    <t>kwoodford7@gmail.com</t>
  </si>
  <si>
    <t>ewoodford7@gmail.com</t>
  </si>
  <si>
    <t>Woodford</t>
  </si>
  <si>
    <t>Elizabeth Woodford</t>
  </si>
  <si>
    <t>115 Huntington Place</t>
  </si>
  <si>
    <t>green4u63@gmail.com</t>
  </si>
  <si>
    <t>Jesse Denton</t>
  </si>
  <si>
    <t>135 E Ahlvers Rd</t>
  </si>
  <si>
    <t>Port Angeles</t>
  </si>
  <si>
    <t>mikenjoan5@gmail.com</t>
  </si>
  <si>
    <t>Nitschke</t>
  </si>
  <si>
    <t>Tracy Nitschke</t>
  </si>
  <si>
    <t>banjosings44@gmail.com</t>
  </si>
  <si>
    <t>Banjosings44@gmail.com</t>
  </si>
  <si>
    <t>Evangeline Edwards</t>
  </si>
  <si>
    <t>5453 Wolf Point Trail</t>
  </si>
  <si>
    <t>skrotenberry@gmail.com</t>
  </si>
  <si>
    <t>Suzannah</t>
  </si>
  <si>
    <t>Rotenberry</t>
  </si>
  <si>
    <t>Suzannah Rotenberry</t>
  </si>
  <si>
    <t>11 Monte Tierra Trail</t>
  </si>
  <si>
    <t>Alabaster</t>
  </si>
  <si>
    <t>gbbemail-gen@yahoo.com</t>
  </si>
  <si>
    <t>Love2bake14@gmail.com</t>
  </si>
  <si>
    <t>Elena</t>
  </si>
  <si>
    <t>Balmaseda</t>
  </si>
  <si>
    <t>Elena Balmaseda</t>
  </si>
  <si>
    <t>45 Camino Azulejo</t>
  </si>
  <si>
    <t>we8hills@yahoo.com</t>
  </si>
  <si>
    <t>rebekahanne123@yahoo.com</t>
  </si>
  <si>
    <t>Rebekah Hill</t>
  </si>
  <si>
    <t>1936 Willow Springs Way</t>
  </si>
  <si>
    <t>melissa.roberson@cox.net</t>
  </si>
  <si>
    <t>p.roberson@cox.net</t>
  </si>
  <si>
    <t>Roberson</t>
  </si>
  <si>
    <t>Patricia Roberson</t>
  </si>
  <si>
    <t>1854 E. Grand Canyon Drive</t>
  </si>
  <si>
    <t>voellerjt@gmail.com</t>
  </si>
  <si>
    <t>john</t>
  </si>
  <si>
    <t>voeller</t>
  </si>
  <si>
    <t>john voeller</t>
  </si>
  <si>
    <t>218 2nd ave ne</t>
  </si>
  <si>
    <t>aberdeen</t>
  </si>
  <si>
    <t>critter895@hotmail.com</t>
  </si>
  <si>
    <t>Christina Hall</t>
  </si>
  <si>
    <t>2417 Belmont Place</t>
  </si>
  <si>
    <t>knucal@yahoo.com</t>
  </si>
  <si>
    <t>Nucal</t>
  </si>
  <si>
    <t>Katrina Nucal</t>
  </si>
  <si>
    <t>8370 Chevalier Way</t>
  </si>
  <si>
    <t>gibrigg@yahoo.com</t>
  </si>
  <si>
    <t>dana.rigg@outlook.com</t>
  </si>
  <si>
    <t>Rigg</t>
  </si>
  <si>
    <t>Dana Rigg</t>
  </si>
  <si>
    <t>2846 Stratford Glen Way</t>
  </si>
  <si>
    <t>Charlottesville</t>
  </si>
  <si>
    <t>millers@hur.midco.net</t>
  </si>
  <si>
    <t>Sadie</t>
  </si>
  <si>
    <t>Merchant</t>
  </si>
  <si>
    <t>Sadie Merchant</t>
  </si>
  <si>
    <t>1135 Dakota Ave S</t>
  </si>
  <si>
    <t>calebme97@gmail.com</t>
  </si>
  <si>
    <t>Caleb Eash</t>
  </si>
  <si>
    <t>strikeyercolors@yahoo.com</t>
  </si>
  <si>
    <t>hollywoodwillowhamster@yahoo.com</t>
  </si>
  <si>
    <t>Alouette</t>
  </si>
  <si>
    <t>Alouette Pettit</t>
  </si>
  <si>
    <t>810 Camille Ct</t>
  </si>
  <si>
    <t>popgang1@msn.com</t>
  </si>
  <si>
    <t>sodapork@gmail.com</t>
  </si>
  <si>
    <t>Popham</t>
  </si>
  <si>
    <t>John Popham</t>
  </si>
  <si>
    <t>12436 Killigay Lane</t>
  </si>
  <si>
    <t>pamelagates1@comcast.net</t>
  </si>
  <si>
    <t>dylan.gates7@gmail.com</t>
  </si>
  <si>
    <t>Dylan Gates</t>
  </si>
  <si>
    <t>5555 S. Sedalia St.</t>
  </si>
  <si>
    <t>tmuckelr@gmail.com</t>
  </si>
  <si>
    <t>ajellomuckler@gmail.com</t>
  </si>
  <si>
    <t>Muckelrath</t>
  </si>
  <si>
    <t>Annie Muckelrath</t>
  </si>
  <si>
    <t>2903 Aylesbury St. NW</t>
  </si>
  <si>
    <t>North Canton</t>
  </si>
  <si>
    <t>mmuckelr@kent.edu</t>
  </si>
  <si>
    <t>Michaela Muckelrath</t>
  </si>
  <si>
    <t>lindatimms@me.com</t>
  </si>
  <si>
    <t>racheltimms@me.com</t>
  </si>
  <si>
    <t>Timms</t>
  </si>
  <si>
    <t>Rachel Timms</t>
  </si>
  <si>
    <t>R R #5</t>
  </si>
  <si>
    <t>Stony Plain</t>
  </si>
  <si>
    <t>T7Z 1X5</t>
  </si>
  <si>
    <t>hannahtimms@me.com</t>
  </si>
  <si>
    <t>Hannah Timms</t>
  </si>
  <si>
    <t>R.R. #5</t>
  </si>
  <si>
    <t>T7Z-1X5</t>
  </si>
  <si>
    <t>dcranefam@juno.com</t>
  </si>
  <si>
    <t>crane</t>
  </si>
  <si>
    <t>hannah crane</t>
  </si>
  <si>
    <t>13081 corinth rd</t>
  </si>
  <si>
    <t>ivor</t>
  </si>
  <si>
    <t>josiahcrane@gmail.com</t>
  </si>
  <si>
    <t>josiah</t>
  </si>
  <si>
    <t>josiah crane</t>
  </si>
  <si>
    <t>lesliecurls@cornerstoneguitar.com</t>
  </si>
  <si>
    <t>heroguy@cornerstoneguitar.com</t>
  </si>
  <si>
    <t>Tiago</t>
  </si>
  <si>
    <t>Marreiros</t>
  </si>
  <si>
    <t>Tiago Marreiros</t>
  </si>
  <si>
    <t>5102 Gillingham Circle</t>
  </si>
  <si>
    <t>lbricco@sbcglobal.net</t>
  </si>
  <si>
    <t>msbricco@gmail.com</t>
  </si>
  <si>
    <t>Bricco</t>
  </si>
  <si>
    <t>Mitchell Bricco</t>
  </si>
  <si>
    <t>2395 W Capitol Dr</t>
  </si>
  <si>
    <t>epewald10@yahoo.com</t>
  </si>
  <si>
    <t>Ewald</t>
  </si>
  <si>
    <t>Elizabeth Ewald</t>
  </si>
  <si>
    <t>2763 Sarandi Grande Dr.</t>
  </si>
  <si>
    <t>Hacienda Heights</t>
  </si>
  <si>
    <t>ilovemime1@gmail.com</t>
  </si>
  <si>
    <t>Titus</t>
  </si>
  <si>
    <t>Schurter</t>
  </si>
  <si>
    <t>Titus Schurter</t>
  </si>
  <si>
    <t>12429 N 143rd St E</t>
  </si>
  <si>
    <t>rhondaathome@comcast.net</t>
  </si>
  <si>
    <t>Abigail Elliott</t>
  </si>
  <si>
    <t>8430 Newcombe Street</t>
  </si>
  <si>
    <t>cchapbay@gmail.com</t>
  </si>
  <si>
    <t>Carter Baynard</t>
  </si>
  <si>
    <t>2300 Hopedale Ave</t>
  </si>
  <si>
    <t>tmuckelr@kent.edu</t>
  </si>
  <si>
    <t>shrimpybrooke@yahoo.com</t>
  </si>
  <si>
    <t>Hayleigh</t>
  </si>
  <si>
    <t>Hayleigh Muckelrath</t>
  </si>
  <si>
    <t>shamrox12@comcast.net</t>
  </si>
  <si>
    <t>julie_69@live.com</t>
  </si>
  <si>
    <t>Finn</t>
  </si>
  <si>
    <t>Julie Finn</t>
  </si>
  <si>
    <t>1309 Tehama Ave</t>
  </si>
  <si>
    <t>Oroville</t>
  </si>
  <si>
    <t>emahsmith@mac.com</t>
  </si>
  <si>
    <t>Jordansmith8301@gmail.com</t>
  </si>
  <si>
    <t>Jordan Smith</t>
  </si>
  <si>
    <t>5605 CR 1440</t>
  </si>
  <si>
    <t>peachmail@comcast.net</t>
  </si>
  <si>
    <t>conservativepatriot@comcast.net</t>
  </si>
  <si>
    <t>Fink</t>
  </si>
  <si>
    <t>Benjamin Fink</t>
  </si>
  <si>
    <t>4400 Winding Way</t>
  </si>
  <si>
    <t>karen@vanzwedens.com</t>
  </si>
  <si>
    <t>aaronvz223@gmail.com</t>
  </si>
  <si>
    <t>Van Zweden</t>
  </si>
  <si>
    <t>Aaron Van Zweden</t>
  </si>
  <si>
    <t>2241 S. Hoyt Ct</t>
  </si>
  <si>
    <t>jdixon@southernhand.com</t>
  </si>
  <si>
    <t>Ashlyn Dixon</t>
  </si>
  <si>
    <t>5341 Dee Cove</t>
  </si>
  <si>
    <t>TaeAhn@letu.edu</t>
  </si>
  <si>
    <t>TaeHo</t>
  </si>
  <si>
    <t>Ahn</t>
  </si>
  <si>
    <t>TaeHo Ahn</t>
  </si>
  <si>
    <t>CPO #48 Letourneau University</t>
  </si>
  <si>
    <t>2100 S. Mobberly Ave.</t>
  </si>
  <si>
    <t>april_robbins@comcast.net</t>
  </si>
  <si>
    <t>kayla.robbins@comcast.net</t>
  </si>
  <si>
    <t>Robbins</t>
  </si>
  <si>
    <t>Kayla Robbins</t>
  </si>
  <si>
    <t>6064 S. Perth Street</t>
  </si>
  <si>
    <t>sanjaeb@msn.com</t>
  </si>
  <si>
    <t>Joseph Jaeb</t>
  </si>
  <si>
    <t>finkmail@comcast.net</t>
  </si>
  <si>
    <t>american1776@comcast.net</t>
  </si>
  <si>
    <t>Jacob Fink</t>
  </si>
  <si>
    <t>lvcg@yadtel.net</t>
  </si>
  <si>
    <t>kaitlinthomas37@gmail.com</t>
  </si>
  <si>
    <t>Kaitlin Thomas</t>
  </si>
  <si>
    <t>135 Pless Lane</t>
  </si>
  <si>
    <t>kbrr@reagan.com</t>
  </si>
  <si>
    <t>coeyjefferson@yahoo.com</t>
  </si>
  <si>
    <t>Jefferson</t>
  </si>
  <si>
    <t>Alexander Jefferson</t>
  </si>
  <si>
    <t>1330 Vauxhall Pl.</t>
  </si>
  <si>
    <t>khanson@tolcs.org</t>
  </si>
  <si>
    <t>caroline.hanson@tolcs.org</t>
  </si>
  <si>
    <t>Hanson</t>
  </si>
  <si>
    <t>Caroline Hanson</t>
  </si>
  <si>
    <t>5622 Dorsey drive</t>
  </si>
  <si>
    <t>karenjwatterson@gmail.com</t>
  </si>
  <si>
    <t>wfwatterson@gmail.com</t>
  </si>
  <si>
    <t>Watterson</t>
  </si>
  <si>
    <t>William Watterson</t>
  </si>
  <si>
    <t>13671 Glendower Rd</t>
  </si>
  <si>
    <t>Midlothian</t>
  </si>
  <si>
    <t>jmilton.milton@gmail.com</t>
  </si>
  <si>
    <t>Milton</t>
  </si>
  <si>
    <t>Jessica Milton</t>
  </si>
  <si>
    <t>1110 County Road 89</t>
  </si>
  <si>
    <t>Camp Hill</t>
  </si>
  <si>
    <t>s2olson@icloud.com</t>
  </si>
  <si>
    <t>olsonset@shelllake.k12.wi.us</t>
  </si>
  <si>
    <t>Seth Olson</t>
  </si>
  <si>
    <t>1446 Hilltop Rd.</t>
  </si>
  <si>
    <t>Shell Lake</t>
  </si>
  <si>
    <t>tamara.pool@mchsi.com</t>
  </si>
  <si>
    <t>phantom.exe.coded@gmail.com</t>
  </si>
  <si>
    <t>Theodore Pool</t>
  </si>
  <si>
    <t>3831 36th Street</t>
  </si>
  <si>
    <t>joshuamark0211@gmail.com</t>
  </si>
  <si>
    <t>Castillo</t>
  </si>
  <si>
    <t>Joshua Castillo</t>
  </si>
  <si>
    <t>8817 Penticton ct</t>
  </si>
  <si>
    <t>Bakersfield</t>
  </si>
  <si>
    <t>marisagcousino@gmail.com</t>
  </si>
  <si>
    <t>Marisa</t>
  </si>
  <si>
    <t>Cousino</t>
  </si>
  <si>
    <t>Marisa Cousino</t>
  </si>
  <si>
    <t>139 Creek Lane</t>
  </si>
  <si>
    <t>Silverthorne</t>
  </si>
  <si>
    <t>r_bassett62@msn.com</t>
  </si>
  <si>
    <t>sarahrbassett16@gmail.com</t>
  </si>
  <si>
    <t>Bassett</t>
  </si>
  <si>
    <t>Sarah Bassett</t>
  </si>
  <si>
    <t>4112 73rd Place</t>
  </si>
  <si>
    <t>katz@tctwest.net</t>
  </si>
  <si>
    <t>Katz</t>
  </si>
  <si>
    <t>Noah Katz</t>
  </si>
  <si>
    <t>676 Avenue D</t>
  </si>
  <si>
    <t>dtotes@ymail.com</t>
  </si>
  <si>
    <t>Chantel</t>
  </si>
  <si>
    <t>Chantel Edwards</t>
  </si>
  <si>
    <t>P.O. Box 2295</t>
  </si>
  <si>
    <t>paulkflora@yahoo.com</t>
  </si>
  <si>
    <t>Flora</t>
  </si>
  <si>
    <t>Paul Flora</t>
  </si>
  <si>
    <t>3335 Monaghan st</t>
  </si>
  <si>
    <t>Dublin</t>
  </si>
  <si>
    <t>prahlow.tama@gmail.com</t>
  </si>
  <si>
    <t>1212 W Galien Buchanan Rd</t>
  </si>
  <si>
    <t>thegrindleys@gmail.com</t>
  </si>
  <si>
    <t>drewcan1@gmail.com</t>
  </si>
  <si>
    <t>Grindley</t>
  </si>
  <si>
    <t>Andrew Grindley</t>
  </si>
  <si>
    <t>587 Ripplewater Drive</t>
  </si>
  <si>
    <t>hansamerika@earthlink.net</t>
  </si>
  <si>
    <t>dnaoffice@earthlink.net</t>
  </si>
  <si>
    <t>Anette</t>
  </si>
  <si>
    <t>Petersen</t>
  </si>
  <si>
    <t>Anette Petersen</t>
  </si>
  <si>
    <t>55199 Hemlock Rd.</t>
  </si>
  <si>
    <t>Mankato</t>
  </si>
  <si>
    <t>pbuchholz29@hotmail.com</t>
  </si>
  <si>
    <t>S.fraser16@hotmail.com</t>
  </si>
  <si>
    <t>Sage Fraser</t>
  </si>
  <si>
    <t>2400 flag mountain drive c-8</t>
  </si>
  <si>
    <t>bobbywhart@hotmail.com</t>
  </si>
  <si>
    <t>bobbyiscoolest@hotmail.com</t>
  </si>
  <si>
    <t>Robert Hart</t>
  </si>
  <si>
    <t>7032 palm dr</t>
  </si>
  <si>
    <t>urbandale</t>
  </si>
  <si>
    <t>pattyrudee@yahoo.com</t>
  </si>
  <si>
    <t>gs42197@yahoo.com</t>
  </si>
  <si>
    <t>Sanchez</t>
  </si>
  <si>
    <t>Gabriel Sanchez</t>
  </si>
  <si>
    <t>908 N Belmont #A</t>
  </si>
  <si>
    <t>robflanman@yahoo.com</t>
  </si>
  <si>
    <t>kevin.flanegin@yahoo.com</t>
  </si>
  <si>
    <t>Flanegin</t>
  </si>
  <si>
    <t>Kevin Flanegin</t>
  </si>
  <si>
    <t>2745 Helmsdale Dr.</t>
  </si>
  <si>
    <t>johnson_lacey@hotmail.com</t>
  </si>
  <si>
    <t>Lacey Johnson</t>
  </si>
  <si>
    <t>363 N. Division</t>
  </si>
  <si>
    <t>Cowley</t>
  </si>
  <si>
    <t>jacob.f.doerr@gmail.com</t>
  </si>
  <si>
    <t>Jacob Doerr</t>
  </si>
  <si>
    <t>merlyn416@icloud.com</t>
  </si>
  <si>
    <t>merlyn417@icloud.com</t>
  </si>
  <si>
    <t>Merlyn</t>
  </si>
  <si>
    <t>Penado</t>
  </si>
  <si>
    <t>Merlyn Penado</t>
  </si>
  <si>
    <t>7003 Horton Ave</t>
  </si>
  <si>
    <t>emahiser3@usfamily.net</t>
  </si>
  <si>
    <t>stewartemahiser@gmail.com</t>
  </si>
  <si>
    <t>Emahiser</t>
  </si>
  <si>
    <t>Stewart Emahiser</t>
  </si>
  <si>
    <t>25960 Sylvan Lake Pkwy</t>
  </si>
  <si>
    <t>maggieemahiser@gmail.com</t>
  </si>
  <si>
    <t>Margaret Emahiser</t>
  </si>
  <si>
    <t>lep.reconforce1@gmail.com</t>
  </si>
  <si>
    <t>irish.country.lassie@gmail.com</t>
  </si>
  <si>
    <t>Rachel McNeely</t>
  </si>
  <si>
    <t>934 Story Drive</t>
  </si>
  <si>
    <t>Josiah McNeely</t>
  </si>
  <si>
    <t>bookwormsally94@gmail.com</t>
  </si>
  <si>
    <t>Hannah McNeely</t>
  </si>
  <si>
    <t>mandagrob95@gmail.com</t>
  </si>
  <si>
    <t>mandagrob95@yahoo.com</t>
  </si>
  <si>
    <t>Amanda Roberts</t>
  </si>
  <si>
    <t>730 Westover Place</t>
  </si>
  <si>
    <t>mt.mckay@yahoo.com</t>
  </si>
  <si>
    <t>McKay</t>
  </si>
  <si>
    <t>Charles McKay</t>
  </si>
  <si>
    <t>728 Green Tree Circle  #202</t>
  </si>
  <si>
    <t>danceforjesus24@gmail.com</t>
  </si>
  <si>
    <t>Madison Griffith</t>
  </si>
  <si>
    <t>1240 Sweet Williams Ln, New Market TN</t>
  </si>
  <si>
    <t>joniemontgomery@gmail.com</t>
  </si>
  <si>
    <t>Joni</t>
  </si>
  <si>
    <t>Joni Montgomery</t>
  </si>
  <si>
    <t>13070 River Grove Dr.</t>
  </si>
  <si>
    <t>mtdchannigan@centurylink.net</t>
  </si>
  <si>
    <t>Hannigan</t>
  </si>
  <si>
    <t>Gabriella Hannigan</t>
  </si>
  <si>
    <t>1623 Rosemary Drive</t>
  </si>
  <si>
    <t>soldiersofthecross@ckt.net</t>
  </si>
  <si>
    <t>jet@ckt.net</t>
  </si>
  <si>
    <t>Jonathan Thornton</t>
  </si>
  <si>
    <t>6270 SE Messer Rd</t>
  </si>
  <si>
    <t>scandrett6@yahoo.com</t>
  </si>
  <si>
    <t>llamagirl6@yahoo.com</t>
  </si>
  <si>
    <t>Scandrett</t>
  </si>
  <si>
    <t>Lauren Scandrett</t>
  </si>
  <si>
    <t>116 Smith Bridge Rd</t>
  </si>
  <si>
    <t>Bellvue</t>
  </si>
  <si>
    <t>cluzin@comcast.net</t>
  </si>
  <si>
    <t>sarahml8@hotmail.com</t>
  </si>
  <si>
    <t>Luzinski</t>
  </si>
  <si>
    <t>Sarah Luzinski</t>
  </si>
  <si>
    <t>8403 Castaway Drive</t>
  </si>
  <si>
    <t>blthornton@ckt.net</t>
  </si>
  <si>
    <t>Benjamin Thornton</t>
  </si>
  <si>
    <t>richardcolegrove@cox.net</t>
  </si>
  <si>
    <t>Colegrove</t>
  </si>
  <si>
    <t>Jessica Colegrove</t>
  </si>
  <si>
    <t>6311 N 151st</t>
  </si>
  <si>
    <t>snowdove25@gmail.com</t>
  </si>
  <si>
    <t>Cheyenne Himelright</t>
  </si>
  <si>
    <t>591 Cottontown road</t>
  </si>
  <si>
    <t>utreras.andrea95@gmail.com</t>
  </si>
  <si>
    <t>Utreras</t>
  </si>
  <si>
    <t>Andrea Utreras</t>
  </si>
  <si>
    <t>Agustin Cueva N84-48</t>
  </si>
  <si>
    <t>Conjunto Casa Blanca, Casa #1</t>
  </si>
  <si>
    <t>Quito</t>
  </si>
  <si>
    <t>Pichincha</t>
  </si>
  <si>
    <t>Ecuador</t>
  </si>
  <si>
    <t>melanie_bradley96@yahoo.com</t>
  </si>
  <si>
    <t>Melanie Bradley</t>
  </si>
  <si>
    <t>4111 86th street</t>
  </si>
  <si>
    <t>isaachernandez97@aol.com</t>
  </si>
  <si>
    <t>Isaac Hernandez</t>
  </si>
  <si>
    <t>rjtlcononge@gmail.com</t>
  </si>
  <si>
    <t>steelerfan.cononge@gmail.com</t>
  </si>
  <si>
    <t>Cononge</t>
  </si>
  <si>
    <t>Perry Cononge</t>
  </si>
  <si>
    <t>196 Rocky Branch Drive</t>
  </si>
  <si>
    <t>aliciadepler@comcast.net</t>
  </si>
  <si>
    <t>Depler</t>
  </si>
  <si>
    <t>Alicia Depler</t>
  </si>
  <si>
    <t>1244 Button Rock Dr</t>
  </si>
  <si>
    <t>thomascastro7488@msn.com</t>
  </si>
  <si>
    <t>kitcat11710@live.com</t>
  </si>
  <si>
    <t>Kaitlen</t>
  </si>
  <si>
    <t>Kaitlen Castro</t>
  </si>
  <si>
    <t>1522 Shonka Dr</t>
  </si>
  <si>
    <t>kendallmccullough@suddenlink.net</t>
  </si>
  <si>
    <t>Kendall McCullough</t>
  </si>
  <si>
    <t>7310 76th</t>
  </si>
  <si>
    <t>booser123456@yahoo.com</t>
  </si>
  <si>
    <t>Amy Sullivan</t>
  </si>
  <si>
    <t>547 Heath Drive</t>
  </si>
  <si>
    <t>Fruita</t>
  </si>
  <si>
    <t>josborn4976@comcast.net</t>
  </si>
  <si>
    <t>joy4music@comcast.net</t>
  </si>
  <si>
    <t>Osborn</t>
  </si>
  <si>
    <t>Hannah Osborn</t>
  </si>
  <si>
    <t>4976 Red Rock Dr.</t>
  </si>
  <si>
    <t>bnjdavis9@gmail.com</t>
  </si>
  <si>
    <t>allydavis96@gmail.com</t>
  </si>
  <si>
    <t>Allyson Davis</t>
  </si>
  <si>
    <t>11251 152 Rd.</t>
  </si>
  <si>
    <t>gardners501@gmail.com</t>
  </si>
  <si>
    <t>Annelise326@gmail.com</t>
  </si>
  <si>
    <t>Annelise</t>
  </si>
  <si>
    <t>Annelise Gardner</t>
  </si>
  <si>
    <t>3024 194th St.</t>
  </si>
  <si>
    <t>Lake Forest Park</t>
  </si>
  <si>
    <t>ashley_knows_@hotmail.com</t>
  </si>
  <si>
    <t>Kristin Dunn</t>
  </si>
  <si>
    <t>1763 Rounds Avenue</t>
  </si>
  <si>
    <t>djkallinger@gmail.com</t>
  </si>
  <si>
    <t>spideyrocks28@gmail.com</t>
  </si>
  <si>
    <t>Kallinger</t>
  </si>
  <si>
    <t>Alexander Kallinger</t>
  </si>
  <si>
    <t>3602 Donegal Dr.</t>
  </si>
  <si>
    <t>thedeppes@gmail.com</t>
  </si>
  <si>
    <t>joshua.k.deppe@gmail.com</t>
  </si>
  <si>
    <t>Deppe</t>
  </si>
  <si>
    <t>Joshua Deppe</t>
  </si>
  <si>
    <t>25810 SW Rogol Dr</t>
  </si>
  <si>
    <t>isabelle.robinson5@gmail.com</t>
  </si>
  <si>
    <t>Robinson</t>
  </si>
  <si>
    <t>Isabelle Robinson</t>
  </si>
  <si>
    <t>124 West Ruelle Drive</t>
  </si>
  <si>
    <t>tessawaddington@aol.com</t>
  </si>
  <si>
    <t>Waddington</t>
  </si>
  <si>
    <t>Tessa Waddington</t>
  </si>
  <si>
    <t>660 N St Mary's Lane</t>
  </si>
  <si>
    <t>drbrettmorris1@gmail.com</t>
  </si>
  <si>
    <t>captator5@gmail.com</t>
  </si>
  <si>
    <t>Jon Morris</t>
  </si>
  <si>
    <t>544 18th Avenue</t>
  </si>
  <si>
    <t>Lewiston</t>
  </si>
  <si>
    <t>Mbeffort15@heritagehall.com</t>
  </si>
  <si>
    <t>Beffort</t>
  </si>
  <si>
    <t>Molly Beffort</t>
  </si>
  <si>
    <t>1701 Pennington way</t>
  </si>
  <si>
    <t>5twigs@rap.midco.net</t>
  </si>
  <si>
    <t>twigs5max@yahoo.com</t>
  </si>
  <si>
    <t>Woods</t>
  </si>
  <si>
    <t>Mary Woods</t>
  </si>
  <si>
    <t>12631 Navajo Dr.</t>
  </si>
  <si>
    <t>mattgraham_96@yahoo.com</t>
  </si>
  <si>
    <t>graham</t>
  </si>
  <si>
    <t>matthew graham</t>
  </si>
  <si>
    <t>113 high oak</t>
  </si>
  <si>
    <t>universal city</t>
  </si>
  <si>
    <t>triciacouch@aim.com</t>
  </si>
  <si>
    <t>aliciacouch79@yahoo.com</t>
  </si>
  <si>
    <t>Alicia Couch</t>
  </si>
  <si>
    <t>5683 Decatur Rd</t>
  </si>
  <si>
    <t>read2em4@gmail.com</t>
  </si>
  <si>
    <t>a.joy.downinmyheart@gmail.com</t>
  </si>
  <si>
    <t>Abigail Swanson</t>
  </si>
  <si>
    <t>811 Danville</t>
  </si>
  <si>
    <t>imajesus.freak@aol.com</t>
  </si>
  <si>
    <t>Kaitlyn</t>
  </si>
  <si>
    <t>Barr</t>
  </si>
  <si>
    <t>Kaitlyn Barr</t>
  </si>
  <si>
    <t>3028 Bayberry Rd.</t>
  </si>
  <si>
    <t>arachnidmale@gmail.com</t>
  </si>
  <si>
    <t>Caleb Swanson</t>
  </si>
  <si>
    <t>811 Danville Cr.</t>
  </si>
  <si>
    <t>griffithsleigh1@gmail.com</t>
  </si>
  <si>
    <t>Griffiths</t>
  </si>
  <si>
    <t>Leigh Griffiths</t>
  </si>
  <si>
    <t>6 Mesa Oak</t>
  </si>
  <si>
    <t>parmerco@aol.com</t>
  </si>
  <si>
    <t>augustamccain@ymail.com</t>
  </si>
  <si>
    <t>Augusta</t>
  </si>
  <si>
    <t>McCain</t>
  </si>
  <si>
    <t>Augusta McCain</t>
  </si>
  <si>
    <t>1234 Signal Rock Road</t>
  </si>
  <si>
    <t>Grand Junction</t>
  </si>
  <si>
    <t>evandavis100@gmail.com</t>
  </si>
  <si>
    <t>Evan Davis</t>
  </si>
  <si>
    <t>21495 S. Yeoman Rd.</t>
  </si>
  <si>
    <t>pcweiland@msn.com</t>
  </si>
  <si>
    <t>noellebelle97@q.com</t>
  </si>
  <si>
    <t>Weiland</t>
  </si>
  <si>
    <t>Noelle Weiland</t>
  </si>
  <si>
    <t>999 Crown Court</t>
  </si>
  <si>
    <t>cgtracy58@gmail.com</t>
  </si>
  <si>
    <t>charltracy@yahoo.com</t>
  </si>
  <si>
    <t>Charles Tracy</t>
  </si>
  <si>
    <t>372 25th Avenue NW</t>
  </si>
  <si>
    <t>melissa.hood@hur.midco.net</t>
  </si>
  <si>
    <t>kellenhood@yahoo.com</t>
  </si>
  <si>
    <t>Kellen</t>
  </si>
  <si>
    <t>Hood</t>
  </si>
  <si>
    <t>Kellen Hood</t>
  </si>
  <si>
    <t>536 Nebraska Ave SW</t>
  </si>
  <si>
    <t>allielapporte@gmail.com</t>
  </si>
  <si>
    <t>Lapporte</t>
  </si>
  <si>
    <t>Allison Lapporte</t>
  </si>
  <si>
    <t>9301 Greenwich Drive</t>
  </si>
  <si>
    <t>Huntington Beach</t>
  </si>
  <si>
    <t>chrislambrecht67@msn.com</t>
  </si>
  <si>
    <t>jdlambrecht@msn.com</t>
  </si>
  <si>
    <t>Lambrecht</t>
  </si>
  <si>
    <t>Jared Lambrecht</t>
  </si>
  <si>
    <t>1113 Toole Court</t>
  </si>
  <si>
    <t>catherinedarbi@gmail.com</t>
  </si>
  <si>
    <t>Prewitt</t>
  </si>
  <si>
    <t>Catherine Prewitt</t>
  </si>
  <si>
    <t>10961 Independence Dr.</t>
  </si>
  <si>
    <t>tuckerfolsom@gmail.com</t>
  </si>
  <si>
    <t>Tucker Folsom</t>
  </si>
  <si>
    <t>121 The Hills Dr.</t>
  </si>
  <si>
    <t>nolohoy6@comcast.net</t>
  </si>
  <si>
    <t>justine.hostetler@gmail.com</t>
  </si>
  <si>
    <t>Justine</t>
  </si>
  <si>
    <t>Hostetler</t>
  </si>
  <si>
    <t>Justine Hostetler</t>
  </si>
  <si>
    <t>13603 NE 238th Street</t>
  </si>
  <si>
    <t>Battle Ground</t>
  </si>
  <si>
    <t>susanna.smith97@yahoo.com</t>
  </si>
  <si>
    <t>Susanna Smith</t>
  </si>
  <si>
    <t>41 Smith Lane</t>
  </si>
  <si>
    <t>Oneonta</t>
  </si>
  <si>
    <t>jtstell@earthlink.net</t>
  </si>
  <si>
    <t>hjstellinga@gmail.com</t>
  </si>
  <si>
    <t>Stellinga</t>
  </si>
  <si>
    <t>Hunter Stellinga</t>
  </si>
  <si>
    <t>6232 Talaria Dr</t>
  </si>
  <si>
    <t>readaway9@gmail.com</t>
  </si>
  <si>
    <t>Miu</t>
  </si>
  <si>
    <t>Naomi Miu</t>
  </si>
  <si>
    <t>6906 SE 66th Ave.</t>
  </si>
  <si>
    <t>scott@mycalvary.org</t>
  </si>
  <si>
    <t>Wiles</t>
  </si>
  <si>
    <t>Nicholas Wiles</t>
  </si>
  <si>
    <t>1519 Hays Dr</t>
  </si>
  <si>
    <t>nateandelizabet@comcast.net</t>
  </si>
  <si>
    <t>homsar913@gmail.com</t>
  </si>
  <si>
    <t>Jose Andres</t>
  </si>
  <si>
    <t>Hughes</t>
  </si>
  <si>
    <t>Jose Andres Hughes</t>
  </si>
  <si>
    <t>5210 Kingsmill Rd</t>
  </si>
  <si>
    <t>sdlogans@wescomm.com</t>
  </si>
  <si>
    <t>sdlogans@midco.net</t>
  </si>
  <si>
    <t>Daniel Logan</t>
  </si>
  <si>
    <t>3001 Preston Place</t>
  </si>
  <si>
    <t>Rapid City</t>
  </si>
  <si>
    <t>mlklecker@gmail.com</t>
  </si>
  <si>
    <t>Klecker</t>
  </si>
  <si>
    <t>Margaret Klecker</t>
  </si>
  <si>
    <t>404 S 3rd St</t>
  </si>
  <si>
    <t>Silverton</t>
  </si>
  <si>
    <t>duckydoo15@gmail.com</t>
  </si>
  <si>
    <t>Schultz</t>
  </si>
  <si>
    <t>Emily Schultz</t>
  </si>
  <si>
    <t>2119  Tabasco way</t>
  </si>
  <si>
    <t>murfreesboro</t>
  </si>
  <si>
    <t>kathy.gillson@gmail.com</t>
  </si>
  <si>
    <t>lauren.gillson@gmail.com</t>
  </si>
  <si>
    <t>Gillson</t>
  </si>
  <si>
    <t>Lauren Gillson</t>
  </si>
  <si>
    <t>1914 17th Street South</t>
  </si>
  <si>
    <t>Saint Cloud</t>
  </si>
  <si>
    <t>toria.gillson@gmail.com</t>
  </si>
  <si>
    <t>Toria</t>
  </si>
  <si>
    <t>Toria Gillson</t>
  </si>
  <si>
    <t>2109 13th Street South</t>
  </si>
  <si>
    <t>readingmaniac@hotmail.ca</t>
  </si>
  <si>
    <t>Rivest</t>
  </si>
  <si>
    <t>Lauren Rivest</t>
  </si>
  <si>
    <t>262 Redwood Cres.</t>
  </si>
  <si>
    <t>Belle River</t>
  </si>
  <si>
    <t>N0R 1A0</t>
  </si>
  <si>
    <t>Cleobelle10@aol.com</t>
  </si>
  <si>
    <t>Beveridge</t>
  </si>
  <si>
    <t>Elizabeth Beveridge</t>
  </si>
  <si>
    <t>2304 Cadillac St.</t>
  </si>
  <si>
    <t>N8W3Y4</t>
  </si>
  <si>
    <t>lalibe3@yahoo.com</t>
  </si>
  <si>
    <t>lily.tunnell@yahoo.com</t>
  </si>
  <si>
    <t>Tunnell</t>
  </si>
  <si>
    <t>Lily Tunnell</t>
  </si>
  <si>
    <t>1715 Bronco Rd</t>
  </si>
  <si>
    <t>smithdt6@yahoo.com</t>
  </si>
  <si>
    <t>Bikesmith13@hotmail.com</t>
  </si>
  <si>
    <t>Nicholas Smith</t>
  </si>
  <si>
    <t>2541 Ambush Ranch Rd</t>
  </si>
  <si>
    <t>klbergh@yahoo.com</t>
  </si>
  <si>
    <t>atbergh@yahoo.com</t>
  </si>
  <si>
    <t>Bergh</t>
  </si>
  <si>
    <t>Andrew Bergh</t>
  </si>
  <si>
    <t>2255 Outlook Trail</t>
  </si>
  <si>
    <t>Broomfield</t>
  </si>
  <si>
    <t>taylorjameswalker@gmail.com</t>
  </si>
  <si>
    <t>Taylor Walker</t>
  </si>
  <si>
    <t>2915 Atlantic Blvd.</t>
  </si>
  <si>
    <t>Vero Beach</t>
  </si>
  <si>
    <t>carissa.roberts97@gmail.com</t>
  </si>
  <si>
    <t>Carissa</t>
  </si>
  <si>
    <t>Carissa Roberts</t>
  </si>
  <si>
    <t>2113 Kellogg Ave</t>
  </si>
  <si>
    <t>smithites13@yahoo.com</t>
  </si>
  <si>
    <t>mrstevenyoo@gmail.com</t>
  </si>
  <si>
    <t>Dong Woo</t>
  </si>
  <si>
    <t>Yoo</t>
  </si>
  <si>
    <t>Dong Woo Yoo</t>
  </si>
  <si>
    <t>714 Larchmont Acres Apt. A</t>
  </si>
  <si>
    <t>Larchmont</t>
  </si>
  <si>
    <t>maggiep66@hotmail.com</t>
  </si>
  <si>
    <t>emmashapp@hotmail.com</t>
  </si>
  <si>
    <t>Shappley</t>
  </si>
  <si>
    <t>Emma Shappley</t>
  </si>
  <si>
    <t>310 Pineneedle Dr</t>
  </si>
  <si>
    <t>kellysimmons6636@sbcglobal.net</t>
  </si>
  <si>
    <t>jlsgms@sbcglobal.net</t>
  </si>
  <si>
    <t>Joshua Simmons</t>
  </si>
  <si>
    <t>6636 Dogwood Creek Drive</t>
  </si>
  <si>
    <t>terry@terrywilson3.com</t>
  </si>
  <si>
    <t>Rgwskate@gmail.com</t>
  </si>
  <si>
    <t>Reagan</t>
  </si>
  <si>
    <t>Reagan Wilson</t>
  </si>
  <si>
    <t>132 Harbor st</t>
  </si>
  <si>
    <t>Inman</t>
  </si>
  <si>
    <t>katie.n.jarrett@gmail.com</t>
  </si>
  <si>
    <t>Katherine Jarrett</t>
  </si>
  <si>
    <t>2581 Integrity Court</t>
  </si>
  <si>
    <t>hollerrobert@yahoo.com</t>
  </si>
  <si>
    <t>holler.jessie@yahoo.com</t>
  </si>
  <si>
    <t>Holler</t>
  </si>
  <si>
    <t>Jessica Holler</t>
  </si>
  <si>
    <t>9310 North 96th East Avenue</t>
  </si>
  <si>
    <t>Owasso</t>
  </si>
  <si>
    <t>jrom371@yahoo.com</t>
  </si>
  <si>
    <t>Romero</t>
  </si>
  <si>
    <t>Joseph Romero</t>
  </si>
  <si>
    <t>371 Santa Anna Dr</t>
  </si>
  <si>
    <t>Lake Charles</t>
  </si>
  <si>
    <t>lydiawatson96@gmail.com</t>
  </si>
  <si>
    <t>Lydia Watson</t>
  </si>
  <si>
    <t>2110 River Walk Lane</t>
  </si>
  <si>
    <t>robertslo66@gmail.com</t>
  </si>
  <si>
    <t>roberts</t>
  </si>
  <si>
    <t>lee roberts</t>
  </si>
  <si>
    <t>8475 75th ct</t>
  </si>
  <si>
    <t>vero beach</t>
  </si>
  <si>
    <t>shayhaverkamp@gmail.com</t>
  </si>
  <si>
    <t>Shay</t>
  </si>
  <si>
    <t>Haverkamp</t>
  </si>
  <si>
    <t>Shay Haverkamp</t>
  </si>
  <si>
    <t>4915 Timber Creek Lane</t>
  </si>
  <si>
    <t>joangockenbach@yahoo.com</t>
  </si>
  <si>
    <t>njgock@gmail.com</t>
  </si>
  <si>
    <t>Gockenbach</t>
  </si>
  <si>
    <t>Nathanael Gockenbach</t>
  </si>
  <si>
    <t>21261 Broemer Rd</t>
  </si>
  <si>
    <t>Chassell</t>
  </si>
  <si>
    <t>ljchildress61@gmail.com</t>
  </si>
  <si>
    <t>jessechildress.n@gmail.com</t>
  </si>
  <si>
    <t>Jesse Childress</t>
  </si>
  <si>
    <t>181 Pecan Valley Ct.</t>
  </si>
  <si>
    <t>longclan@verizon.net</t>
  </si>
  <si>
    <t>sarahlong1422@yahoo.com</t>
  </si>
  <si>
    <t>Sarah Ellen</t>
  </si>
  <si>
    <t>Sarah Ellen Long</t>
  </si>
  <si>
    <t>69 East Wilson Circle</t>
  </si>
  <si>
    <t>Red Bank</t>
  </si>
  <si>
    <t>mkpetry@sbcglobal.net</t>
  </si>
  <si>
    <t>ktpetry@gmail.com</t>
  </si>
  <si>
    <t>Petry</t>
  </si>
  <si>
    <t>Katy Petry</t>
  </si>
  <si>
    <t>9218 Stonewood Dr.</t>
  </si>
  <si>
    <t>ann4@integrity.com</t>
  </si>
  <si>
    <t>eaglescoutwill@gmail.com</t>
  </si>
  <si>
    <t>Artmann</t>
  </si>
  <si>
    <t>William Artmann</t>
  </si>
  <si>
    <t>147 Deer Haven Drive</t>
  </si>
  <si>
    <t>donnahonaker@yahoo.com</t>
  </si>
  <si>
    <t>honakerpatrick303@gmail.com</t>
  </si>
  <si>
    <t>Honaker</t>
  </si>
  <si>
    <t>Patrick Honaker</t>
  </si>
  <si>
    <t>38800 N. Delbert Rd.</t>
  </si>
  <si>
    <t>slsbiddle@aol.com</t>
  </si>
  <si>
    <t>lornamay9@gmail.com</t>
  </si>
  <si>
    <t>Biddle</t>
  </si>
  <si>
    <t>Blythe Biddle</t>
  </si>
  <si>
    <t>1847 Kohlman Ave</t>
  </si>
  <si>
    <t>Mplwd</t>
  </si>
  <si>
    <t>eandasabin@gmail.com</t>
  </si>
  <si>
    <t>ajsabin@sprynet.com</t>
  </si>
  <si>
    <t>Sabin</t>
  </si>
  <si>
    <t>Alyssa Sabin</t>
  </si>
  <si>
    <t>2108 Bee Ridge Road</t>
  </si>
  <si>
    <t>summerscharis@gmail.com</t>
  </si>
  <si>
    <t>Crystal</t>
  </si>
  <si>
    <t>Summers</t>
  </si>
  <si>
    <t>Crystal Summers</t>
  </si>
  <si>
    <t>555 Shasta Way</t>
  </si>
  <si>
    <t>Mount Shasta</t>
  </si>
  <si>
    <t>stephank14@sbcglobal.net</t>
  </si>
  <si>
    <t>shadowdragon1413@hotmail.com</t>
  </si>
  <si>
    <t>Stephan</t>
  </si>
  <si>
    <t>Jonah Stephan</t>
  </si>
  <si>
    <t>724 Riverview Drive</t>
  </si>
  <si>
    <t>Kokomo</t>
  </si>
  <si>
    <t>cpt.hayes@gmail.com</t>
  </si>
  <si>
    <t>madelinenoel96@gmail.com</t>
  </si>
  <si>
    <t>Madeline Hayes</t>
  </si>
  <si>
    <t>3609 E. Stanford St.</t>
  </si>
  <si>
    <t>bsoileau4@yahoo.com</t>
  </si>
  <si>
    <t>natesoileau412@gmail.com</t>
  </si>
  <si>
    <t>Soileau</t>
  </si>
  <si>
    <t>Nathanael Soileau</t>
  </si>
  <si>
    <t>805 Esplanade</t>
  </si>
  <si>
    <t>abigailsoileau@gmail.com</t>
  </si>
  <si>
    <t>Sarah Soileau</t>
  </si>
  <si>
    <t>805 Esplenade</t>
  </si>
  <si>
    <t>eustacedarcy@gmail.com</t>
  </si>
  <si>
    <t>Millan</t>
  </si>
  <si>
    <t>Rebekah Millan</t>
  </si>
  <si>
    <t>3710 S. Sta. Fe Village Dr. #G</t>
  </si>
  <si>
    <t>Santa Ana</t>
  </si>
  <si>
    <t>alyssaj2014@gmail.com</t>
  </si>
  <si>
    <t>Alyssa Day</t>
  </si>
  <si>
    <t>16702 County 18</t>
  </si>
  <si>
    <t>Park Rapids</t>
  </si>
  <si>
    <t>fran503@bellsouth.net</t>
  </si>
  <si>
    <t>kfballerina@gmail.com</t>
  </si>
  <si>
    <t>Kara Franklin</t>
  </si>
  <si>
    <t>1920 Wilmer Road</t>
  </si>
  <si>
    <t>Wilmer</t>
  </si>
  <si>
    <t>Brenda.Payne14@gmail.com</t>
  </si>
  <si>
    <t>Brenda</t>
  </si>
  <si>
    <t>Brenda Payne</t>
  </si>
  <si>
    <t>1930 CR 4250</t>
  </si>
  <si>
    <t>Oark</t>
  </si>
  <si>
    <t>carterbiddle7@gmail.com</t>
  </si>
  <si>
    <t>Carter Biddle</t>
  </si>
  <si>
    <t>1847 Kohlman Av</t>
  </si>
  <si>
    <t>micahtimelord@gmail.com</t>
  </si>
  <si>
    <t>Micah Allen</t>
  </si>
  <si>
    <t>203 Benny Sharp Rd</t>
  </si>
  <si>
    <t>Hawkinsville</t>
  </si>
  <si>
    <t>jami@jamicervantes.com</t>
  </si>
  <si>
    <t>mikaylacervantes@gmail.com</t>
  </si>
  <si>
    <t>Cervantes</t>
  </si>
  <si>
    <t>Mikayla Cervantes</t>
  </si>
  <si>
    <t>1915 N Wildwood Dr</t>
  </si>
  <si>
    <t>Stillwater</t>
  </si>
  <si>
    <t>thechristensens5@cox.net</t>
  </si>
  <si>
    <t>dmcmail@cox.net</t>
  </si>
  <si>
    <t>David Christensen</t>
  </si>
  <si>
    <t>11834 N. 74th Place</t>
  </si>
  <si>
    <t>anderson.clayton323@yahoo.com</t>
  </si>
  <si>
    <t>Clayton Anderson</t>
  </si>
  <si>
    <t>5013 92nd Street</t>
  </si>
  <si>
    <t>mpcmail@cox.net</t>
  </si>
  <si>
    <t>Michael Christensen</t>
  </si>
  <si>
    <t>rprotzman@gmail.com</t>
  </si>
  <si>
    <t>nebraska.rose@gmail.com</t>
  </si>
  <si>
    <t>Protzman</t>
  </si>
  <si>
    <t>Abby Protzman</t>
  </si>
  <si>
    <t>1502 Clark Street</t>
  </si>
  <si>
    <t>Norfolk</t>
  </si>
  <si>
    <t>n8watkins@gmail.com</t>
  </si>
  <si>
    <t>jakewatkins25@gmail.com</t>
  </si>
  <si>
    <t>Jake Watkins</t>
  </si>
  <si>
    <t>1802 Pinnacle Wat</t>
  </si>
  <si>
    <t>Upland</t>
  </si>
  <si>
    <t>rcatali2@aol.com</t>
  </si>
  <si>
    <t>SAMUEL</t>
  </si>
  <si>
    <t>CATALINO</t>
  </si>
  <si>
    <t>SAMUEL CATALINO</t>
  </si>
  <si>
    <t>8 HEDGES LN</t>
  </si>
  <si>
    <t>CARDWELL</t>
  </si>
  <si>
    <t>lbaker@cn.edu</t>
  </si>
  <si>
    <t>Isabelle Baker</t>
  </si>
  <si>
    <t>316 Lochmere Greene Drive</t>
  </si>
  <si>
    <t>John Beal</t>
  </si>
  <si>
    <t>cgjesson5201@gmail.com</t>
  </si>
  <si>
    <t>Christelyn</t>
  </si>
  <si>
    <t>Jesson</t>
  </si>
  <si>
    <t>Christelyn Jesson</t>
  </si>
  <si>
    <t>705 Cinnabar Place</t>
  </si>
  <si>
    <t>roslyn.sieh@gmail.com</t>
  </si>
  <si>
    <t>lmarshallsieh@gmail.com</t>
  </si>
  <si>
    <t>Sieh</t>
  </si>
  <si>
    <t>Lucas Sieh</t>
  </si>
  <si>
    <t>51431 County Road 21</t>
  </si>
  <si>
    <t>Courtland</t>
  </si>
  <si>
    <t>stefaniegolightly@gmail.com</t>
  </si>
  <si>
    <t>delainiegolightly@gmail.com</t>
  </si>
  <si>
    <t>Delainie</t>
  </si>
  <si>
    <t>Golightly</t>
  </si>
  <si>
    <t>Delainie Golightly</t>
  </si>
  <si>
    <t>325 Clark Road</t>
  </si>
  <si>
    <t>rlrj824@yahoo.com</t>
  </si>
  <si>
    <t>josiah.jones@hotmail.com</t>
  </si>
  <si>
    <t>Josiah Jones</t>
  </si>
  <si>
    <t>614 Griffith Ave.</t>
  </si>
  <si>
    <t>Terrell</t>
  </si>
  <si>
    <t>caitesbygolightly@gmail.com</t>
  </si>
  <si>
    <t>Caitesby</t>
  </si>
  <si>
    <t>Caitesby Golightly</t>
  </si>
  <si>
    <t>dinaharper@yahoo.com_configioDeactivated</t>
  </si>
  <si>
    <t>Dinaharper@me.com</t>
  </si>
  <si>
    <t>Harper</t>
  </si>
  <si>
    <t>John Harper</t>
  </si>
  <si>
    <t>4577 Hwy 258 south</t>
  </si>
  <si>
    <t>Kinston</t>
  </si>
  <si>
    <t>beverly.roper@midwayisd.org</t>
  </si>
  <si>
    <t>HannahRoper95@gmail.com</t>
  </si>
  <si>
    <t>Roper</t>
  </si>
  <si>
    <t>Hannah Roper</t>
  </si>
  <si>
    <t>616 Pebble Creek Drive</t>
  </si>
  <si>
    <t>rachel.carleton21@gmail.com</t>
  </si>
  <si>
    <t>Rachel Carleton</t>
  </si>
  <si>
    <t>justin.k.graves@gmail.com</t>
  </si>
  <si>
    <t>Graves</t>
  </si>
  <si>
    <t>Justin Graves</t>
  </si>
  <si>
    <t>4630 Mockingbird Lane</t>
  </si>
  <si>
    <t>Wilmington</t>
  </si>
  <si>
    <t>jessica.shell2@gmail.com</t>
  </si>
  <si>
    <t>Shell</t>
  </si>
  <si>
    <t>Jessica Shell</t>
  </si>
  <si>
    <t>8408 Front Royal Court NW</t>
  </si>
  <si>
    <t>rachelo9596@gmail.com</t>
  </si>
  <si>
    <t>Offutt</t>
  </si>
  <si>
    <t>Rachel Offutt</t>
  </si>
  <si>
    <t>218 County Road 752</t>
  </si>
  <si>
    <t>Riceville</t>
  </si>
  <si>
    <t>cmmswimgirl@aol.com</t>
  </si>
  <si>
    <t>celloboydavid@gmail.com</t>
  </si>
  <si>
    <t>David Miller</t>
  </si>
  <si>
    <t>1013 South 3rd. Street</t>
  </si>
  <si>
    <t>tinamcmahel@hotmail.com</t>
  </si>
  <si>
    <t>zacharyallen96@gmail.com</t>
  </si>
  <si>
    <t>McMahel</t>
  </si>
  <si>
    <t>Zachary McMahel</t>
  </si>
  <si>
    <t>902 Alex Ct</t>
  </si>
  <si>
    <t>Mount Juliet</t>
  </si>
  <si>
    <t>ejgranholm@gmail.com</t>
  </si>
  <si>
    <t>john.s.granholm@gmail.com</t>
  </si>
  <si>
    <t>John Scott</t>
  </si>
  <si>
    <t>granholm</t>
  </si>
  <si>
    <t>John Scott granholm</t>
  </si>
  <si>
    <t>1140 Massey St</t>
  </si>
  <si>
    <t>conniekangas@gmail.com</t>
  </si>
  <si>
    <t>rkyellowday@gmail.com</t>
  </si>
  <si>
    <t>Amelia Kangas</t>
  </si>
  <si>
    <t>Montaque</t>
  </si>
  <si>
    <t>Rockval</t>
  </si>
  <si>
    <t>susan.roden@verizon.net</t>
  </si>
  <si>
    <t>davidroden4488@gmail.com</t>
  </si>
  <si>
    <t>Roden, Jr.</t>
  </si>
  <si>
    <t>David Roden, Jr.</t>
  </si>
  <si>
    <t>4835 Tabard Place</t>
  </si>
  <si>
    <t>Annandale</t>
  </si>
  <si>
    <t>jhavinson@htcnet.org</t>
  </si>
  <si>
    <t>Vinson</t>
  </si>
  <si>
    <t>Andrew Vinson</t>
  </si>
  <si>
    <t>1589 Potomac River Rd</t>
  </si>
  <si>
    <t>tanyalendl@hotmail.com</t>
  </si>
  <si>
    <t>lancelendl@live.com</t>
  </si>
  <si>
    <t>Lendl</t>
  </si>
  <si>
    <t>Lance Lendl</t>
  </si>
  <si>
    <t>5640 Parnell Ave. NE</t>
  </si>
  <si>
    <t>Saint Michael</t>
  </si>
  <si>
    <t>matthew.robinson@vikings.berry.edu</t>
  </si>
  <si>
    <t>Matthew Robinson</t>
  </si>
  <si>
    <t>1063 Northcliffe Drive NW</t>
  </si>
  <si>
    <t>drtedone97@gmail.com</t>
  </si>
  <si>
    <t>Tedone</t>
  </si>
  <si>
    <t>Daniel Tedone</t>
  </si>
  <si>
    <t>33 Reed Street</t>
  </si>
  <si>
    <t>Rockville</t>
  </si>
  <si>
    <t>jmarshalljrstj@gmail.com</t>
  </si>
  <si>
    <t>marshjmellow@gmail.com</t>
  </si>
  <si>
    <t>Jeffrey Marshall</t>
  </si>
  <si>
    <t>1208 Main Street</t>
  </si>
  <si>
    <t>Manchester</t>
  </si>
  <si>
    <t>michelle.sitzman@yahoo.com</t>
  </si>
  <si>
    <t>Jacobi</t>
  </si>
  <si>
    <t>Sitzman</t>
  </si>
  <si>
    <t>Jacobi Sitzman</t>
  </si>
  <si>
    <t>6515 Artisan way</t>
  </si>
  <si>
    <t>wendylevoir@icloud.com</t>
  </si>
  <si>
    <t>NoahLeVoir2@gmail.com</t>
  </si>
  <si>
    <t>LeVoir</t>
  </si>
  <si>
    <t>Noah LeVoir</t>
  </si>
  <si>
    <t>2207 Marilyn Ave</t>
  </si>
  <si>
    <t>scottyhp7@yahoo.com</t>
  </si>
  <si>
    <t>Rachel Scott</t>
  </si>
  <si>
    <t>1406 Longwood Ct.</t>
  </si>
  <si>
    <t>Warrensburg</t>
  </si>
  <si>
    <t>thegiftexchange@msn.com</t>
  </si>
  <si>
    <t>leah_stroh@hotmail.com</t>
  </si>
  <si>
    <t>Stroh</t>
  </si>
  <si>
    <t>Leah Stroh</t>
  </si>
  <si>
    <t>8920 Luin Drive</t>
  </si>
  <si>
    <t>Clive</t>
  </si>
  <si>
    <t>ruth.gibb@eku.edu</t>
  </si>
  <si>
    <t>abigail_gibb@mymail.eku.edu</t>
  </si>
  <si>
    <t>Gibb</t>
  </si>
  <si>
    <t>Abby Gibb</t>
  </si>
  <si>
    <t>660 Maple Grove Road</t>
  </si>
  <si>
    <t>braemar80@verizon.net</t>
  </si>
  <si>
    <t>trumpkin98@gmail.com</t>
  </si>
  <si>
    <t>Marrs</t>
  </si>
  <si>
    <t>Stephanie Marrs</t>
  </si>
  <si>
    <t>471 Buffalo Lane</t>
  </si>
  <si>
    <t>Emilyg4@cox.net</t>
  </si>
  <si>
    <t>Emily Colston</t>
  </si>
  <si>
    <t>4820 Micahel PL</t>
  </si>
  <si>
    <t>djmalousis@gmail.com</t>
  </si>
  <si>
    <t>acmalousis@gmail.com</t>
  </si>
  <si>
    <t>Malousis</t>
  </si>
  <si>
    <t>Anthony Malousis</t>
  </si>
  <si>
    <t>7471 Spindlewood Drive</t>
  </si>
  <si>
    <t>Eastvale</t>
  </si>
  <si>
    <t>cre8ivmom@aol.com</t>
  </si>
  <si>
    <t>tinkpalen@gmail.com</t>
  </si>
  <si>
    <t>Annika</t>
  </si>
  <si>
    <t>Palen</t>
  </si>
  <si>
    <t>Annika Palen</t>
  </si>
  <si>
    <t>6789 S. Salida St.</t>
  </si>
  <si>
    <t>Foxfield</t>
  </si>
  <si>
    <t>fishert7.tf@gmail.com</t>
  </si>
  <si>
    <t>little.fish7@hotmail.com</t>
  </si>
  <si>
    <t>Fisher</t>
  </si>
  <si>
    <t>Kaylee Fisher</t>
  </si>
  <si>
    <t>23 N. Hastings Drive</t>
  </si>
  <si>
    <t>victoria@avalaraustin.com</t>
  </si>
  <si>
    <t>savannahbuttler@gmail.com</t>
  </si>
  <si>
    <t>Buttler</t>
  </si>
  <si>
    <t>Savannah Buttler</t>
  </si>
  <si>
    <t>2608 Cascade Falls Dr.</t>
  </si>
  <si>
    <t>sedou@msn.com</t>
  </si>
  <si>
    <t>muilmank@gmail.com</t>
  </si>
  <si>
    <t>Muilman</t>
  </si>
  <si>
    <t>Kyle Muilman</t>
  </si>
  <si>
    <t>209 Innwood Drive</t>
  </si>
  <si>
    <t>rnsmnm@q.com</t>
  </si>
  <si>
    <t>Matthew Warren</t>
  </si>
  <si>
    <t>604 Las Marias</t>
  </si>
  <si>
    <t>abigail.buller.foreverhis@gmail.com</t>
  </si>
  <si>
    <t>abigailbullerforeverhis@gmail.com</t>
  </si>
  <si>
    <t>Buller</t>
  </si>
  <si>
    <t>Abigail Buller</t>
  </si>
  <si>
    <t>8635 80th St. North</t>
  </si>
  <si>
    <t>robolady@gmail.com</t>
  </si>
  <si>
    <t>Elisa Perry</t>
  </si>
  <si>
    <t>aregier@frontier.com</t>
  </si>
  <si>
    <t>mregier96@gmail.com</t>
  </si>
  <si>
    <t>Regier</t>
  </si>
  <si>
    <t>Madelyn Regier</t>
  </si>
  <si>
    <t>60260 350th Str.</t>
  </si>
  <si>
    <t>mdikken@mtlcorp.com</t>
  </si>
  <si>
    <t>Dikkenjd@gmail.com</t>
  </si>
  <si>
    <t>Dikken</t>
  </si>
  <si>
    <t>Joshua Dikken</t>
  </si>
  <si>
    <t>3701 Overlook Drive</t>
  </si>
  <si>
    <t>hunterjeffus5@gmail.com</t>
  </si>
  <si>
    <t>Pecoraro</t>
  </si>
  <si>
    <t>Hunter Pecoraro</t>
  </si>
  <si>
    <t>2304 Sumac Court</t>
  </si>
  <si>
    <t>Little Elm</t>
  </si>
  <si>
    <t>emryswm@gmail.com</t>
  </si>
  <si>
    <t>Emrys</t>
  </si>
  <si>
    <t>McCright</t>
  </si>
  <si>
    <t>Emrys McCright</t>
  </si>
  <si>
    <t>5543 Squires Drive</t>
  </si>
  <si>
    <t>The Colony</t>
  </si>
  <si>
    <t>cami6860@aol.com</t>
  </si>
  <si>
    <t>Cami6860@aol.com</t>
  </si>
  <si>
    <t>6860 Younger Dr</t>
  </si>
  <si>
    <t>mvjenson@yahoo.com</t>
  </si>
  <si>
    <t>Samuel Jenson</t>
  </si>
  <si>
    <t>1589 East Lake Brophy Rd NW</t>
  </si>
  <si>
    <t>erica.slogar@tolcs.org</t>
  </si>
  <si>
    <t>Slogar</t>
  </si>
  <si>
    <t>Erica Slogar</t>
  </si>
  <si>
    <t>6646 Deagle Drive</t>
  </si>
  <si>
    <t>ccholland92@yahoo.com</t>
  </si>
  <si>
    <t>fionalynn95@yahoo.com</t>
  </si>
  <si>
    <t>Fiona</t>
  </si>
  <si>
    <t>Fiona Holland</t>
  </si>
  <si>
    <t>2523 Myloshane Lane</t>
  </si>
  <si>
    <t>barbriskey@gmail.com</t>
  </si>
  <si>
    <t>qriskey8@gmail.com</t>
  </si>
  <si>
    <t>Quinton</t>
  </si>
  <si>
    <t>Riskey</t>
  </si>
  <si>
    <t>Quinton Riskey</t>
  </si>
  <si>
    <t>8465 Drayton Hall dr</t>
  </si>
  <si>
    <t>ircc44730@yahoo.com</t>
  </si>
  <si>
    <t>nicholelaudermilt@gmail.com</t>
  </si>
  <si>
    <t>Nichole</t>
  </si>
  <si>
    <t>Laudermilt</t>
  </si>
  <si>
    <t>Nichole Laudermilt</t>
  </si>
  <si>
    <t>3137 Waynesburg</t>
  </si>
  <si>
    <t>Canton</t>
  </si>
  <si>
    <t>rachel.songwriter@gmail.com</t>
  </si>
  <si>
    <t>Blunk</t>
  </si>
  <si>
    <t>Rachel Blunk</t>
  </si>
  <si>
    <t>409 S Silvertop Ln</t>
  </si>
  <si>
    <t>Raymore</t>
  </si>
  <si>
    <t>margareteroland@aol.com</t>
  </si>
  <si>
    <t>Margareteroland@aol.com</t>
  </si>
  <si>
    <t>Roland</t>
  </si>
  <si>
    <t>Margaret Roland</t>
  </si>
  <si>
    <t>347 Indian Run Rd.</t>
  </si>
  <si>
    <t>kbx7@usadig.com</t>
  </si>
  <si>
    <t>kieranbeebe@gmail.com</t>
  </si>
  <si>
    <t>Beebe</t>
  </si>
  <si>
    <t>Kieran Beebe</t>
  </si>
  <si>
    <t>4404 Huntington Hills Rd</t>
  </si>
  <si>
    <t>ellisonsthe@gmail.com</t>
  </si>
  <si>
    <t>wackofilms@gmail.com</t>
  </si>
  <si>
    <t>Brett</t>
  </si>
  <si>
    <t>Ellison</t>
  </si>
  <si>
    <t>Brett Ellison</t>
  </si>
  <si>
    <t>1005 Goldenview</t>
  </si>
  <si>
    <t>k1fenderg@gmail.com</t>
  </si>
  <si>
    <t>Kenton</t>
  </si>
  <si>
    <t>Kenton Beebe</t>
  </si>
  <si>
    <t>4404 Huntington Hills</t>
  </si>
  <si>
    <t>larrycom@huisinga.us</t>
  </si>
  <si>
    <t>tigger_t_h@hotmail.com</t>
  </si>
  <si>
    <t>Tigger</t>
  </si>
  <si>
    <t>Huisinga</t>
  </si>
  <si>
    <t>Tigger Huisinga</t>
  </si>
  <si>
    <t>29207 13th Pl S</t>
  </si>
  <si>
    <t>Federal Way</t>
  </si>
  <si>
    <t>Laura Finn</t>
  </si>
  <si>
    <t>kate.hula@gmail.com</t>
  </si>
  <si>
    <t>Hula</t>
  </si>
  <si>
    <t>Kathryn Hula</t>
  </si>
  <si>
    <t>804 Hays Street</t>
  </si>
  <si>
    <t>annamesser9@yahoo.com</t>
  </si>
  <si>
    <t>Messer</t>
  </si>
  <si>
    <t>Anna Messer</t>
  </si>
  <si>
    <t>21214 Humboldt Cr Rd</t>
  </si>
  <si>
    <t>Alta Vista</t>
  </si>
  <si>
    <t>2plus5points@gmail.com</t>
  </si>
  <si>
    <t>themanonahill@yahoo.com</t>
  </si>
  <si>
    <t>Point</t>
  </si>
  <si>
    <t>Timothy Point</t>
  </si>
  <si>
    <t>417 9th Ave North</t>
  </si>
  <si>
    <t>14jjohnson@cgrove417.org</t>
  </si>
  <si>
    <t>Jodi</t>
  </si>
  <si>
    <t>Jodi Johnson</t>
  </si>
  <si>
    <t>101 East 109th St</t>
  </si>
  <si>
    <t>zackpreuss@gmail.com</t>
  </si>
  <si>
    <t>Preuss</t>
  </si>
  <si>
    <t>Zachary Preuss</t>
  </si>
  <si>
    <t>42 Sunset Trail</t>
  </si>
  <si>
    <t>Queensbury</t>
  </si>
  <si>
    <t>clfetting@sbcglobal.net</t>
  </si>
  <si>
    <t>rfetting@sbcglobal.net</t>
  </si>
  <si>
    <t>Fetting</t>
  </si>
  <si>
    <t>Rachel Fetting</t>
  </si>
  <si>
    <t>1425 E. Butterfield Pl</t>
  </si>
  <si>
    <t>parentingforpurity@gmail.com</t>
  </si>
  <si>
    <t>bluebelle4god@gmail.com</t>
  </si>
  <si>
    <t>megan</t>
  </si>
  <si>
    <t>houck</t>
  </si>
  <si>
    <t>megan houck</t>
  </si>
  <si>
    <t>2129 Kemp Road</t>
  </si>
  <si>
    <t>Bloomfield Hills</t>
  </si>
  <si>
    <t>taylor.dennard@yahoo.com</t>
  </si>
  <si>
    <t>james</t>
  </si>
  <si>
    <t>dennard</t>
  </si>
  <si>
    <t>james dennard</t>
  </si>
  <si>
    <t>2211 hwy 42 south</t>
  </si>
  <si>
    <t>forsyth</t>
  </si>
  <si>
    <t>brittany_1202@yahoo.com</t>
  </si>
  <si>
    <t>Brittany Ramos</t>
  </si>
  <si>
    <t>1022 Wiley Drive</t>
  </si>
  <si>
    <t>raul@texasfarwest.com</t>
  </si>
  <si>
    <t>meza851@hotmail.com</t>
  </si>
  <si>
    <t>Raul</t>
  </si>
  <si>
    <t>Meza III</t>
  </si>
  <si>
    <t>Raul Meza III</t>
  </si>
  <si>
    <t>17885 Island Tornillo Rd</t>
  </si>
  <si>
    <t>Fabens</t>
  </si>
  <si>
    <t>o.nesseiht@hotmail.com</t>
  </si>
  <si>
    <t>Thiessen</t>
  </si>
  <si>
    <t>Olivia Thiessen</t>
  </si>
  <si>
    <t>Box 1351</t>
  </si>
  <si>
    <t>10122 98th ave</t>
  </si>
  <si>
    <t>La Crete</t>
  </si>
  <si>
    <t>T0H2H0</t>
  </si>
  <si>
    <t>navfingroup@msn.com</t>
  </si>
  <si>
    <t>jeem1001@stcloudstate.edu</t>
  </si>
  <si>
    <t>Emily Jenson</t>
  </si>
  <si>
    <t>1109 115th ave NE</t>
  </si>
  <si>
    <t>Foley</t>
  </si>
  <si>
    <t>john.griffin@mavs.uta.edu</t>
  </si>
  <si>
    <t>John Griffin</t>
  </si>
  <si>
    <t>229 Tokio Trace</t>
  </si>
  <si>
    <t>toddamberolson@hotmail.com</t>
  </si>
  <si>
    <t>treytono@hotmail.com</t>
  </si>
  <si>
    <t>Treyton</t>
  </si>
  <si>
    <t>Treyton Olson</t>
  </si>
  <si>
    <t>2343 Co Rd 62 NE</t>
  </si>
  <si>
    <t>ntbertram@yahoo.com</t>
  </si>
  <si>
    <t>drubertram@gmail.com</t>
  </si>
  <si>
    <t>Bertram</t>
  </si>
  <si>
    <t>Nathan Bertram</t>
  </si>
  <si>
    <t>PO BOX 686</t>
  </si>
  <si>
    <t>Northfork</t>
  </si>
  <si>
    <t>400christine@gmail.com</t>
  </si>
  <si>
    <t>Ellie</t>
  </si>
  <si>
    <t>Ellie Hanson</t>
  </si>
  <si>
    <t>6049 Cedar Rd</t>
  </si>
  <si>
    <t>Oak Park</t>
  </si>
  <si>
    <t>mkannady@cottey.edu</t>
  </si>
  <si>
    <t>regoRAK@gmail.com</t>
  </si>
  <si>
    <t>Kannady</t>
  </si>
  <si>
    <t>Regan Kannady</t>
  </si>
  <si>
    <t>10911 South C Hwy</t>
  </si>
  <si>
    <t>gloribeto@yahoo.com</t>
  </si>
  <si>
    <t>katie.halverson12@gmail.com</t>
  </si>
  <si>
    <t>Halverson</t>
  </si>
  <si>
    <t>Katie Halverson</t>
  </si>
  <si>
    <t>39803 Wothe Dr.</t>
  </si>
  <si>
    <t>Frazee</t>
  </si>
  <si>
    <t>franklinleamons@gmail.com</t>
  </si>
  <si>
    <t>Franklin Leamons</t>
  </si>
  <si>
    <t>16001 County Road 15</t>
  </si>
  <si>
    <t>lauren_duesey@hotmail.com</t>
  </si>
  <si>
    <t>Duesenberg</t>
  </si>
  <si>
    <t>Lauren Duesenberg</t>
  </si>
  <si>
    <t>612 5th St. SE</t>
  </si>
  <si>
    <t>Orange City</t>
  </si>
  <si>
    <t>schaubl@urbandale.k12.ia.us</t>
  </si>
  <si>
    <t>bjschaub321@yahoo.com</t>
  </si>
  <si>
    <t>Brinnon</t>
  </si>
  <si>
    <t>Schaub</t>
  </si>
  <si>
    <t>Brinnon Schaub</t>
  </si>
  <si>
    <t>9438 Red Sunset Dr.</t>
  </si>
  <si>
    <t>mclemores7@gmail.com</t>
  </si>
  <si>
    <t>McLemore</t>
  </si>
  <si>
    <t>Blake McLemore</t>
  </si>
  <si>
    <t>12 A Yorktowne Pkwy</t>
  </si>
  <si>
    <t>Whiting</t>
  </si>
  <si>
    <t>kustservicesinc@yahoo.com</t>
  </si>
  <si>
    <t>corrina.kust@yahoo.com</t>
  </si>
  <si>
    <t>corrina</t>
  </si>
  <si>
    <t>kust</t>
  </si>
  <si>
    <t>corrina kust</t>
  </si>
  <si>
    <t>3944 Dempsey Ave SW</t>
  </si>
  <si>
    <t>hansjo@mainstaycomm.net</t>
  </si>
  <si>
    <t>Maverick</t>
  </si>
  <si>
    <t>Maverick Huebert</t>
  </si>
  <si>
    <t>cdturner03@comcast.net</t>
  </si>
  <si>
    <t>danielturner784@gmail.com</t>
  </si>
  <si>
    <t>Charles Turner</t>
  </si>
  <si>
    <t>1212 Mount Vernon Lane</t>
  </si>
  <si>
    <t>cforee@farmersco-operative.com</t>
  </si>
  <si>
    <t>Foree</t>
  </si>
  <si>
    <t>Benjamin Foree</t>
  </si>
  <si>
    <t>901 Irving Street</t>
  </si>
  <si>
    <t>mark_adene@msn.com</t>
  </si>
  <si>
    <t>tyler_3324@yahoo.com</t>
  </si>
  <si>
    <t>Tyler Mason</t>
  </si>
  <si>
    <t>513 Terrace Dr. NE</t>
  </si>
  <si>
    <t>vonhaasl@icloud.com</t>
  </si>
  <si>
    <t>dudeage96@gmail.com</t>
  </si>
  <si>
    <t>von Haasl</t>
  </si>
  <si>
    <t>Christopher von Haasl</t>
  </si>
  <si>
    <t>4169 Hollow Road</t>
  </si>
  <si>
    <t>Sylvia</t>
  </si>
  <si>
    <t>Sylvia Jenson</t>
  </si>
  <si>
    <t>1109 115th Ave NE</t>
  </si>
  <si>
    <t>tbch@tds.net</t>
  </si>
  <si>
    <t>Caleb Stephens</t>
  </si>
  <si>
    <t>rhonnie@rhonnierapoza.com</t>
  </si>
  <si>
    <t>coltonrapoza@gmail.com</t>
  </si>
  <si>
    <t>Rapoza</t>
  </si>
  <si>
    <t>Colton Rapoza</t>
  </si>
  <si>
    <t>PO Box 2077</t>
  </si>
  <si>
    <t>Kailua Kona</t>
  </si>
  <si>
    <t>randyjens@gmail.com</t>
  </si>
  <si>
    <t>Randahl</t>
  </si>
  <si>
    <t>Randahl Jenson</t>
  </si>
  <si>
    <t>1109 115th Ave. NE</t>
  </si>
  <si>
    <t>tymone96@gmail.com</t>
  </si>
  <si>
    <t>Timothy Yoder</t>
  </si>
  <si>
    <t>6169 US HWY 231</t>
  </si>
  <si>
    <t>Loogootee</t>
  </si>
  <si>
    <t>jamyjones5@gmail.com</t>
  </si>
  <si>
    <t>bugga223@yahoo.com</t>
  </si>
  <si>
    <t>Cassandra</t>
  </si>
  <si>
    <t>Cassandra Jones</t>
  </si>
  <si>
    <t>29192 Ranch Place</t>
  </si>
  <si>
    <t>paulynstree@hotmail.com</t>
  </si>
  <si>
    <t>joshua1995@hotmail.com</t>
  </si>
  <si>
    <t>Tree</t>
  </si>
  <si>
    <t>Joshua Tree</t>
  </si>
  <si>
    <t>213 Forest Trail Dr.</t>
  </si>
  <si>
    <t>Fredericksburg</t>
  </si>
  <si>
    <t>ruthboyajian@gmail.com</t>
  </si>
  <si>
    <t>Ruth</t>
  </si>
  <si>
    <t>Boyajian</t>
  </si>
  <si>
    <t>Ruth Boyajian</t>
  </si>
  <si>
    <t>107 Fostertown Road</t>
  </si>
  <si>
    <t>jagtclub9@aol.com</t>
  </si>
  <si>
    <t>Sliceofjoe@gmail.com</t>
  </si>
  <si>
    <t>Jagt</t>
  </si>
  <si>
    <t>Joseph Jagt</t>
  </si>
  <si>
    <t>1545 Berne Rd</t>
  </si>
  <si>
    <t>Fridley</t>
  </si>
  <si>
    <t>jeremiahrolandsmith4@embarqmail.com</t>
  </si>
  <si>
    <t>Jeremiah Smith</t>
  </si>
  <si>
    <t>4033 Statesman Pkwy</t>
  </si>
  <si>
    <t>Lima</t>
  </si>
  <si>
    <t>nicolemarie.melody@gmail.com</t>
  </si>
  <si>
    <t>Nicole Liesmaki</t>
  </si>
  <si>
    <t>12210 Cattle Lane Drive</t>
  </si>
  <si>
    <t>samdwm@yahoo.com</t>
  </si>
  <si>
    <t>s.mcghee123@yahoo.com</t>
  </si>
  <si>
    <t>McGhee</t>
  </si>
  <si>
    <t>Sarah McGhee</t>
  </si>
  <si>
    <t>2356 County Road 156</t>
  </si>
  <si>
    <t>hansenl5@yahoo.com</t>
  </si>
  <si>
    <t>Hansenl5@yahoo.com</t>
  </si>
  <si>
    <t>Chandler Hansen</t>
  </si>
  <si>
    <t>176 Ives Hill Rd.</t>
  </si>
  <si>
    <t>Valley Falls</t>
  </si>
  <si>
    <t>rielpeople@embarqmail.com</t>
  </si>
  <si>
    <t>macymoocow@gmail.com</t>
  </si>
  <si>
    <t>Rene'</t>
  </si>
  <si>
    <t>Rene' Riel</t>
  </si>
  <si>
    <t>8491 Branch Rd</t>
  </si>
  <si>
    <t>Harrah</t>
  </si>
  <si>
    <t>youthpastortodd@gmail.com</t>
  </si>
  <si>
    <t>emilybeaudin@icloud.com</t>
  </si>
  <si>
    <t>Beaudin</t>
  </si>
  <si>
    <t>Emily Beaudin</t>
  </si>
  <si>
    <t>40085 Boulder Park Lane</t>
  </si>
  <si>
    <t>lexielexieclark@gmail.com</t>
  </si>
  <si>
    <t>Lexie</t>
  </si>
  <si>
    <t>Lexie Clark</t>
  </si>
  <si>
    <t>52607 Netherlands Ave</t>
  </si>
  <si>
    <t>Elliott Hansen</t>
  </si>
  <si>
    <t>Valley Falls,</t>
  </si>
  <si>
    <t>wgshepherd@att.net</t>
  </si>
  <si>
    <t>Shepherd</t>
  </si>
  <si>
    <t>William Shepherd</t>
  </si>
  <si>
    <t>309 Sycamore Drive</t>
  </si>
  <si>
    <t>markgrindstaff@hughes.net</t>
  </si>
  <si>
    <t>mgrind94@hughes.net</t>
  </si>
  <si>
    <t>Grindstaff</t>
  </si>
  <si>
    <t>Matthew Grindstaff</t>
  </si>
  <si>
    <t>76 Windmill Drive</t>
  </si>
  <si>
    <t>Silver Creek</t>
  </si>
  <si>
    <t>redeemed.adopted.sealed@gmail.com</t>
  </si>
  <si>
    <t>Shelby Field</t>
  </si>
  <si>
    <t>1142 Dudley Road</t>
  </si>
  <si>
    <t>Moneta</t>
  </si>
  <si>
    <t>rachel.dlanee.97@gmail.com</t>
  </si>
  <si>
    <t>rachel.dlanee.94@gmail.com</t>
  </si>
  <si>
    <t>Rachel Reynolds</t>
  </si>
  <si>
    <t>120 Terrace Park Dr</t>
  </si>
  <si>
    <t>Yakima</t>
  </si>
  <si>
    <t>tiddbitz@gmail.com</t>
  </si>
  <si>
    <t>rojo3797@gmail.com</t>
  </si>
  <si>
    <t>Roberta</t>
  </si>
  <si>
    <t>Tidd</t>
  </si>
  <si>
    <t>Roberta Tidd</t>
  </si>
  <si>
    <t>30 Wren Way</t>
  </si>
  <si>
    <t>kielor.bjerga@gmail.com</t>
  </si>
  <si>
    <t>Kielor</t>
  </si>
  <si>
    <t>Kielor Bjerga</t>
  </si>
  <si>
    <t>jkaiser@southsidechristian.org</t>
  </si>
  <si>
    <t>mlkaiser@sabrenation.org</t>
  </si>
  <si>
    <t>Megan Kaiser</t>
  </si>
  <si>
    <t>39 Varner St</t>
  </si>
  <si>
    <t>Woodruff</t>
  </si>
  <si>
    <t>tjwesome@gmail.com</t>
  </si>
  <si>
    <t>Berreth</t>
  </si>
  <si>
    <t>Timothy Berreth</t>
  </si>
  <si>
    <t>2007 Sandy Lake Dr</t>
  </si>
  <si>
    <t>kevnbuf@gmail.com</t>
  </si>
  <si>
    <t>kaylynbuf@gmail.com</t>
  </si>
  <si>
    <t>Kaylyn</t>
  </si>
  <si>
    <t>Buford</t>
  </si>
  <si>
    <t>Kaylyn Buford</t>
  </si>
  <si>
    <t>9709 Middleton Ridge Rd</t>
  </si>
  <si>
    <t>Vienna</t>
  </si>
  <si>
    <t>sv25@q.com</t>
  </si>
  <si>
    <t>erikav@q.com</t>
  </si>
  <si>
    <t>Erika</t>
  </si>
  <si>
    <t>Veurink</t>
  </si>
  <si>
    <t>Erika Veurink</t>
  </si>
  <si>
    <t>4331 NW 164th Street</t>
  </si>
  <si>
    <t>dhoffer6@gmail.com</t>
  </si>
  <si>
    <t>hoffer.jacob@gmail.com</t>
  </si>
  <si>
    <t>Hoffer</t>
  </si>
  <si>
    <t>Jacob Hoffer</t>
  </si>
  <si>
    <t>7319 Neota Way</t>
  </si>
  <si>
    <t>benjamesj98@outlook.com</t>
  </si>
  <si>
    <t>Benjamin Johnson</t>
  </si>
  <si>
    <t>520 Division Ave</t>
  </si>
  <si>
    <t>jacqueline@schroeder1.com</t>
  </si>
  <si>
    <t>Jacqueline</t>
  </si>
  <si>
    <t>Jacqueline Schroeder</t>
  </si>
  <si>
    <t>rdetellis@yahoo.com</t>
  </si>
  <si>
    <t>caritadetellis@yahoo.com</t>
  </si>
  <si>
    <t>Carita</t>
  </si>
  <si>
    <t>DeTellis</t>
  </si>
  <si>
    <t>Carita DeTellis</t>
  </si>
  <si>
    <t>172 Essex Ave</t>
  </si>
  <si>
    <t>Rumford</t>
  </si>
  <si>
    <t>superfaither@yahoo.com</t>
  </si>
  <si>
    <t>Quigley</t>
  </si>
  <si>
    <t>Matthew Quigley</t>
  </si>
  <si>
    <t>43010 S.E. North Bend Way #57</t>
  </si>
  <si>
    <t>North Bend</t>
  </si>
  <si>
    <t>glsawall@yahoo.com</t>
  </si>
  <si>
    <t>sawallpj@uwec.edu</t>
  </si>
  <si>
    <t>Peter Sawall</t>
  </si>
  <si>
    <t>W332N6240 County Road C</t>
  </si>
  <si>
    <t>Nashotah</t>
  </si>
  <si>
    <t>joemc421@gmail.com</t>
  </si>
  <si>
    <t>McBride</t>
  </si>
  <si>
    <t>Joseph McBride</t>
  </si>
  <si>
    <t>421 McBride Rd</t>
  </si>
  <si>
    <t>smshelms413@gmail.com</t>
  </si>
  <si>
    <t>Helms</t>
  </si>
  <si>
    <t>Sidney Helms</t>
  </si>
  <si>
    <t>844 Goza Road</t>
  </si>
  <si>
    <t>thedeemteam@embarqmail.com</t>
  </si>
  <si>
    <t>babymagnet@embarqmail.com</t>
  </si>
  <si>
    <t>Bailey Deem</t>
  </si>
  <si>
    <t>8787 Jomaureen Way</t>
  </si>
  <si>
    <t>dstreit@far.midco.net</t>
  </si>
  <si>
    <t>kcs.05@hotmail.com</t>
  </si>
  <si>
    <t>Kalli</t>
  </si>
  <si>
    <t>Streit</t>
  </si>
  <si>
    <t>Kalli Streit</t>
  </si>
  <si>
    <t>616 Cottonwood Dr.</t>
  </si>
  <si>
    <t>Casselton</t>
  </si>
  <si>
    <t>miasteve@comcast.net</t>
  </si>
  <si>
    <t>mika97@comcast.net</t>
  </si>
  <si>
    <t>Herndon</t>
  </si>
  <si>
    <t>Mikaela Herndon</t>
  </si>
  <si>
    <t>4907 SW 51st Street</t>
  </si>
  <si>
    <t>annak31.ab@gmail.com</t>
  </si>
  <si>
    <t>Anna Brooks</t>
  </si>
  <si>
    <t>2221 Cottonwood Rd</t>
  </si>
  <si>
    <t>hutchbunch@gmail.com</t>
  </si>
  <si>
    <t>Jacob Hutchins</t>
  </si>
  <si>
    <t>claymore.ind@gmail.com</t>
  </si>
  <si>
    <t>Luke Johnson</t>
  </si>
  <si>
    <t>611 W. Pitkin Ave</t>
  </si>
  <si>
    <t>Fowler</t>
  </si>
  <si>
    <t>dcwalker7226@netzero.com</t>
  </si>
  <si>
    <t>Jennifer Walker</t>
  </si>
  <si>
    <t>132 Steele Drive</t>
  </si>
  <si>
    <t>hannahaxelsson@yahoo.com</t>
  </si>
  <si>
    <t>Axelsson</t>
  </si>
  <si>
    <t>Hannah Axelsson</t>
  </si>
  <si>
    <t>2319 E Road</t>
  </si>
  <si>
    <t>tucanjungle@yahoo.com</t>
  </si>
  <si>
    <t>godschild6417@gmail.com</t>
  </si>
  <si>
    <t>Monique</t>
  </si>
  <si>
    <t>LeFeuvre</t>
  </si>
  <si>
    <t>Monique LeFeuvre</t>
  </si>
  <si>
    <t>5042 Santa Fe Street</t>
  </si>
  <si>
    <t>Yorba Linda</t>
  </si>
  <si>
    <t>cutefairyfire@yahoo.com</t>
  </si>
  <si>
    <t>Rethmeier</t>
  </si>
  <si>
    <t>Katie Rethmeier</t>
  </si>
  <si>
    <t>429 Michigan</t>
  </si>
  <si>
    <t>aivilo7374@aol.com</t>
  </si>
  <si>
    <t>Freitag</t>
  </si>
  <si>
    <t>Olivia Freitag</t>
  </si>
  <si>
    <t>horsebowlhannah@yahoo.com</t>
  </si>
  <si>
    <t>pixiedee3@yahoo.com</t>
  </si>
  <si>
    <t>Kayla Anderson</t>
  </si>
  <si>
    <t>307 Crescent St.</t>
  </si>
  <si>
    <t>Big Lake</t>
  </si>
  <si>
    <t>jackand14@yahoo.com</t>
  </si>
  <si>
    <t>Jack Anderson</t>
  </si>
  <si>
    <t>P.O box 38</t>
  </si>
  <si>
    <t>Wolverton</t>
  </si>
  <si>
    <t>llsmall941@gmail.com</t>
  </si>
  <si>
    <t>610dan@gmail.com</t>
  </si>
  <si>
    <t>Small</t>
  </si>
  <si>
    <t>Daniel Small</t>
  </si>
  <si>
    <t>6870 SW 153rd Ave</t>
  </si>
  <si>
    <t>Beaverton</t>
  </si>
  <si>
    <t>mbat@fuse.net</t>
  </si>
  <si>
    <t>Overholt</t>
  </si>
  <si>
    <t>Allison Overholt</t>
  </si>
  <si>
    <t>9853 forestglen drive</t>
  </si>
  <si>
    <t>cincinnati</t>
  </si>
  <si>
    <t>swathergal97@gmail.com</t>
  </si>
  <si>
    <t>Josina</t>
  </si>
  <si>
    <t>Josina Weststeyn</t>
  </si>
  <si>
    <t>6330 County Rd 39</t>
  </si>
  <si>
    <t>Willows</t>
  </si>
  <si>
    <t>vwatson5@yahoo.com</t>
  </si>
  <si>
    <t>victoriawatsonusa@yahoo.com</t>
  </si>
  <si>
    <t>Victoria Watson</t>
  </si>
  <si>
    <t>8950 Clay Hibbins Road</t>
  </si>
  <si>
    <t>leisa7erickson@gmail.com</t>
  </si>
  <si>
    <t>joel4-god@hotmail.com</t>
  </si>
  <si>
    <t>Erickson</t>
  </si>
  <si>
    <t>Joel Erickson</t>
  </si>
  <si>
    <t>3510 Darrow Ave SE</t>
  </si>
  <si>
    <t>lrsower@gmail.com</t>
  </si>
  <si>
    <t>Sower</t>
  </si>
  <si>
    <t>Logan Sower</t>
  </si>
  <si>
    <t>2281 RD. Z</t>
  </si>
  <si>
    <t>Deerfield</t>
  </si>
  <si>
    <t>yeuxverts24@gmail.com</t>
  </si>
  <si>
    <t>Anna Rosales</t>
  </si>
  <si>
    <t>k.m. 4.8  Carr. Sn. Miguel a Sn. Juan</t>
  </si>
  <si>
    <t>San Lucas Evangelista, Municipio Tlajomulco de Z.</t>
  </si>
  <si>
    <t>erindutton4@gmail.com</t>
  </si>
  <si>
    <t>Jpdutton3@gmail.com</t>
  </si>
  <si>
    <t>Dutton</t>
  </si>
  <si>
    <t>James Dutton</t>
  </si>
  <si>
    <t>13285 Cedarville Way</t>
  </si>
  <si>
    <t>jfrailey@gmail.com</t>
  </si>
  <si>
    <t>agentash1@gmail.com</t>
  </si>
  <si>
    <t>Asher</t>
  </si>
  <si>
    <t>Frailey</t>
  </si>
  <si>
    <t>Asher Frailey</t>
  </si>
  <si>
    <t>1022 Mini Ranch Drive</t>
  </si>
  <si>
    <t>jprascsak@hotmail.com</t>
  </si>
  <si>
    <t>Prascsak</t>
  </si>
  <si>
    <t>Julie Prascsak</t>
  </si>
  <si>
    <t>Ocean</t>
  </si>
  <si>
    <t>trailcharles@comcast.net</t>
  </si>
  <si>
    <t>Jewel</t>
  </si>
  <si>
    <t>Trail</t>
  </si>
  <si>
    <t>Jewel Trail</t>
  </si>
  <si>
    <t>3433 Deerview Dr</t>
  </si>
  <si>
    <t>Murfreesboro</t>
  </si>
  <si>
    <t>jhschmidt98@gmail.com</t>
  </si>
  <si>
    <t>Joseph Schmidt</t>
  </si>
  <si>
    <t>105 Brook Ridge Pl</t>
  </si>
  <si>
    <t>soccerbillyj@aol.com</t>
  </si>
  <si>
    <t>William Yancey</t>
  </si>
  <si>
    <t>740 Park St. E.</t>
  </si>
  <si>
    <t>jaganger@yahoo.com</t>
  </si>
  <si>
    <t>Ganger</t>
  </si>
  <si>
    <t>Jacob Ganger</t>
  </si>
  <si>
    <t>1811 Nicklin Ave.</t>
  </si>
  <si>
    <t>Piqua</t>
  </si>
  <si>
    <t>bowserbunch@sbcglobal.net</t>
  </si>
  <si>
    <t>Williams.Kirk.D@gmail.com</t>
  </si>
  <si>
    <t>Kirk</t>
  </si>
  <si>
    <t>Kirk Williams</t>
  </si>
  <si>
    <t>1821 Suffolk Rd</t>
  </si>
  <si>
    <t>emily@hynesva.com</t>
  </si>
  <si>
    <t>Hynes</t>
  </si>
  <si>
    <t>Emily Hynes</t>
  </si>
  <si>
    <t>11381 Falling Creek Dr.</t>
  </si>
  <si>
    <t>Bealeton</t>
  </si>
  <si>
    <t>jfraley@webalaska.net</t>
  </si>
  <si>
    <t>hannah.fraley@g.kpbsd.org</t>
  </si>
  <si>
    <t>Fraley</t>
  </si>
  <si>
    <t>Hannah Fraley</t>
  </si>
  <si>
    <t>463 W. Riverview Ave</t>
  </si>
  <si>
    <t>charissa@socolo.net</t>
  </si>
  <si>
    <t>emorypeak96@gmail.com</t>
  </si>
  <si>
    <t>Emory</t>
  </si>
  <si>
    <t>Fryberger</t>
  </si>
  <si>
    <t>Emory Fryberger</t>
  </si>
  <si>
    <t>8651 Pine Dr.</t>
  </si>
  <si>
    <t>Beulah</t>
  </si>
  <si>
    <t>cj-hansford@woh.rr.com</t>
  </si>
  <si>
    <t>Hansford</t>
  </si>
  <si>
    <t>Hannah Hansford</t>
  </si>
  <si>
    <t>728 Decker Drive</t>
  </si>
  <si>
    <t>Miamisburg</t>
  </si>
  <si>
    <t>mfkoval@sbcglobal.net</t>
  </si>
  <si>
    <t>Michael Koval</t>
  </si>
  <si>
    <t>2037 W 234th St</t>
  </si>
  <si>
    <t>dentprism@roadrunner.com</t>
  </si>
  <si>
    <t>flpn11@gmail.com</t>
  </si>
  <si>
    <t>Faye-Lyne</t>
  </si>
  <si>
    <t>Faye-Lyne Noel</t>
  </si>
  <si>
    <t>218 Dan Troy Drive</t>
  </si>
  <si>
    <t>Williamsville</t>
  </si>
  <si>
    <t>jlampman@frontier.com</t>
  </si>
  <si>
    <t>Lampman</t>
  </si>
  <si>
    <t>Brian Lampman</t>
  </si>
  <si>
    <t>2 Johnson St.</t>
  </si>
  <si>
    <t>Freeville</t>
  </si>
  <si>
    <t>nihil.boni.sine.labore@gmail.com</t>
  </si>
  <si>
    <t>Shinabarger</t>
  </si>
  <si>
    <t>Noah Shinabarger</t>
  </si>
  <si>
    <t>9130 Hillview Dr</t>
  </si>
  <si>
    <t>kough5@gmail.com</t>
  </si>
  <si>
    <t>mjkough@gmail.com</t>
  </si>
  <si>
    <t>Kough</t>
  </si>
  <si>
    <t>Micah Kough</t>
  </si>
  <si>
    <t>3063 Jeep</t>
  </si>
  <si>
    <t>dchalver@loretel.net</t>
  </si>
  <si>
    <t>Willhalverson@hotmail.com</t>
  </si>
  <si>
    <t>William Halverson</t>
  </si>
  <si>
    <t>39803 Wothe Dr</t>
  </si>
  <si>
    <t>wretchedturnedrighteous@gmail.com</t>
  </si>
  <si>
    <t>Nathan Shinabarger</t>
  </si>
  <si>
    <t>9130 Hillview Dr.</t>
  </si>
  <si>
    <t>lidells@comcast.net</t>
  </si>
  <si>
    <t>anylidell@gmail.com</t>
  </si>
  <si>
    <t>Lidell</t>
  </si>
  <si>
    <t>Amy Lidell</t>
  </si>
  <si>
    <t>1089 Kentucky Hollow Rd</t>
  </si>
  <si>
    <t>skittles@myactv.net</t>
  </si>
  <si>
    <t>Jacob Fierer</t>
  </si>
  <si>
    <t>8206 Dam #4 Road</t>
  </si>
  <si>
    <t>mtrabon@comcast.net</t>
  </si>
  <si>
    <t>rmrabon_919@hotmail.com</t>
  </si>
  <si>
    <t>Rabon</t>
  </si>
  <si>
    <t>Rebekah Rabon</t>
  </si>
  <si>
    <t>6011 Penbrook Dr</t>
  </si>
  <si>
    <t>rdbrando90@gmail.com</t>
  </si>
  <si>
    <t>Kathryn Brandon</t>
  </si>
  <si>
    <t>6845 Morningside Circle</t>
  </si>
  <si>
    <t>autumn.jones@mavs.uta.edu</t>
  </si>
  <si>
    <t>Autumn</t>
  </si>
  <si>
    <t>Autumn Jones</t>
  </si>
  <si>
    <t>97 Crown rd</t>
  </si>
  <si>
    <t>jnjberry@aol.com</t>
  </si>
  <si>
    <t>Berry</t>
  </si>
  <si>
    <t>Brianna Berry</t>
  </si>
  <si>
    <t>2218 Tealwood Circle</t>
  </si>
  <si>
    <t>Tavares</t>
  </si>
  <si>
    <t>aelliott1@aol.com</t>
  </si>
  <si>
    <t>Caleigh.e@gmail.com</t>
  </si>
  <si>
    <t>Caleigh</t>
  </si>
  <si>
    <t>Caleigh Elliott</t>
  </si>
  <si>
    <t>8685 Summerfield Road</t>
  </si>
  <si>
    <t>Petersburg</t>
  </si>
  <si>
    <t>alisonplueckhahn@yahoo.com</t>
  </si>
  <si>
    <t>Alisonplueckhahn@yahoo.com</t>
  </si>
  <si>
    <t>Alison</t>
  </si>
  <si>
    <t>Plueckhahn</t>
  </si>
  <si>
    <t>Alison Plueckhahn</t>
  </si>
  <si>
    <t>PO Box 41</t>
  </si>
  <si>
    <t>Walburg</t>
  </si>
  <si>
    <t>temp@bvti.com</t>
  </si>
  <si>
    <t>austin@bvti.com</t>
  </si>
  <si>
    <t>Austin Zimmerman</t>
  </si>
  <si>
    <t>15855 Parnell Court</t>
  </si>
  <si>
    <t>Haymarket</t>
  </si>
  <si>
    <t>j.pillion@sbcglobal.net</t>
  </si>
  <si>
    <t>J.pillion@sbcglobal.net</t>
  </si>
  <si>
    <t>Pillion</t>
  </si>
  <si>
    <t>Sadie Pillion</t>
  </si>
  <si>
    <t>12931 Golden Rainbow Dr.</t>
  </si>
  <si>
    <t>Cypress</t>
  </si>
  <si>
    <t>kristi.blackler@coyotes.usd.edu</t>
  </si>
  <si>
    <t>Kristianna</t>
  </si>
  <si>
    <t>Blackler</t>
  </si>
  <si>
    <t>Kristianna Blackler</t>
  </si>
  <si>
    <t>22505 Potter Rd</t>
  </si>
  <si>
    <t>laura.leonard@msn.com</t>
  </si>
  <si>
    <t>emily.leonard@msn.com</t>
  </si>
  <si>
    <t>Emily Leonard</t>
  </si>
  <si>
    <t>3494 Colonnade Dr.</t>
  </si>
  <si>
    <t>Mdboriack@aol.com</t>
  </si>
  <si>
    <t>christieonstage@gmail.com</t>
  </si>
  <si>
    <t>22909 Kobs Road</t>
  </si>
  <si>
    <t>Jmdirtracer@gmail.com</t>
  </si>
  <si>
    <t>Joel McCosh</t>
  </si>
  <si>
    <t>2881 e lark dr</t>
  </si>
  <si>
    <t>Beverly</t>
  </si>
  <si>
    <t>sambondurant22@gmail.com</t>
  </si>
  <si>
    <t>Bondurant</t>
  </si>
  <si>
    <t>Marc Bondurant</t>
  </si>
  <si>
    <t>7910 w Spur Dr</t>
  </si>
  <si>
    <t>acrider83@hotmail.com</t>
  </si>
  <si>
    <t>Crider</t>
  </si>
  <si>
    <t>Sarah Crider</t>
  </si>
  <si>
    <t>esteslover4@yahoo.com</t>
  </si>
  <si>
    <t>Cassidy Estes</t>
  </si>
  <si>
    <t>906 Princeton Ave.</t>
  </si>
  <si>
    <t>Modesto</t>
  </si>
  <si>
    <t>kelcilover@yahoo.com</t>
  </si>
  <si>
    <t>Kelci</t>
  </si>
  <si>
    <t>Kelci Estes</t>
  </si>
  <si>
    <t>schmuldt@aol.com</t>
  </si>
  <si>
    <t>leslieschmuldt@gmail.com</t>
  </si>
  <si>
    <t>Leslie</t>
  </si>
  <si>
    <t>Schmuldt</t>
  </si>
  <si>
    <t>Leslie Schmuldt</t>
  </si>
  <si>
    <t>57 N. Glenview Ave.</t>
  </si>
  <si>
    <t>Lombard</t>
  </si>
  <si>
    <t>dharwood10@comcast.net</t>
  </si>
  <si>
    <t>mharwood626@gmail.com</t>
  </si>
  <si>
    <t>Harwood</t>
  </si>
  <si>
    <t>Matthew Harwood</t>
  </si>
  <si>
    <t>5226 Deer Creek Ct</t>
  </si>
  <si>
    <t>vstreeter7@gmail.com</t>
  </si>
  <si>
    <t>maddiestreeter2@gmail.com</t>
  </si>
  <si>
    <t>Madeline Streeter</t>
  </si>
  <si>
    <t>2525 Silver Spur Trl.</t>
  </si>
  <si>
    <t>inHisshadow57.1@gmail.com</t>
  </si>
  <si>
    <t>haigha.hare@gmail.com</t>
  </si>
  <si>
    <t>Roy</t>
  </si>
  <si>
    <t>Rebecca Roy</t>
  </si>
  <si>
    <t>8907 E. 281st Street</t>
  </si>
  <si>
    <t>mvpjarrod@gmail.com</t>
  </si>
  <si>
    <t>Jarrod</t>
  </si>
  <si>
    <t>Jarrod Simmons</t>
  </si>
  <si>
    <t>6435 Tropical Way</t>
  </si>
  <si>
    <t>cgilmore744@gmail.com</t>
  </si>
  <si>
    <t>cfsurf92@gmail.com</t>
  </si>
  <si>
    <t>THOMAS</t>
  </si>
  <si>
    <t>GILMORE</t>
  </si>
  <si>
    <t>THOMAS GILMORE</t>
  </si>
  <si>
    <t>3635 WOOD DUCK DRIVE</t>
  </si>
  <si>
    <t>MIMS</t>
  </si>
  <si>
    <t>buterrflygirl50@yahoo.com</t>
  </si>
  <si>
    <t>Ashley McDonald</t>
  </si>
  <si>
    <t>22513 E Powers Pl</t>
  </si>
  <si>
    <t>lorie.mcmahon@yahoo.com</t>
  </si>
  <si>
    <t>zanemc1997@yahoo.com</t>
  </si>
  <si>
    <t>Zane</t>
  </si>
  <si>
    <t>McMahon</t>
  </si>
  <si>
    <t>Zane McMahon</t>
  </si>
  <si>
    <t>2427 Paradise</t>
  </si>
  <si>
    <t>Vernon</t>
  </si>
  <si>
    <t>lakers32mvp@yahoo.com</t>
  </si>
  <si>
    <t>tchon_nick@yahoo.com</t>
  </si>
  <si>
    <t>Tchon</t>
  </si>
  <si>
    <t>Nicholas Tchon</t>
  </si>
  <si>
    <t>29330 Quailwood Dr.</t>
  </si>
  <si>
    <t>RPV</t>
  </si>
  <si>
    <t>bjnash31@aol.com</t>
  </si>
  <si>
    <t>mkwilliamson7@gmail.com</t>
  </si>
  <si>
    <t>Megan Williamson</t>
  </si>
  <si>
    <t>1251 Tropical Ave</t>
  </si>
  <si>
    <t>Chuluota</t>
  </si>
  <si>
    <t>suttonhannah95@yahoo.com</t>
  </si>
  <si>
    <t>Hannah Sutton</t>
  </si>
  <si>
    <t>330 E Krepps Rd</t>
  </si>
  <si>
    <t>Xenia</t>
  </si>
  <si>
    <t>brandenshin37@yahoo.com</t>
  </si>
  <si>
    <t>Branden</t>
  </si>
  <si>
    <t>Shin</t>
  </si>
  <si>
    <t>Branden Shin</t>
  </si>
  <si>
    <t>21007 Victor St.</t>
  </si>
  <si>
    <t>mino.justin@yahoo.com</t>
  </si>
  <si>
    <t>Mino</t>
  </si>
  <si>
    <t>Justin Mino</t>
  </si>
  <si>
    <t>2758 Loftyview Dr.</t>
  </si>
  <si>
    <t>robbydipietro@gmail.com</t>
  </si>
  <si>
    <t>Robby</t>
  </si>
  <si>
    <t>DiPietro</t>
  </si>
  <si>
    <t>Robby DiPietro</t>
  </si>
  <si>
    <t>3280 12th place</t>
  </si>
  <si>
    <t>rfraser3@embarqmail.com</t>
  </si>
  <si>
    <t>godisgood55@gmail.com</t>
  </si>
  <si>
    <t>Hunter Fraser</t>
  </si>
  <si>
    <t>12546-90th Place North</t>
  </si>
  <si>
    <t>jdance721@gmail.com</t>
  </si>
  <si>
    <t>jddance721@gmail.com</t>
  </si>
  <si>
    <t>Dance</t>
  </si>
  <si>
    <t>Jacob Dance</t>
  </si>
  <si>
    <t>210 Blacks Drive</t>
  </si>
  <si>
    <t>alisa_ohara@yahoo.com</t>
  </si>
  <si>
    <t>Ohara</t>
  </si>
  <si>
    <t>Alisa Ohara</t>
  </si>
  <si>
    <t>2406 Descanso Way</t>
  </si>
  <si>
    <t>crd@championcoach.com</t>
  </si>
  <si>
    <t>mdance@clemson.edu</t>
  </si>
  <si>
    <t>Matthew Dance</t>
  </si>
  <si>
    <t>karinafoust@gmail.com</t>
  </si>
  <si>
    <t>barrclan@hotmail.com</t>
  </si>
  <si>
    <t>Zachary Barr</t>
  </si>
  <si>
    <t>811 Cape Ave.</t>
  </si>
  <si>
    <t>Bozeman</t>
  </si>
  <si>
    <t>juliaoohara@gmail.com</t>
  </si>
  <si>
    <t>Julia Ohara</t>
  </si>
  <si>
    <t>mistg707@gmail.com</t>
  </si>
  <si>
    <t>Youn</t>
  </si>
  <si>
    <t>Daniel Youn</t>
  </si>
  <si>
    <t>15928 Halldale Ave.</t>
  </si>
  <si>
    <t>Gardena</t>
  </si>
  <si>
    <t>anjtakei7@gmail.com</t>
  </si>
  <si>
    <t>Anju</t>
  </si>
  <si>
    <t>Takei</t>
  </si>
  <si>
    <t>Anju Takei</t>
  </si>
  <si>
    <t>3220 Raintree Ave.</t>
  </si>
  <si>
    <t>kcookes4@yahoo.com</t>
  </si>
  <si>
    <t>Cooke</t>
  </si>
  <si>
    <t>Isabel Cooke</t>
  </si>
  <si>
    <t>1421 Meadowlark Lane</t>
  </si>
  <si>
    <t>Marysville</t>
  </si>
  <si>
    <t>pianonote@post.com</t>
  </si>
  <si>
    <t>Johanna Powell</t>
  </si>
  <si>
    <t>21014 10th Pl. W</t>
  </si>
  <si>
    <t>jhw305@gmail.com</t>
  </si>
  <si>
    <t>Wang</t>
  </si>
  <si>
    <t>Jason Wang</t>
  </si>
  <si>
    <t>19910 Grevillea Ave.</t>
  </si>
  <si>
    <t>danielpark918@yahoo.com</t>
  </si>
  <si>
    <t>Daniel Park</t>
  </si>
  <si>
    <t>2943 Briarwood Dr.</t>
  </si>
  <si>
    <t>chewymcbaca@gmail.com</t>
  </si>
  <si>
    <t>Baca</t>
  </si>
  <si>
    <t>Andrew Baca</t>
  </si>
  <si>
    <t>350 River Rd</t>
  </si>
  <si>
    <t>Arnold</t>
  </si>
  <si>
    <t>conardfam@aol.com</t>
  </si>
  <si>
    <t>Conardfam@aol.com</t>
  </si>
  <si>
    <t>Conard</t>
  </si>
  <si>
    <t>Rebekah Conard</t>
  </si>
  <si>
    <t>836 15th street</t>
  </si>
  <si>
    <t>gracendandy@yahoo.com</t>
  </si>
  <si>
    <t>Canfield</t>
  </si>
  <si>
    <t>Grace Canfield</t>
  </si>
  <si>
    <t>5401 Stone Trail</t>
  </si>
  <si>
    <t>Gillette</t>
  </si>
  <si>
    <t>ericbahng15@gmail.com</t>
  </si>
  <si>
    <t>Bahng</t>
  </si>
  <si>
    <t>Eric Bahng</t>
  </si>
  <si>
    <t>2800 Plaza Del Amo</t>
  </si>
  <si>
    <t>Calah@newlife919.com</t>
  </si>
  <si>
    <t>calah@windstream.net</t>
  </si>
  <si>
    <t>Calah</t>
  </si>
  <si>
    <t>Paulo</t>
  </si>
  <si>
    <t>Calah Paulo</t>
  </si>
  <si>
    <t>1541 Hawthorne Drive</t>
  </si>
  <si>
    <t>Indian Trail</t>
  </si>
  <si>
    <t>amandanash14@outlook.com</t>
  </si>
  <si>
    <t>Nash</t>
  </si>
  <si>
    <t>Amanda Nash</t>
  </si>
  <si>
    <t>876 Royalwood Lane</t>
  </si>
  <si>
    <t>Oviedo</t>
  </si>
  <si>
    <t>shawl@geoprobe.com</t>
  </si>
  <si>
    <t>lejami3@gmail.com</t>
  </si>
  <si>
    <t>Mikiah</t>
  </si>
  <si>
    <t>Dykes</t>
  </si>
  <si>
    <t>Mikiah Dykes</t>
  </si>
  <si>
    <t>319 ne 9 th</t>
  </si>
  <si>
    <t>emilyfaithguimaraes@gmail.com</t>
  </si>
  <si>
    <t>Guimaraes</t>
  </si>
  <si>
    <t>Emily Guimaraes</t>
  </si>
  <si>
    <t>7970 Tram Rd</t>
  </si>
  <si>
    <t>stephen@wambamfence.com</t>
  </si>
  <si>
    <t>maryprins00@hotmail.com</t>
  </si>
  <si>
    <t>Prins</t>
  </si>
  <si>
    <t>Mary Prins</t>
  </si>
  <si>
    <t>15710 Taviston St</t>
  </si>
  <si>
    <t>thomaskinley2@gmail.com</t>
  </si>
  <si>
    <t>Kinley</t>
  </si>
  <si>
    <t>Thomas Kinley</t>
  </si>
  <si>
    <t>185 58th Court</t>
  </si>
  <si>
    <t>hananimadle@gmail.com</t>
  </si>
  <si>
    <t>jaehan</t>
  </si>
  <si>
    <t>jeong</t>
  </si>
  <si>
    <t>jaehan jeong</t>
  </si>
  <si>
    <t>142-1,yonhheung-dong,buk-gu</t>
  </si>
  <si>
    <t>pohang</t>
  </si>
  <si>
    <t>Gyeongsangbuk-do</t>
  </si>
  <si>
    <t>791-810</t>
  </si>
  <si>
    <t>1476 Halpin Rd.</t>
  </si>
  <si>
    <t>home.sweethome@afo.net</t>
  </si>
  <si>
    <t>jallen24@caccmail.cacc.edu</t>
  </si>
  <si>
    <t>Joshua Allen</t>
  </si>
  <si>
    <t>676 Bridgeview Dr.</t>
  </si>
  <si>
    <t>Alpine</t>
  </si>
  <si>
    <t>roberts123838@bellsouth.net</t>
  </si>
  <si>
    <t>Jabrille</t>
  </si>
  <si>
    <t>Jabrille Williams</t>
  </si>
  <si>
    <t>2002 North Twin Oaks Way</t>
  </si>
  <si>
    <t>hdp1996@gmail.com</t>
  </si>
  <si>
    <t>4843 AL HWY144</t>
  </si>
  <si>
    <t>jsherbondy@bellsouth.net</t>
  </si>
  <si>
    <t>jake72700@yahoo.com</t>
  </si>
  <si>
    <t>Sherbondy</t>
  </si>
  <si>
    <t>Jacob Sherbondy</t>
  </si>
  <si>
    <t>877 N.W. 3rd Ave.</t>
  </si>
  <si>
    <t>jmmatlock@gmail.com</t>
  </si>
  <si>
    <t>ryancmatlock@gmail.com</t>
  </si>
  <si>
    <t>Matlock</t>
  </si>
  <si>
    <t>Ryan Matlock</t>
  </si>
  <si>
    <t>5863 Catlin Ln</t>
  </si>
  <si>
    <t>Noblesvi</t>
  </si>
  <si>
    <t>kenbrandy@hotmail.com</t>
  </si>
  <si>
    <t>willowkaye@gmail.com</t>
  </si>
  <si>
    <t>Willow</t>
  </si>
  <si>
    <t>Willow Barnett</t>
  </si>
  <si>
    <t>5177 Hollow Log Lane</t>
  </si>
  <si>
    <t>webslair@gmail.com</t>
  </si>
  <si>
    <t>jaxeb1997@gmail.com</t>
  </si>
  <si>
    <t>Jackson Webster</t>
  </si>
  <si>
    <t>7370 Hyperion Pt.</t>
  </si>
  <si>
    <t>martinezvilmarie81@gmail.com</t>
  </si>
  <si>
    <t>moniquer@iastate.edu</t>
  </si>
  <si>
    <t>Monique Rodriguez</t>
  </si>
  <si>
    <t>1827 Thornhill Rd.</t>
  </si>
  <si>
    <t>Apt. 105</t>
  </si>
  <si>
    <t>rachel@xalnix.com</t>
  </si>
  <si>
    <t>rache@xalnix.com</t>
  </si>
  <si>
    <t>Potter</t>
  </si>
  <si>
    <t>Rachel Potter</t>
  </si>
  <si>
    <t>10205 Cobbler Lane</t>
  </si>
  <si>
    <t>Delaplane</t>
  </si>
  <si>
    <t>pabs159@gmail.com</t>
  </si>
  <si>
    <t>Pablo</t>
  </si>
  <si>
    <t>Pablo Smith</t>
  </si>
  <si>
    <t>22132 Rose Grass Lane</t>
  </si>
  <si>
    <t>Spicewood</t>
  </si>
  <si>
    <t>felicitykaye@gmail.com</t>
  </si>
  <si>
    <t>Felicity</t>
  </si>
  <si>
    <t>Felicity Barnett</t>
  </si>
  <si>
    <t>pabloandalicia@yahoo.com</t>
  </si>
  <si>
    <t>estebanvalenzuela13@gmail.com</t>
  </si>
  <si>
    <t>Esteban</t>
  </si>
  <si>
    <t>Valenzuela</t>
  </si>
  <si>
    <t>Esteban Valenzuela</t>
  </si>
  <si>
    <t>500 Shafer Rd.</t>
  </si>
  <si>
    <t>PO Box 843</t>
  </si>
  <si>
    <t>Tornillo</t>
  </si>
  <si>
    <t>fstrome@sbcglobal.net</t>
  </si>
  <si>
    <t>7strome@gmail.com</t>
  </si>
  <si>
    <t>Strome</t>
  </si>
  <si>
    <t>Thomas Strome</t>
  </si>
  <si>
    <t>602 7th Ave.</t>
  </si>
  <si>
    <t>clairebearfreitag@gmail.com</t>
  </si>
  <si>
    <t>Claire Freitag</t>
  </si>
  <si>
    <t>3405 Monarch Ave.</t>
  </si>
  <si>
    <t>avramsmith.buntu@gmail.com</t>
  </si>
  <si>
    <t>James Smith</t>
  </si>
  <si>
    <t>901 Mountain Crest Dr</t>
  </si>
  <si>
    <t>mboatrig@gmail.com</t>
  </si>
  <si>
    <t>Boatright</t>
  </si>
  <si>
    <t>Hannah Boatright</t>
  </si>
  <si>
    <t>29775 Pony Path Rd</t>
  </si>
  <si>
    <t>walderd@sbcglobal.net</t>
  </si>
  <si>
    <t>sweetpea0847@att.net</t>
  </si>
  <si>
    <t>Emilie</t>
  </si>
  <si>
    <t>Walder</t>
  </si>
  <si>
    <t>Emilie Walder</t>
  </si>
  <si>
    <t>31 Stonegate Dr. West</t>
  </si>
  <si>
    <t>Prospect Heights</t>
  </si>
  <si>
    <t>guteerty@gmail.com</t>
  </si>
  <si>
    <t>Buratovcih</t>
  </si>
  <si>
    <t>Rachel Buratovcih</t>
  </si>
  <si>
    <t>112 Marietta Ave</t>
  </si>
  <si>
    <t>Spring Arbor</t>
  </si>
  <si>
    <t>83 S Peak Trail</t>
  </si>
  <si>
    <t>cello_music@sbcglobal.net</t>
  </si>
  <si>
    <t>Hunsuck</t>
  </si>
  <si>
    <t>Nathan Hunsuck</t>
  </si>
  <si>
    <t>3256 Scott Dr.</t>
  </si>
  <si>
    <t>Atwater</t>
  </si>
  <si>
    <t>Sarah Jane</t>
  </si>
  <si>
    <t>Sarah Jane Bailey</t>
  </si>
  <si>
    <t>33787 U.S. HWY 411</t>
  </si>
  <si>
    <t>sarahdv2013@yahoo.com</t>
  </si>
  <si>
    <t>DeVries</t>
  </si>
  <si>
    <t>Sarah DeVries</t>
  </si>
  <si>
    <t>1296 County Line Rd.</t>
  </si>
  <si>
    <t>breanne@weski.co</t>
  </si>
  <si>
    <t>Breanne</t>
  </si>
  <si>
    <t>Parets</t>
  </si>
  <si>
    <t>Breanne Parets</t>
  </si>
  <si>
    <t>2815 Raymond Dr</t>
  </si>
  <si>
    <t>nore4580@att.net</t>
  </si>
  <si>
    <t>Lenore</t>
  </si>
  <si>
    <t>Lenore Walder</t>
  </si>
  <si>
    <t>hlphillips98@gmail.com</t>
  </si>
  <si>
    <t>Haven</t>
  </si>
  <si>
    <t>Haven Phillips</t>
  </si>
  <si>
    <t>4843 AL HWY 144</t>
  </si>
  <si>
    <t>izaben@yahoo.com</t>
  </si>
  <si>
    <t>isaiah72595@yahoo.com</t>
  </si>
  <si>
    <t>319 Timor Rd S.E.</t>
  </si>
  <si>
    <t>john.falk@sbcglobal.net</t>
  </si>
  <si>
    <t>zander.falk@sbcglobal.net</t>
  </si>
  <si>
    <t>Falk</t>
  </si>
  <si>
    <t>Alexander Falk</t>
  </si>
  <si>
    <t>3456 Chasen Dr</t>
  </si>
  <si>
    <t>rbrackeen@teamfrance.org</t>
  </si>
  <si>
    <t>ebrackeen@teamfrance.org</t>
  </si>
  <si>
    <t>Brackeen</t>
  </si>
  <si>
    <t>Elisabeth Brackeen</t>
  </si>
  <si>
    <t>3735 Amelia Island Street</t>
  </si>
  <si>
    <t>lindsay_hunt@comcast.net</t>
  </si>
  <si>
    <t>Lindsay Hunt</t>
  </si>
  <si>
    <t>8307 Bruns Drive</t>
  </si>
  <si>
    <t>drbethfoster@gmail.com</t>
  </si>
  <si>
    <t>drbethcollier@gmail.com</t>
  </si>
  <si>
    <t>Seth Collier</t>
  </si>
  <si>
    <t>5953 Stockdale Rd</t>
  </si>
  <si>
    <t>Talladega</t>
  </si>
  <si>
    <t>heather-girl@hotmail.com</t>
  </si>
  <si>
    <t>Heather Williams</t>
  </si>
  <si>
    <t>45150 County Road 118</t>
  </si>
  <si>
    <t>roberta_coyle@msn.com</t>
  </si>
  <si>
    <t>mcoyle16@gmail.com</t>
  </si>
  <si>
    <t>Coyle</t>
  </si>
  <si>
    <t>McKenzie Coyle</t>
  </si>
  <si>
    <t>2667 Elmer Linn Dr</t>
  </si>
  <si>
    <t>bsudduth@mynomics.com</t>
  </si>
  <si>
    <t>Sudduthcasey@yahoo.com</t>
  </si>
  <si>
    <t>Sudduth</t>
  </si>
  <si>
    <t>Casey Sudduth</t>
  </si>
  <si>
    <t>126 Chestnut Lane</t>
  </si>
  <si>
    <t>mckenna@vonguntens.com</t>
  </si>
  <si>
    <t>Von Gunten</t>
  </si>
  <si>
    <t>McKenna Von Gunten</t>
  </si>
  <si>
    <t>dbcschool@sbcglobal.net</t>
  </si>
  <si>
    <t>Jayaperkins@gmail.com</t>
  </si>
  <si>
    <t>Jeremy Perkins</t>
  </si>
  <si>
    <t>117 West Terrace Drive</t>
  </si>
  <si>
    <t>Hanford</t>
  </si>
  <si>
    <t>nwsiegel@gmail.com</t>
  </si>
  <si>
    <t>Noah Siegel</t>
  </si>
  <si>
    <t>JacobAllen07@gmail.com</t>
  </si>
  <si>
    <t>jacoballen07@gmail.com</t>
  </si>
  <si>
    <t>Jacob Allen</t>
  </si>
  <si>
    <t>5035 Mahogany Way</t>
  </si>
  <si>
    <t>kwpmac3@yahoo.com</t>
  </si>
  <si>
    <t>wmac21@yahoo.com</t>
  </si>
  <si>
    <t>McLaughlin</t>
  </si>
  <si>
    <t>Whitney McLaughlin</t>
  </si>
  <si>
    <t>6327 W Ironwood Dr</t>
  </si>
  <si>
    <t>kathryn.enloe@gmail.com</t>
  </si>
  <si>
    <t>christopher.enloe@gmail.com</t>
  </si>
  <si>
    <t>Enloe</t>
  </si>
  <si>
    <t>Christopher Enloe</t>
  </si>
  <si>
    <t>9231-13th Ave</t>
  </si>
  <si>
    <t>b.kimthy@gmail.com</t>
  </si>
  <si>
    <t>xocathyitsme@gmail.com</t>
  </si>
  <si>
    <t>Kimthy</t>
  </si>
  <si>
    <t>Bui</t>
  </si>
  <si>
    <t>Kimthy Bui</t>
  </si>
  <si>
    <t>5262 Cromwell Ct</t>
  </si>
  <si>
    <t>paredesfamily@live.com</t>
  </si>
  <si>
    <t>GUSTAVO</t>
  </si>
  <si>
    <t>PAREDES, Jr.</t>
  </si>
  <si>
    <t>GUSTAVO PAREDES, Jr.</t>
  </si>
  <si>
    <t>david@allison9.com</t>
  </si>
  <si>
    <t>David Allison</t>
  </si>
  <si>
    <t>6536 Potters Road</t>
  </si>
  <si>
    <t>lgsilver111@gmail.com</t>
  </si>
  <si>
    <t>Lydia Silver</t>
  </si>
  <si>
    <t>Mint Hill</t>
  </si>
  <si>
    <t>cluetke@hotmail.com</t>
  </si>
  <si>
    <t>cory_luetke@hotmail.com</t>
  </si>
  <si>
    <t>Corrigan</t>
  </si>
  <si>
    <t>Luetke</t>
  </si>
  <si>
    <t>Corrigan Luetke</t>
  </si>
  <si>
    <t>1139 Beverly Drive</t>
  </si>
  <si>
    <t>Lake Villa</t>
  </si>
  <si>
    <t>fouronthefloorranch@yahoo.com</t>
  </si>
  <si>
    <t>Cornwell</t>
  </si>
  <si>
    <t>Keith Cornwell</t>
  </si>
  <si>
    <t>PO Box 75</t>
  </si>
  <si>
    <t>Flat</t>
  </si>
  <si>
    <t>revsaz9@gmail.com</t>
  </si>
  <si>
    <t>Zwart</t>
  </si>
  <si>
    <t>Abigail Zwart</t>
  </si>
  <si>
    <t>mary5zoocrew@yahoo.com</t>
  </si>
  <si>
    <t>Haines</t>
  </si>
  <si>
    <t>Kaitlyn Haines</t>
  </si>
  <si>
    <t>3333 Neimans Ave. SE</t>
  </si>
  <si>
    <t>sam1baca1971@gmail.com</t>
  </si>
  <si>
    <t>Samuel Baca</t>
  </si>
  <si>
    <t>alexys.ramos@yahoo.com</t>
  </si>
  <si>
    <t>Alexys</t>
  </si>
  <si>
    <t>Alexys Ramos</t>
  </si>
  <si>
    <t>tim.mctavish@gmail.com</t>
  </si>
  <si>
    <t>davidmmctavish@gmail.com</t>
  </si>
  <si>
    <t>McTavish</t>
  </si>
  <si>
    <t>David McTavish</t>
  </si>
  <si>
    <t>11115 Daley Cir</t>
  </si>
  <si>
    <t>dld_delucco@fairpoint.net</t>
  </si>
  <si>
    <t>flames-of-holy-fire@fairpoint.net</t>
  </si>
  <si>
    <t>Daniele</t>
  </si>
  <si>
    <t>DeLucco</t>
  </si>
  <si>
    <t>Daniele DeLucco</t>
  </si>
  <si>
    <t>347 Denmark Rd.</t>
  </si>
  <si>
    <t>Denmark</t>
  </si>
  <si>
    <t>oliveoyl1998@gmail.com</t>
  </si>
  <si>
    <t>Olive</t>
  </si>
  <si>
    <t>Payton Olive</t>
  </si>
  <si>
    <t>P.O. Box 12771</t>
  </si>
  <si>
    <t>Oklahoma city</t>
  </si>
  <si>
    <t>codyfleming@ymail.com</t>
  </si>
  <si>
    <t>Cody Fleming</t>
  </si>
  <si>
    <t>2003 Saunders</t>
  </si>
  <si>
    <t>gatesville</t>
  </si>
  <si>
    <t>mocyhomes@yahoo.com</t>
  </si>
  <si>
    <t>Holifield</t>
  </si>
  <si>
    <t>Cameron Holifield</t>
  </si>
  <si>
    <t>1062 Golf Lane</t>
  </si>
  <si>
    <t>Summit</t>
  </si>
  <si>
    <t>sacredfiasco@gmail.com</t>
  </si>
  <si>
    <t>dakotakate96@yahoo.com</t>
  </si>
  <si>
    <t>DakotaKate</t>
  </si>
  <si>
    <t>Lamkin</t>
  </si>
  <si>
    <t>DakotaKate Lamkin</t>
  </si>
  <si>
    <t>1505 Bluefield Ct</t>
  </si>
  <si>
    <t>marlin@mefc.net</t>
  </si>
  <si>
    <t>chase1moh@gmail.com</t>
  </si>
  <si>
    <t>Chase</t>
  </si>
  <si>
    <t>Mohrman</t>
  </si>
  <si>
    <t>Chase Mohrman</t>
  </si>
  <si>
    <t>1122 Park Lane</t>
  </si>
  <si>
    <t>dadutton@monmouthnet.net</t>
  </si>
  <si>
    <t>jamie.samwisegamgee@gmail.com</t>
  </si>
  <si>
    <t>James Bennett</t>
  </si>
  <si>
    <t>RR 1,  Box 69</t>
  </si>
  <si>
    <t>Little York</t>
  </si>
  <si>
    <t>ellen_bennett_1997@ymail.com</t>
  </si>
  <si>
    <t>Grace Bennett</t>
  </si>
  <si>
    <t>RR1, Box 69</t>
  </si>
  <si>
    <t>mnm@inbox.com</t>
  </si>
  <si>
    <t>maggie</t>
  </si>
  <si>
    <t>beswick</t>
  </si>
  <si>
    <t>maggie beswick</t>
  </si>
  <si>
    <t>saddleup95z@gmail.com</t>
  </si>
  <si>
    <t>Cana</t>
  </si>
  <si>
    <t>Mowrer</t>
  </si>
  <si>
    <t>Cana Mowrer</t>
  </si>
  <si>
    <t>2043 105th St.</t>
  </si>
  <si>
    <t>Earlham</t>
  </si>
  <si>
    <t>lgreeneathome@yahoo.com</t>
  </si>
  <si>
    <t>jakegreene803@yahoo.com</t>
  </si>
  <si>
    <t>Jacob Greene</t>
  </si>
  <si>
    <t>742 Sweet Meadow Lane</t>
  </si>
  <si>
    <t>Clover</t>
  </si>
  <si>
    <t>lizzybeh@hotmail.com</t>
  </si>
  <si>
    <t>boys.rule798@gmail.com</t>
  </si>
  <si>
    <t>Hillegeist</t>
  </si>
  <si>
    <t>Colton Hillegeist</t>
  </si>
  <si>
    <t>2941 E LARK DR</t>
  </si>
  <si>
    <t>BEVERLY</t>
  </si>
  <si>
    <t>bellagrace95@yahoo.com</t>
  </si>
  <si>
    <t>Isabella Ramos</t>
  </si>
  <si>
    <t>mark@pitrone.net</t>
  </si>
  <si>
    <t>davidpitrone@gmail.com</t>
  </si>
  <si>
    <t>Pitrone</t>
  </si>
  <si>
    <t>David Pitrone</t>
  </si>
  <si>
    <t>PO Box 2153</t>
  </si>
  <si>
    <t>Stow</t>
  </si>
  <si>
    <t>j_13_king@yahoo.com</t>
  </si>
  <si>
    <t>Hellmund</t>
  </si>
  <si>
    <t>Jordan Hellmund</t>
  </si>
  <si>
    <t>4067 Rymark Ct.</t>
  </si>
  <si>
    <t>thomas_r27@yahoo.com</t>
  </si>
  <si>
    <t>jesusrocks2911@gmail.com</t>
  </si>
  <si>
    <t>James Rogers</t>
  </si>
  <si>
    <t>4861 Baldwin Hills Dr.</t>
  </si>
  <si>
    <t>ryangoodson@gmail.com</t>
  </si>
  <si>
    <t>Goodson</t>
  </si>
  <si>
    <t>Ryan Goodson</t>
  </si>
  <si>
    <t>309 Ashwood Court</t>
  </si>
  <si>
    <t>Colby.Johnson@mines.sdsmt.edu</t>
  </si>
  <si>
    <t>Colby</t>
  </si>
  <si>
    <t>Colby Johnson</t>
  </si>
  <si>
    <t>132 Grey Goose Rd</t>
  </si>
  <si>
    <t>breaststroker95@gmail.com</t>
  </si>
  <si>
    <t>corinthiansthirteen@yahoo.com</t>
  </si>
  <si>
    <t>jaymurry182@gmail.com</t>
  </si>
  <si>
    <t>Cline</t>
  </si>
  <si>
    <t>Lacey Cline</t>
  </si>
  <si>
    <t>3613 Willow West</t>
  </si>
  <si>
    <t>Woodward</t>
  </si>
  <si>
    <t>pdfmaier@gmail.com</t>
  </si>
  <si>
    <t>bubblegum.pop.96@gmail.com</t>
  </si>
  <si>
    <t>Maier</t>
  </si>
  <si>
    <t>Rachel Maier</t>
  </si>
  <si>
    <t>6828 State Rd. 73</t>
  </si>
  <si>
    <t>prospector49er@gmail.com</t>
  </si>
  <si>
    <t>MacDonald</t>
  </si>
  <si>
    <t>Gabriella MacDonald</t>
  </si>
  <si>
    <t>8370 N 1000  East</t>
  </si>
  <si>
    <t>binknrust@sympatico.ca</t>
  </si>
  <si>
    <t>all4paws@bell.net</t>
  </si>
  <si>
    <t>Laarakker</t>
  </si>
  <si>
    <t>Christy Laarakker</t>
  </si>
  <si>
    <t>1002 Alana Blvd. RR1</t>
  </si>
  <si>
    <t>Severn Bridge</t>
  </si>
  <si>
    <t>P0E 1N0</t>
  </si>
  <si>
    <t>fredstevens@mtida.net</t>
  </si>
  <si>
    <t>mshawx7@gmail.com</t>
  </si>
  <si>
    <t>Michael Stevens</t>
  </si>
  <si>
    <t>149 Mountain View Lane</t>
  </si>
  <si>
    <t>Grangeville</t>
  </si>
  <si>
    <t>jcbecker@pie.midco.net</t>
  </si>
  <si>
    <t>hb3030@k12.sd.us</t>
  </si>
  <si>
    <t>Heidi Becker</t>
  </si>
  <si>
    <t>825 N Huron</t>
  </si>
  <si>
    <t>Hannah Becker</t>
  </si>
  <si>
    <t>djsiemon@quadro.net</t>
  </si>
  <si>
    <t>brilliant.dna@gmail.com</t>
  </si>
  <si>
    <t>Dan</t>
  </si>
  <si>
    <t>Siemon</t>
  </si>
  <si>
    <t>Dan Siemon</t>
  </si>
  <si>
    <t>5048 Line 29</t>
  </si>
  <si>
    <t>R.R.2</t>
  </si>
  <si>
    <t>N0K1N0</t>
  </si>
  <si>
    <t>ablessedmom@gmail.com</t>
  </si>
  <si>
    <t>ablessedson@gmail.com</t>
  </si>
  <si>
    <t>Walters</t>
  </si>
  <si>
    <t>Jacob Walters</t>
  </si>
  <si>
    <t>6985 Woodland Dr</t>
  </si>
  <si>
    <t>michael_pagan@yahoo.com</t>
  </si>
  <si>
    <t>jtpagan75@gmail.com</t>
  </si>
  <si>
    <t>Pagan</t>
  </si>
  <si>
    <t>Jonathan Pagan</t>
  </si>
  <si>
    <t>2993 Greenwich Street</t>
  </si>
  <si>
    <t>Carlsbad</t>
  </si>
  <si>
    <t>brookechealey@gmail.com</t>
  </si>
  <si>
    <t>Healey</t>
  </si>
  <si>
    <t>Brooke Healey</t>
  </si>
  <si>
    <t>Box 654</t>
  </si>
  <si>
    <t>Melfort</t>
  </si>
  <si>
    <t>Saskatchewan</t>
  </si>
  <si>
    <t>S0E1A0</t>
  </si>
  <si>
    <t>5asgoodasgold@gmaii.com</t>
  </si>
  <si>
    <t>5asgoodasgold@gmail.com</t>
  </si>
  <si>
    <t>Goldman</t>
  </si>
  <si>
    <t>Wesley Goldman</t>
  </si>
  <si>
    <t>1784 Hwy 13</t>
  </si>
  <si>
    <t>morgan@vonguntens.com</t>
  </si>
  <si>
    <t>Morgan Von Gunten</t>
  </si>
  <si>
    <t>900 Pecan St E STE 300-125</t>
  </si>
  <si>
    <t>Pflugerville</t>
  </si>
  <si>
    <t>hoffer.joshua@gmail.com</t>
  </si>
  <si>
    <t>Joshua Hoffer</t>
  </si>
  <si>
    <t>middle_c@hotmail.com</t>
  </si>
  <si>
    <t>Christina Siemon</t>
  </si>
  <si>
    <t>11 Elliott Street</t>
  </si>
  <si>
    <t>London</t>
  </si>
  <si>
    <t>N0K 1N0</t>
  </si>
  <si>
    <t>susie@pleaseconvinceme.com</t>
  </si>
  <si>
    <t>wallacem48@gmail.com</t>
  </si>
  <si>
    <t>Mia</t>
  </si>
  <si>
    <t>Mia Wallace</t>
  </si>
  <si>
    <t>24606 Mosquero</t>
  </si>
  <si>
    <t>Mission  Viejo</t>
  </si>
  <si>
    <t>mandarose1218@hotmail.com</t>
  </si>
  <si>
    <t>Lipinski</t>
  </si>
  <si>
    <t>Amanda Lipinski</t>
  </si>
  <si>
    <t>410 4th Street</t>
  </si>
  <si>
    <t>happykellys@mindspring.com</t>
  </si>
  <si>
    <t>patjkelly2@mindspring.com</t>
  </si>
  <si>
    <t>Patrick Kelly</t>
  </si>
  <si>
    <t>6235 NW 83 Lane</t>
  </si>
  <si>
    <t>boonemail@cfl.rr.com</t>
  </si>
  <si>
    <t>Lauren Boone</t>
  </si>
  <si>
    <t>307 Lake Blvd.</t>
  </si>
  <si>
    <t>84cremebrule@gmail.com</t>
  </si>
  <si>
    <t>Josiah Wong</t>
  </si>
  <si>
    <t>7101 Rivol Road</t>
  </si>
  <si>
    <t>West Hills</t>
  </si>
  <si>
    <t>carlie.princess@comcast.net</t>
  </si>
  <si>
    <t>Carlie Moore</t>
  </si>
  <si>
    <t>208 Cushing Drive</t>
  </si>
  <si>
    <t>andyhouston04@gmail.com</t>
  </si>
  <si>
    <t>Andrea Houston</t>
  </si>
  <si>
    <t>PO Box 775662</t>
  </si>
  <si>
    <t>Steamoat Springs</t>
  </si>
  <si>
    <t>julie.petrillo@mail.com</t>
  </si>
  <si>
    <t>Petrillo</t>
  </si>
  <si>
    <t>Juliana Petrillo</t>
  </si>
  <si>
    <t>23 Sherborne Rd</t>
  </si>
  <si>
    <t>jjackson123196@gmail.com</t>
  </si>
  <si>
    <t>John Jackson</t>
  </si>
  <si>
    <t>161 Pinehill est. Drive</t>
  </si>
  <si>
    <t>Guyton</t>
  </si>
  <si>
    <t>fivepack@pobox.com</t>
  </si>
  <si>
    <t>Pack</t>
  </si>
  <si>
    <t>Mason Pack</t>
  </si>
  <si>
    <t>10210 NE 65th Ave.</t>
  </si>
  <si>
    <t>Vancouver</t>
  </si>
  <si>
    <t>thomasbowman6@gmail.com</t>
  </si>
  <si>
    <t>Thomasbowman6@gmail.com</t>
  </si>
  <si>
    <t>Thomas Bowman</t>
  </si>
  <si>
    <t>914 boxwood dr</t>
  </si>
  <si>
    <t>djboazman@gmail.com</t>
  </si>
  <si>
    <t>Darrell</t>
  </si>
  <si>
    <t>Boazman</t>
  </si>
  <si>
    <t>Darrell Boazman</t>
  </si>
  <si>
    <t>300 Blue Moon Xing #2102</t>
  </si>
  <si>
    <t>marcbiemiller@gmail.com</t>
  </si>
  <si>
    <t>Biemiller</t>
  </si>
  <si>
    <t>Marc Biemiller</t>
  </si>
  <si>
    <t>385 Suncrest Blvd.</t>
  </si>
  <si>
    <t>arose97@gmail.com</t>
  </si>
  <si>
    <t>Andrea Clark</t>
  </si>
  <si>
    <t>PO Box 771855</t>
  </si>
  <si>
    <t>3200 Divine Way</t>
  </si>
  <si>
    <t>Steamboat Springs</t>
  </si>
  <si>
    <t>parkgillespie@gmail.com</t>
  </si>
  <si>
    <t>kemilygillespie@outlook.com</t>
  </si>
  <si>
    <t>Emily Gillespie</t>
  </si>
  <si>
    <t>1938 Leesburg Drive</t>
  </si>
  <si>
    <t>katey.ann.cale6@gmail.com</t>
  </si>
  <si>
    <t>Cale</t>
  </si>
  <si>
    <t>Kathryn Cale</t>
  </si>
  <si>
    <t>7 Yellow Warbler Ct.</t>
  </si>
  <si>
    <t>blank@prodigy.net</t>
  </si>
  <si>
    <t>Blank</t>
  </si>
  <si>
    <t>Julia Blank</t>
  </si>
  <si>
    <t>paul@savethestorks.com</t>
  </si>
  <si>
    <t>shelbyisaacs2@gmail.com</t>
  </si>
  <si>
    <t>Isaacs</t>
  </si>
  <si>
    <t>Shelby Isaacs</t>
  </si>
  <si>
    <t>9045 Strand Way</t>
  </si>
  <si>
    <t>msimpson@fbcgt.org</t>
  </si>
  <si>
    <t>micahdowns10@gmail.com</t>
  </si>
  <si>
    <t>Downs</t>
  </si>
  <si>
    <t>Micah Downs</t>
  </si>
  <si>
    <t>410 Westbury Lane</t>
  </si>
  <si>
    <t>2chillindylan@google.com</t>
  </si>
  <si>
    <t>2chillindylan@gmail.com</t>
  </si>
  <si>
    <t>Dylan Bennett</t>
  </si>
  <si>
    <t>3343 Clara Ave SW</t>
  </si>
  <si>
    <t>deminator567845@yahoo.com</t>
  </si>
  <si>
    <t>JaVon</t>
  </si>
  <si>
    <t>JaVon Green</t>
  </si>
  <si>
    <t>20 Glenwood Court</t>
  </si>
  <si>
    <t>haldavisjr@aol.com</t>
  </si>
  <si>
    <t>treshunt101@gmail.com</t>
  </si>
  <si>
    <t>davis</t>
  </si>
  <si>
    <t>George davis</t>
  </si>
  <si>
    <t>P o box 161506</t>
  </si>
  <si>
    <t>PCMom@Reagan.com</t>
  </si>
  <si>
    <t>ccox761@gmail.com</t>
  </si>
  <si>
    <t>Cox</t>
  </si>
  <si>
    <t>Christopher Cox</t>
  </si>
  <si>
    <t>2416 Paint Creek Rd.</t>
  </si>
  <si>
    <t>KJHamilton@aol.com</t>
  </si>
  <si>
    <t>Brad.jh@icloud.com</t>
  </si>
  <si>
    <t>Brad</t>
  </si>
  <si>
    <t>Brad Hamilton</t>
  </si>
  <si>
    <t>48705 Runners Ave</t>
  </si>
  <si>
    <t>nick@senofsky.com</t>
  </si>
  <si>
    <t>laurensenofsky@yahoo.com</t>
  </si>
  <si>
    <t>Senofsky</t>
  </si>
  <si>
    <t>Lauren Senofsky</t>
  </si>
  <si>
    <t>11826 Pebbleton Drive</t>
  </si>
  <si>
    <t>pastorpat@cbchb.org</t>
  </si>
  <si>
    <t>louizer10@gmial.com</t>
  </si>
  <si>
    <t>Louisa</t>
  </si>
  <si>
    <t>Cottrell</t>
  </si>
  <si>
    <t>Louisa Cottrell</t>
  </si>
  <si>
    <t>18852 Lister Lane</t>
  </si>
  <si>
    <t>lschill@hotmail.com</t>
  </si>
  <si>
    <t>jschilli1@live.com</t>
  </si>
  <si>
    <t>Schillinger</t>
  </si>
  <si>
    <t>Joseph Schillinger</t>
  </si>
  <si>
    <t>315 W. Main St</t>
  </si>
  <si>
    <t>Geneseo</t>
  </si>
  <si>
    <t>nicole.marie27@hotmail.com</t>
  </si>
  <si>
    <t>Bruno</t>
  </si>
  <si>
    <t>Nicole Bruno</t>
  </si>
  <si>
    <t>12100 Eagle Trace Blvd. N.</t>
  </si>
  <si>
    <t>andrea.bragg13@gmail.com</t>
  </si>
  <si>
    <t>Elizabeth.n.bragg@gmail.com</t>
  </si>
  <si>
    <t>6815 Valhalla Way</t>
  </si>
  <si>
    <t>shannonigans4ever@gmail.com</t>
  </si>
  <si>
    <t>Moloney</t>
  </si>
  <si>
    <t>Shannon Moloney</t>
  </si>
  <si>
    <t>7047 Mm.5 Lane</t>
  </si>
  <si>
    <t>PO Box 234</t>
  </si>
  <si>
    <t>Garden</t>
  </si>
  <si>
    <t>maria.westrick@sbcglobal.net</t>
  </si>
  <si>
    <t>Katewestrick@gmail.com</t>
  </si>
  <si>
    <t>Westrick</t>
  </si>
  <si>
    <t>Kate Westrick</t>
  </si>
  <si>
    <t>947 Briarpatch lane</t>
  </si>
  <si>
    <t>fogfirefarm@gmail.com</t>
  </si>
  <si>
    <t>macleanchaplin@gmail.com</t>
  </si>
  <si>
    <t>Maclean</t>
  </si>
  <si>
    <t>Maclean Isaacs</t>
  </si>
  <si>
    <t>PO Box 437</t>
  </si>
  <si>
    <t>Seal Harbor</t>
  </si>
  <si>
    <t>cheesefile@gmail.com</t>
  </si>
  <si>
    <t>Quinn Isaacs</t>
  </si>
  <si>
    <t>ashtreestudios@cox.net</t>
  </si>
  <si>
    <t>capbrant6@yahoo.com</t>
  </si>
  <si>
    <t>Robert Brant</t>
  </si>
  <si>
    <t>115 West Rose Lane</t>
  </si>
  <si>
    <t>thecleaningqueens.ks@gmail.com</t>
  </si>
  <si>
    <t>Hildebrand</t>
  </si>
  <si>
    <t>Morgan Hildebrand</t>
  </si>
  <si>
    <t>904 NE 20th st</t>
  </si>
  <si>
    <t>jennifer.brownlaw@gmail.com</t>
  </si>
  <si>
    <t>dzb1350@hotmail.com</t>
  </si>
  <si>
    <t>1142 Countryside Circle</t>
  </si>
  <si>
    <t>Heber City</t>
  </si>
  <si>
    <t>jeremy.martinez@mavs.uta.edu</t>
  </si>
  <si>
    <t>Jeremy Martinez</t>
  </si>
  <si>
    <t>934 SW 35th st</t>
  </si>
  <si>
    <t>sksaxon@mtaonline.net</t>
  </si>
  <si>
    <t>arianasaxon@mtaonline.net</t>
  </si>
  <si>
    <t>Ariana</t>
  </si>
  <si>
    <t>Saxon</t>
  </si>
  <si>
    <t>Ariana Saxon</t>
  </si>
  <si>
    <t>5200 E Birch Dr</t>
  </si>
  <si>
    <t>Wasilla</t>
  </si>
  <si>
    <t>gnyberg@spokanecounty.org</t>
  </si>
  <si>
    <t>srediger2@gmail.com</t>
  </si>
  <si>
    <t>Ediger</t>
  </si>
  <si>
    <t>Steven Ediger</t>
  </si>
  <si>
    <t>PO Box 1733</t>
  </si>
  <si>
    <t>Postfalls</t>
  </si>
  <si>
    <t>darby@dougcate.com</t>
  </si>
  <si>
    <t>jdcflame@aol.com</t>
  </si>
  <si>
    <t>Cate</t>
  </si>
  <si>
    <t>Jordan Cate</t>
  </si>
  <si>
    <t>407 Dale Rd</t>
  </si>
  <si>
    <t>Millersville</t>
  </si>
  <si>
    <t>tmichaelsen@cox.net</t>
  </si>
  <si>
    <t>Michaelsen</t>
  </si>
  <si>
    <t>Brandon Michaelsen</t>
  </si>
  <si>
    <t>2640 Ave E</t>
  </si>
  <si>
    <t>Council Bluffs</t>
  </si>
  <si>
    <t>bcecil@juno.com</t>
  </si>
  <si>
    <t>alex.m.anderson33@gmail.com</t>
  </si>
  <si>
    <t>Alex Anderson</t>
  </si>
  <si>
    <t>PO Box 71</t>
  </si>
  <si>
    <t>parkeroxs@gmail.com</t>
  </si>
  <si>
    <t>Parkeroxs@gmail.com</t>
  </si>
  <si>
    <t>Masison</t>
  </si>
  <si>
    <t>Parker Masison</t>
  </si>
  <si>
    <t>196 Highland Rd.</t>
  </si>
  <si>
    <t>maltiguy@gmail.com</t>
  </si>
  <si>
    <t>Carley</t>
  </si>
  <si>
    <t>Cameron Carley</t>
  </si>
  <si>
    <t>38655 Mason St</t>
  </si>
  <si>
    <t>Livonia</t>
  </si>
  <si>
    <t>peradanae@gmail.com</t>
  </si>
  <si>
    <t>Pera</t>
  </si>
  <si>
    <t>Danae Pera</t>
  </si>
  <si>
    <t>35149 Acacia Ave</t>
  </si>
  <si>
    <t>caitlin_fisher27@yahoo.com</t>
  </si>
  <si>
    <t>Caitlin</t>
  </si>
  <si>
    <t>Caitlin Fisher</t>
  </si>
  <si>
    <t>35th Ave S</t>
  </si>
  <si>
    <t>CICRKB@AOL.COM</t>
  </si>
  <si>
    <t>daphne4497@gmail.com</t>
  </si>
  <si>
    <t>DAPHNE</t>
  </si>
  <si>
    <t>BROWN</t>
  </si>
  <si>
    <t>DAPHNE BROWN</t>
  </si>
  <si>
    <t>13043 south stuart way</t>
  </si>
  <si>
    <t>parker</t>
  </si>
  <si>
    <t>michael.hara3@gmail.com</t>
  </si>
  <si>
    <t>Hara</t>
  </si>
  <si>
    <t>Michael Hara</t>
  </si>
  <si>
    <t>17516 Iron Lane</t>
  </si>
  <si>
    <t>pbeatty@catt.com</t>
  </si>
  <si>
    <t>psbeatty@catt.com</t>
  </si>
  <si>
    <t>Paul Beatty</t>
  </si>
  <si>
    <t>288 Autumn Trail</t>
  </si>
  <si>
    <t>bosaphine43@live.com</t>
  </si>
  <si>
    <t>Peter Stephan</t>
  </si>
  <si>
    <t>nate.ihlenfield@gmail.com</t>
  </si>
  <si>
    <t>Nathan Ihlenfield</t>
  </si>
  <si>
    <t>loganshawn@hotmail.com</t>
  </si>
  <si>
    <t>Alyssa Logan</t>
  </si>
  <si>
    <t>2029 5th Ave E</t>
  </si>
  <si>
    <t>West Fargo</t>
  </si>
  <si>
    <t>dkevansfamily@netzero.com</t>
  </si>
  <si>
    <t>racing4himalone@gmail.com</t>
  </si>
  <si>
    <t>Anna Evans</t>
  </si>
  <si>
    <t>606 Innswood Court</t>
  </si>
  <si>
    <t>Boiling Springs</t>
  </si>
  <si>
    <t>kendrick.d@sbcglobal.net</t>
  </si>
  <si>
    <t>tess.kendrick@yahoo.com</t>
  </si>
  <si>
    <t>Tess Kendrick</t>
  </si>
  <si>
    <t>720 Silver Hills Drive</t>
  </si>
  <si>
    <t>bethjsmedley@gmail.com</t>
  </si>
  <si>
    <t>Smedley</t>
  </si>
  <si>
    <t>Elizabeth Smedley</t>
  </si>
  <si>
    <t>1325 Sedwick RD</t>
  </si>
  <si>
    <t>karenstern123@gmail.com</t>
  </si>
  <si>
    <t>sternkr@mcsdonline.org</t>
  </si>
  <si>
    <t>Stern</t>
  </si>
  <si>
    <t>Kaitlyn Stern</t>
  </si>
  <si>
    <t>1114 Robin</t>
  </si>
  <si>
    <t>Muscatine</t>
  </si>
  <si>
    <t>stanton.olivia@gmail.com</t>
  </si>
  <si>
    <t>Stanton</t>
  </si>
  <si>
    <t>Olivia Stanton</t>
  </si>
  <si>
    <t>7810 Silver Maple Lane</t>
  </si>
  <si>
    <t>sandyrepsold@gmail.com</t>
  </si>
  <si>
    <t>mrepsold101@gmail.com</t>
  </si>
  <si>
    <t>Mikias</t>
  </si>
  <si>
    <t>Repsold</t>
  </si>
  <si>
    <t>Mikias Repsold</t>
  </si>
  <si>
    <t>3205 E Marie Ct</t>
  </si>
  <si>
    <t>t.starcher@me.com</t>
  </si>
  <si>
    <t>T.starcher@me.com</t>
  </si>
  <si>
    <t>Starcher</t>
  </si>
  <si>
    <t>John Starcher</t>
  </si>
  <si>
    <t>1701 Mayfield Ave</t>
  </si>
  <si>
    <t>mphilley@gmail.com</t>
  </si>
  <si>
    <t>philley@live.com</t>
  </si>
  <si>
    <t>Philley</t>
  </si>
  <si>
    <t>Cameron Philley</t>
  </si>
  <si>
    <t>3640 Westmoreland Drive</t>
  </si>
  <si>
    <t>Genee_white@yahoo.com</t>
  </si>
  <si>
    <t>jordynwhite98@yahoo.com</t>
  </si>
  <si>
    <t>Jordyn White</t>
  </si>
  <si>
    <t>700 Deerpath Way</t>
  </si>
  <si>
    <t>joeltcate@gmail.com</t>
  </si>
  <si>
    <t>Joel Cate</t>
  </si>
  <si>
    <t>mayefive@yahoo.com</t>
  </si>
  <si>
    <t>prestonnichols11@yahoo.com</t>
  </si>
  <si>
    <t>Preston Nichols</t>
  </si>
  <si>
    <t>111 Houston Street</t>
  </si>
  <si>
    <t>Port Lavaca</t>
  </si>
  <si>
    <t>pmwixom@yahoo.com</t>
  </si>
  <si>
    <t>Tara</t>
  </si>
  <si>
    <t>Wixom</t>
  </si>
  <si>
    <t>Tara Wixom</t>
  </si>
  <si>
    <t>119 Palermo Drive</t>
  </si>
  <si>
    <t>cardhome@ameritech.net</t>
  </si>
  <si>
    <t>green.ink31@gmail.com</t>
  </si>
  <si>
    <t>Card</t>
  </si>
  <si>
    <t>Rebekah Card</t>
  </si>
  <si>
    <t>426 N. Elizabeth St.</t>
  </si>
  <si>
    <t>Dearborn</t>
  </si>
  <si>
    <t>abbyleman@comcast.net</t>
  </si>
  <si>
    <t>Leman</t>
  </si>
  <si>
    <t>Abby Leman</t>
  </si>
  <si>
    <t>937 E Wheatfield Lane</t>
  </si>
  <si>
    <t>marykane38128@yahoo.com</t>
  </si>
  <si>
    <t>tkane5132@outlook.com</t>
  </si>
  <si>
    <t>Timothy Kane</t>
  </si>
  <si>
    <t>5132 Steuben Drive</t>
  </si>
  <si>
    <t>eiparsons@briarcrest.com</t>
  </si>
  <si>
    <t>andrew.r.isbell@gmail.com</t>
  </si>
  <si>
    <t>Isbell</t>
  </si>
  <si>
    <t>Andrew Isbell</t>
  </si>
  <si>
    <t>6847 Stornaway Drive</t>
  </si>
  <si>
    <t>stsguy@gmail.com</t>
  </si>
  <si>
    <t>sloane</t>
  </si>
  <si>
    <t>shuler</t>
  </si>
  <si>
    <t>sloane shuler</t>
  </si>
  <si>
    <t>4632 Ivygatecirlce</t>
  </si>
  <si>
    <t>Smyrna</t>
  </si>
  <si>
    <t>rgators@hotmail.com</t>
  </si>
  <si>
    <t>loganr118@gmail.com</t>
  </si>
  <si>
    <t>Ruperto</t>
  </si>
  <si>
    <t>Logan Ruperto</t>
  </si>
  <si>
    <t>350 Pilot Ridge Dr</t>
  </si>
  <si>
    <t>kayla40marie@yahoo.com</t>
  </si>
  <si>
    <t>Leinneweber</t>
  </si>
  <si>
    <t>Kayla Leinneweber</t>
  </si>
  <si>
    <t>15055 E Indian Hills Rd</t>
  </si>
  <si>
    <t>Newalla</t>
  </si>
  <si>
    <t>dianaparrott3@gmail.com</t>
  </si>
  <si>
    <t>kingdeathstar@hotmail.com</t>
  </si>
  <si>
    <t>John Stanley</t>
  </si>
  <si>
    <t>212 Kent Oaks Way</t>
  </si>
  <si>
    <t>skippy120@gmail.com</t>
  </si>
  <si>
    <t>JAMES</t>
  </si>
  <si>
    <t>JAMES GILMORE</t>
  </si>
  <si>
    <t>3800 N. EL MIRAGE RD</t>
  </si>
  <si>
    <t>APT 3823</t>
  </si>
  <si>
    <t>AVONDALE</t>
  </si>
  <si>
    <t>davis.carman@gmail.com</t>
  </si>
  <si>
    <t>ladybug.mc2@gmail.com</t>
  </si>
  <si>
    <t>Carman</t>
  </si>
  <si>
    <t>Molly Carman</t>
  </si>
  <si>
    <t>5808 Valley Stream Trail</t>
  </si>
  <si>
    <t>savannahannecarman@gmail.com</t>
  </si>
  <si>
    <t>Savannah Carman</t>
  </si>
  <si>
    <t>rchrdlnrd@yahoo.com</t>
  </si>
  <si>
    <t>richard.z.leonard@gmail.com</t>
  </si>
  <si>
    <t>Richard Leonard</t>
  </si>
  <si>
    <t>6 N LAKE DR</t>
  </si>
  <si>
    <t>KEARNEY</t>
  </si>
  <si>
    <t>jansan93@comcast.net</t>
  </si>
  <si>
    <t>Sosa</t>
  </si>
  <si>
    <t>Ruth Sosa</t>
  </si>
  <si>
    <t>2173 Nectarine Drive</t>
  </si>
  <si>
    <t>kconnellco@gmail.com</t>
  </si>
  <si>
    <t>lukeprescottconnell@gmail.com</t>
  </si>
  <si>
    <t>Connell</t>
  </si>
  <si>
    <t>Luke Connell</t>
  </si>
  <si>
    <t>21202 White Pine Ln</t>
  </si>
  <si>
    <t>dpruitt@cha.org</t>
  </si>
  <si>
    <t>afrikadawn@gmail.com</t>
  </si>
  <si>
    <t>Afrika</t>
  </si>
  <si>
    <t>Pruitt</t>
  </si>
  <si>
    <t>Afrika Pruitt</t>
  </si>
  <si>
    <t>227 SE 27th St</t>
  </si>
  <si>
    <t>sweethavenpastures@yahoo.com</t>
  </si>
  <si>
    <t>wilxciv@gmail.com</t>
  </si>
  <si>
    <t>Wilmarth</t>
  </si>
  <si>
    <t>Hohenboken</t>
  </si>
  <si>
    <t>Wilmarth Hohenboken</t>
  </si>
  <si>
    <t>2659 Minsteed</t>
  </si>
  <si>
    <t>the4chens@yahoo.com</t>
  </si>
  <si>
    <t>Chrisschen96@gmail.com</t>
  </si>
  <si>
    <t>Chris Chen</t>
  </si>
  <si>
    <t>27327 Cheshire Lane</t>
  </si>
  <si>
    <t>Valencia</t>
  </si>
  <si>
    <t>destiny101@sbcglobal.net</t>
  </si>
  <si>
    <t>fedosky@att.net</t>
  </si>
  <si>
    <t>Fedosky</t>
  </si>
  <si>
    <t>Landon Fedosky</t>
  </si>
  <si>
    <t>3825 North Salem Road</t>
  </si>
  <si>
    <t>my_isidora_96@hotmail.com</t>
  </si>
  <si>
    <t>maryakamune@hotmail.com</t>
  </si>
  <si>
    <t>Mary-Dora</t>
  </si>
  <si>
    <t>Akamune</t>
  </si>
  <si>
    <t>Mary-Dora Akamune</t>
  </si>
  <si>
    <t>2876 SW 176 ter</t>
  </si>
  <si>
    <t>mea1988@yahoo.com</t>
  </si>
  <si>
    <t>elizba31@gmail.com</t>
  </si>
  <si>
    <t>Bailey Anderson</t>
  </si>
  <si>
    <t>17030 Hwy 10</t>
  </si>
  <si>
    <t>Pitkin</t>
  </si>
  <si>
    <t>danlmcgill@aol.com</t>
  </si>
  <si>
    <t>McGill</t>
  </si>
  <si>
    <t>Daniel McGill</t>
  </si>
  <si>
    <t>17015 CR 1440</t>
  </si>
  <si>
    <t>Wolfforth</t>
  </si>
  <si>
    <t>smcgough95@gmail.com</t>
  </si>
  <si>
    <t>McGough</t>
  </si>
  <si>
    <t>Sean McGough</t>
  </si>
  <si>
    <t>1035 Bradford Drive</t>
  </si>
  <si>
    <t>kleesclan@iowatelecom.net</t>
  </si>
  <si>
    <t>timothyklees@yahoo.com</t>
  </si>
  <si>
    <t>Klees</t>
  </si>
  <si>
    <t>Timothy Klees</t>
  </si>
  <si>
    <t>53209 160th Ave</t>
  </si>
  <si>
    <t>Chariton</t>
  </si>
  <si>
    <t>kevsueweiss@yahoo.com</t>
  </si>
  <si>
    <t>nellieweiss97@yahoo.com</t>
  </si>
  <si>
    <t>Nellie</t>
  </si>
  <si>
    <t>Nellie Weiss</t>
  </si>
  <si>
    <t>202 north kent rd</t>
  </si>
  <si>
    <t>mchenry</t>
  </si>
  <si>
    <t>purdue4u@yahoo.com</t>
  </si>
  <si>
    <t>David Evans</t>
  </si>
  <si>
    <t>906 Foxbriar Ln</t>
  </si>
  <si>
    <t>Goshen</t>
  </si>
  <si>
    <t>sunghanson@gmail.com</t>
  </si>
  <si>
    <t>Son</t>
  </si>
  <si>
    <t>Brendan Son</t>
  </si>
  <si>
    <t>1139 Dobbs Ferry Road</t>
  </si>
  <si>
    <t>White Plains</t>
  </si>
  <si>
    <t>jakin2@trane.com</t>
  </si>
  <si>
    <t>ellenakin@bellsouth.net</t>
  </si>
  <si>
    <t>Ellen Akin</t>
  </si>
  <si>
    <t>9417 Dawson Hill Road</t>
  </si>
  <si>
    <t>matthewwernke96@gmail.com</t>
  </si>
  <si>
    <t>Wernke</t>
  </si>
  <si>
    <t>Matthew Wernke</t>
  </si>
  <si>
    <t>592 Rambling Road</t>
  </si>
  <si>
    <t>Greyson</t>
  </si>
  <si>
    <t>Greyson Fedosky</t>
  </si>
  <si>
    <t>geyergang@gmail.com</t>
  </si>
  <si>
    <t>bengeyer@ymail.com</t>
  </si>
  <si>
    <t>Geyer</t>
  </si>
  <si>
    <t>Ben Geyer</t>
  </si>
  <si>
    <t>1004 Sycamore Lane</t>
  </si>
  <si>
    <t>pennyep@msn.com</t>
  </si>
  <si>
    <t>Seth Petersen</t>
  </si>
  <si>
    <t>6334 US 35 E</t>
  </si>
  <si>
    <t>West Alexandria</t>
  </si>
  <si>
    <t>collin.tomic@gmail.com</t>
  </si>
  <si>
    <t>Tomic</t>
  </si>
  <si>
    <t>Collin Tomic</t>
  </si>
  <si>
    <t>5259 Morning Glory Pl.</t>
  </si>
  <si>
    <t>kmccannon@sbcglobal.net</t>
  </si>
  <si>
    <t>haleybethmcc@gmail.com</t>
  </si>
  <si>
    <t>mccannon</t>
  </si>
  <si>
    <t>haley mccannon</t>
  </si>
  <si>
    <t>904 vanguard</t>
  </si>
  <si>
    <t>lakeway</t>
  </si>
  <si>
    <t>tevmask@aol.com</t>
  </si>
  <si>
    <t>maskbmx95@aol.com</t>
  </si>
  <si>
    <t>Mask</t>
  </si>
  <si>
    <t>Taylor Mask</t>
  </si>
  <si>
    <t>155 Burrow Cemetery Rd.</t>
  </si>
  <si>
    <t>josephdc96@hotmail.com</t>
  </si>
  <si>
    <t>Cauble</t>
  </si>
  <si>
    <t>Joseph Cauble</t>
  </si>
  <si>
    <t>613 Levert Lane</t>
  </si>
  <si>
    <t>William Petersen</t>
  </si>
  <si>
    <t>ellysaylim@gmail.com</t>
  </si>
  <si>
    <t>Ellysa</t>
  </si>
  <si>
    <t>Ellysa Lim</t>
  </si>
  <si>
    <t>lonnahord@yahoo.com</t>
  </si>
  <si>
    <t>Hord</t>
  </si>
  <si>
    <t>Michael Hord</t>
  </si>
  <si>
    <t>9199 Grand Lake Estates Drive</t>
  </si>
  <si>
    <t>cherdakay@yahoo.com</t>
  </si>
  <si>
    <t>bigbuddycm@yahoo.com</t>
  </si>
  <si>
    <t>Chandler Martin</t>
  </si>
  <si>
    <t>100 Lake Laurel dr</t>
  </si>
  <si>
    <t>Fuquay Varina</t>
  </si>
  <si>
    <t>crhughes07@yahoo.com</t>
  </si>
  <si>
    <t>Christine Hughes</t>
  </si>
  <si>
    <t>13211 Behetra Drive</t>
  </si>
  <si>
    <t>djanik@aol.com</t>
  </si>
  <si>
    <t>gymyoshistar@aol.com</t>
  </si>
  <si>
    <t>Janik</t>
  </si>
  <si>
    <t>Joshua Janik</t>
  </si>
  <si>
    <t>255 High Meadow</t>
  </si>
  <si>
    <t>annsheperd.realtor@gmail.com</t>
  </si>
  <si>
    <t>Teddy.Sheperd@Furman.edu</t>
  </si>
  <si>
    <t>Tedra</t>
  </si>
  <si>
    <t>Sheperd</t>
  </si>
  <si>
    <t>Tedra Sheperd</t>
  </si>
  <si>
    <t>Duck Point Drive</t>
  </si>
  <si>
    <t>serendiputouslights@gmail.com</t>
  </si>
  <si>
    <t>Alexis</t>
  </si>
  <si>
    <t>Alexis Bailey</t>
  </si>
  <si>
    <t>17046 Goshen Rd</t>
  </si>
  <si>
    <t>Montpelier</t>
  </si>
  <si>
    <t>Travis@angry-fly.com</t>
  </si>
  <si>
    <t>travis@angry-fly.com</t>
  </si>
  <si>
    <t>Travis Courtney</t>
  </si>
  <si>
    <t>3449 Inlet Lane</t>
  </si>
  <si>
    <t>Orange Park</t>
  </si>
  <si>
    <t>beethoven24@gmail.cm</t>
  </si>
  <si>
    <t>676 Buckleigh Ct NW</t>
  </si>
  <si>
    <t>stew62@gmail.com</t>
  </si>
  <si>
    <t>kenzjstew@gmail.com</t>
  </si>
  <si>
    <t>Kenzie</t>
  </si>
  <si>
    <t>Kenzie Stewart</t>
  </si>
  <si>
    <t>jasonrich222@hotmail.com</t>
  </si>
  <si>
    <t>Jason Richardson</t>
  </si>
  <si>
    <t>4017 Pear Ridge Dr.</t>
  </si>
  <si>
    <t>jaxwilsto@aol.com</t>
  </si>
  <si>
    <t>Stovall</t>
  </si>
  <si>
    <t>Jackson Stovall</t>
  </si>
  <si>
    <t>6317 Bear Run Road</t>
  </si>
  <si>
    <t>smithbrandfam@juno.com</t>
  </si>
  <si>
    <t>clara.smith@d11.org</t>
  </si>
  <si>
    <t>Clara</t>
  </si>
  <si>
    <t>Clara Smith</t>
  </si>
  <si>
    <t>428 E Del Norte</t>
  </si>
  <si>
    <t>sbrown@austin.rr.com</t>
  </si>
  <si>
    <t>abbiejones02@gmail.com</t>
  </si>
  <si>
    <t>Abigail Brown</t>
  </si>
  <si>
    <t>11402 Antler Bend Road</t>
  </si>
  <si>
    <t>kehall@yahoo.com</t>
  </si>
  <si>
    <t>jchall310@gmail.com</t>
  </si>
  <si>
    <t>5975 W. Frost Dr.</t>
  </si>
  <si>
    <t>snickylittle@yahoo.com</t>
  </si>
  <si>
    <t>Alec</t>
  </si>
  <si>
    <t>Alec Martin</t>
  </si>
  <si>
    <t>100  lake laurel dr</t>
  </si>
  <si>
    <t>FV</t>
  </si>
  <si>
    <t>ssheperd831@gmail.com</t>
  </si>
  <si>
    <t>Shawna Sheperd</t>
  </si>
  <si>
    <t>2918 Duck Point Drive</t>
  </si>
  <si>
    <t>eclipinski@mvtvwireless.com</t>
  </si>
  <si>
    <t>Christina Lipinski</t>
  </si>
  <si>
    <t>lobosco12@juno.com</t>
  </si>
  <si>
    <t>Elora</t>
  </si>
  <si>
    <t>LoBosco</t>
  </si>
  <si>
    <t>Elora LoBosco</t>
  </si>
  <si>
    <t>3960 Hay Creek Road</t>
  </si>
  <si>
    <t>4emilyelizabeth@gmail.com</t>
  </si>
  <si>
    <t>Wohlers</t>
  </si>
  <si>
    <t>Emily Wohlers</t>
  </si>
  <si>
    <t>209 Barker Dr.</t>
  </si>
  <si>
    <t>eunicereed@yahoo.com</t>
  </si>
  <si>
    <t>TinaMonkey@bellsouth.net</t>
  </si>
  <si>
    <t>Kristina</t>
  </si>
  <si>
    <t>Kristina Reed</t>
  </si>
  <si>
    <t>3147 Arthur Street</t>
  </si>
  <si>
    <t>bkkabea@sbcglobal.net</t>
  </si>
  <si>
    <t>Esther Ward</t>
  </si>
  <si>
    <t>757 SW Derby Drive</t>
  </si>
  <si>
    <t>Lees Summit</t>
  </si>
  <si>
    <t>barbara@homesights.net</t>
  </si>
  <si>
    <t>sam@homesights.net</t>
  </si>
  <si>
    <t>Samuel Wright</t>
  </si>
  <si>
    <t>2755 Black Diamond Terrace</t>
  </si>
  <si>
    <t>gaby2008@sbcglobal.net</t>
  </si>
  <si>
    <t>yolanda</t>
  </si>
  <si>
    <t>sarzosa</t>
  </si>
  <si>
    <t>yolanda sarzosa</t>
  </si>
  <si>
    <t>12603 Aubreywood Ln.</t>
  </si>
  <si>
    <t>jjanik101@gmail.com</t>
  </si>
  <si>
    <t>Janae</t>
  </si>
  <si>
    <t>Janae Janik</t>
  </si>
  <si>
    <t>255 High Meadow St.</t>
  </si>
  <si>
    <t>erintanner@austin.rr.com</t>
  </si>
  <si>
    <t>tanners@austin.rr.com</t>
  </si>
  <si>
    <t>Ross Tanner</t>
  </si>
  <si>
    <t>1671 Starwood Drive</t>
  </si>
  <si>
    <t>ottoinfo@bellsouth.net</t>
  </si>
  <si>
    <t>preptosurvive@gmail.com</t>
  </si>
  <si>
    <t>Otto</t>
  </si>
  <si>
    <t>Charles Otto</t>
  </si>
  <si>
    <t>233 ne 31 street</t>
  </si>
  <si>
    <t>boca raton</t>
  </si>
  <si>
    <t>fondeebruce@gmail.com</t>
  </si>
  <si>
    <t>daddystoto@gmail.com</t>
  </si>
  <si>
    <t>Victoria Bruce</t>
  </si>
  <si>
    <t>215 Spring Street</t>
  </si>
  <si>
    <t>Andrew Ward</t>
  </si>
  <si>
    <t>ctarry@msn.com</t>
  </si>
  <si>
    <t>tarryandrewj@yahoo.com</t>
  </si>
  <si>
    <t>Tarry</t>
  </si>
  <si>
    <t>Andrew Tarry</t>
  </si>
  <si>
    <t>5420 Galley Rd.</t>
  </si>
  <si>
    <t>kmkosty1@juno.com</t>
  </si>
  <si>
    <t>Kostreva</t>
  </si>
  <si>
    <t>Caleb Kostreva</t>
  </si>
  <si>
    <t>3259 1/2  Mesa Ave.</t>
  </si>
  <si>
    <t>Clifton</t>
  </si>
  <si>
    <t>racquelmaharlika@yahoo.com</t>
  </si>
  <si>
    <t>Racquel</t>
  </si>
  <si>
    <t>Racquel Haley</t>
  </si>
  <si>
    <t>5896 El Zuparko Dr. #3</t>
  </si>
  <si>
    <t>waltendok@gmail.com</t>
  </si>
  <si>
    <t>Walton</t>
  </si>
  <si>
    <t>Walton Kostreva</t>
  </si>
  <si>
    <t>jayareoh96@gmail.com</t>
  </si>
  <si>
    <t>otto</t>
  </si>
  <si>
    <t>joshua otto</t>
  </si>
  <si>
    <t>jsneaf@msn.com</t>
  </si>
  <si>
    <t>raneaf@hotmail.com</t>
  </si>
  <si>
    <t>Neafsey</t>
  </si>
  <si>
    <t>Rachel Neafsey</t>
  </si>
  <si>
    <t>15985 W 77 Pl</t>
  </si>
  <si>
    <t>jewett.kimberly@gmail.com</t>
  </si>
  <si>
    <t>allie.jewett@gmail.com</t>
  </si>
  <si>
    <t>Jewett</t>
  </si>
  <si>
    <t>Allison Jewett</t>
  </si>
  <si>
    <t>15229 186th Ave NE</t>
  </si>
  <si>
    <t>Woodinville</t>
  </si>
  <si>
    <t>jamesschaefer11@gmail.com</t>
  </si>
  <si>
    <t>Schaefer</t>
  </si>
  <si>
    <t>James Schaefer</t>
  </si>
  <si>
    <t>2809A S. Superior St.</t>
  </si>
  <si>
    <t>Milwaukee</t>
  </si>
  <si>
    <t>j.dean.chow@gmail.com</t>
  </si>
  <si>
    <t>Chow</t>
  </si>
  <si>
    <t>Jesse Chow</t>
  </si>
  <si>
    <t>326 Goldenrod Dr.</t>
  </si>
  <si>
    <t>Walnut</t>
  </si>
  <si>
    <t>susielindner@gmail.com</t>
  </si>
  <si>
    <t>annaelindner@gmail.com</t>
  </si>
  <si>
    <t>Lindner</t>
  </si>
  <si>
    <t>Anna Lindner</t>
  </si>
  <si>
    <t>609 Los Lunas Way</t>
  </si>
  <si>
    <t>justinllindner@gmail.com</t>
  </si>
  <si>
    <t>Justin Lindner</t>
  </si>
  <si>
    <t>hison2@msn.com</t>
  </si>
  <si>
    <t>madison.duby@hotmail.com</t>
  </si>
  <si>
    <t>Duby</t>
  </si>
  <si>
    <t>Madison Duby</t>
  </si>
  <si>
    <t>363 Keone St</t>
  </si>
  <si>
    <t>Lahaina</t>
  </si>
  <si>
    <t>soniazap1@mac.com</t>
  </si>
  <si>
    <t>azapata18@icloud.com</t>
  </si>
  <si>
    <t>Armando</t>
  </si>
  <si>
    <t>Zapata</t>
  </si>
  <si>
    <t>Armando Zapata</t>
  </si>
  <si>
    <t>3062 S Waco Ct</t>
  </si>
  <si>
    <t>jjc321@gmail.com</t>
  </si>
  <si>
    <t>mattchap2@gmail.com</t>
  </si>
  <si>
    <t>Chappelle</t>
  </si>
  <si>
    <t>Matthew Chappelle</t>
  </si>
  <si>
    <t>3632 Country Club Dr.</t>
  </si>
  <si>
    <t>zengerju@aol.com</t>
  </si>
  <si>
    <t>noahzenger@gmail.com</t>
  </si>
  <si>
    <t>Zenger</t>
  </si>
  <si>
    <t>Noah Zenger</t>
  </si>
  <si>
    <t>7830 Grapevine Rd</t>
  </si>
  <si>
    <t>baileyjade75@gmail.com</t>
  </si>
  <si>
    <t>Bailey Huggins</t>
  </si>
  <si>
    <t>200 Burnham Rd.</t>
  </si>
  <si>
    <t>Lake Oswego</t>
  </si>
  <si>
    <t>tarikabeshawit.williams@gmail.com</t>
  </si>
  <si>
    <t>Tarikua</t>
  </si>
  <si>
    <t>Tarikua Williams</t>
  </si>
  <si>
    <t>6025 Aspen Dr.</t>
  </si>
  <si>
    <t>Great Bend</t>
  </si>
  <si>
    <t>avc@cerisano.net</t>
  </si>
  <si>
    <t>johnny@thatjohnnykid.com</t>
  </si>
  <si>
    <t>Johnny</t>
  </si>
  <si>
    <t>Cerisano</t>
  </si>
  <si>
    <t>Johnny Cerisano</t>
  </si>
  <si>
    <t>5552 Sequoia Farms Dr.</t>
  </si>
  <si>
    <t>Centreville</t>
  </si>
  <si>
    <t>daniel@probascos.com</t>
  </si>
  <si>
    <t>Probasco</t>
  </si>
  <si>
    <t>Daniel Probasco</t>
  </si>
  <si>
    <t>3227 Marcellina Place</t>
  </si>
  <si>
    <t>djgoetzman@charter.net</t>
  </si>
  <si>
    <t>ikegoetzman@gmail.com</t>
  </si>
  <si>
    <t>Goetzman</t>
  </si>
  <si>
    <t>Isaac Goetzman</t>
  </si>
  <si>
    <t>11999 62nd st NE</t>
  </si>
  <si>
    <t>zimmmag@gmail.com</t>
  </si>
  <si>
    <t>czimmerman9086@gmail.com</t>
  </si>
  <si>
    <t>Caleb Zimmerman</t>
  </si>
  <si>
    <t>286 Burdette Road</t>
  </si>
  <si>
    <t>Grandview</t>
  </si>
  <si>
    <t>annaeg96@gmail.com</t>
  </si>
  <si>
    <t>Guthrie</t>
  </si>
  <si>
    <t>Anna Guthrie</t>
  </si>
  <si>
    <t>174 Lonnie Holt Road</t>
  </si>
  <si>
    <t>Milan</t>
  </si>
  <si>
    <t>lrainemcmillan@gmail.com</t>
  </si>
  <si>
    <t>McMillan</t>
  </si>
  <si>
    <t>Lewis McMillan</t>
  </si>
  <si>
    <t>4204 Union St</t>
  </si>
  <si>
    <t>txdugie@sbcglobal.net</t>
  </si>
  <si>
    <t>Yohe</t>
  </si>
  <si>
    <t>Daniel Yohe</t>
  </si>
  <si>
    <t>17306 Celeste River Ct</t>
  </si>
  <si>
    <t>laffinfamily@hotmail.com</t>
  </si>
  <si>
    <t>Peregrine810@hotmail.com</t>
  </si>
  <si>
    <t>Laffin</t>
  </si>
  <si>
    <t>Ryan Laffin</t>
  </si>
  <si>
    <t>23889 Hyacinth Drive</t>
  </si>
  <si>
    <t>Murrieta</t>
  </si>
  <si>
    <t>tankersleyfamily@sbcglobal.net</t>
  </si>
  <si>
    <t>Tankersley</t>
  </si>
  <si>
    <t>Jacob Tankersley</t>
  </si>
  <si>
    <t>148 Tankersley Ln</t>
  </si>
  <si>
    <t>tkbunch@gmail.com</t>
  </si>
  <si>
    <t>Kateebunch@gmail.com</t>
  </si>
  <si>
    <t>Kate Bunch</t>
  </si>
  <si>
    <t>35 Pine Lake Dr</t>
  </si>
  <si>
    <t>morgan@getts-online.com</t>
  </si>
  <si>
    <t>Getts</t>
  </si>
  <si>
    <t>Morgan Getts</t>
  </si>
  <si>
    <t>20586 South 184th Place</t>
  </si>
  <si>
    <t>taylor@mccreary.cc</t>
  </si>
  <si>
    <t>McCreary</t>
  </si>
  <si>
    <t>Taylor McCreary</t>
  </si>
  <si>
    <t>91 Mariposa Dr.</t>
  </si>
  <si>
    <t>San Luis Obispo</t>
  </si>
  <si>
    <t>2bcontinuedforever@gmail.com</t>
  </si>
  <si>
    <t>Jarrell</t>
  </si>
  <si>
    <t>Bailey Jarrell</t>
  </si>
  <si>
    <t>8408 Rumfield Rd.</t>
  </si>
  <si>
    <t>pataky.atwork@yahoo.com</t>
  </si>
  <si>
    <t>15dpataky@newhavenschools.us</t>
  </si>
  <si>
    <t>Dominick</t>
  </si>
  <si>
    <t>Pataky</t>
  </si>
  <si>
    <t>Dominick Pataky</t>
  </si>
  <si>
    <t>302 Cresthaven Pl</t>
  </si>
  <si>
    <t>New Haven</t>
  </si>
  <si>
    <t>wedbud@hughes.net</t>
  </si>
  <si>
    <t>rebeckah_weddle7@yahoo.com</t>
  </si>
  <si>
    <t>Weddle</t>
  </si>
  <si>
    <t>Mollie Weddle</t>
  </si>
  <si>
    <t>5500 Anderson</t>
  </si>
  <si>
    <t>scamp@pixius.net</t>
  </si>
  <si>
    <t>Camp</t>
  </si>
  <si>
    <t>Eli Camp</t>
  </si>
  <si>
    <t>15211 111th Rd</t>
  </si>
  <si>
    <t>robyn_huizinga@hotmail.com</t>
  </si>
  <si>
    <t>tarabella97@gmail.com</t>
  </si>
  <si>
    <t>Huizinga</t>
  </si>
  <si>
    <t>Tara Huizinga</t>
  </si>
  <si>
    <t>14423 McQueen Road</t>
  </si>
  <si>
    <t>Edmonton</t>
  </si>
  <si>
    <t>T5N3L3</t>
  </si>
  <si>
    <t>Robyn</t>
  </si>
  <si>
    <t>Robyn Huizinga</t>
  </si>
  <si>
    <t>shelley816@comcast.net</t>
  </si>
  <si>
    <t>madisonponder@comcast.net</t>
  </si>
  <si>
    <t>madison</t>
  </si>
  <si>
    <t>ponder</t>
  </si>
  <si>
    <t>madison ponder</t>
  </si>
  <si>
    <t>118 shadowood drive</t>
  </si>
  <si>
    <t>calhoun</t>
  </si>
  <si>
    <t>megaroosdesigns@gmail.com</t>
  </si>
  <si>
    <t>h.dani75@yahoo.com</t>
  </si>
  <si>
    <t>Daniel Hernandez</t>
  </si>
  <si>
    <t>104 Earl Smith Rd</t>
  </si>
  <si>
    <t>Wartrace</t>
  </si>
  <si>
    <t>anotherbassist32@gmail.com</t>
  </si>
  <si>
    <t>Franzen</t>
  </si>
  <si>
    <t>Olivia Franzen</t>
  </si>
  <si>
    <t>10312 Tungsten street</t>
  </si>
  <si>
    <t>bkparker@wmis.net</t>
  </si>
  <si>
    <t>Benjamin Parker</t>
  </si>
  <si>
    <t>2514 Meadow Drive</t>
  </si>
  <si>
    <t>ahoaglan@mhhcc.org</t>
  </si>
  <si>
    <t>rodeojes@gmail.com</t>
  </si>
  <si>
    <t>Jessie</t>
  </si>
  <si>
    <t>Hoagland</t>
  </si>
  <si>
    <t>Jessie Hoagland</t>
  </si>
  <si>
    <t>3749 S 720 W</t>
  </si>
  <si>
    <t>Huntingburg</t>
  </si>
  <si>
    <t>grandmesa@earthlink.net</t>
  </si>
  <si>
    <t>Cherith</t>
  </si>
  <si>
    <t>Cherith Sullivan</t>
  </si>
  <si>
    <t>1204 Adobe Ct.</t>
  </si>
  <si>
    <t>robertandcindylaird@yahoo.com</t>
  </si>
  <si>
    <t>inChristalone9@gmail.com</t>
  </si>
  <si>
    <t>Laird</t>
  </si>
  <si>
    <t>Abigail Laird</t>
  </si>
  <si>
    <t>12391 Coleman St.</t>
  </si>
  <si>
    <t>mslater72@gmail.com</t>
  </si>
  <si>
    <t>laurenslater14@gmail.com</t>
  </si>
  <si>
    <t>Slater</t>
  </si>
  <si>
    <t>Lauren Slater</t>
  </si>
  <si>
    <t>7005 W. Muriel Drive</t>
  </si>
  <si>
    <t>cavinharp@gmail.com</t>
  </si>
  <si>
    <t>nikebeast20@hotmail.com</t>
  </si>
  <si>
    <t>Thomas Lane</t>
  </si>
  <si>
    <t>303 S. Olive</t>
  </si>
  <si>
    <t>Milliken</t>
  </si>
  <si>
    <t>wayne@waynejohnsonlaw.com</t>
  </si>
  <si>
    <t>warriorfortruthjdj@gmail.com</t>
  </si>
  <si>
    <t>Joshua Johnson</t>
  </si>
  <si>
    <t>Post Office Box 1899</t>
  </si>
  <si>
    <t>Redlands</t>
  </si>
  <si>
    <t>thetechguydwj@gmail.com</t>
  </si>
  <si>
    <t>David Johnson</t>
  </si>
  <si>
    <t>qbealor@gmail.com</t>
  </si>
  <si>
    <t>13306 Meadow Wood Ct.</t>
  </si>
  <si>
    <t>butterfly717.dv@gmail.com</t>
  </si>
  <si>
    <t>GVolpe777@gmail.com</t>
  </si>
  <si>
    <t>GiorgioThomas</t>
  </si>
  <si>
    <t>Volpe</t>
  </si>
  <si>
    <t>GiorgioThomas Volpe</t>
  </si>
  <si>
    <t>12531 SW 125 Street</t>
  </si>
  <si>
    <t>jeffriesenberg@yahoo.com</t>
  </si>
  <si>
    <t>Riesenberg</t>
  </si>
  <si>
    <t>Jeffrey Riesenberg</t>
  </si>
  <si>
    <t>523 W Harvest Dr</t>
  </si>
  <si>
    <t>shelleyrosedan@yahoo.com</t>
  </si>
  <si>
    <t>jacksondrose@gmail.com</t>
  </si>
  <si>
    <t>Jackson Rose</t>
  </si>
  <si>
    <t>4860 Limestone Road</t>
  </si>
  <si>
    <t>dmbasham5@sbcglobal.net</t>
  </si>
  <si>
    <t>sambasham1@gmail.com</t>
  </si>
  <si>
    <t>Basham</t>
  </si>
  <si>
    <t>Samuel Basham</t>
  </si>
  <si>
    <t>12013 S. Hallet St.</t>
  </si>
  <si>
    <t>ajshriver@gmail.com</t>
  </si>
  <si>
    <t>J</t>
  </si>
  <si>
    <t>Shriver</t>
  </si>
  <si>
    <t>J Shriver</t>
  </si>
  <si>
    <t>46 South Sherwood Glen</t>
  </si>
  <si>
    <t>bernie_gaona@hotmail.com</t>
  </si>
  <si>
    <t>emithepandi@gmail.com</t>
  </si>
  <si>
    <t>Gaona</t>
  </si>
  <si>
    <t>Emily Gaona</t>
  </si>
  <si>
    <t>303 Burnham Rd</t>
  </si>
  <si>
    <t>Oak View</t>
  </si>
  <si>
    <t>renaisy89@gmail.com</t>
  </si>
  <si>
    <t>Rj2rescue@gmail.com</t>
  </si>
  <si>
    <t>Seay</t>
  </si>
  <si>
    <t>Ryan Seay</t>
  </si>
  <si>
    <t>7680 Lark Bunting Ct</t>
  </si>
  <si>
    <t>uh_archangel@yahoo.com</t>
  </si>
  <si>
    <t>gabevest@icloud.com</t>
  </si>
  <si>
    <t>Gabriel Vest</t>
  </si>
  <si>
    <t>PO Box 141326</t>
  </si>
  <si>
    <t>stacey_rooker@hotmail.com</t>
  </si>
  <si>
    <t>saulrooker@gmail.com</t>
  </si>
  <si>
    <t>saul</t>
  </si>
  <si>
    <t>rooker</t>
  </si>
  <si>
    <t>saul rooker</t>
  </si>
  <si>
    <t>1222 whisper trace land</t>
  </si>
  <si>
    <t>sugar land</t>
  </si>
  <si>
    <t>jpolland@usfamily.net</t>
  </si>
  <si>
    <t>Polland</t>
  </si>
  <si>
    <t>Rebekah Polland</t>
  </si>
  <si>
    <t>5448 Colfax Avenue South</t>
  </si>
  <si>
    <t>goshenmike@yahoo.com</t>
  </si>
  <si>
    <t>goshenemily@yahoo.com</t>
  </si>
  <si>
    <t>Carroll</t>
  </si>
  <si>
    <t>Emily Carroll</t>
  </si>
  <si>
    <t>50 South Hill Dr</t>
  </si>
  <si>
    <t>Matthew Polland</t>
  </si>
  <si>
    <t>angkelley@knoxvilledrywall.com</t>
  </si>
  <si>
    <t>rkelley@knoxvilledrywall.com</t>
  </si>
  <si>
    <t>Kelley</t>
  </si>
  <si>
    <t>Seth Kelley</t>
  </si>
  <si>
    <t>4304 Comet Lane</t>
  </si>
  <si>
    <t>busi2002@aol.com</t>
  </si>
  <si>
    <t>eomerrill@gmail.com</t>
  </si>
  <si>
    <t>esther</t>
  </si>
  <si>
    <t>Merrill</t>
  </si>
  <si>
    <t>esther Merrill</t>
  </si>
  <si>
    <t>PO Box 1705</t>
  </si>
  <si>
    <t>Lenoir</t>
  </si>
  <si>
    <t>amannoftruth@msn.com</t>
  </si>
  <si>
    <t>magicguppy5791@gmail.com</t>
  </si>
  <si>
    <t>Manning</t>
  </si>
  <si>
    <t>Kirsten Manning</t>
  </si>
  <si>
    <t>1020 South Hill Dr.</t>
  </si>
  <si>
    <t>Waterloo</t>
  </si>
  <si>
    <t>jackdyck@live.com</t>
  </si>
  <si>
    <t>amy.dyck@live.com</t>
  </si>
  <si>
    <t>Amelia Dyck</t>
  </si>
  <si>
    <t>11245 Nicoles Way</t>
  </si>
  <si>
    <t>Chardon</t>
  </si>
  <si>
    <t>caleb.dyck@live.com</t>
  </si>
  <si>
    <t>Caleb Dyck</t>
  </si>
  <si>
    <t>350 Buckingham Drive</t>
  </si>
  <si>
    <t>kkibbe001@comcast.net</t>
  </si>
  <si>
    <t>dk5839@gmail.com</t>
  </si>
  <si>
    <t>Kibbe</t>
  </si>
  <si>
    <t>Daniel Kibbe</t>
  </si>
  <si>
    <t>2203 Merrill Hills Circle</t>
  </si>
  <si>
    <t>julesavage@verizon.net</t>
  </si>
  <si>
    <t>semajpc@gmail.com</t>
  </si>
  <si>
    <t>Conte</t>
  </si>
  <si>
    <t>James Conte</t>
  </si>
  <si>
    <t>38 Iroquois Trl.</t>
  </si>
  <si>
    <t>Denville</t>
  </si>
  <si>
    <t>enoel075@gmail.com</t>
  </si>
  <si>
    <t>benblackiechan23@gmail.com</t>
  </si>
  <si>
    <t>Benjamin Noel</t>
  </si>
  <si>
    <t>tnoelten10@gmail.com</t>
  </si>
  <si>
    <t>Tahelah</t>
  </si>
  <si>
    <t>Tahelah Noel</t>
  </si>
  <si>
    <t>boylermakerhsb@gmail.com</t>
  </si>
  <si>
    <t>Benjovi13@gmail.com</t>
  </si>
  <si>
    <t>Boyle</t>
  </si>
  <si>
    <t>Ben Boyle</t>
  </si>
  <si>
    <t>6477 N Answick Cir NW</t>
  </si>
  <si>
    <t>Massillon</t>
  </si>
  <si>
    <t>kbroeker75@gmail.com</t>
  </si>
  <si>
    <t>Joe</t>
  </si>
  <si>
    <t>Joe Broeker</t>
  </si>
  <si>
    <t>1874 Stollmeyer Rd</t>
  </si>
  <si>
    <t>dsallard@yahoo.com</t>
  </si>
  <si>
    <t>21empiredesigns@gmail.com</t>
  </si>
  <si>
    <t>Christiana</t>
  </si>
  <si>
    <t>Sallard</t>
  </si>
  <si>
    <t>Christiana Sallard</t>
  </si>
  <si>
    <t>20 Signal Hill Road</t>
  </si>
  <si>
    <t>Cherry Hill</t>
  </si>
  <si>
    <t>kristen.landreneau@gmail.com</t>
  </si>
  <si>
    <t>Landreneau</t>
  </si>
  <si>
    <t>Kristen Landreneau</t>
  </si>
  <si>
    <t>1410 Carolyn Sue Drive</t>
  </si>
  <si>
    <t>jeanpaulland@gmail.com</t>
  </si>
  <si>
    <t>Jean</t>
  </si>
  <si>
    <t>Jean Landreneau</t>
  </si>
  <si>
    <t>9297 Kingcrest Parkway</t>
  </si>
  <si>
    <t>icnow00@gmail.com</t>
  </si>
  <si>
    <t>jlschum2@illinois.edu</t>
  </si>
  <si>
    <t>Josh Schumacher</t>
  </si>
  <si>
    <t>1122 N State St</t>
  </si>
  <si>
    <t>madelinecrook@gmail.com</t>
  </si>
  <si>
    <t>Madeline Crook</t>
  </si>
  <si>
    <t>3927 140th street</t>
  </si>
  <si>
    <t>jsolem7@gmail.com</t>
  </si>
  <si>
    <t>Solem</t>
  </si>
  <si>
    <t>Joseph Solem</t>
  </si>
  <si>
    <t>247 Autumn Chase Dr.</t>
  </si>
  <si>
    <t>Annapolis</t>
  </si>
  <si>
    <t>christina.joy.nelson1@gmail.com</t>
  </si>
  <si>
    <t>1890 Cty Rd 12</t>
  </si>
  <si>
    <t>brianrcorliss@gmail.com</t>
  </si>
  <si>
    <t>Corliss</t>
  </si>
  <si>
    <t>Brian Corliss</t>
  </si>
  <si>
    <t>54 River View Rd.</t>
  </si>
  <si>
    <t>Laramie</t>
  </si>
  <si>
    <t>karisranta777@gmail.com</t>
  </si>
  <si>
    <t>Karis</t>
  </si>
  <si>
    <t>Karis Ranta</t>
  </si>
  <si>
    <t>troy@premierautomotive.com</t>
  </si>
  <si>
    <t>joshduhon@gmail.com</t>
  </si>
  <si>
    <t>Duhon</t>
  </si>
  <si>
    <t>Joshua Duhon</t>
  </si>
  <si>
    <t>812 Lakeshore Blvd.</t>
  </si>
  <si>
    <t>Slidell</t>
  </si>
  <si>
    <t>teamleader@gci.net</t>
  </si>
  <si>
    <t>Leader_christa@hotmail.com</t>
  </si>
  <si>
    <t>Leader</t>
  </si>
  <si>
    <t>Christa Leader</t>
  </si>
  <si>
    <t>4032 Darby Circle East</t>
  </si>
  <si>
    <t>myersfamily@integra.net</t>
  </si>
  <si>
    <t>rhinostorm123@gmail.com</t>
  </si>
  <si>
    <t>Ryan Myers</t>
  </si>
  <si>
    <t>24971 Lyn Lane</t>
  </si>
  <si>
    <t>cjmyers@integra.net</t>
  </si>
  <si>
    <t>Christian Myers</t>
  </si>
  <si>
    <t>tracymccollam@horizonco.org</t>
  </si>
  <si>
    <t>jacob.mayard17@gmail.com</t>
  </si>
  <si>
    <t>Mayard</t>
  </si>
  <si>
    <t>Jacob Mayard</t>
  </si>
  <si>
    <t>4967 S Prince Ct</t>
  </si>
  <si>
    <t>Apt 301</t>
  </si>
  <si>
    <t>shelbymayard17@gmail.com</t>
  </si>
  <si>
    <t>Shelby Mayard</t>
  </si>
  <si>
    <t>laura_atwater@yahoo.com</t>
  </si>
  <si>
    <t>Laura Atwater</t>
  </si>
  <si>
    <t>11512 Show Ring Ln</t>
  </si>
  <si>
    <t>cookielovesme20@gmail.com</t>
  </si>
  <si>
    <t>mary</t>
  </si>
  <si>
    <t>oriakhi</t>
  </si>
  <si>
    <t>mary oriakhi</t>
  </si>
  <si>
    <t>2270 village centre drive</t>
  </si>
  <si>
    <t>loganville</t>
  </si>
  <si>
    <t>woodwardsteveruth@juno.com</t>
  </si>
  <si>
    <t>jwwalkinginchrist@gmail.com</t>
  </si>
  <si>
    <t>Jonathan Woodward</t>
  </si>
  <si>
    <t>38885 Highway 53</t>
  </si>
  <si>
    <t>Nehalem</t>
  </si>
  <si>
    <t>carmen@dewfire.com</t>
  </si>
  <si>
    <t>zachary@dewfire.com</t>
  </si>
  <si>
    <t>Zachary Bruno</t>
  </si>
  <si>
    <t>7264 E Starla Drive</t>
  </si>
  <si>
    <t>leah@dewfire.com</t>
  </si>
  <si>
    <t>Leah Bruno</t>
  </si>
  <si>
    <t>benjamin_joyce@hotmail.com</t>
  </si>
  <si>
    <t>Joyce</t>
  </si>
  <si>
    <t>Benjamin Joyce</t>
  </si>
  <si>
    <t>220 north meadow crescent</t>
  </si>
  <si>
    <t>vaughan</t>
  </si>
  <si>
    <t>l4j3c5</t>
  </si>
  <si>
    <t>DAVE@DIXONCON.COM</t>
  </si>
  <si>
    <t>DIXONETH@WOODBURY-CENTRAL.K12.IA.US</t>
  </si>
  <si>
    <t>ETHAN</t>
  </si>
  <si>
    <t>DIXON</t>
  </si>
  <si>
    <t>ETHAN DIXON</t>
  </si>
  <si>
    <t>435 TERRTAM STREET</t>
  </si>
  <si>
    <t>MOVILLE</t>
  </si>
  <si>
    <t>vqmd5@yahoo.com</t>
  </si>
  <si>
    <t>allstarvq5@yahoo.com</t>
  </si>
  <si>
    <t>Vincent</t>
  </si>
  <si>
    <t>Quintero</t>
  </si>
  <si>
    <t>Vincent Quintero</t>
  </si>
  <si>
    <t>53 Horsehoe Trail</t>
  </si>
  <si>
    <t>New Braunfels</t>
  </si>
  <si>
    <t>woodwardd@spu.edu</t>
  </si>
  <si>
    <t>Daniel Woodward</t>
  </si>
  <si>
    <t>3432 1/2 9th Ave. W</t>
  </si>
  <si>
    <t>dianaw2@embarqmail.com</t>
  </si>
  <si>
    <t>mintygreentea94@gmail.com</t>
  </si>
  <si>
    <t>Melinda</t>
  </si>
  <si>
    <t>Wolfe</t>
  </si>
  <si>
    <t>Melinda Wolfe</t>
  </si>
  <si>
    <t>29 Wantage Ave</t>
  </si>
  <si>
    <t>#462</t>
  </si>
  <si>
    <t>Branchville</t>
  </si>
  <si>
    <t>grossgracelynn@gmail.com</t>
  </si>
  <si>
    <t>Gracey</t>
  </si>
  <si>
    <t>Gross</t>
  </si>
  <si>
    <t>Gracey Gross</t>
  </si>
  <si>
    <t>1156 21st west ap#308</t>
  </si>
  <si>
    <t>Dickinson</t>
  </si>
  <si>
    <t>lukinsdickinson@aol.com</t>
  </si>
  <si>
    <t>lukinsnoah214@icloud.com</t>
  </si>
  <si>
    <t>Lukins</t>
  </si>
  <si>
    <t>Noah Lukins</t>
  </si>
  <si>
    <t>340 Willow</t>
  </si>
  <si>
    <t>parker.nmasc@gmail.com</t>
  </si>
  <si>
    <t>lancaster</t>
  </si>
  <si>
    <t>parker lancaster</t>
  </si>
  <si>
    <t>4211 Escondido Ln</t>
  </si>
  <si>
    <t>Las Cruces</t>
  </si>
  <si>
    <t>phelpsfam7@roadrunner.com</t>
  </si>
  <si>
    <t>delainey94@yahoo.com</t>
  </si>
  <si>
    <t>Delainey</t>
  </si>
  <si>
    <t>Phelps</t>
  </si>
  <si>
    <t>Delainey Phelps</t>
  </si>
  <si>
    <t>10702 Ramm Road</t>
  </si>
  <si>
    <t>Whitehouse</t>
  </si>
  <si>
    <t>kavanaughphelps@gmail.com</t>
  </si>
  <si>
    <t>Kavanaugh</t>
  </si>
  <si>
    <t>Kavanaugh Phelps</t>
  </si>
  <si>
    <t>2016phelpst@toledochristian.com</t>
  </si>
  <si>
    <t>Tavish</t>
  </si>
  <si>
    <t>Tavish Phelps</t>
  </si>
  <si>
    <t>mmmeintjes12@gmail.com</t>
  </si>
  <si>
    <t>Meintjes</t>
  </si>
  <si>
    <t>May Meintjes</t>
  </si>
  <si>
    <t>309 Blue Berry Lane</t>
  </si>
  <si>
    <t>shmeintjes15@gmail.com</t>
  </si>
  <si>
    <t>Sophie</t>
  </si>
  <si>
    <t>Sophie Meintjes</t>
  </si>
  <si>
    <t>bevbarrios@aol.com</t>
  </si>
  <si>
    <t>rebecca_barrios@pba.edu</t>
  </si>
  <si>
    <t>Barrios</t>
  </si>
  <si>
    <t>Rebecca Barrios</t>
  </si>
  <si>
    <t>6551 S.W. 126 Street</t>
  </si>
  <si>
    <t>pddozier@earthlink.net</t>
  </si>
  <si>
    <t>STEPHEN</t>
  </si>
  <si>
    <t>DOZIER</t>
  </si>
  <si>
    <t>STEPHEN DOZIER</t>
  </si>
  <si>
    <t>6298 S NIAGARA CT</t>
  </si>
  <si>
    <t>CENTENNIAL</t>
  </si>
  <si>
    <t>bjheagy@gci.net</t>
  </si>
  <si>
    <t>Heagy</t>
  </si>
  <si>
    <t>Tessa Heagy</t>
  </si>
  <si>
    <t>18734 Upper Skyline</t>
  </si>
  <si>
    <t>squennelopy@gmail.com</t>
  </si>
  <si>
    <t>jordan_thomas1997@yahoo.com</t>
  </si>
  <si>
    <t>thomas</t>
  </si>
  <si>
    <t>jordan thomas</t>
  </si>
  <si>
    <t>1170 evergreen dr</t>
  </si>
  <si>
    <t>greenville</t>
  </si>
  <si>
    <t>roni@integrity.com</t>
  </si>
  <si>
    <t>Roni</t>
  </si>
  <si>
    <t>Roni Meintjes</t>
  </si>
  <si>
    <t>jonny.boii14@yahoo.com</t>
  </si>
  <si>
    <t>Jonathan Chavez</t>
  </si>
  <si>
    <t>6303 Bell rd</t>
  </si>
  <si>
    <t>dgturnidge@gmail.com</t>
  </si>
  <si>
    <t>countryjesstur@gmail.com</t>
  </si>
  <si>
    <t>Jessy</t>
  </si>
  <si>
    <t>Turnidge</t>
  </si>
  <si>
    <t>Jessy Turnidge</t>
  </si>
  <si>
    <t>2001 N Fir St</t>
  </si>
  <si>
    <t>La Grande</t>
  </si>
  <si>
    <t>pilot.Matthew.jay@hush.com</t>
  </si>
  <si>
    <t>dramaqwn@hushmail.me</t>
  </si>
  <si>
    <t>Colleen</t>
  </si>
  <si>
    <t>Poe</t>
  </si>
  <si>
    <t>Colleen Poe</t>
  </si>
  <si>
    <t>11326 Log Cabin Lane</t>
  </si>
  <si>
    <t>ruthless.ulmer11@gmail.com</t>
  </si>
  <si>
    <t>Ulmer</t>
  </si>
  <si>
    <t>Esther Ulmer</t>
  </si>
  <si>
    <t>1204 Mount Solon Road</t>
  </si>
  <si>
    <t>Mount Solon</t>
  </si>
  <si>
    <t>whispersofautumn@gmail.com</t>
  </si>
  <si>
    <t>Anne-Marie</t>
  </si>
  <si>
    <t>Anne-Marie McGhee</t>
  </si>
  <si>
    <t>1015 Franklin Ave.</t>
  </si>
  <si>
    <t>katemarcher@gmail.com</t>
  </si>
  <si>
    <t>Archer</t>
  </si>
  <si>
    <t>Katherine Archer</t>
  </si>
  <si>
    <t>Po Box 43</t>
  </si>
  <si>
    <t>brettdbirk@gmail.com</t>
  </si>
  <si>
    <t>Tbirk13@gmail.com</t>
  </si>
  <si>
    <t>Birk</t>
  </si>
  <si>
    <t>Trent Birk</t>
  </si>
  <si>
    <t>6333 Deer Creek Dr</t>
  </si>
  <si>
    <t>Ypsilanti</t>
  </si>
  <si>
    <t>isheyish@gmail.com</t>
  </si>
  <si>
    <t>Willandfill@gmail.com</t>
  </si>
  <si>
    <t>Hultgren</t>
  </si>
  <si>
    <t>Kristin Hultgren</t>
  </si>
  <si>
    <t>944 Ave.B</t>
  </si>
  <si>
    <t>sheri@gowilhd.com</t>
  </si>
  <si>
    <t>danielenglish52@gmail.com</t>
  </si>
  <si>
    <t>Daniel English</t>
  </si>
  <si>
    <t>pianosince2003@gmail.com</t>
  </si>
  <si>
    <t>Caleb Patterson</t>
  </si>
  <si>
    <t>400 Northwood Circle</t>
  </si>
  <si>
    <t>Cross Junction</t>
  </si>
  <si>
    <t>gmbusiness@comcast.net</t>
  </si>
  <si>
    <t>ryansnap@gmail.com</t>
  </si>
  <si>
    <t>Teeter</t>
  </si>
  <si>
    <t>Ryan Teeter</t>
  </si>
  <si>
    <t>4493 Lake Forest Dr E</t>
  </si>
  <si>
    <t>tom.s.marine97@gmail.com</t>
  </si>
  <si>
    <t>Tom</t>
  </si>
  <si>
    <t>Santini</t>
  </si>
  <si>
    <t>Tom Santini</t>
  </si>
  <si>
    <t>1416 48th court</t>
  </si>
  <si>
    <t>Viktoria</t>
  </si>
  <si>
    <t>Viktoria Quintero</t>
  </si>
  <si>
    <t>53 Horseshoe Trail</t>
  </si>
  <si>
    <t>pdamato@sbcglobal.net</t>
  </si>
  <si>
    <t>jrdamato13@gmail.com</t>
  </si>
  <si>
    <t>D'Amato</t>
  </si>
  <si>
    <t>Joshua D'Amato</t>
  </si>
  <si>
    <t>211 N. Casa Grande Cir.</t>
  </si>
  <si>
    <t>unicycledj@gmail.com</t>
  </si>
  <si>
    <t>David D'Amato</t>
  </si>
  <si>
    <t>2014nalonge@mygracechatt.org</t>
  </si>
  <si>
    <t>Alonge</t>
  </si>
  <si>
    <t>Noah Alonge</t>
  </si>
  <si>
    <t>5933 Riley Road</t>
  </si>
  <si>
    <t>Ooltewah</t>
  </si>
  <si>
    <t>cheyanneandjubi@gmail.com</t>
  </si>
  <si>
    <t>Cheyanne</t>
  </si>
  <si>
    <t>Cheyanne Turnidge</t>
  </si>
  <si>
    <t>2001 N Fir St.</t>
  </si>
  <si>
    <t>annette.giacomazzi@gmail.com</t>
  </si>
  <si>
    <t>maxdgiacomazzi@gmail.com</t>
  </si>
  <si>
    <t>Giacomazzi</t>
  </si>
  <si>
    <t>Max Giacomazzi</t>
  </si>
  <si>
    <t>320 Linda Drive</t>
  </si>
  <si>
    <t>Hollister</t>
  </si>
  <si>
    <t>ben.weso@gmail.com</t>
  </si>
  <si>
    <t>Benjamin Wesolowski</t>
  </si>
  <si>
    <t>1285 Morgan Springs Road</t>
  </si>
  <si>
    <t>Apt/Suite</t>
  </si>
  <si>
    <t>cohuggins@verizon.net</t>
  </si>
  <si>
    <t>Tiffany Huggins</t>
  </si>
  <si>
    <t>hklindblom@gmail.com</t>
  </si>
  <si>
    <t>Lindblom</t>
  </si>
  <si>
    <t>Hannah Lindblom</t>
  </si>
  <si>
    <t>6421 Redstone Cir.</t>
  </si>
  <si>
    <t>lrsmith2812@sbcglobal.net</t>
  </si>
  <si>
    <t>jack@eatonroofing.com</t>
  </si>
  <si>
    <t>Burks</t>
  </si>
  <si>
    <t>Madeline Burks</t>
  </si>
  <si>
    <t>4910 Portwest</t>
  </si>
  <si>
    <t>penland_elizabeth@yahoo.com</t>
  </si>
  <si>
    <t>Penland</t>
  </si>
  <si>
    <t>Elizabeth Penland</t>
  </si>
  <si>
    <t>3311 Smetana Rd</t>
  </si>
  <si>
    <t>mludwig01@comcast.net</t>
  </si>
  <si>
    <t>aludwig_11@comcast.net</t>
  </si>
  <si>
    <t>Ludwig</t>
  </si>
  <si>
    <t>Anna Ludwig</t>
  </si>
  <si>
    <t>7020 Harmon Ct.</t>
  </si>
  <si>
    <t>jenniferhowellmom@yahoo.com</t>
  </si>
  <si>
    <t>queenfan97@yahoo.com</t>
  </si>
  <si>
    <t>Christopher Howell</t>
  </si>
  <si>
    <t>5740 Satinwood Drive</t>
  </si>
  <si>
    <t>invitroworks@aol.com</t>
  </si>
  <si>
    <t>brentlittle.1969@gmail.com</t>
  </si>
  <si>
    <t>Anna Little</t>
  </si>
  <si>
    <t>19065 Lakeshore Dr</t>
  </si>
  <si>
    <t>Emma Little</t>
  </si>
  <si>
    <t>Isaac Little</t>
  </si>
  <si>
    <t>19065 Lakeshore Dr.</t>
  </si>
  <si>
    <t>ljreednm@msn.com</t>
  </si>
  <si>
    <t>albertnm123@gmail.com</t>
  </si>
  <si>
    <t>Albert</t>
  </si>
  <si>
    <t>Albert Reed</t>
  </si>
  <si>
    <t>1164 Behnke Road</t>
  </si>
  <si>
    <t>Los Lunas</t>
  </si>
  <si>
    <t>k_senn@att.net</t>
  </si>
  <si>
    <t>s_senn4soccer@att.net</t>
  </si>
  <si>
    <t>Senn</t>
  </si>
  <si>
    <t>Summer Senn</t>
  </si>
  <si>
    <t>7168 Nolen Park Circle</t>
  </si>
  <si>
    <t>Nolensville</t>
  </si>
  <si>
    <t>3msrowland@gmail.com</t>
  </si>
  <si>
    <t>mirandarowland17@gmail.com</t>
  </si>
  <si>
    <t>Rowland</t>
  </si>
  <si>
    <t>Miranda Rowland</t>
  </si>
  <si>
    <t>104 Vale St.</t>
  </si>
  <si>
    <t>isaiah.bioxin@gmail.com</t>
  </si>
  <si>
    <t>Isaiah English</t>
  </si>
  <si>
    <t>jimotto.tvbc@gmail.com</t>
  </si>
  <si>
    <t>josiahotto@gmail.com</t>
  </si>
  <si>
    <t>Josiah Otto</t>
  </si>
  <si>
    <t>1096 Brooktrout Drive</t>
  </si>
  <si>
    <t>geraldine@reschurchny.com</t>
  </si>
  <si>
    <t>Mattera</t>
  </si>
  <si>
    <t>Charissa Mattera</t>
  </si>
  <si>
    <t>dkharrison@comcast.net</t>
  </si>
  <si>
    <t>thefoxs-sox@comcast.net</t>
  </si>
  <si>
    <t>Brooke Harrison</t>
  </si>
  <si>
    <t>108 Perch Point</t>
  </si>
  <si>
    <t>mark@youthnewsnetwork.org</t>
  </si>
  <si>
    <t>am@mainstemmusic.com</t>
  </si>
  <si>
    <t>Alexandra McDonald</t>
  </si>
  <si>
    <t>16860 NE 25th St</t>
  </si>
  <si>
    <t>abbieploeser@gmail.com</t>
  </si>
  <si>
    <t>Ploeser</t>
  </si>
  <si>
    <t>Abbie Ploeser</t>
  </si>
  <si>
    <t>20417 W Hamilton St</t>
  </si>
  <si>
    <t>crissyd14@gmail.com</t>
  </si>
  <si>
    <t>Cristianna</t>
  </si>
  <si>
    <t>Cristianna Lambert</t>
  </si>
  <si>
    <t>23 Holster Hwy 1477</t>
  </si>
  <si>
    <t>Hilltop Lakes</t>
  </si>
  <si>
    <t>pauljlamb1@gmail.com</t>
  </si>
  <si>
    <t>Paul Lambert</t>
  </si>
  <si>
    <t>crawford2751@gmail.com</t>
  </si>
  <si>
    <t>mxcrawford1@gmail.com</t>
  </si>
  <si>
    <t>Maxwell Crawford</t>
  </si>
  <si>
    <t>2751 henry allen lane</t>
  </si>
  <si>
    <t>nolensville</t>
  </si>
  <si>
    <t>cmrose.nm@gmail.com</t>
  </si>
  <si>
    <t>crose13@cnm.edu</t>
  </si>
  <si>
    <t>Christian Rose</t>
  </si>
  <si>
    <t>15 Alderete Rd</t>
  </si>
  <si>
    <t>laura@jetup.net</t>
  </si>
  <si>
    <t>aidanswenson5@gmail.com</t>
  </si>
  <si>
    <t>Swenson</t>
  </si>
  <si>
    <t>Aidan Swenson</t>
  </si>
  <si>
    <t>9605 Sucker Creek Road</t>
  </si>
  <si>
    <t>Rice</t>
  </si>
  <si>
    <t>seluchuk@bellsouth.net</t>
  </si>
  <si>
    <t>acluchuk@bellsouth.net</t>
  </si>
  <si>
    <t>Luchuk</t>
  </si>
  <si>
    <t>Andrew Luchuk</t>
  </si>
  <si>
    <t>3716 Frostwood Road</t>
  </si>
  <si>
    <t>pieroobug@hotmail.com</t>
  </si>
  <si>
    <t>duckie_journalist@yahoo.com</t>
  </si>
  <si>
    <t>Lauren Clark</t>
  </si>
  <si>
    <t>9624 e juanita ave</t>
  </si>
  <si>
    <t>mesa</t>
  </si>
  <si>
    <t>love4music@att.net</t>
  </si>
  <si>
    <t>Amanda Hawkins</t>
  </si>
  <si>
    <t>1327 S. Summit Rd.</t>
  </si>
  <si>
    <t>tkalonde@gmail.com</t>
  </si>
  <si>
    <t>Kalonde</t>
  </si>
  <si>
    <t>Timothy Kalonde</t>
  </si>
  <si>
    <t>Chibombo</t>
  </si>
  <si>
    <t>Central Province</t>
  </si>
  <si>
    <t>Zambia</t>
  </si>
  <si>
    <t>capt10hiett@yahoo.com</t>
  </si>
  <si>
    <t>Hiett</t>
  </si>
  <si>
    <t>Malcolm Hiett</t>
  </si>
  <si>
    <t>6554 Greeley Hill Rd. Sp. 3</t>
  </si>
  <si>
    <t>Coulterville</t>
  </si>
  <si>
    <t>lizzy_smrt@yahoo.com</t>
  </si>
  <si>
    <t>Smart</t>
  </si>
  <si>
    <t>Elizabeth Smart</t>
  </si>
  <si>
    <t>1629 Cheyenne Ln</t>
  </si>
  <si>
    <t>Normal</t>
  </si>
  <si>
    <t>jophorning@gmail.com</t>
  </si>
  <si>
    <t>Horning</t>
  </si>
  <si>
    <t>Joseph Horning</t>
  </si>
  <si>
    <t>7851 Pleasant Hill Rd</t>
  </si>
  <si>
    <t>Freedom</t>
  </si>
  <si>
    <t>jagtboy@gmail.com</t>
  </si>
  <si>
    <t>Samuel Jagt</t>
  </si>
  <si>
    <t>1545 Berne Road</t>
  </si>
  <si>
    <t>dknkds@gmail.com</t>
  </si>
  <si>
    <t>gbrguitar@gmail.com</t>
  </si>
  <si>
    <t>Gage</t>
  </si>
  <si>
    <t>Rothwell</t>
  </si>
  <si>
    <t>Gage Rothwell</t>
  </si>
  <si>
    <t>165 Sierra Dr</t>
  </si>
  <si>
    <t>peatmoss.pots@gmail.com</t>
  </si>
  <si>
    <t>Katherine Bradley</t>
  </si>
  <si>
    <t>3555 NE 105th Ave</t>
  </si>
  <si>
    <t>sandi_chamyan@hotmail.com</t>
  </si>
  <si>
    <t>Ronnie</t>
  </si>
  <si>
    <t>Ronnie Dale</t>
  </si>
  <si>
    <t>18500 SW 132 AVE</t>
  </si>
  <si>
    <t>rebekah.rodrigs1998@gmail.com</t>
  </si>
  <si>
    <t>Rodrigs</t>
  </si>
  <si>
    <t>Rebekah Rodrigs</t>
  </si>
  <si>
    <t>3676 Fm 3043</t>
  </si>
  <si>
    <t>dlbohlender@yahoo.com</t>
  </si>
  <si>
    <t>Bohlender</t>
  </si>
  <si>
    <t>Andrew Bohlender</t>
  </si>
  <si>
    <t>P.O. Box 157</t>
  </si>
  <si>
    <t>msee@ruraltel.net</t>
  </si>
  <si>
    <t>CrCowboy16@gmail.com</t>
  </si>
  <si>
    <t>Ethan Shaw</t>
  </si>
  <si>
    <t>525 A Road</t>
  </si>
  <si>
    <t>jacintaa.luu@gmail.com</t>
  </si>
  <si>
    <t>Jacinta</t>
  </si>
  <si>
    <t>Lu</t>
  </si>
  <si>
    <t>Jacinta Lu</t>
  </si>
  <si>
    <t>1514 Longview Dr</t>
  </si>
  <si>
    <t>tagthesurf@hotmail.com</t>
  </si>
  <si>
    <t>tagthesnurfer@hotmail.com</t>
  </si>
  <si>
    <t>Elliot</t>
  </si>
  <si>
    <t>Tagliapietra</t>
  </si>
  <si>
    <t>Elliot Tagliapietra</t>
  </si>
  <si>
    <t>90 Sunset Circle</t>
  </si>
  <si>
    <t>karabeth.music@gmail.com</t>
  </si>
  <si>
    <t>Greiner</t>
  </si>
  <si>
    <t>Kara Greiner</t>
  </si>
  <si>
    <t>121 Shirley Lane</t>
  </si>
  <si>
    <t>sonofmacho@yahoo.com</t>
  </si>
  <si>
    <t>Angel</t>
  </si>
  <si>
    <t>Ortiz</t>
  </si>
  <si>
    <t>Angel Ortiz</t>
  </si>
  <si>
    <t>34479 SW 187th Way Lot 192</t>
  </si>
  <si>
    <t>raherman@ualr.edu</t>
  </si>
  <si>
    <t>Rachel Herman</t>
  </si>
  <si>
    <t>1828 Tram Road</t>
  </si>
  <si>
    <t>Bigelow</t>
  </si>
  <si>
    <t>joshpowell149@gmail.com</t>
  </si>
  <si>
    <t>Joshua Powell</t>
  </si>
  <si>
    <t>149 Lauren Lane</t>
  </si>
  <si>
    <t>Marajade42@gmail.com</t>
  </si>
  <si>
    <t>Josianne</t>
  </si>
  <si>
    <t>Josianne Miller</t>
  </si>
  <si>
    <t>980 Briarwood Dr.</t>
  </si>
  <si>
    <t>Iuka</t>
  </si>
  <si>
    <t>lesleyrussell1@cox.net</t>
  </si>
  <si>
    <t>jackierussell1221@cox.net</t>
  </si>
  <si>
    <t>Jaclyn Russell</t>
  </si>
  <si>
    <t>3 White Cliff</t>
  </si>
  <si>
    <t>gmneal@earthlink.net</t>
  </si>
  <si>
    <t>Natalie Neal</t>
  </si>
  <si>
    <t>104 Dunvegan ct.</t>
  </si>
  <si>
    <t>Apex</t>
  </si>
  <si>
    <t>randystunkel@sbcglobal.net</t>
  </si>
  <si>
    <t>Shelbyrose11@sbcglobal.net</t>
  </si>
  <si>
    <t>Stunkel</t>
  </si>
  <si>
    <t>Shelby Stunkel</t>
  </si>
  <si>
    <t>Randy Stunkel</t>
  </si>
  <si>
    <t>1539 De Leon Way</t>
  </si>
  <si>
    <t>derek.wilcox95@gmail.com</t>
  </si>
  <si>
    <t>Wilcox</t>
  </si>
  <si>
    <t>Derek Wilcox</t>
  </si>
  <si>
    <t>‚ÑÖ 1539 De Leon Way</t>
  </si>
  <si>
    <t>prinsb@cogeco.ca</t>
  </si>
  <si>
    <t>ollie_p@hotmail.com</t>
  </si>
  <si>
    <t>Oliver Prins</t>
  </si>
  <si>
    <t>143 Conestoga Dr</t>
  </si>
  <si>
    <t>Sarnia</t>
  </si>
  <si>
    <t>N7S6A1</t>
  </si>
  <si>
    <t>greenlizard86@gmail.com</t>
  </si>
  <si>
    <t>Alexander Green</t>
  </si>
  <si>
    <t>1545 Meadow Branch Ave</t>
  </si>
  <si>
    <t>rkaster@comcast.net</t>
  </si>
  <si>
    <t>aubreyk@live.com</t>
  </si>
  <si>
    <t>Klaassen</t>
  </si>
  <si>
    <t>Aubrey Klaassen</t>
  </si>
  <si>
    <t>710 E 19th</t>
  </si>
  <si>
    <t>Chanute</t>
  </si>
  <si>
    <t>samuelcurtis7@gmail.com</t>
  </si>
  <si>
    <t>Samuel Curtis</t>
  </si>
  <si>
    <t>agreen1118@gmail.com</t>
  </si>
  <si>
    <t>Abel</t>
  </si>
  <si>
    <t>Abel Green</t>
  </si>
  <si>
    <t>hohulin5@gmail.com</t>
  </si>
  <si>
    <t>Hohulin</t>
  </si>
  <si>
    <t>Tyler Hohulin</t>
  </si>
  <si>
    <t>211 S. Ohio Ave.</t>
  </si>
  <si>
    <t>jpmusicmaker@gmail.com</t>
  </si>
  <si>
    <t>Jay Reid</t>
  </si>
  <si>
    <t>11028 Harding Rd.</t>
  </si>
  <si>
    <t>obearlaw@frontier.com</t>
  </si>
  <si>
    <t>Rider</t>
  </si>
  <si>
    <t>Andrew Rider</t>
  </si>
  <si>
    <t>10325 N. 400 W.</t>
  </si>
  <si>
    <t>Burnettsville</t>
  </si>
  <si>
    <t>6sniders@gmail.com</t>
  </si>
  <si>
    <t>maggiesnider11@yahoo.com</t>
  </si>
  <si>
    <t>Maggie Snider</t>
  </si>
  <si>
    <t>326 Summit Avenue</t>
  </si>
  <si>
    <t>t3crocker@hotmail.com</t>
  </si>
  <si>
    <t>Sampson</t>
  </si>
  <si>
    <t>Caleb Sampson</t>
  </si>
  <si>
    <t>3845 Gaskill Peak Road</t>
  </si>
  <si>
    <t>Marchellek@gmail.com</t>
  </si>
  <si>
    <t>bklein1111@gmail.com</t>
  </si>
  <si>
    <t>Barry</t>
  </si>
  <si>
    <t>Klein</t>
  </si>
  <si>
    <t>Barry Klein</t>
  </si>
  <si>
    <t>22603 Leyte Dr.</t>
  </si>
  <si>
    <t>msloveless@att.net</t>
  </si>
  <si>
    <t>mbloveless1@gmail.com</t>
  </si>
  <si>
    <t>Loveless</t>
  </si>
  <si>
    <t>Mary Loveless</t>
  </si>
  <si>
    <t>301 SE Fullerton St.</t>
  </si>
  <si>
    <t>Bentonville</t>
  </si>
  <si>
    <t>stephanie1959@cox.net</t>
  </si>
  <si>
    <t>ajnoriega44@gmail.com</t>
  </si>
  <si>
    <t>Noriega</t>
  </si>
  <si>
    <t>Anthony Noriega</t>
  </si>
  <si>
    <t>11847 Calle Albara</t>
  </si>
  <si>
    <t>Brooke Hannah</t>
  </si>
  <si>
    <t>124 Pleasant Valley Lane</t>
  </si>
  <si>
    <t>klemm17@yahoo.com</t>
  </si>
  <si>
    <t>aklemm92@gmail.com</t>
  </si>
  <si>
    <t>Klemm</t>
  </si>
  <si>
    <t>Aaron Klemm</t>
  </si>
  <si>
    <t>10546 Elm Rd</t>
  </si>
  <si>
    <t>Waynesville</t>
  </si>
  <si>
    <t>amafite@bellsouth.net</t>
  </si>
  <si>
    <t>fite_marcus@yahoo.com</t>
  </si>
  <si>
    <t>Marcus</t>
  </si>
  <si>
    <t>Fite</t>
  </si>
  <si>
    <t>Marcus Fite</t>
  </si>
  <si>
    <t>204 Hilltop Circle</t>
  </si>
  <si>
    <t>carlosmontano@juno.com</t>
  </si>
  <si>
    <t>Carlena</t>
  </si>
  <si>
    <t>Montano</t>
  </si>
  <si>
    <t>Carlena Montano</t>
  </si>
  <si>
    <t>5601 Wonder Dr.</t>
  </si>
  <si>
    <t>gaby@calvarycch.org</t>
  </si>
  <si>
    <t>19jma95@gmail.com</t>
  </si>
  <si>
    <t>Aguirre</t>
  </si>
  <si>
    <t>Jonathan Aguirre</t>
  </si>
  <si>
    <t>14701 Bordeaux Ln</t>
  </si>
  <si>
    <t>toriaguirre@gmail.com</t>
  </si>
  <si>
    <t>Victoria Aguirre</t>
  </si>
  <si>
    <t>wife2pb@gmail.com</t>
  </si>
  <si>
    <t>bvfreerunner@gmail.com</t>
  </si>
  <si>
    <t>Vegter</t>
  </si>
  <si>
    <t>Bryce Vegter</t>
  </si>
  <si>
    <t>550 Pine Tree Drive</t>
  </si>
  <si>
    <t>adventures.with.yahweh@gmail.com</t>
  </si>
  <si>
    <t>Horsman</t>
  </si>
  <si>
    <t>Kyle Horsman</t>
  </si>
  <si>
    <t>180 West Laurel Lane</t>
  </si>
  <si>
    <t>Big</t>
  </si>
  <si>
    <t>rochelleschweizer@gmail.com</t>
  </si>
  <si>
    <t>jackschweizer@ymail.com</t>
  </si>
  <si>
    <t>John Schweizer</t>
  </si>
  <si>
    <t>1467 Millstream Road</t>
  </si>
  <si>
    <t>mtkandsons5@cox.net</t>
  </si>
  <si>
    <t>jmkraus2@asu.edu</t>
  </si>
  <si>
    <t>Krause</t>
  </si>
  <si>
    <t>Jordan Krause</t>
  </si>
  <si>
    <t>12449 N. Columbine Dr.</t>
  </si>
  <si>
    <t>yesjesusisalive@yahoo.com</t>
  </si>
  <si>
    <t>isaiahd314@gmail.com</t>
  </si>
  <si>
    <t>isaiah</t>
  </si>
  <si>
    <t>dodson</t>
  </si>
  <si>
    <t>isaiah dodson</t>
  </si>
  <si>
    <t>1217 sarasota dr</t>
  </si>
  <si>
    <t>jefferson city</t>
  </si>
  <si>
    <t>ttowle@nashvillemachine.com</t>
  </si>
  <si>
    <t>caitlyn.towle@comcast.net</t>
  </si>
  <si>
    <t>Caitlyn</t>
  </si>
  <si>
    <t>Towle</t>
  </si>
  <si>
    <t>Caitlyn Towle</t>
  </si>
  <si>
    <t>5412 Cliffstone Dr</t>
  </si>
  <si>
    <t>jlamarketing1@gmail.com</t>
  </si>
  <si>
    <t>Isabel Andrew</t>
  </si>
  <si>
    <t>PO Box 421 Belle Monti Ct</t>
  </si>
  <si>
    <t>Aptos</t>
  </si>
  <si>
    <t>dutchbunny2@comcast.net</t>
  </si>
  <si>
    <t>Brittany Towle</t>
  </si>
  <si>
    <t>minnesotamortons1@mac.com</t>
  </si>
  <si>
    <t>katiemorton1@me.com</t>
  </si>
  <si>
    <t>Katie Morton</t>
  </si>
  <si>
    <t>4715 Old Kent Road</t>
  </si>
  <si>
    <t>Deephaven</t>
  </si>
  <si>
    <t>dareenmom@yahoo.com</t>
  </si>
  <si>
    <t>southie.williamson@gmail.com</t>
  </si>
  <si>
    <t>Southard</t>
  </si>
  <si>
    <t>Southard Williamson</t>
  </si>
  <si>
    <t>1308 E. Franklin St.</t>
  </si>
  <si>
    <t>mchm89@msn.com</t>
  </si>
  <si>
    <t>kidoandcheeks91@gmail.com</t>
  </si>
  <si>
    <t>Rebecca Chan</t>
  </si>
  <si>
    <t>2098 Scenic Place</t>
  </si>
  <si>
    <t>St. Paul</t>
  </si>
  <si>
    <t>bergfamilyafrica@gmail.com</t>
  </si>
  <si>
    <t>sberg14@rva.org</t>
  </si>
  <si>
    <t>Berg</t>
  </si>
  <si>
    <t>Stephen Berg</t>
  </si>
  <si>
    <t>317 Sidney Baker South</t>
  </si>
  <si>
    <t>400-200</t>
  </si>
  <si>
    <t>Kerrville</t>
  </si>
  <si>
    <t>apimperl@yahoo.com</t>
  </si>
  <si>
    <t>firestar7991@yahoo.com</t>
  </si>
  <si>
    <t>Pimperl</t>
  </si>
  <si>
    <t>William Pimperl</t>
  </si>
  <si>
    <t>24434 hack rd</t>
  </si>
  <si>
    <t>bay minette</t>
  </si>
  <si>
    <t>alsandorfamily@gmail.com</t>
  </si>
  <si>
    <t>zach.alsandor@me.com</t>
  </si>
  <si>
    <t>Eugene</t>
  </si>
  <si>
    <t>Alsandor</t>
  </si>
  <si>
    <t>Eugene Alsandor</t>
  </si>
  <si>
    <t>220-3 A Yamate-cho</t>
  </si>
  <si>
    <t>Yokohama</t>
  </si>
  <si>
    <t>231-0862</t>
  </si>
  <si>
    <t>Japan</t>
  </si>
  <si>
    <t>lynne.t.richards@gmail.com</t>
  </si>
  <si>
    <t>sweetdramagirl16@gmail.com</t>
  </si>
  <si>
    <t>Rebecca Richards</t>
  </si>
  <si>
    <t>PO Box 95</t>
  </si>
  <si>
    <t>East Winthrop</t>
  </si>
  <si>
    <t>jinshilyi@gmail.com</t>
  </si>
  <si>
    <t>Yi</t>
  </si>
  <si>
    <t>John Yi</t>
  </si>
  <si>
    <t>4303 67th Avenue Court West</t>
  </si>
  <si>
    <t>University Place</t>
  </si>
  <si>
    <t>calebglader.cg@gmail.com</t>
  </si>
  <si>
    <t>Glader</t>
  </si>
  <si>
    <t>Caleb Glader</t>
  </si>
  <si>
    <t>HMLA 169 PO BOX 555781</t>
  </si>
  <si>
    <t>iamgenerivera@yahoo.com</t>
  </si>
  <si>
    <t>jaredrivera2314@yahoo.com</t>
  </si>
  <si>
    <t>Rivera</t>
  </si>
  <si>
    <t>Jared Rivera</t>
  </si>
  <si>
    <t>29771 Ski Ranch St</t>
  </si>
  <si>
    <t>karen970259@msn.com</t>
  </si>
  <si>
    <t>Annie Smith</t>
  </si>
  <si>
    <t>1619 Forest Avenue</t>
  </si>
  <si>
    <t>Durango</t>
  </si>
  <si>
    <t>gritsko@gmail.com</t>
  </si>
  <si>
    <t>esthergrits@gmail.com</t>
  </si>
  <si>
    <t>Gritsko</t>
  </si>
  <si>
    <t>Esther Gritsko</t>
  </si>
  <si>
    <t>152 Mountain Vista Road</t>
  </si>
  <si>
    <t>Scottsville</t>
  </si>
  <si>
    <t>suzanna.rusco@gmail.com</t>
  </si>
  <si>
    <t>Suzanna</t>
  </si>
  <si>
    <t>Rusco</t>
  </si>
  <si>
    <t>Suzanna Rusco</t>
  </si>
  <si>
    <t>bassem.mawhoob@live.com</t>
  </si>
  <si>
    <t>Bassem</t>
  </si>
  <si>
    <t>Bassem Makar</t>
  </si>
  <si>
    <t>10 Adib Aly Adham St. Sheraton Heliopolis</t>
  </si>
  <si>
    <t>dannyray@graceselah.com</t>
  </si>
  <si>
    <t>Danny</t>
  </si>
  <si>
    <t>Danny Taylor</t>
  </si>
  <si>
    <t>ksbritt@twc.com</t>
  </si>
  <si>
    <t>Brittain</t>
  </si>
  <si>
    <t>Keegan Brittain</t>
  </si>
  <si>
    <t>2338 Hathaway Road</t>
  </si>
  <si>
    <t>Union</t>
  </si>
  <si>
    <t>canefan@gmail.com</t>
  </si>
  <si>
    <t>Samuel Hernandez</t>
  </si>
  <si>
    <t>bwillis574@gmail.com</t>
  </si>
  <si>
    <t>Debra</t>
  </si>
  <si>
    <t>Debra Willis</t>
  </si>
  <si>
    <t>3545 Mulberry Drive</t>
  </si>
  <si>
    <t>Millbrook</t>
  </si>
  <si>
    <t>motherhenof8@hotmail.com</t>
  </si>
  <si>
    <t>jacobqwe4@gmail.com</t>
  </si>
  <si>
    <t>Perin</t>
  </si>
  <si>
    <t>Jacob Perin</t>
  </si>
  <si>
    <t>529 Willow St.</t>
  </si>
  <si>
    <t>Webster City</t>
  </si>
  <si>
    <t>alillig13@gmail.com</t>
  </si>
  <si>
    <t>Lillig</t>
  </si>
  <si>
    <t>Andrea Lillig</t>
  </si>
  <si>
    <t>705 NE 4th Street</t>
  </si>
  <si>
    <t>glenisrp81@verizon.net</t>
  </si>
  <si>
    <t>MarshallAP@live.com</t>
  </si>
  <si>
    <t>Marshall Pittman</t>
  </si>
  <si>
    <t>6192 Hidden Canyon Road</t>
  </si>
  <si>
    <t>kaitlin1095@gmail.com</t>
  </si>
  <si>
    <t>Kaitlin1095@gmail.com</t>
  </si>
  <si>
    <t>Goins</t>
  </si>
  <si>
    <t>Kaitlin Goins</t>
  </si>
  <si>
    <t>44065 E. 221st St South</t>
  </si>
  <si>
    <t>Porter</t>
  </si>
  <si>
    <t>kennethreed1@charter.net</t>
  </si>
  <si>
    <t>dboyreed@charter.net</t>
  </si>
  <si>
    <t>David Reed</t>
  </si>
  <si>
    <t>822 Coosa CR 78</t>
  </si>
  <si>
    <t>Sylacauga</t>
  </si>
  <si>
    <t>nuvoleabianche@gmail.com</t>
  </si>
  <si>
    <t>Macauley</t>
  </si>
  <si>
    <t>Macauley Mills</t>
  </si>
  <si>
    <t>neelycindy@gmail.com</t>
  </si>
  <si>
    <t>rachelynne@gmail.com</t>
  </si>
  <si>
    <t>Neely</t>
  </si>
  <si>
    <t>Rachel Neely</t>
  </si>
  <si>
    <t>13025 Cog Hill Way</t>
  </si>
  <si>
    <t>hlengefeld@windstream.net</t>
  </si>
  <si>
    <t>Lengefeld</t>
  </si>
  <si>
    <t>Hannah Lengefeld</t>
  </si>
  <si>
    <t>714 Cannon Lane</t>
  </si>
  <si>
    <t>petmarclarkefam@gmail.com</t>
  </si>
  <si>
    <t>blackjackclarke@gmail.com</t>
  </si>
  <si>
    <t>Jack Clarke</t>
  </si>
  <si>
    <t>46125 Shepherdstown Rd.</t>
  </si>
  <si>
    <t>Saint Clairsville</t>
  </si>
  <si>
    <t>lisa.reagan@icloud.com</t>
  </si>
  <si>
    <t>benreagan96@gmail.com</t>
  </si>
  <si>
    <t>Benjamin Reagan</t>
  </si>
  <si>
    <t>8716 Rushmore Drive</t>
  </si>
  <si>
    <t>marcie.cantrelle@yahoo.com</t>
  </si>
  <si>
    <t>Halston</t>
  </si>
  <si>
    <t>Cantrelle</t>
  </si>
  <si>
    <t>Halston Cantrelle</t>
  </si>
  <si>
    <t>2595 Camino Del Plata</t>
  </si>
  <si>
    <t>Corona</t>
  </si>
  <si>
    <t>solid400@embarqmail.com</t>
  </si>
  <si>
    <t>setapartlass@gmail.com</t>
  </si>
  <si>
    <t>Chesley</t>
  </si>
  <si>
    <t>Chesley Rowlett</t>
  </si>
  <si>
    <t>10596 Coppergate</t>
  </si>
  <si>
    <t>rachel.clarke.photo@gmail.com</t>
  </si>
  <si>
    <t>Rachel Clarke</t>
  </si>
  <si>
    <t>St. Clairsville</t>
  </si>
  <si>
    <t>ghg1988@gmail.com</t>
  </si>
  <si>
    <t>sarah0graves@aol.com</t>
  </si>
  <si>
    <t>Sarah Graves</t>
  </si>
  <si>
    <t>8009 Constellation Blvd</t>
  </si>
  <si>
    <t>akw@g.clemson.edu</t>
  </si>
  <si>
    <t>Akw@g.clemson.edu</t>
  </si>
  <si>
    <t>Anna Williams</t>
  </si>
  <si>
    <t>114 North Franklin Road</t>
  </si>
  <si>
    <t>jasimon@charter.net</t>
  </si>
  <si>
    <t>ensimon@charter.net</t>
  </si>
  <si>
    <t>Simon</t>
  </si>
  <si>
    <t>Emily Simon</t>
  </si>
  <si>
    <t>471 Old Farm Ln</t>
  </si>
  <si>
    <t>knsimon@charter.net</t>
  </si>
  <si>
    <t>Katelyn Simon</t>
  </si>
  <si>
    <t>mrauch7@aol.com</t>
  </si>
  <si>
    <t>levirauch@gmail.com</t>
  </si>
  <si>
    <t>Rauch</t>
  </si>
  <si>
    <t>Levi Rauch</t>
  </si>
  <si>
    <t>108 East Division Street</t>
  </si>
  <si>
    <t>Villa Park</t>
  </si>
  <si>
    <t>hannahsuefrazier@hotmail.com</t>
  </si>
  <si>
    <t>Frazier</t>
  </si>
  <si>
    <t>Hannah Frazier</t>
  </si>
  <si>
    <t>4000 S. Cherokee St.</t>
  </si>
  <si>
    <t>pearce10205@hotmail.com</t>
  </si>
  <si>
    <t>gabrielle.cooley96@gmail.com</t>
  </si>
  <si>
    <t>Cooley</t>
  </si>
  <si>
    <t>Gabrielle Cooley</t>
  </si>
  <si>
    <t>639 SW Miller St.</t>
  </si>
  <si>
    <t>rick@piercehome.net</t>
  </si>
  <si>
    <t>stephen@piercehome.net</t>
  </si>
  <si>
    <t>Stephen Pierce</t>
  </si>
  <si>
    <t>3518 NE Lacewood Cir.</t>
  </si>
  <si>
    <t>WarDogMullens@yahoo.com</t>
  </si>
  <si>
    <t>Mullens</t>
  </si>
  <si>
    <t>Trevor Mullens</t>
  </si>
  <si>
    <t>40 Spring Creek Dr</t>
  </si>
  <si>
    <t>tokaegecko@yahoo.com</t>
  </si>
  <si>
    <t>Joseph Murphy</t>
  </si>
  <si>
    <t>480 Peals Lane</t>
  </si>
  <si>
    <t>Tellico Plains</t>
  </si>
  <si>
    <t>thefamilyssake@aol.com</t>
  </si>
  <si>
    <t>Gleason</t>
  </si>
  <si>
    <t>Elizabeth Gleason</t>
  </si>
  <si>
    <t>14015 State Rd</t>
  </si>
  <si>
    <t>Ostrander</t>
  </si>
  <si>
    <t>acunruh@yahoo.com</t>
  </si>
  <si>
    <t>sonny96@yahoo.com</t>
  </si>
  <si>
    <t>Mark Unruh</t>
  </si>
  <si>
    <t>7855 Toltec Lane</t>
  </si>
  <si>
    <t>dteselle@littleappletech.com</t>
  </si>
  <si>
    <t>endity1@gmail.com</t>
  </si>
  <si>
    <t>Nick</t>
  </si>
  <si>
    <t>TeSelle</t>
  </si>
  <si>
    <t>Nick TeSelle</t>
  </si>
  <si>
    <t>8500 Gooch Hill Road</t>
  </si>
  <si>
    <t>rockford.radius@gmail.com</t>
  </si>
  <si>
    <t>Radius</t>
  </si>
  <si>
    <t>Kelly Radius</t>
  </si>
  <si>
    <t>8610 10 Mile Road NE</t>
  </si>
  <si>
    <t>sgwin1@juno.com</t>
  </si>
  <si>
    <t>mjyuhas5@gmail.com</t>
  </si>
  <si>
    <t>Yuhas</t>
  </si>
  <si>
    <t>Michael Yuhas</t>
  </si>
  <si>
    <t>9328 N Camino de Plaza</t>
  </si>
  <si>
    <t>calebcable@cox.net</t>
  </si>
  <si>
    <t>Cable</t>
  </si>
  <si>
    <t>Caleb Cable</t>
  </si>
  <si>
    <t>8667 golf drive</t>
  </si>
  <si>
    <t>spring valley</t>
  </si>
  <si>
    <t>bearcorner@juno.com</t>
  </si>
  <si>
    <t>Hockeyfun15@gmail.com</t>
  </si>
  <si>
    <t>Kumata</t>
  </si>
  <si>
    <t>Daniel Kumata</t>
  </si>
  <si>
    <t>337 Sandpiper Drive</t>
  </si>
  <si>
    <t>vmolina_iii@hotmail.com</t>
  </si>
  <si>
    <t>starymolina@hotmail.com</t>
  </si>
  <si>
    <t>Yvonne</t>
  </si>
  <si>
    <t>Molina</t>
  </si>
  <si>
    <t>Yvonne Molina</t>
  </si>
  <si>
    <t>15102 Yorkpoint Dr</t>
  </si>
  <si>
    <t>ron.luce@teenmania.org</t>
  </si>
  <si>
    <t>clucedla@gmail.com</t>
  </si>
  <si>
    <t>Luce</t>
  </si>
  <si>
    <t>Cameron Luce</t>
  </si>
  <si>
    <t>17455 cr4174 e</t>
  </si>
  <si>
    <t>garden valley</t>
  </si>
  <si>
    <t>meyergen7698@q.com</t>
  </si>
  <si>
    <t>Lena</t>
  </si>
  <si>
    <t>Lena Meyer</t>
  </si>
  <si>
    <t>1225 Kenneth Place</t>
  </si>
  <si>
    <t>jesse@brooks1.net</t>
  </si>
  <si>
    <t>Jesse Brooks</t>
  </si>
  <si>
    <t>1222 Hillcrest Road</t>
  </si>
  <si>
    <t>Akron</t>
  </si>
  <si>
    <t>anim3xl0v3r@gmail.com</t>
  </si>
  <si>
    <t>Anim3xl0v3r@gmail.com</t>
  </si>
  <si>
    <t>Lizzie</t>
  </si>
  <si>
    <t>Lizzie Turner</t>
  </si>
  <si>
    <t>3055 Horseshoe Rd NW</t>
  </si>
  <si>
    <t>timlin98@sbcglobal.net</t>
  </si>
  <si>
    <t>dannylin127@gmail.com</t>
  </si>
  <si>
    <t>Daniel Lin</t>
  </si>
  <si>
    <t>2511 El Capitan Ave</t>
  </si>
  <si>
    <t>scott@rocketninesolutions.com</t>
  </si>
  <si>
    <t>katie@rocketninesolutions.com</t>
  </si>
  <si>
    <t>Katie Dunn</t>
  </si>
  <si>
    <t>17352 La Macinda Dr.</t>
  </si>
  <si>
    <t>jwbaker4214@gmail.com</t>
  </si>
  <si>
    <t>dragon.crazy13@gmail.com</t>
  </si>
  <si>
    <t>Hannah Baker</t>
  </si>
  <si>
    <t>15025 CR 66</t>
  </si>
  <si>
    <t>tlvogt@hotmail.com</t>
  </si>
  <si>
    <t>Vogt</t>
  </si>
  <si>
    <t>Zachary Vogt</t>
  </si>
  <si>
    <t>7632 Copper Corner Dr</t>
  </si>
  <si>
    <t>shjoo12@taylor.edu</t>
  </si>
  <si>
    <t>suhyeon_ju@taylor.edu</t>
  </si>
  <si>
    <t>Suhyeon</t>
  </si>
  <si>
    <t>Ju</t>
  </si>
  <si>
    <t>Suhyeon Ju</t>
  </si>
  <si>
    <t>235 W Reade Ave</t>
  </si>
  <si>
    <t>Taylor University Gerig hall 211</t>
  </si>
  <si>
    <t>rkf92@naver.com</t>
  </si>
  <si>
    <t>hyejin</t>
  </si>
  <si>
    <t>khal</t>
  </si>
  <si>
    <t>hyejin khal</t>
  </si>
  <si>
    <t>981-8</t>
  </si>
  <si>
    <t>Bono 1dong</t>
  </si>
  <si>
    <t>Ansansi</t>
  </si>
  <si>
    <t>kmorioni@uniteone.net</t>
  </si>
  <si>
    <t>Morioni</t>
  </si>
  <si>
    <t>Paul Morioni</t>
  </si>
  <si>
    <t>1209 Susan St</t>
  </si>
  <si>
    <t>Kearney</t>
  </si>
  <si>
    <t>cph22@suddenlink.net</t>
  </si>
  <si>
    <t>Holcomb</t>
  </si>
  <si>
    <t>Michelle Holcomb</t>
  </si>
  <si>
    <t>1111 San Juan Lane</t>
  </si>
  <si>
    <t>White Oak</t>
  </si>
  <si>
    <t>kkiagler@watermark.org</t>
  </si>
  <si>
    <t>honeyk16@sbcglobal.net</t>
  </si>
  <si>
    <t>kaylee</t>
  </si>
  <si>
    <t>kaigler</t>
  </si>
  <si>
    <t>kaylee kaigler</t>
  </si>
  <si>
    <t>10030 Faircrest</t>
  </si>
  <si>
    <t>kkaigler@watermark.org</t>
  </si>
  <si>
    <t>kdoots92@sbcglobal.net</t>
  </si>
  <si>
    <t>Kaigler</t>
  </si>
  <si>
    <t>Kelsey Kaigler</t>
  </si>
  <si>
    <t>Robert Smith</t>
  </si>
  <si>
    <t>Rebecca Smith</t>
  </si>
  <si>
    <t>melissadeanne@gmail.com</t>
  </si>
  <si>
    <t>capemol@gmail.com</t>
  </si>
  <si>
    <t>Cape</t>
  </si>
  <si>
    <t>Molstad</t>
  </si>
  <si>
    <t>Cape Molstad</t>
  </si>
  <si>
    <t>46847 252nd St.</t>
  </si>
  <si>
    <t>brunswick@sbcglobal.net</t>
  </si>
  <si>
    <t>alenahbrunswick@gmail.com</t>
  </si>
  <si>
    <t>Alenah</t>
  </si>
  <si>
    <t>Alenah Brunswick</t>
  </si>
  <si>
    <t>328 Schwerin Street</t>
  </si>
  <si>
    <t>San Francisco</t>
  </si>
  <si>
    <t>andersoo@gasupreme.us</t>
  </si>
  <si>
    <t>bradlsmith@att.net</t>
  </si>
  <si>
    <t>virginiacsmith@att.net</t>
  </si>
  <si>
    <t>Virginia Smith</t>
  </si>
  <si>
    <t>3304 Colgate Ave</t>
  </si>
  <si>
    <t>traceywbeckwith@gmail.com</t>
  </si>
  <si>
    <t>hannah.isabelle@me.com</t>
  </si>
  <si>
    <t>Beckwith</t>
  </si>
  <si>
    <t>Hannah Beckwith</t>
  </si>
  <si>
    <t>5806 Del Roy</t>
  </si>
  <si>
    <t>jill@enelsons.com</t>
  </si>
  <si>
    <t>josh@enelsons.com</t>
  </si>
  <si>
    <t>Jonathan Nelson</t>
  </si>
  <si>
    <t>23449 Sandstone</t>
  </si>
  <si>
    <t>amyg@lairdgarner.com</t>
  </si>
  <si>
    <t>graceg@lairdgarner.com</t>
  </si>
  <si>
    <t>Garner</t>
  </si>
  <si>
    <t>Grace Garner</t>
  </si>
  <si>
    <t>1243 Shelter Cove</t>
  </si>
  <si>
    <t>Winston Salem</t>
  </si>
  <si>
    <t>sedyqt@gmail.com</t>
  </si>
  <si>
    <t>Serafina</t>
  </si>
  <si>
    <t>Serafina Quintero</t>
  </si>
  <si>
    <t>245 Utah St NE</t>
  </si>
  <si>
    <t>jeremiah.medley@yahoo.com</t>
  </si>
  <si>
    <t>Jeremiah.medley@yahoo.com</t>
  </si>
  <si>
    <t>Medley</t>
  </si>
  <si>
    <t>Jeremiah Medley</t>
  </si>
  <si>
    <t>7474 Chinook Dr.</t>
  </si>
  <si>
    <t>West Chester</t>
  </si>
  <si>
    <t>spideyclick@live.com</t>
  </si>
  <si>
    <t>Hubbell</t>
  </si>
  <si>
    <t>Zachary Hubbell</t>
  </si>
  <si>
    <t>PO Box 146</t>
  </si>
  <si>
    <t>2340 57th Lane</t>
  </si>
  <si>
    <t>ljhanley@syr.edu</t>
  </si>
  <si>
    <t>Luke Hanley</t>
  </si>
  <si>
    <t>355 Roat dr.</t>
  </si>
  <si>
    <t>drewdeas24@yahoo.com</t>
  </si>
  <si>
    <t>Deas</t>
  </si>
  <si>
    <t>Andrew Deas</t>
  </si>
  <si>
    <t>1241 Silver Ridge Lane</t>
  </si>
  <si>
    <t>miller6@sio.midco.net</t>
  </si>
  <si>
    <t>alexmansog@gmail.com</t>
  </si>
  <si>
    <t>Alex Miller</t>
  </si>
  <si>
    <t>3301 S Grace Ave</t>
  </si>
  <si>
    <t>austinmiller.miller01@gmail.com</t>
  </si>
  <si>
    <t>Austin Miller</t>
  </si>
  <si>
    <t>lgl1469@msn.com</t>
  </si>
  <si>
    <t>Philman977@gmail.com</t>
  </si>
  <si>
    <t>Philip Larson</t>
  </si>
  <si>
    <t>4205 E 38th St</t>
  </si>
  <si>
    <t>stephaniegitto@gmail.com</t>
  </si>
  <si>
    <t>Gitto</t>
  </si>
  <si>
    <t>Stephanie Gitto</t>
  </si>
  <si>
    <t>W270 n7548 oakwood court</t>
  </si>
  <si>
    <t>Hartland</t>
  </si>
  <si>
    <t>cstannards9@gmail.com</t>
  </si>
  <si>
    <t>Stannard</t>
  </si>
  <si>
    <t>Rebecca Stannard</t>
  </si>
  <si>
    <t>2801 Pepper Tree lane</t>
  </si>
  <si>
    <t>columbia</t>
  </si>
  <si>
    <t>sohblessed@hotmail.com</t>
  </si>
  <si>
    <t>Sohgabe@gmail.com</t>
  </si>
  <si>
    <t>Soh</t>
  </si>
  <si>
    <t>Gabriel Soh</t>
  </si>
  <si>
    <t>245 Waterside Dr</t>
  </si>
  <si>
    <t>Indian Harbour Beach</t>
  </si>
  <si>
    <t>yellowquill@gmail.com</t>
  </si>
  <si>
    <t>Joseph Lukins</t>
  </si>
  <si>
    <t>ajnickel3@gmail.com</t>
  </si>
  <si>
    <t>Adam Nickel</t>
  </si>
  <si>
    <t>221 Brook Lane Ave</t>
  </si>
  <si>
    <t>trey-miller@sbcglobal.net</t>
  </si>
  <si>
    <t>millermk@ymail.com</t>
  </si>
  <si>
    <t>Montgomery Miller</t>
  </si>
  <si>
    <t>8701 Savannah Ave.</t>
  </si>
  <si>
    <t>morgan.smith119@gmail.com</t>
  </si>
  <si>
    <t>Morgan.smith119@gmail.com</t>
  </si>
  <si>
    <t>Morgan Smith</t>
  </si>
  <si>
    <t>925 Cypress Drive¬†</t>
  </si>
  <si>
    <t>Vista</t>
  </si>
  <si>
    <t>abigail.sosebee@gmail.com</t>
  </si>
  <si>
    <t>Sosebee</t>
  </si>
  <si>
    <t>Abigail Sosebee</t>
  </si>
  <si>
    <t>4907 93rd</t>
  </si>
  <si>
    <t>alexa_luvs_u_all@hotmail.com</t>
  </si>
  <si>
    <t>alexapacheco52@gmail.com</t>
  </si>
  <si>
    <t>Alexa</t>
  </si>
  <si>
    <t>Pacheco</t>
  </si>
  <si>
    <t>Alexa Pacheco</t>
  </si>
  <si>
    <t>4901 Goodnight trl.</t>
  </si>
  <si>
    <t>Amarillo</t>
  </si>
  <si>
    <t>thirdbasechase@yahoo.com</t>
  </si>
  <si>
    <t>Caron</t>
  </si>
  <si>
    <t>Alexander Caron</t>
  </si>
  <si>
    <t>2500 Herds Creek Road</t>
  </si>
  <si>
    <t>jktoyra6@frontier.com</t>
  </si>
  <si>
    <t>lovehope87@ymail.com</t>
  </si>
  <si>
    <t>Toyra</t>
  </si>
  <si>
    <t>Hope Toyra</t>
  </si>
  <si>
    <t>2035 Crestview Ct.</t>
  </si>
  <si>
    <t>hwoo13@caj.or.jp</t>
  </si>
  <si>
    <t>Hee Yung</t>
  </si>
  <si>
    <t>Woo</t>
  </si>
  <si>
    <t>Hee Yung Woo</t>
  </si>
  <si>
    <t>Higashi Oizumi 2-42-8-538</t>
  </si>
  <si>
    <t>Nerima-ku</t>
  </si>
  <si>
    <t>Tokyo</t>
  </si>
  <si>
    <t>178-0063</t>
  </si>
  <si>
    <t>robertc22@juno.com</t>
  </si>
  <si>
    <t>alllison.elizabeth.white@gmail.com</t>
  </si>
  <si>
    <t>Allison White</t>
  </si>
  <si>
    <t>14514 Dracaena Ct.</t>
  </si>
  <si>
    <t>lksiewert@sio.midco.net</t>
  </si>
  <si>
    <t>jakesiewert2@gmail.com</t>
  </si>
  <si>
    <t>Siewert</t>
  </si>
  <si>
    <t>Jake Siewert</t>
  </si>
  <si>
    <t>4319 E. 33rd Street</t>
  </si>
  <si>
    <t>bjeanmay92@yahoo.com</t>
  </si>
  <si>
    <t>baylormay97@gmail.com</t>
  </si>
  <si>
    <t>Baylor</t>
  </si>
  <si>
    <t>Baylor May</t>
  </si>
  <si>
    <t>1474 Shady Glen Lane</t>
  </si>
  <si>
    <t>susannajoy1996@yahoo.com</t>
  </si>
  <si>
    <t>Susanna Tucker</t>
  </si>
  <si>
    <t>880 reid drive</t>
  </si>
  <si>
    <t>trafford</t>
  </si>
  <si>
    <t>sofferlaurel@gmail.com</t>
  </si>
  <si>
    <t>Soffer</t>
  </si>
  <si>
    <t>Laurel Soffer</t>
  </si>
  <si>
    <t>215 Amberfield Drive</t>
  </si>
  <si>
    <t>Mount Laurel</t>
  </si>
  <si>
    <t>wasalam@mac.com</t>
  </si>
  <si>
    <t>Mjmjams@gmail.com</t>
  </si>
  <si>
    <t>Mckelvey</t>
  </si>
  <si>
    <t>Morgan Mckelvey</t>
  </si>
  <si>
    <t>3001 w long ct</t>
  </si>
  <si>
    <t>#C</t>
  </si>
  <si>
    <t>vjroos@aol.com</t>
  </si>
  <si>
    <t>elsagrace9@gmail.com</t>
  </si>
  <si>
    <t>Elsa</t>
  </si>
  <si>
    <t>Roos</t>
  </si>
  <si>
    <t>Elsa Roos</t>
  </si>
  <si>
    <t>10040 East Gillette Rd.</t>
  </si>
  <si>
    <t>Le Grand</t>
  </si>
  <si>
    <t>classickeller@yahoo.com</t>
  </si>
  <si>
    <t>Classickeller@yahoo.com</t>
  </si>
  <si>
    <t>Julianna</t>
  </si>
  <si>
    <t>Julianna Keller</t>
  </si>
  <si>
    <t>5105 River Bluff Dr</t>
  </si>
  <si>
    <t>owend144@gmail.com</t>
  </si>
  <si>
    <t>Owen Donnelly</t>
  </si>
  <si>
    <t>skarnoult@hotmail.com</t>
  </si>
  <si>
    <t>noni.j.arnoult@gmail.com</t>
  </si>
  <si>
    <t>Winona</t>
  </si>
  <si>
    <t>Arnoult</t>
  </si>
  <si>
    <t>Winona Arnoult</t>
  </si>
  <si>
    <t>512 E. Baltimore St.</t>
  </si>
  <si>
    <t>Greencastle</t>
  </si>
  <si>
    <t>plkings8@gmail.com</t>
  </si>
  <si>
    <t>blikejc4ever@gmail.com</t>
  </si>
  <si>
    <t>Large</t>
  </si>
  <si>
    <t>Jordan Large</t>
  </si>
  <si>
    <t>686 Barg Salt Run Road</t>
  </si>
  <si>
    <t>ecrigler68@gmail.com</t>
  </si>
  <si>
    <t>Maggiecrigler@yahoo.com</t>
  </si>
  <si>
    <t>Crigler</t>
  </si>
  <si>
    <t>Margaret Crigler</t>
  </si>
  <si>
    <t>9453 Hedgegrove Cove</t>
  </si>
  <si>
    <t>vtussery@yahoo.com</t>
  </si>
  <si>
    <t>Ussery</t>
  </si>
  <si>
    <t>Jackson Ussery</t>
  </si>
  <si>
    <t>armstrong1958@sbcglobal.net</t>
  </si>
  <si>
    <t>godsgrace111@gmail.com</t>
  </si>
  <si>
    <t>Grace Armstrong</t>
  </si>
  <si>
    <t>1371 Caitlyn Circle</t>
  </si>
  <si>
    <t>Westlake Village</t>
  </si>
  <si>
    <t>mghiscok@hotmail.com</t>
  </si>
  <si>
    <t>6ameliaameliaamelia6@gmail.com</t>
  </si>
  <si>
    <t>Skoett</t>
  </si>
  <si>
    <t>Amelia Skoett</t>
  </si>
  <si>
    <t>8515 8th Line</t>
  </si>
  <si>
    <t>RR1</t>
  </si>
  <si>
    <t>Utopia</t>
  </si>
  <si>
    <t>On</t>
  </si>
  <si>
    <t>l0m 1t0</t>
  </si>
  <si>
    <t>elisa.soccer4@gmail.com</t>
  </si>
  <si>
    <t>Elise Skoett</t>
  </si>
  <si>
    <t>8515 8th line</t>
  </si>
  <si>
    <t>utopia</t>
  </si>
  <si>
    <t>on</t>
  </si>
  <si>
    <t>tknoop@cox.net</t>
  </si>
  <si>
    <t>jesusptp@gmail.com</t>
  </si>
  <si>
    <t>van der Knoop</t>
  </si>
  <si>
    <t>Abby van der Knoop</t>
  </si>
  <si>
    <t>700 N Dobson Rd #52</t>
  </si>
  <si>
    <t>tomhasleft@gmail.com</t>
  </si>
  <si>
    <t>Wilder</t>
  </si>
  <si>
    <t>Thomas Wilder</t>
  </si>
  <si>
    <t>415 W Greenfield</t>
  </si>
  <si>
    <t>sywoo@caj.or.jp</t>
  </si>
  <si>
    <t>Sin Yung</t>
  </si>
  <si>
    <t>Sin Yung Woo</t>
  </si>
  <si>
    <t>Seogu, Gwanjeo dong, Wonang Apt. 203-808</t>
  </si>
  <si>
    <t>Daejeon</t>
  </si>
  <si>
    <t>Korea, Democratic People's Republic</t>
  </si>
  <si>
    <t>lovinmylord@gtmc.net</t>
  </si>
  <si>
    <t>Neemeyer</t>
  </si>
  <si>
    <t>Tyler Neemeyer</t>
  </si>
  <si>
    <t>2325 W 42nd St</t>
  </si>
  <si>
    <t>mhicks@rrcnet.org</t>
  </si>
  <si>
    <t>Jakob</t>
  </si>
  <si>
    <t>Jakob Hicks</t>
  </si>
  <si>
    <t>19465 Co Hwy 8</t>
  </si>
  <si>
    <t>LegoJediBoy3@aol.com</t>
  </si>
  <si>
    <t>Samuel Yeager</t>
  </si>
  <si>
    <t>r.bourg@aol.com</t>
  </si>
  <si>
    <t>Rebekah Bourg</t>
  </si>
  <si>
    <t>26205 West Arbor Lane</t>
  </si>
  <si>
    <t>Channahon</t>
  </si>
  <si>
    <t>hereshow@gmail.com</t>
  </si>
  <si>
    <t>scarlletserinity@gmail.com</t>
  </si>
  <si>
    <t>Grace Armstead</t>
  </si>
  <si>
    <t>julietlasche@gmail.com</t>
  </si>
  <si>
    <t>juliet</t>
  </si>
  <si>
    <t>juliet Lasche</t>
  </si>
  <si>
    <t>1508 Silver Ave SW</t>
  </si>
  <si>
    <t>david.mckeown@msn.com</t>
  </si>
  <si>
    <t>joseph.mckeown0615@hotmail.com</t>
  </si>
  <si>
    <t>McKeown</t>
  </si>
  <si>
    <t>Joseph McKeown</t>
  </si>
  <si>
    <t>1060 Patterson Circle</t>
  </si>
  <si>
    <t>Shakopee</t>
  </si>
  <si>
    <t>joejen.tan@gmail.com</t>
  </si>
  <si>
    <t>jordan.tje@gmail.com</t>
  </si>
  <si>
    <t>Tan</t>
  </si>
  <si>
    <t>Jordon Tan</t>
  </si>
  <si>
    <t>Blk 496F Tampines Ave 9</t>
  </si>
  <si>
    <t>#13-510</t>
  </si>
  <si>
    <t>dawnhome100@gmail.com</t>
  </si>
  <si>
    <t>Lukecsmith1997@gmail.com</t>
  </si>
  <si>
    <t>540 Laurelwood  Drive</t>
  </si>
  <si>
    <t>utdoc@charter.net</t>
  </si>
  <si>
    <t>daddyzgirlie@gmail.com</t>
  </si>
  <si>
    <t>Hannah Horton</t>
  </si>
  <si>
    <t>278 Horseshoe</t>
  </si>
  <si>
    <t>cjy1425@aol.com</t>
  </si>
  <si>
    <t>Yearick</t>
  </si>
  <si>
    <t>Cooper Yearick</t>
  </si>
  <si>
    <t>8 King Eider Way</t>
  </si>
  <si>
    <t>Taylors</t>
  </si>
  <si>
    <t>hayes6302@sbcglobal.net</t>
  </si>
  <si>
    <t>Edward.hayes1@yahoo.com</t>
  </si>
  <si>
    <t>Edward Hayes</t>
  </si>
  <si>
    <t>6214 Canterbury lane</t>
  </si>
  <si>
    <t>Pittsboro</t>
  </si>
  <si>
    <t>wonlee55@yahoo.com</t>
  </si>
  <si>
    <t>Philip kim</t>
  </si>
  <si>
    <t>24328 vermont ave 309</t>
  </si>
  <si>
    <t>Harbor City</t>
  </si>
  <si>
    <t>glesking@bellsouth.net</t>
  </si>
  <si>
    <t>elliepointe711@bellsouth.net</t>
  </si>
  <si>
    <t>Elizabeth King</t>
  </si>
  <si>
    <t>8786 Citation Drive</t>
  </si>
  <si>
    <t>Palm Beach Gardens</t>
  </si>
  <si>
    <t>torresbetsyr@hotmail.com</t>
  </si>
  <si>
    <t>torreschaz@hotmail.com</t>
  </si>
  <si>
    <t>Torres</t>
  </si>
  <si>
    <t>Charles Torres</t>
  </si>
  <si>
    <t>265 east wesley</t>
  </si>
  <si>
    <t>atlanta</t>
  </si>
  <si>
    <t>dinataege@sbcglobal.net</t>
  </si>
  <si>
    <t>staege28@gmail.com</t>
  </si>
  <si>
    <t>Taege</t>
  </si>
  <si>
    <t>Sara Taege</t>
  </si>
  <si>
    <t>113 Brahms Court</t>
  </si>
  <si>
    <t>Glendale Heights</t>
  </si>
  <si>
    <t>psalm102_18@icloud.com</t>
  </si>
  <si>
    <t>luvmymusic2010@hotmail.com</t>
  </si>
  <si>
    <t>Ana-Mae</t>
  </si>
  <si>
    <t>Wallinga</t>
  </si>
  <si>
    <t>Ana-Mae Wallinga</t>
  </si>
  <si>
    <t>3287 Rives Chapel Church Rd</t>
  </si>
  <si>
    <t>Siler City</t>
  </si>
  <si>
    <t>ugmommaof3@aol.com</t>
  </si>
  <si>
    <t>phillipawhitmire@lionmail.sagu.edu</t>
  </si>
  <si>
    <t>Phillip</t>
  </si>
  <si>
    <t>Whitmire</t>
  </si>
  <si>
    <t>Phillip Whitmire</t>
  </si>
  <si>
    <t>707 E. Center St. Apt D</t>
  </si>
  <si>
    <t>idahoquesnel@gmail.com</t>
  </si>
  <si>
    <t>idahoabbyq@gmail.com</t>
  </si>
  <si>
    <t>Quesnel</t>
  </si>
  <si>
    <t>Abby Quesnel</t>
  </si>
  <si>
    <t>1078 Pleasant Valley Loop</t>
  </si>
  <si>
    <t>wpreesward@icloud.com</t>
  </si>
  <si>
    <t>William Phillip</t>
  </si>
  <si>
    <t>William Phillip Ward</t>
  </si>
  <si>
    <t>212 Scarlett Drive</t>
  </si>
  <si>
    <t>cindysieger@hotmail.com</t>
  </si>
  <si>
    <t>tessa.sieger@yahoo.com</t>
  </si>
  <si>
    <t>Sieger</t>
  </si>
  <si>
    <t>Tessa Sieger</t>
  </si>
  <si>
    <t>2866 Julinda Way</t>
  </si>
  <si>
    <t>Escondido</t>
  </si>
  <si>
    <t>janinemaryhody@gmail.com</t>
  </si>
  <si>
    <t>hodymr@gmail.com</t>
  </si>
  <si>
    <t>Hody</t>
  </si>
  <si>
    <t>Matthew Hody</t>
  </si>
  <si>
    <t>454 Westmoreland</t>
  </si>
  <si>
    <t>BethXtn@aol.com</t>
  </si>
  <si>
    <t>AbigailXtn@gmail.com</t>
  </si>
  <si>
    <t>Abigail Taylor</t>
  </si>
  <si>
    <t>140 Bryker</t>
  </si>
  <si>
    <t>namtarts@hotmail.com</t>
  </si>
  <si>
    <t>ducttapegirl@hotmail.com</t>
  </si>
  <si>
    <t>Stratman</t>
  </si>
  <si>
    <t>Ellen Stratman</t>
  </si>
  <si>
    <t>5156 Oakfire Drive</t>
  </si>
  <si>
    <t>St. Louis</t>
  </si>
  <si>
    <t>caleb@gehrls.net</t>
  </si>
  <si>
    <t>Gehrls</t>
  </si>
  <si>
    <t>Caleb Gehrls</t>
  </si>
  <si>
    <t>8839 Sprague Circle</t>
  </si>
  <si>
    <t>hua.yin@comcast.net</t>
  </si>
  <si>
    <t>hannahcao12@gmail.com</t>
  </si>
  <si>
    <t>Cao</t>
  </si>
  <si>
    <t>Hannah Cao</t>
  </si>
  <si>
    <t>Rhone Place</t>
  </si>
  <si>
    <t>Pleasanton</t>
  </si>
  <si>
    <t>1181rj@gmail.com</t>
  </si>
  <si>
    <t>Sambo.jones15@gmail.com</t>
  </si>
  <si>
    <t>Samuel Jones</t>
  </si>
  <si>
    <t>PO Box 631954</t>
  </si>
  <si>
    <t>Nacogdoches</t>
  </si>
  <si>
    <t>juliaeh1997@yahoo.com</t>
  </si>
  <si>
    <t>Huffman</t>
  </si>
  <si>
    <t>Julia Huffman</t>
  </si>
  <si>
    <t>801 Shady Bluff Trail</t>
  </si>
  <si>
    <t>jgsauer@hotmail.com</t>
  </si>
  <si>
    <t>bikeindustry1@gmail.com</t>
  </si>
  <si>
    <t>Sauer</t>
  </si>
  <si>
    <t>Luke Sauer</t>
  </si>
  <si>
    <t>1113 Tulsa St.</t>
  </si>
  <si>
    <t>bbradford93@yahoo.com</t>
  </si>
  <si>
    <t>kbradford@student.oakschristian.org</t>
  </si>
  <si>
    <t>Katarina</t>
  </si>
  <si>
    <t>Bradford</t>
  </si>
  <si>
    <t>Katarina Bradford</t>
  </si>
  <si>
    <t>1869 Tamarack Street</t>
  </si>
  <si>
    <t>eric_julie_co@yahoo.com</t>
  </si>
  <si>
    <t>billheimerandrew98@gmail.com</t>
  </si>
  <si>
    <t>Billheimer</t>
  </si>
  <si>
    <t>Andrew Billheimer</t>
  </si>
  <si>
    <t>2905 Old Trafford Way</t>
  </si>
  <si>
    <t>thompson_family@outlook.com</t>
  </si>
  <si>
    <t>Mary Thompson</t>
  </si>
  <si>
    <t>838 W. F Street</t>
  </si>
  <si>
    <t>johnamybanta@gmail.com</t>
  </si>
  <si>
    <t>hopebanta@gmail.com</t>
  </si>
  <si>
    <t>Banta</t>
  </si>
  <si>
    <t>Hope Banta</t>
  </si>
  <si>
    <t>11 calle 'a' 17-90 Villas del Norte</t>
  </si>
  <si>
    <t>zona 17</t>
  </si>
  <si>
    <t>Guatemala</t>
  </si>
  <si>
    <t>new_page_2005@yahoo.com</t>
  </si>
  <si>
    <t>New_page_2005@yahoo.com</t>
  </si>
  <si>
    <t>Boatman</t>
  </si>
  <si>
    <t>Jesse Boatman</t>
  </si>
  <si>
    <t>PO Box 1544</t>
  </si>
  <si>
    <t>Buckley</t>
  </si>
  <si>
    <t>cclannon76@frontier.com</t>
  </si>
  <si>
    <t>rlannon96@yahoo.com</t>
  </si>
  <si>
    <t>Raya</t>
  </si>
  <si>
    <t>Lannon</t>
  </si>
  <si>
    <t>Raya Lannon</t>
  </si>
  <si>
    <t>416 Kinsland rd</t>
  </si>
  <si>
    <t>jasonphillips4@me.com</t>
  </si>
  <si>
    <t>joephillips55@me.com</t>
  </si>
  <si>
    <t>Joe Phillips</t>
  </si>
  <si>
    <t>48 Via Conocido</t>
  </si>
  <si>
    <t>littlelioncub93@gmail.com</t>
  </si>
  <si>
    <t>James Nelson</t>
  </si>
  <si>
    <t>21795 viento road</t>
  </si>
  <si>
    <t>applevalley</t>
  </si>
  <si>
    <t>stanandvicky@sbcglobal.net</t>
  </si>
  <si>
    <t>grahamdobbs69@yahoo.com</t>
  </si>
  <si>
    <t>Dobbs</t>
  </si>
  <si>
    <t>William Dobbs</t>
  </si>
  <si>
    <t>801 Boxwood Ct</t>
  </si>
  <si>
    <t>Euless</t>
  </si>
  <si>
    <t>mlynnmswimmer@gmail.com</t>
  </si>
  <si>
    <t>McAllister</t>
  </si>
  <si>
    <t>Margaret McAllister</t>
  </si>
  <si>
    <t>501 Erica Lane</t>
  </si>
  <si>
    <t>danamcquitty@gmail.com</t>
  </si>
  <si>
    <t>danamcquitty@gmaiil.com</t>
  </si>
  <si>
    <t>Hattie</t>
  </si>
  <si>
    <t>Hattie McQuitty</t>
  </si>
  <si>
    <t>teasugarmottl@cox.net</t>
  </si>
  <si>
    <t>smilejosie@ymail.com</t>
  </si>
  <si>
    <t>Mottl</t>
  </si>
  <si>
    <t>Josie Mottl</t>
  </si>
  <si>
    <t>14624 Lst</t>
  </si>
  <si>
    <t>ben.burgett@hotmail.com</t>
  </si>
  <si>
    <t>Burgett</t>
  </si>
  <si>
    <t>Benjamin Burgett</t>
  </si>
  <si>
    <t>4725 141 Ave NE</t>
  </si>
  <si>
    <t>maureenczimmerman@gmail.com</t>
  </si>
  <si>
    <t>zimmerman.camille@gmail.com</t>
  </si>
  <si>
    <t>Camille Zimmerman</t>
  </si>
  <si>
    <t>2735 S. Morrow St</t>
  </si>
  <si>
    <t>itsmekc@plainstel.com</t>
  </si>
  <si>
    <t>T19h19holt@gmail.com</t>
  </si>
  <si>
    <t>Ted</t>
  </si>
  <si>
    <t>Holtman</t>
  </si>
  <si>
    <t>Ted Holtman</t>
  </si>
  <si>
    <t>6351 County Rd Q</t>
  </si>
  <si>
    <t>reid6377@bellsouth.net</t>
  </si>
  <si>
    <t>hannah6224@bellsouth.net</t>
  </si>
  <si>
    <t>Hannah Reid</t>
  </si>
  <si>
    <t>87 Brentwood Drive</t>
  </si>
  <si>
    <t>Remlap</t>
  </si>
  <si>
    <t>manicottiartist@gmail.com</t>
  </si>
  <si>
    <t>Krehbiel</t>
  </si>
  <si>
    <t>Amanda Krehbiel</t>
  </si>
  <si>
    <t>3505 Terrace Drive</t>
  </si>
  <si>
    <t>matthewz@universitychurchmonroe.org</t>
  </si>
  <si>
    <t>Zagone</t>
  </si>
  <si>
    <t>Matthew Zagone</t>
  </si>
  <si>
    <t>404 Sylvan Lakes Dr</t>
  </si>
  <si>
    <t>West Monroe</t>
  </si>
  <si>
    <t>rachel@lambsundries.com</t>
  </si>
  <si>
    <t>Rachel Lamb</t>
  </si>
  <si>
    <t>1230 W High Point Ln</t>
  </si>
  <si>
    <t>pastoraloffice@watermark.org</t>
  </si>
  <si>
    <t>coopwags@sbcglobal.net</t>
  </si>
  <si>
    <t>Cooper Wagner</t>
  </si>
  <si>
    <t>Bryn Mawr</t>
  </si>
  <si>
    <t>ifalealili@gmail.com</t>
  </si>
  <si>
    <t>Falealili</t>
  </si>
  <si>
    <t>Isaac Falealili</t>
  </si>
  <si>
    <t>650 Plumer Street</t>
  </si>
  <si>
    <t>Costa Mesa</t>
  </si>
  <si>
    <t>jhanessa014@Gmail.com</t>
  </si>
  <si>
    <t>Jhanessa014@gmail.com</t>
  </si>
  <si>
    <t>Jhanessa</t>
  </si>
  <si>
    <t>Palemo</t>
  </si>
  <si>
    <t>Jhanessa Palemo</t>
  </si>
  <si>
    <t>8081 Larson Ave #3</t>
  </si>
  <si>
    <t>Garden Grove</t>
  </si>
  <si>
    <t>lomilagi@gmail.com</t>
  </si>
  <si>
    <t>LOMILAGI@GMAIL.COM</t>
  </si>
  <si>
    <t>JONAH</t>
  </si>
  <si>
    <t>TO'AFA</t>
  </si>
  <si>
    <t>JONAH TO'AFA</t>
  </si>
  <si>
    <t>18912 VALLEY CIR. APT A</t>
  </si>
  <si>
    <t>HUNTINGTON BEACH</t>
  </si>
  <si>
    <t>tkafalava@yahoo.com</t>
  </si>
  <si>
    <t>Violet</t>
  </si>
  <si>
    <t>Violet Falealili</t>
  </si>
  <si>
    <t>blancoj96@rocketmail.com</t>
  </si>
  <si>
    <t>Blanco</t>
  </si>
  <si>
    <t>Jason Blanco</t>
  </si>
  <si>
    <t>9625 Fendrych Dr.</t>
  </si>
  <si>
    <t>j.kangis@comcast.net</t>
  </si>
  <si>
    <t>w.kangis96@gmail.com</t>
  </si>
  <si>
    <t>Kangis</t>
  </si>
  <si>
    <t>Will Kangis</t>
  </si>
  <si>
    <t>191 Dutcher Street</t>
  </si>
  <si>
    <t>Hopedale</t>
  </si>
  <si>
    <t>stephen.koralewski@nsg.com</t>
  </si>
  <si>
    <t>thorny.grammar.nazi@gmail.com</t>
  </si>
  <si>
    <t>Koralewski</t>
  </si>
  <si>
    <t>Hannah Koralewski</t>
  </si>
  <si>
    <t>6320 Jeffers Roas</t>
  </si>
  <si>
    <t>jcucullu@sbcglobal.net</t>
  </si>
  <si>
    <t>melatcucullu@gmail.com</t>
  </si>
  <si>
    <t>Melat</t>
  </si>
  <si>
    <t>Cucullu</t>
  </si>
  <si>
    <t>Melat Cucullu</t>
  </si>
  <si>
    <t>560 Ventura St.</t>
  </si>
  <si>
    <t>donnapollat@gmail.com</t>
  </si>
  <si>
    <t>pollathannah@gmail.com</t>
  </si>
  <si>
    <t>Hannnah</t>
  </si>
  <si>
    <t>Pollat</t>
  </si>
  <si>
    <t>Hannnah Pollat</t>
  </si>
  <si>
    <t>1821 S. 17th</t>
  </si>
  <si>
    <t>jkjsimon@ATT.NET</t>
  </si>
  <si>
    <t>jkjsimon@att.net</t>
  </si>
  <si>
    <t>Jessica Simon</t>
  </si>
  <si>
    <t>2345 Ten Gate Rd.</t>
  </si>
  <si>
    <t>lori@quaintlulu.com</t>
  </si>
  <si>
    <t>iluvjazz@eavanbardsley.com</t>
  </si>
  <si>
    <t>Eavan</t>
  </si>
  <si>
    <t>Bardsley</t>
  </si>
  <si>
    <t>Eavan Bardsley</t>
  </si>
  <si>
    <t>100 Victoria Lane</t>
  </si>
  <si>
    <t>Gibsonville</t>
  </si>
  <si>
    <t>rreysen@gmail.com</t>
  </si>
  <si>
    <t>RReysen@gmail.com</t>
  </si>
  <si>
    <t>Reysen</t>
  </si>
  <si>
    <t>Rebekah Reysen</t>
  </si>
  <si>
    <t>3919 Casaba Loop</t>
  </si>
  <si>
    <t>6pfaffs@gmail.com</t>
  </si>
  <si>
    <t>Pfaff</t>
  </si>
  <si>
    <t>Morgan Pfaff</t>
  </si>
  <si>
    <t>3583 County Road 1033</t>
  </si>
  <si>
    <t>Montgomery City</t>
  </si>
  <si>
    <t>ainslee_smith@yahoo.com</t>
  </si>
  <si>
    <t>Ainslee</t>
  </si>
  <si>
    <t>Ainslee Smith</t>
  </si>
  <si>
    <t>623 Winnfield Road</t>
  </si>
  <si>
    <t>muddywater321@gmail.com</t>
  </si>
  <si>
    <t>Gavin</t>
  </si>
  <si>
    <t>Mitcham</t>
  </si>
  <si>
    <t>Gavin Mitcham</t>
  </si>
  <si>
    <t>19 Town East Circle</t>
  </si>
  <si>
    <t>ronandawn1@gmail.com</t>
  </si>
  <si>
    <t>Bryan Flowers</t>
  </si>
  <si>
    <t>123 Briarcliff Dr.</t>
  </si>
  <si>
    <t>Austin J &lt;austin.invictusfilms@gmail.com&gt;</t>
  </si>
  <si>
    <t>Austin Janik</t>
  </si>
  <si>
    <t>cddimler@gmail.com</t>
  </si>
  <si>
    <t>Dimler</t>
  </si>
  <si>
    <t>Chris Dimler</t>
  </si>
  <si>
    <t>4102 Bay Ave #3</t>
  </si>
  <si>
    <t>Garrison</t>
  </si>
  <si>
    <t>kc6yates@gmail.com</t>
  </si>
  <si>
    <t>dohardthings22@hotmail.com</t>
  </si>
  <si>
    <t>Yates</t>
  </si>
  <si>
    <t>Emily Yates</t>
  </si>
  <si>
    <t>2537 Colonel Ford Drive</t>
  </si>
  <si>
    <t>85cents@gmail.com</t>
  </si>
  <si>
    <t>cwyattsk8@gmail.com</t>
  </si>
  <si>
    <t>Jacob Nichols</t>
  </si>
  <si>
    <t>5322 Armstrong Ave.</t>
  </si>
  <si>
    <t>khaubert@student.oakschristian.org</t>
  </si>
  <si>
    <t>Haubert</t>
  </si>
  <si>
    <t>Kayla Haubert</t>
  </si>
  <si>
    <t>32110 Lakemeadow Lane</t>
  </si>
  <si>
    <t>vincent_FRcc@sbcglobal.net</t>
  </si>
  <si>
    <t>vincent_frcc@sbcglobal.net</t>
  </si>
  <si>
    <t>Hwang</t>
  </si>
  <si>
    <t>Vincent Hwang</t>
  </si>
  <si>
    <t>39533 eric street</t>
  </si>
  <si>
    <t>cash_fam@msn.com</t>
  </si>
  <si>
    <t>cashmichael1@gmail.com</t>
  </si>
  <si>
    <t>Cash</t>
  </si>
  <si>
    <t>Michael Cash</t>
  </si>
  <si>
    <t>12063 rolling hills rd.</t>
  </si>
  <si>
    <t>scriptor.inextenso@gmail.com</t>
  </si>
  <si>
    <t>contact_fletch@hotmail.com</t>
  </si>
  <si>
    <t>Ian Fletcher</t>
  </si>
  <si>
    <t>803 Wiley St</t>
  </si>
  <si>
    <t>al@saa-arc.com</t>
  </si>
  <si>
    <t>bryce</t>
  </si>
  <si>
    <t>santiesteban</t>
  </si>
  <si>
    <t>bryce santiesteban</t>
  </si>
  <si>
    <t>3436 valley ranch drive</t>
  </si>
  <si>
    <t>lutz</t>
  </si>
  <si>
    <t>jillageyer@gmail.com</t>
  </si>
  <si>
    <t>Jill Geyer</t>
  </si>
  <si>
    <t>creed0614@aol.com</t>
  </si>
  <si>
    <t>acreed12@aol.com</t>
  </si>
  <si>
    <t>Andrea Reed</t>
  </si>
  <si>
    <t>110 Birkdale Court</t>
  </si>
  <si>
    <t>michelle@fansler.us</t>
  </si>
  <si>
    <t>carter@fansler.us</t>
  </si>
  <si>
    <t>Fansler</t>
  </si>
  <si>
    <t>Carter Fansler</t>
  </si>
  <si>
    <t>2858 N Shooting Star St</t>
  </si>
  <si>
    <t>Post Falls</t>
  </si>
  <si>
    <t>gnolby@hotmail.com</t>
  </si>
  <si>
    <t>sdnolby@gmail.com</t>
  </si>
  <si>
    <t>Nolby</t>
  </si>
  <si>
    <t>Sam Nolby</t>
  </si>
  <si>
    <t>3374 Rodeo Drive</t>
  </si>
  <si>
    <t>Olnhausen</t>
  </si>
  <si>
    <t>Benjamin Olnhausen</t>
  </si>
  <si>
    <t>snunner@comcast.net</t>
  </si>
  <si>
    <t>ahnunner@yahoo.com</t>
  </si>
  <si>
    <t>Nunner</t>
  </si>
  <si>
    <t>Alexander Nunner</t>
  </si>
  <si>
    <t>8113 Lowbank Drive</t>
  </si>
  <si>
    <t>lorilugg01@hotmail.com</t>
  </si>
  <si>
    <t>chrislugg5@gmail.com</t>
  </si>
  <si>
    <t>Lugg</t>
  </si>
  <si>
    <t>Christopher Lugg</t>
  </si>
  <si>
    <t>7007 South Milliron Rd</t>
  </si>
  <si>
    <t>hannahtarchick@gmail.com</t>
  </si>
  <si>
    <t>Tarchick</t>
  </si>
  <si>
    <t>Hannah Tarchick</t>
  </si>
  <si>
    <t>306 Tall Pines Court</t>
  </si>
  <si>
    <t>marvalplayer@gmail.com</t>
  </si>
  <si>
    <t>Johnathan Hernandez</t>
  </si>
  <si>
    <t>154 Senator Street</t>
  </si>
  <si>
    <t>Brooklyn</t>
  </si>
  <si>
    <t>bradleyaucoin@yahoo.com</t>
  </si>
  <si>
    <t>bettsloveshorses@yahoo.com</t>
  </si>
  <si>
    <t>Aucoin</t>
  </si>
  <si>
    <t>Elizabeth Aucoin</t>
  </si>
  <si>
    <t>4364 Oxford</t>
  </si>
  <si>
    <t>my8danis@gmail.com</t>
  </si>
  <si>
    <t>My8danis@gmail.com</t>
  </si>
  <si>
    <t>Danilo</t>
  </si>
  <si>
    <t>Lydia Danilo</t>
  </si>
  <si>
    <t>erykkaygogo@prois.edu.ph</t>
  </si>
  <si>
    <t>Eryk Kay</t>
  </si>
  <si>
    <t>Gogo</t>
  </si>
  <si>
    <t>Eryk Kay Gogo</t>
  </si>
  <si>
    <t>Consub 4 Alwana Village</t>
  </si>
  <si>
    <t>Cugman</t>
  </si>
  <si>
    <t>Cagayan de Oro City</t>
  </si>
  <si>
    <t>Philippines</t>
  </si>
  <si>
    <t>barenter@verizon.net</t>
  </si>
  <si>
    <t>aleon11@apu.edu</t>
  </si>
  <si>
    <t>Alain</t>
  </si>
  <si>
    <t>Leon</t>
  </si>
  <si>
    <t>Alain Leon</t>
  </si>
  <si>
    <t>12923 Mckinley Ave</t>
  </si>
  <si>
    <t>Chino</t>
  </si>
  <si>
    <t>andresleon5252@gmail.com</t>
  </si>
  <si>
    <t>Andres</t>
  </si>
  <si>
    <t>Andres Leon</t>
  </si>
  <si>
    <t>graygm18@yahoo.com</t>
  </si>
  <si>
    <t>godsgem322@gmail.com</t>
  </si>
  <si>
    <t>Megan Gray</t>
  </si>
  <si>
    <t>6861 Permian Lane</t>
  </si>
  <si>
    <t>pjwelcome@juno.com</t>
  </si>
  <si>
    <t>teresa.welcome@yahoo.com</t>
  </si>
  <si>
    <t>Teresa</t>
  </si>
  <si>
    <t>Welcome</t>
  </si>
  <si>
    <t>Teresa Welcome</t>
  </si>
  <si>
    <t>2466 Musselman Station Rd</t>
  </si>
  <si>
    <t>dillywhop97@gmail.com</t>
  </si>
  <si>
    <t>Dilynn</t>
  </si>
  <si>
    <t>Dilynn Richardson</t>
  </si>
  <si>
    <t>11750 Red Lodge Rd.</t>
  </si>
  <si>
    <t>oehunt1@yahoo.com</t>
  </si>
  <si>
    <t>Olivia Hunt</t>
  </si>
  <si>
    <t>8727 schoolhouse pl</t>
  </si>
  <si>
    <t>maineville</t>
  </si>
  <si>
    <t>dinasiedenburg@gmail.com</t>
  </si>
  <si>
    <t>Siedenburg</t>
  </si>
  <si>
    <t>Rachel Siedenburg</t>
  </si>
  <si>
    <t>8130 Heather Bow Ct</t>
  </si>
  <si>
    <t>prestonsw2014@gmail.com</t>
  </si>
  <si>
    <t>Watts</t>
  </si>
  <si>
    <t>Preston Watts</t>
  </si>
  <si>
    <t>108 Tahoe Cir.</t>
  </si>
  <si>
    <t>sjwatts09@comcast.net</t>
  </si>
  <si>
    <t>Samantha Watts</t>
  </si>
  <si>
    <t>108 Tahoe Circle</t>
  </si>
  <si>
    <t>echolee109@gmail.com</t>
  </si>
  <si>
    <t>Echo</t>
  </si>
  <si>
    <t>Sutterfield</t>
  </si>
  <si>
    <t>Echo Sutterfield</t>
  </si>
  <si>
    <t>1114 Wallace Dean RD.</t>
  </si>
  <si>
    <t>mary.laurance@yahoo.com</t>
  </si>
  <si>
    <t>Laurance</t>
  </si>
  <si>
    <t>Mary Laurance</t>
  </si>
  <si>
    <t>1600 Milan Ave</t>
  </si>
  <si>
    <t>South Pasadena</t>
  </si>
  <si>
    <t>amykeuper@gmail.com</t>
  </si>
  <si>
    <t>bellekeuper@gmail.com</t>
  </si>
  <si>
    <t>Keuper</t>
  </si>
  <si>
    <t>Heidi Keuper</t>
  </si>
  <si>
    <t>207 Lariate Drive</t>
  </si>
  <si>
    <t>rl8emily@gmail.com</t>
  </si>
  <si>
    <t>1230 W. High Point Ln</t>
  </si>
  <si>
    <t>corson6nick@gmail.com</t>
  </si>
  <si>
    <t>Corson</t>
  </si>
  <si>
    <t>Nick Corson</t>
  </si>
  <si>
    <t>320 west bluff ave</t>
  </si>
  <si>
    <t>fresno</t>
  </si>
  <si>
    <t>golizardo@gmail.com</t>
  </si>
  <si>
    <t>knightreece@gmail.com</t>
  </si>
  <si>
    <t>Reece</t>
  </si>
  <si>
    <t>Reece Knight</t>
  </si>
  <si>
    <t>8717 Carriage Tour Lane</t>
  </si>
  <si>
    <t>relientkayla@hotmail.com</t>
  </si>
  <si>
    <t>Relientkayla@hotmail.com</t>
  </si>
  <si>
    <t>McLane</t>
  </si>
  <si>
    <t>Kayla McLane</t>
  </si>
  <si>
    <t>490 Scratch Branch Road</t>
  </si>
  <si>
    <t>bergersfive1@msn.com</t>
  </si>
  <si>
    <t>callie.dierberger2010@gmail.com</t>
  </si>
  <si>
    <t>Dierberger</t>
  </si>
  <si>
    <t>Callie Dierberger</t>
  </si>
  <si>
    <t>4555 Neal Ave. N.</t>
  </si>
  <si>
    <t>jlbloom@insightbb.com</t>
  </si>
  <si>
    <t>davidj7@gmail.com</t>
  </si>
  <si>
    <t>Bloom</t>
  </si>
  <si>
    <t>David Bloom</t>
  </si>
  <si>
    <t>3807 Pine Creek Circle</t>
  </si>
  <si>
    <t>New Albany</t>
  </si>
  <si>
    <t>ascully2@emich.edu</t>
  </si>
  <si>
    <t>Alexander Scully</t>
  </si>
  <si>
    <t>12405 Capernall</t>
  </si>
  <si>
    <t>nscully@emich.edu</t>
  </si>
  <si>
    <t>Nicholas Scully</t>
  </si>
  <si>
    <t>12405 Capernall Rd</t>
  </si>
  <si>
    <t>chrishupke@reagan.com</t>
  </si>
  <si>
    <t>Hupke</t>
  </si>
  <si>
    <t>Jake Hupke</t>
  </si>
  <si>
    <t>P.O. Box 313</t>
  </si>
  <si>
    <t>Larchwood</t>
  </si>
  <si>
    <t>danniesmith@comcast.net</t>
  </si>
  <si>
    <t>Dannie</t>
  </si>
  <si>
    <t>Dannie Smith</t>
  </si>
  <si>
    <t>248 Aquarius Concourse</t>
  </si>
  <si>
    <t>mjdaniel7@charter.net</t>
  </si>
  <si>
    <t>David Daniel</t>
  </si>
  <si>
    <t>2323 Vermont Drive</t>
  </si>
  <si>
    <t>Sartell</t>
  </si>
  <si>
    <t>kristynissley95@yahoo.com</t>
  </si>
  <si>
    <t>Kristy</t>
  </si>
  <si>
    <t>Nissley</t>
  </si>
  <si>
    <t>Kristy Nissley</t>
  </si>
  <si>
    <t>6218 Blountstown Hwy</t>
  </si>
  <si>
    <t>cmetz795@gmail.com</t>
  </si>
  <si>
    <t>Metzger</t>
  </si>
  <si>
    <t>Clement Metzger</t>
  </si>
  <si>
    <t>7596 Wayne Trace Rd</t>
  </si>
  <si>
    <t>Camden</t>
  </si>
  <si>
    <t>1200 jerry marsh rd</t>
  </si>
  <si>
    <t>parissoon1@hotmail.com</t>
  </si>
  <si>
    <t>gaspartigous3@gmail.com</t>
  </si>
  <si>
    <t>Gaspar</t>
  </si>
  <si>
    <t>Ramirez</t>
  </si>
  <si>
    <t>Gaspar Ramirez</t>
  </si>
  <si>
    <t>14949 Dino Rd</t>
  </si>
  <si>
    <t>Clint</t>
  </si>
  <si>
    <t>dianab912@gmail.com</t>
  </si>
  <si>
    <t>joshgosh98@yahoo.com</t>
  </si>
  <si>
    <t>Baltazar</t>
  </si>
  <si>
    <t>Joshua Baltazar</t>
  </si>
  <si>
    <t>520 S. Santa Anita Ave</t>
  </si>
  <si>
    <t>Apt C</t>
  </si>
  <si>
    <t>clee1515@yahoo.com</t>
  </si>
  <si>
    <t>Tfwgl@yahoo.com</t>
  </si>
  <si>
    <t>Grace Lee</t>
  </si>
  <si>
    <t>6599 County Road 29</t>
  </si>
  <si>
    <t>julielee@finone.com</t>
  </si>
  <si>
    <t>jaysung12@gmail.com</t>
  </si>
  <si>
    <t>Nathan Lee</t>
  </si>
  <si>
    <t>1303 Marengo Ave</t>
  </si>
  <si>
    <t>idalee5@gmail.com_configioDeactivated</t>
  </si>
  <si>
    <t>ambecks@yahoo.com</t>
  </si>
  <si>
    <t>Allyssa</t>
  </si>
  <si>
    <t>Beckman</t>
  </si>
  <si>
    <t>Allyssa Beckman</t>
  </si>
  <si>
    <t>1521 Via Tulipan</t>
  </si>
  <si>
    <t>delafuenteval@yahoo.com</t>
  </si>
  <si>
    <t>njacob09@gmail.com</t>
  </si>
  <si>
    <t>Dela Fuente</t>
  </si>
  <si>
    <t>Norman Dela Fuente</t>
  </si>
  <si>
    <t>16849 McKeever St.</t>
  </si>
  <si>
    <t>Granada Hills</t>
  </si>
  <si>
    <t>roncornerstone@windstream.net</t>
  </si>
  <si>
    <t>madeiracurry@yahoo.com</t>
  </si>
  <si>
    <t>Madeira</t>
  </si>
  <si>
    <t>Madeira Curry</t>
  </si>
  <si>
    <t>204 Autumn Drive</t>
  </si>
  <si>
    <t>Greensburg</t>
  </si>
  <si>
    <t>lozanofam@yahoo.com</t>
  </si>
  <si>
    <t>Lozano</t>
  </si>
  <si>
    <t>Sara Lozano</t>
  </si>
  <si>
    <t>3605 Towne Park Circle</t>
  </si>
  <si>
    <t>Pomona</t>
  </si>
  <si>
    <t>treine@usfamily.net</t>
  </si>
  <si>
    <t>gjr218@lehigh.edu</t>
  </si>
  <si>
    <t>Gibson</t>
  </si>
  <si>
    <t>Reine</t>
  </si>
  <si>
    <t>Gibson Reine</t>
  </si>
  <si>
    <t>5519 Malibu Drive</t>
  </si>
  <si>
    <t>heather_wilson_hm@msn.com</t>
  </si>
  <si>
    <t>natedog_wilson_hm@hotmail.com</t>
  </si>
  <si>
    <t>Nathan Wilson</t>
  </si>
  <si>
    <t>60 Songbird Ct.</t>
  </si>
  <si>
    <t>hughanddarlene@aol.com</t>
  </si>
  <si>
    <t>sethhardy3@gmail.com</t>
  </si>
  <si>
    <t>Hardy</t>
  </si>
  <si>
    <t>Seth Hardy</t>
  </si>
  <si>
    <t>291 CR 714</t>
  </si>
  <si>
    <t>Blue Mountain</t>
  </si>
  <si>
    <t>grantsears@msn.com</t>
  </si>
  <si>
    <t>Sears</t>
  </si>
  <si>
    <t>Grant Sears</t>
  </si>
  <si>
    <t>2403 Stryker Ave</t>
  </si>
  <si>
    <t>buegels6@frontier.com</t>
  </si>
  <si>
    <t>Buegel</t>
  </si>
  <si>
    <t>Matthew Buegel</t>
  </si>
  <si>
    <t>415 North Adams</t>
  </si>
  <si>
    <t>Washurn</t>
  </si>
  <si>
    <t>will21396@hotmail.com</t>
  </si>
  <si>
    <t>William Phillips</t>
  </si>
  <si>
    <t>7482 providence woods court</t>
  </si>
  <si>
    <t>roadshowmom@gmail.com</t>
  </si>
  <si>
    <t>dogrunnersteve@gmail.com</t>
  </si>
  <si>
    <t>Stephen Tate</t>
  </si>
  <si>
    <t>17379 Woodland Drive</t>
  </si>
  <si>
    <t>nicoleshay153@gmail.com</t>
  </si>
  <si>
    <t>Nicole Johnson</t>
  </si>
  <si>
    <t>17624 Silver Chase</t>
  </si>
  <si>
    <t>mikeshrock@yahoo.com</t>
  </si>
  <si>
    <t>meandmychocolatechips@gmail.com</t>
  </si>
  <si>
    <t>Shrock</t>
  </si>
  <si>
    <t>Corrie Shrock</t>
  </si>
  <si>
    <t>22050 Boones Ferry Rd</t>
  </si>
  <si>
    <t>janetleeroyal@gmail.com</t>
  </si>
  <si>
    <t>smarieroyal@gmail.com</t>
  </si>
  <si>
    <t>Royal</t>
  </si>
  <si>
    <t>Sarah Royal</t>
  </si>
  <si>
    <t>1503 A 166th Avenue</t>
  </si>
  <si>
    <t>San Leandro</t>
  </si>
  <si>
    <t>staci.livingwater@gmail.com</t>
  </si>
  <si>
    <t>Staci</t>
  </si>
  <si>
    <t>Staci Shrock</t>
  </si>
  <si>
    <t>22050 Boones Ferry Rd NE</t>
  </si>
  <si>
    <t>worrellx5@yahoo.com</t>
  </si>
  <si>
    <t>andrewworrell19@gmail.com</t>
  </si>
  <si>
    <t>Worrell</t>
  </si>
  <si>
    <t>Andrew Worrell</t>
  </si>
  <si>
    <t>25W781 MacArthur Avenue</t>
  </si>
  <si>
    <t>Carol Stream</t>
  </si>
  <si>
    <t>comomx3@gmail.com</t>
  </si>
  <si>
    <t>dogwalkerforever@gmail.com</t>
  </si>
  <si>
    <t>Butler</t>
  </si>
  <si>
    <t>Lauren Butler</t>
  </si>
  <si>
    <t>6860 Cotton Dr</t>
  </si>
  <si>
    <t>bndunc@live.com</t>
  </si>
  <si>
    <t>natedunc0@gmail.com</t>
  </si>
  <si>
    <t>Nathan Duncan</t>
  </si>
  <si>
    <t>5851 S. Malaya Ct.</t>
  </si>
  <si>
    <t>andieland18@gmail.com</t>
  </si>
  <si>
    <t>Andrea Johnson</t>
  </si>
  <si>
    <t>4120 Parkridge Place</t>
  </si>
  <si>
    <t>whats_her_bucket@hotmail.com</t>
  </si>
  <si>
    <t>crippled100@hotmail.com</t>
  </si>
  <si>
    <t>Caleb Robinson</t>
  </si>
  <si>
    <t>680 grand, ave</t>
  </si>
  <si>
    <t>Silt</t>
  </si>
  <si>
    <t>hope.m.noe@gmail.com</t>
  </si>
  <si>
    <t>621 North Harrison St.</t>
  </si>
  <si>
    <t>leah_grace_noe@yahoo.com</t>
  </si>
  <si>
    <t>Leah Noe</t>
  </si>
  <si>
    <t>621 N Harrison St.</t>
  </si>
  <si>
    <t>julee495@hotmail.com</t>
  </si>
  <si>
    <t>gamahgame@yahoo.com</t>
  </si>
  <si>
    <t>Greg</t>
  </si>
  <si>
    <t>Guynes</t>
  </si>
  <si>
    <t>Greg Guynes</t>
  </si>
  <si>
    <t>495 royal navigator</t>
  </si>
  <si>
    <t>montgomery</t>
  </si>
  <si>
    <t>savannahzoller@gmail.com</t>
  </si>
  <si>
    <t>Savannahzoller@gmail.com</t>
  </si>
  <si>
    <t>Zoller</t>
  </si>
  <si>
    <t>Savannah Zoller</t>
  </si>
  <si>
    <t>2005 Domador</t>
  </si>
  <si>
    <t>summit@vandev.net</t>
  </si>
  <si>
    <t>Vandeventer</t>
  </si>
  <si>
    <t>Andrew Vandeventer</t>
  </si>
  <si>
    <t>2030 craig drive</t>
  </si>
  <si>
    <t>Rebekah Vandeventer</t>
  </si>
  <si>
    <t>karlahuds@yahoo.com</t>
  </si>
  <si>
    <t>Nathan Hudson</t>
  </si>
  <si>
    <t>168 Quail Ridge</t>
  </si>
  <si>
    <t>Suzanne.Shields@live.com</t>
  </si>
  <si>
    <t>becca.a.shields@gmail.com</t>
  </si>
  <si>
    <t>Rebecca Shields</t>
  </si>
  <si>
    <t>129 W. Hines Hill Rd.</t>
  </si>
  <si>
    <t>homesmn@mac.com</t>
  </si>
  <si>
    <t>sydhint@yahoo.com</t>
  </si>
  <si>
    <t>Hintermeyer</t>
  </si>
  <si>
    <t>Sydney Hintermeyer</t>
  </si>
  <si>
    <t>3035 Rosewood Lane</t>
  </si>
  <si>
    <t>kalleyjoyy@gmail.com</t>
  </si>
  <si>
    <t>Kalley</t>
  </si>
  <si>
    <t>Kalley Hintermeyer</t>
  </si>
  <si>
    <t>ben.royston@hotmail.com</t>
  </si>
  <si>
    <t>Royston</t>
  </si>
  <si>
    <t>Benjamin Royston</t>
  </si>
  <si>
    <t>218 East State St.</t>
  </si>
  <si>
    <t>Pendleton</t>
  </si>
  <si>
    <t>sicembears86@gmail.com</t>
  </si>
  <si>
    <t>memusic21@gmail.com</t>
  </si>
  <si>
    <t>Martha Clark</t>
  </si>
  <si>
    <t>7797 Cornucopia Lane</t>
  </si>
  <si>
    <t>slimbravy@gmail.com</t>
  </si>
  <si>
    <t>Urwick</t>
  </si>
  <si>
    <t>Adam Urwick</t>
  </si>
  <si>
    <t>710 Spring Run Rd</t>
  </si>
  <si>
    <t>Winterville</t>
  </si>
  <si>
    <t>vbarnes777@gmail.com</t>
  </si>
  <si>
    <t>Barnes</t>
  </si>
  <si>
    <t>Christopher Barnes</t>
  </si>
  <si>
    <t>20894 NW 15 Street</t>
  </si>
  <si>
    <t>Pembroke Pines</t>
  </si>
  <si>
    <t>LomahAcres@gmail.com</t>
  </si>
  <si>
    <t>4thlong@gmail.com</t>
  </si>
  <si>
    <t>Emily Long</t>
  </si>
  <si>
    <t>611 280th</t>
  </si>
  <si>
    <t>KootiezKids@gmail.com</t>
  </si>
  <si>
    <t>Kristen Long</t>
  </si>
  <si>
    <t>611  280TH</t>
  </si>
  <si>
    <t>milfam6@gmail.com</t>
  </si>
  <si>
    <t>paaks4ever@gmail.com</t>
  </si>
  <si>
    <t>1441 Max Starke Dam Rd.</t>
  </si>
  <si>
    <t>violin2cello@gmail.com</t>
  </si>
  <si>
    <t>Lydia Miller</t>
  </si>
  <si>
    <t>1441 Max Starke Dam Rd</t>
  </si>
  <si>
    <t>hayliegal@hotmail.com</t>
  </si>
  <si>
    <t>Haylie</t>
  </si>
  <si>
    <t>Haylie Kirk</t>
  </si>
  <si>
    <t>7096 Sapling pl.</t>
  </si>
  <si>
    <t>Colorado springs</t>
  </si>
  <si>
    <t>david.canfield@gmail.com</t>
  </si>
  <si>
    <t>coastguard.canfield@gmail.com</t>
  </si>
  <si>
    <t>Michael Canfield</t>
  </si>
  <si>
    <t>P.O. Box 861</t>
  </si>
  <si>
    <t>Meadow Vista</t>
  </si>
  <si>
    <t>christianschuller@rocketmail.com</t>
  </si>
  <si>
    <t>Schuller</t>
  </si>
  <si>
    <t>Christian Schuller</t>
  </si>
  <si>
    <t>handsonhorses963@gmail.com</t>
  </si>
  <si>
    <t>Forrest Hall</t>
  </si>
  <si>
    <t>POB 514</t>
  </si>
  <si>
    <t>Alamance</t>
  </si>
  <si>
    <t>pkmillhouse@gmail.com</t>
  </si>
  <si>
    <t>cooper.millhouse@gmail.com</t>
  </si>
  <si>
    <t>Millhouse</t>
  </si>
  <si>
    <t>Cooper Millhouse</t>
  </si>
  <si>
    <t>36422 Shoemaker School Rd</t>
  </si>
  <si>
    <t>dmaisano8@gmail.com</t>
  </si>
  <si>
    <t>Maisano</t>
  </si>
  <si>
    <t>Katy Maisano</t>
  </si>
  <si>
    <t>120 Circle Oak Dr.</t>
  </si>
  <si>
    <t>Burnet</t>
  </si>
  <si>
    <t>deinewright6@yahoo.com</t>
  </si>
  <si>
    <t>7bostics@bellsouth.net</t>
  </si>
  <si>
    <t>Bostic</t>
  </si>
  <si>
    <t>Joseph Bostic</t>
  </si>
  <si>
    <t>7218 Hwy 165</t>
  </si>
  <si>
    <t>Ravenel</t>
  </si>
  <si>
    <t>becky@beckyandkent.com</t>
  </si>
  <si>
    <t>nathanwallace7@gmail.com</t>
  </si>
  <si>
    <t>Nathan Wallace</t>
  </si>
  <si>
    <t>719 Linn Street</t>
  </si>
  <si>
    <t>Allegan</t>
  </si>
  <si>
    <t>thefasis@gmail.com</t>
  </si>
  <si>
    <t>Pamela</t>
  </si>
  <si>
    <t>Pamela Miller</t>
  </si>
  <si>
    <t>maport@earthlink.net</t>
  </si>
  <si>
    <t>grace_k_porter@earthlink.net</t>
  </si>
  <si>
    <t>Grace Porter</t>
  </si>
  <si>
    <t>207 Glenbrooke Cir</t>
  </si>
  <si>
    <t>johnmarkporter@earthlink.net</t>
  </si>
  <si>
    <t>John Porter</t>
  </si>
  <si>
    <t>mabel_rod@hotmail.com</t>
  </si>
  <si>
    <t>stan@stanmcdonald.us</t>
  </si>
  <si>
    <t>mcdonald</t>
  </si>
  <si>
    <t>Melissa mcdonald</t>
  </si>
  <si>
    <t>128 rushing brook dr</t>
  </si>
  <si>
    <t>dick.steinberg1@gmail.com</t>
  </si>
  <si>
    <t>evan.steinberg1@gmail.com</t>
  </si>
  <si>
    <t>Steinberg</t>
  </si>
  <si>
    <t>Samuel Steinberg</t>
  </si>
  <si>
    <t>101 Windingham Drive</t>
  </si>
  <si>
    <t>benhsimburger@gmail.com</t>
  </si>
  <si>
    <t>Benaiah</t>
  </si>
  <si>
    <t>Simburger</t>
  </si>
  <si>
    <t>Benaiah Simburger</t>
  </si>
  <si>
    <t>5104 Highland Road</t>
  </si>
  <si>
    <t>lilly.carman@gmail.com</t>
  </si>
  <si>
    <t>Elizabeth Carman</t>
  </si>
  <si>
    <t>csarnold316@gmail.com</t>
  </si>
  <si>
    <t>Christian Arnold</t>
  </si>
  <si>
    <t>1341 W 1125 S</t>
  </si>
  <si>
    <t>karen.gooding@itc-inc.net</t>
  </si>
  <si>
    <t>ceg@itc-inc.net</t>
  </si>
  <si>
    <t>Gooding</t>
  </si>
  <si>
    <t>Caroline Gooding</t>
  </si>
  <si>
    <t>9319 Loma Vista</t>
  </si>
  <si>
    <t>ortizchavez@hotmail.com</t>
  </si>
  <si>
    <t>14ortiz7129@asfm.mx</t>
  </si>
  <si>
    <t>Manuel</t>
  </si>
  <si>
    <t>Ortiz Chavez</t>
  </si>
  <si>
    <t>Manuel Ortiz Chavez</t>
  </si>
  <si>
    <t>Magallanes 108 Ote.</t>
  </si>
  <si>
    <t>Col. Mirasierra</t>
  </si>
  <si>
    <t>San Pedro Garza Garcia</t>
  </si>
  <si>
    <t>Nuevo Leon</t>
  </si>
  <si>
    <t>katieblue3@gmail.com</t>
  </si>
  <si>
    <t>13858 Range Ct.</t>
  </si>
  <si>
    <t>mmdean@ucdavis.edu</t>
  </si>
  <si>
    <t>Madison Dean</t>
  </si>
  <si>
    <t>13858 Range Court</t>
  </si>
  <si>
    <t>nappk@yahoo.com</t>
  </si>
  <si>
    <t>billynapp11@yahoo.com</t>
  </si>
  <si>
    <t>Billy</t>
  </si>
  <si>
    <t>Napp</t>
  </si>
  <si>
    <t>Billy Napp</t>
  </si>
  <si>
    <t>4259 Springwell Ct</t>
  </si>
  <si>
    <t>Wayland</t>
  </si>
  <si>
    <t>dreemarissa@gmail.com</t>
  </si>
  <si>
    <t>Adrianna</t>
  </si>
  <si>
    <t>Adrianna Arnold</t>
  </si>
  <si>
    <t>1341 West 1125 South</t>
  </si>
  <si>
    <t>rhonda@livingpassages.com</t>
  </si>
  <si>
    <t>abelsand12@gmail.com</t>
  </si>
  <si>
    <t>Sand</t>
  </si>
  <si>
    <t>Abel Sand</t>
  </si>
  <si>
    <t>105 N. First Street</t>
  </si>
  <si>
    <t>Suite 200</t>
  </si>
  <si>
    <t>Coeur d'Alene</t>
  </si>
  <si>
    <t>fourlegs.91@gmail.com</t>
  </si>
  <si>
    <t>Andrei</t>
  </si>
  <si>
    <t>Andrei Sullivan</t>
  </si>
  <si>
    <t>kujhawkco@hotmail.com</t>
  </si>
  <si>
    <t>soldiersjoinasone@gmail.com</t>
  </si>
  <si>
    <t>McConnell</t>
  </si>
  <si>
    <t>Kevin McConnell</t>
  </si>
  <si>
    <t>7521 South Monaco Way</t>
  </si>
  <si>
    <t>ctlapek@sbcglobal.net</t>
  </si>
  <si>
    <t>Juliatlapek@gmail.com</t>
  </si>
  <si>
    <t>Tlapek</t>
  </si>
  <si>
    <t>Julia Tlapek</t>
  </si>
  <si>
    <t>9987 Stockton Ln</t>
  </si>
  <si>
    <t>Huntley</t>
  </si>
  <si>
    <t>ecnason@my.okcu.edu</t>
  </si>
  <si>
    <t>Eleanor</t>
  </si>
  <si>
    <t>Nason</t>
  </si>
  <si>
    <t>Eleanor Nason</t>
  </si>
  <si>
    <t>6205 N Ann Arbor Avenue</t>
  </si>
  <si>
    <t>Oklahoma</t>
  </si>
  <si>
    <t>leviarnold131@gmail.com</t>
  </si>
  <si>
    <t>Levi Arnold</t>
  </si>
  <si>
    <t>cindy@lakefp.com</t>
  </si>
  <si>
    <t>b.kirkus69@gmail.com</t>
  </si>
  <si>
    <t>Kirkus</t>
  </si>
  <si>
    <t>Brock Kirkus</t>
  </si>
  <si>
    <t>2841 Rockcrusher Road</t>
  </si>
  <si>
    <t>abbratfamily@sbcglobal.net</t>
  </si>
  <si>
    <t>gondorgirl@sbcglobal.net</t>
  </si>
  <si>
    <t>Abbrat</t>
  </si>
  <si>
    <t>Kelsey Abbrat</t>
  </si>
  <si>
    <t>12931 Carla Way</t>
  </si>
  <si>
    <t>lanceandlisa@myedl.com</t>
  </si>
  <si>
    <t>Brandon Wheeler</t>
  </si>
  <si>
    <t>PO Box 4</t>
  </si>
  <si>
    <t>Kiowa</t>
  </si>
  <si>
    <t>superk316@gmail.com</t>
  </si>
  <si>
    <t>Kaleb Abbrat</t>
  </si>
  <si>
    <t>cypress</t>
  </si>
  <si>
    <t>Brett Wheeler</t>
  </si>
  <si>
    <t>conniejparker@gmail.com</t>
  </si>
  <si>
    <t>slindseyparker@gmail.com</t>
  </si>
  <si>
    <t>Sarah Parker</t>
  </si>
  <si>
    <t>2393 Fairway Wood Circle</t>
  </si>
  <si>
    <t>simplyckay@gmail.com</t>
  </si>
  <si>
    <t>Koh</t>
  </si>
  <si>
    <t>Charissa Koh</t>
  </si>
  <si>
    <t>Wheelock College</t>
  </si>
  <si>
    <t>150 Riverway, #0095</t>
  </si>
  <si>
    <t>BEESHEREE@Q.COM</t>
  </si>
  <si>
    <t>SHEREE</t>
  </si>
  <si>
    <t>PERSONIUS</t>
  </si>
  <si>
    <t>SHEREE PERSONIUS</t>
  </si>
  <si>
    <t>6825 DAUNTLESS CT.</t>
  </si>
  <si>
    <t>COLORADO SPRINGS</t>
  </si>
  <si>
    <t>Jenna.wolfram@yahoo.com</t>
  </si>
  <si>
    <t>jenna.wolfram@yahoo.com</t>
  </si>
  <si>
    <t>Jenna Wolfram</t>
  </si>
  <si>
    <t>1405 Shorewood Dr</t>
  </si>
  <si>
    <t>gbaribeau@on.aibn.com</t>
  </si>
  <si>
    <t>sonia.baribeau@gmail.com</t>
  </si>
  <si>
    <t>Sonia</t>
  </si>
  <si>
    <t>Baribeau</t>
  </si>
  <si>
    <t>Sonia Baribeau</t>
  </si>
  <si>
    <t>10 Stardust Drive</t>
  </si>
  <si>
    <t>Dorchester</t>
  </si>
  <si>
    <t>N0L 1G5</t>
  </si>
  <si>
    <t>lostmymind193@aol.com</t>
  </si>
  <si>
    <t>lostmymind193@gmail.com</t>
  </si>
  <si>
    <t>Karianne</t>
  </si>
  <si>
    <t>Kunau</t>
  </si>
  <si>
    <t>Karianne Kunau</t>
  </si>
  <si>
    <t>723 Custer Ave</t>
  </si>
  <si>
    <t>rants.home@gmail.com</t>
  </si>
  <si>
    <t>Kinsley.rants@gmail.com</t>
  </si>
  <si>
    <t>Kinsley</t>
  </si>
  <si>
    <t>Rants</t>
  </si>
  <si>
    <t>Kinsley Rants</t>
  </si>
  <si>
    <t>Discovery Court</t>
  </si>
  <si>
    <t>Cody.rants@gmail.com</t>
  </si>
  <si>
    <t>Cody Rants</t>
  </si>
  <si>
    <t>340 Discovery Court</t>
  </si>
  <si>
    <t>tiffsfive@gmail.com</t>
  </si>
  <si>
    <t>ethancflamm@gmail.com</t>
  </si>
  <si>
    <t>Flamm</t>
  </si>
  <si>
    <t>Ethan Flamm</t>
  </si>
  <si>
    <t>4199 Timber Hollow Loop</t>
  </si>
  <si>
    <t>isabellaswenson@gmail.com</t>
  </si>
  <si>
    <t>Isabella Swenson</t>
  </si>
  <si>
    <t>amyneum@gmail.com</t>
  </si>
  <si>
    <t>Horseygirlneuman@gmail.com</t>
  </si>
  <si>
    <t>Neuman</t>
  </si>
  <si>
    <t>Claire Neuman</t>
  </si>
  <si>
    <t>1027 View Lane</t>
  </si>
  <si>
    <t>Dresser</t>
  </si>
  <si>
    <t>walters.sheila@gmail.com</t>
  </si>
  <si>
    <t>jordanbwalters@gmail.com</t>
  </si>
  <si>
    <t>Jordan Walters</t>
  </si>
  <si>
    <t>230 white oak drive</t>
  </si>
  <si>
    <t>canton</t>
  </si>
  <si>
    <t>stiegfamily@xmission.com</t>
  </si>
  <si>
    <t>Stieg</t>
  </si>
  <si>
    <t>Mitchell Stieg</t>
  </si>
  <si>
    <t>907 East 300 South</t>
  </si>
  <si>
    <t>`</t>
  </si>
  <si>
    <t>Brigham</t>
  </si>
  <si>
    <t>wsmith@worldmag.com</t>
  </si>
  <si>
    <t>walkersmith93@gmail.com</t>
  </si>
  <si>
    <t>Walker Smith</t>
  </si>
  <si>
    <t>4701 Beech Crest Place</t>
  </si>
  <si>
    <t>rebekah@grace-link.com</t>
  </si>
  <si>
    <t>Alford</t>
  </si>
  <si>
    <t>Rebekah Alford</t>
  </si>
  <si>
    <t>9800 Ledgestone Terrace</t>
  </si>
  <si>
    <t>bstoudfed@yahoo.com</t>
  </si>
  <si>
    <t>Bowman Fedosky</t>
  </si>
  <si>
    <t>micahm95@gmail.com</t>
  </si>
  <si>
    <t>McMeans</t>
  </si>
  <si>
    <t>Micah McMeans</t>
  </si>
  <si>
    <t>3209 80th</t>
  </si>
  <si>
    <t>nikitalbitalia@gmail.com</t>
  </si>
  <si>
    <t>Nikitalbitalia@gmail.com</t>
  </si>
  <si>
    <t>Nikita</t>
  </si>
  <si>
    <t>Nikita Myles</t>
  </si>
  <si>
    <t>14915 Borman Street</t>
  </si>
  <si>
    <t>bethel713@grahammail.net</t>
  </si>
  <si>
    <t>georgegra@grahammail.net</t>
  </si>
  <si>
    <t>George Graham</t>
  </si>
  <si>
    <t>5540 Wittenberg Ct</t>
  </si>
  <si>
    <t>schoendalewald@gmail.com</t>
  </si>
  <si>
    <t>julianna.schoenwald@gmail.com</t>
  </si>
  <si>
    <t>Schoenwald</t>
  </si>
  <si>
    <t>Julianna Schoenwald</t>
  </si>
  <si>
    <t>4779 FM 2088</t>
  </si>
  <si>
    <t>Winnsboro</t>
  </si>
  <si>
    <t>connerthesir@gmail.com</t>
  </si>
  <si>
    <t>Conner Coleman</t>
  </si>
  <si>
    <t>765 North Jovita Lane</t>
  </si>
  <si>
    <t>vj09fudd@gmail.com</t>
  </si>
  <si>
    <t>VJ09FUDD@GMAIL.COM</t>
  </si>
  <si>
    <t>VELMA</t>
  </si>
  <si>
    <t>JOSEPH</t>
  </si>
  <si>
    <t>VELMA JOSEPH</t>
  </si>
  <si>
    <t>5111 BARKALOO ROAD</t>
  </si>
  <si>
    <t>BAYTOWN</t>
  </si>
  <si>
    <t>hstraublet@gmail.com</t>
  </si>
  <si>
    <t>Straub</t>
  </si>
  <si>
    <t>Hannah Straub</t>
  </si>
  <si>
    <t>8310 SE Middle way</t>
  </si>
  <si>
    <t>dltlslmnb@yahoo.com</t>
  </si>
  <si>
    <t>shyannebryant@yahoo.com</t>
  </si>
  <si>
    <t>Shyanne</t>
  </si>
  <si>
    <t>Bryant</t>
  </si>
  <si>
    <t>Shyanne Bryant</t>
  </si>
  <si>
    <t>3011 Garland Terrace</t>
  </si>
  <si>
    <t>FOOTCARECENTER@YAHOO.COM</t>
  </si>
  <si>
    <t>jonasturtle03@aol.com</t>
  </si>
  <si>
    <t>JONAS</t>
  </si>
  <si>
    <t>HALVERSON</t>
  </si>
  <si>
    <t>JONAS HALVERSON</t>
  </si>
  <si>
    <t>1420 BRISTOLWOOD</t>
  </si>
  <si>
    <t>FREMONT</t>
  </si>
  <si>
    <t>heatherhenricksen@yahoo.com</t>
  </si>
  <si>
    <t>Jaymes</t>
  </si>
  <si>
    <t>Jaymes West</t>
  </si>
  <si>
    <t>535 Ave F</t>
  </si>
  <si>
    <t>safraalliances@gmail.com</t>
  </si>
  <si>
    <t>squintology@gmail.com</t>
  </si>
  <si>
    <t>Nguyen</t>
  </si>
  <si>
    <t>Brittany Nguyen</t>
  </si>
  <si>
    <t>1950 E 16th Street</t>
  </si>
  <si>
    <t>#M205</t>
  </si>
  <si>
    <t>Newport Beach</t>
  </si>
  <si>
    <t>carolinedonaldson96@gmail.com</t>
  </si>
  <si>
    <t>Caroline Donaldson</t>
  </si>
  <si>
    <t>Eden Praire</t>
  </si>
  <si>
    <t>ali.garrett@sbcglobal.net</t>
  </si>
  <si>
    <t>Alicia Garrett</t>
  </si>
  <si>
    <t>Lovers</t>
  </si>
  <si>
    <t>susanbarneslerner@gmail.com</t>
  </si>
  <si>
    <t>lerner.nathan70@gmail.com</t>
  </si>
  <si>
    <t>Lerner</t>
  </si>
  <si>
    <t>Nathan Lerner</t>
  </si>
  <si>
    <t>710 Diamond Leaf Lane</t>
  </si>
  <si>
    <t>5101 Kuhina Pl</t>
  </si>
  <si>
    <t>Princeville</t>
  </si>
  <si>
    <t>ZachMBird2@gmail.com</t>
  </si>
  <si>
    <t>Zachary Bird</t>
  </si>
  <si>
    <t>16145 Cliffrock Court</t>
  </si>
  <si>
    <t>joeyamadee@yahoo.com</t>
  </si>
  <si>
    <t>S1</t>
  </si>
  <si>
    <t>S1 Tester</t>
  </si>
  <si>
    <t>larryandjudybrix@cox.net</t>
  </si>
  <si>
    <t>cboaglio@cox.net</t>
  </si>
  <si>
    <t>Graeme</t>
  </si>
  <si>
    <t>Boaglio</t>
  </si>
  <si>
    <t>Graeme Boaglio</t>
  </si>
  <si>
    <t>21151 Calle de Paseo</t>
  </si>
  <si>
    <t>Lake Forest</t>
  </si>
  <si>
    <t>ladybug822@bellsouth.net</t>
  </si>
  <si>
    <t>2015eeg@student.mtnbrook.k12.al.us</t>
  </si>
  <si>
    <t>ellen</t>
  </si>
  <si>
    <t>given</t>
  </si>
  <si>
    <t>ellen given</t>
  </si>
  <si>
    <t>2788 Pumphouse Cahaba Road</t>
  </si>
  <si>
    <t>tmlandrum@windstream.net</t>
  </si>
  <si>
    <t>tessalandrum@windstream.net</t>
  </si>
  <si>
    <t>Landrum</t>
  </si>
  <si>
    <t>Tessa Landrum</t>
  </si>
  <si>
    <t>3234 Golden Oaks Circle</t>
  </si>
  <si>
    <t>cindab59@yahoo.com</t>
  </si>
  <si>
    <t>Ty</t>
  </si>
  <si>
    <t>Muench</t>
  </si>
  <si>
    <t>Ty Muench</t>
  </si>
  <si>
    <t>Po box 412</t>
  </si>
  <si>
    <t>Marfa</t>
  </si>
  <si>
    <t>prendergast.jerry@gmail.com</t>
  </si>
  <si>
    <t>brackeen.prendergast@gmail.com</t>
  </si>
  <si>
    <t>Prendergast</t>
  </si>
  <si>
    <t>Brackeen Prendergast</t>
  </si>
  <si>
    <t>1417 Kingston Avenue</t>
  </si>
  <si>
    <t>cgstrope93@gmail.com</t>
  </si>
  <si>
    <t>myfatherschild4ever@gmail.com</t>
  </si>
  <si>
    <t>Strope</t>
  </si>
  <si>
    <t>Elisa Strope</t>
  </si>
  <si>
    <t>1520 N. 19th Street</t>
  </si>
  <si>
    <t>Nebraska City</t>
  </si>
  <si>
    <t>legogeek4jesus@gmail.com</t>
  </si>
  <si>
    <t>Eythan</t>
  </si>
  <si>
    <t>Eythan Strope</t>
  </si>
  <si>
    <t>debi@magec.com</t>
  </si>
  <si>
    <t>sydney@magec.com</t>
  </si>
  <si>
    <t>Sydney Lee</t>
  </si>
  <si>
    <t>3616 White River Drive</t>
  </si>
  <si>
    <t>tlrgrace4u@verizon.net</t>
  </si>
  <si>
    <t>crvenusicy@verizon.net</t>
  </si>
  <si>
    <t>Christina Roberts</t>
  </si>
  <si>
    <t>509 Lakeview Blvd</t>
  </si>
  <si>
    <t>trailmakers3@juno.com</t>
  </si>
  <si>
    <t>martinjd196@gmail.com</t>
  </si>
  <si>
    <t>Martin Dickey</t>
  </si>
  <si>
    <t>955 Archer Road</t>
  </si>
  <si>
    <t>Luttrell</t>
  </si>
  <si>
    <t>cjgolfmom@yahoo.com</t>
  </si>
  <si>
    <t>bonniejojohnson21@gmail.com</t>
  </si>
  <si>
    <t>Bonnie Johnson</t>
  </si>
  <si>
    <t>6201 LeBlanc Drive</t>
  </si>
  <si>
    <t>katiekelly5121@gmail.com</t>
  </si>
  <si>
    <t>Katherine Kelly</t>
  </si>
  <si>
    <t>1032 6th Ave</t>
  </si>
  <si>
    <t>sharon.carter@gfs.com</t>
  </si>
  <si>
    <t>16jcarter@bcpsk12.net, lightspeed099@gmail.com</t>
  </si>
  <si>
    <t>Josh Carter</t>
  </si>
  <si>
    <t>1550 Woodhill Ct.</t>
  </si>
  <si>
    <t>Wyoming</t>
  </si>
  <si>
    <t>barb.hoekstra@dordt.edu_configioDeactivated</t>
  </si>
  <si>
    <t>goforemax@gmail.com</t>
  </si>
  <si>
    <t>Max Hoekstra</t>
  </si>
  <si>
    <t>1013 South 3rd Street</t>
  </si>
  <si>
    <t>khoekstra15@unity.pvt.k12.ia.us</t>
  </si>
  <si>
    <t>Karl Hoekstra</t>
  </si>
  <si>
    <t>cainfamily5@gmail.com</t>
  </si>
  <si>
    <t>bicpatfan@gmail.com</t>
  </si>
  <si>
    <t>Cain</t>
  </si>
  <si>
    <t>Brett Cain</t>
  </si>
  <si>
    <t>CMR 450 BOX 132</t>
  </si>
  <si>
    <t>APO AE</t>
  </si>
  <si>
    <t>tamiofr@yahoo.fr_configioDeactivated</t>
  </si>
  <si>
    <t>talia.dewfromheaven@gmail.com</t>
  </si>
  <si>
    <t>Talia</t>
  </si>
  <si>
    <t>Ogren</t>
  </si>
  <si>
    <t>Talia Ogren</t>
  </si>
  <si>
    <t>2439 Vintage Drive</t>
  </si>
  <si>
    <t>thunderrocks.zero@yahoo.com</t>
  </si>
  <si>
    <t>Dane</t>
  </si>
  <si>
    <t>Kean</t>
  </si>
  <si>
    <t>Dane Kean</t>
  </si>
  <si>
    <t>387062 E 1109 Road</t>
  </si>
  <si>
    <t>Weleetka</t>
  </si>
  <si>
    <t>lesleallen@ymail.com</t>
  </si>
  <si>
    <t>danielcallen@yahoo.com</t>
  </si>
  <si>
    <t>Daniel Allen</t>
  </si>
  <si>
    <t>517 CR 712</t>
  </si>
  <si>
    <t>Chrisbunch303@gmail.com</t>
  </si>
  <si>
    <t>Chris Bunch</t>
  </si>
  <si>
    <t>josephcookemail@gmail.com</t>
  </si>
  <si>
    <t>Joseph Cook</t>
  </si>
  <si>
    <t>229 SE 57th Street</t>
  </si>
  <si>
    <t>rushevans10@gmail.com</t>
  </si>
  <si>
    <t>Rush Evans</t>
  </si>
  <si>
    <t>11516 Happy Valley Drive</t>
  </si>
  <si>
    <t>jtmeister2009@gmail.com</t>
  </si>
  <si>
    <t>coltontmeister@gmail.com</t>
  </si>
  <si>
    <t>Meister</t>
  </si>
  <si>
    <t>Colton Meister</t>
  </si>
  <si>
    <t>2002 Walnut Grove Road</t>
  </si>
  <si>
    <t>jenshiller@outlook.com</t>
  </si>
  <si>
    <t>max@fishstickscomedy.com</t>
  </si>
  <si>
    <t>Shiller</t>
  </si>
  <si>
    <t>Maxwell Shiller</t>
  </si>
  <si>
    <t>7112 Aetna Court</t>
  </si>
  <si>
    <t>Wauwatosa</t>
  </si>
  <si>
    <t>amynmuller@hotmail.com</t>
  </si>
  <si>
    <t>amy</t>
  </si>
  <si>
    <t>muller</t>
  </si>
  <si>
    <t>amy muller</t>
  </si>
  <si>
    <t>41238 co. rd. 13</t>
  </si>
  <si>
    <t>windom</t>
  </si>
  <si>
    <t>kellykolenmorris@gmail.com</t>
  </si>
  <si>
    <t>ahmorris432@gmail.com</t>
  </si>
  <si>
    <t>Ann</t>
  </si>
  <si>
    <t>Ann Morris</t>
  </si>
  <si>
    <t>3701 River Oaks Lane</t>
  </si>
  <si>
    <t>jd@graceselah.com</t>
  </si>
  <si>
    <t>10028 Calava Ct.</t>
  </si>
  <si>
    <t>krg@greensidepublishing.com</t>
  </si>
  <si>
    <t>juanjosegreen2@gmail.com</t>
  </si>
  <si>
    <t>Juan Jos√©</t>
  </si>
  <si>
    <t>Juan Jos√© Green</t>
  </si>
  <si>
    <t>Cra. 53, No. 221-38</t>
  </si>
  <si>
    <t>Bogota</t>
  </si>
  <si>
    <t>Cundinamarca</t>
  </si>
  <si>
    <t>Colombia</t>
  </si>
  <si>
    <t>heartofcolors777@gmail.com</t>
  </si>
  <si>
    <t>Alexia</t>
  </si>
  <si>
    <t>Alexia Garcia</t>
  </si>
  <si>
    <t>6859 Honeycomb Dr.</t>
  </si>
  <si>
    <t>sedonarae@sbcglobal.net</t>
  </si>
  <si>
    <t>Sedona</t>
  </si>
  <si>
    <t>Sloan</t>
  </si>
  <si>
    <t>Sedona Sloan</t>
  </si>
  <si>
    <t>5059 Gregg Way</t>
  </si>
  <si>
    <t>ccnilsinenumine@hotmail.com</t>
  </si>
  <si>
    <t>Balkan</t>
  </si>
  <si>
    <t>Claire Balkan</t>
  </si>
  <si>
    <t>3752 N. Morning Dove Cir.</t>
  </si>
  <si>
    <t>lynnemlutz@me.com</t>
  </si>
  <si>
    <t>addiehlutz@msn.com</t>
  </si>
  <si>
    <t>Addie</t>
  </si>
  <si>
    <t>Addie Lutz</t>
  </si>
  <si>
    <t>debicrouch@gmail.com</t>
  </si>
  <si>
    <t>hoytcrouch@gmail.com</t>
  </si>
  <si>
    <t>Crouch</t>
  </si>
  <si>
    <t>John Crouch</t>
  </si>
  <si>
    <t>2918 N. Shary Road</t>
  </si>
  <si>
    <t>Mission</t>
  </si>
  <si>
    <t>artisticmw82@live.com</t>
  </si>
  <si>
    <t>Wietharn</t>
  </si>
  <si>
    <t>Anna Wietharn</t>
  </si>
  <si>
    <t>1408 W Columbia Terr.</t>
  </si>
  <si>
    <t>majoacosta325@gmail.com</t>
  </si>
  <si>
    <t>Maria Acosta</t>
  </si>
  <si>
    <t>14344 SW 97 TERRACE</t>
  </si>
  <si>
    <t>AlyssaMarieForman@gmail.com</t>
  </si>
  <si>
    <t>lulu.97.girl@gmail.com</t>
  </si>
  <si>
    <t>Forman</t>
  </si>
  <si>
    <t>Alyssa Forman</t>
  </si>
  <si>
    <t>2626 NE 16th street</t>
  </si>
  <si>
    <t>kirt@kirtmanuel.com</t>
  </si>
  <si>
    <t>amandamanuel@kirtmanuel.com</t>
  </si>
  <si>
    <t>Amanda Manuel</t>
  </si>
  <si>
    <t>3402 W Capitol Drive</t>
  </si>
  <si>
    <t>SJaygood162000@hotmail.com</t>
  </si>
  <si>
    <t>Sawyer Good</t>
  </si>
  <si>
    <t>527 E Maple Ridge Ct</t>
  </si>
  <si>
    <t>lizabsher1@gmail.com</t>
  </si>
  <si>
    <t>benabsher96@gmail.com</t>
  </si>
  <si>
    <t>Absher</t>
  </si>
  <si>
    <t>Ben Absher</t>
  </si>
  <si>
    <t>P.O. Box 3594</t>
  </si>
  <si>
    <t>chris.absher96@gmail.com</t>
  </si>
  <si>
    <t>Chris Absher</t>
  </si>
  <si>
    <t>cochran_kd@yahoo.com</t>
  </si>
  <si>
    <t>Cochran</t>
  </si>
  <si>
    <t>Kathryn Cochran</t>
  </si>
  <si>
    <t>1128 Easy Richwoods Blvd.</t>
  </si>
  <si>
    <t>lfisch1997@gmail.com</t>
  </si>
  <si>
    <t>Fischer</t>
  </si>
  <si>
    <t>Luke Fischer</t>
  </si>
  <si>
    <t>12327 W. Downing Pl</t>
  </si>
  <si>
    <t>Brimfield</t>
  </si>
  <si>
    <t>rjthornet@gmail.com</t>
  </si>
  <si>
    <t>kpjaxjags@gmail.com</t>
  </si>
  <si>
    <t>Kendall Turner</t>
  </si>
  <si>
    <t>5425 Hargrove Blvd</t>
  </si>
  <si>
    <t>emburnett99@gmail.com</t>
  </si>
  <si>
    <t>Elijah Burnett</t>
  </si>
  <si>
    <t>21 Park Drive</t>
  </si>
  <si>
    <t>North Pekin</t>
  </si>
  <si>
    <t>kldoubet@yahoo.com</t>
  </si>
  <si>
    <t>Doubet</t>
  </si>
  <si>
    <t>Chase Doubet</t>
  </si>
  <si>
    <t>3612 W. Chartwell Rd.</t>
  </si>
  <si>
    <t>lindy.gschwend@gmail.com</t>
  </si>
  <si>
    <t>charliegschwend3@gmail.com</t>
  </si>
  <si>
    <t>Gschwend</t>
  </si>
  <si>
    <t>Henry Gschwend</t>
  </si>
  <si>
    <t>2301 Twin Oaks Ave</t>
  </si>
  <si>
    <t>sarahpasteris@gmail.com</t>
  </si>
  <si>
    <t>Sarah Pasteris</t>
  </si>
  <si>
    <t>1814 St Jude ct</t>
  </si>
  <si>
    <t>Peoria Heights</t>
  </si>
  <si>
    <t>markay.hickerson@gmail.com</t>
  </si>
  <si>
    <t>theklaviergirl@gmail.com</t>
  </si>
  <si>
    <t>Hickerson</t>
  </si>
  <si>
    <t>Jordan Hickerson</t>
  </si>
  <si>
    <t>2701 W. 23rd St.</t>
  </si>
  <si>
    <t>valroy@sbcglobal.net</t>
  </si>
  <si>
    <t>Vaughn</t>
  </si>
  <si>
    <t>Amy Vaughn</t>
  </si>
  <si>
    <t>16113 W 136th St</t>
  </si>
  <si>
    <t>Kristin Vaughn</t>
  </si>
  <si>
    <t>d.g.thrush@gmail.com</t>
  </si>
  <si>
    <t>hannah_thrush116@hotmail.com</t>
  </si>
  <si>
    <t>Thrush</t>
  </si>
  <si>
    <t>Hannah Thrush</t>
  </si>
  <si>
    <t>188 Rainey rd</t>
  </si>
  <si>
    <t>sarabennett26@gmail.com</t>
  </si>
  <si>
    <t>kikeeb98@gmail.com</t>
  </si>
  <si>
    <t>Mickenzie</t>
  </si>
  <si>
    <t>Mickenzie Bennett</t>
  </si>
  <si>
    <t>1904 SW 24th ST</t>
  </si>
  <si>
    <t>hdbonnema@charter.net</t>
  </si>
  <si>
    <t>tmbonnema@gmail.com</t>
  </si>
  <si>
    <t>Toni</t>
  </si>
  <si>
    <t>Bonnema</t>
  </si>
  <si>
    <t>Toni Bonnema</t>
  </si>
  <si>
    <t>1400 10th st SW</t>
  </si>
  <si>
    <t>brandonborstad116@yahoo.com</t>
  </si>
  <si>
    <t>Borstad</t>
  </si>
  <si>
    <t>Brandon Borstad</t>
  </si>
  <si>
    <t>3041 77th Ave NE</t>
  </si>
  <si>
    <t>PO Box 1593</t>
  </si>
  <si>
    <t>caraelmhorst@gmail.com</t>
  </si>
  <si>
    <t>Mackenzie Elmhorst</t>
  </si>
  <si>
    <t>32134 CO RD !^</t>
  </si>
  <si>
    <t>loydahjelte@gmail.com</t>
  </si>
  <si>
    <t>Squirrelvh@gmail.com</t>
  </si>
  <si>
    <t>Hjelte</t>
  </si>
  <si>
    <t>Victoria Hjelte</t>
  </si>
  <si>
    <t>714  5th street</t>
  </si>
  <si>
    <t>Remulder13@gmail.com</t>
  </si>
  <si>
    <t>remulder13@gmail.com</t>
  </si>
  <si>
    <t>Rebecca Mulder</t>
  </si>
  <si>
    <t>5333 Highway 71 NE</t>
  </si>
  <si>
    <t>synakaela@yahoo.com</t>
  </si>
  <si>
    <t>reidh3@gmail.com</t>
  </si>
  <si>
    <t>419 Lake Ave s</t>
  </si>
  <si>
    <t>nancy.kinney@comcast.net</t>
  </si>
  <si>
    <t>Kmkfromrv@hotmail.com</t>
  </si>
  <si>
    <t>Kirth</t>
  </si>
  <si>
    <t>Kinney</t>
  </si>
  <si>
    <t>Kirth Kinney</t>
  </si>
  <si>
    <t>161 North Center Street</t>
  </si>
  <si>
    <t>P.O. Box 377</t>
  </si>
  <si>
    <t>hild33rhine@suddenlink.net</t>
  </si>
  <si>
    <t>ihild98@suddenlink.net</t>
  </si>
  <si>
    <t>Irene</t>
  </si>
  <si>
    <t>Hild</t>
  </si>
  <si>
    <t>Irene Hild</t>
  </si>
  <si>
    <t>Box 1041</t>
  </si>
  <si>
    <t>joe.f.cochran@gmail.com</t>
  </si>
  <si>
    <t>arc25214@uga.edu</t>
  </si>
  <si>
    <t>Abigail Cochran</t>
  </si>
  <si>
    <t>190 Lady Helen Ct</t>
  </si>
  <si>
    <t>aryanwrd96@hotmail.com</t>
  </si>
  <si>
    <t>aryanwrd96@hotmaill.com</t>
  </si>
  <si>
    <t>Alexander Ward</t>
  </si>
  <si>
    <t>142 Gandyhill Rd</t>
  </si>
  <si>
    <t>firstminot@yahoo.com_configioDeactivated</t>
  </si>
  <si>
    <t>ethanhinkel@yahoo.com</t>
  </si>
  <si>
    <t>Hinkel</t>
  </si>
  <si>
    <t>Ethan Hinkel</t>
  </si>
  <si>
    <t>1301 47th Avenue SW</t>
  </si>
  <si>
    <t>jk.nothomeyet@gmail.com</t>
  </si>
  <si>
    <t>Jonathan Kurz</t>
  </si>
  <si>
    <t>13813 N Travois Trl</t>
  </si>
  <si>
    <t>susan@haleyhome.com</t>
  </si>
  <si>
    <t>lizhaley445@gmail.com</t>
  </si>
  <si>
    <t>Elizabeth Haley</t>
  </si>
  <si>
    <t>924 West Kathy Court</t>
  </si>
  <si>
    <t>indyjusts@hotmail.com</t>
  </si>
  <si>
    <t>enderjust@gmail.com</t>
  </si>
  <si>
    <t>Just</t>
  </si>
  <si>
    <t>Andrew Just</t>
  </si>
  <si>
    <t>10439 Breckenridge Drive</t>
  </si>
  <si>
    <t>flexaong@comcast.net</t>
  </si>
  <si>
    <t>Fong</t>
  </si>
  <si>
    <t>David Fong</t>
  </si>
  <si>
    <t>2127 Muskogee Trail</t>
  </si>
  <si>
    <t>Nokomis</t>
  </si>
  <si>
    <t>lindie@dykson.com</t>
  </si>
  <si>
    <t>coltsfreak@dykson.com</t>
  </si>
  <si>
    <t>Dirk</t>
  </si>
  <si>
    <t>Dykson</t>
  </si>
  <si>
    <t>Dirk Dykson</t>
  </si>
  <si>
    <t>2415 Treestead Road</t>
  </si>
  <si>
    <t>william.maulsby@gmail.com</t>
  </si>
  <si>
    <t>ethanmaulsby@gmail.com</t>
  </si>
  <si>
    <t>Maulsby</t>
  </si>
  <si>
    <t>Ethan Maulsby</t>
  </si>
  <si>
    <t>13940 WCR 78</t>
  </si>
  <si>
    <t>lydiafaith@gvtc.com</t>
  </si>
  <si>
    <t>Lydia Buchanan</t>
  </si>
  <si>
    <t>tony15blah@gmail.com</t>
  </si>
  <si>
    <t>Anthony Moon</t>
  </si>
  <si>
    <t>jodianndelange@gmail.com</t>
  </si>
  <si>
    <t>DeLange</t>
  </si>
  <si>
    <t>Jodi DeLange</t>
  </si>
  <si>
    <t>5775 Port Sheldon</t>
  </si>
  <si>
    <t>Hudsonville</t>
  </si>
  <si>
    <t>carolllovesgod@yahoo.com</t>
  </si>
  <si>
    <t>benlitz23@yahoo.com</t>
  </si>
  <si>
    <t>Litz</t>
  </si>
  <si>
    <t>Benjamin Litz</t>
  </si>
  <si>
    <t>5901 Bridle Wood Trl</t>
  </si>
  <si>
    <t>Muncie</t>
  </si>
  <si>
    <t>andy.hink@gmail.com</t>
  </si>
  <si>
    <t>Andrew Hinkel</t>
  </si>
  <si>
    <t>julia.hickerson@gmail.com</t>
  </si>
  <si>
    <t>Julia Hickerson</t>
  </si>
  <si>
    <t>mje4christ@gmail.com</t>
  </si>
  <si>
    <t>Mje4christ@gmail.com</t>
  </si>
  <si>
    <t>Maria Ewald</t>
  </si>
  <si>
    <t>thestanley7@yahoo.com</t>
  </si>
  <si>
    <t>Ddaring4Hm@yahoo.com</t>
  </si>
  <si>
    <t>Deborah Stanley</t>
  </si>
  <si>
    <t>1801 State Road 100</t>
  </si>
  <si>
    <t>Melrose</t>
  </si>
  <si>
    <t>chrismarie103@gmail.com</t>
  </si>
  <si>
    <t>jessep2017@gmail.com</t>
  </si>
  <si>
    <t>Jesse Phipps</t>
  </si>
  <si>
    <t>earlyearth@gmail.com</t>
  </si>
  <si>
    <t>wheigh2awesom4u@gmail.com</t>
  </si>
  <si>
    <t>Jeffrey Norman</t>
  </si>
  <si>
    <t>7749 N Paris Dr.</t>
  </si>
  <si>
    <t>Citrus Springs</t>
  </si>
  <si>
    <t>irwinvicki@aol.com</t>
  </si>
  <si>
    <t>irwinrussell60@yahoo.com</t>
  </si>
  <si>
    <t>Irwin</t>
  </si>
  <si>
    <t>Russell Irwin</t>
  </si>
  <si>
    <t>9518 Potters Point</t>
  </si>
  <si>
    <t>Helotes</t>
  </si>
  <si>
    <t>joy.hensold@gmail.com</t>
  </si>
  <si>
    <t>Hensold</t>
  </si>
  <si>
    <t>Joy Hensold</t>
  </si>
  <si>
    <t>22169 Spring Creek Rd</t>
  </si>
  <si>
    <t>16reileyc@southbarber.com</t>
  </si>
  <si>
    <t>Reiley</t>
  </si>
  <si>
    <t>Courson</t>
  </si>
  <si>
    <t>Reiley Courson</t>
  </si>
  <si>
    <t>515 Marvin Street</t>
  </si>
  <si>
    <t>25dragoon@gmail.com</t>
  </si>
  <si>
    <t>Cordis</t>
  </si>
  <si>
    <t>Craig Cordis</t>
  </si>
  <si>
    <t>612 Charley Hill Road</t>
  </si>
  <si>
    <t>Schroon Lake</t>
  </si>
  <si>
    <t>mjotten1998@sbcglobal.net</t>
  </si>
  <si>
    <t>Otten</t>
  </si>
  <si>
    <t>John Otten</t>
  </si>
  <si>
    <t>N51 W17377 Maple Crest Lane</t>
  </si>
  <si>
    <t>Menomonee Falls</t>
  </si>
  <si>
    <t>hess04@mchsi.com</t>
  </si>
  <si>
    <t>Baileyhess@hotmail.com</t>
  </si>
  <si>
    <t>Hess</t>
  </si>
  <si>
    <t>Bailey Hess</t>
  </si>
  <si>
    <t>205 Carroll court</t>
  </si>
  <si>
    <t>hstuff@lightdream.com</t>
  </si>
  <si>
    <t>hannah@lightdream.com</t>
  </si>
  <si>
    <t>Greenelsh</t>
  </si>
  <si>
    <t>Hannah Greenelsh</t>
  </si>
  <si>
    <t>1255 Orcutt Road Space B48</t>
  </si>
  <si>
    <t>swim53alyak@yahoo.com</t>
  </si>
  <si>
    <t>Kayla Cary</t>
  </si>
  <si>
    <t>4604 Western Hills Dr.</t>
  </si>
  <si>
    <t>leah_jean@frontier.com</t>
  </si>
  <si>
    <t>Leah Johnson</t>
  </si>
  <si>
    <t>2830 211th st. Sw</t>
  </si>
  <si>
    <t>thecaldwells5@hotmail.com</t>
  </si>
  <si>
    <t>Caldwell</t>
  </si>
  <si>
    <t>Lewis Caldwell</t>
  </si>
  <si>
    <t>Henri Polaklaan 40 C</t>
  </si>
  <si>
    <t>Amsterdam</t>
  </si>
  <si>
    <t>1018CT</t>
  </si>
  <si>
    <t>Netherlands</t>
  </si>
  <si>
    <t>rm.mullet@juno.com</t>
  </si>
  <si>
    <t>thing294@gmail.com</t>
  </si>
  <si>
    <t>Shane</t>
  </si>
  <si>
    <t>Mullet</t>
  </si>
  <si>
    <t>Shane Mullet</t>
  </si>
  <si>
    <t>16876 Owls Nest Road</t>
  </si>
  <si>
    <t>arrethtrae2012@gmail.com</t>
  </si>
  <si>
    <t>Shandon</t>
  </si>
  <si>
    <t>Shandon Mullet</t>
  </si>
  <si>
    <t>dirtstump@gmail.com</t>
  </si>
  <si>
    <t>Isaac Abbott</t>
  </si>
  <si>
    <t>4305 York Ave N</t>
  </si>
  <si>
    <t>andreacarol41@yahoo.com</t>
  </si>
  <si>
    <t>Andreacarol41@yahoo.com</t>
  </si>
  <si>
    <t>Kennon</t>
  </si>
  <si>
    <t>Benjamin Kennon</t>
  </si>
  <si>
    <t>4263 E Nisbet Rd</t>
  </si>
  <si>
    <t>pascullisavannah@gmail.com</t>
  </si>
  <si>
    <t>Savannah Pasculli</t>
  </si>
  <si>
    <t>578 W Watersford</t>
  </si>
  <si>
    <t>max.meirow@gmail.com</t>
  </si>
  <si>
    <t>gjavaux@gmail.com</t>
  </si>
  <si>
    <t>bluemarlinswimmer@gmail.com</t>
  </si>
  <si>
    <t>Javaux</t>
  </si>
  <si>
    <t>Rebekah Javaux</t>
  </si>
  <si>
    <t>417 S. 14th St</t>
  </si>
  <si>
    <t>Quincy</t>
  </si>
  <si>
    <t>emory.musicalnotes@gmail.com</t>
  </si>
  <si>
    <t>emoryallen97@gmail.com</t>
  </si>
  <si>
    <t>Emory Allen</t>
  </si>
  <si>
    <t>1606 NOrth Martha Court</t>
  </si>
  <si>
    <t>roush16@comcast.net_configioDeactivated</t>
  </si>
  <si>
    <t>Holsapple</t>
  </si>
  <si>
    <t>Stephen Holsapple</t>
  </si>
  <si>
    <t>joshwr@comcast.net</t>
  </si>
  <si>
    <t>Teague</t>
  </si>
  <si>
    <t>Joshua Teague</t>
  </si>
  <si>
    <t>1711 Randolph Dr.</t>
  </si>
  <si>
    <t>York</t>
  </si>
  <si>
    <t>collegeprep41614@gmail.com</t>
  </si>
  <si>
    <t>Victoria Adams</t>
  </si>
  <si>
    <t>1600 east church street</t>
  </si>
  <si>
    <t>apt 22</t>
  </si>
  <si>
    <t>etc0528@gmail.com</t>
  </si>
  <si>
    <t>Emily Cottrell</t>
  </si>
  <si>
    <t>1905 Stanberry Drive</t>
  </si>
  <si>
    <t>amanda.joyce.williams@gmail.com</t>
  </si>
  <si>
    <t>Amanda Williams</t>
  </si>
  <si>
    <t>423 South Jackson Street</t>
  </si>
  <si>
    <t>Aberdeen</t>
  </si>
  <si>
    <t>otteangusfarm@juno.com</t>
  </si>
  <si>
    <t>carrie.otte@yahoo.com</t>
  </si>
  <si>
    <t>Otte</t>
  </si>
  <si>
    <t>Carrie Otte</t>
  </si>
  <si>
    <t>23404 State Route J</t>
  </si>
  <si>
    <t>Saint Mary</t>
  </si>
  <si>
    <t>nandakirkpatrick@carenetnw.com</t>
  </si>
  <si>
    <t>rukirkpatrick@att.net</t>
  </si>
  <si>
    <t>Kirkpatrick</t>
  </si>
  <si>
    <t>Russell Kirkpatrick</t>
  </si>
  <si>
    <t>17900 Santos St</t>
  </si>
  <si>
    <t>bngsparkle97@windstream.net</t>
  </si>
  <si>
    <t>Brianna Griffith</t>
  </si>
  <si>
    <t>houstonshue@yahoo.com</t>
  </si>
  <si>
    <t>keller8695@bellsouth.net</t>
  </si>
  <si>
    <t>brickschooler.andrew@gmail.com</t>
  </si>
  <si>
    <t>Andrew Keller</t>
  </si>
  <si>
    <t>972 Whitewood Drive</t>
  </si>
  <si>
    <t>Deltona</t>
  </si>
  <si>
    <t>brickschooler.christian@gmail.com</t>
  </si>
  <si>
    <t>Christian Keller</t>
  </si>
  <si>
    <t>972 Whitewood Dr</t>
  </si>
  <si>
    <t>hannathebonana@gmail.com</t>
  </si>
  <si>
    <t>Helgesen</t>
  </si>
  <si>
    <t>Hanna Helgesen</t>
  </si>
  <si>
    <t>2400 Elkhorn Street</t>
  </si>
  <si>
    <t>rosey.brausen@gmail.com</t>
  </si>
  <si>
    <t>bennettbrausen24@gmail.com</t>
  </si>
  <si>
    <t>Brausen</t>
  </si>
  <si>
    <t>Bennett Brausen</t>
  </si>
  <si>
    <t>Wood Cliff Circle</t>
  </si>
  <si>
    <t>michaelahennek@gmail.com</t>
  </si>
  <si>
    <t>Michaelahennek@gmail.com</t>
  </si>
  <si>
    <t>Michaela Hennek</t>
  </si>
  <si>
    <t>2550 50th St. W.</t>
  </si>
  <si>
    <t>swstrong@earthlink.net</t>
  </si>
  <si>
    <t>technolizardms@gmail.com</t>
  </si>
  <si>
    <t>Strong</t>
  </si>
  <si>
    <t>Matthew Strong</t>
  </si>
  <si>
    <t>328 Vaquero Rd.</t>
  </si>
  <si>
    <t>acwalkabout@gmail.com</t>
  </si>
  <si>
    <t>Clegg</t>
  </si>
  <si>
    <t>Allison Clegg</t>
  </si>
  <si>
    <t>808 Mary St.</t>
  </si>
  <si>
    <t>Villa Hills</t>
  </si>
  <si>
    <t>dpboriack@gmail.com</t>
  </si>
  <si>
    <t>Daniel Boriack</t>
  </si>
  <si>
    <t>toddcweigand@gmail.com</t>
  </si>
  <si>
    <t>z.weegs@gmail.com</t>
  </si>
  <si>
    <t>Zane Weigand</t>
  </si>
  <si>
    <t>8104 W 110th St Cir</t>
  </si>
  <si>
    <t>h_pair@comcast.net_configioDeactivated</t>
  </si>
  <si>
    <t>j_pair@comcast.net</t>
  </si>
  <si>
    <t>Pair</t>
  </si>
  <si>
    <t>Jordyn Pair</t>
  </si>
  <si>
    <t>478 Heritage Drive</t>
  </si>
  <si>
    <t>jenmccready@verizon.net</t>
  </si>
  <si>
    <t>McCready</t>
  </si>
  <si>
    <t>Anna McCready</t>
  </si>
  <si>
    <t>po box 899</t>
  </si>
  <si>
    <t>lusby</t>
  </si>
  <si>
    <t>giuliahintz@hotmail.com</t>
  </si>
  <si>
    <t>Giulia</t>
  </si>
  <si>
    <t>Hintz</t>
  </si>
  <si>
    <t>Giulia Hintz</t>
  </si>
  <si>
    <t>3290 Military Road</t>
  </si>
  <si>
    <t>rynderslj@gmail.com</t>
  </si>
  <si>
    <t>phoenix52798@gmail.com</t>
  </si>
  <si>
    <t>Rynders</t>
  </si>
  <si>
    <t>Kathryn Rynders</t>
  </si>
  <si>
    <t>2349 Erin Court</t>
  </si>
  <si>
    <t>New Brighton</t>
  </si>
  <si>
    <t>marlorentals13@gmail.com</t>
  </si>
  <si>
    <t>tylermathiowetz@gmail.com</t>
  </si>
  <si>
    <t>Mathiowetz</t>
  </si>
  <si>
    <t>Tyler Mathiowetz</t>
  </si>
  <si>
    <t>9513 Riverview Ave S</t>
  </si>
  <si>
    <t>Melanie_Wyman@baylor.edu</t>
  </si>
  <si>
    <t>Wyman</t>
  </si>
  <si>
    <t>Melanie Wyman</t>
  </si>
  <si>
    <t>8501 Eastfair Court</t>
  </si>
  <si>
    <t>keepnitreal97@hotmail.com</t>
  </si>
  <si>
    <t>Jenna Lawrence</t>
  </si>
  <si>
    <t>631 5th St Sw</t>
  </si>
  <si>
    <t>jenny_11869@yahoo.com</t>
  </si>
  <si>
    <t>tofucana@yahoo.com</t>
  </si>
  <si>
    <t>Kuo</t>
  </si>
  <si>
    <t>Samantha Kuo</t>
  </si>
  <si>
    <t>11869 Darby Ave.</t>
  </si>
  <si>
    <t>Porter Ranch</t>
  </si>
  <si>
    <t>khall777@ffni.com</t>
  </si>
  <si>
    <t>Kedrick</t>
  </si>
  <si>
    <t>Kedrick Hall</t>
  </si>
  <si>
    <t>5788 W US HWY 24</t>
  </si>
  <si>
    <t>Wolcott</t>
  </si>
  <si>
    <t>nolafcarl@aol.com</t>
  </si>
  <si>
    <t>ella.carlson98@gmail.com</t>
  </si>
  <si>
    <t>Ella</t>
  </si>
  <si>
    <t>Ella Carlson</t>
  </si>
  <si>
    <t>1792 Castle Oaks Drive</t>
  </si>
  <si>
    <t>phil@beccue.com</t>
  </si>
  <si>
    <t>alyssa@beccue.com</t>
  </si>
  <si>
    <t>Beccue</t>
  </si>
  <si>
    <t>Alyssa Beccue</t>
  </si>
  <si>
    <t>2228 Knollcrest Pl</t>
  </si>
  <si>
    <t>rick@forestecology.com_configioDeactivated</t>
  </si>
  <si>
    <t>angelica@forestecology.com</t>
  </si>
  <si>
    <t>Angelica</t>
  </si>
  <si>
    <t>Maiers</t>
  </si>
  <si>
    <t>Angelica Maiers</t>
  </si>
  <si>
    <t>803 S. Montgomery St.</t>
  </si>
  <si>
    <t>sj.phil413@gmail.com</t>
  </si>
  <si>
    <t>Sarah Williams</t>
  </si>
  <si>
    <t>lorijanecarpenter@outlook.com</t>
  </si>
  <si>
    <t>Lori</t>
  </si>
  <si>
    <t>Carpenter</t>
  </si>
  <si>
    <t>Lori Carpenter</t>
  </si>
  <si>
    <t>Crossville</t>
  </si>
  <si>
    <t>lehgo97@gmail.com</t>
  </si>
  <si>
    <t>Benjamin Schneider</t>
  </si>
  <si>
    <t>lindakitt@cox.net</t>
  </si>
  <si>
    <t>Analiesakitt@cox.net</t>
  </si>
  <si>
    <t>Analiesa</t>
  </si>
  <si>
    <t>Kitt</t>
  </si>
  <si>
    <t>Analiesa Kitt</t>
  </si>
  <si>
    <t>5421 granada way</t>
  </si>
  <si>
    <t>Carpinteria</t>
  </si>
  <si>
    <t>cindyhatter@comcast.net</t>
  </si>
  <si>
    <t>jilliehatter@comcast.net</t>
  </si>
  <si>
    <t>Hatter</t>
  </si>
  <si>
    <t>Jillian Hatter</t>
  </si>
  <si>
    <t>9474 Cobblecrest Drive</t>
  </si>
  <si>
    <t>haileyhatter@comcast.net</t>
  </si>
  <si>
    <t>Hailey Hatter</t>
  </si>
  <si>
    <t>m.hogan@lilly.com</t>
  </si>
  <si>
    <t>gameplanabraham@gmail.com</t>
  </si>
  <si>
    <t>Abe</t>
  </si>
  <si>
    <t>Abe Hogan</t>
  </si>
  <si>
    <t>482 Whisper Lane</t>
  </si>
  <si>
    <t>lisactracy@yahoo.com</t>
  </si>
  <si>
    <t>wfranktracy@gmail.com</t>
  </si>
  <si>
    <t>William Tracy</t>
  </si>
  <si>
    <t>hirsch2@netsync.net</t>
  </si>
  <si>
    <t>scothirschman@gmail.com</t>
  </si>
  <si>
    <t>Scot</t>
  </si>
  <si>
    <t>Scot Hirschman</t>
  </si>
  <si>
    <t>9291 fredonia stockton Rd.</t>
  </si>
  <si>
    <t>fredonia</t>
  </si>
  <si>
    <t>jmksd@yahoo.com</t>
  </si>
  <si>
    <t>ssjbranch@gmail.com</t>
  </si>
  <si>
    <t>Branch</t>
  </si>
  <si>
    <t>Justin Branch</t>
  </si>
  <si>
    <t>Plainfield</t>
  </si>
  <si>
    <t>jules60@aol.com</t>
  </si>
  <si>
    <t>laura.e773@gmail.com</t>
  </si>
  <si>
    <t>Laura Miller</t>
  </si>
  <si>
    <t>25575 Willow Lane</t>
  </si>
  <si>
    <t>coopthomp@gmail.com</t>
  </si>
  <si>
    <t>Cooper Thompson</t>
  </si>
  <si>
    <t>5019 N Haymeadow Ave</t>
  </si>
  <si>
    <t>tulleandconverse16@gmail.com</t>
  </si>
  <si>
    <t>Bean</t>
  </si>
  <si>
    <t>Madeleine Bean</t>
  </si>
  <si>
    <t>506 SW 15th St.</t>
  </si>
  <si>
    <t>Okeechobee</t>
  </si>
  <si>
    <t>beatz389395@gmail.com</t>
  </si>
  <si>
    <t>beast389395@gmail.com</t>
  </si>
  <si>
    <t>Zachary Hirschman</t>
  </si>
  <si>
    <t>167 W Main</t>
  </si>
  <si>
    <t>Gowanda</t>
  </si>
  <si>
    <t>pedisonfamily@tx.rr.com</t>
  </si>
  <si>
    <t>andrewpedison16@gmail.com</t>
  </si>
  <si>
    <t>Pedison</t>
  </si>
  <si>
    <t>James Pedison</t>
  </si>
  <si>
    <t>1704 Leander Ct.</t>
  </si>
  <si>
    <t>davidsuraj116thomas@gmail.com</t>
  </si>
  <si>
    <t>David Thomas</t>
  </si>
  <si>
    <t>1307 Gable Lake Drive</t>
  </si>
  <si>
    <t>ldnutbar@yahoo.com</t>
  </si>
  <si>
    <t>Laine</t>
  </si>
  <si>
    <t>Langston-Rogers</t>
  </si>
  <si>
    <t>Laine Langston-Rogers</t>
  </si>
  <si>
    <t>2605 W. Carrington Ct.</t>
  </si>
  <si>
    <t>Dunlap</t>
  </si>
  <si>
    <t>cherylbdozier@bellsouth.net</t>
  </si>
  <si>
    <t>abimdozier@bellsouth.net</t>
  </si>
  <si>
    <t>Abi</t>
  </si>
  <si>
    <t>Dozier</t>
  </si>
  <si>
    <t>Abi Dozier</t>
  </si>
  <si>
    <t>2933 Echols Road</t>
  </si>
  <si>
    <t>Cumming</t>
  </si>
  <si>
    <t>meagyn.vand@gmail.com</t>
  </si>
  <si>
    <t>Meagyn</t>
  </si>
  <si>
    <t>Meagyn Van Denend</t>
  </si>
  <si>
    <t>45704 Stagecoach Rd</t>
  </si>
  <si>
    <t>katlowe100@yahoo.com</t>
  </si>
  <si>
    <t>Lowe</t>
  </si>
  <si>
    <t>Katherine Lowe</t>
  </si>
  <si>
    <t>5520 Westwood Dr.</t>
  </si>
  <si>
    <t>growinup.harris@gmail.com</t>
  </si>
  <si>
    <t>ps91girl@gmail.com</t>
  </si>
  <si>
    <t>Michaela Harris</t>
  </si>
  <si>
    <t>9 castillo trail</t>
  </si>
  <si>
    <t>wylie</t>
  </si>
  <si>
    <t>davidandkristin95@gmail.com</t>
  </si>
  <si>
    <t>wilsonday97@gmail.com</t>
  </si>
  <si>
    <t>Wilson Day</t>
  </si>
  <si>
    <t>18610 Tanager Lane</t>
  </si>
  <si>
    <t>bonniegasper@aol.com</t>
  </si>
  <si>
    <t>bonniegasper15@gmail.com</t>
  </si>
  <si>
    <t>Gasper</t>
  </si>
  <si>
    <t>Joseph Gasper</t>
  </si>
  <si>
    <t>7288 Sunshine Drive</t>
  </si>
  <si>
    <t>winner.sue@gmail.com</t>
  </si>
  <si>
    <t>winner.christina3@gmail.com</t>
  </si>
  <si>
    <t>Winner</t>
  </si>
  <si>
    <t>Christina Winner</t>
  </si>
  <si>
    <t>825 Cypress Trails Drive</t>
  </si>
  <si>
    <t>Tarpon Springs</t>
  </si>
  <si>
    <t>gladyswittman@gmail.com</t>
  </si>
  <si>
    <t>qwittman@gmail.com</t>
  </si>
  <si>
    <t>Wittman</t>
  </si>
  <si>
    <t>Quincy Wittman</t>
  </si>
  <si>
    <t>2059 N 9th Road</t>
  </si>
  <si>
    <t>Worden</t>
  </si>
  <si>
    <t>kamlock1@gmail.com</t>
  </si>
  <si>
    <t>jlock110@gmail.com</t>
  </si>
  <si>
    <t>Lock</t>
  </si>
  <si>
    <t>Jonathan Lock</t>
  </si>
  <si>
    <t>111 1st Street</t>
  </si>
  <si>
    <t>tmjenx@aol.com</t>
  </si>
  <si>
    <t>tmyjenkins@gmail.com</t>
  </si>
  <si>
    <t>Thomas Jenkins</t>
  </si>
  <si>
    <t>4135 Summerwood Dr.</t>
  </si>
  <si>
    <t>susanelizabethcamp@gmail.com</t>
  </si>
  <si>
    <t>noacamp@usd465.com</t>
  </si>
  <si>
    <t>Noah Camp</t>
  </si>
  <si>
    <t>daprinz@bellsouth.net_configioDeactivated</t>
  </si>
  <si>
    <t>prinzes793@gmail.com</t>
  </si>
  <si>
    <t>Esther Prinz</t>
  </si>
  <si>
    <t>9815 SW 76 St</t>
  </si>
  <si>
    <t>anniejezz@gmail.com</t>
  </si>
  <si>
    <t>Ertz</t>
  </si>
  <si>
    <t>Jessica Ertz</t>
  </si>
  <si>
    <t>1302 Bowdish Rd.</t>
  </si>
  <si>
    <t>ertzee9@gmail.com</t>
  </si>
  <si>
    <t>Andrea Ertz</t>
  </si>
  <si>
    <t>afrye@bpg-online.com</t>
  </si>
  <si>
    <t>kfrye7246@gmail.com</t>
  </si>
  <si>
    <t>Kathryn Frye</t>
  </si>
  <si>
    <t>2440 Caney Fork Rd</t>
  </si>
  <si>
    <t>Cullowhee</t>
  </si>
  <si>
    <t>fred@lautenbachinsurance.com</t>
  </si>
  <si>
    <t>coloradocountrygirl16@gmail.com</t>
  </si>
  <si>
    <t>Lautenbach</t>
  </si>
  <si>
    <t>Jesse Lautenbach</t>
  </si>
  <si>
    <t>1870 Pinewood Rd.</t>
  </si>
  <si>
    <t>suzannepow@ymail.com</t>
  </si>
  <si>
    <t>ben2pow@gmail.com</t>
  </si>
  <si>
    <t>Ben Powell</t>
  </si>
  <si>
    <t>3601 Blackberry Lane</t>
  </si>
  <si>
    <t>mamafifi6@gmail.com</t>
  </si>
  <si>
    <t>Aaliyah</t>
  </si>
  <si>
    <t>Franck</t>
  </si>
  <si>
    <t>Aaliyah Franck</t>
  </si>
  <si>
    <t>68 Hawthorne Drive</t>
  </si>
  <si>
    <t>Seekonk</t>
  </si>
  <si>
    <t>Madalisse</t>
  </si>
  <si>
    <t>Madalisse Franck</t>
  </si>
  <si>
    <t>Diamond</t>
  </si>
  <si>
    <t>Diamond Franck</t>
  </si>
  <si>
    <t>cindy@monumenthospitality.com</t>
  </si>
  <si>
    <t>mattwsapp@hotmail.com</t>
  </si>
  <si>
    <t>Sapp</t>
  </si>
  <si>
    <t>Matthew Sapp</t>
  </si>
  <si>
    <t>7155 W. Willow Ave.</t>
  </si>
  <si>
    <t>ibtoejam@yahoo.com</t>
  </si>
  <si>
    <t>thompsoncd@s.dcsdk12.org</t>
  </si>
  <si>
    <t>Caleb Thompson</t>
  </si>
  <si>
    <t>730 Dublin Court</t>
  </si>
  <si>
    <t>renaganine@yahoo.com</t>
  </si>
  <si>
    <t>charlessidwell56@gmail.com</t>
  </si>
  <si>
    <t>Nicholas Roberts</t>
  </si>
  <si>
    <t>dashkadlec@comcast.net</t>
  </si>
  <si>
    <t>jdkadlec@comcast.net</t>
  </si>
  <si>
    <t>Kadlec</t>
  </si>
  <si>
    <t>Joshua Kadlec</t>
  </si>
  <si>
    <t>10032 Nord Rd.</t>
  </si>
  <si>
    <t>nkdurfeyfamily@gmail.com</t>
  </si>
  <si>
    <t>durfeykids@gmail.com</t>
  </si>
  <si>
    <t>Durfey</t>
  </si>
  <si>
    <t>Carl Durfey</t>
  </si>
  <si>
    <t>1134 Twp Rd 926</t>
  </si>
  <si>
    <t>grace.k.karls@gmail.com</t>
  </si>
  <si>
    <t>Grace Karls</t>
  </si>
  <si>
    <t>ccolem32@students.chattahoocheetech.edu</t>
  </si>
  <si>
    <t>246 Talc Mine Rd</t>
  </si>
  <si>
    <t>homeplant@msn.com</t>
  </si>
  <si>
    <t>kennyplant@gmail.com</t>
  </si>
  <si>
    <t>Kenneth</t>
  </si>
  <si>
    <t>Plant</t>
  </si>
  <si>
    <t>Kenneth Plant</t>
  </si>
  <si>
    <t>3615 Rainbow Lane</t>
  </si>
  <si>
    <t>Colorado  Springs</t>
  </si>
  <si>
    <t>rnlchristensen@earthlink.net</t>
  </si>
  <si>
    <t>kchris36@gmail.com</t>
  </si>
  <si>
    <t>Kristin Christensen</t>
  </si>
  <si>
    <t>3 Inca Lane</t>
  </si>
  <si>
    <t>Los Alamos</t>
  </si>
  <si>
    <t>fivemcclures@att.net</t>
  </si>
  <si>
    <t>loganmcclure@att.net</t>
  </si>
  <si>
    <t>Logan McClure</t>
  </si>
  <si>
    <t>amykmasters@aol.com</t>
  </si>
  <si>
    <t>jakewmasters@gmail.com</t>
  </si>
  <si>
    <t>Masters</t>
  </si>
  <si>
    <t>Jacob Masters</t>
  </si>
  <si>
    <t>10000 N 2125 East Rd</t>
  </si>
  <si>
    <t>tituslamb98@gmail.com</t>
  </si>
  <si>
    <t>Titus Lamb</t>
  </si>
  <si>
    <t>198 Twp Rd 581</t>
  </si>
  <si>
    <t>vonniedirects@gmail.com</t>
  </si>
  <si>
    <t>brennonrmarcotte@hotmail.com</t>
  </si>
  <si>
    <t>Brennon</t>
  </si>
  <si>
    <t>Marcotte</t>
  </si>
  <si>
    <t>Brennon Marcotte</t>
  </si>
  <si>
    <t>19721 141st Rd.</t>
  </si>
  <si>
    <t>irishhome1@gmail.com</t>
  </si>
  <si>
    <t>maddie_mccabe@yahoo.com</t>
  </si>
  <si>
    <t>Madeline McCabe</t>
  </si>
  <si>
    <t>Briar Lane</t>
  </si>
  <si>
    <t>greenfamily@eplus.net</t>
  </si>
  <si>
    <t>369 Pleasant Plains Road</t>
  </si>
  <si>
    <t>ganzeclankerstin@charter.net</t>
  </si>
  <si>
    <t>Kerstin</t>
  </si>
  <si>
    <t>Kerstin Ganzemiller</t>
  </si>
  <si>
    <t>Anna.m1313@gmail.com</t>
  </si>
  <si>
    <t>Anna Ruff</t>
  </si>
  <si>
    <t>4844 Aspen Drive</t>
  </si>
  <si>
    <t>harvi4@twc.com</t>
  </si>
  <si>
    <t>Caitlin Harvey</t>
  </si>
  <si>
    <t>513 Merrywood Dr.</t>
  </si>
  <si>
    <t>Benton</t>
  </si>
  <si>
    <t>taraperson1998@gmail.com</t>
  </si>
  <si>
    <t>Tara Peterson</t>
  </si>
  <si>
    <t>145 2nd st N</t>
  </si>
  <si>
    <t>mwise@zoominternet.net</t>
  </si>
  <si>
    <t>gwise012@gmail.com</t>
  </si>
  <si>
    <t>Grace Wise</t>
  </si>
  <si>
    <t>1070 Foxhaven Dr.</t>
  </si>
  <si>
    <t>cheryle@zoominternet.net</t>
  </si>
  <si>
    <t>ca9s9@live.com</t>
  </si>
  <si>
    <t>Karnosh</t>
  </si>
  <si>
    <t>Caleb Karnosh</t>
  </si>
  <si>
    <t>2321 Twin Leaf Ct.</t>
  </si>
  <si>
    <t>tutmech@aol.com</t>
  </si>
  <si>
    <t>Andrew Tuttle</t>
  </si>
  <si>
    <t>1305 Allegheny Dr.</t>
  </si>
  <si>
    <t>Colorado Spring</t>
  </si>
  <si>
    <t>joshuasimken@gmail.com</t>
  </si>
  <si>
    <t>Joshua Imken</t>
  </si>
  <si>
    <t>122 River Chase Blvd.</t>
  </si>
  <si>
    <t>jdubs98@rocketmail.com</t>
  </si>
  <si>
    <t>Jacob Wallace</t>
  </si>
  <si>
    <t>14521 Joppa Ave So</t>
  </si>
  <si>
    <t>cvwerkhoven@gmail.com</t>
  </si>
  <si>
    <t>Cvwerkhoven@gmail.com</t>
  </si>
  <si>
    <t>Cristina</t>
  </si>
  <si>
    <t>van Werkhoven</t>
  </si>
  <si>
    <t>Cristina van Werkhoven</t>
  </si>
  <si>
    <t>6709 Cedar View Trl</t>
  </si>
  <si>
    <t>Watauga</t>
  </si>
  <si>
    <t>nate.reitz@live.com</t>
  </si>
  <si>
    <t>reitz.abigail@gmail.com</t>
  </si>
  <si>
    <t>Reitz</t>
  </si>
  <si>
    <t>Abigail Reitz</t>
  </si>
  <si>
    <t>10635 166th St W</t>
  </si>
  <si>
    <t>erinsweeney99@gmail.com</t>
  </si>
  <si>
    <t>Erin Sweeney</t>
  </si>
  <si>
    <t>wickedlovely111@gmail.com</t>
  </si>
  <si>
    <t>Katherine Inman</t>
  </si>
  <si>
    <t>2008 N. North St.</t>
  </si>
  <si>
    <t>hairstongrace@gmail.com</t>
  </si>
  <si>
    <t>Grace Hairston</t>
  </si>
  <si>
    <t>5608 Graphite Drive</t>
  </si>
  <si>
    <t>Killeen</t>
  </si>
  <si>
    <t>ginahetenyi@gmail.com</t>
  </si>
  <si>
    <t>eldonh1@yahoo.com</t>
  </si>
  <si>
    <t>Eldon</t>
  </si>
  <si>
    <t>Hetenyi</t>
  </si>
  <si>
    <t>Eldon Hetenyi</t>
  </si>
  <si>
    <t>131 Loquat Lane</t>
  </si>
  <si>
    <t>mwm6797@gmail.com</t>
  </si>
  <si>
    <t>Mouser</t>
  </si>
  <si>
    <t>Michael Mouser</t>
  </si>
  <si>
    <t>joshing101@gmail.com</t>
  </si>
  <si>
    <t>Jerabek</t>
  </si>
  <si>
    <t>Joshua Jerabek</t>
  </si>
  <si>
    <t>422 Edgehill Avenue</t>
  </si>
  <si>
    <t>wwgranny@outlook.com</t>
  </si>
  <si>
    <t>cllsawyer@gmail.com</t>
  </si>
  <si>
    <t>Jill Sawyer</t>
  </si>
  <si>
    <t>4324 Maidstone Dr</t>
  </si>
  <si>
    <t>agfam05@verizon.net</t>
  </si>
  <si>
    <t>Olivia Lozano</t>
  </si>
  <si>
    <t>8524 Kentford</t>
  </si>
  <si>
    <t>landonhetenyi@yahoo.com</t>
  </si>
  <si>
    <t>Landon Hetenyi</t>
  </si>
  <si>
    <t>markwaller@alumni.ou.edu</t>
  </si>
  <si>
    <t>jackwaller@ou.edu</t>
  </si>
  <si>
    <t>Waller</t>
  </si>
  <si>
    <t>Jack Waller</t>
  </si>
  <si>
    <t>2621 Cross Haven Dr.</t>
  </si>
  <si>
    <t>weside@prinsens.com</t>
  </si>
  <si>
    <t>Prinsen</t>
  </si>
  <si>
    <t>Wesley Prinsen</t>
  </si>
  <si>
    <t>16414 Hutchinson Drive</t>
  </si>
  <si>
    <t>klefsaas@hotmail.com</t>
  </si>
  <si>
    <t>ajklefsaas@gmail.com</t>
  </si>
  <si>
    <t>Adelaide</t>
  </si>
  <si>
    <t>Klefsaas</t>
  </si>
  <si>
    <t>Adelaide Klefsaas</t>
  </si>
  <si>
    <t>35585 Aztec Rd</t>
  </si>
  <si>
    <t>Motley</t>
  </si>
  <si>
    <t>oklefsaas98@hotmail.com</t>
  </si>
  <si>
    <t>Olivia Klefsaas</t>
  </si>
  <si>
    <t>Sgdavenport14@my.trine.edu</t>
  </si>
  <si>
    <t>Sarah Davenport</t>
  </si>
  <si>
    <t>3305 E Shaughniss Rd</t>
  </si>
  <si>
    <t>shawna.hartman@ymail.com</t>
  </si>
  <si>
    <t>Shawna Hartman</t>
  </si>
  <si>
    <t>chrisjoyelizcopu@gmail.com</t>
  </si>
  <si>
    <t>Christine Copu</t>
  </si>
  <si>
    <t>11850 Brookville Road</t>
  </si>
  <si>
    <t>jeni@alittlemoore.com</t>
  </si>
  <si>
    <t>libby@alittlemoore.com</t>
  </si>
  <si>
    <t>Libby</t>
  </si>
  <si>
    <t>Libby Moore</t>
  </si>
  <si>
    <t>2900 Rushford Ct.</t>
  </si>
  <si>
    <t>darrinz@winco.net</t>
  </si>
  <si>
    <t>darrinz@mymctc.net</t>
  </si>
  <si>
    <t>Zielinski</t>
  </si>
  <si>
    <t>Hunter Zielinski</t>
  </si>
  <si>
    <t>844 TWP RD 150e</t>
  </si>
  <si>
    <t>Toulon</t>
  </si>
  <si>
    <t>elise.johnson1217@yahoo.com</t>
  </si>
  <si>
    <t>Elise Johnson</t>
  </si>
  <si>
    <t>5607 N Rosemead Dr.</t>
  </si>
  <si>
    <t>amarchulones@att.net</t>
  </si>
  <si>
    <t>Marchulones</t>
  </si>
  <si>
    <t>Ashley Marchulones</t>
  </si>
  <si>
    <t>1324 E Hill Crest Place</t>
  </si>
  <si>
    <t>mgrover@fbc301.org</t>
  </si>
  <si>
    <t>juliannagrover98@gmail.com</t>
  </si>
  <si>
    <t>Grover</t>
  </si>
  <si>
    <t>Julianna Grover</t>
  </si>
  <si>
    <t>718 June Lake Ln</t>
  </si>
  <si>
    <t>Atkinsons5@comcast.net</t>
  </si>
  <si>
    <t>Ajonas29@gmail.com</t>
  </si>
  <si>
    <t>Jonas</t>
  </si>
  <si>
    <t>Jonas Atkinson</t>
  </si>
  <si>
    <t>1401 Old Farm Lane</t>
  </si>
  <si>
    <t>benjaminchaffin@ymail.com</t>
  </si>
  <si>
    <t>Benjamin Chaffin</t>
  </si>
  <si>
    <t>nancyjohns88@gmail.com</t>
  </si>
  <si>
    <t>bballcj6@gmail.com</t>
  </si>
  <si>
    <t>Johns</t>
  </si>
  <si>
    <t>Corey Johns</t>
  </si>
  <si>
    <t>11515 Bradshaw St.</t>
  </si>
  <si>
    <t>kdkeener1998@gmail.com</t>
  </si>
  <si>
    <t>Christian Keener</t>
  </si>
  <si>
    <t>309 N US Highway 421 Lot A</t>
  </si>
  <si>
    <t>gary0033@gmail.com</t>
  </si>
  <si>
    <t>laineybrown4@gmail.com</t>
  </si>
  <si>
    <t>Lainey</t>
  </si>
  <si>
    <t>Lainey Brown</t>
  </si>
  <si>
    <t>4904 Barrington Lane</t>
  </si>
  <si>
    <t>carternbrown@gmail.com</t>
  </si>
  <si>
    <t>Carter Brown</t>
  </si>
  <si>
    <t>ksupurple5@yahoo.com</t>
  </si>
  <si>
    <t>justawildcat43@gmail.com</t>
  </si>
  <si>
    <t>Benjamin Kohl</t>
  </si>
  <si>
    <t>12817 Haskins Street</t>
  </si>
  <si>
    <t>calebisaac2010@gmail.com</t>
  </si>
  <si>
    <t>Calebisaac2010@gmail.com</t>
  </si>
  <si>
    <t>Caleb Isaac</t>
  </si>
  <si>
    <t>1281 Oldfield St</t>
  </si>
  <si>
    <t>marioguy5@yahoo.com</t>
  </si>
  <si>
    <t>Marioguy5@yahoo.com</t>
  </si>
  <si>
    <t>Byard</t>
  </si>
  <si>
    <t>Seth Byard</t>
  </si>
  <si>
    <t>4532 Morris Rd</t>
  </si>
  <si>
    <t>alecofsparta@gmail.com</t>
  </si>
  <si>
    <t>Alexander Shingler</t>
  </si>
  <si>
    <t>dgradin@mti.org</t>
  </si>
  <si>
    <t>aeringradin@gmail.com</t>
  </si>
  <si>
    <t>Aerin</t>
  </si>
  <si>
    <t>Gradin</t>
  </si>
  <si>
    <t>Aerin Gradin</t>
  </si>
  <si>
    <t>30889 Eleven Mile Rd</t>
  </si>
  <si>
    <t>Farmington Hills</t>
  </si>
  <si>
    <t>tennsoft10@att.net</t>
  </si>
  <si>
    <t>Mahasi</t>
  </si>
  <si>
    <t>Jodi Mahasi</t>
  </si>
  <si>
    <t>4217 N. Patricia Court</t>
  </si>
  <si>
    <t>bartoschfam@gmail.com</t>
  </si>
  <si>
    <t>gracebartosch@gmail.com</t>
  </si>
  <si>
    <t>Bartosch</t>
  </si>
  <si>
    <t>Grace Bartosch</t>
  </si>
  <si>
    <t>6612 Bestel Ave.</t>
  </si>
  <si>
    <t>gaylestaud@gmail.com</t>
  </si>
  <si>
    <t>danstaud@gmail.com</t>
  </si>
  <si>
    <t>Staudenmaier</t>
  </si>
  <si>
    <t>Daniel Staudenmaier</t>
  </si>
  <si>
    <t>15409 Bond</t>
  </si>
  <si>
    <t>2abigirl@gmail.com</t>
  </si>
  <si>
    <t>Phinney</t>
  </si>
  <si>
    <t>Abigail Phinney</t>
  </si>
  <si>
    <t>502 W. Miller</t>
  </si>
  <si>
    <t>christensenlynn@msn.com</t>
  </si>
  <si>
    <t>christensenjosh@outlook.com</t>
  </si>
  <si>
    <t>Joshua Christensen</t>
  </si>
  <si>
    <t>9252 Crestmore Way</t>
  </si>
  <si>
    <t>bencindyhenry@gmail.com</t>
  </si>
  <si>
    <t>Megan Henry</t>
  </si>
  <si>
    <t>vangorp95@live.com</t>
  </si>
  <si>
    <t>Van Gorp</t>
  </si>
  <si>
    <t>Joy Van Gorp</t>
  </si>
  <si>
    <t>3915 W 21st ST</t>
  </si>
  <si>
    <t>dacrosser@gmail.com</t>
  </si>
  <si>
    <t>Crosser</t>
  </si>
  <si>
    <t>Joshua Crosser</t>
  </si>
  <si>
    <t>10617 Sonoma Ridge</t>
  </si>
  <si>
    <t>staylor@tcmfirm.com</t>
  </si>
  <si>
    <t>staylor@stmarysmemphis.net</t>
  </si>
  <si>
    <t>Sarah Taylor</t>
  </si>
  <si>
    <t>5501 Wood Ridge Cove</t>
  </si>
  <si>
    <t>refauth@live.com</t>
  </si>
  <si>
    <t>Richard Fauth</t>
  </si>
  <si>
    <t>1551 40th Avenue Court</t>
  </si>
  <si>
    <t>Isaiah Knott</t>
  </si>
  <si>
    <t>thestmaries@msn.com</t>
  </si>
  <si>
    <t>jrsjackattacks@gmail.com</t>
  </si>
  <si>
    <t>St. Marie</t>
  </si>
  <si>
    <t>Joshua St. Marie</t>
  </si>
  <si>
    <t>607 Shrubland Dr.</t>
  </si>
  <si>
    <t>jennlove10@hotmail.com</t>
  </si>
  <si>
    <t>3dstars1@gmail.com</t>
  </si>
  <si>
    <t>Abigail Loveless</t>
  </si>
  <si>
    <t>2020 Mill Rd.</t>
  </si>
  <si>
    <t>Moscow</t>
  </si>
  <si>
    <t>jkwedel@msn.com</t>
  </si>
  <si>
    <t>benjiwedel@gmail.com</t>
  </si>
  <si>
    <t>Benjamin Wedel</t>
  </si>
  <si>
    <t>8843 Woodhill Drive</t>
  </si>
  <si>
    <t>clhsin@comcast.net</t>
  </si>
  <si>
    <t>Maddiehsin@gmail.com</t>
  </si>
  <si>
    <t>Hsin</t>
  </si>
  <si>
    <t>Madeleine Hsin</t>
  </si>
  <si>
    <t>10035 s. Brisbane ln.</t>
  </si>
  <si>
    <t>Highlands ranch</t>
  </si>
  <si>
    <t>jimmanchester@me.com</t>
  </si>
  <si>
    <t>le35173@gmail.com</t>
  </si>
  <si>
    <t>Elise Manchester</t>
  </si>
  <si>
    <t>703 Kellogg Street</t>
  </si>
  <si>
    <t>PO Box 44</t>
  </si>
  <si>
    <t>Blairsburg</t>
  </si>
  <si>
    <t>meadvest@gmail.com</t>
  </si>
  <si>
    <t>willvest98@gmail.com</t>
  </si>
  <si>
    <t>William Vest</t>
  </si>
  <si>
    <t>614 Arrow Dr. NE</t>
  </si>
  <si>
    <t>gret1107@gmail.com</t>
  </si>
  <si>
    <t>faithgirlz94@gmail.com</t>
  </si>
  <si>
    <t>Nataleigh</t>
  </si>
  <si>
    <t>Nataleigh Everett</t>
  </si>
  <si>
    <t>515 Ohio St</t>
  </si>
  <si>
    <t>Zachary Hite</t>
  </si>
  <si>
    <t>tiffyfojtasek@yahoo.com</t>
  </si>
  <si>
    <t>jedfojtasek@gmail.com</t>
  </si>
  <si>
    <t>Fojtasek</t>
  </si>
  <si>
    <t>Jedidiah Fojtasek</t>
  </si>
  <si>
    <t>2517 County Road 415</t>
  </si>
  <si>
    <t>padams2327@gmail.com</t>
  </si>
  <si>
    <t>Madelyn Adams</t>
  </si>
  <si>
    <t>wendy.poch@gmail.com</t>
  </si>
  <si>
    <t>sew.the.drama@gmail.com</t>
  </si>
  <si>
    <t>Poch</t>
  </si>
  <si>
    <t>Tiffany Poch</t>
  </si>
  <si>
    <t>6386 Falling Leaf Circle</t>
  </si>
  <si>
    <t>ps_its_me4@yahoo.com</t>
  </si>
  <si>
    <t>Jenna Coffman</t>
  </si>
  <si>
    <t>speakski@gmail.com</t>
  </si>
  <si>
    <t>Speak</t>
  </si>
  <si>
    <t>Janae Speak</t>
  </si>
  <si>
    <t>115394 Wagon Wheel Drive</t>
  </si>
  <si>
    <t>Brighton</t>
  </si>
  <si>
    <t>david@byrdweb.com</t>
  </si>
  <si>
    <t>gbyrd@topamail.com</t>
  </si>
  <si>
    <t>Byrd</t>
  </si>
  <si>
    <t>Geneva Byrd</t>
  </si>
  <si>
    <t>PO Box 5913</t>
  </si>
  <si>
    <t>Goodyear</t>
  </si>
  <si>
    <t>shekissedme@pm.me</t>
  </si>
  <si>
    <t>hebrews124.1corinthians13@gmail.com</t>
  </si>
  <si>
    <t>Kammi</t>
  </si>
  <si>
    <t>Kammi Howell</t>
  </si>
  <si>
    <t>1417 S. Flanders St.</t>
  </si>
  <si>
    <t>josh1-9@new.rr.com</t>
  </si>
  <si>
    <t>maderbelle@gmail.com</t>
  </si>
  <si>
    <t>Gabrielle Mader</t>
  </si>
  <si>
    <t>W1585 Echo Valley Road</t>
  </si>
  <si>
    <t>jwbbnmn@aol.com</t>
  </si>
  <si>
    <t>estes100@aol.com</t>
  </si>
  <si>
    <t>Theodore Beebe</t>
  </si>
  <si>
    <t>4410 College Heights Circle</t>
  </si>
  <si>
    <t>marccarolyn@msn.com</t>
  </si>
  <si>
    <t>maseq32@gmail.com</t>
  </si>
  <si>
    <t>Sequeira</t>
  </si>
  <si>
    <t>Maria Sequeira</t>
  </si>
  <si>
    <t>1594 Charleston Drive</t>
  </si>
  <si>
    <t>karenediehl5@gmail.com</t>
  </si>
  <si>
    <t>Diehl</t>
  </si>
  <si>
    <t>Faith Diehl</t>
  </si>
  <si>
    <t>596 Birch Lane</t>
  </si>
  <si>
    <t>Arthwaya@yahoo.com</t>
  </si>
  <si>
    <t>Krista</t>
  </si>
  <si>
    <t>Meader</t>
  </si>
  <si>
    <t>Krista Meader</t>
  </si>
  <si>
    <t>37626 Elk Avenue</t>
  </si>
  <si>
    <t>North Branch</t>
  </si>
  <si>
    <t>kevin@madisonchapelfuneralhome.com</t>
  </si>
  <si>
    <t>bubba1012tn@gmail.com</t>
  </si>
  <si>
    <t>Marsh</t>
  </si>
  <si>
    <t>Austin Marsh</t>
  </si>
  <si>
    <t>7542 Bethel Road</t>
  </si>
  <si>
    <t>Prospect</t>
  </si>
  <si>
    <t>jennyparkici@hotmail.com</t>
  </si>
  <si>
    <t>leahp.chung@gmail.com</t>
  </si>
  <si>
    <t>Chung</t>
  </si>
  <si>
    <t>Leah Chung</t>
  </si>
  <si>
    <t>11155 E. Vassar Dr.</t>
  </si>
  <si>
    <t>farmboyisaac@gmail.com</t>
  </si>
  <si>
    <t>Fleshman</t>
  </si>
  <si>
    <t>Isaac Fleshman</t>
  </si>
  <si>
    <t>11516 w court st</t>
  </si>
  <si>
    <t>pasco</t>
  </si>
  <si>
    <t>sue@phinney.net</t>
  </si>
  <si>
    <t>april@phinney.net</t>
  </si>
  <si>
    <t>April Phinney</t>
  </si>
  <si>
    <t>6 Crystal Park Dr.</t>
  </si>
  <si>
    <t>Redstone</t>
  </si>
  <si>
    <t>rsrader@gmail.com</t>
  </si>
  <si>
    <t>dsrader@gmail.com</t>
  </si>
  <si>
    <t>srader</t>
  </si>
  <si>
    <t>Joseph srader</t>
  </si>
  <si>
    <t>11995 burlington</t>
  </si>
  <si>
    <t>Joshua Gauss</t>
  </si>
  <si>
    <t>1292 Township Rd.  353</t>
  </si>
  <si>
    <t>nathan@cardpaymentsolutions.com</t>
  </si>
  <si>
    <t>Nathan@cardpaymentsolutions.com</t>
  </si>
  <si>
    <t>Nathaniel Christopher</t>
  </si>
  <si>
    <t>1005 Hondros Circle</t>
  </si>
  <si>
    <t>weez_70@yahoo.com</t>
  </si>
  <si>
    <t>hersheykaitlynm@gmail.com</t>
  </si>
  <si>
    <t>Hershey</t>
  </si>
  <si>
    <t>Kaitlyn Hershey</t>
  </si>
  <si>
    <t>1173 Township Road 753</t>
  </si>
  <si>
    <t>kemper.bash58@gmail.com</t>
  </si>
  <si>
    <t>Kemper Bash</t>
  </si>
  <si>
    <t>PO Box 1559</t>
  </si>
  <si>
    <t>lockridges@verizon.net</t>
  </si>
  <si>
    <t>Messinger</t>
  </si>
  <si>
    <t>Daniel Messinger</t>
  </si>
  <si>
    <t>8613 Yellow Springs Rd</t>
  </si>
  <si>
    <t>Frederick</t>
  </si>
  <si>
    <t>austinhumphrey99@gmail.com</t>
  </si>
  <si>
    <t>Austin Humphrey</t>
  </si>
  <si>
    <t>hockley</t>
  </si>
  <si>
    <t>live4elohim24.7@gmail.com</t>
  </si>
  <si>
    <t>Christian Johnson</t>
  </si>
  <si>
    <t>1621 S Old Dixie Hwy</t>
  </si>
  <si>
    <t>Bunnell</t>
  </si>
  <si>
    <t>mdean@midlandchristianschool.org</t>
  </si>
  <si>
    <t>Mark Dean</t>
  </si>
  <si>
    <t>2605 Fannin Avenue</t>
  </si>
  <si>
    <t>Kritzman</t>
  </si>
  <si>
    <t>Emma Kritzman</t>
  </si>
  <si>
    <t>920 Amelia Dr. NE</t>
  </si>
  <si>
    <t>dparkhurst16@mcstangs.org</t>
  </si>
  <si>
    <t>parkhurst</t>
  </si>
  <si>
    <t>daniel parkhurst</t>
  </si>
  <si>
    <t>2803 lockheed</t>
  </si>
  <si>
    <t>rinka5@comcast.net</t>
  </si>
  <si>
    <t>wnickel52@gmail.com</t>
  </si>
  <si>
    <t>Wilson Nickel</t>
  </si>
  <si>
    <t>438 Main Street</t>
  </si>
  <si>
    <t>Middlefield</t>
  </si>
  <si>
    <t>ty_urban@comcast.net</t>
  </si>
  <si>
    <t>Urban</t>
  </si>
  <si>
    <t>Tyler Urban</t>
  </si>
  <si>
    <t>1084Titanite Place</t>
  </si>
  <si>
    <t>llangholz@hotmail.com</t>
  </si>
  <si>
    <t>Langholz</t>
  </si>
  <si>
    <t>Sarah Langholz</t>
  </si>
  <si>
    <t>4531 Deer View Rd</t>
  </si>
  <si>
    <t>Nathan Langholz</t>
  </si>
  <si>
    <t>4531 Deer View Rd.</t>
  </si>
  <si>
    <t>amy.isvik@wartburg.edu</t>
  </si>
  <si>
    <t>Isvik</t>
  </si>
  <si>
    <t>Amy Isvik</t>
  </si>
  <si>
    <t>2331 295th Street</t>
  </si>
  <si>
    <t>Jewell</t>
  </si>
  <si>
    <t>isaaciverson1024@gmail.com</t>
  </si>
  <si>
    <t>Iverson</t>
  </si>
  <si>
    <t>Isaac Iverson</t>
  </si>
  <si>
    <t>6 Ridgemont Dr</t>
  </si>
  <si>
    <t>pandjpietroburgo@yahoo.com</t>
  </si>
  <si>
    <t>Pietroburgo</t>
  </si>
  <si>
    <t>Jesse Pietroburgo</t>
  </si>
  <si>
    <t>7002 US Hwy 160</t>
  </si>
  <si>
    <t>joey.arellanes@yahoo.com</t>
  </si>
  <si>
    <t>Arellanes</t>
  </si>
  <si>
    <t>Joseph Arellanes</t>
  </si>
  <si>
    <t>502 3rd Street PO Box 67</t>
  </si>
  <si>
    <t>c.breja@mchsi.com</t>
  </si>
  <si>
    <t>kbreja38@gmail.com</t>
  </si>
  <si>
    <t>Breja</t>
  </si>
  <si>
    <t>Kelly Breja</t>
  </si>
  <si>
    <t>5909 Blairs Ferry rd</t>
  </si>
  <si>
    <t>malohrenz12@gmail.com</t>
  </si>
  <si>
    <t>Lohrenz</t>
  </si>
  <si>
    <t>Melissa Lohrenz</t>
  </si>
  <si>
    <t>P.O. Box 82</t>
  </si>
  <si>
    <t>rush0ca2@gmail.com</t>
  </si>
  <si>
    <t>Roush</t>
  </si>
  <si>
    <t>Sage Roush</t>
  </si>
  <si>
    <t>506 Winchester</t>
  </si>
  <si>
    <t>maxgonebyebye@hotmail.com</t>
  </si>
  <si>
    <t>jacob17443@gmail.com</t>
  </si>
  <si>
    <t>Funk</t>
  </si>
  <si>
    <t>Jacob Funk</t>
  </si>
  <si>
    <t>41 Frances Ln</t>
  </si>
  <si>
    <t>Chula</t>
  </si>
  <si>
    <t>67gmoon@gmail.com</t>
  </si>
  <si>
    <t>Engel</t>
  </si>
  <si>
    <t>Phoebe Engel</t>
  </si>
  <si>
    <t>PO Box 1579</t>
  </si>
  <si>
    <t>Bryson City</t>
  </si>
  <si>
    <t>keripeace@charter.net</t>
  </si>
  <si>
    <t>Keripeace@charter.net</t>
  </si>
  <si>
    <t>Peace</t>
  </si>
  <si>
    <t>Caleb Peace</t>
  </si>
  <si>
    <t>821 Beau Chene Drive</t>
  </si>
  <si>
    <t>mandeville</t>
  </si>
  <si>
    <t>edalytribe@gmail.com</t>
  </si>
  <si>
    <t>Emily Daly</t>
  </si>
  <si>
    <t>nolan.s.barrick@dupont.com</t>
  </si>
  <si>
    <t>isaacbarrick@yahoo.com</t>
  </si>
  <si>
    <t>Isaac Barrick</t>
  </si>
  <si>
    <t>pgreenplate@gmail.com</t>
  </si>
  <si>
    <t>ri.greenplate98@gmail.com</t>
  </si>
  <si>
    <t>Soriya</t>
  </si>
  <si>
    <t>Greenplate</t>
  </si>
  <si>
    <t>Soriya Greenplate</t>
  </si>
  <si>
    <t>11 Glen Oak Drive</t>
  </si>
  <si>
    <t>Landenberg</t>
  </si>
  <si>
    <t>wguyrob@aol.com</t>
  </si>
  <si>
    <t>Elizabeth Robinson</t>
  </si>
  <si>
    <t>19 Camino Collado</t>
  </si>
  <si>
    <t>Edgewood</t>
  </si>
  <si>
    <t>blvasa@hotmail.com</t>
  </si>
  <si>
    <t>VAmend16@mcstangs.org</t>
  </si>
  <si>
    <t>Viktoria Amend</t>
  </si>
  <si>
    <t>11503 WCR 52</t>
  </si>
  <si>
    <t>jensa.haring@gmail.com</t>
  </si>
  <si>
    <t>Jensa</t>
  </si>
  <si>
    <t>Haring</t>
  </si>
  <si>
    <t>Jensa Haring</t>
  </si>
  <si>
    <t>3645 Saddle Rock Rd</t>
  </si>
  <si>
    <t>rayzerbacks6@hotmail.com</t>
  </si>
  <si>
    <t>rayzerbacks96@hotmail.com</t>
  </si>
  <si>
    <t>Titus Ray</t>
  </si>
  <si>
    <t>2400 McFarland Dr</t>
  </si>
  <si>
    <t>Apartment #204 F</t>
  </si>
  <si>
    <t>trueimage33@gmail.com</t>
  </si>
  <si>
    <t>perfect24.7@gmail.com</t>
  </si>
  <si>
    <t>Jerri</t>
  </si>
  <si>
    <t>Temple</t>
  </si>
  <si>
    <t>Jerri Temple</t>
  </si>
  <si>
    <t>7428 Normandy Dr NE</t>
  </si>
  <si>
    <t>lawone77@gmail.com</t>
  </si>
  <si>
    <t>doubleljoy@gmail.com</t>
  </si>
  <si>
    <t>Lawton</t>
  </si>
  <si>
    <t>Lydia Lawton</t>
  </si>
  <si>
    <t>6356 Gunslinger Drive</t>
  </si>
  <si>
    <t>bbakken5@gmail.com</t>
  </si>
  <si>
    <t>Abbey4597@gmail.com</t>
  </si>
  <si>
    <t>Bakken</t>
  </si>
  <si>
    <t>Abigail Bakken</t>
  </si>
  <si>
    <t>9775 201 st w</t>
  </si>
  <si>
    <t>julierodin2004@yahoo.com</t>
  </si>
  <si>
    <t>Lukerodin@gmail.com</t>
  </si>
  <si>
    <t>Rodin</t>
  </si>
  <si>
    <t>Luke Rodin</t>
  </si>
  <si>
    <t>154 Hunters Hill Drive</t>
  </si>
  <si>
    <t>dannahafner@yahoo.com</t>
  </si>
  <si>
    <t>Jordan_kendall@ymail.com</t>
  </si>
  <si>
    <t>Hafner</t>
  </si>
  <si>
    <t>Jordan Hafner</t>
  </si>
  <si>
    <t>112 Richland Drive</t>
  </si>
  <si>
    <t>Palestine</t>
  </si>
  <si>
    <t>teknowlton8@gmail.com</t>
  </si>
  <si>
    <t>Thomas Knowlton</t>
  </si>
  <si>
    <t>4475 South 150 West</t>
  </si>
  <si>
    <t>Pleasant Lake</t>
  </si>
  <si>
    <t>skand@bellsouth.net</t>
  </si>
  <si>
    <t>crossfireerh75@gmail.com</t>
  </si>
  <si>
    <t>Wollenhaupt</t>
  </si>
  <si>
    <t>Andrew Wollenhaupt</t>
  </si>
  <si>
    <t>215 Brighton Path</t>
  </si>
  <si>
    <t>aggiecoach97@yahoo.com</t>
  </si>
  <si>
    <t>joshuahanson@mountvernon.k12.ia.us</t>
  </si>
  <si>
    <t>Josh Hanson</t>
  </si>
  <si>
    <t>308 5th Ave NW</t>
  </si>
  <si>
    <t>heatherrittgers@gmail.com</t>
  </si>
  <si>
    <t>hadleyradley@yahoo.com</t>
  </si>
  <si>
    <t>Hadley</t>
  </si>
  <si>
    <t>Rittgers</t>
  </si>
  <si>
    <t>Hadley Rittgers</t>
  </si>
  <si>
    <t>2890 Twinleaf Rd</t>
  </si>
  <si>
    <t>harittgers@gmail.com</t>
  </si>
  <si>
    <t>Halle Rittgers</t>
  </si>
  <si>
    <t>hollyanitahowell@gmail.com</t>
  </si>
  <si>
    <t>Moriah Howell</t>
  </si>
  <si>
    <t>7844 CR 8580</t>
  </si>
  <si>
    <t>jkdufour3@gmail.com</t>
  </si>
  <si>
    <t>John-Keith</t>
  </si>
  <si>
    <t>Dufour</t>
  </si>
  <si>
    <t>John-Keith Dufour</t>
  </si>
  <si>
    <t>110 North Drive</t>
  </si>
  <si>
    <t>Covington</t>
  </si>
  <si>
    <t>mariannekcox@gmail.com</t>
  </si>
  <si>
    <t>Madelinemcox@gmail.com</t>
  </si>
  <si>
    <t>Madeline Cox</t>
  </si>
  <si>
    <t>3632 Flora Drive</t>
  </si>
  <si>
    <t>wcroyston@yahoo.com</t>
  </si>
  <si>
    <t>Cullen</t>
  </si>
  <si>
    <t>Cullen Royston</t>
  </si>
  <si>
    <t>361 yoakley rd.</t>
  </si>
  <si>
    <t>blountville</t>
  </si>
  <si>
    <t>edaubin@aol.com</t>
  </si>
  <si>
    <t>1biolego@gmail.com</t>
  </si>
  <si>
    <t>Daubin</t>
  </si>
  <si>
    <t>Max Daubin</t>
  </si>
  <si>
    <t>113 Crimson Orchard Dr</t>
  </si>
  <si>
    <t>mtbiker96@gmail.com</t>
  </si>
  <si>
    <t>Grant Daubin</t>
  </si>
  <si>
    <t>kettel@commspeed.net</t>
  </si>
  <si>
    <t>saraannemarie1@gmail.com</t>
  </si>
  <si>
    <t>Sara-Anne</t>
  </si>
  <si>
    <t>Sara-Anne Kettelkamp</t>
  </si>
  <si>
    <t>1310 Secrist road</t>
  </si>
  <si>
    <t>mikelitz40@yahoo.com</t>
  </si>
  <si>
    <t>Mike</t>
  </si>
  <si>
    <t>Mike Litz</t>
  </si>
  <si>
    <t>Bridle Wood Trl</t>
  </si>
  <si>
    <t>csstick56@hotmail.com</t>
  </si>
  <si>
    <t>grantblomgren@gmail.com</t>
  </si>
  <si>
    <t>Blomgren</t>
  </si>
  <si>
    <t>Grant Blomgren</t>
  </si>
  <si>
    <t>6313 N Forker Rd</t>
  </si>
  <si>
    <t>hwshira@frontier.com</t>
  </si>
  <si>
    <t>sethrivett@gmail.com</t>
  </si>
  <si>
    <t>Rivett</t>
  </si>
  <si>
    <t>Seth Rivett</t>
  </si>
  <si>
    <t>2693 N. Hughes Rd.</t>
  </si>
  <si>
    <t>emilygarmon97@aol.com</t>
  </si>
  <si>
    <t>Garmon</t>
  </si>
  <si>
    <t>Emily Garmon</t>
  </si>
  <si>
    <t>bookworm.madi16@gmail.com</t>
  </si>
  <si>
    <t>Crawley</t>
  </si>
  <si>
    <t>Madison Crawley</t>
  </si>
  <si>
    <t>7920 Turnberry Ln.</t>
  </si>
  <si>
    <t>hardiehome@netscape.com</t>
  </si>
  <si>
    <t>Hardie</t>
  </si>
  <si>
    <t>Mikayla Hardie</t>
  </si>
  <si>
    <t>2900 Mistywood Lane</t>
  </si>
  <si>
    <t>lmorris087@gmail.com</t>
  </si>
  <si>
    <t>anderson.m654@gmail.com</t>
  </si>
  <si>
    <t>Anderson Morris</t>
  </si>
  <si>
    <t>176 Blue Heron Dr</t>
  </si>
  <si>
    <t>dennyandconnie@gmail.com</t>
  </si>
  <si>
    <t>Elizabeth Skaff</t>
  </si>
  <si>
    <t>3745 Jordans Grove Rd</t>
  </si>
  <si>
    <t>wise.son3@gmail.com</t>
  </si>
  <si>
    <t>James Wise</t>
  </si>
  <si>
    <t>mads101397@gmail.com</t>
  </si>
  <si>
    <t>Madison Riley</t>
  </si>
  <si>
    <t>4130 Monarch Ave</t>
  </si>
  <si>
    <t>katymm1@hotmail.com</t>
  </si>
  <si>
    <t>Katheryn</t>
  </si>
  <si>
    <t>Katheryn Marley</t>
  </si>
  <si>
    <t>simonamtlcb@cs.com</t>
  </si>
  <si>
    <t>cjs.simon@gmail.com</t>
  </si>
  <si>
    <t>Carolyn Simon</t>
  </si>
  <si>
    <t>2480 Westwind Ln NE</t>
  </si>
  <si>
    <t>vajulie@q.com</t>
  </si>
  <si>
    <t>emily10@q.com</t>
  </si>
  <si>
    <t>Pecinovsky</t>
  </si>
  <si>
    <t>Emily Pecinovsky</t>
  </si>
  <si>
    <t>5778 Sanden rd</t>
  </si>
  <si>
    <t>holly.rohrssen@gmail.com</t>
  </si>
  <si>
    <t>Holly.rohrssen@gmail.com</t>
  </si>
  <si>
    <t>4525 Troy Mills Rd</t>
  </si>
  <si>
    <t>Center Point</t>
  </si>
  <si>
    <t>angie.carlile@gmail.com</t>
  </si>
  <si>
    <t>ben4143@gmail.com</t>
  </si>
  <si>
    <t>Benjamin Carlile</t>
  </si>
  <si>
    <t>267 Norman Drive NE</t>
  </si>
  <si>
    <t>melissa.upchurch@roche.com</t>
  </si>
  <si>
    <t>Liennamacyu@aol.com</t>
  </si>
  <si>
    <t>Lienna</t>
  </si>
  <si>
    <t>Upchurch</t>
  </si>
  <si>
    <t>Lienna Upchurch</t>
  </si>
  <si>
    <t>10025 Miranda Cir</t>
  </si>
  <si>
    <t>Marissa@bushlack.com</t>
  </si>
  <si>
    <t>Marissa Bushlack</t>
  </si>
  <si>
    <t>335 Irish Drive</t>
  </si>
  <si>
    <t>allthetaylors@mchsi.com</t>
  </si>
  <si>
    <t>3832 Bever Ave</t>
  </si>
  <si>
    <t>contactginaa@yahoo.com</t>
  </si>
  <si>
    <t>zachoryanguiano@gmail.com</t>
  </si>
  <si>
    <t>Anguiano</t>
  </si>
  <si>
    <t>Zach Anguiano</t>
  </si>
  <si>
    <t>4688 Cedar Glen Pl</t>
  </si>
  <si>
    <t>jnnystrv3398@gmail.com</t>
  </si>
  <si>
    <t>Struve</t>
  </si>
  <si>
    <t>Jon Struve</t>
  </si>
  <si>
    <t>3350 26th Ave</t>
  </si>
  <si>
    <t>znanook@yahoo.com</t>
  </si>
  <si>
    <t>Jessie Zimmerman</t>
  </si>
  <si>
    <t>35555 Kenai Spur Hwy #453</t>
  </si>
  <si>
    <t>kristie@kristiebabcock.com</t>
  </si>
  <si>
    <t>cnnrleaf@gmail.com</t>
  </si>
  <si>
    <t>Leaf</t>
  </si>
  <si>
    <t>Connor Leaf</t>
  </si>
  <si>
    <t>PO Box 910</t>
  </si>
  <si>
    <t>cheddarbomb23@gmail.com</t>
  </si>
  <si>
    <t>Noah Leaf</t>
  </si>
  <si>
    <t>hardwickes@sbcglobal.net</t>
  </si>
  <si>
    <t>squeaky-wheel@sbcglobal.net</t>
  </si>
  <si>
    <t>Hardwicke</t>
  </si>
  <si>
    <t>Rebekah Hardwicke</t>
  </si>
  <si>
    <t>3804 95th St.</t>
  </si>
  <si>
    <t>forsythescott89@yahoo.com</t>
  </si>
  <si>
    <t>forsythekayla16@yahoo.com</t>
  </si>
  <si>
    <t>Forsythe</t>
  </si>
  <si>
    <t>Kayla Forsythe</t>
  </si>
  <si>
    <t>11906 Four Colonies</t>
  </si>
  <si>
    <t>mnflorell@me.com</t>
  </si>
  <si>
    <t>natliveordie@gmail.com</t>
  </si>
  <si>
    <t>Raegan</t>
  </si>
  <si>
    <t>Florell</t>
  </si>
  <si>
    <t>Raegan Florell</t>
  </si>
  <si>
    <t>20478 Weld Co. Rd. 74</t>
  </si>
  <si>
    <t>sydcareyalaska@gmail.com</t>
  </si>
  <si>
    <t>Carey</t>
  </si>
  <si>
    <t>Sydney Carey</t>
  </si>
  <si>
    <t>37105 even lane</t>
  </si>
  <si>
    <t>cowgirl_rachel@hotmail.com</t>
  </si>
  <si>
    <t>Edgerton</t>
  </si>
  <si>
    <t>Rachel Edgerton</t>
  </si>
  <si>
    <t>10432 Lovett Rd.</t>
  </si>
  <si>
    <t>zdixiegirl@gmail.com</t>
  </si>
  <si>
    <t>Alexis Johnson</t>
  </si>
  <si>
    <t>1621 South Old Dixie Hwy.</t>
  </si>
  <si>
    <t>beckyburns@mac.com</t>
  </si>
  <si>
    <t>emaileburns@gmail.com</t>
  </si>
  <si>
    <t>Burns</t>
  </si>
  <si>
    <t>Emily Burns</t>
  </si>
  <si>
    <t>9563 Fawn Park Lane</t>
  </si>
  <si>
    <t>kll.czk@gmail.com</t>
  </si>
  <si>
    <t>danceonkey@gmail.com</t>
  </si>
  <si>
    <t>Cizek</t>
  </si>
  <si>
    <t>Victoria Cizek</t>
  </si>
  <si>
    <t>33060 Baylor St.</t>
  </si>
  <si>
    <t>4gore@suddenlink.net</t>
  </si>
  <si>
    <t>lindsey.gore0@gmail.com</t>
  </si>
  <si>
    <t>Gore</t>
  </si>
  <si>
    <t>Lindsey Gore</t>
  </si>
  <si>
    <t>8406 Spring Creek</t>
  </si>
  <si>
    <t>carly.hicks1@yahoo.com</t>
  </si>
  <si>
    <t>Carly Hicks</t>
  </si>
  <si>
    <t>5475 Blue Ridge</t>
  </si>
  <si>
    <t>bobhosmon@gmail.com</t>
  </si>
  <si>
    <t>Hosmon</t>
  </si>
  <si>
    <t>Robert Hosmon</t>
  </si>
  <si>
    <t>6890 county rd V</t>
  </si>
  <si>
    <t>Gillett</t>
  </si>
  <si>
    <t>dasherslocum@gmail.com</t>
  </si>
  <si>
    <t>David Slocum</t>
  </si>
  <si>
    <t>lav1623@hotmail.com</t>
  </si>
  <si>
    <t>ksvskibunny@yahoo.com</t>
  </si>
  <si>
    <t>Kalie</t>
  </si>
  <si>
    <t>Villanueva</t>
  </si>
  <si>
    <t>Kalie Villanueva</t>
  </si>
  <si>
    <t>1067 W. Shenandoah Dr.</t>
  </si>
  <si>
    <t>the5graves@live.com</t>
  </si>
  <si>
    <t>npgreader@live.com</t>
  </si>
  <si>
    <t>Nathan Graves</t>
  </si>
  <si>
    <t>232 Pawnee Drive</t>
  </si>
  <si>
    <t>lance.greco@gmail.com</t>
  </si>
  <si>
    <t>craegreco@gmail.com</t>
  </si>
  <si>
    <t>Callista</t>
  </si>
  <si>
    <t>Greco</t>
  </si>
  <si>
    <t>Callista Greco</t>
  </si>
  <si>
    <t>2009 Blake Blvd SE</t>
  </si>
  <si>
    <t>rob3950@gmail.com</t>
  </si>
  <si>
    <t>dmilam3554@gmail.com</t>
  </si>
  <si>
    <t>Milam</t>
  </si>
  <si>
    <t>Douglas Milam</t>
  </si>
  <si>
    <t>9247 W. Mountain View RD</t>
  </si>
  <si>
    <t>mrraunikar@sabrenation.org</t>
  </si>
  <si>
    <t>Matthew Raunikar</t>
  </si>
  <si>
    <t>rndhixon@yahoo.com</t>
  </si>
  <si>
    <t>Hixon</t>
  </si>
  <si>
    <t>Joshua Hixon</t>
  </si>
  <si>
    <t>545 N. Oliver Rd.</t>
  </si>
  <si>
    <t>mclechtenberg@earthlink.net</t>
  </si>
  <si>
    <t>ajlech789@gmail.com</t>
  </si>
  <si>
    <t>Lechtenberg</t>
  </si>
  <si>
    <t>Andrew Lechtenberg</t>
  </si>
  <si>
    <t>10312 Morris Rd</t>
  </si>
  <si>
    <t>jbarjhoofer@juno.com</t>
  </si>
  <si>
    <t>theriehlaura@gmail.com</t>
  </si>
  <si>
    <t>Riehl</t>
  </si>
  <si>
    <t>Laura Riehl</t>
  </si>
  <si>
    <t>5716 S. Dean Rd.</t>
  </si>
  <si>
    <t>elizabeth.lockwood@wartburg.edu</t>
  </si>
  <si>
    <t>Lockwood</t>
  </si>
  <si>
    <t>Elizabeth Lockwood</t>
  </si>
  <si>
    <t>743 Apricot Ave</t>
  </si>
  <si>
    <t>Dows</t>
  </si>
  <si>
    <t>bbbowen5@gmail.com</t>
  </si>
  <si>
    <t>seven17llb@gmail.com</t>
  </si>
  <si>
    <t>Bowen</t>
  </si>
  <si>
    <t>Laura Bowen</t>
  </si>
  <si>
    <t>25 Eden Acres Lane</t>
  </si>
  <si>
    <t>Great Falls</t>
  </si>
  <si>
    <t>susanmadasu.sm@gmail.com</t>
  </si>
  <si>
    <t>Madasu</t>
  </si>
  <si>
    <t>Susan Madasu</t>
  </si>
  <si>
    <t>7606 QuailTrail NE</t>
  </si>
  <si>
    <t>deemichael68@gmail.com</t>
  </si>
  <si>
    <t>c3michael@comcast.net</t>
  </si>
  <si>
    <t>Caeli</t>
  </si>
  <si>
    <t>Caeli Michael</t>
  </si>
  <si>
    <t>jshelby116@gmail.com</t>
  </si>
  <si>
    <t>JShelby16@mcstangs.org</t>
  </si>
  <si>
    <t>Jordan Shelby</t>
  </si>
  <si>
    <t>807 Woodland Park</t>
  </si>
  <si>
    <t>youngheinle@gmail.com</t>
  </si>
  <si>
    <t>Emma Heinle</t>
  </si>
  <si>
    <t>4246 Milligans Cove Road</t>
  </si>
  <si>
    <t>rhoxie.ellard@gmail.com</t>
  </si>
  <si>
    <t>Rhoxie</t>
  </si>
  <si>
    <t>Ellard</t>
  </si>
  <si>
    <t>Rhoxie Ellard</t>
  </si>
  <si>
    <t>100 Haleys Pond Drive</t>
  </si>
  <si>
    <t>terbud61@gmail.com</t>
  </si>
  <si>
    <t>budkeman0098@gmail.com</t>
  </si>
  <si>
    <t>Emmanuel</t>
  </si>
  <si>
    <t>Budke</t>
  </si>
  <si>
    <t>Emmanuel Budke</t>
  </si>
  <si>
    <t>PO Box 216</t>
  </si>
  <si>
    <t>Hoonah</t>
  </si>
  <si>
    <t>lori@5fischers.org</t>
  </si>
  <si>
    <t>anna@5fischers.org</t>
  </si>
  <si>
    <t>Anna Fischer</t>
  </si>
  <si>
    <t>2246 Olivine Drive</t>
  </si>
  <si>
    <t>rachelann.jellybean@gmail.com</t>
  </si>
  <si>
    <t>Rachel Stephens</t>
  </si>
  <si>
    <t>22422 Three Pines Dr</t>
  </si>
  <si>
    <t>grichardson@axisamerican.com</t>
  </si>
  <si>
    <t>drichardson16@mcstangs.org</t>
  </si>
  <si>
    <t>Daryl</t>
  </si>
  <si>
    <t>Daryl Richardson</t>
  </si>
  <si>
    <t>804 E County Road</t>
  </si>
  <si>
    <t>wdkcrsw@gmail.com</t>
  </si>
  <si>
    <t>wesleythe7th@gmail.com</t>
  </si>
  <si>
    <t>Jow</t>
  </si>
  <si>
    <t>Wesley Jow</t>
  </si>
  <si>
    <t>2345 E. Early Avenue</t>
  </si>
  <si>
    <t>Reedley</t>
  </si>
  <si>
    <t>kruth97@gmail.com</t>
  </si>
  <si>
    <t>Keila</t>
  </si>
  <si>
    <t>Pieters</t>
  </si>
  <si>
    <t>Keila Pieters</t>
  </si>
  <si>
    <t>Apdo. Postal 10</t>
  </si>
  <si>
    <t>Ojo de Agua</t>
  </si>
  <si>
    <t>Tecamac</t>
  </si>
  <si>
    <t>EdoMex</t>
  </si>
  <si>
    <t>C.P.55770</t>
  </si>
  <si>
    <t>kihmcgee@gmail.com</t>
  </si>
  <si>
    <t>billymcgee96@gmail.com</t>
  </si>
  <si>
    <t>McGee</t>
  </si>
  <si>
    <t>William McGee</t>
  </si>
  <si>
    <t>3397 Oktoc Road</t>
  </si>
  <si>
    <t>3silverbelles@gmail.com</t>
  </si>
  <si>
    <t>Abigail Silver</t>
  </si>
  <si>
    <t>richelecorrin@gmail.com</t>
  </si>
  <si>
    <t>Richele</t>
  </si>
  <si>
    <t>Mcgahan</t>
  </si>
  <si>
    <t>Richele Mcgahan</t>
  </si>
  <si>
    <t>Po Box 337</t>
  </si>
  <si>
    <t>alexandra.lingle15@gmail.com</t>
  </si>
  <si>
    <t>Lingle</t>
  </si>
  <si>
    <t>Alexandra Lingle</t>
  </si>
  <si>
    <t>P.O. Box 1947</t>
  </si>
  <si>
    <t>pbain@me.com</t>
  </si>
  <si>
    <t>sabrinabain@me.com</t>
  </si>
  <si>
    <t>Bain</t>
  </si>
  <si>
    <t>Sabrina Bain</t>
  </si>
  <si>
    <t>613 Bosphorous Ave</t>
  </si>
  <si>
    <t>mundydw@appstate.edu</t>
  </si>
  <si>
    <t>Mundy</t>
  </si>
  <si>
    <t>David Mundy</t>
  </si>
  <si>
    <t>201 pebble stone lane</t>
  </si>
  <si>
    <t>Maatthews</t>
  </si>
  <si>
    <t>greg19@gmail.com</t>
  </si>
  <si>
    <t>ckheise7@gmail.com</t>
  </si>
  <si>
    <t>Heise</t>
  </si>
  <si>
    <t>Andrew Heise</t>
  </si>
  <si>
    <t>107 County Hills Ln</t>
  </si>
  <si>
    <t>joe@bureks.net</t>
  </si>
  <si>
    <t>Burek</t>
  </si>
  <si>
    <t>Joseph Burek</t>
  </si>
  <si>
    <t>8508 Hanford Dr</t>
  </si>
  <si>
    <t>tink.anniec@gmail.com</t>
  </si>
  <si>
    <t>Anna Carstensen</t>
  </si>
  <si>
    <t>2486 Sanctuary Circle</t>
  </si>
  <si>
    <t>jclambrecht97@msn.com</t>
  </si>
  <si>
    <t>John Lambrecht</t>
  </si>
  <si>
    <t>1113Toole Court</t>
  </si>
  <si>
    <t>RichMoore@centurytel.net</t>
  </si>
  <si>
    <t>jajones1996@gmail.com</t>
  </si>
  <si>
    <t>Josh Jones</t>
  </si>
  <si>
    <t>10903 State Route Vv</t>
  </si>
  <si>
    <t>flotodenise@gmail.com</t>
  </si>
  <si>
    <t>cjfsports@gmail.com</t>
  </si>
  <si>
    <t>Floto</t>
  </si>
  <si>
    <t>Cooper Floto</t>
  </si>
  <si>
    <t>5864 W Rowland Pl</t>
  </si>
  <si>
    <t>sydneyfowler@gmail.com</t>
  </si>
  <si>
    <t>Sydney Fowler</t>
  </si>
  <si>
    <t>1887 Snowflake Drive</t>
  </si>
  <si>
    <t>tandrews717@yahoo.com</t>
  </si>
  <si>
    <t>Makenzieandrews42997@gmail.com</t>
  </si>
  <si>
    <t>Makenzie</t>
  </si>
  <si>
    <t>Makenzie Andrews</t>
  </si>
  <si>
    <t>jt@cantrell4.net</t>
  </si>
  <si>
    <t>Cantrell</t>
  </si>
  <si>
    <t>Jeremiah Cantrell</t>
  </si>
  <si>
    <t>331 Brown Rd</t>
  </si>
  <si>
    <t>plainsmanangus@gmail.com</t>
  </si>
  <si>
    <t>jsze1997@gmail.com</t>
  </si>
  <si>
    <t>Jessica Anderson</t>
  </si>
  <si>
    <t>7657 County Road 3</t>
  </si>
  <si>
    <t>jonathan.grossi5134@gmail.com</t>
  </si>
  <si>
    <t>Grossi</t>
  </si>
  <si>
    <t>Jonathan Grossi</t>
  </si>
  <si>
    <t>818 Jairus Drive</t>
  </si>
  <si>
    <t>stretchthesecond@gmail.com</t>
  </si>
  <si>
    <t>Samuel Bearden</t>
  </si>
  <si>
    <t>2216 Caleb Dr.</t>
  </si>
  <si>
    <t>Searcy</t>
  </si>
  <si>
    <t>tbonemartinez@comcast.net</t>
  </si>
  <si>
    <t>Trent Martinez</t>
  </si>
  <si>
    <t>10663 East Maplewood Dr.</t>
  </si>
  <si>
    <t>rileymartinez96@comcast.net</t>
  </si>
  <si>
    <t>Riley Martinez</t>
  </si>
  <si>
    <t>jwh_11_@hotmail.com</t>
  </si>
  <si>
    <t>John Heard</t>
  </si>
  <si>
    <t>1190 Sequoya Tr.</t>
  </si>
  <si>
    <t>gailberberich@gmail.com</t>
  </si>
  <si>
    <t>bcberberich@gmail.com</t>
  </si>
  <si>
    <t>Berberich</t>
  </si>
  <si>
    <t>Brittany Berberich</t>
  </si>
  <si>
    <t>303 Crosshaven Place</t>
  </si>
  <si>
    <t>lretych@windstream.net</t>
  </si>
  <si>
    <t>aretych@windstream.net</t>
  </si>
  <si>
    <t>Retych</t>
  </si>
  <si>
    <t>Aaron Retych</t>
  </si>
  <si>
    <t>15521 Moss Glen Trail</t>
  </si>
  <si>
    <t>Newbury</t>
  </si>
  <si>
    <t>4cmcgowan@bellsouth.net</t>
  </si>
  <si>
    <t>Nicholas Wright</t>
  </si>
  <si>
    <t>lisawamsley@yahoo.com</t>
  </si>
  <si>
    <t>Wamsley</t>
  </si>
  <si>
    <t>Max Wamsley</t>
  </si>
  <si>
    <t>610 Rollingwood Dr</t>
  </si>
  <si>
    <t>Vicksburg</t>
  </si>
  <si>
    <t>llong0698@gmail.com</t>
  </si>
  <si>
    <t>Lynette</t>
  </si>
  <si>
    <t>Lynette Long</t>
  </si>
  <si>
    <t>strevett7@gmail.com</t>
  </si>
  <si>
    <t>dylan.strevett@gmail.com</t>
  </si>
  <si>
    <t>Strevett</t>
  </si>
  <si>
    <t>Dylan Strevett</t>
  </si>
  <si>
    <t>6725 Magnum Court</t>
  </si>
  <si>
    <t>littlespacequeen@gmail.com</t>
  </si>
  <si>
    <t>Hannah Dabill</t>
  </si>
  <si>
    <t>chrissydodd4@gmail.com</t>
  </si>
  <si>
    <t>Dodd</t>
  </si>
  <si>
    <t>Christina Dodd</t>
  </si>
  <si>
    <t>17748 kennison lane</t>
  </si>
  <si>
    <t>lodi</t>
  </si>
  <si>
    <t>clmichael996@gmail.com</t>
  </si>
  <si>
    <t>Corbin Michael</t>
  </si>
  <si>
    <t>North logan</t>
  </si>
  <si>
    <t>getti1218@gmail.com</t>
  </si>
  <si>
    <t>6256 West Main Rd</t>
  </si>
  <si>
    <t>the5campbells@gmail.com_configioDeactivated</t>
  </si>
  <si>
    <t>cozyundertherock@gmail.com</t>
  </si>
  <si>
    <t>Avery Campbell</t>
  </si>
  <si>
    <t>1118 Jefferson Drive West</t>
  </si>
  <si>
    <t>croneosu@aol.com</t>
  </si>
  <si>
    <t>Lindsay_crone@aol.com</t>
  </si>
  <si>
    <t>Crone</t>
  </si>
  <si>
    <t>Lindsay Crone</t>
  </si>
  <si>
    <t>PO Box 338</t>
  </si>
  <si>
    <t>jshultz@frontier.net</t>
  </si>
  <si>
    <t>brshultz@frontier.net</t>
  </si>
  <si>
    <t>Shultz</t>
  </si>
  <si>
    <t>Bethany Shultz</t>
  </si>
  <si>
    <t>5440 w 730 Rd.</t>
  </si>
  <si>
    <t>Hulbert</t>
  </si>
  <si>
    <t>musicalmind95@gmail.com</t>
  </si>
  <si>
    <t>olivia.imchen@gmail.com</t>
  </si>
  <si>
    <t>Limasangla</t>
  </si>
  <si>
    <t>Imchen</t>
  </si>
  <si>
    <t>Limasangla Imchen</t>
  </si>
  <si>
    <t>1287 Edgewood Drive</t>
  </si>
  <si>
    <t>East Earl</t>
  </si>
  <si>
    <t>dletal@albanytel.com</t>
  </si>
  <si>
    <t>matthiaslangley@gmail.com</t>
  </si>
  <si>
    <t>Matthias</t>
  </si>
  <si>
    <t>Matthias Langley</t>
  </si>
  <si>
    <t>31162 Sand Lake Rd</t>
  </si>
  <si>
    <t>johnsonfamily1982@sbcglobal.net</t>
  </si>
  <si>
    <t>isaacbj1998@gmail.com</t>
  </si>
  <si>
    <t>Isaac Johnson</t>
  </si>
  <si>
    <t>6126 Columbia St</t>
  </si>
  <si>
    <t>Haslett</t>
  </si>
  <si>
    <t>marcuslangley2@gmail.com</t>
  </si>
  <si>
    <t>Marcus Langley</t>
  </si>
  <si>
    <t>31162 Sand Lake Road</t>
  </si>
  <si>
    <t>thomasfun93@gmail.com</t>
  </si>
  <si>
    <t>forestborn99@gmail.com</t>
  </si>
  <si>
    <t>1177 Winewood Rd.</t>
  </si>
  <si>
    <t>jandkmusgrove@gmail.com</t>
  </si>
  <si>
    <t>musgrovecr@gmail.com</t>
  </si>
  <si>
    <t>Musgrove</t>
  </si>
  <si>
    <t>Carson Musgrove</t>
  </si>
  <si>
    <t>50765 Jones Road</t>
  </si>
  <si>
    <t>lynetteh75@yahoo.com</t>
  </si>
  <si>
    <t>3ethan13@gmail.com</t>
  </si>
  <si>
    <t>Ethan Lucero</t>
  </si>
  <si>
    <t>P o box 766</t>
  </si>
  <si>
    <t>frances@labourdetteranch.com</t>
  </si>
  <si>
    <t>Labourdette</t>
  </si>
  <si>
    <t>Christa Labourdette</t>
  </si>
  <si>
    <t>cathy.harvey89@gmail.com</t>
  </si>
  <si>
    <t>andrew.harvey92@gmail.com</t>
  </si>
  <si>
    <t>Andrew Harvey</t>
  </si>
  <si>
    <t>1015 New Dover Rd.</t>
  </si>
  <si>
    <t>Andrew.Smith.495@nc.rr.com</t>
  </si>
  <si>
    <t>Andrew Smith</t>
  </si>
  <si>
    <t>sergandbears@ymail.com</t>
  </si>
  <si>
    <t>Sergio</t>
  </si>
  <si>
    <t>Salazar</t>
  </si>
  <si>
    <t>Sergio Salazar</t>
  </si>
  <si>
    <t>344 First West</t>
  </si>
  <si>
    <t>Bunkerville</t>
  </si>
  <si>
    <t>Aspencer16@mcstangs.org</t>
  </si>
  <si>
    <t>Michael Spencer</t>
  </si>
  <si>
    <t>2901 south county road</t>
  </si>
  <si>
    <t>jonathonhastings@gmail.com</t>
  </si>
  <si>
    <t>Jonathon Hastings</t>
  </si>
  <si>
    <t>915 19th St</t>
  </si>
  <si>
    <t>Gering</t>
  </si>
  <si>
    <t>Christy Bullock</t>
  </si>
  <si>
    <t>tyork@san.rr.com</t>
  </si>
  <si>
    <t>Gyork.mcs@gmail.com</t>
  </si>
  <si>
    <t>Gabrielle York</t>
  </si>
  <si>
    <t>12103 Branicole Ln</t>
  </si>
  <si>
    <t>jbkurtz1984@yahoo.com</t>
  </si>
  <si>
    <t>jesus.rocks77@yahoo.com</t>
  </si>
  <si>
    <t>Natasha</t>
  </si>
  <si>
    <t>Kurtz</t>
  </si>
  <si>
    <t>Natasha Kurtz</t>
  </si>
  <si>
    <t>P.O. Box 548</t>
  </si>
  <si>
    <t>beecherteam@gmail.com</t>
  </si>
  <si>
    <t>Katrinarosebeecher@gmail.com</t>
  </si>
  <si>
    <t>Beecher</t>
  </si>
  <si>
    <t>Katrina Beecher</t>
  </si>
  <si>
    <t>800 south 15th street</t>
  </si>
  <si>
    <t>weaver.ellard@gmail.com</t>
  </si>
  <si>
    <t>Weaver</t>
  </si>
  <si>
    <t>Weaver Ellard</t>
  </si>
  <si>
    <t>100 haleys pond drive</t>
  </si>
  <si>
    <t>roswell</t>
  </si>
  <si>
    <t>nhjayfeather01@gmail.com</t>
  </si>
  <si>
    <t>Marianela</t>
  </si>
  <si>
    <t>Marianela Holmes</t>
  </si>
  <si>
    <t>710 130th St.</t>
  </si>
  <si>
    <t>Latimer</t>
  </si>
  <si>
    <t>pianofingers.96@gmail.com</t>
  </si>
  <si>
    <t>Elisabeth Smith</t>
  </si>
  <si>
    <t>8517 W Rupe Ave</t>
  </si>
  <si>
    <t>Enid</t>
  </si>
  <si>
    <t>remathews@earthlink.net</t>
  </si>
  <si>
    <t>jakemathews88@hotmail.com</t>
  </si>
  <si>
    <t>Jake Mathews</t>
  </si>
  <si>
    <t>6418 E. 12th</t>
  </si>
  <si>
    <t>setwinner@aol.com</t>
  </si>
  <si>
    <t>leapfork101@gmail.com</t>
  </si>
  <si>
    <t>James Brown</t>
  </si>
  <si>
    <t>3286 Southall Rd</t>
  </si>
  <si>
    <t>santahnahernandez@gmail.com</t>
  </si>
  <si>
    <t>Santahna</t>
  </si>
  <si>
    <t>Santahna Hernandez</t>
  </si>
  <si>
    <t>1743 Pennington Dr</t>
  </si>
  <si>
    <t>wawis339980@gmail.com</t>
  </si>
  <si>
    <t>Laura Ortiz</t>
  </si>
  <si>
    <t>pink.kennedy@yahoo.com</t>
  </si>
  <si>
    <t>2ndcolin@gmail.com</t>
  </si>
  <si>
    <t>Colin Kennedy</t>
  </si>
  <si>
    <t>6337 Canobie Ave</t>
  </si>
  <si>
    <t>Whittier</t>
  </si>
  <si>
    <t>haleigh_olsen@yahoo.com</t>
  </si>
  <si>
    <t>Olsen</t>
  </si>
  <si>
    <t>Haleigh Olsen</t>
  </si>
  <si>
    <t>1521 Delaware Ave</t>
  </si>
  <si>
    <t>DesMoines</t>
  </si>
  <si>
    <t>josht.ronda@gmail.com</t>
  </si>
  <si>
    <t>Ronda</t>
  </si>
  <si>
    <t>Joshua Ronda</t>
  </si>
  <si>
    <t>605 Del Sol St.</t>
  </si>
  <si>
    <t>karlii@sbcglobal.net</t>
  </si>
  <si>
    <t>nreuther97@gmail.com</t>
  </si>
  <si>
    <t>Reuther</t>
  </si>
  <si>
    <t>Nicholas Reuther</t>
  </si>
  <si>
    <t>2950 Millboro Rd</t>
  </si>
  <si>
    <t>Silver Lake</t>
  </si>
  <si>
    <t>elaina.reuther@gmail.com</t>
  </si>
  <si>
    <t>Elaina</t>
  </si>
  <si>
    <t>Elaina Reuther</t>
  </si>
  <si>
    <t>2950 Millboro Rd.</t>
  </si>
  <si>
    <t>hallkfaulk@att.net</t>
  </si>
  <si>
    <t>laurenfaulk98@att.net</t>
  </si>
  <si>
    <t>Faulkner</t>
  </si>
  <si>
    <t>Lauren Faulkner</t>
  </si>
  <si>
    <t>4450 Lebanon Road</t>
  </si>
  <si>
    <t>Danville</t>
  </si>
  <si>
    <t>calhooncrew@yahoo.com</t>
  </si>
  <si>
    <t>Calhoon</t>
  </si>
  <si>
    <t>Thomas Calhoon</t>
  </si>
  <si>
    <t>12055 Mountcrest Rd</t>
  </si>
  <si>
    <t>mcfrauen88@gmail.com_configioDeactivated</t>
  </si>
  <si>
    <t>Pedalcarman@gmail.com</t>
  </si>
  <si>
    <t>Carsten</t>
  </si>
  <si>
    <t>Frauenheim</t>
  </si>
  <si>
    <t>Carsten Frauenheim</t>
  </si>
  <si>
    <t>39 Chuparrosa Dr</t>
  </si>
  <si>
    <t>meganmnorris5@gmail.com</t>
  </si>
  <si>
    <t>Meganmnorris5@gmail.com</t>
  </si>
  <si>
    <t>Megan Norris</t>
  </si>
  <si>
    <t>210 Houston Way</t>
  </si>
  <si>
    <t>Pismo Beach</t>
  </si>
  <si>
    <t>read4@peoplepc.com</t>
  </si>
  <si>
    <t>zrman96@gmail.com</t>
  </si>
  <si>
    <t>Read</t>
  </si>
  <si>
    <t>Zachary Read</t>
  </si>
  <si>
    <t>2016 Bosbury Drive</t>
  </si>
  <si>
    <t>Kathimillsaps@Aol.com</t>
  </si>
  <si>
    <t>a.millsaps@aol.com</t>
  </si>
  <si>
    <t>Millsaps</t>
  </si>
  <si>
    <t>Andrew Millsaps</t>
  </si>
  <si>
    <t>2469 Hampstead Drive</t>
  </si>
  <si>
    <t>grayce.fleet@gmail.com</t>
  </si>
  <si>
    <t>camoscout@gmail.com</t>
  </si>
  <si>
    <t>Fleet</t>
  </si>
  <si>
    <t>Cameron Fleet</t>
  </si>
  <si>
    <t>511 Highway 96 N.</t>
  </si>
  <si>
    <t>Fairview</t>
  </si>
  <si>
    <t>susan@yardleyassociates.com</t>
  </si>
  <si>
    <t>penelopepraise@yahoo.com</t>
  </si>
  <si>
    <t>tcitmph@gmail.com</t>
  </si>
  <si>
    <t>Jeremiah Clay</t>
  </si>
  <si>
    <t>1204 Inwan Street</t>
  </si>
  <si>
    <t>debbierenk@gmail.com</t>
  </si>
  <si>
    <t>Renk</t>
  </si>
  <si>
    <t>Debra Renk</t>
  </si>
  <si>
    <t>272 Douglas Road</t>
  </si>
  <si>
    <t>paulacbj@gmail.com</t>
  </si>
  <si>
    <t>cstoesser@yahoo.com</t>
  </si>
  <si>
    <t>Stoesser</t>
  </si>
  <si>
    <t>Cameron Stoesser</t>
  </si>
  <si>
    <t>1460 Fairfax Ct.</t>
  </si>
  <si>
    <t>byronkward@hotmail.com</t>
  </si>
  <si>
    <t>Byron Ward</t>
  </si>
  <si>
    <t>1997 NW 5th Avenue</t>
  </si>
  <si>
    <t>TerriAbel@gmail.com</t>
  </si>
  <si>
    <t>collindar@gmail.com</t>
  </si>
  <si>
    <t>Collin Abel</t>
  </si>
  <si>
    <t>5241 Quarry Lane</t>
  </si>
  <si>
    <t>darrylharr@gmail.com</t>
  </si>
  <si>
    <t>alaina.michelle8@gmail.com</t>
  </si>
  <si>
    <t>Alaina</t>
  </si>
  <si>
    <t>Harrington</t>
  </si>
  <si>
    <t>Alaina Harrington</t>
  </si>
  <si>
    <t>910 Lynhurst Lane</t>
  </si>
  <si>
    <t>misstrueann@gmail.com</t>
  </si>
  <si>
    <t>Trudi</t>
  </si>
  <si>
    <t>Trudi Miller</t>
  </si>
  <si>
    <t>5031 Cosgrove Rd SW</t>
  </si>
  <si>
    <t>Kalona</t>
  </si>
  <si>
    <t>aubrey.kroger@gmail.com</t>
  </si>
  <si>
    <t>Kroger</t>
  </si>
  <si>
    <t>Aubrey Kroger</t>
  </si>
  <si>
    <t>124 Bristol St</t>
  </si>
  <si>
    <t>carrieverwers@gmail.com</t>
  </si>
  <si>
    <t>Verwers</t>
  </si>
  <si>
    <t>Carrie Verwers</t>
  </si>
  <si>
    <t>5989 White Settlement Rd.</t>
  </si>
  <si>
    <t>dstephens1155@gmail.com</t>
  </si>
  <si>
    <t>Dstephens1155@gmail.com</t>
  </si>
  <si>
    <t>Dustin Stephens</t>
  </si>
  <si>
    <t>1155 Tulip Ct.</t>
  </si>
  <si>
    <t>daniel.shore.emme@gmail.com</t>
  </si>
  <si>
    <t>Emme</t>
  </si>
  <si>
    <t>Daniel Emme</t>
  </si>
  <si>
    <t>14413 SE 260th st.</t>
  </si>
  <si>
    <t>mlcc@bis.midco.net</t>
  </si>
  <si>
    <t>Clay Roberts</t>
  </si>
  <si>
    <t>111 east brandon dr</t>
  </si>
  <si>
    <t>bismarck</t>
  </si>
  <si>
    <t>berglundx4@me.com</t>
  </si>
  <si>
    <t>appaloosa3@me.com</t>
  </si>
  <si>
    <t>Berglund</t>
  </si>
  <si>
    <t>Olivia Berglund</t>
  </si>
  <si>
    <t>561 Bristolwood Lane</t>
  </si>
  <si>
    <t>Castle Pines</t>
  </si>
  <si>
    <t>sadlerfamily93@gmail.com</t>
  </si>
  <si>
    <t>Sadler</t>
  </si>
  <si>
    <t>John Sadler</t>
  </si>
  <si>
    <t>621 Briar Gate Lane</t>
  </si>
  <si>
    <t>elijah.dahl@nwciowa.edu</t>
  </si>
  <si>
    <t>Dahl</t>
  </si>
  <si>
    <t>Elijah Dahl</t>
  </si>
  <si>
    <t>111 5th St. NE</t>
  </si>
  <si>
    <t>tenorjosh@hotmail.com</t>
  </si>
  <si>
    <t>sylvia.childofgod@hotmail.com</t>
  </si>
  <si>
    <t>Sylvia Peterson</t>
  </si>
  <si>
    <t>302 S. Railway St.</t>
  </si>
  <si>
    <t>Mascoutah</t>
  </si>
  <si>
    <t>broadsword-woodsmith@hotmail.com</t>
  </si>
  <si>
    <t>Knut</t>
  </si>
  <si>
    <t>Knut Peterson</t>
  </si>
  <si>
    <t>tgreer3@bellsouth.net</t>
  </si>
  <si>
    <t>Clayton Greer</t>
  </si>
  <si>
    <t>18 Redvales Road</t>
  </si>
  <si>
    <t>john.j.jesus@gmail.com</t>
  </si>
  <si>
    <t>EPJesus@cadet.vfmac.edu</t>
  </si>
  <si>
    <t>Elias</t>
  </si>
  <si>
    <t>Jesus</t>
  </si>
  <si>
    <t>Elias Jesus</t>
  </si>
  <si>
    <t>4500 Belvedere Drive</t>
  </si>
  <si>
    <t>family@vanderhamm.net</t>
  </si>
  <si>
    <t>Vander Hamm</t>
  </si>
  <si>
    <t>Grace Vander Hamm</t>
  </si>
  <si>
    <t>301 Hap Arnold Rd.</t>
  </si>
  <si>
    <t>Barksdale AFB</t>
  </si>
  <si>
    <t>chanin@netgilman.com</t>
  </si>
  <si>
    <t>brenna@netgilman.com</t>
  </si>
  <si>
    <t>Brenna Gilman</t>
  </si>
  <si>
    <t>8901 Watlington Rd</t>
  </si>
  <si>
    <t>mandrews@hillsdale.edu</t>
  </si>
  <si>
    <t>Megan Andrews</t>
  </si>
  <si>
    <t>3350 Beck Rd</t>
  </si>
  <si>
    <t>lp4jesus@hotmail.com</t>
  </si>
  <si>
    <t>Lp4jesus@hotmail.com</t>
  </si>
  <si>
    <t>Katie Graham</t>
  </si>
  <si>
    <t>5930 South Rock Creek Dr.</t>
  </si>
  <si>
    <t>4435sl@gmail.com</t>
  </si>
  <si>
    <t>atkinson.kyl@gmail.com</t>
  </si>
  <si>
    <t>Kyle Atkinson</t>
  </si>
  <si>
    <t>4435 Laven Way</t>
  </si>
  <si>
    <t>ricknmelanie@gmail.com</t>
  </si>
  <si>
    <t>rahurlbut@student.dalat.org</t>
  </si>
  <si>
    <t>Rachel Hurlbut</t>
  </si>
  <si>
    <t>6820 Auto Club Road, #302</t>
  </si>
  <si>
    <t>cschmatjen@palmvista.org</t>
  </si>
  <si>
    <t>cjschmatjen@yahoo.com</t>
  </si>
  <si>
    <t>Schmatjen, Jr.</t>
  </si>
  <si>
    <t>Corey Schmatjen, Jr.</t>
  </si>
  <si>
    <t>19605 East Lake Drive</t>
  </si>
  <si>
    <t>addisonbrown16@gmail.com</t>
  </si>
  <si>
    <t>Addison Brown</t>
  </si>
  <si>
    <t>1220 SE 14th Terrace</t>
  </si>
  <si>
    <t>Ocala</t>
  </si>
  <si>
    <t>mckenzielee2@aol.com</t>
  </si>
  <si>
    <t>McKenzie Lee</t>
  </si>
  <si>
    <t>1416 se 39th court</t>
  </si>
  <si>
    <t>ocala</t>
  </si>
  <si>
    <t>teamkrueger@comcast.net</t>
  </si>
  <si>
    <t>emily@teamkrueger.org</t>
  </si>
  <si>
    <t>Emily Krueger</t>
  </si>
  <si>
    <t>1069 Greens Pl.</t>
  </si>
  <si>
    <t>sprinkledrop@gmail.com</t>
  </si>
  <si>
    <t>Sprinkle</t>
  </si>
  <si>
    <t>Shannon Sprinkle</t>
  </si>
  <si>
    <t>9241 Wengerlawn Rd.</t>
  </si>
  <si>
    <t>Brookville</t>
  </si>
  <si>
    <t>denisekrajeski@gmail.com</t>
  </si>
  <si>
    <t>maddiekrajeski@gmail.com</t>
  </si>
  <si>
    <t>Madison Krajeski</t>
  </si>
  <si>
    <t>17745 Gulf Blvd.  #402</t>
  </si>
  <si>
    <t>rl-ross@msn.com</t>
  </si>
  <si>
    <t>Abigail Ross</t>
  </si>
  <si>
    <t>154 john Deere Road</t>
  </si>
  <si>
    <t>Saylorsburg</t>
  </si>
  <si>
    <t>Joshua Ross</t>
  </si>
  <si>
    <t>154 John Deere Road</t>
  </si>
  <si>
    <t>rusty.gosz@okstate.edu</t>
  </si>
  <si>
    <t>Gosz</t>
  </si>
  <si>
    <t>Jonathan Gosz</t>
  </si>
  <si>
    <t>6401 W. 56th Street</t>
  </si>
  <si>
    <t>Elizabeth Brownell</t>
  </si>
  <si>
    <t>1052 Milstead Drive</t>
  </si>
  <si>
    <t>merilee_grace@yahoo.com</t>
  </si>
  <si>
    <t>amazingpayne31@yahoo.com</t>
  </si>
  <si>
    <t>Grace Payne</t>
  </si>
  <si>
    <t>1761 Deer Run DR NE</t>
  </si>
  <si>
    <t>Longville</t>
  </si>
  <si>
    <t>mollycake97@gmail.com</t>
  </si>
  <si>
    <t>Mollycake97@gmail.com</t>
  </si>
  <si>
    <t>Molly Andrews</t>
  </si>
  <si>
    <t>jcarlson467@gmail.com</t>
  </si>
  <si>
    <t>Jonathan Carlson</t>
  </si>
  <si>
    <t>4206 Miners Candle Drive</t>
  </si>
  <si>
    <t>elizabeth@espingcrew.com</t>
  </si>
  <si>
    <t>julia_e@espingcrew.com</t>
  </si>
  <si>
    <t>Esping</t>
  </si>
  <si>
    <t>Julia Esping</t>
  </si>
  <si>
    <t>422 Paseo Roja Pl NE</t>
  </si>
  <si>
    <t>emma98davis@gmail.com</t>
  </si>
  <si>
    <t>Emma Davis</t>
  </si>
  <si>
    <t>11251 152Rd</t>
  </si>
  <si>
    <t>m.slocomb@msn.com</t>
  </si>
  <si>
    <t>Madilyn</t>
  </si>
  <si>
    <t>Madilyn Slocomb</t>
  </si>
  <si>
    <t>819 Walnut St.</t>
  </si>
  <si>
    <t>xtin@cox.net</t>
  </si>
  <si>
    <t>Christian Cable</t>
  </si>
  <si>
    <t>8667 Golf Dr.</t>
  </si>
  <si>
    <t>Spring Valley</t>
  </si>
  <si>
    <t>wendymoran.wm@gmail.com</t>
  </si>
  <si>
    <t>amycmoran.acm@gmail.com</t>
  </si>
  <si>
    <t>Moran</t>
  </si>
  <si>
    <t>Amy Moran</t>
  </si>
  <si>
    <t>534 Westaire Court</t>
  </si>
  <si>
    <t>mperky60@gmail.com</t>
  </si>
  <si>
    <t>Meg Perkins</t>
  </si>
  <si>
    <t>5800 Tawakoni</t>
  </si>
  <si>
    <t>Argyle</t>
  </si>
  <si>
    <t>waccshuford@yahoo.com</t>
  </si>
  <si>
    <t>Colleen.shuford@yahoo.com</t>
  </si>
  <si>
    <t>Shuford</t>
  </si>
  <si>
    <t>Colleen Shuford</t>
  </si>
  <si>
    <t>929 highland lakes Lane</t>
  </si>
  <si>
    <t>sherikwilcox@yahoo.com_configioDeactivated</t>
  </si>
  <si>
    <t>dgwarchi@gmail.com</t>
  </si>
  <si>
    <t>Daniel Wilcox</t>
  </si>
  <si>
    <t>806 Neon Forest Circle</t>
  </si>
  <si>
    <t>kepner@michaelengineering.com</t>
  </si>
  <si>
    <t>u6bkep@gmail.com</t>
  </si>
  <si>
    <t>Kepner</t>
  </si>
  <si>
    <t>Benjamin Kepner</t>
  </si>
  <si>
    <t>6023 E. Walton Rd.</t>
  </si>
  <si>
    <t>sophiaevangelinesmith@gmail.com</t>
  </si>
  <si>
    <t>Sophia Smith</t>
  </si>
  <si>
    <t>3221 3rd Ave S</t>
  </si>
  <si>
    <t>graham.pankratz@usd410.net</t>
  </si>
  <si>
    <t>Graham Pankratz</t>
  </si>
  <si>
    <t>o22scrap@gmail.com</t>
  </si>
  <si>
    <t>sarahramsey118@gmail.com</t>
  </si>
  <si>
    <t>Ramsey</t>
  </si>
  <si>
    <t>Sarah Ramsey</t>
  </si>
  <si>
    <t>1943 Lucille Lane</t>
  </si>
  <si>
    <t>annajoylee@ymail.com</t>
  </si>
  <si>
    <t>Anna Lee</t>
  </si>
  <si>
    <t>4315 East 900 S-92</t>
  </si>
  <si>
    <t>jmcgill97@mail.com</t>
  </si>
  <si>
    <t>Jessica McGill</t>
  </si>
  <si>
    <t>17015  CR 1440</t>
  </si>
  <si>
    <t>blupea63@gmail.com</t>
  </si>
  <si>
    <t>Lupea</t>
  </si>
  <si>
    <t>Brian Lupea</t>
  </si>
  <si>
    <t>6011 E Campo Bello Dr</t>
  </si>
  <si>
    <t>Scotsdale</t>
  </si>
  <si>
    <t>madibookluvr@gmail.com</t>
  </si>
  <si>
    <t>Kuriny</t>
  </si>
  <si>
    <t>Madison Kuriny</t>
  </si>
  <si>
    <t>3015 Woodhome Ave.</t>
  </si>
  <si>
    <t>Baltimore</t>
  </si>
  <si>
    <t>charwayne@gmail.com</t>
  </si>
  <si>
    <t>Zacharyjohnson06@gmail.com</t>
  </si>
  <si>
    <t>Zachary Johnson</t>
  </si>
  <si>
    <t>680 West Church Road</t>
  </si>
  <si>
    <t>Ephrata</t>
  </si>
  <si>
    <t>adrianlupea@gmail.com</t>
  </si>
  <si>
    <t>Adrian Lupea</t>
  </si>
  <si>
    <t>oanna49@yahoo.com</t>
  </si>
  <si>
    <t>Anna Ortiz</t>
  </si>
  <si>
    <t>2725 14th Street</t>
  </si>
  <si>
    <t>Winthrop Harbor</t>
  </si>
  <si>
    <t>obochy@outlook.com</t>
  </si>
  <si>
    <t>Olivia Bochy</t>
  </si>
  <si>
    <t>1356 Spur Ln</t>
  </si>
  <si>
    <t>hebrews11@bellsouth.net</t>
  </si>
  <si>
    <t>Ryan Willey</t>
  </si>
  <si>
    <t>maragoneskim@gmail.com</t>
  </si>
  <si>
    <t>tkim16@kentdenver.org</t>
  </si>
  <si>
    <t>Teagan</t>
  </si>
  <si>
    <t>Teagan Kim</t>
  </si>
  <si>
    <t>2 Viking Drive</t>
  </si>
  <si>
    <t>Cherry Hills Village</t>
  </si>
  <si>
    <t>smartimarti47@yahoo.com</t>
  </si>
  <si>
    <t>mlb15c@my.fsu.edu</t>
  </si>
  <si>
    <t>Beswick</t>
  </si>
  <si>
    <t>Maggie Beswick</t>
  </si>
  <si>
    <t>6210 lake luther rd</t>
  </si>
  <si>
    <t>lakeland</t>
  </si>
  <si>
    <t>shericmc@gmail.com</t>
  </si>
  <si>
    <t>slickseth77@gmail.com</t>
  </si>
  <si>
    <t>Mayo</t>
  </si>
  <si>
    <t>Seth Mayo</t>
  </si>
  <si>
    <t>201 Craigs run Ct.</t>
  </si>
  <si>
    <t>mariahamartin@gmail.com</t>
  </si>
  <si>
    <t>Mariah Martin</t>
  </si>
  <si>
    <t>11065 Mount Pendleton Street</t>
  </si>
  <si>
    <t>Johna@fbcva.org</t>
  </si>
  <si>
    <t>leah_avery17@aol.com</t>
  </si>
  <si>
    <t>Leah Avery</t>
  </si>
  <si>
    <t>102 Maryland Drive</t>
  </si>
  <si>
    <t>Stephens City</t>
  </si>
  <si>
    <t>baveryromans116@gmail.com</t>
  </si>
  <si>
    <t>Benjamin Avery</t>
  </si>
  <si>
    <t>102 Maryland Dr</t>
  </si>
  <si>
    <t>christiancaroline1997@gmail.com</t>
  </si>
  <si>
    <t>Christian Costa</t>
  </si>
  <si>
    <t>909 Parrot Creek Way</t>
  </si>
  <si>
    <t>debbie_rooney@sbcglobal.net</t>
  </si>
  <si>
    <t>76crooney@gmail.com</t>
  </si>
  <si>
    <t>Rooney</t>
  </si>
  <si>
    <t>Caroline Rooney</t>
  </si>
  <si>
    <t>2136 W. Berwyn Ave</t>
  </si>
  <si>
    <t>Chicago</t>
  </si>
  <si>
    <t>robbs.tribe@gmail.com</t>
  </si>
  <si>
    <t>cade_robbs@hotmail.com</t>
  </si>
  <si>
    <t>Robbs</t>
  </si>
  <si>
    <t>Cade Robbs</t>
  </si>
  <si>
    <t>6458 Grants Dr NE</t>
  </si>
  <si>
    <t>idhall@yahoo.com</t>
  </si>
  <si>
    <t>kchall111@gmail.com</t>
  </si>
  <si>
    <t>Kerry Hall</t>
  </si>
  <si>
    <t>118 Evans Lane</t>
  </si>
  <si>
    <t>Godwin</t>
  </si>
  <si>
    <t>sabrina.perry@govalor.com</t>
  </si>
  <si>
    <t>Sabrina Perry</t>
  </si>
  <si>
    <t>17552 white marble drive</t>
  </si>
  <si>
    <t>emlylizbeth1@aol.com</t>
  </si>
  <si>
    <t>Emily Plaster</t>
  </si>
  <si>
    <t>2509 W. Riviera Dr.</t>
  </si>
  <si>
    <t>karahaakenson@gmail.com</t>
  </si>
  <si>
    <t>loganhaakenson@gmail.com</t>
  </si>
  <si>
    <t>Haakenson</t>
  </si>
  <si>
    <t>Logan Haakenson</t>
  </si>
  <si>
    <t>1104 18th Avenue SW</t>
  </si>
  <si>
    <t>reisa.kilgore.97@gmail.com</t>
  </si>
  <si>
    <t>Reisa</t>
  </si>
  <si>
    <t>Reisa Kilgore</t>
  </si>
  <si>
    <t>Abigail Quesnel</t>
  </si>
  <si>
    <t>sattlers1@sudeenlink.net</t>
  </si>
  <si>
    <t>agsattler1@gmail.com</t>
  </si>
  <si>
    <t>Sattler</t>
  </si>
  <si>
    <t>Abigail Sattler</t>
  </si>
  <si>
    <t>407 Deepwood Dr.</t>
  </si>
  <si>
    <t>tiberiulupea@yahoo.com</t>
  </si>
  <si>
    <t>Tiberiu</t>
  </si>
  <si>
    <t>Tiberiu Lupea</t>
  </si>
  <si>
    <t>7321 N 82nd Dr</t>
  </si>
  <si>
    <t>bigfamily@cableone.net</t>
  </si>
  <si>
    <t>kayla-622@hotmail.com</t>
  </si>
  <si>
    <t>Girard</t>
  </si>
  <si>
    <t>Kayla Girard</t>
  </si>
  <si>
    <t>6605 Abbey Road</t>
  </si>
  <si>
    <t>Bartlesville</t>
  </si>
  <si>
    <t>Amelia Satre</t>
  </si>
  <si>
    <t>913 Clinton Ave</t>
  </si>
  <si>
    <t>Caleb_Hnatek@baylor.edu</t>
  </si>
  <si>
    <t>Hnatek</t>
  </si>
  <si>
    <t>Caleb Hnatek</t>
  </si>
  <si>
    <t>5401 CR 1420</t>
  </si>
  <si>
    <t>kaelendshay3@gmail.com</t>
  </si>
  <si>
    <t>Kaelen</t>
  </si>
  <si>
    <t>Kaelen Shay</t>
  </si>
  <si>
    <t>321 Miles Ave</t>
  </si>
  <si>
    <t>dandkpolson@msn.com</t>
  </si>
  <si>
    <t>jujululu13@msn.com</t>
  </si>
  <si>
    <t>Julia Polson</t>
  </si>
  <si>
    <t>909 NE Canterbury Dr</t>
  </si>
  <si>
    <t>bd93@comcast.net</t>
  </si>
  <si>
    <t>Brooklynn</t>
  </si>
  <si>
    <t>Brooklynn Dowling</t>
  </si>
  <si>
    <t>6121 West 108th Circle</t>
  </si>
  <si>
    <t>sevenkidsrunning@yahoo.com</t>
  </si>
  <si>
    <t>legowilson3@gmail.com</t>
  </si>
  <si>
    <t>Catherine Wilson</t>
  </si>
  <si>
    <t>829 Mike Drive</t>
  </si>
  <si>
    <t>Spartanburg</t>
  </si>
  <si>
    <t>dahlhaus@orangecitycomm.net</t>
  </si>
  <si>
    <t>Joshua Dahl</t>
  </si>
  <si>
    <t>111 5th St NE</t>
  </si>
  <si>
    <t>sonrise@numail.org</t>
  </si>
  <si>
    <t>josannarowe97@gmail.com</t>
  </si>
  <si>
    <t>Josanna</t>
  </si>
  <si>
    <t>Rowe</t>
  </si>
  <si>
    <t>Josanna Rowe</t>
  </si>
  <si>
    <t>530 S. Alexander Creek Rd.</t>
  </si>
  <si>
    <t>Newnan</t>
  </si>
  <si>
    <t>eleininger40@gmail.com</t>
  </si>
  <si>
    <t>Leininger</t>
  </si>
  <si>
    <t>Elizabeth Leininger</t>
  </si>
  <si>
    <t>2003 E Pratt St</t>
  </si>
  <si>
    <t>wittwm96@gmail.com</t>
  </si>
  <si>
    <t>Witt</t>
  </si>
  <si>
    <t>Wesley Witt</t>
  </si>
  <si>
    <t>6913 Jane Austen ct.</t>
  </si>
  <si>
    <t>tntwalk@windstream.net</t>
  </si>
  <si>
    <t>Walk</t>
  </si>
  <si>
    <t>Brenna Walk</t>
  </si>
  <si>
    <t>210 NW 5th Street</t>
  </si>
  <si>
    <t>Greenfield</t>
  </si>
  <si>
    <t>gforcatto@hotmail.com</t>
  </si>
  <si>
    <t>nforcatto235@gmail.com</t>
  </si>
  <si>
    <t>Nico</t>
  </si>
  <si>
    <t>Forcatto</t>
  </si>
  <si>
    <t>Nico Forcatto</t>
  </si>
  <si>
    <t>1625 Tanglewood Dr.</t>
  </si>
  <si>
    <t>debbiechandler@me.com</t>
  </si>
  <si>
    <t>Samuel Chandler</t>
  </si>
  <si>
    <t>dhudson310@gmail.com</t>
  </si>
  <si>
    <t>Pianobot1@gmail.com</t>
  </si>
  <si>
    <t>1633 Woodward St</t>
  </si>
  <si>
    <t>joshua_hnatek@baylor.edu</t>
  </si>
  <si>
    <t>Joshua_Hnatek@baylor.edu</t>
  </si>
  <si>
    <t>Joshua Hnatek</t>
  </si>
  <si>
    <t>5401  CR 1420</t>
  </si>
  <si>
    <t>live.4.him974@gmail.com</t>
  </si>
  <si>
    <t>Sangree</t>
  </si>
  <si>
    <t>Tess Sangree</t>
  </si>
  <si>
    <t>spencershatto@yahoo.com</t>
  </si>
  <si>
    <t>Spencershatto@yahoo.com</t>
  </si>
  <si>
    <t>Shatto</t>
  </si>
  <si>
    <t>Spencer Shatto</t>
  </si>
  <si>
    <t>1496 Afton dr</t>
  </si>
  <si>
    <t>samhnatek@yahoo.com</t>
  </si>
  <si>
    <t>Samuel Hnatek</t>
  </si>
  <si>
    <t>jeanne0129@aol.com</t>
  </si>
  <si>
    <t>malinda.beth@gmail.com</t>
  </si>
  <si>
    <t>Malinda</t>
  </si>
  <si>
    <t>Malinda McCullough</t>
  </si>
  <si>
    <t>6220 Hardegan Street</t>
  </si>
  <si>
    <t>jlintuc@gmail.com</t>
  </si>
  <si>
    <t>tnlucero95@gmail.com</t>
  </si>
  <si>
    <t>Taylor Lucero</t>
  </si>
  <si>
    <t>2452 W. Haase Court</t>
  </si>
  <si>
    <t>wiese@nvc.net</t>
  </si>
  <si>
    <t>cwiese197@gmail.com</t>
  </si>
  <si>
    <t>Wiese</t>
  </si>
  <si>
    <t>Carl Wiese</t>
  </si>
  <si>
    <t>916 N Lincoln Street</t>
  </si>
  <si>
    <t>azmontague@msn.com</t>
  </si>
  <si>
    <t>ivyspray@gmail.com</t>
  </si>
  <si>
    <t>Hannah Montague</t>
  </si>
  <si>
    <t>3740 N Rio Verde Vista</t>
  </si>
  <si>
    <t>mwalters033@cox.net</t>
  </si>
  <si>
    <t>mattilan@cox.net</t>
  </si>
  <si>
    <t>Mattilan</t>
  </si>
  <si>
    <t>Mattilan Walters</t>
  </si>
  <si>
    <t>981 Rutgers Ave</t>
  </si>
  <si>
    <t>Chula Vista</t>
  </si>
  <si>
    <t>bkeiser@buckeye-express.com</t>
  </si>
  <si>
    <t>Keiser</t>
  </si>
  <si>
    <t>Ben Keiser</t>
  </si>
  <si>
    <t>benjsmith96@gmail.com</t>
  </si>
  <si>
    <t>Benjamin Smith</t>
  </si>
  <si>
    <t>4823 16th Street</t>
  </si>
  <si>
    <t>ruthstraublet@gmail.com</t>
  </si>
  <si>
    <t>Ruth Straub</t>
  </si>
  <si>
    <t>8310 we middle way</t>
  </si>
  <si>
    <t>tracyweber1014@gmail.com</t>
  </si>
  <si>
    <t>sydneyweber@comcast.net</t>
  </si>
  <si>
    <t>Sydney Weber</t>
  </si>
  <si>
    <t>108 Barkwood Dr</t>
  </si>
  <si>
    <t>joanna.j.costa@gmail.com</t>
  </si>
  <si>
    <t>Joanna Costa</t>
  </si>
  <si>
    <t>marilyncordis@yahoo.com</t>
  </si>
  <si>
    <t>Gabriella Cordis</t>
  </si>
  <si>
    <t>5913 North imperial Drive</t>
  </si>
  <si>
    <t>5blackcows91@gmail.com</t>
  </si>
  <si>
    <t>legomanjmm@gmail.com</t>
  </si>
  <si>
    <t>James Marrs</t>
  </si>
  <si>
    <t>19574 Apple Rd.</t>
  </si>
  <si>
    <t>Whitewood</t>
  </si>
  <si>
    <t>explorer49097@yahoo.com</t>
  </si>
  <si>
    <t>vicksburg.brett@gmail.com</t>
  </si>
  <si>
    <t>Brett Moore</t>
  </si>
  <si>
    <t>353 Frakes St.</t>
  </si>
  <si>
    <t>Apt. C-205</t>
  </si>
  <si>
    <t>kent@millerwaldrop.com</t>
  </si>
  <si>
    <t>bwwbrock@gmail.com</t>
  </si>
  <si>
    <t>Waldrop</t>
  </si>
  <si>
    <t>Brock Waldrop</t>
  </si>
  <si>
    <t>14 Tuscan Villa Circle</t>
  </si>
  <si>
    <t>tomrader@bis.midco.net</t>
  </si>
  <si>
    <t>Rader</t>
  </si>
  <si>
    <t>Jacob Rader</t>
  </si>
  <si>
    <t>125 Redstone Drive</t>
  </si>
  <si>
    <t>Bismarck</t>
  </si>
  <si>
    <t>hcw16@whsd.org</t>
  </si>
  <si>
    <t>Hunter Williams</t>
  </si>
  <si>
    <t>149 Henry St</t>
  </si>
  <si>
    <t>stevebrowncolorado@comcast.net</t>
  </si>
  <si>
    <t>ryker.brown@yahoo.com</t>
  </si>
  <si>
    <t>Ryker</t>
  </si>
  <si>
    <t>Ryker Brown</t>
  </si>
  <si>
    <t>10184 Crescent Meadow Blvd., #101</t>
  </si>
  <si>
    <t>mcculley6@att.net</t>
  </si>
  <si>
    <t>jacob.mcculley@yahoo.com</t>
  </si>
  <si>
    <t>McCulley</t>
  </si>
  <si>
    <t>Jacob McCulley</t>
  </si>
  <si>
    <t>15104 E 109th Pl. N</t>
  </si>
  <si>
    <t>havefaith63@cox.net</t>
  </si>
  <si>
    <t>Havefaith63@cox.net</t>
  </si>
  <si>
    <t>Drewry</t>
  </si>
  <si>
    <t>Mikayla Drewry</t>
  </si>
  <si>
    <t>1809 Duckhawk Ct</t>
  </si>
  <si>
    <t>rlengefeld@windstream.net</t>
  </si>
  <si>
    <t>Rebekah Lengefeld</t>
  </si>
  <si>
    <t>40family.russell@gmail.com</t>
  </si>
  <si>
    <t>Russell Forti</t>
  </si>
  <si>
    <t>5125 County Road 60</t>
  </si>
  <si>
    <t>Saint Joe</t>
  </si>
  <si>
    <t>grholt15@gmail.com</t>
  </si>
  <si>
    <t>Gressette</t>
  </si>
  <si>
    <t>Holt</t>
  </si>
  <si>
    <t>Gressette Holt</t>
  </si>
  <si>
    <t>230 League Road</t>
  </si>
  <si>
    <t>tmcfarl2@ashland.edu</t>
  </si>
  <si>
    <t>McFarland</t>
  </si>
  <si>
    <t>Tyler McFarland</t>
  </si>
  <si>
    <t>14057 Allison Drive</t>
  </si>
  <si>
    <t>Doylestown</t>
  </si>
  <si>
    <t>camashpet@gmail.com</t>
  </si>
  <si>
    <t>Camryn</t>
  </si>
  <si>
    <t>Camryn Peterson</t>
  </si>
  <si>
    <t>1846 Wild Dunes Circle</t>
  </si>
  <si>
    <t>CHardeman15@mcstangs.org</t>
  </si>
  <si>
    <t>Hardeman</t>
  </si>
  <si>
    <t>Claire Hardeman</t>
  </si>
  <si>
    <t>2820 Goddard Pl</t>
  </si>
  <si>
    <t>jsglorvigen@earthlink.net</t>
  </si>
  <si>
    <t>jjglorvigen@earthlink.net</t>
  </si>
  <si>
    <t>Glorvigen</t>
  </si>
  <si>
    <t>Joshua Glorvigen</t>
  </si>
  <si>
    <t>155 Grand Junction</t>
  </si>
  <si>
    <t>lesaturner@me.com</t>
  </si>
  <si>
    <t>datroof87@gmail.com</t>
  </si>
  <si>
    <t>Donald Turner</t>
  </si>
  <si>
    <t>136 Huntes Creek Blvd</t>
  </si>
  <si>
    <t>tht4d@yahoo.com</t>
  </si>
  <si>
    <t>hannah.thetford@yahoo.com</t>
  </si>
  <si>
    <t>Thetford</t>
  </si>
  <si>
    <t>Hannah Thetford</t>
  </si>
  <si>
    <t>22661 Claude Circle</t>
  </si>
  <si>
    <t>zimfamheb116@gmail.com</t>
  </si>
  <si>
    <t>leumas1311@gmail.com</t>
  </si>
  <si>
    <t>Samuel Zimmerman</t>
  </si>
  <si>
    <t>1702 Bel Air</t>
  </si>
  <si>
    <t>castillamom@att.net</t>
  </si>
  <si>
    <t>drummingprodigy24@hotmail.com</t>
  </si>
  <si>
    <t>Castilla</t>
  </si>
  <si>
    <t>Isaac Castilla</t>
  </si>
  <si>
    <t>6307 Regency Crest</t>
  </si>
  <si>
    <t>SRN2H@comcast.net</t>
  </si>
  <si>
    <t>rbccnwmn15@gmail.com</t>
  </si>
  <si>
    <t>Rebecca Newman</t>
  </si>
  <si>
    <t>14303 Letham Grange Ct.</t>
  </si>
  <si>
    <t>d.cononge@gmail.com</t>
  </si>
  <si>
    <t>Donovan</t>
  </si>
  <si>
    <t>Donovan Cononge</t>
  </si>
  <si>
    <t>dnabush@msn.com</t>
  </si>
  <si>
    <t>burningbush96@gmail.com</t>
  </si>
  <si>
    <t>Ryan Bush</t>
  </si>
  <si>
    <t>292 Ferguson Road</t>
  </si>
  <si>
    <t>Wheatland</t>
  </si>
  <si>
    <t>jakekenn97@gmail.com</t>
  </si>
  <si>
    <t>Jonathan Kenniv</t>
  </si>
  <si>
    <t>2019 Phillips Road</t>
  </si>
  <si>
    <t>chalyn@calvarychapelcr.org</t>
  </si>
  <si>
    <t>mckeecm@s.dcsdk12.org</t>
  </si>
  <si>
    <t>McKee</t>
  </si>
  <si>
    <t>Collin McKee</t>
  </si>
  <si>
    <t>1338 N.Calhan Ave.</t>
  </si>
  <si>
    <t>betta822@gmail.com</t>
  </si>
  <si>
    <t>Collette</t>
  </si>
  <si>
    <t>Collette Williams</t>
  </si>
  <si>
    <t>5100 S. 98th St.</t>
  </si>
  <si>
    <t>joshpgreg@yahoo.com</t>
  </si>
  <si>
    <t>Joshua Gregory</t>
  </si>
  <si>
    <t>6001 Hillside Lane</t>
  </si>
  <si>
    <t>kyle@lacrescentfree.org</t>
  </si>
  <si>
    <t>barksonicwarrior@gmail.com</t>
  </si>
  <si>
    <t>Joshua Danielson</t>
  </si>
  <si>
    <t>817 Oak Terrace</t>
  </si>
  <si>
    <t>La Crescent</t>
  </si>
  <si>
    <t>srlhebard@gmail.com</t>
  </si>
  <si>
    <t>Bard</t>
  </si>
  <si>
    <t>Hunter Bard</t>
  </si>
  <si>
    <t>3966 Glenhaven Rd</t>
  </si>
  <si>
    <t>xcjunkielcs@gmail.com</t>
  </si>
  <si>
    <t>Mary Wood</t>
  </si>
  <si>
    <t>3323 Potomac Drive</t>
  </si>
  <si>
    <t>drkwd@comcast.net</t>
  </si>
  <si>
    <t>jamilyn.rekha@gmail.com</t>
  </si>
  <si>
    <t>Jamilyn</t>
  </si>
  <si>
    <t>Jamilyn Donaldson</t>
  </si>
  <si>
    <t>8 Hopewell Ave</t>
  </si>
  <si>
    <t>stephaniehosey@yahoo.com</t>
  </si>
  <si>
    <t>Hosey</t>
  </si>
  <si>
    <t>Edward Hosey</t>
  </si>
  <si>
    <t>3560 Orchard Dr A16</t>
  </si>
  <si>
    <t>STOW</t>
  </si>
  <si>
    <t>pjmjhiwa@4rehder.net</t>
  </si>
  <si>
    <t>Rehder</t>
  </si>
  <si>
    <t>Joshua Rehder</t>
  </si>
  <si>
    <t>ashleysusanbrown6@gmail.com</t>
  </si>
  <si>
    <t>Ashley Brown</t>
  </si>
  <si>
    <t>dannafam@earthlink.net</t>
  </si>
  <si>
    <t>dannagirls@gmail.com</t>
  </si>
  <si>
    <t>D'Anna</t>
  </si>
  <si>
    <t>Abigail D'Anna</t>
  </si>
  <si>
    <t>11450 Garrett Road</t>
  </si>
  <si>
    <t>charmaine.yoest@aul.org</t>
  </si>
  <si>
    <t>helenayoest@gmail.com</t>
  </si>
  <si>
    <t>Helena</t>
  </si>
  <si>
    <t>Yoest</t>
  </si>
  <si>
    <t>Helena Yoest</t>
  </si>
  <si>
    <t>3211 N. Abingdon Street</t>
  </si>
  <si>
    <t>safley10@bellsouth.net</t>
  </si>
  <si>
    <t>jaredsafley@gmail.com</t>
  </si>
  <si>
    <t>Safley</t>
  </si>
  <si>
    <t>Jared Safley</t>
  </si>
  <si>
    <t>125 Seven Dr.</t>
  </si>
  <si>
    <t>Chapin</t>
  </si>
  <si>
    <t>d-b.lemahieu@sil.org.pg</t>
  </si>
  <si>
    <t>Leif</t>
  </si>
  <si>
    <t>Le Mahieu</t>
  </si>
  <si>
    <t>Leif Le Mahieu</t>
  </si>
  <si>
    <t>PO Box 572</t>
  </si>
  <si>
    <t>Pella</t>
  </si>
  <si>
    <t>geekygal451@gmail.com</t>
  </si>
  <si>
    <t>Sydney Johnson</t>
  </si>
  <si>
    <t>kittykatmeow450@gmail.com</t>
  </si>
  <si>
    <t>7898 M 139</t>
  </si>
  <si>
    <t>kmk278@msstate.edu</t>
  </si>
  <si>
    <t>Kohler</t>
  </si>
  <si>
    <t>Kelley Kohler</t>
  </si>
  <si>
    <t>8908 Old Walnut Road</t>
  </si>
  <si>
    <t>Ocean Springs</t>
  </si>
  <si>
    <t>d2esa@hotmail.com</t>
  </si>
  <si>
    <t>aekane42@gmail.com</t>
  </si>
  <si>
    <t>Anna Kane</t>
  </si>
  <si>
    <t>2301 W 61 St.</t>
  </si>
  <si>
    <t>captainddd@gmail.com</t>
  </si>
  <si>
    <t>Baskin</t>
  </si>
  <si>
    <t>Daniel Baskin</t>
  </si>
  <si>
    <t>1546 Dayton Mtn Hwy</t>
  </si>
  <si>
    <t>charlie.paine@crbusa.com</t>
  </si>
  <si>
    <t>paine385@gmail.com</t>
  </si>
  <si>
    <t>Paine</t>
  </si>
  <si>
    <t>Jordan Paine</t>
  </si>
  <si>
    <t>411 Cross Link Drive</t>
  </si>
  <si>
    <t>Angier</t>
  </si>
  <si>
    <t>jritchhart@comcast.net_configioDeactivated</t>
  </si>
  <si>
    <t>jritchhart@comcast.net</t>
  </si>
  <si>
    <t>Rebekah Ritchhart</t>
  </si>
  <si>
    <t>10901 64th St</t>
  </si>
  <si>
    <t>jameshutchinson112@gmail.com</t>
  </si>
  <si>
    <t>James Hutchinson</t>
  </si>
  <si>
    <t>1696 South Pifer Road</t>
  </si>
  <si>
    <t>Star Tannery</t>
  </si>
  <si>
    <t>echaffin@southcrest.org</t>
  </si>
  <si>
    <t>mlwdruff6@gmail.org</t>
  </si>
  <si>
    <t>woodruffa0@gmail.com</t>
  </si>
  <si>
    <t>Amanda Woodruff</t>
  </si>
  <si>
    <t>7090 County Road 202</t>
  </si>
  <si>
    <t>tpw76@msstate.edu</t>
  </si>
  <si>
    <t>Teddy</t>
  </si>
  <si>
    <t>Wallace III</t>
  </si>
  <si>
    <t>Teddy Wallace III</t>
  </si>
  <si>
    <t>1223 Meadowlark Dr</t>
  </si>
  <si>
    <t>maclove30@mac.com</t>
  </si>
  <si>
    <t>furziesburzies@gmail.com</t>
  </si>
  <si>
    <t>Joshua Love</t>
  </si>
  <si>
    <t>jleesue4@gmail.com</t>
  </si>
  <si>
    <t>Jenalee</t>
  </si>
  <si>
    <t>Hinkle</t>
  </si>
  <si>
    <t>Jenalee Hinkle</t>
  </si>
  <si>
    <t>308 S. Garfield St</t>
  </si>
  <si>
    <t>khinkle05@gmail.com</t>
  </si>
  <si>
    <t>Katie Hinkle</t>
  </si>
  <si>
    <t>308 Garfield St</t>
  </si>
  <si>
    <t>morgan.dillard327@gmail.com</t>
  </si>
  <si>
    <t>Morgan Dillard</t>
  </si>
  <si>
    <t>1385 CH Rankin Road</t>
  </si>
  <si>
    <t>unsearchablerichesofchrist@gmail.com</t>
  </si>
  <si>
    <t>Brittany Barden</t>
  </si>
  <si>
    <t>2621 Hearthwood Lane</t>
  </si>
  <si>
    <t>garylyons62@gmail.com</t>
  </si>
  <si>
    <t>meredithalyons@gmail.com</t>
  </si>
  <si>
    <t>Meredith Lyons</t>
  </si>
  <si>
    <t>2216 Millpine Drive</t>
  </si>
  <si>
    <t>chicityflyer@gmail.com</t>
  </si>
  <si>
    <t>Jacob Lowe</t>
  </si>
  <si>
    <t>705 meadowbrook dr</t>
  </si>
  <si>
    <t>carlcsj@gmail.com</t>
  </si>
  <si>
    <t>Carl Johnson</t>
  </si>
  <si>
    <t>218 Brett Drive</t>
  </si>
  <si>
    <t>sasev95@yahoo.com</t>
  </si>
  <si>
    <t>chilepepper98@gmail.com</t>
  </si>
  <si>
    <t>Severance</t>
  </si>
  <si>
    <t>Stephanie Severance</t>
  </si>
  <si>
    <t>115 Spring St</t>
  </si>
  <si>
    <t>Clarks Green</t>
  </si>
  <si>
    <t>ladonnazimmerman@yahoo.com</t>
  </si>
  <si>
    <t>adam.zimmermant1@gmail.com</t>
  </si>
  <si>
    <t>Adam Zimmerman</t>
  </si>
  <si>
    <t>379340 South Shore Drive</t>
  </si>
  <si>
    <t>jollyjelinek@gmail.com</t>
  </si>
  <si>
    <t>kayemjay98@gmail.com</t>
  </si>
  <si>
    <t>Jelinek</t>
  </si>
  <si>
    <t>Kristi Jelinek</t>
  </si>
  <si>
    <t>333 N 3rd st</t>
  </si>
  <si>
    <t>rescume@hamilton.net</t>
  </si>
  <si>
    <t>smithcourtney@gmail.com</t>
  </si>
  <si>
    <t>122 6th Circle Dr</t>
  </si>
  <si>
    <t>ken.walker1@me.com</t>
  </si>
  <si>
    <t>ashleygwalker00@gmail.com</t>
  </si>
  <si>
    <t>Ashley Walker</t>
  </si>
  <si>
    <t>311 Point North Place</t>
  </si>
  <si>
    <t>Suite 6</t>
  </si>
  <si>
    <t>burrell907@gmail.com</t>
  </si>
  <si>
    <t>Burrell</t>
  </si>
  <si>
    <t>Grace Burrell</t>
  </si>
  <si>
    <t>588 Golden Morn Dr</t>
  </si>
  <si>
    <t>edshell3@yahoo.com</t>
  </si>
  <si>
    <t>bensexton1911@yahoo.com</t>
  </si>
  <si>
    <t>Sexton</t>
  </si>
  <si>
    <t>Benjamin Sexton</t>
  </si>
  <si>
    <t>13400 west 2300 road</t>
  </si>
  <si>
    <t>Fontana</t>
  </si>
  <si>
    <t>vjohnson6869@gmail.com</t>
  </si>
  <si>
    <t>Johnsonmoriahn@gmail.com</t>
  </si>
  <si>
    <t>Moriah Johnson</t>
  </si>
  <si>
    <t>7315 Quiet Glen Dr.</t>
  </si>
  <si>
    <t>rmwaldenberg@msn.com</t>
  </si>
  <si>
    <t>MontanaNannah@gmail.com</t>
  </si>
  <si>
    <t>Waldenberg</t>
  </si>
  <si>
    <t>Hannah Waldenberg</t>
  </si>
  <si>
    <t>2120 6th Ave. N.</t>
  </si>
  <si>
    <t>moriahwaldenberg@gmail.com</t>
  </si>
  <si>
    <t>Moriah Waldenberg</t>
  </si>
  <si>
    <t>jeff.charonnat@csun.edu</t>
  </si>
  <si>
    <t>Charonnat</t>
  </si>
  <si>
    <t>Michael Charonnat</t>
  </si>
  <si>
    <t>2031 El Monte Dr.</t>
  </si>
  <si>
    <t>ninnypaige@gmail.com</t>
  </si>
  <si>
    <t>Malitany</t>
  </si>
  <si>
    <t>Malitany Miller</t>
  </si>
  <si>
    <t>3512 Cedar Rd</t>
  </si>
  <si>
    <t>mary.onishi11@gmail.com</t>
  </si>
  <si>
    <t>Onishi</t>
  </si>
  <si>
    <t>Mary Onishi</t>
  </si>
  <si>
    <t>S. Amber Willow Trail</t>
  </si>
  <si>
    <t>mayarose141@gmail.com</t>
  </si>
  <si>
    <t>Prantle</t>
  </si>
  <si>
    <t>Mariah Prantle</t>
  </si>
  <si>
    <t>10930 Spruce Dr. North</t>
  </si>
  <si>
    <t>liesl.kaye@gmail.com</t>
  </si>
  <si>
    <t>Liesl</t>
  </si>
  <si>
    <t>Gingerich</t>
  </si>
  <si>
    <t>Liesl Gingerich</t>
  </si>
  <si>
    <t>P.O. Box 855</t>
  </si>
  <si>
    <t>clhanley97@gmail.com</t>
  </si>
  <si>
    <t>Corissa</t>
  </si>
  <si>
    <t>Corissa Hanley</t>
  </si>
  <si>
    <t>sprad777@bellsouth.net</t>
  </si>
  <si>
    <t>amy.spradlin@bellsouth.net</t>
  </si>
  <si>
    <t>Spradlin</t>
  </si>
  <si>
    <t>Amy Spradlin</t>
  </si>
  <si>
    <t>45 Little Road</t>
  </si>
  <si>
    <t>arwenthephilsfan@gmail.com</t>
  </si>
  <si>
    <t>Gabrielle Sallard</t>
  </si>
  <si>
    <t>CHERRY HILL</t>
  </si>
  <si>
    <t>reneeathome@cox.net</t>
  </si>
  <si>
    <t>zachmaldonado1@gmail.com</t>
  </si>
  <si>
    <t>Zach Maldonado</t>
  </si>
  <si>
    <t>18 Gossamer Place</t>
  </si>
  <si>
    <t>Ladera Ranch</t>
  </si>
  <si>
    <t>ricefamily9@gmail.com</t>
  </si>
  <si>
    <t>Emily Rice</t>
  </si>
  <si>
    <t>1607 Hilltop Drive</t>
  </si>
  <si>
    <t>bgortmaker@midco.net</t>
  </si>
  <si>
    <t>allgortmaker@gmail.com</t>
  </si>
  <si>
    <t>Gortmaker</t>
  </si>
  <si>
    <t>Allyson Gortmaker</t>
  </si>
  <si>
    <t>1610 Hilltop Dr</t>
  </si>
  <si>
    <t>pierre</t>
  </si>
  <si>
    <t>s.fraser16@hotmail.com</t>
  </si>
  <si>
    <t>104 Telegraph Trl</t>
  </si>
  <si>
    <t>Ft Pierre</t>
  </si>
  <si>
    <t>kristenleeloftus@gmail.com</t>
  </si>
  <si>
    <t>hannah.loftus99@gmail.com</t>
  </si>
  <si>
    <t>Loftus</t>
  </si>
  <si>
    <t>Hannah Loftus</t>
  </si>
  <si>
    <t>20197 Butte Dr.</t>
  </si>
  <si>
    <t>lydiamcgrew@gmail.com</t>
  </si>
  <si>
    <t>bethelmcgrew@gmail.com</t>
  </si>
  <si>
    <t>Bethel</t>
  </si>
  <si>
    <t>McGrew</t>
  </si>
  <si>
    <t>Bethel McGrew</t>
  </si>
  <si>
    <t>1528 Cambridge Dr.</t>
  </si>
  <si>
    <t>Kalamazoo</t>
  </si>
  <si>
    <t>stainlessxc@cox.net</t>
  </si>
  <si>
    <t>alexandra.stamps@gmail.com</t>
  </si>
  <si>
    <t>Alexandra Stamps</t>
  </si>
  <si>
    <t>14157 Bluegrass Ct.</t>
  </si>
  <si>
    <t>gstark4@gmail.com</t>
  </si>
  <si>
    <t>Gracie</t>
  </si>
  <si>
    <t>Gracie Stark</t>
  </si>
  <si>
    <t>Sunnybrook Lane</t>
  </si>
  <si>
    <t>bryce.davis@comcast.net</t>
  </si>
  <si>
    <t>camperben2010@gmail.com</t>
  </si>
  <si>
    <t>Benjamin Davis</t>
  </si>
  <si>
    <t>3961 NE 15th Street</t>
  </si>
  <si>
    <t>yardman@cafes.net</t>
  </si>
  <si>
    <t>tallyardjr@gmail.com</t>
  </si>
  <si>
    <t>Yardumian</t>
  </si>
  <si>
    <t>Adam Yardumian</t>
  </si>
  <si>
    <t>300 Fairview School Rd</t>
  </si>
  <si>
    <t>Normandy</t>
  </si>
  <si>
    <t>jopalmbach@me.com</t>
  </si>
  <si>
    <t>laurenoftherings02@gmail.com</t>
  </si>
  <si>
    <t>Palmbach</t>
  </si>
  <si>
    <t>Lauren Palmbach</t>
  </si>
  <si>
    <t>PO Box 80384</t>
  </si>
  <si>
    <t>musicalyardgirl@gmail.com</t>
  </si>
  <si>
    <t>Emily Yardumian</t>
  </si>
  <si>
    <t>s.brett.hannah@gmail.com</t>
  </si>
  <si>
    <t>brookehannah25@yahoo.com</t>
  </si>
  <si>
    <t>124 Pleasant Valley Ln</t>
  </si>
  <si>
    <t>returnoftheking912@gmail.com</t>
  </si>
  <si>
    <t>Returnoftheking912@gmail.com</t>
  </si>
  <si>
    <t>Joel Phillips</t>
  </si>
  <si>
    <t>3404 5th ave north</t>
  </si>
  <si>
    <t>Great falls</t>
  </si>
  <si>
    <t>Chrismurphy229@gmail.com</t>
  </si>
  <si>
    <t>Christopher Murphy</t>
  </si>
  <si>
    <t>ctsprad@gmail.com</t>
  </si>
  <si>
    <t>Sarah.beth.spradlin@gmail.com</t>
  </si>
  <si>
    <t>Sarah Spradlin</t>
  </si>
  <si>
    <t>1035 Gholston St</t>
  </si>
  <si>
    <t>Comer</t>
  </si>
  <si>
    <t>berealillie@rocketmail.com</t>
  </si>
  <si>
    <t>Berea</t>
  </si>
  <si>
    <t>Lillie</t>
  </si>
  <si>
    <t>Berea Lillie</t>
  </si>
  <si>
    <t>91352 Lampa Lane</t>
  </si>
  <si>
    <t>Myrtle Point</t>
  </si>
  <si>
    <t>lsfriberg@msn.com</t>
  </si>
  <si>
    <t>jakefriberg@msn.com</t>
  </si>
  <si>
    <t>Friberg</t>
  </si>
  <si>
    <t>Jake Friberg</t>
  </si>
  <si>
    <t>1818 Kaas Rd.</t>
  </si>
  <si>
    <t>lvandyke4@gmail.com_configioDeactivated</t>
  </si>
  <si>
    <t>buddyboyfive@gmail.com</t>
  </si>
  <si>
    <t>Lawrence VanDyke</t>
  </si>
  <si>
    <t>500 Oxford Court</t>
  </si>
  <si>
    <t>Carson City</t>
  </si>
  <si>
    <t>danielsmomma_5@yahoo.com</t>
  </si>
  <si>
    <t>imrcharizard@gmail.com</t>
  </si>
  <si>
    <t>Charles Daniels</t>
  </si>
  <si>
    <t>516 CR 299</t>
  </si>
  <si>
    <t>Louin</t>
  </si>
  <si>
    <t>heraldingangels@comcast.net</t>
  </si>
  <si>
    <t>ambfolt@icloud.com</t>
  </si>
  <si>
    <t>Foltynewicz</t>
  </si>
  <si>
    <t>Amber Foltynewicz</t>
  </si>
  <si>
    <t>2938 E Bard`Rd</t>
  </si>
  <si>
    <t>Muskegon</t>
  </si>
  <si>
    <t>kylerding@hotmail.com</t>
  </si>
  <si>
    <t>Dinger</t>
  </si>
  <si>
    <t>Kyler Dinger</t>
  </si>
  <si>
    <t>379625 N Shore Dr</t>
  </si>
  <si>
    <t>memalou@gmail.com</t>
  </si>
  <si>
    <t>emmag211@gmail.com</t>
  </si>
  <si>
    <t>Emma Garland</t>
  </si>
  <si>
    <t>370 Cottonport Rd</t>
  </si>
  <si>
    <t>robertsmadilyn@gmail.com</t>
  </si>
  <si>
    <t>Madilyn Roberts</t>
  </si>
  <si>
    <t>913 King Dr</t>
  </si>
  <si>
    <t>pporter@forgivenmuch.com</t>
  </si>
  <si>
    <t>chris@forgivenmuch.com</t>
  </si>
  <si>
    <t>Christopher Porter</t>
  </si>
  <si>
    <t>24245 Iliff Rd</t>
  </si>
  <si>
    <t>chandlerfjordan@gmail.com</t>
  </si>
  <si>
    <t>Chandler Jordan</t>
  </si>
  <si>
    <t>5095 Broadlake View</t>
  </si>
  <si>
    <t>dunlopfamily6@yahoo.com</t>
  </si>
  <si>
    <t>Dunlop</t>
  </si>
  <si>
    <t>Jacob Dunlop</t>
  </si>
  <si>
    <t>9761 West 1800 Rd</t>
  </si>
  <si>
    <t>mikaylajordan98@gmail.com</t>
  </si>
  <si>
    <t>Lauren Jordan</t>
  </si>
  <si>
    <t>lukanswithapencil@gmail.com</t>
  </si>
  <si>
    <t>Carol</t>
  </si>
  <si>
    <t>Perrodin</t>
  </si>
  <si>
    <t>Carol Perrodin</t>
  </si>
  <si>
    <t>5326 Borrego Drive</t>
  </si>
  <si>
    <t>nickstein18@gmail.com</t>
  </si>
  <si>
    <t>Nick Stein</t>
  </si>
  <si>
    <t>seeglem@yahoo.com</t>
  </si>
  <si>
    <t>Seeglem@yahoo.com</t>
  </si>
  <si>
    <t>Seglem</t>
  </si>
  <si>
    <t>Hunter Seglem</t>
  </si>
  <si>
    <t>3107 gulf ave.</t>
  </si>
  <si>
    <t>bamliebert@yahoo.com</t>
  </si>
  <si>
    <t>joshualiebert@yahoo.com</t>
  </si>
  <si>
    <t>Liebert</t>
  </si>
  <si>
    <t>Joshua Liebert</t>
  </si>
  <si>
    <t>1101 Happy Valley Rd</t>
  </si>
  <si>
    <t>Limestone</t>
  </si>
  <si>
    <t>lauren.3.bandit@gmail.com</t>
  </si>
  <si>
    <t>Buss</t>
  </si>
  <si>
    <t>Lauren Buss</t>
  </si>
  <si>
    <t>12426 Hwy 50</t>
  </si>
  <si>
    <t>kjmeyer6@gmail.com</t>
  </si>
  <si>
    <t>Davis Meyer</t>
  </si>
  <si>
    <t>2237 Wildwood Dr.</t>
  </si>
  <si>
    <t>elizabethgrace.625@gmail.com</t>
  </si>
  <si>
    <t>Atchison</t>
  </si>
  <si>
    <t>Elizabeth Atchison</t>
  </si>
  <si>
    <t>1460 Spring Hill Drive</t>
  </si>
  <si>
    <t>jasonswoodruff@me.com</t>
  </si>
  <si>
    <t>calebjwoodruff@icloud.com</t>
  </si>
  <si>
    <t>Caleb Woodruff</t>
  </si>
  <si>
    <t>PO Box 2915</t>
  </si>
  <si>
    <t>Blue Jay</t>
  </si>
  <si>
    <t>wiledger@gmail.com</t>
  </si>
  <si>
    <t>Ledger</t>
  </si>
  <si>
    <t>William Ledger</t>
  </si>
  <si>
    <t>11217 Pine Bank Court</t>
  </si>
  <si>
    <t>JustinDodd14@gmail.com-old</t>
  </si>
  <si>
    <t>JustinDodd14@gmail.com</t>
  </si>
  <si>
    <t>Justin Dodd</t>
  </si>
  <si>
    <t>4015 98th St.</t>
  </si>
  <si>
    <t>magreuter@lpstudent.org</t>
  </si>
  <si>
    <t>Greuter</t>
  </si>
  <si>
    <t>Mary Greuter</t>
  </si>
  <si>
    <t>9634 Eby Road</t>
  </si>
  <si>
    <t>littlesmister@gmail.com</t>
  </si>
  <si>
    <t>Belieu</t>
  </si>
  <si>
    <t>Jillian Belieu</t>
  </si>
  <si>
    <t>1905 Ashworth Road</t>
  </si>
  <si>
    <t>jgmcneal@hotmail.com</t>
  </si>
  <si>
    <t>McNeal</t>
  </si>
  <si>
    <t>Matthew McNeal</t>
  </si>
  <si>
    <t>0377 CR 28</t>
  </si>
  <si>
    <t>Corunna</t>
  </si>
  <si>
    <t>allisonhostler@yahoo.com</t>
  </si>
  <si>
    <t>Hostler</t>
  </si>
  <si>
    <t>Allison Hostler</t>
  </si>
  <si>
    <t>1656 S. County Line Rd.</t>
  </si>
  <si>
    <t>Kenallville</t>
  </si>
  <si>
    <t>mnmyers430@yahoo.com</t>
  </si>
  <si>
    <t>Michelle Myers</t>
  </si>
  <si>
    <t>180 S. Garrison</t>
  </si>
  <si>
    <t>Box #388</t>
  </si>
  <si>
    <t>nicholashostler@yahoo.com</t>
  </si>
  <si>
    <t>Nicholas Hostler</t>
  </si>
  <si>
    <t>1656 South County Line Road</t>
  </si>
  <si>
    <t>Kendallville</t>
  </si>
  <si>
    <t>gnhome@havilandtelco.com</t>
  </si>
  <si>
    <t>Gunner</t>
  </si>
  <si>
    <t>Gunner Johnson</t>
  </si>
  <si>
    <t>jessica@blueseaz.com</t>
  </si>
  <si>
    <t>Mains</t>
  </si>
  <si>
    <t>Jessica Mains</t>
  </si>
  <si>
    <t>cjschrom@juno.com</t>
  </si>
  <si>
    <t>Chandler Schrom</t>
  </si>
  <si>
    <t>lisa.nold@hotmail.com</t>
  </si>
  <si>
    <t>abigailnold13@gmail.com</t>
  </si>
  <si>
    <t>Abigail Nold</t>
  </si>
  <si>
    <t>206 Jura Ave</t>
  </si>
  <si>
    <t>Fort Pierre</t>
  </si>
  <si>
    <t>SN3097@k12.sd.us</t>
  </si>
  <si>
    <t>Sarah Nold</t>
  </si>
  <si>
    <t>206 jura avenue</t>
  </si>
  <si>
    <t>Ft. Pierre</t>
  </si>
  <si>
    <t>candpsandberg@mccooknet.com</t>
  </si>
  <si>
    <t>IMSandberg@live.com</t>
  </si>
  <si>
    <t>Sandberg</t>
  </si>
  <si>
    <t>Isaiah Sandberg</t>
  </si>
  <si>
    <t>70599 road 353</t>
  </si>
  <si>
    <t>Stratton</t>
  </si>
  <si>
    <t>Tim.hurley@nechristian.edu</t>
  </si>
  <si>
    <t>Timothy Hurley</t>
  </si>
  <si>
    <t>454 Tyler Drive</t>
  </si>
  <si>
    <t>iseauski@gmail.com</t>
  </si>
  <si>
    <t>Abuyse21@gmail.com</t>
  </si>
  <si>
    <t>Buyse</t>
  </si>
  <si>
    <t>Austin Buyse</t>
  </si>
  <si>
    <t>4729 Hibiscus Ave</t>
  </si>
  <si>
    <t>lorencushman@gmail.com</t>
  </si>
  <si>
    <t>rachelecushman@gmail.com</t>
  </si>
  <si>
    <t>Cushman</t>
  </si>
  <si>
    <t>Rachel Cushman</t>
  </si>
  <si>
    <t>PO Box 835</t>
  </si>
  <si>
    <t>Reserve</t>
  </si>
  <si>
    <t>kjwoodley4@gmail.com</t>
  </si>
  <si>
    <t>tonymaroney22@gmail.com</t>
  </si>
  <si>
    <t>Woodley</t>
  </si>
  <si>
    <t>Anthony Woodley</t>
  </si>
  <si>
    <t>6117 Abbott Ave S</t>
  </si>
  <si>
    <t>rebeccainric@gmail.com</t>
  </si>
  <si>
    <t>Noahalanphillips@gmail.com</t>
  </si>
  <si>
    <t>Noah Phillips</t>
  </si>
  <si>
    <t>9230 Crystalbrook Terr</t>
  </si>
  <si>
    <t>jpoirot4252@gmail.com</t>
  </si>
  <si>
    <t>Poirot</t>
  </si>
  <si>
    <t>Jacqueline Poirot</t>
  </si>
  <si>
    <t>617 Meadowbrook Cir</t>
  </si>
  <si>
    <t>mmurrell32@gmail.com</t>
  </si>
  <si>
    <t>Murrell</t>
  </si>
  <si>
    <t>Michael Murrell</t>
  </si>
  <si>
    <t>1600 Valentine Drive</t>
  </si>
  <si>
    <t>sheepherderben@gmail.com</t>
  </si>
  <si>
    <t>Stiegelmeier</t>
  </si>
  <si>
    <t>Ben Stiegelmeier</t>
  </si>
  <si>
    <t>30628 128 street</t>
  </si>
  <si>
    <t>Selby</t>
  </si>
  <si>
    <t>hcbauer77@gmail.com</t>
  </si>
  <si>
    <t>Bauer</t>
  </si>
  <si>
    <t>Hannah Bauer</t>
  </si>
  <si>
    <t>388 Allison Hall</t>
  </si>
  <si>
    <t>jpwoliver@yahoo.com</t>
  </si>
  <si>
    <t>jacobmwoliver@gmail.com</t>
  </si>
  <si>
    <t>Woliver</t>
  </si>
  <si>
    <t>Jacob Woliver</t>
  </si>
  <si>
    <t>760 Autumn Glen Drive</t>
  </si>
  <si>
    <t>stephennleininger@gmail.com</t>
  </si>
  <si>
    <t>Stephen Leininger</t>
  </si>
  <si>
    <t>jweieneth@hotmail.com</t>
  </si>
  <si>
    <t>s.weieneth@gmail.com</t>
  </si>
  <si>
    <t>Weieneth</t>
  </si>
  <si>
    <t>Sarah Weieneth</t>
  </si>
  <si>
    <t>74 Morgan Bridge Rd SW</t>
  </si>
  <si>
    <t>cori.concepcion@yahoo.com</t>
  </si>
  <si>
    <t>Corynn</t>
  </si>
  <si>
    <t>Concepcion</t>
  </si>
  <si>
    <t>Corynn Concepcion</t>
  </si>
  <si>
    <t>6452 Crystal Ridge Cir</t>
  </si>
  <si>
    <t>vrobb3497@gmail.com</t>
  </si>
  <si>
    <t>nrobb04@gmail.com</t>
  </si>
  <si>
    <t>Nathan Robb</t>
  </si>
  <si>
    <t>1627 NW 90th Ct.</t>
  </si>
  <si>
    <t>tylerbox20@yahoo.com</t>
  </si>
  <si>
    <t>Box</t>
  </si>
  <si>
    <t>Tyler Box</t>
  </si>
  <si>
    <t>27274 Pleasant Valley Rd</t>
  </si>
  <si>
    <t>tlfruech@sbcglobal.net</t>
  </si>
  <si>
    <t>annaef135@gmail.com</t>
  </si>
  <si>
    <t>Fruechting</t>
  </si>
  <si>
    <t>Anna Fruechting</t>
  </si>
  <si>
    <t>315 Morningside Lane</t>
  </si>
  <si>
    <t>suncrest1960@gmail.com</t>
  </si>
  <si>
    <t>Charityruebke@gmail.com</t>
  </si>
  <si>
    <t>Charity</t>
  </si>
  <si>
    <t>Charity Ruebke</t>
  </si>
  <si>
    <t>17geffev@w-csd.org</t>
  </si>
  <si>
    <t>Victoria Geffers</t>
  </si>
  <si>
    <t>8275 Pioneer rd</t>
  </si>
  <si>
    <t>LARSEN</t>
  </si>
  <si>
    <t>sauchterlonie@cox.net</t>
  </si>
  <si>
    <t>chloe.yocky@gmail.com</t>
  </si>
  <si>
    <t>Yocky</t>
  </si>
  <si>
    <t>Chloe Yocky</t>
  </si>
  <si>
    <t>5820 N. Tyler Rd.</t>
  </si>
  <si>
    <t>Maize</t>
  </si>
  <si>
    <t>ashantihinton@yahoo.com</t>
  </si>
  <si>
    <t>Ashanti</t>
  </si>
  <si>
    <t>Ashanti Hinton</t>
  </si>
  <si>
    <t>3050 park ave</t>
  </si>
  <si>
    <t>6D</t>
  </si>
  <si>
    <t>Bronx</t>
  </si>
  <si>
    <t>steveclift@q.com</t>
  </si>
  <si>
    <t>maye334@gmail.com</t>
  </si>
  <si>
    <t>Clift</t>
  </si>
  <si>
    <t>Sabrina Clift</t>
  </si>
  <si>
    <t>36 Winnetka Avenue South</t>
  </si>
  <si>
    <t>Golden Valley</t>
  </si>
  <si>
    <t>johnmagras@yahoo.com</t>
  </si>
  <si>
    <t>Johnmagras@yahoo.com</t>
  </si>
  <si>
    <t>Magras</t>
  </si>
  <si>
    <t>Connor Magras</t>
  </si>
  <si>
    <t>3410 Grey Wolfe Road</t>
  </si>
  <si>
    <t>Pilot Grove</t>
  </si>
  <si>
    <t>surebob723@gmail.com</t>
  </si>
  <si>
    <t>R.beeche97@hotmail.com</t>
  </si>
  <si>
    <t>Beeche</t>
  </si>
  <si>
    <t>Rebecca Beeche</t>
  </si>
  <si>
    <t>6260 N W 60 St</t>
  </si>
  <si>
    <t>Virginia Gardens</t>
  </si>
  <si>
    <t>c3vencill@yahoo.com_configioDeactivated</t>
  </si>
  <si>
    <t>tylervencill@yahoo.com</t>
  </si>
  <si>
    <t>Vencill</t>
  </si>
  <si>
    <t>Jonathan Vencill</t>
  </si>
  <si>
    <t>1015 Maverick Ct SE</t>
  </si>
  <si>
    <t>KKF794@gmail.com</t>
  </si>
  <si>
    <t>Ferree</t>
  </si>
  <si>
    <t>Kevin Ferree</t>
  </si>
  <si>
    <t>720 Spring St.</t>
  </si>
  <si>
    <t>akj4jesus@gmail.com</t>
  </si>
  <si>
    <t>Abigail Johnston</t>
  </si>
  <si>
    <t>7722 Slough Rd.</t>
  </si>
  <si>
    <t>jdclark6363@gmail.com</t>
  </si>
  <si>
    <t>jdclark6360@gmail.com</t>
  </si>
  <si>
    <t>Jared Clark</t>
  </si>
  <si>
    <t>1234 N.W. HORN AVE.</t>
  </si>
  <si>
    <t>jjclark4147@my.bluecc.edu</t>
  </si>
  <si>
    <t>Jeffrey Clark</t>
  </si>
  <si>
    <t>1234 NW Horn</t>
  </si>
  <si>
    <t>Clar11711118@evangel.edu</t>
  </si>
  <si>
    <t>Jessica Clark</t>
  </si>
  <si>
    <t>1111 N. Glenstone Ave</t>
  </si>
  <si>
    <t>Sp-202</t>
  </si>
  <si>
    <t>jaclark7586@my.bluecc.edu</t>
  </si>
  <si>
    <t>Joel Clark</t>
  </si>
  <si>
    <t>1234 NW Horn Ave.</t>
  </si>
  <si>
    <t>beccasahlstrom@gmail.com</t>
  </si>
  <si>
    <t>Becca Sahlstrom</t>
  </si>
  <si>
    <t>allyse.kump@yahoo.com</t>
  </si>
  <si>
    <t>Allyse</t>
  </si>
  <si>
    <t>Kumpula</t>
  </si>
  <si>
    <t>Allyse Kumpula</t>
  </si>
  <si>
    <t>205A West Smith Street</t>
  </si>
  <si>
    <t>Claxton</t>
  </si>
  <si>
    <t>rjroye@hotmail.com</t>
  </si>
  <si>
    <t>Roye</t>
  </si>
  <si>
    <t>Ryan Roye</t>
  </si>
  <si>
    <t>510 Indian Drive Apt #1123</t>
  </si>
  <si>
    <t>djluby@sbcglobal.net</t>
  </si>
  <si>
    <t>lovewins19@gmail.com</t>
  </si>
  <si>
    <t>Luby</t>
  </si>
  <si>
    <t>Rebecca Luby</t>
  </si>
  <si>
    <t>2307 EAGLE PARK LN</t>
  </si>
  <si>
    <t>ARLINGTON</t>
  </si>
  <si>
    <t>searay@nheri.org</t>
  </si>
  <si>
    <t>Clara Ray</t>
  </si>
  <si>
    <t>5940 fruitland rd ne</t>
  </si>
  <si>
    <t>phillipb1997@gmail.com</t>
  </si>
  <si>
    <t>Phillip Bealor</t>
  </si>
  <si>
    <t>bevevans99@gmail.com</t>
  </si>
  <si>
    <t>evansmakana@gmail.com</t>
  </si>
  <si>
    <t>Makana</t>
  </si>
  <si>
    <t>Makana Evans</t>
  </si>
  <si>
    <t>9708 Oxborough Rd</t>
  </si>
  <si>
    <t>fontine2@aol.com</t>
  </si>
  <si>
    <t>shaebay96@gmail.com</t>
  </si>
  <si>
    <t>Shae</t>
  </si>
  <si>
    <t>Shae Miller</t>
  </si>
  <si>
    <t>6836 E. Watson Rd.</t>
  </si>
  <si>
    <t>copu.william@gmail.com</t>
  </si>
  <si>
    <t>Will Copu</t>
  </si>
  <si>
    <t>4508 Steven Drive</t>
  </si>
  <si>
    <t>jtestino@yahoo.com</t>
  </si>
  <si>
    <t>bridgettetestino@yahoo.com</t>
  </si>
  <si>
    <t>Bridgette</t>
  </si>
  <si>
    <t>Testino</t>
  </si>
  <si>
    <t>Bridgette Testino</t>
  </si>
  <si>
    <t>231 South Old Belair Rd.</t>
  </si>
  <si>
    <t>Grovetown</t>
  </si>
  <si>
    <t>Julia Meyer</t>
  </si>
  <si>
    <t>1225 Kenneth PL</t>
  </si>
  <si>
    <t>beckerzoo@sbcglobal.net</t>
  </si>
  <si>
    <t>Charisa</t>
  </si>
  <si>
    <t>Charisa Becker</t>
  </si>
  <si>
    <t>12151 Stebbins</t>
  </si>
  <si>
    <t>B1.waldee@gmail.com</t>
  </si>
  <si>
    <t>Waldee</t>
  </si>
  <si>
    <t>Benjamin Waldee</t>
  </si>
  <si>
    <t>6167 Inverness terrace</t>
  </si>
  <si>
    <t>CassieRB97@gmail.com</t>
  </si>
  <si>
    <t>Cassandra Beckwith</t>
  </si>
  <si>
    <t>5500 SD HWY 34</t>
  </si>
  <si>
    <t>claraelizabethwilliams@gmail.com</t>
  </si>
  <si>
    <t>Clara Williams</t>
  </si>
  <si>
    <t>hazlehurst</t>
  </si>
  <si>
    <t>3r3cp@gwtc.net</t>
  </si>
  <si>
    <t>jpufoxler@gmail.com</t>
  </si>
  <si>
    <t>Updike</t>
  </si>
  <si>
    <t>Joseph Updike</t>
  </si>
  <si>
    <t>28630 Lennon School Road</t>
  </si>
  <si>
    <t>Oelrichs</t>
  </si>
  <si>
    <t>mddhre@msn.com</t>
  </si>
  <si>
    <t>rachylgmax@gmail.com</t>
  </si>
  <si>
    <t>Rachyl</t>
  </si>
  <si>
    <t>Rachyl Kirk</t>
  </si>
  <si>
    <t>7096 sapling place</t>
  </si>
  <si>
    <t>karimatney@gmail.com</t>
  </si>
  <si>
    <t>hannahmm99@gmail.com</t>
  </si>
  <si>
    <t>Matney</t>
  </si>
  <si>
    <t>Hannah Matney</t>
  </si>
  <si>
    <t>3706 Cheyenne Street</t>
  </si>
  <si>
    <t>vpowell@shpco.net</t>
  </si>
  <si>
    <t>Victoria Powell</t>
  </si>
  <si>
    <t>daviscl1@s.dcsdk12.org</t>
  </si>
  <si>
    <t>Caedon</t>
  </si>
  <si>
    <t>Caedon Davis</t>
  </si>
  <si>
    <t>11212 Jansen St</t>
  </si>
  <si>
    <t>appelcrate@gmail.com</t>
  </si>
  <si>
    <t>caimanzana23@gmail.com</t>
  </si>
  <si>
    <t>Appelgate</t>
  </si>
  <si>
    <t>David Appelgate</t>
  </si>
  <si>
    <t>6890 SW 205th PL</t>
  </si>
  <si>
    <t>Aloha</t>
  </si>
  <si>
    <t>fam.vanderboon@sbcglobal.net</t>
  </si>
  <si>
    <t>annajvb@sbcglobal.net</t>
  </si>
  <si>
    <t>Vander Boon</t>
  </si>
  <si>
    <t>Anna Vander Boon</t>
  </si>
  <si>
    <t>1610 Jackson St</t>
  </si>
  <si>
    <t>lin.bartholomew@yahoo.com</t>
  </si>
  <si>
    <t>Nick.bmew@yahoo.com</t>
  </si>
  <si>
    <t>Nicholas Bartholomew</t>
  </si>
  <si>
    <t>612 alpine cove</t>
  </si>
  <si>
    <t>Flower mound</t>
  </si>
  <si>
    <t>cindi@rectorfamily.org</t>
  </si>
  <si>
    <t>jacquelyn.rector@gmail.com</t>
  </si>
  <si>
    <t>Jacquelyn</t>
  </si>
  <si>
    <t>Rector</t>
  </si>
  <si>
    <t>Jacquelyn Rector</t>
  </si>
  <si>
    <t>2509 Redfield Dr.</t>
  </si>
  <si>
    <t>davidsharp97@gmail.com</t>
  </si>
  <si>
    <t>Sharp</t>
  </si>
  <si>
    <t>David Sharp</t>
  </si>
  <si>
    <t>608 Ash St.</t>
  </si>
  <si>
    <t>Copperas Cove</t>
  </si>
  <si>
    <t>jrdunson@gmail.com</t>
  </si>
  <si>
    <t>sdunson12@gmail.com</t>
  </si>
  <si>
    <t>Dunson</t>
  </si>
  <si>
    <t>Sarah Dunson</t>
  </si>
  <si>
    <t>934 Forest Lake Drive</t>
  </si>
  <si>
    <t>jwf4th@icloud.com</t>
  </si>
  <si>
    <t>Frye IV</t>
  </si>
  <si>
    <t>John Frye IV</t>
  </si>
  <si>
    <t>5300 Cypress Ln</t>
  </si>
  <si>
    <t>dlabelle9@gmail.com</t>
  </si>
  <si>
    <t>Desiree</t>
  </si>
  <si>
    <t>LaBelle</t>
  </si>
  <si>
    <t>Desiree LaBelle</t>
  </si>
  <si>
    <t>2301 Providence Cir</t>
  </si>
  <si>
    <t>elijah.labelle@hotmail.com</t>
  </si>
  <si>
    <t>Elijah LaBelle</t>
  </si>
  <si>
    <t>benscott@comcast.net</t>
  </si>
  <si>
    <t>Juliafrances@comcast.net</t>
  </si>
  <si>
    <t>Julia Scott</t>
  </si>
  <si>
    <t>1313 Lone Oak Circle</t>
  </si>
  <si>
    <t>7peppers@comcast.net</t>
  </si>
  <si>
    <t>marypaige1996@gmail.com</t>
  </si>
  <si>
    <t>Pepper</t>
  </si>
  <si>
    <t>Mary Pepper</t>
  </si>
  <si>
    <t>166 Volunteer Rd.</t>
  </si>
  <si>
    <t>tristanspuller@gmail.com</t>
  </si>
  <si>
    <t>Tristan</t>
  </si>
  <si>
    <t>Spuller</t>
  </si>
  <si>
    <t>Tristan Spuller</t>
  </si>
  <si>
    <t>gehaw18@gmail.com</t>
  </si>
  <si>
    <t>labrador.lover97@gmail.com</t>
  </si>
  <si>
    <t>Hawes</t>
  </si>
  <si>
    <t>Catherine Hawes</t>
  </si>
  <si>
    <t>818 Sycamore Creek Rd.</t>
  </si>
  <si>
    <t>yeshuaclassical@windstream.net</t>
  </si>
  <si>
    <t>Joshua Connor</t>
  </si>
  <si>
    <t>145 Yeshua Lane</t>
  </si>
  <si>
    <t>15krichart@gmail.com</t>
  </si>
  <si>
    <t>Richart</t>
  </si>
  <si>
    <t>Kristina Richart</t>
  </si>
  <si>
    <t>1010  29Th  Ave   N</t>
  </si>
  <si>
    <t>ninja@iwichita.com</t>
  </si>
  <si>
    <t>William Wolfenberger</t>
  </si>
  <si>
    <t>319 W. 11th St.</t>
  </si>
  <si>
    <t>awesomeellie@gmail.com</t>
  </si>
  <si>
    <t>Elizabeth Wilson</t>
  </si>
  <si>
    <t>1118 E. Park Rd</t>
  </si>
  <si>
    <t>Rothbury</t>
  </si>
  <si>
    <t>leanna7@gmail.com</t>
  </si>
  <si>
    <t>williambradley97@gmail.com</t>
  </si>
  <si>
    <t>Tomlinson</t>
  </si>
  <si>
    <t>William Tomlinson</t>
  </si>
  <si>
    <t>8652 Kunker Rd</t>
  </si>
  <si>
    <t>valbac@aol.com</t>
  </si>
  <si>
    <t>toomuchnitro@gmail.com</t>
  </si>
  <si>
    <t>Clade</t>
  </si>
  <si>
    <t>Zachary Clade</t>
  </si>
  <si>
    <t>809 Crosstie Street</t>
  </si>
  <si>
    <t>Knightdale</t>
  </si>
  <si>
    <t>bjk317@zoominternet.net</t>
  </si>
  <si>
    <t>ajkennedy98@zoominternet.net</t>
  </si>
  <si>
    <t>Alexander Kennedy</t>
  </si>
  <si>
    <t>212 Emerson Drive</t>
  </si>
  <si>
    <t>Zelienople</t>
  </si>
  <si>
    <t>dunkers97@gmail.com</t>
  </si>
  <si>
    <t>Duncan Hopkins</t>
  </si>
  <si>
    <t>251 robinson run rd</t>
  </si>
  <si>
    <t>saxonburg</t>
  </si>
  <si>
    <t>pearson7@outlook.com</t>
  </si>
  <si>
    <t>apearson13@outlook.com</t>
  </si>
  <si>
    <t>Andrea Pearson</t>
  </si>
  <si>
    <t>1377 Sweetwater Drive</t>
  </si>
  <si>
    <t>oyunerdene1998@yahoo.com</t>
  </si>
  <si>
    <t>xplodingsoda111@yahoo.com</t>
  </si>
  <si>
    <t>Tuvshintur</t>
  </si>
  <si>
    <t>Ganbold</t>
  </si>
  <si>
    <t>Tuvshintur Ganbold</t>
  </si>
  <si>
    <t>12216 Grassy Hill Ct</t>
  </si>
  <si>
    <t>joannhyt@yahoo.com</t>
  </si>
  <si>
    <t>ehoyt98@yahoo.com</t>
  </si>
  <si>
    <t>Hoyt</t>
  </si>
  <si>
    <t>Emily Hoyt</t>
  </si>
  <si>
    <t>210 N. Garfield St.</t>
  </si>
  <si>
    <t>english.dunne1@gmail.com</t>
  </si>
  <si>
    <t>Dunne</t>
  </si>
  <si>
    <t>Katrina Dunne</t>
  </si>
  <si>
    <t>1423 Frontier St</t>
  </si>
  <si>
    <t>tim@redeemer.tv</t>
  </si>
  <si>
    <t>Nicolette</t>
  </si>
  <si>
    <t>Tim Nicolette</t>
  </si>
  <si>
    <t>438 North Columbia Road</t>
  </si>
  <si>
    <t>Ilion</t>
  </si>
  <si>
    <t>thebates@bellsouth.net</t>
  </si>
  <si>
    <t>JordanBates@bellsouth.net</t>
  </si>
  <si>
    <t>Jordan Bates</t>
  </si>
  <si>
    <t>Blake Bates</t>
  </si>
  <si>
    <t>116. sourwood Trail</t>
  </si>
  <si>
    <t>daveamymac@msn.com</t>
  </si>
  <si>
    <t>brendanmacpiano@gmail.com</t>
  </si>
  <si>
    <t>McKinley</t>
  </si>
  <si>
    <t>Brendan McKinley</t>
  </si>
  <si>
    <t>14920 Quail Run Rd.</t>
  </si>
  <si>
    <t>castillo2222@msn.com</t>
  </si>
  <si>
    <t>Izzi2222@gmail.com</t>
  </si>
  <si>
    <t>Isabell</t>
  </si>
  <si>
    <t>Isabell Castillo</t>
  </si>
  <si>
    <t>6226 Millbridge Ave</t>
  </si>
  <si>
    <t>csrea@comcast.net</t>
  </si>
  <si>
    <t>nathanr@comcast.net</t>
  </si>
  <si>
    <t>Rea</t>
  </si>
  <si>
    <t>Nathan Rea</t>
  </si>
  <si>
    <t>1630 Oakmont Dr</t>
  </si>
  <si>
    <t>its.me.hg@hotmail.com</t>
  </si>
  <si>
    <t>bigj4base@hotmail.com</t>
  </si>
  <si>
    <t>Jacob Gilman</t>
  </si>
  <si>
    <t>12400 Avon Lake Circle</t>
  </si>
  <si>
    <t>dasrndflooring@yahoo.com</t>
  </si>
  <si>
    <t>SpirlinP@mail.gvsu.edu</t>
  </si>
  <si>
    <t>Spirling</t>
  </si>
  <si>
    <t>Payton Spirling</t>
  </si>
  <si>
    <t>1242 Victoria Ct.</t>
  </si>
  <si>
    <t>Brantaylor98@gmail.com</t>
  </si>
  <si>
    <t>brantaylor98@gmail.com</t>
  </si>
  <si>
    <t>Brandon Taylor</t>
  </si>
  <si>
    <t>366 SE 44th ave.</t>
  </si>
  <si>
    <t>8agnews@gmail.com</t>
  </si>
  <si>
    <t>liamagnew98@gmail.com</t>
  </si>
  <si>
    <t>Liam</t>
  </si>
  <si>
    <t>Liam Agnew</t>
  </si>
  <si>
    <t>1167 Redfields Rd.</t>
  </si>
  <si>
    <t>anita.fugiel@yahoo.com</t>
  </si>
  <si>
    <t>flowersmellgreat@yahoo.com</t>
  </si>
  <si>
    <t>Fugiel</t>
  </si>
  <si>
    <t>Rachel Fugiel</t>
  </si>
  <si>
    <t>250 Souwanas Trail</t>
  </si>
  <si>
    <t>miller@madisonchristianschool.com</t>
  </si>
  <si>
    <t>toblue4you@gmail.com</t>
  </si>
  <si>
    <t>Alana</t>
  </si>
  <si>
    <t>Alana Miller</t>
  </si>
  <si>
    <t>3624 Upperridge Ct</t>
  </si>
  <si>
    <t>Canal Winchester</t>
  </si>
  <si>
    <t>calldm@sktc.net</t>
  </si>
  <si>
    <t>15calltimothy@gmail.com</t>
  </si>
  <si>
    <t>Call</t>
  </si>
  <si>
    <t>Timothy Call</t>
  </si>
  <si>
    <t>1547 Rd 6</t>
  </si>
  <si>
    <t>Cedar Vale</t>
  </si>
  <si>
    <t>lilbreezy115@gmail.com</t>
  </si>
  <si>
    <t>Megan Warren</t>
  </si>
  <si>
    <t>604 Las Marias Dr. SE</t>
  </si>
  <si>
    <t>austin.baseball04@gmail.com</t>
  </si>
  <si>
    <t>Austin Cook</t>
  </si>
  <si>
    <t>8112 Hammontree Circle</t>
  </si>
  <si>
    <t>Tteysita@hotmail.com</t>
  </si>
  <si>
    <t>danyma@live.com</t>
  </si>
  <si>
    <t>Daniela</t>
  </si>
  <si>
    <t>Daniela Morales</t>
  </si>
  <si>
    <t>21523 East Powers Place</t>
  </si>
  <si>
    <t>deanshowalter@aol.com</t>
  </si>
  <si>
    <t>themelodymaker88@gmail.com</t>
  </si>
  <si>
    <t>Showalter</t>
  </si>
  <si>
    <t>Morgan Showalter</t>
  </si>
  <si>
    <t>5552 Scotts Ford Road</t>
  </si>
  <si>
    <t>Mt. Crawford</t>
  </si>
  <si>
    <t>lizmangen@hotmail.com</t>
  </si>
  <si>
    <t>Mangen</t>
  </si>
  <si>
    <t>Elizabeth Mangen</t>
  </si>
  <si>
    <t>3404 Eagle Ridge Drive East</t>
  </si>
  <si>
    <t>withrow94@gmail.com</t>
  </si>
  <si>
    <t>Dwithrow97@gmail.com</t>
  </si>
  <si>
    <t>Withrow</t>
  </si>
  <si>
    <t>Devin Withrow</t>
  </si>
  <si>
    <t>934 N Sagebrush Ct</t>
  </si>
  <si>
    <t>clarinetfolk@gmail.com</t>
  </si>
  <si>
    <t>ABCMICHAELFOK@GMAIL.COM</t>
  </si>
  <si>
    <t>Folk</t>
  </si>
  <si>
    <t>Michael Folk</t>
  </si>
  <si>
    <t>30818 OVERFALL DR</t>
  </si>
  <si>
    <t>WESTLAKE VILLAGE</t>
  </si>
  <si>
    <t>gregrebecca_toalaska@msn.com</t>
  </si>
  <si>
    <t>mission-awesome@live.com</t>
  </si>
  <si>
    <t>Benjamin Schmidt</t>
  </si>
  <si>
    <t>6261 Trappers Trail Rd</t>
  </si>
  <si>
    <t>ccspatriots@aol.com</t>
  </si>
  <si>
    <t>humlo2713@yahoo.com</t>
  </si>
  <si>
    <t>Alvarez</t>
  </si>
  <si>
    <t>Brian Alvarez</t>
  </si>
  <si>
    <t>28105 SW 166 Court</t>
  </si>
  <si>
    <t>johnwmorrissey@outlook.com</t>
  </si>
  <si>
    <t>Morrissey</t>
  </si>
  <si>
    <t>John Morrissey</t>
  </si>
  <si>
    <t>29840 SW 172 Avenue</t>
  </si>
  <si>
    <t>23natesherr@gmail.com</t>
  </si>
  <si>
    <t>Nathan Herr</t>
  </si>
  <si>
    <t>2013 County Rd. X</t>
  </si>
  <si>
    <t>murph379@gmail.com</t>
  </si>
  <si>
    <t>erin.noel427@yahoo.com</t>
  </si>
  <si>
    <t>Erin Murphy</t>
  </si>
  <si>
    <t>8115 Alaska Ave</t>
  </si>
  <si>
    <t>jruby@ftspec.com</t>
  </si>
  <si>
    <t>Ruby</t>
  </si>
  <si>
    <t>Preston Ruby</t>
  </si>
  <si>
    <t>28847 Forest Hill Drive</t>
  </si>
  <si>
    <t>jtrowe@ak.net</t>
  </si>
  <si>
    <t>morgan@designalaska.com</t>
  </si>
  <si>
    <t>Morgan Rowe</t>
  </si>
  <si>
    <t>579 Golden Morn Dr.</t>
  </si>
  <si>
    <t>jlm@mckeeinvestments.com</t>
  </si>
  <si>
    <t>prm@mckeeinvestments.com</t>
  </si>
  <si>
    <t>Pierce McKee</t>
  </si>
  <si>
    <t>18130 W Apshawa Rd</t>
  </si>
  <si>
    <t>Clermont</t>
  </si>
  <si>
    <t>ryskamprp@sbcglobal.net</t>
  </si>
  <si>
    <t>ryskampt@sbcglobal.net</t>
  </si>
  <si>
    <t>Ryskamp</t>
  </si>
  <si>
    <t>Thomas Ryskamp</t>
  </si>
  <si>
    <t>1436 Penncross Drive SE</t>
  </si>
  <si>
    <t>corey@coldwellbankermadras.com</t>
  </si>
  <si>
    <t>motarcher@gmail.com</t>
  </si>
  <si>
    <t>Braden</t>
  </si>
  <si>
    <t>Braden Graves</t>
  </si>
  <si>
    <t>935 NW Perennial Way</t>
  </si>
  <si>
    <t>Prineville</t>
  </si>
  <si>
    <t>silverarrowofrohan@gmail.com</t>
  </si>
  <si>
    <t>Janae Graves</t>
  </si>
  <si>
    <t>audreyw.316@gmail.com</t>
  </si>
  <si>
    <t>Audrey Walter</t>
  </si>
  <si>
    <t>robinshack@yahoo.com</t>
  </si>
  <si>
    <t>ashtonserotko@yahoo.com</t>
  </si>
  <si>
    <t>Serotko</t>
  </si>
  <si>
    <t>Robert Serotko</t>
  </si>
  <si>
    <t>2591 Daybreak Drive</t>
  </si>
  <si>
    <t>Rockwall</t>
  </si>
  <si>
    <t>Francesenewland@yahoo.com</t>
  </si>
  <si>
    <t>4555 hagan Rd</t>
  </si>
  <si>
    <t>npc414@gmail.com</t>
  </si>
  <si>
    <t>5330 River Basin CT</t>
  </si>
  <si>
    <t>lindsey.ashinhurst@gmail.com</t>
  </si>
  <si>
    <t>Ashinhurst</t>
  </si>
  <si>
    <t>Victoria Ashinhurst</t>
  </si>
  <si>
    <t>4609 Grandview Rd</t>
  </si>
  <si>
    <t>Silver City</t>
  </si>
  <si>
    <t>grimmlet98@gmail.com</t>
  </si>
  <si>
    <t>Meade</t>
  </si>
  <si>
    <t>Nathan Meade</t>
  </si>
  <si>
    <t>1017 west hillgrove apt 2</t>
  </si>
  <si>
    <t>nicklowe94@yahoo.com</t>
  </si>
  <si>
    <t>Nicholas Lowe</t>
  </si>
  <si>
    <t>705meadowbrook dr</t>
  </si>
  <si>
    <t>the-wilrus@hotmail.com</t>
  </si>
  <si>
    <t>william.adams1097@gmail.com</t>
  </si>
  <si>
    <t>William Adams</t>
  </si>
  <si>
    <t>5323 Blue Heron Drive</t>
  </si>
  <si>
    <t>wendy.kim@sbcglobal.net</t>
  </si>
  <si>
    <t>juliannekim1001@gmail.com</t>
  </si>
  <si>
    <t>Julianne Kim</t>
  </si>
  <si>
    <t>1806 Far Niente</t>
  </si>
  <si>
    <t>Emiliolouismedina@yahoo.com</t>
  </si>
  <si>
    <t>emiliolouismedina@yahoo.com</t>
  </si>
  <si>
    <t>Emilio</t>
  </si>
  <si>
    <t>Medina</t>
  </si>
  <si>
    <t>Emilio Medina</t>
  </si>
  <si>
    <t>4405 Raymond Ave.</t>
  </si>
  <si>
    <t>Brookfield</t>
  </si>
  <si>
    <t>corrieschulze@yahoo.com</t>
  </si>
  <si>
    <t>sostrand7@aol.com</t>
  </si>
  <si>
    <t>Ostrand</t>
  </si>
  <si>
    <t>Samuel Ostrand</t>
  </si>
  <si>
    <t>5202 Green Valley Trail</t>
  </si>
  <si>
    <t>alaina.dewing@gmail.com</t>
  </si>
  <si>
    <t>Dewing</t>
  </si>
  <si>
    <t>Alaina Dewing</t>
  </si>
  <si>
    <t>689 LOVET HILL ROAD</t>
  </si>
  <si>
    <t>ROME</t>
  </si>
  <si>
    <t>kelli.ricks97@gmail.com</t>
  </si>
  <si>
    <t>Kelli Ricks</t>
  </si>
  <si>
    <t>4140 Shiloh Trail</t>
  </si>
  <si>
    <t>judge.cooper@otsegocountymi.gov</t>
  </si>
  <si>
    <t>rebeccacooper12@gmail.com</t>
  </si>
  <si>
    <t>Rebecca Cooper</t>
  </si>
  <si>
    <t>PO Box 650</t>
  </si>
  <si>
    <t>Stephen Cooper</t>
  </si>
  <si>
    <t>grace.dewing@gmail.com</t>
  </si>
  <si>
    <t>Grace Dewing</t>
  </si>
  <si>
    <t>689 LOVET HILL RD</t>
  </si>
  <si>
    <t>k-beck@comcast.net</t>
  </si>
  <si>
    <t>aebelizabeth@gmail.com</t>
  </si>
  <si>
    <t>Autumn Beck</t>
  </si>
  <si>
    <t>7569 Carolina Lane</t>
  </si>
  <si>
    <t>joyful-acres@tds.net</t>
  </si>
  <si>
    <t>celticsunshine98@gmail.com</t>
  </si>
  <si>
    <t>Annalise McKenzie</t>
  </si>
  <si>
    <t>36208 NE Holling Ave.</t>
  </si>
  <si>
    <t>La Center</t>
  </si>
  <si>
    <t>vifoemmel@frontier.com</t>
  </si>
  <si>
    <t>politicalguy3@gmail.com</t>
  </si>
  <si>
    <t>Zachary Parsons</t>
  </si>
  <si>
    <t>214 S. Concord Ave</t>
  </si>
  <si>
    <t>canamp1@juno.com</t>
  </si>
  <si>
    <t>joeltheturtle@gmail.com</t>
  </si>
  <si>
    <t>Pawelski</t>
  </si>
  <si>
    <t>Joel Pawelski</t>
  </si>
  <si>
    <t>15406 Watercress Way</t>
  </si>
  <si>
    <t>Cassopolis</t>
  </si>
  <si>
    <t>silvialong@aol.com</t>
  </si>
  <si>
    <t>timmylong.long@gmail.com</t>
  </si>
  <si>
    <t>Timothy Long</t>
  </si>
  <si>
    <t>475 East State Street</t>
  </si>
  <si>
    <t>barberton</t>
  </si>
  <si>
    <t>PaulFarless@hotmail.com</t>
  </si>
  <si>
    <t>Tomfarless@hotmail.com</t>
  </si>
  <si>
    <t>Thomas Farless</t>
  </si>
  <si>
    <t>2801 52nd St. NE</t>
  </si>
  <si>
    <t>mandv316@gmail.com</t>
  </si>
  <si>
    <t>jaredwalton0000@gmail.com</t>
  </si>
  <si>
    <t>Jared Walton</t>
  </si>
  <si>
    <t>419 Spruce St</t>
  </si>
  <si>
    <t>Halstead</t>
  </si>
  <si>
    <t>mcmccollum2@gmail.com</t>
  </si>
  <si>
    <t>McCollum</t>
  </si>
  <si>
    <t>Michelle McCollum</t>
  </si>
  <si>
    <t>1 Wilson Road, P.O box 13608</t>
  </si>
  <si>
    <t>MTGRAMMER@GMAIL.COM</t>
  </si>
  <si>
    <t>JUSTUSGRAMMER@GMAIL.COM</t>
  </si>
  <si>
    <t>JUSTUS</t>
  </si>
  <si>
    <t>GRAMMER</t>
  </si>
  <si>
    <t>JUSTUS GRAMMER</t>
  </si>
  <si>
    <t>3857 SOUTH BONNELL ROAD</t>
  </si>
  <si>
    <t>CUEURDALENE</t>
  </si>
  <si>
    <t>lara.habashy@gmail.com</t>
  </si>
  <si>
    <t>Lara</t>
  </si>
  <si>
    <t>Lara Habashy</t>
  </si>
  <si>
    <t>52 maple grove ave</t>
  </si>
  <si>
    <t>richmond hill</t>
  </si>
  <si>
    <t>l4e2v6</t>
  </si>
  <si>
    <t>david.faris@aol.com</t>
  </si>
  <si>
    <t>Faris</t>
  </si>
  <si>
    <t>David Faris</t>
  </si>
  <si>
    <t>1421 32nd circle SE</t>
  </si>
  <si>
    <t>elimr59@gmail.com</t>
  </si>
  <si>
    <t>Elijah Moore</t>
  </si>
  <si>
    <t>rsbrown1099@bellsouth.net</t>
  </si>
  <si>
    <t>Richard Brown</t>
  </si>
  <si>
    <t>2704 Smokey Ridge Ct.</t>
  </si>
  <si>
    <t>sethw.schneider@gmail.com</t>
  </si>
  <si>
    <t>Seth Schneider</t>
  </si>
  <si>
    <t>1315 Birch Bark Ln</t>
  </si>
  <si>
    <t>Neenah</t>
  </si>
  <si>
    <t>keturahskorner@gmail.com</t>
  </si>
  <si>
    <t>Keturah</t>
  </si>
  <si>
    <t>Keturah Lamb</t>
  </si>
  <si>
    <t>Post Office Box 2825</t>
  </si>
  <si>
    <t>hcasouth@earthlink.net</t>
  </si>
  <si>
    <t>Joshua Decker</t>
  </si>
  <si>
    <t>Anna Decker</t>
  </si>
  <si>
    <t>1726 Chateau Bend Ct</t>
  </si>
  <si>
    <t>eldonpaullewis@comcast.net</t>
  </si>
  <si>
    <t>jayhawkjeff416@gmail.com</t>
  </si>
  <si>
    <t>Jeff</t>
  </si>
  <si>
    <t>Jeff Lewis</t>
  </si>
  <si>
    <t>1408 E. Butterfield Place</t>
  </si>
  <si>
    <t>landerson747@yahoo.com</t>
  </si>
  <si>
    <t>Luke Anderson</t>
  </si>
  <si>
    <t>2440 Constellation Trail</t>
  </si>
  <si>
    <t>kathyhunt87@gmail.com</t>
  </si>
  <si>
    <t>izhunt@yahoo.com</t>
  </si>
  <si>
    <t>isaac</t>
  </si>
  <si>
    <t>hunt</t>
  </si>
  <si>
    <t>isaac hunt</t>
  </si>
  <si>
    <t>264 stagecoach lane</t>
  </si>
  <si>
    <t>independen</t>
  </si>
  <si>
    <t>Brooketaylor225@gmail.com</t>
  </si>
  <si>
    <t>brooketaylor225@gmail.com</t>
  </si>
  <si>
    <t>Brooke Taylor</t>
  </si>
  <si>
    <t>366 Se 44th Ave.</t>
  </si>
  <si>
    <t>cemittelberg@gmail.com</t>
  </si>
  <si>
    <t>Mmittelberg@scu.edu</t>
  </si>
  <si>
    <t>Mittelberg</t>
  </si>
  <si>
    <t>Megan Mittelberg</t>
  </si>
  <si>
    <t>722 Lynnhaven Lane</t>
  </si>
  <si>
    <t>La Canada</t>
  </si>
  <si>
    <t>thebreadybunch@gmail.com</t>
  </si>
  <si>
    <t>Kaela</t>
  </si>
  <si>
    <t>McKellips</t>
  </si>
  <si>
    <t>Kaela McKellips</t>
  </si>
  <si>
    <t>37 Road 3063</t>
  </si>
  <si>
    <t>Aztec</t>
  </si>
  <si>
    <t>happylinatian@gmail.com</t>
  </si>
  <si>
    <t>Yuqing</t>
  </si>
  <si>
    <t>Tian</t>
  </si>
  <si>
    <t>Yuqing Tian</t>
  </si>
  <si>
    <t>4 Windchime Court</t>
  </si>
  <si>
    <t>maggie.fields1@gmail.com</t>
  </si>
  <si>
    <t>Fields</t>
  </si>
  <si>
    <t>Maggie Fields</t>
  </si>
  <si>
    <t>707 Kingwood Drive</t>
  </si>
  <si>
    <t>Murfreeboro</t>
  </si>
  <si>
    <t>davidhealey40@gmail.com</t>
  </si>
  <si>
    <t>David Healey</t>
  </si>
  <si>
    <t>1536 NW 8th Avenue</t>
  </si>
  <si>
    <t>creativescholars06@gmail.com</t>
  </si>
  <si>
    <t>musicalequestrian2@gmail.com</t>
  </si>
  <si>
    <t>Coin</t>
  </si>
  <si>
    <t>Janae Coin</t>
  </si>
  <si>
    <t>2363 Highbury Drive</t>
  </si>
  <si>
    <t>laureen.herman.cc@gmail.com</t>
  </si>
  <si>
    <t>ruth@toolsbydesign.com</t>
  </si>
  <si>
    <t>Ruth Herman</t>
  </si>
  <si>
    <t>8830 Mary Drive</t>
  </si>
  <si>
    <t>16mittelbergl@prepstudents.org</t>
  </si>
  <si>
    <t>Laura Mittelberg</t>
  </si>
  <si>
    <t>debbiesliwa@comcast.net</t>
  </si>
  <si>
    <t>hsliwa221@gmail.com</t>
  </si>
  <si>
    <t>sliwa</t>
  </si>
  <si>
    <t>haley sliwa</t>
  </si>
  <si>
    <t>4510 Deyo Ave.</t>
  </si>
  <si>
    <t>dlkeil@earthlink.net</t>
  </si>
  <si>
    <t>owlcityoctopi@gmail.com</t>
  </si>
  <si>
    <t>anna</t>
  </si>
  <si>
    <t>keil</t>
  </si>
  <si>
    <t>anna keil</t>
  </si>
  <si>
    <t>1062 meek way</t>
  </si>
  <si>
    <t>west linn</t>
  </si>
  <si>
    <t>maximumrideluv@gmail.com</t>
  </si>
  <si>
    <t>Verdon</t>
  </si>
  <si>
    <t>Kayla Verdon</t>
  </si>
  <si>
    <t>ultimategirl06@gmail.com</t>
  </si>
  <si>
    <t>Sophia Fredrickson</t>
  </si>
  <si>
    <t>10 Cheval Dr</t>
  </si>
  <si>
    <t>Oak Brook</t>
  </si>
  <si>
    <t>ezrick7@gmail.com</t>
  </si>
  <si>
    <t>Trader</t>
  </si>
  <si>
    <t>Evan Trader</t>
  </si>
  <si>
    <t>4035 Fern Ave.</t>
  </si>
  <si>
    <t>Bark4me.legoguy@gmail.com</t>
  </si>
  <si>
    <t>jstalbert513@gmail.com</t>
  </si>
  <si>
    <t>Plummer</t>
  </si>
  <si>
    <t>Josiah Plummer</t>
  </si>
  <si>
    <t>5925 Chaco Loop NE</t>
  </si>
  <si>
    <t>johannan9@me.com</t>
  </si>
  <si>
    <t>Jayjoarmentrout@gmail.com</t>
  </si>
  <si>
    <t>Armentrout</t>
  </si>
  <si>
    <t>Julia Armentrout</t>
  </si>
  <si>
    <t>4099  School Rd</t>
  </si>
  <si>
    <t>Temperance</t>
  </si>
  <si>
    <t>haleymricks@gmail.com</t>
  </si>
  <si>
    <t>Haley Ricks</t>
  </si>
  <si>
    <t>4140 Shiloh Trl</t>
  </si>
  <si>
    <t>gareth@redeemer.tv</t>
  </si>
  <si>
    <t>aidangilpin@gmail.com</t>
  </si>
  <si>
    <t>Gilpin</t>
  </si>
  <si>
    <t>Aidan Gilpin</t>
  </si>
  <si>
    <t>7 Augusta Court</t>
  </si>
  <si>
    <t>Clifton Park</t>
  </si>
  <si>
    <t>scottandloretta@epbfi.com</t>
  </si>
  <si>
    <t>lizzy_grace197@yahoo.com</t>
  </si>
  <si>
    <t>Vandergriff</t>
  </si>
  <si>
    <t>Elizabeth Vandergriff</t>
  </si>
  <si>
    <t>12855 Newman Green Rd.</t>
  </si>
  <si>
    <t>hullshome@yahoo.com</t>
  </si>
  <si>
    <t>gigirae3@gmail.com</t>
  </si>
  <si>
    <t>Georgia</t>
  </si>
  <si>
    <t>Georgia Hull</t>
  </si>
  <si>
    <t>rkccwatson@sbcglobal.net</t>
  </si>
  <si>
    <t>Camille Watson</t>
  </si>
  <si>
    <t>5303 E 102ND ST</t>
  </si>
  <si>
    <t>TULSA</t>
  </si>
  <si>
    <t>dmlandess@suddenlink.net</t>
  </si>
  <si>
    <t>aclandess@suddenlink.net</t>
  </si>
  <si>
    <t>Augustine</t>
  </si>
  <si>
    <t>Landess</t>
  </si>
  <si>
    <t>Augustine Landess</t>
  </si>
  <si>
    <t>4415 79th Street</t>
  </si>
  <si>
    <t>keleigh.hedlund@gmail.com</t>
  </si>
  <si>
    <t>Keleigh</t>
  </si>
  <si>
    <t>Hedlund</t>
  </si>
  <si>
    <t>Keleigh Hedlund</t>
  </si>
  <si>
    <t>26532 Windjammer ln.</t>
  </si>
  <si>
    <t>P.O. Box 145</t>
  </si>
  <si>
    <t>Helendale</t>
  </si>
  <si>
    <t>kathymorris825@gmail.com</t>
  </si>
  <si>
    <t>will.morris298@gmail.com</t>
  </si>
  <si>
    <t>Will Morris</t>
  </si>
  <si>
    <t>147 N. Belle Terre St.</t>
  </si>
  <si>
    <t>slystonegirl@gmail.com</t>
  </si>
  <si>
    <t>Friedmann</t>
  </si>
  <si>
    <t>Natalie Friedmann</t>
  </si>
  <si>
    <t>1186 Remsen Avenue</t>
  </si>
  <si>
    <t>jdt_tran@yahoo.com</t>
  </si>
  <si>
    <t>jrtran2011@gmail.com</t>
  </si>
  <si>
    <t>Tran</t>
  </si>
  <si>
    <t>Jeremy Tran</t>
  </si>
  <si>
    <t>652 Armitos Place</t>
  </si>
  <si>
    <t>4mj777@gmail.com</t>
  </si>
  <si>
    <t>Hacienda Street</t>
  </si>
  <si>
    <t>San Mateo</t>
  </si>
  <si>
    <t>jhunter532@aol.com</t>
  </si>
  <si>
    <t>hunterjames853@gmail.com</t>
  </si>
  <si>
    <t>James Hunter</t>
  </si>
  <si>
    <t>211 Woodrun Dr.</t>
  </si>
  <si>
    <t>bethanyjoybeal@yahoo.com</t>
  </si>
  <si>
    <t>Bethany Beal</t>
  </si>
  <si>
    <t>jpatt5@yahoo.com</t>
  </si>
  <si>
    <t>bballfreak54@gmail.com</t>
  </si>
  <si>
    <t>Merci</t>
  </si>
  <si>
    <t>Merci Scott</t>
  </si>
  <si>
    <t>441 Vista Terrace</t>
  </si>
  <si>
    <t>pshields1992@gmail.com</t>
  </si>
  <si>
    <t>Erin Shields</t>
  </si>
  <si>
    <t>7380 SW 9th Ct</t>
  </si>
  <si>
    <t>Plantation</t>
  </si>
  <si>
    <t>jeanneshields92@gmail.com</t>
  </si>
  <si>
    <t>careshields@bellsouth.net</t>
  </si>
  <si>
    <t>Carolyn Shields</t>
  </si>
  <si>
    <t>7380 SW 9th Court</t>
  </si>
  <si>
    <t>maryjane.lukachick@gmail.com</t>
  </si>
  <si>
    <t>MaryJane</t>
  </si>
  <si>
    <t>Lukachick</t>
  </si>
  <si>
    <t>MaryJane Lukachick</t>
  </si>
  <si>
    <t>36001 Cypress Dr</t>
  </si>
  <si>
    <t>Geismar</t>
  </si>
  <si>
    <t>ebollesmartens@gmail.com</t>
  </si>
  <si>
    <t>Bolles-Martens</t>
  </si>
  <si>
    <t>Emily Bolles-Martens</t>
  </si>
  <si>
    <t>P.O Box 89</t>
  </si>
  <si>
    <t>North Garden</t>
  </si>
  <si>
    <t>bakers.oviedo@gmail.com</t>
  </si>
  <si>
    <t>nicolecbaker445@gmail.com</t>
  </si>
  <si>
    <t>Nicole Baker</t>
  </si>
  <si>
    <t>445 Carriage Way Ct</t>
  </si>
  <si>
    <t>brazosnet@charter.net</t>
  </si>
  <si>
    <t>kayleedusang@yahoo.com</t>
  </si>
  <si>
    <t>Dusang</t>
  </si>
  <si>
    <t>Kaylee Dusang</t>
  </si>
  <si>
    <t>6023 Crestford Park Lane</t>
  </si>
  <si>
    <t>carolinegray@windstream.net</t>
  </si>
  <si>
    <t>Caroline Gray</t>
  </si>
  <si>
    <t>8824 Redmayne Ct.</t>
  </si>
  <si>
    <t>mjdrayton8286@comcast.net</t>
  </si>
  <si>
    <t>Mjdrayton8286@comcast.net</t>
  </si>
  <si>
    <t>Drayton</t>
  </si>
  <si>
    <t>Thomas Drayton</t>
  </si>
  <si>
    <t>13528 james ave south</t>
  </si>
  <si>
    <t>coramdeo40@gmail.com</t>
  </si>
  <si>
    <t>joelthomas2016@gmail.com</t>
  </si>
  <si>
    <t>Joel Thomas</t>
  </si>
  <si>
    <t>2420 Thomashire Ct.</t>
  </si>
  <si>
    <t>hewhowallksalone@gmail.com</t>
  </si>
  <si>
    <t>Leubecker</t>
  </si>
  <si>
    <t>Ryan Leubecker</t>
  </si>
  <si>
    <t>1737 Shanwick Ct</t>
  </si>
  <si>
    <t>Forest Hill</t>
  </si>
  <si>
    <t>jeff@jeffwillard.com</t>
  </si>
  <si>
    <t>jet.willard@gmail.com</t>
  </si>
  <si>
    <t>Jet</t>
  </si>
  <si>
    <t>Willard</t>
  </si>
  <si>
    <t>Jet Willard</t>
  </si>
  <si>
    <t>5614 Kemah Ct</t>
  </si>
  <si>
    <t>druellenduncan@yahoo.com</t>
  </si>
  <si>
    <t>bigbroduncan@gmail.com</t>
  </si>
  <si>
    <t>Kenneth Duncan</t>
  </si>
  <si>
    <t>1152 Robert St</t>
  </si>
  <si>
    <t>Pearland</t>
  </si>
  <si>
    <t>business4d@gmail.com</t>
  </si>
  <si>
    <t>Dain</t>
  </si>
  <si>
    <t>Dain Johnson</t>
  </si>
  <si>
    <t>16730 Plum Rd</t>
  </si>
  <si>
    <t>meleahjoy713@gmail.com</t>
  </si>
  <si>
    <t>Meleah</t>
  </si>
  <si>
    <t>Bazen</t>
  </si>
  <si>
    <t>Meleah Bazen</t>
  </si>
  <si>
    <t>3365 Brook Hollow Dr.</t>
  </si>
  <si>
    <t>mike@streeterbros.com</t>
  </si>
  <si>
    <t>Joseph Woods</t>
  </si>
  <si>
    <t>3404 Racquet Drive</t>
  </si>
  <si>
    <t>givingmyall4him@gmail.com</t>
  </si>
  <si>
    <t>Andrea Mills</t>
  </si>
  <si>
    <t>2841 Hunter St.</t>
  </si>
  <si>
    <t>mimibaskerville95@gmail.com</t>
  </si>
  <si>
    <t>sarah</t>
  </si>
  <si>
    <t>baskerville</t>
  </si>
  <si>
    <t>sarah baskerville</t>
  </si>
  <si>
    <t>2324 Northwood Lane</t>
  </si>
  <si>
    <t>edmond</t>
  </si>
  <si>
    <t>starrcalo-oy@satx.rr.com</t>
  </si>
  <si>
    <t>ttashoty@marriage101.net</t>
  </si>
  <si>
    <t>Khalea</t>
  </si>
  <si>
    <t>Calo-oy</t>
  </si>
  <si>
    <t>Khalea Calo-oy</t>
  </si>
  <si>
    <t>6619 Laurelhill Dr.</t>
  </si>
  <si>
    <t>colorfulfamily@gmail.com</t>
  </si>
  <si>
    <t>Kaybeehaley97@yahoo.com</t>
  </si>
  <si>
    <t>Kirana</t>
  </si>
  <si>
    <t>Kirana Haley</t>
  </si>
  <si>
    <t>214 Tupelo Way</t>
  </si>
  <si>
    <t>Sandpoint</t>
  </si>
  <si>
    <t>Moriahhaley11@gmail.com</t>
  </si>
  <si>
    <t>Moriah Haley</t>
  </si>
  <si>
    <t>sfvetassisstant@yahoo.com</t>
  </si>
  <si>
    <t>Sarah Friesen</t>
  </si>
  <si>
    <t>6105 Windsong Dr.</t>
  </si>
  <si>
    <t>n.sterling.s@gmail.com</t>
  </si>
  <si>
    <t>Sides</t>
  </si>
  <si>
    <t>Nathaniel Sides</t>
  </si>
  <si>
    <t>1627 John Tucker Rd</t>
  </si>
  <si>
    <t>Aroda</t>
  </si>
  <si>
    <t>iduke73@yahoo.com</t>
  </si>
  <si>
    <t>nbduke613@yahoo.com</t>
  </si>
  <si>
    <t>Duke</t>
  </si>
  <si>
    <t>Noah Duke</t>
  </si>
  <si>
    <t>3929 Country Meadows Circle</t>
  </si>
  <si>
    <t>gdornink@hotmail.com</t>
  </si>
  <si>
    <t>Dornink</t>
  </si>
  <si>
    <t>Michelle Dornink</t>
  </si>
  <si>
    <t>74427 170th Ave.</t>
  </si>
  <si>
    <t>Hayfield</t>
  </si>
  <si>
    <t>moyerseven@gmail.com</t>
  </si>
  <si>
    <t>Lois</t>
  </si>
  <si>
    <t>Moyer</t>
  </si>
  <si>
    <t>Lois Moyer</t>
  </si>
  <si>
    <t>1973 Mine Rd</t>
  </si>
  <si>
    <t>hkmetzs@gmail.com</t>
  </si>
  <si>
    <t>tmetz3001@gmail.com</t>
  </si>
  <si>
    <t>Metz</t>
  </si>
  <si>
    <t>Timothy Metz</t>
  </si>
  <si>
    <t>7G Parkland Drive</t>
  </si>
  <si>
    <t>Discovery Bay</t>
  </si>
  <si>
    <t>Hong Kong</t>
  </si>
  <si>
    <t>mmetz445@gmail.com</t>
  </si>
  <si>
    <t>Matthew Metz</t>
  </si>
  <si>
    <t>joshuahchavez@yahoo.com</t>
  </si>
  <si>
    <t>Joshuah</t>
  </si>
  <si>
    <t>Joshuah Chavez</t>
  </si>
  <si>
    <t>ermi7@yahoo.com</t>
  </si>
  <si>
    <t>yonatanaraia@gmail.com</t>
  </si>
  <si>
    <t>Yonatan</t>
  </si>
  <si>
    <t>Araia</t>
  </si>
  <si>
    <t>Yonatan Araia</t>
  </si>
  <si>
    <t>14657 E OREGON DR</t>
  </si>
  <si>
    <t>AURORA</t>
  </si>
  <si>
    <t>meronearaia@gmail.com</t>
  </si>
  <si>
    <t>Meron</t>
  </si>
  <si>
    <t>Meron Araia</t>
  </si>
  <si>
    <t>14657 E ORGEGON DR</t>
  </si>
  <si>
    <t>jipf@thefoleys.com</t>
  </si>
  <si>
    <t>skaterhjf43@gmail.com</t>
  </si>
  <si>
    <t>Helen</t>
  </si>
  <si>
    <t>Helen Foley</t>
  </si>
  <si>
    <t>13124 Byrd Lane</t>
  </si>
  <si>
    <t>Los Altos</t>
  </si>
  <si>
    <t>kathyfagala@gmail.com</t>
  </si>
  <si>
    <t>itsmeglory@gmail.com</t>
  </si>
  <si>
    <t>Fagala</t>
  </si>
  <si>
    <t>Gloria Fagala</t>
  </si>
  <si>
    <t>2983 DEESE RD</t>
  </si>
  <si>
    <t>ARDMORE</t>
  </si>
  <si>
    <t>groeger6@yahoo.com</t>
  </si>
  <si>
    <t>lngroeger@yahoo.com</t>
  </si>
  <si>
    <t>Groeger</t>
  </si>
  <si>
    <t>Lauren Groeger</t>
  </si>
  <si>
    <t>11226 Deer Mountain Road</t>
  </si>
  <si>
    <t>Lead</t>
  </si>
  <si>
    <t>mebrantley@gmail.com</t>
  </si>
  <si>
    <t>Miriam</t>
  </si>
  <si>
    <t>Brantley</t>
  </si>
  <si>
    <t>Miriam Brantley</t>
  </si>
  <si>
    <t>122 Harrison Rd</t>
  </si>
  <si>
    <t>Easley</t>
  </si>
  <si>
    <t>susan1614@gmail.com</t>
  </si>
  <si>
    <t>Hannah Kirby</t>
  </si>
  <si>
    <t>husemanfamily@juno.com</t>
  </si>
  <si>
    <t>laurenhuseman@yahoo.com</t>
  </si>
  <si>
    <t>Huseman</t>
  </si>
  <si>
    <t>Lauren Huseman</t>
  </si>
  <si>
    <t>3220 Preakness Drive</t>
  </si>
  <si>
    <t>scbrantley@gmail.com</t>
  </si>
  <si>
    <t>Sarah Brantley</t>
  </si>
  <si>
    <t>122 Harrison Road</t>
  </si>
  <si>
    <t>tabolt@juno.com</t>
  </si>
  <si>
    <t>aaronbolt20@yahoo.com</t>
  </si>
  <si>
    <t>Bolt</t>
  </si>
  <si>
    <t>Aaron Bolt</t>
  </si>
  <si>
    <t>425 Galatas Rd.</t>
  </si>
  <si>
    <t>Madisonville</t>
  </si>
  <si>
    <t>angellebolt@gmail.com</t>
  </si>
  <si>
    <t>Angelle</t>
  </si>
  <si>
    <t>Angelle Bolt</t>
  </si>
  <si>
    <t>chebert00@yahoo.com</t>
  </si>
  <si>
    <t>jhebert34@gmail.com</t>
  </si>
  <si>
    <t>Hebert</t>
  </si>
  <si>
    <t>Joshua Hebert</t>
  </si>
  <si>
    <t>343 Miller Road</t>
  </si>
  <si>
    <t>Rexford</t>
  </si>
  <si>
    <t>alaskagrahams@yahoo.com</t>
  </si>
  <si>
    <t>eligraham7@gmail.com</t>
  </si>
  <si>
    <t>Eli Graham</t>
  </si>
  <si>
    <t>215 W. Corral Ave.</t>
  </si>
  <si>
    <t>er_tiger74@msn.com</t>
  </si>
  <si>
    <t>spikerchick013@gmail.com</t>
  </si>
  <si>
    <t>Caitlyn Martinez</t>
  </si>
  <si>
    <t>6145 Faxon Ct</t>
  </si>
  <si>
    <t>KENLAUB@COMPORIUM.NET</t>
  </si>
  <si>
    <t>NOAHKOHL@GMAIL.COM</t>
  </si>
  <si>
    <t>NOAH</t>
  </si>
  <si>
    <t>KOHL</t>
  </si>
  <si>
    <t>NOAH KOHL</t>
  </si>
  <si>
    <t>1181 Brougham</t>
  </si>
  <si>
    <t>wilmington</t>
  </si>
  <si>
    <t>horseluver@dejazzd.com</t>
  </si>
  <si>
    <t>Hannah.e.quimby@gmail.com</t>
  </si>
  <si>
    <t>Quimby</t>
  </si>
  <si>
    <t>Hannah Quimby</t>
  </si>
  <si>
    <t>1248 Pine Hill Road</t>
  </si>
  <si>
    <t>riversands13@yahoo.com</t>
  </si>
  <si>
    <t>Sands</t>
  </si>
  <si>
    <t>Morgan Sands</t>
  </si>
  <si>
    <t>403 West Smith St.</t>
  </si>
  <si>
    <t>airbusdriver@verizon.net</t>
  </si>
  <si>
    <t>kelby.erickson@gmail.com</t>
  </si>
  <si>
    <t>Kelby</t>
  </si>
  <si>
    <t>Kelby Erickson</t>
  </si>
  <si>
    <t>1017 Sun Ridge Drive</t>
  </si>
  <si>
    <t>lorivesperman@suddenlink.net</t>
  </si>
  <si>
    <t>Vesperman</t>
  </si>
  <si>
    <t>Tyler Vesperman</t>
  </si>
  <si>
    <t>1207 Ashburn Avenue</t>
  </si>
  <si>
    <t>secureinchrist@live.com</t>
  </si>
  <si>
    <t>ahearthiddeninchrist@gmail.com</t>
  </si>
  <si>
    <t>Arianna Coleman</t>
  </si>
  <si>
    <t>6305 Sarnen Drive</t>
  </si>
  <si>
    <t>lorryturner6@gmail.com</t>
  </si>
  <si>
    <t>mlmt97@gmail.com</t>
  </si>
  <si>
    <t>MaryLeith</t>
  </si>
  <si>
    <t>MaryLeith Turner</t>
  </si>
  <si>
    <t>1264 Glenloch Road</t>
  </si>
  <si>
    <t>Roopville</t>
  </si>
  <si>
    <t>LifewithChrist@live.com</t>
  </si>
  <si>
    <t>La'Tia</t>
  </si>
  <si>
    <t>La'Tia Coleman</t>
  </si>
  <si>
    <t>mkkeith@sbcglobal.net</t>
  </si>
  <si>
    <t>eckeith1@sbcglobal.net</t>
  </si>
  <si>
    <t>Emma Keith</t>
  </si>
  <si>
    <t>1432 Tascosa Ct.</t>
  </si>
  <si>
    <t>lboyd912@gmail.com</t>
  </si>
  <si>
    <t>Boyd</t>
  </si>
  <si>
    <t>Laura Boyd</t>
  </si>
  <si>
    <t>1213 Loren Dr.</t>
  </si>
  <si>
    <t>kaleb.gabbert@yahoo.com</t>
  </si>
  <si>
    <t>Kaleb Gabbert</t>
  </si>
  <si>
    <t>bherstrom@gmail.com</t>
  </si>
  <si>
    <t>Greta</t>
  </si>
  <si>
    <t>Herstrom</t>
  </si>
  <si>
    <t>Greta Herstrom</t>
  </si>
  <si>
    <t>16210 Nowthen Blvd. NW</t>
  </si>
  <si>
    <t>RAMSEY</t>
  </si>
  <si>
    <t>lindacm@southcrest.org</t>
  </si>
  <si>
    <t>emma.g.merriott@ttu.edu</t>
  </si>
  <si>
    <t>Merriott</t>
  </si>
  <si>
    <t>Emma Merriott</t>
  </si>
  <si>
    <t>5914 103rd. Street</t>
  </si>
  <si>
    <t>kadester@inetfamily.us</t>
  </si>
  <si>
    <t>Nicholaus</t>
  </si>
  <si>
    <t>Nicholaus Thompson</t>
  </si>
  <si>
    <t>20 S. Bryant Ave. apt. 123</t>
  </si>
  <si>
    <t>jenniferwolf@ymail.com</t>
  </si>
  <si>
    <t>Jacobwolf455@gmail.com</t>
  </si>
  <si>
    <t>Wolf</t>
  </si>
  <si>
    <t>Jacob Wolf</t>
  </si>
  <si>
    <t>113 Goodwin Rd</t>
  </si>
  <si>
    <t>Santa Maria</t>
  </si>
  <si>
    <t>sandersclan9@gmail.com</t>
  </si>
  <si>
    <t>Christiana Sanders</t>
  </si>
  <si>
    <t>7323 S. Southside Blvd</t>
  </si>
  <si>
    <t>yimail07@gmail.com</t>
  </si>
  <si>
    <t>jinsoo02@gmail.com</t>
  </si>
  <si>
    <t>Jeremiah Yi</t>
  </si>
  <si>
    <t>Gangdong-Gu, Chunho Daero 1162</t>
  </si>
  <si>
    <t>Seyang Chungmaru Apt. #1305</t>
  </si>
  <si>
    <t>dohardthings@outlook.com</t>
  </si>
  <si>
    <t>hlorenczak@yahoo.com</t>
  </si>
  <si>
    <t>Orenczak</t>
  </si>
  <si>
    <t>Kathleen Orenczak</t>
  </si>
  <si>
    <t>2414 Granville Dr</t>
  </si>
  <si>
    <t>Elise Orenczak</t>
  </si>
  <si>
    <t>julianhague@hotmail.com</t>
  </si>
  <si>
    <t>Hague</t>
  </si>
  <si>
    <t>Julian Hague</t>
  </si>
  <si>
    <t>1805 Cromwood Rd</t>
  </si>
  <si>
    <t>jjohnson@sjrm.com</t>
  </si>
  <si>
    <t>johnsoncolby05@gmail.com</t>
  </si>
  <si>
    <t>6627 Everhill Circle</t>
  </si>
  <si>
    <t>bvabasciano@gmail.com</t>
  </si>
  <si>
    <t>njabasciano@gmail.com</t>
  </si>
  <si>
    <t>Abasciano</t>
  </si>
  <si>
    <t>Noah Abasciano</t>
  </si>
  <si>
    <t>122 High Street</t>
  </si>
  <si>
    <t>NH</t>
  </si>
  <si>
    <t>suzy.ford@sbcglobal.net</t>
  </si>
  <si>
    <t>lukeskywalker2@att.ent</t>
  </si>
  <si>
    <t>Ford</t>
  </si>
  <si>
    <t>Luke Ford</t>
  </si>
  <si>
    <t>5364 S Palisades Ave</t>
  </si>
  <si>
    <t>Battlefield</t>
  </si>
  <si>
    <t>haysacowgirl@att.net</t>
  </si>
  <si>
    <t>Haley Ford</t>
  </si>
  <si>
    <t>simmonstrout@yahoo.com</t>
  </si>
  <si>
    <t>awtrout@yahoo.com</t>
  </si>
  <si>
    <t>Trout</t>
  </si>
  <si>
    <t>Andrew Trout</t>
  </si>
  <si>
    <t>2581B Brassfield Rd</t>
  </si>
  <si>
    <t>Creedmoor</t>
  </si>
  <si>
    <t>randyandbrooke@gmail.com</t>
  </si>
  <si>
    <t>savannah.balas@gmail.com</t>
  </si>
  <si>
    <t>Balas</t>
  </si>
  <si>
    <t>Savannah Balas</t>
  </si>
  <si>
    <t>15221 W. Banff Ln.</t>
  </si>
  <si>
    <t>Surprise</t>
  </si>
  <si>
    <t>beartoothhiker@icloud.com</t>
  </si>
  <si>
    <t>ecandrews0@icloud.com</t>
  </si>
  <si>
    <t>Elizabeth Andrews</t>
  </si>
  <si>
    <t>540 Tumbleweed Dr.</t>
  </si>
  <si>
    <t>kaymart@bellsouth.net</t>
  </si>
  <si>
    <t>abby.hynson@gmail.com</t>
  </si>
  <si>
    <t>Hynson</t>
  </si>
  <si>
    <t>Abigail Hynson</t>
  </si>
  <si>
    <t>6 Pinegate Ct</t>
  </si>
  <si>
    <t>vsailer@triad.rr.com</t>
  </si>
  <si>
    <t>josh.sailer99@gmail.com</t>
  </si>
  <si>
    <t>Sailer</t>
  </si>
  <si>
    <t>Josh Sailer</t>
  </si>
  <si>
    <t>110 Fairhaven Ct.</t>
  </si>
  <si>
    <t>hscully2@emich.edu</t>
  </si>
  <si>
    <t>scully</t>
  </si>
  <si>
    <t>Hannah scully</t>
  </si>
  <si>
    <t>12405 capernall</t>
  </si>
  <si>
    <t>carleton</t>
  </si>
  <si>
    <t>hrjune96@gmail.com</t>
  </si>
  <si>
    <t>June</t>
  </si>
  <si>
    <t>Haleigh June</t>
  </si>
  <si>
    <t>308 Harvest Ln</t>
  </si>
  <si>
    <t>Swansea</t>
  </si>
  <si>
    <t>kristenpersoniusmusic@gmail.com</t>
  </si>
  <si>
    <t>Personius</t>
  </si>
  <si>
    <t>Kristen Personius</t>
  </si>
  <si>
    <t>6825 Dauntless Ct</t>
  </si>
  <si>
    <t>nbayless@clearsurfusa.com</t>
  </si>
  <si>
    <t>maryhelenbayless@gmail.com</t>
  </si>
  <si>
    <t>Bayless</t>
  </si>
  <si>
    <t>Mary Bayless</t>
  </si>
  <si>
    <t>2501 W Prospect Rd</t>
  </si>
  <si>
    <t>raisingdragons24@gmail.com</t>
  </si>
  <si>
    <t>Forest Avenue</t>
  </si>
  <si>
    <t>meowingdewey@hotmail.com</t>
  </si>
  <si>
    <t>Benjamin Aldrich</t>
  </si>
  <si>
    <t>horsecrayzbecca@gmail.com</t>
  </si>
  <si>
    <t>katherinekchu@gmail.com</t>
  </si>
  <si>
    <t>elliot.tchon@yahoo.com</t>
  </si>
  <si>
    <t>Elliot Tchon</t>
  </si>
  <si>
    <t>Rancho Palos Verdes</t>
  </si>
  <si>
    <t>valentinetsoy9@gmail.com</t>
  </si>
  <si>
    <t>Valentin</t>
  </si>
  <si>
    <t>Tsoy</t>
  </si>
  <si>
    <t>Valentin Tsoy</t>
  </si>
  <si>
    <t>2565 W. 235th St.</t>
  </si>
  <si>
    <t>Apt. E</t>
  </si>
  <si>
    <t>jb.lee210@gmail.com</t>
  </si>
  <si>
    <t>Joseph Lee</t>
  </si>
  <si>
    <t>20323 Tomlee Ave.</t>
  </si>
  <si>
    <t>jasonsn97@gmail.com</t>
  </si>
  <si>
    <t>Jason Nam</t>
  </si>
  <si>
    <t>16210 Van Ness Ave.</t>
  </si>
  <si>
    <t>easton.ramos@ymail.com</t>
  </si>
  <si>
    <t>Easton</t>
  </si>
  <si>
    <t>Easton Ramos</t>
  </si>
  <si>
    <t>3217 Cricklewood St.</t>
  </si>
  <si>
    <t>stephenftwkim@yahoo.com</t>
  </si>
  <si>
    <t>Stephen Kim</t>
  </si>
  <si>
    <t>16507 Orchard Flat Lane</t>
  </si>
  <si>
    <t>Cerritos</t>
  </si>
  <si>
    <t>junglaurence@aol.com</t>
  </si>
  <si>
    <t>Laurence</t>
  </si>
  <si>
    <t>Jung</t>
  </si>
  <si>
    <t>Laurence Jung</t>
  </si>
  <si>
    <t>4814 Emerald St.</t>
  </si>
  <si>
    <t>kimtothemax45@gmail.com</t>
  </si>
  <si>
    <t>Teng</t>
  </si>
  <si>
    <t>Dustin Teng</t>
  </si>
  <si>
    <t>20606 Anza Ave.</t>
  </si>
  <si>
    <t>Apt #20</t>
  </si>
  <si>
    <t>mangopongo1295@gmail.com</t>
  </si>
  <si>
    <t>Victoria Nguyen</t>
  </si>
  <si>
    <t>18245 Regina Ave.</t>
  </si>
  <si>
    <t>htwluvdogs@gmail.com</t>
  </si>
  <si>
    <t>Hannah Park</t>
  </si>
  <si>
    <t>3538 Torrance Blvd.</t>
  </si>
  <si>
    <t>Unit 107</t>
  </si>
  <si>
    <t>jaetonychoi@gmail.com</t>
  </si>
  <si>
    <t>Jae Won</t>
  </si>
  <si>
    <t>Jae Won Choi</t>
  </si>
  <si>
    <t>1732 247th St.</t>
  </si>
  <si>
    <t>Lomita</t>
  </si>
  <si>
    <t>lwalker2323@yahoo.com</t>
  </si>
  <si>
    <t>swalker1211@yahoo.com</t>
  </si>
  <si>
    <t>Susanna Walker</t>
  </si>
  <si>
    <t>10210 NE 154th St</t>
  </si>
  <si>
    <t>mcoldach@gmail.com</t>
  </si>
  <si>
    <t>Oldach</t>
  </si>
  <si>
    <t>Michael Oldach</t>
  </si>
  <si>
    <t>12795 Oak Cliff Way</t>
  </si>
  <si>
    <t>22andersonj@gmail.com</t>
  </si>
  <si>
    <t>Joel Anderson</t>
  </si>
  <si>
    <t>rklzap@yahoo.com</t>
  </si>
  <si>
    <t>Rachel Lee</t>
  </si>
  <si>
    <t>783 Gatan St.</t>
  </si>
  <si>
    <t>#406</t>
  </si>
  <si>
    <t>San Pedro</t>
  </si>
  <si>
    <t>jonathanjamest@gmail.com</t>
  </si>
  <si>
    <t>18dtay@gmail.com</t>
  </si>
  <si>
    <t>Daniel Taylor</t>
  </si>
  <si>
    <t>96 Victoria Lane</t>
  </si>
  <si>
    <t>Roxboro</t>
  </si>
  <si>
    <t>usher@ise.msstate.edu</t>
  </si>
  <si>
    <t>djusher12@gmail.com</t>
  </si>
  <si>
    <t>Usher</t>
  </si>
  <si>
    <t>David Usher</t>
  </si>
  <si>
    <t>108 Bellwood Dr.</t>
  </si>
  <si>
    <t>wafford01@gmail.com</t>
  </si>
  <si>
    <t>wafford</t>
  </si>
  <si>
    <t>hannah wafford</t>
  </si>
  <si>
    <t>3373 wheaton road</t>
  </si>
  <si>
    <t>san antonio</t>
  </si>
  <si>
    <t>d.shillingstad@gmail.com</t>
  </si>
  <si>
    <t>Shillingstad</t>
  </si>
  <si>
    <t>David Shillingstad</t>
  </si>
  <si>
    <t>6227 Purcell Road</t>
  </si>
  <si>
    <t>Oregon</t>
  </si>
  <si>
    <t>kshillingstad@hillsdale.edu</t>
  </si>
  <si>
    <t>kshillingstad@hillsdale.edue</t>
  </si>
  <si>
    <t>Kyle Shillingstad</t>
  </si>
  <si>
    <t>b.h.grant95@gmail.com</t>
  </si>
  <si>
    <t>hngrant96@gmail.com</t>
  </si>
  <si>
    <t>Hannah Grant</t>
  </si>
  <si>
    <t>3085 Angus Ct.</t>
  </si>
  <si>
    <t>janekhtx@sbcglobal.net</t>
  </si>
  <si>
    <t>nolanbrill@gmail.com</t>
  </si>
  <si>
    <t>Nolan Brill</t>
  </si>
  <si>
    <t>3603 Sagecombe Lane</t>
  </si>
  <si>
    <t>hunterg1998@gmail.com</t>
  </si>
  <si>
    <t>Hunter Grant</t>
  </si>
  <si>
    <t>lowerygretchen@gmail.com</t>
  </si>
  <si>
    <t>rlowery9@gmail.com</t>
  </si>
  <si>
    <t>Robert Lowery</t>
  </si>
  <si>
    <t>7678 E Windrose Dr</t>
  </si>
  <si>
    <t>rbristol97@yahoo.com</t>
  </si>
  <si>
    <t>Rachel Bristol</t>
  </si>
  <si>
    <t>385 Darby dr</t>
  </si>
  <si>
    <t>HRCRaiden@gmail.com</t>
  </si>
  <si>
    <t>Hannah Collier</t>
  </si>
  <si>
    <t>hrogue98@gmail.com</t>
  </si>
  <si>
    <t>Hugh</t>
  </si>
  <si>
    <t>Hugh McCune</t>
  </si>
  <si>
    <t>3516 112 St. NW</t>
  </si>
  <si>
    <t>T6J1H9</t>
  </si>
  <si>
    <t>willhudson97@gmail.com</t>
  </si>
  <si>
    <t>Willhudson97@gmail.com</t>
  </si>
  <si>
    <t>William Hudson</t>
  </si>
  <si>
    <t>5321 Hickory Hill Dr</t>
  </si>
  <si>
    <t>jlorence@telladf.org</t>
  </si>
  <si>
    <t>bopsthebest@gmail.com</t>
  </si>
  <si>
    <t>Brenton</t>
  </si>
  <si>
    <t>Lorence</t>
  </si>
  <si>
    <t>Brenton Lorence</t>
  </si>
  <si>
    <t>4529 Andes Drive</t>
  </si>
  <si>
    <t>jacobpryor97@gmail.com</t>
  </si>
  <si>
    <t>Jacobpryor97@gmail.com</t>
  </si>
  <si>
    <t>Pryor</t>
  </si>
  <si>
    <t>Jacob Pryor</t>
  </si>
  <si>
    <t>1722 Bullocktown rd</t>
  </si>
  <si>
    <t>Boonville</t>
  </si>
  <si>
    <t>ellen.warner22@yahoo.com</t>
  </si>
  <si>
    <t>Warner</t>
  </si>
  <si>
    <t>Ellen Warner</t>
  </si>
  <si>
    <t>800 Sierra Lane</t>
  </si>
  <si>
    <t>Benjamin Allen</t>
  </si>
  <si>
    <t>mellonhead092496@gmail.com</t>
  </si>
  <si>
    <t>Weimer</t>
  </si>
  <si>
    <t>James Weimer</t>
  </si>
  <si>
    <t>775 Tucker Rd</t>
  </si>
  <si>
    <t>Odenville</t>
  </si>
  <si>
    <t>beew2@yahoo.com</t>
  </si>
  <si>
    <t>Benjamin Wilson</t>
  </si>
  <si>
    <t>2070 Cherokee Rd</t>
  </si>
  <si>
    <t>brandonqhall@gmail.com</t>
  </si>
  <si>
    <t>Brandon Hall</t>
  </si>
  <si>
    <t>217 Peakhill Road</t>
  </si>
  <si>
    <t>Holly Springs</t>
  </si>
  <si>
    <t>cboydanderson@gmail.com</t>
  </si>
  <si>
    <t>lynne785@gmail.com</t>
  </si>
  <si>
    <t>Kerry Anderson</t>
  </si>
  <si>
    <t>149 HUNTERS RD</t>
  </si>
  <si>
    <t>TUMBLING SHOALS</t>
  </si>
  <si>
    <t>randy.harris34@gmail.com</t>
  </si>
  <si>
    <t>hollyharris101@gmail.com</t>
  </si>
  <si>
    <t>Holly Harris</t>
  </si>
  <si>
    <t>7902 Merrick Court</t>
  </si>
  <si>
    <t>clarkndarla@msn.com</t>
  </si>
  <si>
    <t>icstevens@live.com</t>
  </si>
  <si>
    <t>Isaac Stevens</t>
  </si>
  <si>
    <t>1112 N Post Oak Rd</t>
  </si>
  <si>
    <t>mchowat@msn.com</t>
  </si>
  <si>
    <t>joshhowat@live.com</t>
  </si>
  <si>
    <t>Howat</t>
  </si>
  <si>
    <t>Joshua Howat</t>
  </si>
  <si>
    <t>8418 West Gage Road</t>
  </si>
  <si>
    <t>Hallam</t>
  </si>
  <si>
    <t>randshud9@att.net</t>
  </si>
  <si>
    <t>Leah Hudson</t>
  </si>
  <si>
    <t>P.O. BOX 63</t>
  </si>
  <si>
    <t>1012 Bois D Arc</t>
  </si>
  <si>
    <t>Roscoe</t>
  </si>
  <si>
    <t>smcarthur86@gmail.com</t>
  </si>
  <si>
    <t>William McArthur</t>
  </si>
  <si>
    <t>6508 Montrose Trail</t>
  </si>
  <si>
    <t>hibrowns@hawaiiantel.net</t>
  </si>
  <si>
    <t>chabguy@gmail.com</t>
  </si>
  <si>
    <t>Caleb Brown</t>
  </si>
  <si>
    <t>McCorriston St.</t>
  </si>
  <si>
    <t>diane_johns77@yahoo.com</t>
  </si>
  <si>
    <t>Blluke199827@gmail.com</t>
  </si>
  <si>
    <t>Bobby</t>
  </si>
  <si>
    <t>Bobby Johnson</t>
  </si>
  <si>
    <t>156 county road 492</t>
  </si>
  <si>
    <t>Carthage</t>
  </si>
  <si>
    <t>pwgjr88@gmail.com</t>
  </si>
  <si>
    <t>jdg7124@gmail.com</t>
  </si>
  <si>
    <t>Gronbach</t>
  </si>
  <si>
    <t>Josiah Gronbach</t>
  </si>
  <si>
    <t>2597 E 3912 N</t>
  </si>
  <si>
    <t>Twin Falls</t>
  </si>
  <si>
    <t>Bethany Hudson</t>
  </si>
  <si>
    <t>PO BOX 63</t>
  </si>
  <si>
    <t>rstischer@aol.com</t>
  </si>
  <si>
    <t>soccersis19@gmail.com</t>
  </si>
  <si>
    <t>Stischer</t>
  </si>
  <si>
    <t>Sarah Stischer</t>
  </si>
  <si>
    <t>2440 Eagleview Cir</t>
  </si>
  <si>
    <t>klbradford@suddenlink.net</t>
  </si>
  <si>
    <t>mwbradford97@gmail.com</t>
  </si>
  <si>
    <t>Mitchell Bradford</t>
  </si>
  <si>
    <t>1106 Waynesboro Ct</t>
  </si>
  <si>
    <t>Nm_kevin45@yahoo.com</t>
  </si>
  <si>
    <t>Kevin Keith</t>
  </si>
  <si>
    <t>316 Sierra Pl. NE</t>
  </si>
  <si>
    <t>lostinthecenturies@gmail.com</t>
  </si>
  <si>
    <t>Isabelle Napier</t>
  </si>
  <si>
    <t>8405 E. Sahuaro Drive</t>
  </si>
  <si>
    <t>alisonshelburne@gmail.com</t>
  </si>
  <si>
    <t>Shelburne</t>
  </si>
  <si>
    <t>Lindsey Shelburne</t>
  </si>
  <si>
    <t>5443 glenmore drive</t>
  </si>
  <si>
    <t>gbwtalki@yahoo.com</t>
  </si>
  <si>
    <t>Augustus</t>
  </si>
  <si>
    <t>Talkington</t>
  </si>
  <si>
    <t>Augustus Talkington</t>
  </si>
  <si>
    <t>1506 Robins Forest Drive</t>
  </si>
  <si>
    <t>jseayspider@gmail.com</t>
  </si>
  <si>
    <t>Jacob Seay</t>
  </si>
  <si>
    <t>7680 Lark Bunting Ct.</t>
  </si>
  <si>
    <t>jolari@flash.net_configioDeactivated</t>
  </si>
  <si>
    <t>spartan117@flash.net</t>
  </si>
  <si>
    <t>Olari</t>
  </si>
  <si>
    <t>Luke Olari</t>
  </si>
  <si>
    <t>2812 Woodbury St</t>
  </si>
  <si>
    <t>Commerce</t>
  </si>
  <si>
    <t>townsendmj1416@gmail.com</t>
  </si>
  <si>
    <t>townsend.jenny14@gmail.com</t>
  </si>
  <si>
    <t>Townsend</t>
  </si>
  <si>
    <t>Jennifer Townsend</t>
  </si>
  <si>
    <t>2322 Eagleview Circle</t>
  </si>
  <si>
    <t>rick.joyalbu@msn.com</t>
  </si>
  <si>
    <t>nathanalbu@gmail.com</t>
  </si>
  <si>
    <t>Nathan Albu</t>
  </si>
  <si>
    <t>12070 E Arizona Avenue</t>
  </si>
  <si>
    <t>jamison5@sbcglobal.net</t>
  </si>
  <si>
    <t>Jamison</t>
  </si>
  <si>
    <t>Bethany Jamison</t>
  </si>
  <si>
    <t>2509 El Paso</t>
  </si>
  <si>
    <t>leskinman@gmail.com</t>
  </si>
  <si>
    <t>reagankinman@gmail.com</t>
  </si>
  <si>
    <t>Kinman</t>
  </si>
  <si>
    <t>Reagan Kinman</t>
  </si>
  <si>
    <t>516 N Hyden Ave</t>
  </si>
  <si>
    <t>lindag63@embarqmail.com</t>
  </si>
  <si>
    <t>emilycgoodwin04@gmail.com</t>
  </si>
  <si>
    <t>Goodwin</t>
  </si>
  <si>
    <t>Emily Goodwin</t>
  </si>
  <si>
    <t>296 N. Bend Dr.</t>
  </si>
  <si>
    <t>Pataskala</t>
  </si>
  <si>
    <t>parnellfarms@yahoo.com</t>
  </si>
  <si>
    <t>curtis_parnell62@yahoo.com</t>
  </si>
  <si>
    <t>Parnell</t>
  </si>
  <si>
    <t>Curtis Parnell</t>
  </si>
  <si>
    <t>1231 Latigo Lane</t>
  </si>
  <si>
    <t>bordenjp83@gmail.com</t>
  </si>
  <si>
    <t>lydiaborden@gmail.com</t>
  </si>
  <si>
    <t>Borden</t>
  </si>
  <si>
    <t>Lydia Borden</t>
  </si>
  <si>
    <t>3596 Dry Hollow Road</t>
  </si>
  <si>
    <t>rosesofblue@yahoo.com</t>
  </si>
  <si>
    <t>Maggie Parnell</t>
  </si>
  <si>
    <t>lizflatau@gmail.com</t>
  </si>
  <si>
    <t>Flatau</t>
  </si>
  <si>
    <t>Elizabeth Flatau</t>
  </si>
  <si>
    <t>1151 Davis Lane</t>
  </si>
  <si>
    <t>erflatau@gmail.com</t>
  </si>
  <si>
    <t>Ethan Flatau</t>
  </si>
  <si>
    <t>1151 Davis Ln</t>
  </si>
  <si>
    <t>mlwdruff6@gmail.com</t>
  </si>
  <si>
    <t>woodruffa8@gmail.com</t>
  </si>
  <si>
    <t>Austin Woodruff</t>
  </si>
  <si>
    <t>cchord@wbaccess.net</t>
  </si>
  <si>
    <t>Chord</t>
  </si>
  <si>
    <t>Laura Chord</t>
  </si>
  <si>
    <t>25915 Mann Road</t>
  </si>
  <si>
    <t>Edgemont</t>
  </si>
  <si>
    <t>mosestey@aol.com</t>
  </si>
  <si>
    <t>josiahtmagic@gmail.com</t>
  </si>
  <si>
    <t>Tey</t>
  </si>
  <si>
    <t>Josiah Tey</t>
  </si>
  <si>
    <t>PO Box 5427</t>
  </si>
  <si>
    <t>duckshell@windstream.net</t>
  </si>
  <si>
    <t>jlrgillentine@gmail.com</t>
  </si>
  <si>
    <t>Gillentine</t>
  </si>
  <si>
    <t>James Gillentine</t>
  </si>
  <si>
    <t>5518 N FM 56 Lot 44</t>
  </si>
  <si>
    <t>Glen Rose</t>
  </si>
  <si>
    <t>lisakempers@gmail.com</t>
  </si>
  <si>
    <t>Tlrkempers@gmail.com</t>
  </si>
  <si>
    <t>Kempers</t>
  </si>
  <si>
    <t>Tyler Kempers</t>
  </si>
  <si>
    <t>42003 Westchester circle</t>
  </si>
  <si>
    <t>tothfam2@aol.com</t>
  </si>
  <si>
    <t>jesse.toth17@houghton.edu</t>
  </si>
  <si>
    <t>Toth</t>
  </si>
  <si>
    <t>Jesse Toth</t>
  </si>
  <si>
    <t>6836 Gillis Rd</t>
  </si>
  <si>
    <t>coramdeo12@gmail.com</t>
  </si>
  <si>
    <t>b.joyful1029@gmail.com</t>
  </si>
  <si>
    <t>Namour</t>
  </si>
  <si>
    <t>Bethany Namour</t>
  </si>
  <si>
    <t>18340 Creek Drive</t>
  </si>
  <si>
    <t>Fort Myers</t>
  </si>
  <si>
    <t>wolffpacktps@gmail.com</t>
  </si>
  <si>
    <t>wolffpack6@gmail.com</t>
  </si>
  <si>
    <t>Daniel Wolff</t>
  </si>
  <si>
    <t>8424 Sandowne Lan</t>
  </si>
  <si>
    <t>ally101drake@aol.com</t>
  </si>
  <si>
    <t>Allison Drake</t>
  </si>
  <si>
    <t>760 Columbia Rd 71</t>
  </si>
  <si>
    <t>jitw4u@ptd.net</t>
  </si>
  <si>
    <t>ezioshepard98@icloud.com</t>
  </si>
  <si>
    <t>Ryan Moore</t>
  </si>
  <si>
    <t>208 Bellis Road</t>
  </si>
  <si>
    <t>tinaorosco317@gmail.com</t>
  </si>
  <si>
    <t>awkwardturtlefilmgroup@gmail.com</t>
  </si>
  <si>
    <t>Nicolas</t>
  </si>
  <si>
    <t>Orosco</t>
  </si>
  <si>
    <t>Nicolas Orosco</t>
  </si>
  <si>
    <t>111 Julie Drive</t>
  </si>
  <si>
    <t>Lorena</t>
  </si>
  <si>
    <t>bernadette@botz.com</t>
  </si>
  <si>
    <t>botz</t>
  </si>
  <si>
    <t>daniel botz</t>
  </si>
  <si>
    <t>5825 lazy lane</t>
  </si>
  <si>
    <t>billings</t>
  </si>
  <si>
    <t>annagoetzman@gmail.com</t>
  </si>
  <si>
    <t>Anna Goetzman</t>
  </si>
  <si>
    <t>11999 62nd street NE</t>
  </si>
  <si>
    <t>mbristol98@yahoo.com</t>
  </si>
  <si>
    <t>Madison Bristol</t>
  </si>
  <si>
    <t>385 Darby Drive</t>
  </si>
  <si>
    <t>Abigail Goetzman</t>
  </si>
  <si>
    <t>pianonote2012@gmail.com</t>
  </si>
  <si>
    <t>pianonote2012@gamil.com</t>
  </si>
  <si>
    <t>Cahoon</t>
  </si>
  <si>
    <t>Kara Cahoon</t>
  </si>
  <si>
    <t>1004 Rock Ridge way</t>
  </si>
  <si>
    <t>Pittsburg</t>
  </si>
  <si>
    <t>vgroves7@aol.com</t>
  </si>
  <si>
    <t>Vgroves7@aol.com</t>
  </si>
  <si>
    <t>Groves</t>
  </si>
  <si>
    <t>Victoria Groves</t>
  </si>
  <si>
    <t>PO Box 747</t>
  </si>
  <si>
    <t>Bristow</t>
  </si>
  <si>
    <t>flowergirl19@live.com</t>
  </si>
  <si>
    <t>5745 35th Street</t>
  </si>
  <si>
    <t>lovinthejoyces@gmail.com</t>
  </si>
  <si>
    <t>cbmnjoyce@gmail.com</t>
  </si>
  <si>
    <t>Conner Joyce</t>
  </si>
  <si>
    <t>2607 Bluebonnet Valley Dr</t>
  </si>
  <si>
    <t>nw.maloney@comcast.net</t>
  </si>
  <si>
    <t>baylee-8@hotmail.com</t>
  </si>
  <si>
    <t>Baylee</t>
  </si>
  <si>
    <t>Baylee Maloney</t>
  </si>
  <si>
    <t>33271 SW Jenny Laney</t>
  </si>
  <si>
    <t>Scappoose</t>
  </si>
  <si>
    <t>nataliesbrown@bellsouth.net</t>
  </si>
  <si>
    <t>marypriceb@gmail.com</t>
  </si>
  <si>
    <t>Mary Price</t>
  </si>
  <si>
    <t>Mary Price Brown</t>
  </si>
  <si>
    <t>27 Hasleiters Retreat</t>
  </si>
  <si>
    <t>ronw747@gmail.com</t>
  </si>
  <si>
    <t>mkaufman116@maine207south.org</t>
  </si>
  <si>
    <t>Kaufman</t>
  </si>
  <si>
    <t>Michelle Kaufman</t>
  </si>
  <si>
    <t>1324 N Lundergan</t>
  </si>
  <si>
    <t>Park Ridge</t>
  </si>
  <si>
    <t>8busybees@gmail.com</t>
  </si>
  <si>
    <t>Nehemiah</t>
  </si>
  <si>
    <t>Nehemiah Wood</t>
  </si>
  <si>
    <t>2126 North Road</t>
  </si>
  <si>
    <t>greenleaf237@gmail.com</t>
  </si>
  <si>
    <t>Talbot</t>
  </si>
  <si>
    <t>Talbot Jenkins</t>
  </si>
  <si>
    <t>22449 Bitterroot Circle</t>
  </si>
  <si>
    <t>kent@reevestx.com</t>
  </si>
  <si>
    <t>greeves99@hotmail.com</t>
  </si>
  <si>
    <t>Garrett Reeves</t>
  </si>
  <si>
    <t>32257 FM 2481</t>
  </si>
  <si>
    <t>Hico</t>
  </si>
  <si>
    <t>AW3972@k12.sd.us</t>
  </si>
  <si>
    <t>Aleida</t>
  </si>
  <si>
    <t>Weinzetl</t>
  </si>
  <si>
    <t>Aleida Weinzetl</t>
  </si>
  <si>
    <t>Po Box 135</t>
  </si>
  <si>
    <t>Wall</t>
  </si>
  <si>
    <t>ruthvansant@gmail.com</t>
  </si>
  <si>
    <t>mmvcupcake@gmail.com</t>
  </si>
  <si>
    <t>VanSant</t>
  </si>
  <si>
    <t>Michaela VanSant</t>
  </si>
  <si>
    <t>7058 Lionshead Pkwy.</t>
  </si>
  <si>
    <t>aestevenson@sbcglobal.net</t>
  </si>
  <si>
    <t>blkbeltmas@gmail.com</t>
  </si>
  <si>
    <t>Stevenson</t>
  </si>
  <si>
    <t>Matthew Stevenson</t>
  </si>
  <si>
    <t>12026 Oak Cluster East</t>
  </si>
  <si>
    <t>jamont59@gmail.com</t>
  </si>
  <si>
    <t>sammont97@gmail.com</t>
  </si>
  <si>
    <t>Sam Montgomery</t>
  </si>
  <si>
    <t>17260 Soundview Road</t>
  </si>
  <si>
    <t>tribeojudah33@gmail.com</t>
  </si>
  <si>
    <t>lilouwho333@gmail.com</t>
  </si>
  <si>
    <t>Margaux</t>
  </si>
  <si>
    <t>Margaux Miller</t>
  </si>
  <si>
    <t>834 West Two Rivers Lane</t>
  </si>
  <si>
    <t>vicmiller5@gmail.com</t>
  </si>
  <si>
    <t>Victor Miller</t>
  </si>
  <si>
    <t>preparing4myheavenlyprince@gmail.com</t>
  </si>
  <si>
    <t>jasmin.r.salvador@gmail.com</t>
  </si>
  <si>
    <t>Salvador</t>
  </si>
  <si>
    <t>Jasmin Salvador</t>
  </si>
  <si>
    <t>1130 Nectar Rd.</t>
  </si>
  <si>
    <t>toleybird@yahoo.com</t>
  </si>
  <si>
    <t>nicole.gile@ni.edu</t>
  </si>
  <si>
    <t>Gile</t>
  </si>
  <si>
    <t>Nicole Gile</t>
  </si>
  <si>
    <t>252 Bush Hollow Rd</t>
  </si>
  <si>
    <t>courtney.woodall@ministeringphysicians.com</t>
  </si>
  <si>
    <t>aaronwoodall96@gmail.com</t>
  </si>
  <si>
    <t>Aaron Woodall</t>
  </si>
  <si>
    <t>1404 Lake Bluff Cove</t>
  </si>
  <si>
    <t>phillip@mediatalk101.org</t>
  </si>
  <si>
    <t>elisabeth@mediatalk101.org</t>
  </si>
  <si>
    <t>Telfer</t>
  </si>
  <si>
    <t>Elisabeth Telfer</t>
  </si>
  <si>
    <t>1751 FM 1044</t>
  </si>
  <si>
    <t>New Bruanfels</t>
  </si>
  <si>
    <t>momof3@huntel.net</t>
  </si>
  <si>
    <t>lizagirl@huntel.net</t>
  </si>
  <si>
    <t>Newkirk</t>
  </si>
  <si>
    <t>Eliza Newkirk</t>
  </si>
  <si>
    <t>13616 County Road 15</t>
  </si>
  <si>
    <t>fisherkaylee25@gmail.com</t>
  </si>
  <si>
    <t>23 N hastings drive</t>
  </si>
  <si>
    <t>nampa</t>
  </si>
  <si>
    <t>vigiliup@sbcglobal.net</t>
  </si>
  <si>
    <t>davidvigilius@gmail.com</t>
  </si>
  <si>
    <t>Vigilius</t>
  </si>
  <si>
    <t>David Vigilius</t>
  </si>
  <si>
    <t>132 Chelmsford Ct</t>
  </si>
  <si>
    <t>jgbeaty2@gmail.com</t>
  </si>
  <si>
    <t>Beaty</t>
  </si>
  <si>
    <t>Jensen Beaty</t>
  </si>
  <si>
    <t>120 Tranquility Place</t>
  </si>
  <si>
    <t>JulianBeaty1@gmail.com</t>
  </si>
  <si>
    <t>Julian Beaty</t>
  </si>
  <si>
    <t>truthseekerfamily@gmail.com</t>
  </si>
  <si>
    <t>Olivia Dicen</t>
  </si>
  <si>
    <t>Leeds</t>
  </si>
  <si>
    <t>lynna.scofield@gmail.com</t>
  </si>
  <si>
    <t>hollyroo97@gmail.com</t>
  </si>
  <si>
    <t>Scofield</t>
  </si>
  <si>
    <t>Holly Scofield</t>
  </si>
  <si>
    <t>3161 White Blvd</t>
  </si>
  <si>
    <t>fnegronpagan@yahoo.com</t>
  </si>
  <si>
    <t>Fernando</t>
  </si>
  <si>
    <t>Negron Pagan</t>
  </si>
  <si>
    <t>Fernando Negron Pagan</t>
  </si>
  <si>
    <t>3135 Grand Ave</t>
  </si>
  <si>
    <t>APT 103</t>
  </si>
  <si>
    <t>Pinellas Park</t>
  </si>
  <si>
    <t>selliott0122@gmail.com</t>
  </si>
  <si>
    <t>thunderqb@msn.com</t>
  </si>
  <si>
    <t>William Elliott</t>
  </si>
  <si>
    <t>10415 kicking horse dr.</t>
  </si>
  <si>
    <t>mcmjbabcock@aol.com</t>
  </si>
  <si>
    <t>jbrams98@yahoo.com</t>
  </si>
  <si>
    <t>Babcock</t>
  </si>
  <si>
    <t>Joseph Babcock</t>
  </si>
  <si>
    <t>#2- Hemlock Court</t>
  </si>
  <si>
    <t>Bethalto</t>
  </si>
  <si>
    <t>zlaura97@gmail.com</t>
  </si>
  <si>
    <t>Laura Zeiser</t>
  </si>
  <si>
    <t>lalbu@regis.edu</t>
  </si>
  <si>
    <t>ahgrimes@triad.rr.com</t>
  </si>
  <si>
    <t>jg8872@gmail.com</t>
  </si>
  <si>
    <t>Jonathan Grimes</t>
  </si>
  <si>
    <t>8940 Mackintosh Lane</t>
  </si>
  <si>
    <t>Clemmons</t>
  </si>
  <si>
    <t>lydie.gerschheimer@gmail.com</t>
  </si>
  <si>
    <t>lydie</t>
  </si>
  <si>
    <t>gerschheimer</t>
  </si>
  <si>
    <t>lydie gerschheimer</t>
  </si>
  <si>
    <t>grunthal</t>
  </si>
  <si>
    <t>R0A0R0</t>
  </si>
  <si>
    <t>jnmslaubaugh@rocketmail.com</t>
  </si>
  <si>
    <t>jqslaubaug@eagles.usi.edu</t>
  </si>
  <si>
    <t>Slaubaugh</t>
  </si>
  <si>
    <t>Jenna Slaubaugh</t>
  </si>
  <si>
    <t>12681 e 250 n</t>
  </si>
  <si>
    <t>NRK2011@aol.com</t>
  </si>
  <si>
    <t>Naomi Knight</t>
  </si>
  <si>
    <t>haydenlwolf@gmail.com</t>
  </si>
  <si>
    <t>Hayden Wolf</t>
  </si>
  <si>
    <t>3464 Almond Rd</t>
  </si>
  <si>
    <t>Big Sandy</t>
  </si>
  <si>
    <t>pcmonaghan@spro.net</t>
  </si>
  <si>
    <t>juliedenita@gmail.com</t>
  </si>
  <si>
    <t>Monaghan</t>
  </si>
  <si>
    <t>Julie Monaghan</t>
  </si>
  <si>
    <t>4581 E. Faith Lane</t>
  </si>
  <si>
    <t>Meridian</t>
  </si>
  <si>
    <t>hopeandfaith888@yahoo.com</t>
  </si>
  <si>
    <t>Michaella</t>
  </si>
  <si>
    <t>Michaella Wood</t>
  </si>
  <si>
    <t>16 Ridgecrest Drive</t>
  </si>
  <si>
    <t>Exeter</t>
  </si>
  <si>
    <t>jjamesgoeman@gmail.com</t>
  </si>
  <si>
    <t>Goeman</t>
  </si>
  <si>
    <t>Josiah Goeman</t>
  </si>
  <si>
    <t>13633 Eglin Dr.</t>
  </si>
  <si>
    <t>hammer8893@gmail.com</t>
  </si>
  <si>
    <t>hammer6.mh@gmail.com</t>
  </si>
  <si>
    <t>Haemmerle</t>
  </si>
  <si>
    <t>Matthew Haemmerle</t>
  </si>
  <si>
    <t>527 Hillsdale Ave</t>
  </si>
  <si>
    <t>Hillsdale</t>
  </si>
  <si>
    <t>lindseyskidmore34@gmail.com</t>
  </si>
  <si>
    <t>Skidmore</t>
  </si>
  <si>
    <t>Lindsey Skidmore</t>
  </si>
  <si>
    <t>705 Getman Road</t>
  </si>
  <si>
    <t>Owosso</t>
  </si>
  <si>
    <t>burkemadison@yahoo.com</t>
  </si>
  <si>
    <t>Madison Burke</t>
  </si>
  <si>
    <t>1500 Cavaletti Ct</t>
  </si>
  <si>
    <t>j.flavin27@gmail.com</t>
  </si>
  <si>
    <t>Jen</t>
  </si>
  <si>
    <t>Jen Flavin</t>
  </si>
  <si>
    <t>1432 E. Encinas Ave.</t>
  </si>
  <si>
    <t>wooilchung@hotmail.com</t>
  </si>
  <si>
    <t>joshdavidchung@gmail.com</t>
  </si>
  <si>
    <t>Joshua Chung</t>
  </si>
  <si>
    <t>5114 E 89th Street</t>
  </si>
  <si>
    <t>Tulsa</t>
  </si>
  <si>
    <t>christinebutler121@gmail.com</t>
  </si>
  <si>
    <t>benscottbutler@gmail.com</t>
  </si>
  <si>
    <t>Ben Butler</t>
  </si>
  <si>
    <t>7109 Joyce drive NE</t>
  </si>
  <si>
    <t>lynnettelikesyou@hotmail.com</t>
  </si>
  <si>
    <t>jesininja@gmail.com</t>
  </si>
  <si>
    <t>Shirley</t>
  </si>
  <si>
    <t>Jessica Shirley</t>
  </si>
  <si>
    <t>131 Karen Lane</t>
  </si>
  <si>
    <t>lilelenamorris@gmail.com</t>
  </si>
  <si>
    <t>Elena Morris</t>
  </si>
  <si>
    <t>3 Huntfield Ct</t>
  </si>
  <si>
    <t>Owings Mils</t>
  </si>
  <si>
    <t>nolanhicks@rocketmail.com</t>
  </si>
  <si>
    <t>Nolan Hicks</t>
  </si>
  <si>
    <t>1535 Steens Vernon Road</t>
  </si>
  <si>
    <t>Steens</t>
  </si>
  <si>
    <t>sallee.purvis@vstproductions.net</t>
  </si>
  <si>
    <t>gabe.purvis@gmail.com</t>
  </si>
  <si>
    <t>Gabriel Purvis</t>
  </si>
  <si>
    <t>7299 Piper Rd</t>
  </si>
  <si>
    <t>ltork5@gmail.com</t>
  </si>
  <si>
    <t>silotork5@gmail.com</t>
  </si>
  <si>
    <t>Silas</t>
  </si>
  <si>
    <t>Torkelson</t>
  </si>
  <si>
    <t>Silas Torkelson</t>
  </si>
  <si>
    <t>2851 290th Ave</t>
  </si>
  <si>
    <t>Foxhome</t>
  </si>
  <si>
    <t>jelam1@mac.com</t>
  </si>
  <si>
    <t>jjelam1@gmail.com</t>
  </si>
  <si>
    <t>Elam</t>
  </si>
  <si>
    <t>Jason Elam</t>
  </si>
  <si>
    <t>1503 Shadow Forest Dr.</t>
  </si>
  <si>
    <t>gcward3@gmail.com</t>
  </si>
  <si>
    <t>meward3@gmail.com</t>
  </si>
  <si>
    <t>Mary Ward</t>
  </si>
  <si>
    <t>15488 12th Street</t>
  </si>
  <si>
    <t>Paron</t>
  </si>
  <si>
    <t>Grace Ward</t>
  </si>
  <si>
    <t>jacqness@aol.com</t>
  </si>
  <si>
    <t>Officialgreen@live.com</t>
  </si>
  <si>
    <t>Sean Michael</t>
  </si>
  <si>
    <t>Mounts</t>
  </si>
  <si>
    <t>Sean Michael Mounts</t>
  </si>
  <si>
    <t>5637 Beargrass Lane</t>
  </si>
  <si>
    <t>james@knowingforsure.com</t>
  </si>
  <si>
    <t>beth@knowingforsure.com</t>
  </si>
  <si>
    <t>Glazier</t>
  </si>
  <si>
    <t>Bethany Glazier</t>
  </si>
  <si>
    <t>21745 Cedar Springs Rd</t>
  </si>
  <si>
    <t>Twain Harte</t>
  </si>
  <si>
    <t>amazinlove@hotmail.com</t>
  </si>
  <si>
    <t>cccmaciel21@gmail.com</t>
  </si>
  <si>
    <t>Maciel</t>
  </si>
  <si>
    <t>Clayton Maciel</t>
  </si>
  <si>
    <t>6171 Clark rd</t>
  </si>
  <si>
    <t>dwight_johnson@glic.com</t>
  </si>
  <si>
    <t>drbrjohnson@gmail.com</t>
  </si>
  <si>
    <t>Alden</t>
  </si>
  <si>
    <t>Alden Johnson</t>
  </si>
  <si>
    <t>2975 Monroe Drive</t>
  </si>
  <si>
    <t>AMES</t>
  </si>
  <si>
    <t>sarah@knowingforsure.com</t>
  </si>
  <si>
    <t>Sarah Glazier</t>
  </si>
  <si>
    <t>twopiersons@yahoo.com</t>
  </si>
  <si>
    <t>evanwitmer@gmail.com</t>
  </si>
  <si>
    <t>Witmer</t>
  </si>
  <si>
    <t>Evan Witmer</t>
  </si>
  <si>
    <t>3420 CR 56</t>
  </si>
  <si>
    <t>cdiven700@gmail.com</t>
  </si>
  <si>
    <t>katydiven@gmail.com</t>
  </si>
  <si>
    <t>Diven</t>
  </si>
  <si>
    <t>Kathryn Diven</t>
  </si>
  <si>
    <t>405 W. 10th St.</t>
  </si>
  <si>
    <t>reginathorpe@me.com</t>
  </si>
  <si>
    <t>meredithjthorpe@gmail.com</t>
  </si>
  <si>
    <t>Thorpe</t>
  </si>
  <si>
    <t>Meredith Thorpe</t>
  </si>
  <si>
    <t>4185 County Line Rd.</t>
  </si>
  <si>
    <t>Fairport</t>
  </si>
  <si>
    <t>zhen2008@gmail.com</t>
  </si>
  <si>
    <t>Weize</t>
  </si>
  <si>
    <t>Sun</t>
  </si>
  <si>
    <t>Weize Sun</t>
  </si>
  <si>
    <t>3816 Warrington Way</t>
  </si>
  <si>
    <t>lakefrontphil@msn.com</t>
  </si>
  <si>
    <t>joe-1908@live.com</t>
  </si>
  <si>
    <t>Kline</t>
  </si>
  <si>
    <t>Joseph Kline</t>
  </si>
  <si>
    <t>22570 Klines Resort Rd</t>
  </si>
  <si>
    <t>ellamariestet@gmail.com</t>
  </si>
  <si>
    <t>Stettner</t>
  </si>
  <si>
    <t>Ella Stettner</t>
  </si>
  <si>
    <t>2046 E 1050 N</t>
  </si>
  <si>
    <t>Ossian</t>
  </si>
  <si>
    <t>laurinda1119@msn.com</t>
  </si>
  <si>
    <t>Matt.Curti13@outlook.com</t>
  </si>
  <si>
    <t>Matthew Curti</t>
  </si>
  <si>
    <t>susanmiller.5619@gmail.com</t>
  </si>
  <si>
    <t>sarahmiller97@gmail.com</t>
  </si>
  <si>
    <t>Sarah Miller</t>
  </si>
  <si>
    <t>12010 Sandgate Dr</t>
  </si>
  <si>
    <t>Chesterland</t>
  </si>
  <si>
    <t>amazingaussies11@gmail.com</t>
  </si>
  <si>
    <t>Figg</t>
  </si>
  <si>
    <t>Joshua Figg</t>
  </si>
  <si>
    <t>5585 San Jacinto Ave.</t>
  </si>
  <si>
    <t>jed@knowingforsure.com</t>
  </si>
  <si>
    <t>Jedidiah Glazier</t>
  </si>
  <si>
    <t>coakes@dmcs.org</t>
  </si>
  <si>
    <t>Nasoakes@gmail.com</t>
  </si>
  <si>
    <t>Oakes</t>
  </si>
  <si>
    <t>Nathan Oakes</t>
  </si>
  <si>
    <t>32567- 335th street</t>
  </si>
  <si>
    <t>Waukee</t>
  </si>
  <si>
    <t>rbuhrmann@rogers.com</t>
  </si>
  <si>
    <t>annasofie.i.am@gmail.com</t>
  </si>
  <si>
    <t>Buhrmann</t>
  </si>
  <si>
    <t>Anna Buhrmann</t>
  </si>
  <si>
    <t>6828 Lakes Park Drive</t>
  </si>
  <si>
    <t>K4P  1M6</t>
  </si>
  <si>
    <t>James Morgan</t>
  </si>
  <si>
    <t>400 Ray Rd.</t>
  </si>
  <si>
    <t>jmdeem0518@gmail.com</t>
  </si>
  <si>
    <t>Jordan Deem</t>
  </si>
  <si>
    <t>dseibler@gmail.com</t>
  </si>
  <si>
    <t>Daniel Seibler</t>
  </si>
  <si>
    <t>lahy0516@msn.com</t>
  </si>
  <si>
    <t>mjh9898@hotmail.com</t>
  </si>
  <si>
    <t>Hyatt</t>
  </si>
  <si>
    <t>Mary Hyatt</t>
  </si>
  <si>
    <t>21600 Defender Street</t>
  </si>
  <si>
    <t>Lexington Park</t>
  </si>
  <si>
    <t>sophienicolewalker@gmail.com</t>
  </si>
  <si>
    <t>Sophie Walker</t>
  </si>
  <si>
    <t>2795 Natchez CRT</t>
  </si>
  <si>
    <t>mike.mallory@rrd.com</t>
  </si>
  <si>
    <t>micah_malpal@yahoo.com</t>
  </si>
  <si>
    <t>Micah Mallory</t>
  </si>
  <si>
    <t>763 Keezletown Rd</t>
  </si>
  <si>
    <t>Weyers Cave</t>
  </si>
  <si>
    <t>jrpbiblebowler@charter.net</t>
  </si>
  <si>
    <t>John Phillips</t>
  </si>
  <si>
    <t>211 Cynthia Lane</t>
  </si>
  <si>
    <t>natwal22.nw@gmail.com</t>
  </si>
  <si>
    <t>Natalie Walton</t>
  </si>
  <si>
    <t>2001 SW Jewell Ave</t>
  </si>
  <si>
    <t>sarahmarse@yahoo.com</t>
  </si>
  <si>
    <t>Marse</t>
  </si>
  <si>
    <t>Sarah Marse</t>
  </si>
  <si>
    <t>5108 Fern Ridge Court</t>
  </si>
  <si>
    <t>joyx4@comcast.net</t>
  </si>
  <si>
    <t>herecomestreble@comcast.net</t>
  </si>
  <si>
    <t>Joynton</t>
  </si>
  <si>
    <t>Elizabeth Joynton</t>
  </si>
  <si>
    <t>1271 Amstel Dr</t>
  </si>
  <si>
    <t>Elisa Skoett</t>
  </si>
  <si>
    <t>8515 Line 8, RR1</t>
  </si>
  <si>
    <t>l0m1t0</t>
  </si>
  <si>
    <t>lukemc662@gmail.com</t>
  </si>
  <si>
    <t>Bryan McDonald</t>
  </si>
  <si>
    <t>128 Rushing Brook DR.</t>
  </si>
  <si>
    <t>lana7373@gmail.com</t>
  </si>
  <si>
    <t>Lelaina</t>
  </si>
  <si>
    <t>Lelaina Aguirre</t>
  </si>
  <si>
    <t>fowlerfive@sbcglobal.net</t>
  </si>
  <si>
    <t>Brett Fowler</t>
  </si>
  <si>
    <t>9936 Fawn Hollow Rd.</t>
  </si>
  <si>
    <t>Mustang</t>
  </si>
  <si>
    <t>ljwestad@midwestinfo.net</t>
  </si>
  <si>
    <t>twestad97@hotmail.com</t>
  </si>
  <si>
    <t>Westad</t>
  </si>
  <si>
    <t>Trevor Westad</t>
  </si>
  <si>
    <t>10395 County Highway 63</t>
  </si>
  <si>
    <t>Parkers Prairie</t>
  </si>
  <si>
    <t>lynnamcbrayer@bellsouth.net</t>
  </si>
  <si>
    <t>mcbrayernathan7@gmail.com</t>
  </si>
  <si>
    <t>McBrayer</t>
  </si>
  <si>
    <t>Nathan McBrayer</t>
  </si>
  <si>
    <t>775 Sage Ave.</t>
  </si>
  <si>
    <t>bendebate15@gmail.com</t>
  </si>
  <si>
    <t>Benjamin Kaercher</t>
  </si>
  <si>
    <t>warrenmomof5@hotmail.com</t>
  </si>
  <si>
    <t>Warrendaniel437@gmail.com</t>
  </si>
  <si>
    <t>103 Crestview Dr.</t>
  </si>
  <si>
    <t>melodyschindel@yahoo.com</t>
  </si>
  <si>
    <t>salmonschindel@gmail.com</t>
  </si>
  <si>
    <t>Schindel</t>
  </si>
  <si>
    <t>Braden Schindel</t>
  </si>
  <si>
    <t>3160 Ditmars Lane</t>
  </si>
  <si>
    <t>truworldview@gmail.com</t>
  </si>
  <si>
    <t>ianholman2016@gmail.com</t>
  </si>
  <si>
    <t>Holman</t>
  </si>
  <si>
    <t>Ian Holman</t>
  </si>
  <si>
    <t>14117 W. 141st St.</t>
  </si>
  <si>
    <t>heather@lifepointe.org</t>
  </si>
  <si>
    <t>cobiesteven11@gmail.com</t>
  </si>
  <si>
    <t>Cobie</t>
  </si>
  <si>
    <t>Delfs</t>
  </si>
  <si>
    <t>Cobie Delfs</t>
  </si>
  <si>
    <t>6709 Cossani Ct</t>
  </si>
  <si>
    <t>cyn_hewlett@hotmail.com</t>
  </si>
  <si>
    <t>nwh4404@hotmail.com</t>
  </si>
  <si>
    <t>Hewlett</t>
  </si>
  <si>
    <t>Nathan Hewlett</t>
  </si>
  <si>
    <t>4404 Yellow Rose Trl.</t>
  </si>
  <si>
    <t>annabjones@wowway.com</t>
  </si>
  <si>
    <t>garret1132@gmail.com</t>
  </si>
  <si>
    <t>Garret</t>
  </si>
  <si>
    <t>Garret Jones</t>
  </si>
  <si>
    <t>3855 Norbrook Dr</t>
  </si>
  <si>
    <t>Upper Arlington</t>
  </si>
  <si>
    <t>milleracres@msn.com</t>
  </si>
  <si>
    <t>mightywarrior17@gmail.com</t>
  </si>
  <si>
    <t>Kevin Miller</t>
  </si>
  <si>
    <t>19102 Bennington Rd</t>
  </si>
  <si>
    <t>2qhyworld@gmail.com</t>
  </si>
  <si>
    <t>Kaari</t>
  </si>
  <si>
    <t>Kaari Hultgren</t>
  </si>
  <si>
    <t>944 ave. b</t>
  </si>
  <si>
    <t>nlook@outlook.com</t>
  </si>
  <si>
    <t>108 Viannah</t>
  </si>
  <si>
    <t>aurorabmyers@gmail.com</t>
  </si>
  <si>
    <t>genesisbox13@gmail.com</t>
  </si>
  <si>
    <t>Genesis</t>
  </si>
  <si>
    <t>Genesis Myers</t>
  </si>
  <si>
    <t>395 Willow Green Drive</t>
  </si>
  <si>
    <t>butler.kathy8@gmail.com</t>
  </si>
  <si>
    <t>butler.sam13@gmail.com</t>
  </si>
  <si>
    <t>Samuel Butler</t>
  </si>
  <si>
    <t>4430 Laven Way</t>
  </si>
  <si>
    <t>sd3bryant@gmail.com</t>
  </si>
  <si>
    <t>sebryant.furby@gmail.com</t>
  </si>
  <si>
    <t>Sarah Bryant</t>
  </si>
  <si>
    <t>3220 Pocket Avenue</t>
  </si>
  <si>
    <t>Riverbank</t>
  </si>
  <si>
    <t>kerry.mccune@gmail.com</t>
  </si>
  <si>
    <t>3516 112 St NW</t>
  </si>
  <si>
    <t>T6J 1H9</t>
  </si>
  <si>
    <t>cnystrom@gmail.com</t>
  </si>
  <si>
    <t>kimimari@gmail.com</t>
  </si>
  <si>
    <t>Kimberley</t>
  </si>
  <si>
    <t>Nystrom</t>
  </si>
  <si>
    <t>Kimberley Nystrom</t>
  </si>
  <si>
    <t>19025 Huntingtower Castle Blvd</t>
  </si>
  <si>
    <t>eek4jc@gmail.com</t>
  </si>
  <si>
    <t>Emily Kirk</t>
  </si>
  <si>
    <t>1934 Rambling Rd.</t>
  </si>
  <si>
    <t>marjnystrom@gmail.com</t>
  </si>
  <si>
    <t>Marjorie</t>
  </si>
  <si>
    <t>Marjorie Nystrom</t>
  </si>
  <si>
    <t>19025 Huntingtower Castle Blvd.</t>
  </si>
  <si>
    <t>fighting.ducks1@yahoo.com</t>
  </si>
  <si>
    <t>Kyle Hotman</t>
  </si>
  <si>
    <t>hencys@comcast.net</t>
  </si>
  <si>
    <t>basedtroyh@gmail.com</t>
  </si>
  <si>
    <t>Hency</t>
  </si>
  <si>
    <t>Troy Hency</t>
  </si>
  <si>
    <t>10310 Cheetah Tail</t>
  </si>
  <si>
    <t>jma2003@sbcglobal.net</t>
  </si>
  <si>
    <t>marty88@mail.com</t>
  </si>
  <si>
    <t>Marty</t>
  </si>
  <si>
    <t>Allgeier</t>
  </si>
  <si>
    <t>Marty Allgeier</t>
  </si>
  <si>
    <t>2043 Oxbow Ct</t>
  </si>
  <si>
    <t>ricachan86@gmail.com</t>
  </si>
  <si>
    <t>ethanchan54@gmail.com</t>
  </si>
  <si>
    <t>Ethan Chan</t>
  </si>
  <si>
    <t>20618 Mansel Ave.</t>
  </si>
  <si>
    <t>alexandrastarikov@yahoo.com</t>
  </si>
  <si>
    <t>starikovdaniel@gmail.com</t>
  </si>
  <si>
    <t>starikov</t>
  </si>
  <si>
    <t>daniel starikov</t>
  </si>
  <si>
    <t>34425  16th ave sw</t>
  </si>
  <si>
    <t>garlandsale@gmail.com</t>
  </si>
  <si>
    <t>ngarland777@gmail.com</t>
  </si>
  <si>
    <t>Noelle Garland</t>
  </si>
  <si>
    <t>11461 Harrisburg road</t>
  </si>
  <si>
    <t>Los Alamitos</t>
  </si>
  <si>
    <t>danielsuni@sbcglobal.net</t>
  </si>
  <si>
    <t>Covarrubias</t>
  </si>
  <si>
    <t>Daniel Covarrubias</t>
  </si>
  <si>
    <t>2405 Mesquite Ct. E.</t>
  </si>
  <si>
    <t>rdgarlands@verizon.net</t>
  </si>
  <si>
    <t>Dalaney</t>
  </si>
  <si>
    <t>Dalaney Garland</t>
  </si>
  <si>
    <t>kelci.saruwatari@sbcglobal.net</t>
  </si>
  <si>
    <t>Saruwatari</t>
  </si>
  <si>
    <t>Kelci Saruwatari</t>
  </si>
  <si>
    <t>1910 Callison St</t>
  </si>
  <si>
    <t>gjackel@gmail.com</t>
  </si>
  <si>
    <t>james.jackel@gmail.com</t>
  </si>
  <si>
    <t>Jackel</t>
  </si>
  <si>
    <t>James Jackel</t>
  </si>
  <si>
    <t>17 Marama Street</t>
  </si>
  <si>
    <t>Blackburn South</t>
  </si>
  <si>
    <t>blainjamn@sbcglobal.net</t>
  </si>
  <si>
    <t>michaela.blain@me.com</t>
  </si>
  <si>
    <t>Blain</t>
  </si>
  <si>
    <t>Michaela Blain</t>
  </si>
  <si>
    <t>425 QiLin Lu</t>
  </si>
  <si>
    <t>#17 - 402</t>
  </si>
  <si>
    <t>Shanghai</t>
  </si>
  <si>
    <t>China</t>
  </si>
  <si>
    <t>kevinascott@earthlink.net</t>
  </si>
  <si>
    <t>502jcp@gmail.com</t>
  </si>
  <si>
    <t>Joshua Pierce</t>
  </si>
  <si>
    <t>memom58@verizon.net</t>
  </si>
  <si>
    <t>cadetpowder@gmail.com</t>
  </si>
  <si>
    <t>Fast</t>
  </si>
  <si>
    <t>Nathan Fast</t>
  </si>
  <si>
    <t>200 SIpple Ave</t>
  </si>
  <si>
    <t>Nottingham</t>
  </si>
  <si>
    <t>soltfamily7@gmail.com</t>
  </si>
  <si>
    <t>a.solt@hotmail.com</t>
  </si>
  <si>
    <t>Solt</t>
  </si>
  <si>
    <t>Alexander Solt</t>
  </si>
  <si>
    <t>M242 Galvin Ave</t>
  </si>
  <si>
    <t>jwolff@hillsdale.edu</t>
  </si>
  <si>
    <t>300 N. West St.</t>
  </si>
  <si>
    <t>ChritinaHammrich@gmail.com</t>
  </si>
  <si>
    <t>matthew.hammrich@gmail.com</t>
  </si>
  <si>
    <t>Hammrich</t>
  </si>
  <si>
    <t>Matthew Hammrich</t>
  </si>
  <si>
    <t>43940 Reliance Ct.</t>
  </si>
  <si>
    <t>Ashburn</t>
  </si>
  <si>
    <t>drbjmb@yahoo.com</t>
  </si>
  <si>
    <t>spencerbaker615@yahoo.com</t>
  </si>
  <si>
    <t>Spencer Baker</t>
  </si>
  <si>
    <t>405 Barlow Lane</t>
  </si>
  <si>
    <t>Lascassas</t>
  </si>
  <si>
    <t>mking@nationalchristian.com</t>
  </si>
  <si>
    <t>Calebjking96@gmail.com</t>
  </si>
  <si>
    <t>Caleb King</t>
  </si>
  <si>
    <t>6715 Roxbury Trace</t>
  </si>
  <si>
    <t>khuntsbe@ycp.edu</t>
  </si>
  <si>
    <t>Huntsberry</t>
  </si>
  <si>
    <t>Kyle Huntsberry</t>
  </si>
  <si>
    <t>2500 Redwood Road</t>
  </si>
  <si>
    <t>betsysspace@yahoo.com</t>
  </si>
  <si>
    <t>Adamf22pilot@yahoo.com</t>
  </si>
  <si>
    <t>Adam Evans</t>
  </si>
  <si>
    <t>5107 Kensington Heights Drive</t>
  </si>
  <si>
    <t>sallymiller12.2@gmail.com</t>
  </si>
  <si>
    <t>Sally</t>
  </si>
  <si>
    <t>Sally Miller</t>
  </si>
  <si>
    <t>3306 43rd Street</t>
  </si>
  <si>
    <t>Cameron Delfs</t>
  </si>
  <si>
    <t>lindaaduncan@yahoo.com</t>
  </si>
  <si>
    <t>Isaac Steele</t>
  </si>
  <si>
    <t>1608 nw 34th</t>
  </si>
  <si>
    <t>tnillaw@aol.com</t>
  </si>
  <si>
    <t>Wallin</t>
  </si>
  <si>
    <t>Holly Wallin</t>
  </si>
  <si>
    <t>Lucas Buegel</t>
  </si>
  <si>
    <t>415 North Adams Street</t>
  </si>
  <si>
    <t>raidermom93@gmail.com</t>
  </si>
  <si>
    <t>ztm4897ztmpie@gmail.com</t>
  </si>
  <si>
    <t>Minckler</t>
  </si>
  <si>
    <t>Zachary Minckler</t>
  </si>
  <si>
    <t>801 Bethpage ct</t>
  </si>
  <si>
    <t>College station</t>
  </si>
  <si>
    <t>JABATTEY@GMAIL.COM</t>
  </si>
  <si>
    <t>tyanneblaire52@gmail.com</t>
  </si>
  <si>
    <t>TyAnne</t>
  </si>
  <si>
    <t>Battey</t>
  </si>
  <si>
    <t>TyAnne Battey</t>
  </si>
  <si>
    <t>600 W. Tennessee St.</t>
  </si>
  <si>
    <t>Floydada</t>
  </si>
  <si>
    <t>lfwaller@gmail.com</t>
  </si>
  <si>
    <t>jameswaller23@gmail.com</t>
  </si>
  <si>
    <t>James Waller</t>
  </si>
  <si>
    <t>182 Pumice Drive</t>
  </si>
  <si>
    <t>Sherwood</t>
  </si>
  <si>
    <t>caclayton2001@yahoo.com</t>
  </si>
  <si>
    <t>livinggodslife@gmail.com</t>
  </si>
  <si>
    <t>Elizabeth Clayton</t>
  </si>
  <si>
    <t>3843 Katie Circle</t>
  </si>
  <si>
    <t>vickishack@yahoo.com</t>
  </si>
  <si>
    <t>morganshack@yahoo.com</t>
  </si>
  <si>
    <t>Morgan Shackelford</t>
  </si>
  <si>
    <t>2502 Lake Heights Drive</t>
  </si>
  <si>
    <t>leahgermain@frontier.com</t>
  </si>
  <si>
    <t>Germain</t>
  </si>
  <si>
    <t>Leah Germain</t>
  </si>
  <si>
    <t>156 206th St.</t>
  </si>
  <si>
    <t>Star Prairie</t>
  </si>
  <si>
    <t>mjoles68@yahoo.com</t>
  </si>
  <si>
    <t>reoles12@hotmail.com</t>
  </si>
  <si>
    <t>Oles</t>
  </si>
  <si>
    <t>Renee Oles</t>
  </si>
  <si>
    <t>7751 Firethorn Court</t>
  </si>
  <si>
    <t>tswiftness10@gmail.com</t>
  </si>
  <si>
    <t>Trent Bradley</t>
  </si>
  <si>
    <t>171 Tranquil Pl.</t>
  </si>
  <si>
    <t>srixon14@gmail.com</t>
  </si>
  <si>
    <t>Grant Anderson</t>
  </si>
  <si>
    <t>1436 Lee Lane</t>
  </si>
  <si>
    <t>Fincastle</t>
  </si>
  <si>
    <t>Adam Wallin</t>
  </si>
  <si>
    <t>12027 Ray Road</t>
  </si>
  <si>
    <t>candance.haag@gmail.com</t>
  </si>
  <si>
    <t>Candace</t>
  </si>
  <si>
    <t>Haag</t>
  </si>
  <si>
    <t>Candace Haag</t>
  </si>
  <si>
    <t>355 110th Ave.</t>
  </si>
  <si>
    <t>mckinleym2014@gmail.com</t>
  </si>
  <si>
    <t>Megan McKinley</t>
  </si>
  <si>
    <t>jonjonwaller@gmail.com</t>
  </si>
  <si>
    <t>Jonathan Waller</t>
  </si>
  <si>
    <t>blackmon506@yahoo.com</t>
  </si>
  <si>
    <t>Sydneyblackmon@icloud.com</t>
  </si>
  <si>
    <t>Sydney Blackmon</t>
  </si>
  <si>
    <t>199 Oakwood Dr</t>
  </si>
  <si>
    <t>Cedartown</t>
  </si>
  <si>
    <t>kaykramer@frontier.com</t>
  </si>
  <si>
    <t>kramer94@frontier.com</t>
  </si>
  <si>
    <t>Kaleb Kramer</t>
  </si>
  <si>
    <t>242 W. High St.</t>
  </si>
  <si>
    <t>P.O. Box 203</t>
  </si>
  <si>
    <t>priceless4him@gmail.com</t>
  </si>
  <si>
    <t>mewantmycookie@gmail.com</t>
  </si>
  <si>
    <t>Ashley Price</t>
  </si>
  <si>
    <t>412 Country Side Drive</t>
  </si>
  <si>
    <t>Evensville</t>
  </si>
  <si>
    <t>cgustin@eastnoble.net</t>
  </si>
  <si>
    <t>jsgustinbeach@gmail.com</t>
  </si>
  <si>
    <t>Gustin</t>
  </si>
  <si>
    <t>Jacob Gustin</t>
  </si>
  <si>
    <t>2745S  775E</t>
  </si>
  <si>
    <t>slashingslammer@gmail.com</t>
  </si>
  <si>
    <t>Klein, Jr.</t>
  </si>
  <si>
    <t>Robert Klein, Jr.</t>
  </si>
  <si>
    <t>bkbuff@cox.net</t>
  </si>
  <si>
    <t>Buffington</t>
  </si>
  <si>
    <t>Sean Buffington</t>
  </si>
  <si>
    <t>2404 Silverfield Lane</t>
  </si>
  <si>
    <t>lenasorrells@gmail.com</t>
  </si>
  <si>
    <t>rebekahasorrells@gmail.com</t>
  </si>
  <si>
    <t>Sorrells</t>
  </si>
  <si>
    <t>Rebekah Sorrells</t>
  </si>
  <si>
    <t>10312 Highway 359</t>
  </si>
  <si>
    <t>tkmmkbruce@yahoo.com</t>
  </si>
  <si>
    <t>morganne_bruce@yahoo.com</t>
  </si>
  <si>
    <t>Morganne</t>
  </si>
  <si>
    <t>Morganne Bruce</t>
  </si>
  <si>
    <t>1707 White Oak Lane</t>
  </si>
  <si>
    <t>Russellville</t>
  </si>
  <si>
    <t>maryimam@ymail.com</t>
  </si>
  <si>
    <t>Bedri</t>
  </si>
  <si>
    <t>Amelia Bedri</t>
  </si>
  <si>
    <t>kramchef@gmail.com</t>
  </si>
  <si>
    <t>JAKram1998@gmail.com</t>
  </si>
  <si>
    <t>Kram</t>
  </si>
  <si>
    <t>Joshua Kram</t>
  </si>
  <si>
    <t>11100 Bobcat Blvd NE</t>
  </si>
  <si>
    <t>samicardella@yahoo.com</t>
  </si>
  <si>
    <t>Alexa Gabriel</t>
  </si>
  <si>
    <t>brookeb.1423@gmail.com</t>
  </si>
  <si>
    <t>Brooke Buffington</t>
  </si>
  <si>
    <t>c.ashmore@comcast.net</t>
  </si>
  <si>
    <t>brysonashmore@yahoo.com</t>
  </si>
  <si>
    <t>Ashmore</t>
  </si>
  <si>
    <t>Bryson Ashmore</t>
  </si>
  <si>
    <t>3363 Evans to Locks Road</t>
  </si>
  <si>
    <t>virgilwlkr@gmail.com</t>
  </si>
  <si>
    <t>Princess</t>
  </si>
  <si>
    <t>Princess Walker</t>
  </si>
  <si>
    <t>2318 S. 177th Street</t>
  </si>
  <si>
    <t>jaythom@juno.com</t>
  </si>
  <si>
    <t>hthom18@my.whitworth.edu</t>
  </si>
  <si>
    <t>Thom</t>
  </si>
  <si>
    <t>Heidi Thom</t>
  </si>
  <si>
    <t>4939 Custer Ave</t>
  </si>
  <si>
    <t>rychellep@yahoo.com</t>
  </si>
  <si>
    <t>allipreston16@gmail.com</t>
  </si>
  <si>
    <t>Allison Preston</t>
  </si>
  <si>
    <t>1319 Ridgewood Drive</t>
  </si>
  <si>
    <t>momof8@epix.net</t>
  </si>
  <si>
    <t>goldengurl@epix.net</t>
  </si>
  <si>
    <t>Rebekah Roberts</t>
  </si>
  <si>
    <t>464 Haines Road</t>
  </si>
  <si>
    <t>Wysox</t>
  </si>
  <si>
    <t>mt.hannah@gmail.com</t>
  </si>
  <si>
    <t>Hannah Thom</t>
  </si>
  <si>
    <t>tamroot@juno.com</t>
  </si>
  <si>
    <t>rootgideon@gmail.com</t>
  </si>
  <si>
    <t>Root</t>
  </si>
  <si>
    <t>Gideon Root</t>
  </si>
  <si>
    <t>108 N Rock St</t>
  </si>
  <si>
    <t>pierce.tay92@gmail.com</t>
  </si>
  <si>
    <t>Taylor Pierce</t>
  </si>
  <si>
    <t>12807 N FM 2378</t>
  </si>
  <si>
    <t>Anton</t>
  </si>
  <si>
    <t>kshousecalls@gmail.com</t>
  </si>
  <si>
    <t>kathedil@usd206.org</t>
  </si>
  <si>
    <t>Katherine Dillard</t>
  </si>
  <si>
    <t>9221 E. 125TH ST. N.</t>
  </si>
  <si>
    <t>VALLEY CENTER</t>
  </si>
  <si>
    <t>barronfive@sbcglobal.net</t>
  </si>
  <si>
    <t>ebarron3@sbcglobal.net</t>
  </si>
  <si>
    <t>Barron</t>
  </si>
  <si>
    <t>Elsa Barron</t>
  </si>
  <si>
    <t>805 E. Elm St.</t>
  </si>
  <si>
    <t>Wheaton</t>
  </si>
  <si>
    <t>nancysetsor@charter.net</t>
  </si>
  <si>
    <t>matthew.setsor@yahoo.com</t>
  </si>
  <si>
    <t>Setsor</t>
  </si>
  <si>
    <t>Matthew Setsor</t>
  </si>
  <si>
    <t>7350 Sugarwood Drive</t>
  </si>
  <si>
    <t>Talbott</t>
  </si>
  <si>
    <t>joykern@gmail.com</t>
  </si>
  <si>
    <t>Kern</t>
  </si>
  <si>
    <t>Joy Kern</t>
  </si>
  <si>
    <t>6004 Edwin Jones Dr.</t>
  </si>
  <si>
    <t>whisnant@windstream.net</t>
  </si>
  <si>
    <t>Whisnant</t>
  </si>
  <si>
    <t>Katherine Whisnant</t>
  </si>
  <si>
    <t>HC4, Box 253</t>
  </si>
  <si>
    <t>Doniphan</t>
  </si>
  <si>
    <t>tkemp@homefurn.com</t>
  </si>
  <si>
    <t>timmytimtastic@hotmail.com</t>
  </si>
  <si>
    <t>Kemp</t>
  </si>
  <si>
    <t>Timothy Kemp</t>
  </si>
  <si>
    <t>200 gaslight ln</t>
  </si>
  <si>
    <t>youngsville</t>
  </si>
  <si>
    <t>burnett_faith1431@hotmail.com</t>
  </si>
  <si>
    <t>Faith Burnett</t>
  </si>
  <si>
    <t>949 Terrea Villa Rd</t>
  </si>
  <si>
    <t>bubblegum.b.rocks@gmail.com</t>
  </si>
  <si>
    <t>Claudia</t>
  </si>
  <si>
    <t>Lopez</t>
  </si>
  <si>
    <t>Claudia Lopez</t>
  </si>
  <si>
    <t>5420 Barton Ave</t>
  </si>
  <si>
    <t>Apt # 1</t>
  </si>
  <si>
    <t>Los Angeles</t>
  </si>
  <si>
    <t>kleesclan5@iowatelecom.net</t>
  </si>
  <si>
    <t>Caleb Klees</t>
  </si>
  <si>
    <t>53209 160th Ave,</t>
  </si>
  <si>
    <t>kyarborough@fbcwg.org</t>
  </si>
  <si>
    <t>jonathan11sixx@gmail.com</t>
  </si>
  <si>
    <t>Yarborough</t>
  </si>
  <si>
    <t>Jonathan Yarborough</t>
  </si>
  <si>
    <t>4441 Avalon Rd</t>
  </si>
  <si>
    <t>Winter Garden</t>
  </si>
  <si>
    <t>jencatandethan@gmail.com</t>
  </si>
  <si>
    <t>ejoebarry@gmail.com</t>
  </si>
  <si>
    <t>Ethan Barry</t>
  </si>
  <si>
    <t>24 Rollins Mill Rd</t>
  </si>
  <si>
    <t>azhomestars@gmail.com</t>
  </si>
  <si>
    <t>Daniel Flavin</t>
  </si>
  <si>
    <t>1432 E Encinas Ave.</t>
  </si>
  <si>
    <t>lyricgillett@yahoo.com</t>
  </si>
  <si>
    <t>Lyric</t>
  </si>
  <si>
    <t>Lyric Gillett</t>
  </si>
  <si>
    <t>1821 Harvard Street</t>
  </si>
  <si>
    <t>bhawley@mchsi.com</t>
  </si>
  <si>
    <t>nhawley100@gmail.com</t>
  </si>
  <si>
    <t>Hawley</t>
  </si>
  <si>
    <t>Nathan Hawley</t>
  </si>
  <si>
    <t>5773 Coachlight Ct</t>
  </si>
  <si>
    <t>jfrey@dmcs.org</t>
  </si>
  <si>
    <t>Matthias2097@yahoo.com</t>
  </si>
  <si>
    <t>Matthias Herman</t>
  </si>
  <si>
    <t>1327 E 17th St</t>
  </si>
  <si>
    <t>Norwalk</t>
  </si>
  <si>
    <t>bghargis@gmail.com</t>
  </si>
  <si>
    <t>Bethany Hargis</t>
  </si>
  <si>
    <t>2902 Nina Court</t>
  </si>
  <si>
    <t>Merritt Island</t>
  </si>
  <si>
    <t>leros@nc.rr.com</t>
  </si>
  <si>
    <t>Sorrell</t>
  </si>
  <si>
    <t>Sterling Sorrell</t>
  </si>
  <si>
    <t>1921 Laura Duncan Road</t>
  </si>
  <si>
    <t>noblejoy51@gmail.com</t>
  </si>
  <si>
    <t>jomaggio@ymail.com</t>
  </si>
  <si>
    <t>larfoseo@gmail.com</t>
  </si>
  <si>
    <t>Jake Sanders</t>
  </si>
  <si>
    <t>1173 Cragstone Dr</t>
  </si>
  <si>
    <t>Hemet</t>
  </si>
  <si>
    <t>talbert1990@gmail.com</t>
  </si>
  <si>
    <t>jtalbert@iastate.edu</t>
  </si>
  <si>
    <t>James Talbert</t>
  </si>
  <si>
    <t>502 New Salem Rd</t>
  </si>
  <si>
    <t>media.lee@hotmail.com</t>
  </si>
  <si>
    <t>micah.lee2010@yahoo.com</t>
  </si>
  <si>
    <t>Micah Lee</t>
  </si>
  <si>
    <t>1012 North Church Street</t>
  </si>
  <si>
    <t>Mount Olive</t>
  </si>
  <si>
    <t>hannah.lee2010@yahoo.com</t>
  </si>
  <si>
    <t>Hannah Lee</t>
  </si>
  <si>
    <t>karen@rimrockart.com</t>
  </si>
  <si>
    <t>eli@rimrockart.com</t>
  </si>
  <si>
    <t>EliJah (Eli)</t>
  </si>
  <si>
    <t>EliJah (Eli) Cox</t>
  </si>
  <si>
    <t>5815 Lazy Lane</t>
  </si>
  <si>
    <t>jackiekhynson@gmail.com</t>
  </si>
  <si>
    <t>Jacquelyn Hynson</t>
  </si>
  <si>
    <t>6 Pinegate Court</t>
  </si>
  <si>
    <t>kayblickensderfer@gmail.com</t>
  </si>
  <si>
    <t>Blickensderfer</t>
  </si>
  <si>
    <t>Kayla Blickensderfer</t>
  </si>
  <si>
    <t>1702 West Blvd</t>
  </si>
  <si>
    <t>Reagan Dillard</t>
  </si>
  <si>
    <t>peydee_pey17@yahoo.com</t>
  </si>
  <si>
    <t>O'Driscoll</t>
  </si>
  <si>
    <t>Peyton O'Driscoll</t>
  </si>
  <si>
    <t>3711 Manchester Street</t>
  </si>
  <si>
    <t>madisonblakepiano@gmail.com</t>
  </si>
  <si>
    <t>Madison Blake</t>
  </si>
  <si>
    <t>414 Hilliard Dr</t>
  </si>
  <si>
    <t>a_timothy2000@yahoo.com</t>
  </si>
  <si>
    <t>timonik93@yahoo.com</t>
  </si>
  <si>
    <t>David Lozano</t>
  </si>
  <si>
    <t>2433 LA Guardia Ct</t>
  </si>
  <si>
    <t>Imperial</t>
  </si>
  <si>
    <t>babylou60@att.net</t>
  </si>
  <si>
    <t>Dlocklessons@gmail.com</t>
  </si>
  <si>
    <t>Welch</t>
  </si>
  <si>
    <t>Caleb Welch</t>
  </si>
  <si>
    <t>102 Meadowview Drive</t>
  </si>
  <si>
    <t>miltonv@cornerstonebible.org</t>
  </si>
  <si>
    <t>Benjamin Vincent</t>
  </si>
  <si>
    <t>12803 Penske Street</t>
  </si>
  <si>
    <t>Moreno Valley</t>
  </si>
  <si>
    <t>nkddsmith@gmail.com</t>
  </si>
  <si>
    <t>dglssmith117@gmail.com</t>
  </si>
  <si>
    <t>Douglas Smith</t>
  </si>
  <si>
    <t>3901 ABBEY LN</t>
  </si>
  <si>
    <t>TIFTON</t>
  </si>
  <si>
    <t>wholocked1207@gmail.com</t>
  </si>
  <si>
    <t>24019 Madaca Lane Unit 101</t>
  </si>
  <si>
    <t>Port Charlotte</t>
  </si>
  <si>
    <t>shannonrowell@ymail.com</t>
  </si>
  <si>
    <t>sidmrowell@gmail.com</t>
  </si>
  <si>
    <t>Rowell</t>
  </si>
  <si>
    <t>Sidney Rowell</t>
  </si>
  <si>
    <t>4077 Preston Lakes Circle</t>
  </si>
  <si>
    <t>zachary.blake287@gmail.com</t>
  </si>
  <si>
    <t>Zachary Blake</t>
  </si>
  <si>
    <t>414 Hilliard Drive</t>
  </si>
  <si>
    <t>burginbunch@yahoo.com</t>
  </si>
  <si>
    <t>calebj.burgin@gmail.com</t>
  </si>
  <si>
    <t>Burgin</t>
  </si>
  <si>
    <t>Caleb Burgin</t>
  </si>
  <si>
    <t>445 Tabler Ave.</t>
  </si>
  <si>
    <t>Harrodsburg</t>
  </si>
  <si>
    <t>shackisland@gmail.com</t>
  </si>
  <si>
    <t>ashlynreid97@gmail.com</t>
  </si>
  <si>
    <t>Ashlyn Marshall</t>
  </si>
  <si>
    <t>329 Dogwood Lane</t>
  </si>
  <si>
    <t>Hampstead</t>
  </si>
  <si>
    <t>Breanna Vincent</t>
  </si>
  <si>
    <t>camille@socalblocks.com</t>
  </si>
  <si>
    <t>abby@socalblocks.com</t>
  </si>
  <si>
    <t>Block</t>
  </si>
  <si>
    <t>Abigail Block</t>
  </si>
  <si>
    <t>1240 Calle El Cameron</t>
  </si>
  <si>
    <t>kateyberge@gmail.com</t>
  </si>
  <si>
    <t>Berge</t>
  </si>
  <si>
    <t>Kathleen Berge</t>
  </si>
  <si>
    <t>5896 Pincherry Rd NE</t>
  </si>
  <si>
    <t>Bemidji</t>
  </si>
  <si>
    <t>jgpoole@catt.com</t>
  </si>
  <si>
    <t>Jessie Poole</t>
  </si>
  <si>
    <t>904 Hullender Rd.</t>
  </si>
  <si>
    <t>susan_ingersoll@hotmail.com</t>
  </si>
  <si>
    <t>Ingersoll</t>
  </si>
  <si>
    <t>Benjamin Ingersoll</t>
  </si>
  <si>
    <t>5315 Marsh Rd.</t>
  </si>
  <si>
    <t>trevor@tthomas.org</t>
  </si>
  <si>
    <t>trevor@thomas.org</t>
  </si>
  <si>
    <t>Trevor Thomas</t>
  </si>
  <si>
    <t>10911 N Polar Ln</t>
  </si>
  <si>
    <t>elliedh@gmail.com</t>
  </si>
  <si>
    <t>artboudewyn@gmail.com</t>
  </si>
  <si>
    <t>Bouke</t>
  </si>
  <si>
    <t>De Hoop</t>
  </si>
  <si>
    <t>Bouke De Hoop</t>
  </si>
  <si>
    <t>3533 Grangeville Blvd.</t>
  </si>
  <si>
    <t>kayliej_k@yahoo.com</t>
  </si>
  <si>
    <t>Kayli</t>
  </si>
  <si>
    <t>Kjerstad</t>
  </si>
  <si>
    <t>Kayli Kjerstad</t>
  </si>
  <si>
    <t>22035 Grindstone Rd.</t>
  </si>
  <si>
    <t>baumgart@grcfdl.org</t>
  </si>
  <si>
    <t>michaelbrutherford@gmail.com</t>
  </si>
  <si>
    <t>Rutherford</t>
  </si>
  <si>
    <t>Michael Rutherford</t>
  </si>
  <si>
    <t>112 12th Street</t>
  </si>
  <si>
    <t>gene@mcelmeelpainting.com</t>
  </si>
  <si>
    <t>McElmeel</t>
  </si>
  <si>
    <t>Elizabeth McElmeel</t>
  </si>
  <si>
    <t>3304 Thistledown Dr</t>
  </si>
  <si>
    <t>jgardnerweb@yahoo.com</t>
  </si>
  <si>
    <t>nathan1clarinet@gmail.com</t>
  </si>
  <si>
    <t>Nathan Gardner</t>
  </si>
  <si>
    <t>1432 Wollow Wood Drive</t>
  </si>
  <si>
    <t>seanrachelm@gmail.com</t>
  </si>
  <si>
    <t>Sean Moore</t>
  </si>
  <si>
    <t>5125 Darwin Cove</t>
  </si>
  <si>
    <t>srhcrider@gmail.com</t>
  </si>
  <si>
    <t>721 Bean ave</t>
  </si>
  <si>
    <t>Mora</t>
  </si>
  <si>
    <t>Peter McElmeel</t>
  </si>
  <si>
    <t>wjlongjrmpa@yahoo.com</t>
  </si>
  <si>
    <t>garrettplong@gmail.com</t>
  </si>
  <si>
    <t>Garrett Long</t>
  </si>
  <si>
    <t>3425 Lake Pointe Dr.</t>
  </si>
  <si>
    <t>william488@cox.net</t>
  </si>
  <si>
    <t>sargent159@gmail.com</t>
  </si>
  <si>
    <t>Jaime Sargent</t>
  </si>
  <si>
    <t>2711 Northwood Circle</t>
  </si>
  <si>
    <t>jeanelleinca@cox.net</t>
  </si>
  <si>
    <t>daluckett2015@foothillsschool.net</t>
  </si>
  <si>
    <t>Luckett</t>
  </si>
  <si>
    <t>Daniel Luckett</t>
  </si>
  <si>
    <t>1386 Lindenwood Drive</t>
  </si>
  <si>
    <t>benjthesongster@gmail.com</t>
  </si>
  <si>
    <t>Benjamin Songster</t>
  </si>
  <si>
    <t>265 Parkman St</t>
  </si>
  <si>
    <t>gclong4@yahoo.com</t>
  </si>
  <si>
    <t>Kate Long</t>
  </si>
  <si>
    <t>3256 125th Ave NW</t>
  </si>
  <si>
    <t>Watford city</t>
  </si>
  <si>
    <t>edieroskam@gmail.com</t>
  </si>
  <si>
    <t>Lodinkinni1087@yahoo.com</t>
  </si>
  <si>
    <t>Joshua White</t>
  </si>
  <si>
    <t>6227 Gila Rd.</t>
  </si>
  <si>
    <t>El Paso</t>
  </si>
  <si>
    <t>Megan McElmeel</t>
  </si>
  <si>
    <t>amyevans2@aol.com</t>
  </si>
  <si>
    <t>sumner.evans98@gmail.com</t>
  </si>
  <si>
    <t>Sumner</t>
  </si>
  <si>
    <t>Sumner Evans</t>
  </si>
  <si>
    <t>25 Amaranth Dr.</t>
  </si>
  <si>
    <t>julydebo@aol.com</t>
  </si>
  <si>
    <t>Padenwseale@aol.com</t>
  </si>
  <si>
    <t>Paden</t>
  </si>
  <si>
    <t>Seale</t>
  </si>
  <si>
    <t>Paden Seale</t>
  </si>
  <si>
    <t>1304 wayne  drive</t>
  </si>
  <si>
    <t>dschneider_000@hotmail.com</t>
  </si>
  <si>
    <t>Levi Schneider</t>
  </si>
  <si>
    <t>833 Ollie</t>
  </si>
  <si>
    <t>twelton@heartofiowa.net</t>
  </si>
  <si>
    <t>lmwelton@iastate.edu</t>
  </si>
  <si>
    <t>Welton</t>
  </si>
  <si>
    <t>Lauren Welton</t>
  </si>
  <si>
    <t>303 3rd Avenue</t>
  </si>
  <si>
    <t>PO Box 93</t>
  </si>
  <si>
    <t>Haverhill</t>
  </si>
  <si>
    <t>rjeanson@uwm.edu</t>
  </si>
  <si>
    <t>Jeanson</t>
  </si>
  <si>
    <t>Rebecca Jeanson</t>
  </si>
  <si>
    <t>235 Perry Avenue</t>
  </si>
  <si>
    <t>dkc0417@gmail.com</t>
  </si>
  <si>
    <t>gabe.carpenter@kccbs.edu</t>
  </si>
  <si>
    <t>Gabriel Carpenter</t>
  </si>
  <si>
    <t>6415 W 73rd Terrace</t>
  </si>
  <si>
    <t>hikebikeskiecc@gmail.com</t>
  </si>
  <si>
    <t>Emma Curtis</t>
  </si>
  <si>
    <t>2603 Mountain Dale Rd</t>
  </si>
  <si>
    <t>Vilas, NC 28692</t>
  </si>
  <si>
    <t>Vilas</t>
  </si>
  <si>
    <t>cereynolds2005@gmail.com</t>
  </si>
  <si>
    <t>Christina Reynolds</t>
  </si>
  <si>
    <t>kellygirl25@comcast.net</t>
  </si>
  <si>
    <t>Sisson</t>
  </si>
  <si>
    <t>Kelly Sisson</t>
  </si>
  <si>
    <t>219 Oak Lane</t>
  </si>
  <si>
    <t>rickfans@juno.com</t>
  </si>
  <si>
    <t>mrrasniffles@comcast.net</t>
  </si>
  <si>
    <t>Sarah Fansler</t>
  </si>
  <si>
    <t>93 Brush Everard Ct</t>
  </si>
  <si>
    <t>bnr891@sbcglobal.net</t>
  </si>
  <si>
    <t>4ethendixon@gmail.com</t>
  </si>
  <si>
    <t>Ethen</t>
  </si>
  <si>
    <t>Ethen Dixon</t>
  </si>
  <si>
    <t>6719 E. Abbotsford</t>
  </si>
  <si>
    <t>jeeves@myactv.net</t>
  </si>
  <si>
    <t>Daniel Fierer</t>
  </si>
  <si>
    <t>4emmadixon@gmail.com</t>
  </si>
  <si>
    <t>Emma Dixon</t>
  </si>
  <si>
    <t>brandonanelli@msn.com</t>
  </si>
  <si>
    <t>Nelli</t>
  </si>
  <si>
    <t>Brandon Nelli</t>
  </si>
  <si>
    <t>155 South Burnaby Dr.</t>
  </si>
  <si>
    <t>montgomerypg@comcast.net</t>
  </si>
  <si>
    <t>mam72@comcast.net</t>
  </si>
  <si>
    <t>Martine</t>
  </si>
  <si>
    <t>Martine Montgomery</t>
  </si>
  <si>
    <t>2272 Links Dr</t>
  </si>
  <si>
    <t>Fleming Island</t>
  </si>
  <si>
    <t>Andrew.Michael.Beach@Gmail.com</t>
  </si>
  <si>
    <t>Beach</t>
  </si>
  <si>
    <t>Andrew Beach</t>
  </si>
  <si>
    <t>113 Kings Ln.</t>
  </si>
  <si>
    <t>david@davidhensey.com</t>
  </si>
  <si>
    <t>dancind98@gmail.com</t>
  </si>
  <si>
    <t>Hensey</t>
  </si>
  <si>
    <t>Diamond Hensey</t>
  </si>
  <si>
    <t>5336 IRON CROSSING AVENUE</t>
  </si>
  <si>
    <t>LAS VEGAS</t>
  </si>
  <si>
    <t>melcryar@gmail.com</t>
  </si>
  <si>
    <t>emmarosecryar@gmail.com</t>
  </si>
  <si>
    <t>Cryar</t>
  </si>
  <si>
    <t>Emma Cryar</t>
  </si>
  <si>
    <t>115 Stanwick Drive</t>
  </si>
  <si>
    <t>imasmarticle@gmail.com</t>
  </si>
  <si>
    <t>Min</t>
  </si>
  <si>
    <t>Jane Min</t>
  </si>
  <si>
    <t>51-01 39 Ave. Q31</t>
  </si>
  <si>
    <t>Long Island City</t>
  </si>
  <si>
    <t>ejtison@gmail.com</t>
  </si>
  <si>
    <t>Tison</t>
  </si>
  <si>
    <t>Ethan Tison</t>
  </si>
  <si>
    <t>6214 Trotters Ridge Rd.</t>
  </si>
  <si>
    <t>opossumacademy@embarqmail.com</t>
  </si>
  <si>
    <t>writetheworld14@gmail.com</t>
  </si>
  <si>
    <t>Motter</t>
  </si>
  <si>
    <t>Julianne Motter</t>
  </si>
  <si>
    <t>19 Lynx Drive</t>
  </si>
  <si>
    <t>Hanover</t>
  </si>
  <si>
    <t>rlucasfam5@gmail.com</t>
  </si>
  <si>
    <t>bdawg122@yahoo.com</t>
  </si>
  <si>
    <t>Brandon Lucas</t>
  </si>
  <si>
    <t>7816 Ultra Drive</t>
  </si>
  <si>
    <t>schultzyy@msn.com</t>
  </si>
  <si>
    <t>jschz@gmail.com</t>
  </si>
  <si>
    <t>Joel Schultz</t>
  </si>
  <si>
    <t>4175 Payne Rd</t>
  </si>
  <si>
    <t>Attica</t>
  </si>
  <si>
    <t>claymore.ind1@yahoo.com</t>
  </si>
  <si>
    <t>66belair283@gmail.com</t>
  </si>
  <si>
    <t>Aaron Johnson</t>
  </si>
  <si>
    <t>611 W. Pitkin Ave.</t>
  </si>
  <si>
    <t>stemdec@gmail.com</t>
  </si>
  <si>
    <t>Stephen Decker</t>
  </si>
  <si>
    <t>15830 US HWY 69</t>
  </si>
  <si>
    <t>Whtiewright</t>
  </si>
  <si>
    <t>sev1993@yahoo.com</t>
  </si>
  <si>
    <t>spidermanapv@gmail.com</t>
  </si>
  <si>
    <t>Adam Vincent</t>
  </si>
  <si>
    <t>4116 Lantern Lane</t>
  </si>
  <si>
    <t>Valdosta</t>
  </si>
  <si>
    <t>stevengw.1@gmail.com</t>
  </si>
  <si>
    <t>jacobwiertsema1@gmail.com</t>
  </si>
  <si>
    <t>Wiertsema</t>
  </si>
  <si>
    <t>Jacob Wiertsema</t>
  </si>
  <si>
    <t>1990 Century Valley LN NE</t>
  </si>
  <si>
    <t>farm@eidsoninc.com</t>
  </si>
  <si>
    <t>leged8@gmail.com</t>
  </si>
  <si>
    <t>Liza</t>
  </si>
  <si>
    <t>Eidson</t>
  </si>
  <si>
    <t>Liza Eidson</t>
  </si>
  <si>
    <t>1916  East Hanceville Rd SE</t>
  </si>
  <si>
    <t>Cullman</t>
  </si>
  <si>
    <t>jvgosnell2@aol.com</t>
  </si>
  <si>
    <t>jvgosnell3@aol.com</t>
  </si>
  <si>
    <t>Gosnell</t>
  </si>
  <si>
    <t>John Gosnell</t>
  </si>
  <si>
    <t>8225 Cricket Rd</t>
  </si>
  <si>
    <t>peterqgough@gmail.com</t>
  </si>
  <si>
    <t>Gough</t>
  </si>
  <si>
    <t>Peter Gough</t>
  </si>
  <si>
    <t>930 sw 197th ave</t>
  </si>
  <si>
    <t>hrpeds@gmail.com</t>
  </si>
  <si>
    <t>landonhrogers@gmail.com</t>
  </si>
  <si>
    <t>Landon Rogers</t>
  </si>
  <si>
    <t>2016 SW 110th ST</t>
  </si>
  <si>
    <t>Gainesville</t>
  </si>
  <si>
    <t>taylor.nelson820@gmail.com</t>
  </si>
  <si>
    <t>Taylor Nelson</t>
  </si>
  <si>
    <t>13497 212th Ave. NW</t>
  </si>
  <si>
    <t>Elk River</t>
  </si>
  <si>
    <t>lmfarm@bellsouth.net</t>
  </si>
  <si>
    <t>nathansealsrocks@gmail.com</t>
  </si>
  <si>
    <t>Seals</t>
  </si>
  <si>
    <t>Nathan Seals</t>
  </si>
  <si>
    <t>912 Hinchey Hollow Rd</t>
  </si>
  <si>
    <t>slonarecker@aol.com</t>
  </si>
  <si>
    <t>erinr.onarecker@gmail.com</t>
  </si>
  <si>
    <t>Onarecker</t>
  </si>
  <si>
    <t>Erin Onarecker</t>
  </si>
  <si>
    <t>24015 Ristras Lane</t>
  </si>
  <si>
    <t>abmasnd@aol.com</t>
  </si>
  <si>
    <t>Mackenzie Davis</t>
  </si>
  <si>
    <t>4360 Pumice Drive NE</t>
  </si>
  <si>
    <t>valeriecweise@gmail.com</t>
  </si>
  <si>
    <t>Jaydenweise@yahoo.com</t>
  </si>
  <si>
    <t>Jayden</t>
  </si>
  <si>
    <t>Weise</t>
  </si>
  <si>
    <t>Jayden Weise</t>
  </si>
  <si>
    <t>2726 Kenwood Cove</t>
  </si>
  <si>
    <t>rebstamps@comcast.net</t>
  </si>
  <si>
    <t>kamifos@hotmail.com</t>
  </si>
  <si>
    <t>Kameryn</t>
  </si>
  <si>
    <t>Fosmire</t>
  </si>
  <si>
    <t>Kameryn Fosmire</t>
  </si>
  <si>
    <t>18226 171st Ct SE</t>
  </si>
  <si>
    <t>Renton</t>
  </si>
  <si>
    <t>danielrbenton@gmail.com</t>
  </si>
  <si>
    <t>juwanbates97@gmail.com</t>
  </si>
  <si>
    <t>Juwan</t>
  </si>
  <si>
    <t>Juwan Bates</t>
  </si>
  <si>
    <t>9320 Vine Street</t>
  </si>
  <si>
    <t>travis@travisbowman.com</t>
  </si>
  <si>
    <t>austintravisbowman@gmail.com</t>
  </si>
  <si>
    <t>Austin Bowman</t>
  </si>
  <si>
    <t>19753 Hagen Knoll Dr.</t>
  </si>
  <si>
    <t>Davidson</t>
  </si>
  <si>
    <t>alyssa.chavez@ttu.edu</t>
  </si>
  <si>
    <t>Alyssa Chavez</t>
  </si>
  <si>
    <t>130 Park Canyon Drive</t>
  </si>
  <si>
    <t>wrpittman@comcast.net</t>
  </si>
  <si>
    <t>dixiepittman@comcast.net</t>
  </si>
  <si>
    <t>Arianne</t>
  </si>
  <si>
    <t>Arianne Pittman</t>
  </si>
  <si>
    <t>364 Blanchard Rd</t>
  </si>
  <si>
    <t>Centralia</t>
  </si>
  <si>
    <t>janitakube@gmail.com</t>
  </si>
  <si>
    <t>kendykube@gmail.com</t>
  </si>
  <si>
    <t>Kendy</t>
  </si>
  <si>
    <t>Kube</t>
  </si>
  <si>
    <t>Kendy Kube</t>
  </si>
  <si>
    <t>54796 889 Rd</t>
  </si>
  <si>
    <t>Crofton</t>
  </si>
  <si>
    <t>four2feed@gmail.com</t>
  </si>
  <si>
    <t>willgcomp@gmail.com</t>
  </si>
  <si>
    <t>Compton</t>
  </si>
  <si>
    <t>William Compton</t>
  </si>
  <si>
    <t>113 Wrenfield Ct</t>
  </si>
  <si>
    <t>jdc.climbhigh@gmail.com</t>
  </si>
  <si>
    <t>James Compton</t>
  </si>
  <si>
    <t>avoigt@southsidechristian.org</t>
  </si>
  <si>
    <t>elvoigt@gmail.com</t>
  </si>
  <si>
    <t>Voigt</t>
  </si>
  <si>
    <t>Elizabeth Voigt</t>
  </si>
  <si>
    <t>947 Wax Myrtle Ct</t>
  </si>
  <si>
    <t>wendlew@msn.com</t>
  </si>
  <si>
    <t>trentjwarren@msn.com</t>
  </si>
  <si>
    <t>Trent Warren</t>
  </si>
  <si>
    <t>10073 Oak Knoll Terrace</t>
  </si>
  <si>
    <t>lritten@ritt-com.com</t>
  </si>
  <si>
    <t>holly.anne.rittenhouse@gmail.com</t>
  </si>
  <si>
    <t>Rittenhouse</t>
  </si>
  <si>
    <t>Holly Rittenhouse</t>
  </si>
  <si>
    <t>3223 Ezekiel Avenue</t>
  </si>
  <si>
    <t>guest.tammy@gmail.com</t>
  </si>
  <si>
    <t>taylorguest77@gmail.com</t>
  </si>
  <si>
    <t>Guest</t>
  </si>
  <si>
    <t>Taylor Guest</t>
  </si>
  <si>
    <t>4270 Zurich Dr.</t>
  </si>
  <si>
    <t>christensen_michelle@hotmail.com</t>
  </si>
  <si>
    <t>clka4c@hotmail.com</t>
  </si>
  <si>
    <t>Caleb Christensen</t>
  </si>
  <si>
    <t>22537 County Road W</t>
  </si>
  <si>
    <t>Fort Morgan</t>
  </si>
  <si>
    <t>reeseyrea@comcast.net</t>
  </si>
  <si>
    <t>Reesey</t>
  </si>
  <si>
    <t>Reesey Rea</t>
  </si>
  <si>
    <t>dancarla@verizon.net</t>
  </si>
  <si>
    <t>samazingirl@gmail.com</t>
  </si>
  <si>
    <t>Ernest</t>
  </si>
  <si>
    <t>Samantha Ernest</t>
  </si>
  <si>
    <t>877 Serene Court</t>
  </si>
  <si>
    <t>Morgan Hill</t>
  </si>
  <si>
    <t>berniegaona@gmail.com</t>
  </si>
  <si>
    <t>303 Burnahm Rd</t>
  </si>
  <si>
    <t>OAK VIEW</t>
  </si>
  <si>
    <t>mom2gr8kids6588@yahoo.com</t>
  </si>
  <si>
    <t>Natty2015@yahoo.com</t>
  </si>
  <si>
    <t>Nathanael Decker</t>
  </si>
  <si>
    <t>15830 U.S. HWY 69</t>
  </si>
  <si>
    <t>Whitewright</t>
  </si>
  <si>
    <t>russ.hofeldt@gmail.com</t>
  </si>
  <si>
    <t>ML3177@k12.sd.us</t>
  </si>
  <si>
    <t>Littlegeorge</t>
  </si>
  <si>
    <t>Michael Littlegeorge</t>
  </si>
  <si>
    <t>1019 E. Erskine Street</t>
  </si>
  <si>
    <t>samantha.chanda@asbury.edu</t>
  </si>
  <si>
    <t>chanda</t>
  </si>
  <si>
    <t>samantha chanda</t>
  </si>
  <si>
    <t>112 Callis Circle</t>
  </si>
  <si>
    <t>Wilmore</t>
  </si>
  <si>
    <t>abhirdler@gmail.com</t>
  </si>
  <si>
    <t>drhirdler@gmail.com</t>
  </si>
  <si>
    <t>Hirdler</t>
  </si>
  <si>
    <t>David Hirdler</t>
  </si>
  <si>
    <t>6534  20th St. N.</t>
  </si>
  <si>
    <t>dqranch@st-tel.net</t>
  </si>
  <si>
    <t>Joyfullydependent@gmail.com</t>
  </si>
  <si>
    <t>Quenzer</t>
  </si>
  <si>
    <t>Brianna Quenzer</t>
  </si>
  <si>
    <t>3430 Road 69</t>
  </si>
  <si>
    <t>kcotton.jordan@gmail.com</t>
  </si>
  <si>
    <t>koehna.jordan13@gmailcom</t>
  </si>
  <si>
    <t>Koehna</t>
  </si>
  <si>
    <t>Koehna Jordan</t>
  </si>
  <si>
    <t>410 Banks Street</t>
  </si>
  <si>
    <t>burton.street01@gmail.com</t>
  </si>
  <si>
    <t>sydneystreet16@gmail.com</t>
  </si>
  <si>
    <t>Sydney Street</t>
  </si>
  <si>
    <t>8785 Providence Dr.</t>
  </si>
  <si>
    <t>Sparkle@st-tel.net</t>
  </si>
  <si>
    <t>Shaniah</t>
  </si>
  <si>
    <t>Shaniah Quenzer</t>
  </si>
  <si>
    <t>Talen</t>
  </si>
  <si>
    <t>Talen Quenzer</t>
  </si>
  <si>
    <t>caleb.knezevich@gmail.com</t>
  </si>
  <si>
    <t>Caleb.Knezevich@Gmail.com</t>
  </si>
  <si>
    <t>Knezevich</t>
  </si>
  <si>
    <t>Caleb Knezevich</t>
  </si>
  <si>
    <t>18800 nw shadow ln</t>
  </si>
  <si>
    <t>kdgree@aol.com</t>
  </si>
  <si>
    <t>daniellgreen96@gmail.com</t>
  </si>
  <si>
    <t>Daniel Green</t>
  </si>
  <si>
    <t>9257 Foliage Lane</t>
  </si>
  <si>
    <t>Munster</t>
  </si>
  <si>
    <t>ptldaily@yahoo.com</t>
  </si>
  <si>
    <t>rrkaty.wells@gmail.com</t>
  </si>
  <si>
    <t>Maelee</t>
  </si>
  <si>
    <t>Maelee Wells</t>
  </si>
  <si>
    <t>2262 Richmond Lane</t>
  </si>
  <si>
    <t>daysgapacademy@gmail.com</t>
  </si>
  <si>
    <t>roverblues@gmail.com</t>
  </si>
  <si>
    <t>April Lane</t>
  </si>
  <si>
    <t>53 Days Gap Rd</t>
  </si>
  <si>
    <t>Falkville</t>
  </si>
  <si>
    <t>Lane  III</t>
  </si>
  <si>
    <t>David Lane  III</t>
  </si>
  <si>
    <t>dpierce1524@gmail.com</t>
  </si>
  <si>
    <t>Daniel Todd</t>
  </si>
  <si>
    <t>joskidohskid@gmail.com</t>
  </si>
  <si>
    <t>Joanna Skidmore</t>
  </si>
  <si>
    <t>6281 Hollyhock Road</t>
  </si>
  <si>
    <t>a_love4him@yahoo.com</t>
  </si>
  <si>
    <t>Rubio</t>
  </si>
  <si>
    <t>Amanda Rubio</t>
  </si>
  <si>
    <t>7955 E Ave</t>
  </si>
  <si>
    <t>rdm@geusnet.com</t>
  </si>
  <si>
    <t>lashley@geusnet.com</t>
  </si>
  <si>
    <t>Lauren Ashley</t>
  </si>
  <si>
    <t>PO Box 9223</t>
  </si>
  <si>
    <t>dcstiggy@charter.net</t>
  </si>
  <si>
    <t>zstiggy1@yahoo.com</t>
  </si>
  <si>
    <t>Stigsell</t>
  </si>
  <si>
    <t>Zachary Stigsell</t>
  </si>
  <si>
    <t>109 Westminster Ave SW</t>
  </si>
  <si>
    <t>PO Box 855</t>
  </si>
  <si>
    <t>astigsell@yahoo.com</t>
  </si>
  <si>
    <t>Abigail Stigsell</t>
  </si>
  <si>
    <t>christiankeyboardist@gmail.com</t>
  </si>
  <si>
    <t>Viebrock</t>
  </si>
  <si>
    <t>Lauren Viebrock</t>
  </si>
  <si>
    <t>517 3rd Ave E</t>
  </si>
  <si>
    <t>peymanbabaei93@gmail.com</t>
  </si>
  <si>
    <t>Peyman</t>
  </si>
  <si>
    <t>Babaei</t>
  </si>
  <si>
    <t>Peyman Babaei</t>
  </si>
  <si>
    <t>1228 Samuel point</t>
  </si>
  <si>
    <t>Colorado spring</t>
  </si>
  <si>
    <t>donna_m_taylor@msn.com</t>
  </si>
  <si>
    <t>dtaylor@css.org</t>
  </si>
  <si>
    <t>Dean Taylor</t>
  </si>
  <si>
    <t>315 Hidden Creek Drive</t>
  </si>
  <si>
    <t>nasekos@me.com</t>
  </si>
  <si>
    <t>Nasekos</t>
  </si>
  <si>
    <t>Karina Nasekos</t>
  </si>
  <si>
    <t>caadels@gmail.com</t>
  </si>
  <si>
    <t>meganlindsey12345@gmail.com</t>
  </si>
  <si>
    <t>Adels</t>
  </si>
  <si>
    <t>Ariel Adels</t>
  </si>
  <si>
    <t>423 Eryn Road</t>
  </si>
  <si>
    <t>Wenonah</t>
  </si>
  <si>
    <t>jonijacobs@bresnan.net</t>
  </si>
  <si>
    <t>evanjacobs1998@gmail.com</t>
  </si>
  <si>
    <t>Jacobs</t>
  </si>
  <si>
    <t>Evan Jacobs</t>
  </si>
  <si>
    <t>4529 Hi-Line Dr.</t>
  </si>
  <si>
    <t>egrandfield@msn.com</t>
  </si>
  <si>
    <t>Yeah.x333333@gmail.com</t>
  </si>
  <si>
    <t>Grandfield</t>
  </si>
  <si>
    <t>Amy Grandfield</t>
  </si>
  <si>
    <t>140 Cummins Lane</t>
  </si>
  <si>
    <t>McKinleyville</t>
  </si>
  <si>
    <t>Grace Holstein</t>
  </si>
  <si>
    <t>reese.maleesa@yahoo.com</t>
  </si>
  <si>
    <t>Maleesa</t>
  </si>
  <si>
    <t>Maleesa Reese</t>
  </si>
  <si>
    <t>3579 Hokan Ln</t>
  </si>
  <si>
    <t>camslighthouse@yahoo.com</t>
  </si>
  <si>
    <t>Caleb Morgan</t>
  </si>
  <si>
    <t>2243 Chatham St.</t>
  </si>
  <si>
    <t>jscmomma@gmail.com</t>
  </si>
  <si>
    <t>aaronabe55@gmail.com</t>
  </si>
  <si>
    <t>Aberle</t>
  </si>
  <si>
    <t>Aaron Aberle</t>
  </si>
  <si>
    <t>1813 Epworth Dr</t>
  </si>
  <si>
    <t>adamcantrell116@gmail.com</t>
  </si>
  <si>
    <t>Jeffery Adam</t>
  </si>
  <si>
    <t>Jeffery Adam Cantrell</t>
  </si>
  <si>
    <t>2303 Covemont Dr</t>
  </si>
  <si>
    <t>eric@mrm.org</t>
  </si>
  <si>
    <t>hmjloveshorses@gmail.com</t>
  </si>
  <si>
    <t>11795 Watson Rd.</t>
  </si>
  <si>
    <t>Sandy</t>
  </si>
  <si>
    <t>stephmc7@gmail.com</t>
  </si>
  <si>
    <t>Stephanie Chavez</t>
  </si>
  <si>
    <t>813 Monroe St. NE</t>
  </si>
  <si>
    <t>timchavez7@gmail.com</t>
  </si>
  <si>
    <t>Timothy Chavez</t>
  </si>
  <si>
    <t>johnsonmoon@msn.com</t>
  </si>
  <si>
    <t>moondevean@gmail.com</t>
  </si>
  <si>
    <t>Devean</t>
  </si>
  <si>
    <t>Devean Moon</t>
  </si>
  <si>
    <t>17161 Alva Road #3022</t>
  </si>
  <si>
    <t>jj@cvnternet.net</t>
  </si>
  <si>
    <t>ddawner@hotmail.com</t>
  </si>
  <si>
    <t>Deanna Knutson</t>
  </si>
  <si>
    <t>alison.fp@frontier.com</t>
  </si>
  <si>
    <t>kpeters2@pdx.edu</t>
  </si>
  <si>
    <t>Kyle Peterson</t>
  </si>
  <si>
    <t>2363 NE 11th Avenue</t>
  </si>
  <si>
    <t>austin087@gmail.com</t>
  </si>
  <si>
    <t>mattyonan@mac.com</t>
  </si>
  <si>
    <t>madeleine@theyonans.com</t>
  </si>
  <si>
    <t>Yonan</t>
  </si>
  <si>
    <t>Madeleine Yonan</t>
  </si>
  <si>
    <t>7919 S Cook Way</t>
  </si>
  <si>
    <t>hambychiro@gmail.com</t>
  </si>
  <si>
    <t>christian.hambone@gmail.com</t>
  </si>
  <si>
    <t>Hamby</t>
  </si>
  <si>
    <t>Christian Hamby</t>
  </si>
  <si>
    <t>3 Crosstide Park</t>
  </si>
  <si>
    <t>aaronkylemiller4@gmail.com</t>
  </si>
  <si>
    <t>Aaron Miller</t>
  </si>
  <si>
    <t>leeandruth@cox.net</t>
  </si>
  <si>
    <t>epsteinl@jbu.edu</t>
  </si>
  <si>
    <t>Epstein</t>
  </si>
  <si>
    <t>Lee Epstein</t>
  </si>
  <si>
    <t>4827 Plymouth Rock Pla</t>
  </si>
  <si>
    <t>gluedots@verizon.net</t>
  </si>
  <si>
    <t>Cicone</t>
  </si>
  <si>
    <t>Regina Cicone</t>
  </si>
  <si>
    <t>4609 E. Joppa Rd</t>
  </si>
  <si>
    <t>Perry Hall</t>
  </si>
  <si>
    <t>akhernandez@hotmail.com</t>
  </si>
  <si>
    <t>nailujzednanreh@gmail.com</t>
  </si>
  <si>
    <t>Julian Hernandez</t>
  </si>
  <si>
    <t>1707 W. Teton Dr.</t>
  </si>
  <si>
    <t>bckmott@gmail.com</t>
  </si>
  <si>
    <t>mattmott97@gmail.com</t>
  </si>
  <si>
    <t>Matthew Mott</t>
  </si>
  <si>
    <t>931 Layton Drive</t>
  </si>
  <si>
    <t>emp.bevans@gmail.com</t>
  </si>
  <si>
    <t>Brian Evans</t>
  </si>
  <si>
    <t>42 dyers cove rd</t>
  </si>
  <si>
    <t>Harpswell</t>
  </si>
  <si>
    <t>mcoudeyre@gmail.com</t>
  </si>
  <si>
    <t>Coudeyre</t>
  </si>
  <si>
    <t>Emma Coudeyre</t>
  </si>
  <si>
    <t>Annalise Coudeyre</t>
  </si>
  <si>
    <t>noahepstein123@gmail.com</t>
  </si>
  <si>
    <t>Noah Epstein</t>
  </si>
  <si>
    <t>joshuaklaus49@gmail.com</t>
  </si>
  <si>
    <t>joshuaklasu49@gmail.com</t>
  </si>
  <si>
    <t>Joshua Klaus</t>
  </si>
  <si>
    <t>2711 PR 2225</t>
  </si>
  <si>
    <t>Caddo mills</t>
  </si>
  <si>
    <t>craigjones2@frontier.com</t>
  </si>
  <si>
    <t>Spencer Jones</t>
  </si>
  <si>
    <t>173 S. 150 E.</t>
  </si>
  <si>
    <t>Valparaiso</t>
  </si>
  <si>
    <t>cklnehrbass@gmail.com</t>
  </si>
  <si>
    <t>jbossn30@gmail.com</t>
  </si>
  <si>
    <t>Nehrbass</t>
  </si>
  <si>
    <t>Jacob Nehrbass</t>
  </si>
  <si>
    <t>14815 13th Place North</t>
  </si>
  <si>
    <t>marla.may@charter.net</t>
  </si>
  <si>
    <t>salvete12ba@gmail.com</t>
  </si>
  <si>
    <t>Bryce Allen</t>
  </si>
  <si>
    <t>5013 Senator Drive</t>
  </si>
  <si>
    <t>FEBroadwell@gmail.com</t>
  </si>
  <si>
    <t>JDBroadwell@gmail.com</t>
  </si>
  <si>
    <t>Broadwell</t>
  </si>
  <si>
    <t>Kathryn Broadwell</t>
  </si>
  <si>
    <t>14195 Scenic Highway</t>
  </si>
  <si>
    <t>Lookout Mountain</t>
  </si>
  <si>
    <t>Jordan Broadwell</t>
  </si>
  <si>
    <t>mikfs16@gmail.com</t>
  </si>
  <si>
    <t>Mikayla Stevens</t>
  </si>
  <si>
    <t>26203 Park Ivy Lane</t>
  </si>
  <si>
    <t>meerkatdaryl@yahoo.com</t>
  </si>
  <si>
    <t>Shianne</t>
  </si>
  <si>
    <t>Shianne Whaley</t>
  </si>
  <si>
    <t>1721 Antelope Trail</t>
  </si>
  <si>
    <t>Stephenville</t>
  </si>
  <si>
    <t>marcuswwidup@gmail.com</t>
  </si>
  <si>
    <t>Widup</t>
  </si>
  <si>
    <t>Marcus Widup</t>
  </si>
  <si>
    <t>137 S 725 W</t>
  </si>
  <si>
    <t>ewillcoxon@afo.net</t>
  </si>
  <si>
    <t>mbwillcoxon@afo.net</t>
  </si>
  <si>
    <t>Willcoxon</t>
  </si>
  <si>
    <t>Mary Willcoxon</t>
  </si>
  <si>
    <t>205 Parkwood Grove Rd.</t>
  </si>
  <si>
    <t>Booneville</t>
  </si>
  <si>
    <t>jrenwick77@yahoo.com</t>
  </si>
  <si>
    <t>crenwick77@gmail.com</t>
  </si>
  <si>
    <t>Renwick</t>
  </si>
  <si>
    <t>Chloe Renwick</t>
  </si>
  <si>
    <t>5877 267th st</t>
  </si>
  <si>
    <t>emmapatrick10@gmail.com</t>
  </si>
  <si>
    <t>Emma Patrick</t>
  </si>
  <si>
    <t>1230 Winchester Ave.</t>
  </si>
  <si>
    <t>tmillar@evergreen.org</t>
  </si>
  <si>
    <t>jmillar@evergreen.org</t>
  </si>
  <si>
    <t>Millar</t>
  </si>
  <si>
    <t>Jared Millar</t>
  </si>
  <si>
    <t>10209 Oxfordshire Dr</t>
  </si>
  <si>
    <t>Nokesville</t>
  </si>
  <si>
    <t>liveforhim64@roadrunner.com</t>
  </si>
  <si>
    <t>hoopsgirlzimm@gmail.com</t>
  </si>
  <si>
    <t>Zimmermann</t>
  </si>
  <si>
    <t>Rebecca Zimmermann</t>
  </si>
  <si>
    <t>6488 Tonawanda Crk. Rd.</t>
  </si>
  <si>
    <t>Lockport</t>
  </si>
  <si>
    <t>kapedigo@yahoo.com</t>
  </si>
  <si>
    <t>Kerry Pedigo</t>
  </si>
  <si>
    <t>3537 Northwest Pkwy</t>
  </si>
  <si>
    <t>schalchlin@afo.net</t>
  </si>
  <si>
    <t>amazingmagicman@gmail.com</t>
  </si>
  <si>
    <t>Schalchlin</t>
  </si>
  <si>
    <t>Luke Schalchlin</t>
  </si>
  <si>
    <t>P.O. Box 593</t>
  </si>
  <si>
    <t>Holly Grove</t>
  </si>
  <si>
    <t>jensen@fidnet.com</t>
  </si>
  <si>
    <t>Nanzjensen@hotmail.com</t>
  </si>
  <si>
    <t>Elana</t>
  </si>
  <si>
    <t>Elana Jensen</t>
  </si>
  <si>
    <t>1803 Virgil Nicks Rd</t>
  </si>
  <si>
    <t>Owensville</t>
  </si>
  <si>
    <t>jjmuller554@gmail.com</t>
  </si>
  <si>
    <t>Muller</t>
  </si>
  <si>
    <t>Jordan Muller</t>
  </si>
  <si>
    <t>1330 colyn ave</t>
  </si>
  <si>
    <t>cherischeffel@gmail.com</t>
  </si>
  <si>
    <t>laura.scheffel24@gmail.com</t>
  </si>
  <si>
    <t>Laura Scheffel</t>
  </si>
  <si>
    <t>zaccurtis98@gmail.com</t>
  </si>
  <si>
    <t>Zechariah Curtis</t>
  </si>
  <si>
    <t>kuo4jesus@gmail.com</t>
  </si>
  <si>
    <t>joshuaskuo@aol.com</t>
  </si>
  <si>
    <t>Joshua Kuo</t>
  </si>
  <si>
    <t>503 Navarra Drive</t>
  </si>
  <si>
    <t>Scotts Valley</t>
  </si>
  <si>
    <t>rondutt@hotmail.com</t>
  </si>
  <si>
    <t>ronald.duttweiler17@houghton.edu</t>
  </si>
  <si>
    <t>Ronald</t>
  </si>
  <si>
    <t>Duttweiler, Jr.</t>
  </si>
  <si>
    <t>Ronald Duttweiler, Jr.</t>
  </si>
  <si>
    <t>12 N Church St</t>
  </si>
  <si>
    <t>PO Box 268</t>
  </si>
  <si>
    <t>Nunda</t>
  </si>
  <si>
    <t>obrie841@umn.edu</t>
  </si>
  <si>
    <t>O'Brien</t>
  </si>
  <si>
    <t>Quincy O'Brien</t>
  </si>
  <si>
    <t>2688 Vierling Drive E</t>
  </si>
  <si>
    <t>Stevenskuo@aol.com</t>
  </si>
  <si>
    <t>Steven Kuo</t>
  </si>
  <si>
    <t>503 Navarra Dr</t>
  </si>
  <si>
    <t>annekalinke@yahoo.com</t>
  </si>
  <si>
    <t>Kalinke</t>
  </si>
  <si>
    <t>Andrew Kalinke</t>
  </si>
  <si>
    <t>1201 Arroyo Blanco</t>
  </si>
  <si>
    <t>elliesears@msn.com</t>
  </si>
  <si>
    <t>ssears@clemson.edu</t>
  </si>
  <si>
    <t>Sarah Sears</t>
  </si>
  <si>
    <t>westerkamp@verizon.net</t>
  </si>
  <si>
    <t>christiaanwesterkamp97@gmail.com</t>
  </si>
  <si>
    <t>Christiaan</t>
  </si>
  <si>
    <t>Westerkamp</t>
  </si>
  <si>
    <t>Christiaan Westerkamp</t>
  </si>
  <si>
    <t>6564 Ulithi Street</t>
  </si>
  <si>
    <t>zoeannelie@gmail.com</t>
  </si>
  <si>
    <t>znoeltrapani@gmail.com</t>
  </si>
  <si>
    <t>ZOE</t>
  </si>
  <si>
    <t>NOEL-TRAPANI</t>
  </si>
  <si>
    <t>ZOE NOEL-TRAPANI</t>
  </si>
  <si>
    <t>4211 Coventry Green Circle</t>
  </si>
  <si>
    <t>seyahnod@verizon.net</t>
  </si>
  <si>
    <t>the64animal@icloud.com</t>
  </si>
  <si>
    <t>Don</t>
  </si>
  <si>
    <t>Hayes III</t>
  </si>
  <si>
    <t>Don Hayes III</t>
  </si>
  <si>
    <t>5403 Burchette Rd</t>
  </si>
  <si>
    <t>dgraddon@gmail.com</t>
  </si>
  <si>
    <t>bngraddon@gmail.com</t>
  </si>
  <si>
    <t>Graddon</t>
  </si>
  <si>
    <t>Bailey Graddon</t>
  </si>
  <si>
    <t>9201 Salem Court</t>
  </si>
  <si>
    <t>gachtutrom@gmail.com</t>
  </si>
  <si>
    <t>gach18497@cccneb.edu</t>
  </si>
  <si>
    <t>Gach</t>
  </si>
  <si>
    <t>Rom</t>
  </si>
  <si>
    <t>Gach Rom</t>
  </si>
  <si>
    <t>307 Shady Bend Lane</t>
  </si>
  <si>
    <t>janmetzig@gmail.com</t>
  </si>
  <si>
    <t>e.metzig@gmail.com</t>
  </si>
  <si>
    <t>Erik</t>
  </si>
  <si>
    <t>Metzig</t>
  </si>
  <si>
    <t>Erik Metzig</t>
  </si>
  <si>
    <t>7742 County Rd. II</t>
  </si>
  <si>
    <t>hans.epp@nwciowa.edu</t>
  </si>
  <si>
    <t>Hans Epp</t>
  </si>
  <si>
    <t>804 W 8th Rd</t>
  </si>
  <si>
    <t>Giltner</t>
  </si>
  <si>
    <t>adam@theadamgaskins.com</t>
  </si>
  <si>
    <t>Gaskins</t>
  </si>
  <si>
    <t>Adam Gaskins</t>
  </si>
  <si>
    <t>2014 Harvell St.</t>
  </si>
  <si>
    <t>Asheboro</t>
  </si>
  <si>
    <t>bethhill@starpower.net_configioDeactivated</t>
  </si>
  <si>
    <t>sierrashappy@yahoo.com</t>
  </si>
  <si>
    <t>Sierra Hill</t>
  </si>
  <si>
    <t>8208 Plum Creek Drive</t>
  </si>
  <si>
    <t>pants7654@gmail.com</t>
  </si>
  <si>
    <t>schristmore@gmail.com</t>
  </si>
  <si>
    <t>Christmore</t>
  </si>
  <si>
    <t>Sarah Christmore</t>
  </si>
  <si>
    <t>1002 Shady Way</t>
  </si>
  <si>
    <t>laurabennett3@gmail.com</t>
  </si>
  <si>
    <t>anbeuro08@gmail.com</t>
  </si>
  <si>
    <t>Abigail Bennett</t>
  </si>
  <si>
    <t>9822 Walnut Canyon Dr</t>
  </si>
  <si>
    <t>gmiller007@triad.rr.com</t>
  </si>
  <si>
    <t>Danielmiller769@gmail.com</t>
  </si>
  <si>
    <t>Mller</t>
  </si>
  <si>
    <t>Daniel Mller</t>
  </si>
  <si>
    <t>131 Loblolly Lane</t>
  </si>
  <si>
    <t>ramzeez5@sbcglobal.net</t>
  </si>
  <si>
    <t>Andrew Ramsey</t>
  </si>
  <si>
    <t>2444 Marjorie Lane</t>
  </si>
  <si>
    <t>Clio</t>
  </si>
  <si>
    <t>belsterlingaf1@gcc.edu</t>
  </si>
  <si>
    <t>Belsterling</t>
  </si>
  <si>
    <t>Abigail Belsterling</t>
  </si>
  <si>
    <t>1580 Township Road 1273</t>
  </si>
  <si>
    <t>domsmom61@yahoo.com</t>
  </si>
  <si>
    <t>skysword1@yahoo.com</t>
  </si>
  <si>
    <t>Dominic</t>
  </si>
  <si>
    <t>Gastaldi</t>
  </si>
  <si>
    <t>Dominic Gastaldi</t>
  </si>
  <si>
    <t>54897 Kristi Lane</t>
  </si>
  <si>
    <t>johnviv1@earthlink.net</t>
  </si>
  <si>
    <t>nwbeekman1@gmail.com</t>
  </si>
  <si>
    <t>Beekman</t>
  </si>
  <si>
    <t>Nathanael Beekman</t>
  </si>
  <si>
    <t>925 Farm Creek Rd</t>
  </si>
  <si>
    <t>busyworld@exede.net</t>
  </si>
  <si>
    <t>gaormand@icloud.com</t>
  </si>
  <si>
    <t>Ormand</t>
  </si>
  <si>
    <t>Grace Ormand</t>
  </si>
  <si>
    <t>6880 E. Sahuarita Road</t>
  </si>
  <si>
    <t>reneepresnell@triad.rr.com</t>
  </si>
  <si>
    <t>Hannahpresnell2@gmail.com</t>
  </si>
  <si>
    <t>Presnell</t>
  </si>
  <si>
    <t>Hannah Presnell</t>
  </si>
  <si>
    <t>368 Brantley Drive</t>
  </si>
  <si>
    <t>esbernard@yahoo.com</t>
  </si>
  <si>
    <t>jbernard1996@gmail.com</t>
  </si>
  <si>
    <t>Bernard</t>
  </si>
  <si>
    <t>Jonathan Bernard</t>
  </si>
  <si>
    <t>4121 Wawona Street</t>
  </si>
  <si>
    <t>laurenam@bellsouth.net</t>
  </si>
  <si>
    <t>Austindm@bellsouth.net</t>
  </si>
  <si>
    <t>Austin Mitchell</t>
  </si>
  <si>
    <t>413 Huntington estates manor</t>
  </si>
  <si>
    <t>Woodtsock</t>
  </si>
  <si>
    <t>autumn.lb@hotmail.com</t>
  </si>
  <si>
    <t>Boxum</t>
  </si>
  <si>
    <t>Autumn Boxum</t>
  </si>
  <si>
    <t>16961 South Shore Lane</t>
  </si>
  <si>
    <t>thistleb@tds.net</t>
  </si>
  <si>
    <t>Benjamin Rider</t>
  </si>
  <si>
    <t>greg.forquer@gmail.com</t>
  </si>
  <si>
    <t>jesusfreekboy@gmail.com</t>
  </si>
  <si>
    <t>Forquer</t>
  </si>
  <si>
    <t>Daniel Forquer</t>
  </si>
  <si>
    <t>6633 W Prickly Pear Trail</t>
  </si>
  <si>
    <t>aplandmusic@gmail.com</t>
  </si>
  <si>
    <t>kit.apland@gmail.com</t>
  </si>
  <si>
    <t>Belmont Drive</t>
  </si>
  <si>
    <t>davedebj@windstream.net</t>
  </si>
  <si>
    <t>Braden Jones</t>
  </si>
  <si>
    <t>2104 Grace Church Road</t>
  </si>
  <si>
    <t>sandjbell@comcast.net</t>
  </si>
  <si>
    <t>Sandjbell@comcast.net</t>
  </si>
  <si>
    <t>Colson</t>
  </si>
  <si>
    <t>Colson Bell</t>
  </si>
  <si>
    <t>325 bloomfield ct</t>
  </si>
  <si>
    <t>sminman22@gmail.com</t>
  </si>
  <si>
    <t>jinman116@gmail.com</t>
  </si>
  <si>
    <t>Joshua Inman</t>
  </si>
  <si>
    <t>1312 13th Ave.</t>
  </si>
  <si>
    <t>margaretabritt@embarqmail.com</t>
  </si>
  <si>
    <t>detshanu14@gmail.com</t>
  </si>
  <si>
    <t>Britt</t>
  </si>
  <si>
    <t>Andrew Britt</t>
  </si>
  <si>
    <t>23 Waters Ave</t>
  </si>
  <si>
    <t>Okatie</t>
  </si>
  <si>
    <t>jacob@pettibonfamily.com</t>
  </si>
  <si>
    <t>Pettibon</t>
  </si>
  <si>
    <t>Jacob Pettibon</t>
  </si>
  <si>
    <t>7400 Stacy rd.</t>
  </si>
  <si>
    <t>Mckinney</t>
  </si>
  <si>
    <t>quietcreek05@yahoo.com</t>
  </si>
  <si>
    <t>a67redcharger@yahoo.com</t>
  </si>
  <si>
    <t>Melancon</t>
  </si>
  <si>
    <t>James Melancon</t>
  </si>
  <si>
    <t>13637 Bass St</t>
  </si>
  <si>
    <t>Keithville</t>
  </si>
  <si>
    <t>eliasday61298@yahoo.com</t>
  </si>
  <si>
    <t>Elias Day</t>
  </si>
  <si>
    <t>527 North 6th Ave.</t>
  </si>
  <si>
    <t>SHOW LOW</t>
  </si>
  <si>
    <t>maxhawk95@live.com</t>
  </si>
  <si>
    <t>Hawk</t>
  </si>
  <si>
    <t>Maxwell Hawk</t>
  </si>
  <si>
    <t>5530 Legion</t>
  </si>
  <si>
    <t>brewrogers@gmail.com</t>
  </si>
  <si>
    <t>asr2196@gmail.com</t>
  </si>
  <si>
    <t>Alec Rogerson</t>
  </si>
  <si>
    <t>P.O. Box 14906</t>
  </si>
  <si>
    <t>Mill Creek</t>
  </si>
  <si>
    <t>michael.r.cannone@gmail.com</t>
  </si>
  <si>
    <t>Cannone</t>
  </si>
  <si>
    <t>Michael Cannone</t>
  </si>
  <si>
    <t>3001 South Dorchester Rd</t>
  </si>
  <si>
    <t>dholmes@buffalo.edu</t>
  </si>
  <si>
    <t>jholmescca2015@gmail.com</t>
  </si>
  <si>
    <t>Joshua Holmes</t>
  </si>
  <si>
    <t>8113 Leah Ct</t>
  </si>
  <si>
    <t>chad@chadconnelly.com</t>
  </si>
  <si>
    <t>bcconnellyjr@gmail.com</t>
  </si>
  <si>
    <t>Connelly, Jr</t>
  </si>
  <si>
    <t>Bruce Connelly, Jr</t>
  </si>
  <si>
    <t>107 Connelly Drive</t>
  </si>
  <si>
    <t>Prosperity</t>
  </si>
  <si>
    <t>dubsdena@sbcglobal.net</t>
  </si>
  <si>
    <t>stephendena@sbcglobal.net</t>
  </si>
  <si>
    <t>Dena</t>
  </si>
  <si>
    <t>Stephen Dena</t>
  </si>
  <si>
    <t>1509 Trafalgar Road</t>
  </si>
  <si>
    <t>cjbloom@ius.edu</t>
  </si>
  <si>
    <t>Christine Bloom</t>
  </si>
  <si>
    <t>mariascheffel6@gmail.com</t>
  </si>
  <si>
    <t>Maria Scheffel</t>
  </si>
  <si>
    <t>pocenasek@comcast.net</t>
  </si>
  <si>
    <t>11chewyo@gmail.com</t>
  </si>
  <si>
    <t>Matthew (Chew)</t>
  </si>
  <si>
    <t>Ocenasek</t>
  </si>
  <si>
    <t>Matthew (Chew) Ocenasek</t>
  </si>
  <si>
    <t>18155 Clear Spring Lane</t>
  </si>
  <si>
    <t>stfountain@yahoo.com</t>
  </si>
  <si>
    <t>Lukas</t>
  </si>
  <si>
    <t>Lukas Fountain</t>
  </si>
  <si>
    <t>3317 van buren st</t>
  </si>
  <si>
    <t>hudsonville</t>
  </si>
  <si>
    <t>keb6977@gmail.com</t>
  </si>
  <si>
    <t>jakebbee@gmail.com</t>
  </si>
  <si>
    <t>Jakeb</t>
  </si>
  <si>
    <t>Byerley</t>
  </si>
  <si>
    <t>Jakeb Byerley</t>
  </si>
  <si>
    <t>1330 Community Road</t>
  </si>
  <si>
    <t>Emlenton</t>
  </si>
  <si>
    <t>flori@fidnet.com</t>
  </si>
  <si>
    <t>xiaomeiflori@yahoo.com</t>
  </si>
  <si>
    <t>Aleisha</t>
  </si>
  <si>
    <t>Flori</t>
  </si>
  <si>
    <t>Aleisha Flori</t>
  </si>
  <si>
    <t>Turkey</t>
  </si>
  <si>
    <t>Rolla</t>
  </si>
  <si>
    <t>chaelajean14@gmail.com</t>
  </si>
  <si>
    <t>Michaela Newman</t>
  </si>
  <si>
    <t>615 Shady Hallow Dr</t>
  </si>
  <si>
    <t>andrewwpaul@comcast.net</t>
  </si>
  <si>
    <t>Andrew Paul</t>
  </si>
  <si>
    <t>2060 Saint Andrews Dr.</t>
  </si>
  <si>
    <t>joe.spacecommand@yahoo.com</t>
  </si>
  <si>
    <t>Zechariah Cunningham</t>
  </si>
  <si>
    <t>1603 Soest Road</t>
  </si>
  <si>
    <t>hope@pettibonfamily.com</t>
  </si>
  <si>
    <t>Hope Pettibon</t>
  </si>
  <si>
    <t>7400 Stacy Rd.</t>
  </si>
  <si>
    <t>Mckiiney</t>
  </si>
  <si>
    <t>mimihill88@yahoo.com</t>
  </si>
  <si>
    <t>ahill488@hotmail.com</t>
  </si>
  <si>
    <t>Alexa Hill</t>
  </si>
  <si>
    <t>1451 Shady Meadow Lane</t>
  </si>
  <si>
    <t>hannahbison@yahoo.com</t>
  </si>
  <si>
    <t>Gatesman</t>
  </si>
  <si>
    <t>Hannah Gatesman</t>
  </si>
  <si>
    <t>467 Community Rd</t>
  </si>
  <si>
    <t>dcgonza0312@gmail.com</t>
  </si>
  <si>
    <t>Ssgarcia0@gmail.com</t>
  </si>
  <si>
    <t>Sadie Garcia</t>
  </si>
  <si>
    <t>104 east weeks dr.</t>
  </si>
  <si>
    <t>littletittels@yahoo.com</t>
  </si>
  <si>
    <t>jnthntttl@gmail.com</t>
  </si>
  <si>
    <t>Tittel</t>
  </si>
  <si>
    <t>Jonathan Tittel</t>
  </si>
  <si>
    <t>1211 North 11th</t>
  </si>
  <si>
    <t>thrasher124816@gmail.com</t>
  </si>
  <si>
    <t>Schweitzer</t>
  </si>
  <si>
    <t>Noah Schweitzer</t>
  </si>
  <si>
    <t>sfujan@ymail.com</t>
  </si>
  <si>
    <t>Shanda</t>
  </si>
  <si>
    <t>Shanda Fujan</t>
  </si>
  <si>
    <t>210 N Oakland Ave</t>
  </si>
  <si>
    <t>Oakland</t>
  </si>
  <si>
    <t>amberboyd65@gmail.com</t>
  </si>
  <si>
    <t>Amber Boyd</t>
  </si>
  <si>
    <t>1213 Loren Dr</t>
  </si>
  <si>
    <t>sarahwreed@yahoo.com</t>
  </si>
  <si>
    <t>reed</t>
  </si>
  <si>
    <t>sarah reed</t>
  </si>
  <si>
    <t>4577 ga hwy 159</t>
  </si>
  <si>
    <t>ashburn</t>
  </si>
  <si>
    <t>bmarlena49@yahoo.com</t>
  </si>
  <si>
    <t>kbcat123@yahoo.com</t>
  </si>
  <si>
    <t>Kathryn Brown</t>
  </si>
  <si>
    <t>4655 Caminito San Sebasti√°n</t>
  </si>
  <si>
    <t>Del Mar</t>
  </si>
  <si>
    <t>sharonelander@mac.com</t>
  </si>
  <si>
    <t>cebeastly1@gmail.com</t>
  </si>
  <si>
    <t>Calvin</t>
  </si>
  <si>
    <t>Elander</t>
  </si>
  <si>
    <t>Calvin Elander</t>
  </si>
  <si>
    <t>15091Wilderness Ridge Lane NW</t>
  </si>
  <si>
    <t>amandamichelle312@gmail.com</t>
  </si>
  <si>
    <t>Dickenson</t>
  </si>
  <si>
    <t>Amanda Dickenson</t>
  </si>
  <si>
    <t>507 Grassmeade Cove</t>
  </si>
  <si>
    <t>Cordova</t>
  </si>
  <si>
    <t>gjkohl2@gmail.com</t>
  </si>
  <si>
    <t>georgejkohl@gmail.com</t>
  </si>
  <si>
    <t>Kohl III</t>
  </si>
  <si>
    <t>George Kohl III</t>
  </si>
  <si>
    <t>630 South Green Bay Road</t>
  </si>
  <si>
    <t>saravanorden@aol.com</t>
  </si>
  <si>
    <t>Van Orden</t>
  </si>
  <si>
    <t>Daniel Van Orden</t>
  </si>
  <si>
    <t>7310 Zanzibar Lane N</t>
  </si>
  <si>
    <t>Caroline.Ritterling@gmail.com</t>
  </si>
  <si>
    <t>jared2904@gmail.com</t>
  </si>
  <si>
    <t>Ritterling</t>
  </si>
  <si>
    <t>Jared Ritterling</t>
  </si>
  <si>
    <t>24951 Everett Rd</t>
  </si>
  <si>
    <t>whittiegirl@mac.com</t>
  </si>
  <si>
    <t>1760 Old Annetta Rd</t>
  </si>
  <si>
    <t>abbarakes@gmail.com</t>
  </si>
  <si>
    <t>Rakes</t>
  </si>
  <si>
    <t>Abigail Rakes</t>
  </si>
  <si>
    <t>libbyluvsjay@yahoo.com</t>
  </si>
  <si>
    <t>Goldstein</t>
  </si>
  <si>
    <t>Jesse Goldstein</t>
  </si>
  <si>
    <t>1217 Paisano NE</t>
  </si>
  <si>
    <t>raenkro@gmail.com</t>
  </si>
  <si>
    <t>Ray Michael Benjimen</t>
  </si>
  <si>
    <t>Piluden</t>
  </si>
  <si>
    <t>Ray Michael Benjimen Piluden</t>
  </si>
  <si>
    <t>309A Piraso Road</t>
  </si>
  <si>
    <t>Pinsao Proper</t>
  </si>
  <si>
    <t>Baguio City</t>
  </si>
  <si>
    <t>fianzakimdanielle@yahoo.com</t>
  </si>
  <si>
    <t>Kim Danielle</t>
  </si>
  <si>
    <t>Fianza</t>
  </si>
  <si>
    <t>Kim Danielle Fianza</t>
  </si>
  <si>
    <t>15 B Moran Street, Gibraltar</t>
  </si>
  <si>
    <t>Baguio</t>
  </si>
  <si>
    <t>neoterikos1@gmail.com</t>
  </si>
  <si>
    <t>stonehopper13@gmail.com</t>
  </si>
  <si>
    <t>Akiva</t>
  </si>
  <si>
    <t>Akiva Cox</t>
  </si>
  <si>
    <t>29320 NW Williams Canyon Road</t>
  </si>
  <si>
    <t>nataliepeterman@yahoo.com</t>
  </si>
  <si>
    <t>Peterman</t>
  </si>
  <si>
    <t>Natalie Peterman</t>
  </si>
  <si>
    <t>5336 Kewley Lane</t>
  </si>
  <si>
    <t>Duttweiler</t>
  </si>
  <si>
    <t>Brooklyn Duttweiler</t>
  </si>
  <si>
    <t>ectorrente@yahoo.com</t>
  </si>
  <si>
    <t>Camilletorr@gmail.com</t>
  </si>
  <si>
    <t>CAMILLE ANN</t>
  </si>
  <si>
    <t>TORRENTE</t>
  </si>
  <si>
    <t>CAMILLE ANN TORRENTE</t>
  </si>
  <si>
    <t>MIRADA CIRCULO</t>
  </si>
  <si>
    <t>VALENCA</t>
  </si>
  <si>
    <t>ghd98@icloud.com</t>
  </si>
  <si>
    <t>Gagan</t>
  </si>
  <si>
    <t>Gagan Douglas</t>
  </si>
  <si>
    <t>6277 Falcon Way</t>
  </si>
  <si>
    <t>kbennett.khs@gmail.com</t>
  </si>
  <si>
    <t>Kayla Bennett</t>
  </si>
  <si>
    <t>1936 Ron McHenry Road</t>
  </si>
  <si>
    <t>jcp@acegroup.cc</t>
  </si>
  <si>
    <t>hpc@acegroup.cc</t>
  </si>
  <si>
    <t>Halie</t>
  </si>
  <si>
    <t>Papcun</t>
  </si>
  <si>
    <t>Halie Papcun</t>
  </si>
  <si>
    <t>Supply Road</t>
  </si>
  <si>
    <t>mjones@stonge.com</t>
  </si>
  <si>
    <t>Abby Jones</t>
  </si>
  <si>
    <t>775 Wind Rush Drive</t>
  </si>
  <si>
    <t>Dallastown</t>
  </si>
  <si>
    <t>amyawlarson@aol.com</t>
  </si>
  <si>
    <t>jeplarson@gmail.com</t>
  </si>
  <si>
    <t>Jacob Larson</t>
  </si>
  <si>
    <t>603 West Sumner Avenue</t>
  </si>
  <si>
    <t>detombeisempty@gmail.com</t>
  </si>
  <si>
    <t>DeTombe</t>
  </si>
  <si>
    <t>Dawson DeTombe</t>
  </si>
  <si>
    <t>501 Juniper Place</t>
  </si>
  <si>
    <t>jds113@live.com</t>
  </si>
  <si>
    <t>Jennifer Sands</t>
  </si>
  <si>
    <t>4776 Aqua Verde Ct.</t>
  </si>
  <si>
    <t>Camarillo</t>
  </si>
  <si>
    <t>peggy.summit@orenczak.com</t>
  </si>
  <si>
    <t>amanda.summit@orenczak.com</t>
  </si>
  <si>
    <t>Amanda Orenczak</t>
  </si>
  <si>
    <t>2552 Meadow Ln</t>
  </si>
  <si>
    <t>lizmarie3441@gmail.com</t>
  </si>
  <si>
    <t>Mortensen</t>
  </si>
  <si>
    <t>Elizabeth Mortensen</t>
  </si>
  <si>
    <t>3441 Wolverine Dr.</t>
  </si>
  <si>
    <t>kingplace@comcast.net</t>
  </si>
  <si>
    <t>Noah King</t>
  </si>
  <si>
    <t>8364 Meadow Lane</t>
  </si>
  <si>
    <t>Lynden</t>
  </si>
  <si>
    <t>schwarz3@roadrunner.com</t>
  </si>
  <si>
    <t>25sethgrenwillo@gmail.com</t>
  </si>
  <si>
    <t>Conrad Schwarz</t>
  </si>
  <si>
    <t>3344 Taurus Lane</t>
  </si>
  <si>
    <t>jkcooper96@gmail.com</t>
  </si>
  <si>
    <t>Jordan Cooper</t>
  </si>
  <si>
    <t>504 Mountain Shadow Lane</t>
  </si>
  <si>
    <t>Maryville</t>
  </si>
  <si>
    <t>ellenhross@bellsouth.net</t>
  </si>
  <si>
    <t>ross.ryan0@gmail.com;</t>
  </si>
  <si>
    <t>William Ross</t>
  </si>
  <si>
    <t>305 Payne Place</t>
  </si>
  <si>
    <t>beza.girma@gmail.com</t>
  </si>
  <si>
    <t>Noah Elias</t>
  </si>
  <si>
    <t>2592 carnot court</t>
  </si>
  <si>
    <t>duluth</t>
  </si>
  <si>
    <t>agfam6@att.net</t>
  </si>
  <si>
    <t>kslaughter17@secondbaptistschool.org</t>
  </si>
  <si>
    <t>Slaughter</t>
  </si>
  <si>
    <t>Kyle Slaughter</t>
  </si>
  <si>
    <t>2615 Beauchamp St</t>
  </si>
  <si>
    <t>carrieandglenn@gmail.com</t>
  </si>
  <si>
    <t>hazard@gmail.com</t>
  </si>
  <si>
    <t>Jaydyn</t>
  </si>
  <si>
    <t>Jaydyn Burns</t>
  </si>
  <si>
    <t>216 Brown Street</t>
  </si>
  <si>
    <t>breanna3796@charter.net</t>
  </si>
  <si>
    <t>Breanna Tate</t>
  </si>
  <si>
    <t>950 South Ridge Trail</t>
  </si>
  <si>
    <t>HopeMarieRogerson@gmail.com</t>
  </si>
  <si>
    <t>Hope Rogerson</t>
  </si>
  <si>
    <t>1316 131st SE</t>
  </si>
  <si>
    <t>jdeaton1855@gamil.com</t>
  </si>
  <si>
    <t>indeaton@gmail.com</t>
  </si>
  <si>
    <t>nathan</t>
  </si>
  <si>
    <t>deaton</t>
  </si>
  <si>
    <t>nathan deaton</t>
  </si>
  <si>
    <t>307 east marion ave</t>
  </si>
  <si>
    <t>crystal springs</t>
  </si>
  <si>
    <t>enorwood123@gmail.com</t>
  </si>
  <si>
    <t>jonanorwood@gmail.com</t>
  </si>
  <si>
    <t>Norwood</t>
  </si>
  <si>
    <t>Jonathan Norwood</t>
  </si>
  <si>
    <t>2141 Firethorn Glen</t>
  </si>
  <si>
    <t>leighhale100@att.net_configioDeactivated</t>
  </si>
  <si>
    <t>faithhale@verizon.net</t>
  </si>
  <si>
    <t>Hale</t>
  </si>
  <si>
    <t>Faith Hale</t>
  </si>
  <si>
    <t>9829 Makiposa</t>
  </si>
  <si>
    <t>sonyabags@gmail.com</t>
  </si>
  <si>
    <t>jimbloomer@gmail.com</t>
  </si>
  <si>
    <t>Bloomer</t>
  </si>
  <si>
    <t>Victoria Bloomer</t>
  </si>
  <si>
    <t>529 Adair st</t>
  </si>
  <si>
    <t>sbell@jdrf.org</t>
  </si>
  <si>
    <t>Darius</t>
  </si>
  <si>
    <t>Darius Bell</t>
  </si>
  <si>
    <t>15 Liberty St</t>
  </si>
  <si>
    <t>Bloomfield</t>
  </si>
  <si>
    <t>dmaje123@gmail.com</t>
  </si>
  <si>
    <t>tajhineanicole@gmail.com</t>
  </si>
  <si>
    <t>Tajhinea</t>
  </si>
  <si>
    <t>Tajhinea Peterson</t>
  </si>
  <si>
    <t>7 Bergen Court 2c</t>
  </si>
  <si>
    <t>Bayonne</t>
  </si>
  <si>
    <t>dvdetweiler@gmail.com</t>
  </si>
  <si>
    <t>dmdetweiler77@gmail.com</t>
  </si>
  <si>
    <t>Detweiler</t>
  </si>
  <si>
    <t>David Detweiler</t>
  </si>
  <si>
    <t>3717 Chancery Place</t>
  </si>
  <si>
    <t>carlinstyree@gmail.com</t>
  </si>
  <si>
    <t>Carlins</t>
  </si>
  <si>
    <t>Tyree Carlins</t>
  </si>
  <si>
    <t>122 Kilmer street</t>
  </si>
  <si>
    <t>connieholton@gmail.com</t>
  </si>
  <si>
    <t>Kiernan</t>
  </si>
  <si>
    <t>Holton</t>
  </si>
  <si>
    <t>Kiernan Holton</t>
  </si>
  <si>
    <t>4309 Cadiz Dr</t>
  </si>
  <si>
    <t>laurenscriv16@gmail.com</t>
  </si>
  <si>
    <t>Scrivner</t>
  </si>
  <si>
    <t>Lauren Scrivner</t>
  </si>
  <si>
    <t>18330 North 79th Avenue</t>
  </si>
  <si>
    <t>Apartment 2151</t>
  </si>
  <si>
    <t>bonniedoc99@Yahoo.com</t>
  </si>
  <si>
    <t>enna7771@gmail.com</t>
  </si>
  <si>
    <t>Aviles</t>
  </si>
  <si>
    <t>Daniela Aviles</t>
  </si>
  <si>
    <t>3645 Lake Aspen Dr E</t>
  </si>
  <si>
    <t>gretna</t>
  </si>
  <si>
    <t>Caleyellen@gmail.com</t>
  </si>
  <si>
    <t>House</t>
  </si>
  <si>
    <t>Caley House</t>
  </si>
  <si>
    <t>216 brown street</t>
  </si>
  <si>
    <t>asiaashwill@gmail.com</t>
  </si>
  <si>
    <t>Mikowai</t>
  </si>
  <si>
    <t>Ashwill</t>
  </si>
  <si>
    <t>Mikowai Ashwill</t>
  </si>
  <si>
    <t>11306 MICHIGAN DR</t>
  </si>
  <si>
    <t>SPRING GROVE</t>
  </si>
  <si>
    <t>Caleyellen</t>
  </si>
  <si>
    <t>Caleyellen House</t>
  </si>
  <si>
    <t>216 Brown ST</t>
  </si>
  <si>
    <t>julietsmoeller@gmail.com</t>
  </si>
  <si>
    <t>Juliet</t>
  </si>
  <si>
    <t>Moeller</t>
  </si>
  <si>
    <t>Juliet Moeller</t>
  </si>
  <si>
    <t>211 Woodstone Drive</t>
  </si>
  <si>
    <t>jptenney1@gmail.com</t>
  </si>
  <si>
    <t>Tenney</t>
  </si>
  <si>
    <t>Brandon Tenney</t>
  </si>
  <si>
    <t>207 Faith Acres Drive</t>
  </si>
  <si>
    <t>Buckhannon</t>
  </si>
  <si>
    <t>hannah.vancuren@aol.com</t>
  </si>
  <si>
    <t>hannah.vancurn@aol.com</t>
  </si>
  <si>
    <t>Van Curen</t>
  </si>
  <si>
    <t>Hannah Van Curen</t>
  </si>
  <si>
    <t>49 Fox Croft rd</t>
  </si>
  <si>
    <t>Rome</t>
  </si>
  <si>
    <t>thelans@mail.nmc.edu</t>
  </si>
  <si>
    <t>Thelander</t>
  </si>
  <si>
    <t>Sarah Thelander</t>
  </si>
  <si>
    <t>7111 Tobeco Creek Dr</t>
  </si>
  <si>
    <t>julhope1@gmail.com</t>
  </si>
  <si>
    <t>Julie Tenney</t>
  </si>
  <si>
    <t>207 faith acres drive</t>
  </si>
  <si>
    <t>buckhannon</t>
  </si>
  <si>
    <t>drjimhall@gmail.com</t>
  </si>
  <si>
    <t>Brennan Hall</t>
  </si>
  <si>
    <t>12645 Prescott Ave.</t>
  </si>
  <si>
    <t>Tustin</t>
  </si>
  <si>
    <t>hfischer1013@gmail.com</t>
  </si>
  <si>
    <t>kfischer1013@gmail.com</t>
  </si>
  <si>
    <t>Kyle Fischer</t>
  </si>
  <si>
    <t>31 Tingkat Lembah Permai 2</t>
  </si>
  <si>
    <t>Sbranch463@yahoo.com</t>
  </si>
  <si>
    <t>Rebekah499@yahoo.com</t>
  </si>
  <si>
    <t>Katherine Branch</t>
  </si>
  <si>
    <t>181 Cherryfield Lane</t>
  </si>
  <si>
    <t>potto@bellsouth.net</t>
  </si>
  <si>
    <t>abotto@att.net</t>
  </si>
  <si>
    <t>Abigale</t>
  </si>
  <si>
    <t>Abigale Otto</t>
  </si>
  <si>
    <t>322 Conaway Rd</t>
  </si>
  <si>
    <t>Bloomingdale</t>
  </si>
  <si>
    <t>dixon@theyonans.com</t>
  </si>
  <si>
    <t>Matthew Yonan</t>
  </si>
  <si>
    <t>7919 S. Cook Way</t>
  </si>
  <si>
    <t>tuckerj124@att.net</t>
  </si>
  <si>
    <t>Tucker Slaughter</t>
  </si>
  <si>
    <t>gvf@molalla.net</t>
  </si>
  <si>
    <t>Justtin</t>
  </si>
  <si>
    <t>Muilenburg</t>
  </si>
  <si>
    <t>Justtin Muilenburg</t>
  </si>
  <si>
    <t>13501 S. Maple Grove Rd.</t>
  </si>
  <si>
    <t>Molalla</t>
  </si>
  <si>
    <t>james@sytecglobal.com</t>
  </si>
  <si>
    <t>JordanBastin1@gmail.com</t>
  </si>
  <si>
    <t>Bastin</t>
  </si>
  <si>
    <t>Jordan Bastin</t>
  </si>
  <si>
    <t>22244 summit hill dr</t>
  </si>
  <si>
    <t>ediemheipel@gmail.com</t>
  </si>
  <si>
    <t>Edie</t>
  </si>
  <si>
    <t>Heipel</t>
  </si>
  <si>
    <t>Edie Heipel</t>
  </si>
  <si>
    <t>suanne.harmon@gmail.com</t>
  </si>
  <si>
    <t>21stcirclek@gmail.com</t>
  </si>
  <si>
    <t>Kierstin</t>
  </si>
  <si>
    <t>Kierstin Harmon</t>
  </si>
  <si>
    <t>2032 N Nelson Ave</t>
  </si>
  <si>
    <t>shayla_burkhead5@yahoo.com</t>
  </si>
  <si>
    <t>Shayla</t>
  </si>
  <si>
    <t>Burkhead</t>
  </si>
  <si>
    <t>Shayla Burkhead</t>
  </si>
  <si>
    <t>15500 E. Geronimo Dr.</t>
  </si>
  <si>
    <t>Cuba</t>
  </si>
  <si>
    <t>jeannibmail@gmail.com</t>
  </si>
  <si>
    <t>savyjk@hotmail.com</t>
  </si>
  <si>
    <t>Kyne</t>
  </si>
  <si>
    <t>Savannah Kyne</t>
  </si>
  <si>
    <t>PO Box 101</t>
  </si>
  <si>
    <t>Eagle Point</t>
  </si>
  <si>
    <t>Emma Prins</t>
  </si>
  <si>
    <t>Nasekos@icloud.com</t>
  </si>
  <si>
    <t>Harrison Nasekos</t>
  </si>
  <si>
    <t>606 Meadowbrook Rd</t>
  </si>
  <si>
    <t>chanellebole@gmail.com</t>
  </si>
  <si>
    <t>Chanellebole@gmail.com</t>
  </si>
  <si>
    <t>Bole</t>
  </si>
  <si>
    <t>Victoria Bole</t>
  </si>
  <si>
    <t>3205 Muirfield Dr</t>
  </si>
  <si>
    <t>allisings@cox.net</t>
  </si>
  <si>
    <t>hazelnut4god@cox.net</t>
  </si>
  <si>
    <t>Cozette</t>
  </si>
  <si>
    <t>Zuehlsdorff</t>
  </si>
  <si>
    <t>Cozette Zuehlsdorff</t>
  </si>
  <si>
    <t>24331 via santa clara</t>
  </si>
  <si>
    <t>mission viejo</t>
  </si>
  <si>
    <t>elaineokuda66@yahoo.com</t>
  </si>
  <si>
    <t>ELAINEOKUDA66@YAHOO.COM</t>
  </si>
  <si>
    <t>AARON HIDEO</t>
  </si>
  <si>
    <t>OKUDA</t>
  </si>
  <si>
    <t>AARON HIDEO OKUDA</t>
  </si>
  <si>
    <t>4770 E. BALTIMORE AVE.</t>
  </si>
  <si>
    <t>rhollar@atmc.net</t>
  </si>
  <si>
    <t>khollar13@gmail.com</t>
  </si>
  <si>
    <t>Hollar</t>
  </si>
  <si>
    <t>Kelly Hollar</t>
  </si>
  <si>
    <t>3 Canyon Creek Ct.</t>
  </si>
  <si>
    <t>Calabash</t>
  </si>
  <si>
    <t>Jeanniebmail@gmail.com</t>
  </si>
  <si>
    <t>jeanniebmail@gmail.com</t>
  </si>
  <si>
    <t>Joshua Bruce</t>
  </si>
  <si>
    <t>87223 McTimmons Lane</t>
  </si>
  <si>
    <t>Bandon</t>
  </si>
  <si>
    <t>steve@dshattorneys.com</t>
  </si>
  <si>
    <t>homeworkdudeo@gmail.com</t>
  </si>
  <si>
    <t>Sellers</t>
  </si>
  <si>
    <t>Jackson Sellers</t>
  </si>
  <si>
    <t>2418 Blarney Drive</t>
  </si>
  <si>
    <t>carlawleake@gmail.com</t>
  </si>
  <si>
    <t>abbyrleake@gmail.com</t>
  </si>
  <si>
    <t>Leake</t>
  </si>
  <si>
    <t>Abigail Leake</t>
  </si>
  <si>
    <t>515 Soft Shadow Ln</t>
  </si>
  <si>
    <t>Debary</t>
  </si>
  <si>
    <t>erin.kieffer@gmail.com</t>
  </si>
  <si>
    <t>rachelestrada2@gmail.com</t>
  </si>
  <si>
    <t>Rachel Estrada</t>
  </si>
  <si>
    <t>8035 Calle Fanita</t>
  </si>
  <si>
    <t>genesismaxim@gmail.com</t>
  </si>
  <si>
    <t>Maxim</t>
  </si>
  <si>
    <t>Genesis Maxim</t>
  </si>
  <si>
    <t>148 West Apache Way</t>
  </si>
  <si>
    <t>Cochise</t>
  </si>
  <si>
    <t>aspecht@otpco.com</t>
  </si>
  <si>
    <t>sdspecht13@ole.augie.edu</t>
  </si>
  <si>
    <t>Specht</t>
  </si>
  <si>
    <t>Samantha Specht</t>
  </si>
  <si>
    <t>26416 28th Ave S</t>
  </si>
  <si>
    <t>mommy2ktda@aol.com</t>
  </si>
  <si>
    <t>bomoney31899@gmail.com</t>
  </si>
  <si>
    <t>Daniel Bailey</t>
  </si>
  <si>
    <t>701 Starlite Way</t>
  </si>
  <si>
    <t>Debra Jones</t>
  </si>
  <si>
    <t>his.instrument96@yahoo.com</t>
  </si>
  <si>
    <t>De Leeuw</t>
  </si>
  <si>
    <t>Laura De Leeuw</t>
  </si>
  <si>
    <t>6927 Ransom Street</t>
  </si>
  <si>
    <t>deletekey7810@gmail.com</t>
  </si>
  <si>
    <t>deletekey8710@gmail.com</t>
  </si>
  <si>
    <t>Christina Cain</t>
  </si>
  <si>
    <t>8465 Youker Road</t>
  </si>
  <si>
    <t>Grawn</t>
  </si>
  <si>
    <t>editor@greeleygazette.com_configioDeactivated</t>
  </si>
  <si>
    <t>Kelsey Reese</t>
  </si>
  <si>
    <t>21491 WCR 64</t>
  </si>
  <si>
    <t>zyreyes92@gmail.com</t>
  </si>
  <si>
    <t>Zuleima</t>
  </si>
  <si>
    <t>Zuleima Reyes</t>
  </si>
  <si>
    <t>2352 university ave apt 4n</t>
  </si>
  <si>
    <t>javalady@cox.net</t>
  </si>
  <si>
    <t>nightwalker741@gmail.com</t>
  </si>
  <si>
    <t>Garrett Diamond</t>
  </si>
  <si>
    <t>10044 Hummingbird Blvd</t>
  </si>
  <si>
    <t>Pensacola</t>
  </si>
  <si>
    <t>gjsandlin@lighttube.net</t>
  </si>
  <si>
    <t>oliviasandlin@gmail.com</t>
  </si>
  <si>
    <t>Sandlin</t>
  </si>
  <si>
    <t>Olivia Sandlin</t>
  </si>
  <si>
    <t>112 Thomaswood Chase</t>
  </si>
  <si>
    <t>pattesonfamily@yahoo.com</t>
  </si>
  <si>
    <t>beaupatt@gmail.com</t>
  </si>
  <si>
    <t>Beau</t>
  </si>
  <si>
    <t>Patteson</t>
  </si>
  <si>
    <t>Beau Patteson</t>
  </si>
  <si>
    <t>732 Province Rd</t>
  </si>
  <si>
    <t>Strafford</t>
  </si>
  <si>
    <t>btyler2858@aol.com</t>
  </si>
  <si>
    <t>clbtyler14@gmail.com</t>
  </si>
  <si>
    <t>Caleb Tyler</t>
  </si>
  <si>
    <t>3145 E Duran Avenue</t>
  </si>
  <si>
    <t>esandras@att.net</t>
  </si>
  <si>
    <t>cartersandras@hotmail.com</t>
  </si>
  <si>
    <t>Sandras</t>
  </si>
  <si>
    <t>Carter Sandras</t>
  </si>
  <si>
    <t>32 Karen Lee Lane</t>
  </si>
  <si>
    <t>shelbyweisshahn@gmail.com</t>
  </si>
  <si>
    <t>shelbyweisshahn@gmai.com</t>
  </si>
  <si>
    <t>Weisshahn</t>
  </si>
  <si>
    <t>Shelby Weisshahn</t>
  </si>
  <si>
    <t>1775 Foxworthy Ave</t>
  </si>
  <si>
    <t>coeckh@gmail.com</t>
  </si>
  <si>
    <t>dannaheckhardt@gmail.com</t>
  </si>
  <si>
    <t>Dannah</t>
  </si>
  <si>
    <t>Eckhardt</t>
  </si>
  <si>
    <t>Dannah Eckhardt</t>
  </si>
  <si>
    <t>6550 Umber Circle</t>
  </si>
  <si>
    <t>christopher@maxmre.com</t>
  </si>
  <si>
    <t>oliviadarlene1999@gmail.com</t>
  </si>
  <si>
    <t>Olivia Rodriguez</t>
  </si>
  <si>
    <t>6648 puerta de lomas</t>
  </si>
  <si>
    <t>Fallbrook</t>
  </si>
  <si>
    <t>jeremiedetellis@gmail.com</t>
  </si>
  <si>
    <t>Jeremie</t>
  </si>
  <si>
    <t>Jeremie DeTellis</t>
  </si>
  <si>
    <t>Ihernandez15@mcstangs.org</t>
  </si>
  <si>
    <t>ihernandez15@mcstangs.org</t>
  </si>
  <si>
    <t>4608 Ric drive</t>
  </si>
  <si>
    <t>michaeljho@me.com</t>
  </si>
  <si>
    <t>hannahgho@me.com</t>
  </si>
  <si>
    <t>Ho</t>
  </si>
  <si>
    <t>Hannah Ho</t>
  </si>
  <si>
    <t>2603 Browns Gap Tpke</t>
  </si>
  <si>
    <t>garywilhelm@fuse.net</t>
  </si>
  <si>
    <t>cobby@fuse.net</t>
  </si>
  <si>
    <t>Jacob Wilhelm</t>
  </si>
  <si>
    <t>lynnellalbrecht@gmail.com</t>
  </si>
  <si>
    <t>caledfire@gmail.com</t>
  </si>
  <si>
    <t>Albrecht</t>
  </si>
  <si>
    <t>Caleb Albrecht</t>
  </si>
  <si>
    <t>19 Willow Oak Lane</t>
  </si>
  <si>
    <t>sstrickland409@gmail.com</t>
  </si>
  <si>
    <t>astrickland14@gmail.com</t>
  </si>
  <si>
    <t>Ansley</t>
  </si>
  <si>
    <t>Strickland</t>
  </si>
  <si>
    <t>Ansley Strickland</t>
  </si>
  <si>
    <t>8951 Jackson Road</t>
  </si>
  <si>
    <t>ariedh7@gmail.com</t>
  </si>
  <si>
    <t>Arie De Hoop</t>
  </si>
  <si>
    <t>crousgl@auburn.edu</t>
  </si>
  <si>
    <t>markycrouse@gmail.com</t>
  </si>
  <si>
    <t>Charles Crouse</t>
  </si>
  <si>
    <t>1057 W Choke Cherry Dr</t>
  </si>
  <si>
    <t>dteo827@gmail.com</t>
  </si>
  <si>
    <t>Teo</t>
  </si>
  <si>
    <t>David Teo</t>
  </si>
  <si>
    <t>370 Florida Terrece</t>
  </si>
  <si>
    <t>Montreat</t>
  </si>
  <si>
    <t>danielelanette@gmail.com</t>
  </si>
  <si>
    <t>dmiller@cocc.edu</t>
  </si>
  <si>
    <t>Derek Miller</t>
  </si>
  <si>
    <t>20904 Crystal Ct</t>
  </si>
  <si>
    <t>Bend</t>
  </si>
  <si>
    <t>p.o.box@sbcglobal.net</t>
  </si>
  <si>
    <t>aaronlee.jcfree@gmail.com</t>
  </si>
  <si>
    <t>Aaron Lee</t>
  </si>
  <si>
    <t>13684 Landfair</t>
  </si>
  <si>
    <t>kcbeasinger@yahoo.com</t>
  </si>
  <si>
    <t>tybeasinger@yahoo.com</t>
  </si>
  <si>
    <t>Beasinger</t>
  </si>
  <si>
    <t>Tyler Beasinger</t>
  </si>
  <si>
    <t>6225 Viewmont St</t>
  </si>
  <si>
    <t>Tacoma</t>
  </si>
  <si>
    <t>estellechiu@gmail.com</t>
  </si>
  <si>
    <t>Estelle</t>
  </si>
  <si>
    <t>Chiu</t>
  </si>
  <si>
    <t>Estelle Chiu</t>
  </si>
  <si>
    <t>8/1, Room B</t>
  </si>
  <si>
    <t>4 Blackfriars Road</t>
  </si>
  <si>
    <t>GLASGOW</t>
  </si>
  <si>
    <t>Lanarkshire</t>
  </si>
  <si>
    <t>G1 1QL</t>
  </si>
  <si>
    <t>United Kingdom</t>
  </si>
  <si>
    <t>cynkabon@gmail.com</t>
  </si>
  <si>
    <t>everett.tu@gmail.com</t>
  </si>
  <si>
    <t>Tu</t>
  </si>
  <si>
    <t>Everett Tu</t>
  </si>
  <si>
    <t>10756 Spur Point Court</t>
  </si>
  <si>
    <t>wiisha.locker@gmail.com</t>
  </si>
  <si>
    <t>Locker</t>
  </si>
  <si>
    <t>Alicia Locker</t>
  </si>
  <si>
    <t>7505 Los Lunas Dr NE</t>
  </si>
  <si>
    <t>16jawood@wcsu.net</t>
  </si>
  <si>
    <t>Jackson Wood</t>
  </si>
  <si>
    <t>jan_nellie@live.ca</t>
  </si>
  <si>
    <t>hout98@live.ca</t>
  </si>
  <si>
    <t>Vander Hout</t>
  </si>
  <si>
    <t>Daniel Vander Hout</t>
  </si>
  <si>
    <t>1261 Concession 4 W</t>
  </si>
  <si>
    <t>Waterdown</t>
  </si>
  <si>
    <t>chesney.woodchek@me.com</t>
  </si>
  <si>
    <t>Chesney</t>
  </si>
  <si>
    <t>Woochek</t>
  </si>
  <si>
    <t>Chesney Woochek</t>
  </si>
  <si>
    <t>4903 Shady Knolls Drive</t>
  </si>
  <si>
    <t>gcannone@mail.lipscomb.edu</t>
  </si>
  <si>
    <t>Gabriella Cannone</t>
  </si>
  <si>
    <t>3001 South Dorchester Road</t>
  </si>
  <si>
    <t>scolbyjohnson@gmail.com</t>
  </si>
  <si>
    <t>16542 Timber Meadow Drive</t>
  </si>
  <si>
    <t>JenniferBell61@gmail.com</t>
  </si>
  <si>
    <t>tpmorph@gmail.com</t>
  </si>
  <si>
    <t>Matthew Bell</t>
  </si>
  <si>
    <t>137 Park Ave</t>
  </si>
  <si>
    <t>Camdenton</t>
  </si>
  <si>
    <t>Summit.org@CCSWarriors.com</t>
  </si>
  <si>
    <t>Antonio4th@CCSWarriors.com</t>
  </si>
  <si>
    <t>Antonio</t>
  </si>
  <si>
    <t>Antonio Alvarado</t>
  </si>
  <si>
    <t>242 Red Hawk Rdg</t>
  </si>
  <si>
    <t>s.biel@tcac-usa.com</t>
  </si>
  <si>
    <t>wemarble@gmail.com</t>
  </si>
  <si>
    <t>Marble</t>
  </si>
  <si>
    <t>William Marble</t>
  </si>
  <si>
    <t>1120 El Camino Real</t>
  </si>
  <si>
    <t>Apt 257</t>
  </si>
  <si>
    <t>boschna13@gmail.com</t>
  </si>
  <si>
    <t>Christopher Roberts</t>
  </si>
  <si>
    <t>2cor1.12@gmail.com</t>
  </si>
  <si>
    <t>Joshua Lee</t>
  </si>
  <si>
    <t>13684 Landfair Road</t>
  </si>
  <si>
    <t>curtw@wiktel.com</t>
  </si>
  <si>
    <t>michaelmatthew1997@hotmail.com</t>
  </si>
  <si>
    <t>Michael Weber</t>
  </si>
  <si>
    <t>28410 SW Willow Creek Dr</t>
  </si>
  <si>
    <t>Wilsonville</t>
  </si>
  <si>
    <t>cindyabaird@gmail.com</t>
  </si>
  <si>
    <t>zacharymbaird@gmail.com</t>
  </si>
  <si>
    <t>Baird</t>
  </si>
  <si>
    <t>Zachary Baird</t>
  </si>
  <si>
    <t>506 Mt. Airy Rd</t>
  </si>
  <si>
    <t>karendriggers@mac.com</t>
  </si>
  <si>
    <t>grace.e.driggers@gmail.com</t>
  </si>
  <si>
    <t>Driggers</t>
  </si>
  <si>
    <t>Grace Driggers</t>
  </si>
  <si>
    <t>156 Harrells Millpond Road</t>
  </si>
  <si>
    <t>Lamar</t>
  </si>
  <si>
    <t>Taylor Overholt</t>
  </si>
  <si>
    <t>9853 Forestglen Drive</t>
  </si>
  <si>
    <t>casjlane@gmail.com</t>
  </si>
  <si>
    <t>Jacksoncan2@gmail.com</t>
  </si>
  <si>
    <t>Jackson Lane</t>
  </si>
  <si>
    <t>144 West Lynne Drive</t>
  </si>
  <si>
    <t>stouts9@yahoo.com</t>
  </si>
  <si>
    <t>mattstout.1997@gmail.com</t>
  </si>
  <si>
    <t>Matthew Stout</t>
  </si>
  <si>
    <t>4920 Ash Hill Road</t>
  </si>
  <si>
    <t>clarksix@comcast.net</t>
  </si>
  <si>
    <t>evenstar96@rocketmail.com</t>
  </si>
  <si>
    <t>Mary Clark</t>
  </si>
  <si>
    <t>419 fields landing drive</t>
  </si>
  <si>
    <t>cep77354@gmail.com</t>
  </si>
  <si>
    <t>featherwolfy@gmail.com</t>
  </si>
  <si>
    <t>Genevieve</t>
  </si>
  <si>
    <t>Genevieve Phillips</t>
  </si>
  <si>
    <t>5114 Ranch Hill Dr</t>
  </si>
  <si>
    <t>Pv3_9@hotmail.com</t>
  </si>
  <si>
    <t>tidusspearmaster@yahoo.com</t>
  </si>
  <si>
    <t>Darek</t>
  </si>
  <si>
    <t>Darek Boyd</t>
  </si>
  <si>
    <t>3814 51st</t>
  </si>
  <si>
    <t>kim.c.flemmer@gmail.com</t>
  </si>
  <si>
    <t>Samflemmer@gmail.com</t>
  </si>
  <si>
    <t>Flemmer</t>
  </si>
  <si>
    <t>Samuel Flemmer</t>
  </si>
  <si>
    <t>3650 Fairlawn Drive</t>
  </si>
  <si>
    <t>srs91997@comcast.net</t>
  </si>
  <si>
    <t>Steinman</t>
  </si>
  <si>
    <t>Shelby Steinman</t>
  </si>
  <si>
    <t>2612 Michael Wayne Rd</t>
  </si>
  <si>
    <t>Rosharon</t>
  </si>
  <si>
    <t>outwiththehorses@comcast.net</t>
  </si>
  <si>
    <t>kkgo-girl@comcast.net</t>
  </si>
  <si>
    <t>Katelyn Drake</t>
  </si>
  <si>
    <t>7232 Woodard Bay Rd NE</t>
  </si>
  <si>
    <t>Olympia</t>
  </si>
  <si>
    <t>vivianlarsonlol@gmail.com</t>
  </si>
  <si>
    <t>Vivian</t>
  </si>
  <si>
    <t>Vivian Larson</t>
  </si>
  <si>
    <t>2363 Abbeyglen Circle</t>
  </si>
  <si>
    <t>cmoorer@kent.edu</t>
  </si>
  <si>
    <t>Cashay</t>
  </si>
  <si>
    <t>Moorer</t>
  </si>
  <si>
    <t>Cashay Moorer</t>
  </si>
  <si>
    <t>3282 Copley Road</t>
  </si>
  <si>
    <t>Copley</t>
  </si>
  <si>
    <t>jdn_taylor@yahoo.com</t>
  </si>
  <si>
    <t>Noah Taylor</t>
  </si>
  <si>
    <t>PO Box 494</t>
  </si>
  <si>
    <t>ratherbeinparis@gmail.com_configioDeactivated</t>
  </si>
  <si>
    <t>babybooster@mac.com</t>
  </si>
  <si>
    <t>Katherine Larson</t>
  </si>
  <si>
    <t>2058 Paradise Ridge CT</t>
  </si>
  <si>
    <t>sjensen8@bak.rr.com</t>
  </si>
  <si>
    <t>Sean Jensen</t>
  </si>
  <si>
    <t>10813 Petty Ct.</t>
  </si>
  <si>
    <t>academy@mcconnellfmly.com</t>
  </si>
  <si>
    <t>clarycem16@yahoo.com</t>
  </si>
  <si>
    <t>Claryce</t>
  </si>
  <si>
    <t>Claryce McConnell</t>
  </si>
  <si>
    <t>2229 Prince John Dr.</t>
  </si>
  <si>
    <t>jackson.kimberlyhanks@gmail.com</t>
  </si>
  <si>
    <t>Pacific</t>
  </si>
  <si>
    <t>Pacific Jackson</t>
  </si>
  <si>
    <t>PO Box 765</t>
  </si>
  <si>
    <t>Pass Christian</t>
  </si>
  <si>
    <t>gchamby@gmail.com</t>
  </si>
  <si>
    <t>thelightbearer99@gmail.com</t>
  </si>
  <si>
    <t>Chandler Hamby</t>
  </si>
  <si>
    <t>9357 U.s Hwy 321 South</t>
  </si>
  <si>
    <t>snederhoff@gmail.com</t>
  </si>
  <si>
    <t>esn4ballet@gmail.com</t>
  </si>
  <si>
    <t>Nederhoff</t>
  </si>
  <si>
    <t>Elizabeth Nederhoff</t>
  </si>
  <si>
    <t>1160 Snider Lane</t>
  </si>
  <si>
    <t>jenpickering23@gmail.com</t>
  </si>
  <si>
    <t>idancemodern@gmail.com</t>
  </si>
  <si>
    <t>Rachel Pickering</t>
  </si>
  <si>
    <t>1609 15th Ave S</t>
  </si>
  <si>
    <t>kaitlynshayes@icloud.com</t>
  </si>
  <si>
    <t>Kaitlynshayes@icloud.com</t>
  </si>
  <si>
    <t>Kaitlyn Hayes</t>
  </si>
  <si>
    <t>803 Lafayette ln</t>
  </si>
  <si>
    <t>bryceg77@gmail.com</t>
  </si>
  <si>
    <t>Greenwald</t>
  </si>
  <si>
    <t>Bryce Greenwald</t>
  </si>
  <si>
    <t>1190 Ithaca Dr.</t>
  </si>
  <si>
    <t>shawn@rocksolidcutstone.com</t>
  </si>
  <si>
    <t>hwittmer3@gmail.com</t>
  </si>
  <si>
    <t>Wittmer</t>
  </si>
  <si>
    <t>Hunter Wittmer</t>
  </si>
  <si>
    <t>1117 Tommy Street NW</t>
  </si>
  <si>
    <t>jfleischer2@liberty.edu</t>
  </si>
  <si>
    <t>Fleischer</t>
  </si>
  <si>
    <t>Julianne Fleischer</t>
  </si>
  <si>
    <t>426 East Blue Jay Way</t>
  </si>
  <si>
    <t>360sunday@gmail.com</t>
  </si>
  <si>
    <t>Pascua</t>
  </si>
  <si>
    <t>Jillian Pascua</t>
  </si>
  <si>
    <t>853 west I street</t>
  </si>
  <si>
    <t>heatherdoss6@gmail.com</t>
  </si>
  <si>
    <t>Doss</t>
  </si>
  <si>
    <t>Taylor Doss</t>
  </si>
  <si>
    <t>PO Box 51483</t>
  </si>
  <si>
    <t>robinsca@students.pittschools.org</t>
  </si>
  <si>
    <t>Candace Robinson</t>
  </si>
  <si>
    <t>1287 Autumn Lakes Dr</t>
  </si>
  <si>
    <t>Grimesland</t>
  </si>
  <si>
    <t>amykshaffer@hotmail.com</t>
  </si>
  <si>
    <t>emmyshaffer101@gmail.com</t>
  </si>
  <si>
    <t>Emmaline</t>
  </si>
  <si>
    <t>Shaffer</t>
  </si>
  <si>
    <t>Emmaline Shaffer</t>
  </si>
  <si>
    <t>20 Veronica</t>
  </si>
  <si>
    <t>East Falmouth</t>
  </si>
  <si>
    <t>celiechapman09@gmail.com</t>
  </si>
  <si>
    <t>bobspy8654@gmail.com</t>
  </si>
  <si>
    <t>Chapman</t>
  </si>
  <si>
    <t>Richard Chapman</t>
  </si>
  <si>
    <t>3936 Yester Place</t>
  </si>
  <si>
    <t>ccrayne@southcrest.org</t>
  </si>
  <si>
    <t>Crayne</t>
  </si>
  <si>
    <t>Mallory Crayne</t>
  </si>
  <si>
    <t>5513 83rd St</t>
  </si>
  <si>
    <t>smithschool@bellsouth.net</t>
  </si>
  <si>
    <t>hotshot705@gmail.com</t>
  </si>
  <si>
    <t>Michael Smith</t>
  </si>
  <si>
    <t>44 Southland Ave.</t>
  </si>
  <si>
    <t>rtorok@student.yosemite.edu</t>
  </si>
  <si>
    <t>Rayanna</t>
  </si>
  <si>
    <t>Torok</t>
  </si>
  <si>
    <t>Rayanna Torok</t>
  </si>
  <si>
    <t>17745 Wards Ferry Rd.</t>
  </si>
  <si>
    <t>Sonora</t>
  </si>
  <si>
    <t>ilovesports97@hotmail.com</t>
  </si>
  <si>
    <t>Christopher Adams</t>
  </si>
  <si>
    <t>168 Derbyshire Dr</t>
  </si>
  <si>
    <t>atime2laff@comcast.net</t>
  </si>
  <si>
    <t>Dzialo</t>
  </si>
  <si>
    <t>Gabriel Dzialo</t>
  </si>
  <si>
    <t>3900 Thornberry Way</t>
  </si>
  <si>
    <t>Lake in the Hills</t>
  </si>
  <si>
    <t>pbdeakins@msn.com</t>
  </si>
  <si>
    <t>gdeakins14@gmail.com</t>
  </si>
  <si>
    <t>grant</t>
  </si>
  <si>
    <t>deakins</t>
  </si>
  <si>
    <t>grant deakins</t>
  </si>
  <si>
    <t>6498 garland lane n</t>
  </si>
  <si>
    <t>maple grove</t>
  </si>
  <si>
    <t>beckyremy@hotmail.com</t>
  </si>
  <si>
    <t>jamieremy97@gmail.com</t>
  </si>
  <si>
    <t>Remy</t>
  </si>
  <si>
    <t>Jamie Remy</t>
  </si>
  <si>
    <t>728 Boxwood Road</t>
  </si>
  <si>
    <t>Woodland</t>
  </si>
  <si>
    <t>honeyham97@yahoo.com</t>
  </si>
  <si>
    <t>Paul Clark</t>
  </si>
  <si>
    <t>419 Fields Landing Dr</t>
  </si>
  <si>
    <t>barryfcas@gmail.com</t>
  </si>
  <si>
    <t>laurenblodge@gmail.com</t>
  </si>
  <si>
    <t>Blodgett</t>
  </si>
  <si>
    <t>Lauren Blodgett</t>
  </si>
  <si>
    <t>1072 Acorn Way</t>
  </si>
  <si>
    <t>wvasquez926@gmail.com</t>
  </si>
  <si>
    <t>Vasquez</t>
  </si>
  <si>
    <t>William Vasquez</t>
  </si>
  <si>
    <t>1215 Lawrence Way</t>
  </si>
  <si>
    <t>Oxnard</t>
  </si>
  <si>
    <t>clradogal@aol.com</t>
  </si>
  <si>
    <t>danielsimonson01@gmail.com</t>
  </si>
  <si>
    <t>Simonson</t>
  </si>
  <si>
    <t>Daniel Simonson</t>
  </si>
  <si>
    <t>18129 82nd Place North</t>
  </si>
  <si>
    <t>ecastro1945@hotmail.com</t>
  </si>
  <si>
    <t>mjuan805@gmail.com</t>
  </si>
  <si>
    <t>Juan Martinez</t>
  </si>
  <si>
    <t>531 Erica pl</t>
  </si>
  <si>
    <t>issachernandez123@gmail.com</t>
  </si>
  <si>
    <t>3471 Balboa St</t>
  </si>
  <si>
    <t>KEONEPUGA@GMAIL.COM</t>
  </si>
  <si>
    <t>KEONE</t>
  </si>
  <si>
    <t>PUGA</t>
  </si>
  <si>
    <t>KEONE PUGA</t>
  </si>
  <si>
    <t>724 NOCUMI STREET</t>
  </si>
  <si>
    <t>VENTURA</t>
  </si>
  <si>
    <t>mandyd317@yahoo.com</t>
  </si>
  <si>
    <t>michaeld925@gmail.com</t>
  </si>
  <si>
    <t>Dube'</t>
  </si>
  <si>
    <t>Michael Dube'</t>
  </si>
  <si>
    <t>101 Goebel Dr.</t>
  </si>
  <si>
    <t>cande.o@icloud.com</t>
  </si>
  <si>
    <t>Cande.o@icloud.com</t>
  </si>
  <si>
    <t>Oliman</t>
  </si>
  <si>
    <t>Maria Oliman</t>
  </si>
  <si>
    <t>33262 Via Mayor</t>
  </si>
  <si>
    <t>jennifer10@reachone.com</t>
  </si>
  <si>
    <t>sarah_michelle_dean@yahoo.com</t>
  </si>
  <si>
    <t>Sarah Dean</t>
  </si>
  <si>
    <t>2702 Tropicana Drive</t>
  </si>
  <si>
    <t>joel@allpeopleschurch.org</t>
  </si>
  <si>
    <t>ibrahimcuriel@yahoo.com</t>
  </si>
  <si>
    <t>Ibrahim</t>
  </si>
  <si>
    <t>Curiel</t>
  </si>
  <si>
    <t>Ibrahim Curiel</t>
  </si>
  <si>
    <t>2652 Violet Street</t>
  </si>
  <si>
    <t>emmychristine98@gmail.com</t>
  </si>
  <si>
    <t>Hedges</t>
  </si>
  <si>
    <t>Emily Hedges</t>
  </si>
  <si>
    <t>4857 Rezmar</t>
  </si>
  <si>
    <t>La MesA</t>
  </si>
  <si>
    <t>dgreenhouse@sbcglobal.net</t>
  </si>
  <si>
    <t>joshua.greenhouse@sbcglobal.net</t>
  </si>
  <si>
    <t>Greenhouse</t>
  </si>
  <si>
    <t>joshua Greenhouse</t>
  </si>
  <si>
    <t>7724 firebrand dr</t>
  </si>
  <si>
    <t>dublin</t>
  </si>
  <si>
    <t>ellenhyi@sbcglobal.net</t>
  </si>
  <si>
    <t>yilauren@grinnell.edu</t>
  </si>
  <si>
    <t>Lauren Yi</t>
  </si>
  <si>
    <t>26032 Laguna Ct</t>
  </si>
  <si>
    <t>rachaelmadd@gmail.com</t>
  </si>
  <si>
    <t>Brasovan</t>
  </si>
  <si>
    <t>Rachael Brasovan</t>
  </si>
  <si>
    <t>1831 Chapman Ct.</t>
  </si>
  <si>
    <t>carolynsung@hotmail.com</t>
  </si>
  <si>
    <t>Djsung11@gmail.com</t>
  </si>
  <si>
    <t>Dominique</t>
  </si>
  <si>
    <t>Sung</t>
  </si>
  <si>
    <t>Dominique Sung</t>
  </si>
  <si>
    <t>4326 Manning Lane</t>
  </si>
  <si>
    <t>vaniaramirez.tday@gmail.com</t>
  </si>
  <si>
    <t>Vania</t>
  </si>
  <si>
    <t>Vania Ramirez</t>
  </si>
  <si>
    <t>7420 Lawrence Pl</t>
  </si>
  <si>
    <t>midekirk@gmail.com</t>
  </si>
  <si>
    <t>kirkpeter4@gmail.com</t>
  </si>
  <si>
    <t>Peter Kirk</t>
  </si>
  <si>
    <t>529 Culpepper Road</t>
  </si>
  <si>
    <t>8211 Hidden Glory</t>
  </si>
  <si>
    <t>Damon</t>
  </si>
  <si>
    <t>krhholcombe@gmail.com</t>
  </si>
  <si>
    <t>Holcombe</t>
  </si>
  <si>
    <t>Katie Holcombe</t>
  </si>
  <si>
    <t>117 Valhalla Dr.</t>
  </si>
  <si>
    <t>keith.plum@cox.net</t>
  </si>
  <si>
    <t>Keith.plum@cox.net</t>
  </si>
  <si>
    <t>Plum</t>
  </si>
  <si>
    <t>Harrison Plum</t>
  </si>
  <si>
    <t>2917 cedar oak drive</t>
  </si>
  <si>
    <t>jesikaplum16@gmail.com</t>
  </si>
  <si>
    <t>Jesika</t>
  </si>
  <si>
    <t>Jesika Plum</t>
  </si>
  <si>
    <t>2917 Cedar Oak Dr</t>
  </si>
  <si>
    <t>tman1095@icloud.com</t>
  </si>
  <si>
    <t>tanner</t>
  </si>
  <si>
    <t>tanner Hicks</t>
  </si>
  <si>
    <t>3050 fairbanks ferry rd</t>
  </si>
  <si>
    <t>Havana</t>
  </si>
  <si>
    <t>helencannon@charter.net</t>
  </si>
  <si>
    <t>Helen Cannon</t>
  </si>
  <si>
    <t>1020 Lockertsville Rd</t>
  </si>
  <si>
    <t>Ashland City</t>
  </si>
  <si>
    <t>sdunn688@gmail.com</t>
  </si>
  <si>
    <t>sdunn688@Gmail.com</t>
  </si>
  <si>
    <t>julia</t>
  </si>
  <si>
    <t>dunn</t>
  </si>
  <si>
    <t>julia dunn</t>
  </si>
  <si>
    <t>whippoorwill drive</t>
  </si>
  <si>
    <t>signal mountain</t>
  </si>
  <si>
    <t>desireeraleigh@gmail.com</t>
  </si>
  <si>
    <t>antoniocrosalez@gmail.com</t>
  </si>
  <si>
    <t>Rosalez</t>
  </si>
  <si>
    <t>Antonio Rosalez</t>
  </si>
  <si>
    <t>11668 N Jerome Rd</t>
  </si>
  <si>
    <t>Saint Louis</t>
  </si>
  <si>
    <t>lydiastraub@gmail.com</t>
  </si>
  <si>
    <t>lydiastraub99@gmail.com</t>
  </si>
  <si>
    <t>Lydia Straub</t>
  </si>
  <si>
    <t>8310 SE middle way</t>
  </si>
  <si>
    <t>dannyjay99@gmail.com</t>
  </si>
  <si>
    <t>Dannyjay99@gmail.com</t>
  </si>
  <si>
    <t>Bracker</t>
  </si>
  <si>
    <t>Daniel Bracker</t>
  </si>
  <si>
    <t>2518 Sawyer Mountain Road</t>
  </si>
  <si>
    <t>4blessings@gmail.com</t>
  </si>
  <si>
    <t>michaelrice514@gmail.com</t>
  </si>
  <si>
    <t>Michael Rice</t>
  </si>
  <si>
    <t>3012 Sportsman Lake Road</t>
  </si>
  <si>
    <t>maddiemsullivan@gmail.com</t>
  </si>
  <si>
    <t>Madelyn Sullivan</t>
  </si>
  <si>
    <t>wayne.susan.winters@gmail.com</t>
  </si>
  <si>
    <t>lauramrwinters@gmail.com</t>
  </si>
  <si>
    <t>Winters</t>
  </si>
  <si>
    <t>Laura Winters</t>
  </si>
  <si>
    <t>408010 Grey Road 4</t>
  </si>
  <si>
    <t>N0C 1J0</t>
  </si>
  <si>
    <t>vintagecurlygirl@gmail.com</t>
  </si>
  <si>
    <t>Koehn</t>
  </si>
  <si>
    <t>Hannah Koehn</t>
  </si>
  <si>
    <t>8256 County Road 88</t>
  </si>
  <si>
    <t>voprod@gmail.com</t>
  </si>
  <si>
    <t>aaronchamblee96@gmail.com</t>
  </si>
  <si>
    <t>Chamblee</t>
  </si>
  <si>
    <t>Aaron Chamblee</t>
  </si>
  <si>
    <t>4860 Longview Rd.</t>
  </si>
  <si>
    <t>Belden</t>
  </si>
  <si>
    <t>lissashanna@gmail.com</t>
  </si>
  <si>
    <t>Alyssa Hall</t>
  </si>
  <si>
    <t>1430 Bainbridge Road</t>
  </si>
  <si>
    <t>Stedman</t>
  </si>
  <si>
    <t>troyhippensteel@gmail.com</t>
  </si>
  <si>
    <t>Hippensteel</t>
  </si>
  <si>
    <t>Troy Hippensteel</t>
  </si>
  <si>
    <t>2993 Surrey Ridge Rd</t>
  </si>
  <si>
    <t>joejoe129@gmail.com</t>
  </si>
  <si>
    <t>Joelle</t>
  </si>
  <si>
    <t>Joelle Hippensteel</t>
  </si>
  <si>
    <t>heidi.cweaver@gmail.com</t>
  </si>
  <si>
    <t>jitterbugmia@gmail.com</t>
  </si>
  <si>
    <t>Emilia</t>
  </si>
  <si>
    <t>Cardenas</t>
  </si>
  <si>
    <t>Emilia Cardenas</t>
  </si>
  <si>
    <t>818 Glenview Street</t>
  </si>
  <si>
    <t>None</t>
  </si>
  <si>
    <t>Philadelphia</t>
  </si>
  <si>
    <t>nkoranda@runestone.net</t>
  </si>
  <si>
    <t>Koranda</t>
  </si>
  <si>
    <t>Avery Koranda</t>
  </si>
  <si>
    <t>7737 County Road 4W SW</t>
  </si>
  <si>
    <t>jfcurtis1@juno.com</t>
  </si>
  <si>
    <t>bencurtis141@gmail.com</t>
  </si>
  <si>
    <t>Benjamin Curtis</t>
  </si>
  <si>
    <t>121 N. Skole Gate</t>
  </si>
  <si>
    <t>april.matovich@gmail.com</t>
  </si>
  <si>
    <t>Matovich</t>
  </si>
  <si>
    <t>April Matovich</t>
  </si>
  <si>
    <t>555 Harness Road</t>
  </si>
  <si>
    <t>davidthorman1996@gmail.com</t>
  </si>
  <si>
    <t>thorman</t>
  </si>
  <si>
    <t>david thorman</t>
  </si>
  <si>
    <t>1395 slate mine RD</t>
  </si>
  <si>
    <t>fairmount</t>
  </si>
  <si>
    <t>itsamagoo@hotmail.com</t>
  </si>
  <si>
    <t>Elizabeth Blodgett</t>
  </si>
  <si>
    <t>113 Littrell Drive</t>
  </si>
  <si>
    <t>Medford</t>
  </si>
  <si>
    <t>gm.matovich@gmail.com</t>
  </si>
  <si>
    <t>Greg Matovich</t>
  </si>
  <si>
    <t>555 Harness Rd.</t>
  </si>
  <si>
    <t>philipbrucejohnson@gmail.com</t>
  </si>
  <si>
    <t>matthew32johnson@gmail.com</t>
  </si>
  <si>
    <t>Matt</t>
  </si>
  <si>
    <t>Matt Johnson</t>
  </si>
  <si>
    <t>156 Prudacus Drive</t>
  </si>
  <si>
    <t>bohan95@gmail.com</t>
  </si>
  <si>
    <t>josiahpj@gmail.com</t>
  </si>
  <si>
    <t>Josiah Johnson</t>
  </si>
  <si>
    <t>estherglows@gmail.com</t>
  </si>
  <si>
    <t>Esther Johnson</t>
  </si>
  <si>
    <t>Cjcurry1019@gmail.com</t>
  </si>
  <si>
    <t>Cody Curry</t>
  </si>
  <si>
    <t>2025 West Ashley Drive</t>
  </si>
  <si>
    <t>amcannone@mail.lipscomb.edu</t>
  </si>
  <si>
    <t>Adrianna Cannone</t>
  </si>
  <si>
    <t>3001 S. Dorchester Rd</t>
  </si>
  <si>
    <t>pdencker@sos-retailservices.com</t>
  </si>
  <si>
    <t>denckerl@xavier.edu</t>
  </si>
  <si>
    <t>Dencker</t>
  </si>
  <si>
    <t>Lauren Dencker</t>
  </si>
  <si>
    <t>1101 Sunset Rd</t>
  </si>
  <si>
    <t>kbarnce@aol.com</t>
  </si>
  <si>
    <t>lukearnce@gmail.com</t>
  </si>
  <si>
    <t>Arnce</t>
  </si>
  <si>
    <t>Luke Arnce</t>
  </si>
  <si>
    <t>1225 west fountain road</t>
  </si>
  <si>
    <t>Joplin</t>
  </si>
  <si>
    <t>carenhoehner@gmail.com</t>
  </si>
  <si>
    <t>calebhoehner@gmail.com</t>
  </si>
  <si>
    <t>Hoehner</t>
  </si>
  <si>
    <t>Caleb Hoehner</t>
  </si>
  <si>
    <t>9100 Dellwood Dr.</t>
  </si>
  <si>
    <t>rdoreenr@gmail.com</t>
  </si>
  <si>
    <t>Rachel Reysen</t>
  </si>
  <si>
    <t>tskfor1@gmx.com</t>
  </si>
  <si>
    <t>thomas321@gmx.us</t>
  </si>
  <si>
    <t>Thomas Randolph</t>
  </si>
  <si>
    <t>178 County Road 414</t>
  </si>
  <si>
    <t>jamesware96@gmail.com</t>
  </si>
  <si>
    <t>Ware</t>
  </si>
  <si>
    <t>James Ware</t>
  </si>
  <si>
    <t>1331 W. Teton Dr.</t>
  </si>
  <si>
    <t>gymnastmady97@gmail.com</t>
  </si>
  <si>
    <t>Madalyn</t>
  </si>
  <si>
    <t>Hinson</t>
  </si>
  <si>
    <t>Madalyn Hinson</t>
  </si>
  <si>
    <t>2129 Cliffpark</t>
  </si>
  <si>
    <t>erinlang18@yahoo.com</t>
  </si>
  <si>
    <t>Erin Lang</t>
  </si>
  <si>
    <t>10110 19th ave se</t>
  </si>
  <si>
    <t>apt. b203</t>
  </si>
  <si>
    <t>naburns1@gmail.com</t>
  </si>
  <si>
    <t>Nathan Burns</t>
  </si>
  <si>
    <t>1826 Hidden Lake Trail</t>
  </si>
  <si>
    <t>Ortonville</t>
  </si>
  <si>
    <t>lily.scott@pop.belmont.edu</t>
  </si>
  <si>
    <t>Lily Scott</t>
  </si>
  <si>
    <t>ellierosietoes@gmail.com</t>
  </si>
  <si>
    <t>Ellie White</t>
  </si>
  <si>
    <t>cncingalls@outlook.com</t>
  </si>
  <si>
    <t>isabelle.ingalls@outlook.com</t>
  </si>
  <si>
    <t>Ingalls</t>
  </si>
  <si>
    <t>Isabelle Ingalls</t>
  </si>
  <si>
    <t>5373 Scenic Bluff Trail</t>
  </si>
  <si>
    <t>Christoval</t>
  </si>
  <si>
    <t>benjamin.ingalls@outlook.com</t>
  </si>
  <si>
    <t>Benjamin Ingalls</t>
  </si>
  <si>
    <t>christian.brazell@icloud.com</t>
  </si>
  <si>
    <t>Christian Brazell</t>
  </si>
  <si>
    <t>19587 Meadowood lane</t>
  </si>
  <si>
    <t>katienicholl2000@gmail.com</t>
  </si>
  <si>
    <t>Nicholl</t>
  </si>
  <si>
    <t>Kathryn Nicholl</t>
  </si>
  <si>
    <t>Kate Nicholl</t>
  </si>
  <si>
    <t>55 Quartz View Ln</t>
  </si>
  <si>
    <t>Ohio City</t>
  </si>
  <si>
    <t>sdykstra@coldwellbankertg.com</t>
  </si>
  <si>
    <t>refreshedbychrist173@gmail.com</t>
  </si>
  <si>
    <t>Dykstra</t>
  </si>
  <si>
    <t>Lindsey Dykstra</t>
  </si>
  <si>
    <t>4260 E Venture Circle</t>
  </si>
  <si>
    <t>ellynegg1@gmail.com</t>
  </si>
  <si>
    <t>Ellynegg1@gmail.com</t>
  </si>
  <si>
    <t>Gluntz</t>
  </si>
  <si>
    <t>Ellyn Gluntz</t>
  </si>
  <si>
    <t>6715 ridgeway drive</t>
  </si>
  <si>
    <t>carol.dunn@cad-1.com</t>
  </si>
  <si>
    <t>aitlincay24@yahoo.com</t>
  </si>
  <si>
    <t>Caitlin Dunn</t>
  </si>
  <si>
    <t>PO Box 1213</t>
  </si>
  <si>
    <t>La Veta</t>
  </si>
  <si>
    <t>hicks@rrcnet.org</t>
  </si>
  <si>
    <t>Mariah Hicks</t>
  </si>
  <si>
    <t>19465 Co Hwy #8</t>
  </si>
  <si>
    <t>kab023@email.uark.edu</t>
  </si>
  <si>
    <t>Kyle Brown</t>
  </si>
  <si>
    <t>lisamamd@mac.com</t>
  </si>
  <si>
    <t>souzonma@yahoo.com</t>
  </si>
  <si>
    <t>Ma</t>
  </si>
  <si>
    <t>Kaila Ma</t>
  </si>
  <si>
    <t>2312 Stranahan Dr.</t>
  </si>
  <si>
    <t>Alhambra</t>
  </si>
  <si>
    <t>96ewall@gmail.com</t>
  </si>
  <si>
    <t>Elizabeth Wallace</t>
  </si>
  <si>
    <t>3901 Villanova</t>
  </si>
  <si>
    <t>septemberruby3@gmail.com</t>
  </si>
  <si>
    <t>Moriah Hudson</t>
  </si>
  <si>
    <t>24 Church Rances Blvd NW</t>
  </si>
  <si>
    <t>pastorpaulcook@outlook.com</t>
  </si>
  <si>
    <t>wzlsbrzlnut@gmail.com</t>
  </si>
  <si>
    <t>Anne-Louise</t>
  </si>
  <si>
    <t>Anne-Louise Cook</t>
  </si>
  <si>
    <t>3833 Boyer Rd.</t>
  </si>
  <si>
    <t>erca.nicole@gmail.com</t>
  </si>
  <si>
    <t>Erica Park</t>
  </si>
  <si>
    <t>hessfamilyemail@juno.com</t>
  </si>
  <si>
    <t>Gisela</t>
  </si>
  <si>
    <t>Gisela Hess</t>
  </si>
  <si>
    <t>2814 Dawn Drive</t>
  </si>
  <si>
    <t>texansfan2336@gmail.com</t>
  </si>
  <si>
    <t>Ethan Smith</t>
  </si>
  <si>
    <t>220 pitman</t>
  </si>
  <si>
    <t>nacogdoches</t>
  </si>
  <si>
    <t>estoos7@yahoo.com</t>
  </si>
  <si>
    <t>Estoos7@Yahoo.com</t>
  </si>
  <si>
    <t>Keaton</t>
  </si>
  <si>
    <t>Estoos</t>
  </si>
  <si>
    <t>Keaton Estoos</t>
  </si>
  <si>
    <t>P.O. Box 217</t>
  </si>
  <si>
    <t>clotaylor95@gmail.com</t>
  </si>
  <si>
    <t>Chloe Taylor</t>
  </si>
  <si>
    <t>phyllisku@bellsouth.net</t>
  </si>
  <si>
    <t>jahloveandprotect@gmail.com</t>
  </si>
  <si>
    <t>Zachary Underwood</t>
  </si>
  <si>
    <t>233 Towns Walk Dr</t>
  </si>
  <si>
    <t>constance2096@gmail.com</t>
  </si>
  <si>
    <t>Constance2096@gmail.com</t>
  </si>
  <si>
    <t>Constance</t>
  </si>
  <si>
    <t>Constance Taylor</t>
  </si>
  <si>
    <t>3590 fm 312</t>
  </si>
  <si>
    <t>tiffany.barden@gmail.com</t>
  </si>
  <si>
    <t>Tiffany Barden</t>
  </si>
  <si>
    <t>pattonak@gmail.com</t>
  </si>
  <si>
    <t>beffiepatt@gmail.com</t>
  </si>
  <si>
    <t>Patton</t>
  </si>
  <si>
    <t>Bethany Patton</t>
  </si>
  <si>
    <t>3170 Ariana Dr.</t>
  </si>
  <si>
    <t>Oakton</t>
  </si>
  <si>
    <t>skpp44@gmail.com</t>
  </si>
  <si>
    <t>Sabrina Patton</t>
  </si>
  <si>
    <t>3170 Ariana Drive</t>
  </si>
  <si>
    <t>peter.kuetzing@gmail.com</t>
  </si>
  <si>
    <t>Kuetzing</t>
  </si>
  <si>
    <t>Peter Kuetzing</t>
  </si>
  <si>
    <t>2302 Amity St</t>
  </si>
  <si>
    <t>jrheyerly97@gmail.com</t>
  </si>
  <si>
    <t>Heyerly</t>
  </si>
  <si>
    <t>Jeremy Heyerly</t>
  </si>
  <si>
    <t>4105 Albon Rd.</t>
  </si>
  <si>
    <t>Monclova</t>
  </si>
  <si>
    <t>krisanderson67@hotmail.com</t>
  </si>
  <si>
    <t>brycea8@gmail.com</t>
  </si>
  <si>
    <t>Bryce Anderson</t>
  </si>
  <si>
    <t>320 Blarney Ln.</t>
  </si>
  <si>
    <t>Plainwell</t>
  </si>
  <si>
    <t>belle_369@yahoo.com</t>
  </si>
  <si>
    <t>Annabelle</t>
  </si>
  <si>
    <t>Annabelle Patton</t>
  </si>
  <si>
    <t>nathancombs@yahoo.com</t>
  </si>
  <si>
    <t>drewcombs98@gmail.com</t>
  </si>
  <si>
    <t>Drew Combs</t>
  </si>
  <si>
    <t>701 W. Summit St.</t>
  </si>
  <si>
    <t>thewalkerfam@mac.com</t>
  </si>
  <si>
    <t>Oliviawalker21@icloud.com</t>
  </si>
  <si>
    <t>Olivia Walker</t>
  </si>
  <si>
    <t>2191 Walker Ridge Rd</t>
  </si>
  <si>
    <t>Thewalkerfam@mac.com</t>
  </si>
  <si>
    <t>Mallory Walker</t>
  </si>
  <si>
    <t>godsavetheplough@gmail.com</t>
  </si>
  <si>
    <t>Levi Walker</t>
  </si>
  <si>
    <t>105 E. Nicholson St</t>
  </si>
  <si>
    <t>jsbowman@bellsouth.net</t>
  </si>
  <si>
    <t>Alexandra Bowman</t>
  </si>
  <si>
    <t>251 Moon Lane</t>
  </si>
  <si>
    <t>Spring City</t>
  </si>
  <si>
    <t>joburnett96@gmail.com</t>
  </si>
  <si>
    <t>Joanna Burnett</t>
  </si>
  <si>
    <t>18425 Bert Dedeaux Rd</t>
  </si>
  <si>
    <t>Saucier</t>
  </si>
  <si>
    <t>liddyanne97@gmail.com</t>
  </si>
  <si>
    <t>Elisabeth Newton</t>
  </si>
  <si>
    <t>428 Ridge Drive</t>
  </si>
  <si>
    <t>tracydedgar@gmail.com</t>
  </si>
  <si>
    <t>Alek</t>
  </si>
  <si>
    <t>Gaetto</t>
  </si>
  <si>
    <t>Alek Gaetto</t>
  </si>
  <si>
    <t>rjcrull@sbcglobal.net</t>
  </si>
  <si>
    <t>jaycew28@gmail.com</t>
  </si>
  <si>
    <t>Jayce</t>
  </si>
  <si>
    <t>Crull</t>
  </si>
  <si>
    <t>Jayce Crull</t>
  </si>
  <si>
    <t>1177 Racine St</t>
  </si>
  <si>
    <t>khristianvinca@gmail.com</t>
  </si>
  <si>
    <t>Khristian</t>
  </si>
  <si>
    <t>Khristian Vinca</t>
  </si>
  <si>
    <t>boosfam@gmail.com</t>
  </si>
  <si>
    <t>BrandonJBoos@gmail.com</t>
  </si>
  <si>
    <t>Boos</t>
  </si>
  <si>
    <t>Brandon Boos</t>
  </si>
  <si>
    <t>35348 Connecticut</t>
  </si>
  <si>
    <t>anna.struxness@gmail.com</t>
  </si>
  <si>
    <t>anna.struxness@gmail com</t>
  </si>
  <si>
    <t>Struxness</t>
  </si>
  <si>
    <t>Anna Struxness</t>
  </si>
  <si>
    <t>1632 College Parkway</t>
  </si>
  <si>
    <t>Gulf Breeze</t>
  </si>
  <si>
    <t>alan_pinney@yahoo.com</t>
  </si>
  <si>
    <t>caleb.pinney@yahoo.com</t>
  </si>
  <si>
    <t>Caleb Pinney</t>
  </si>
  <si>
    <t>520 N Maple St</t>
  </si>
  <si>
    <t>Orleans</t>
  </si>
  <si>
    <t>susanamann@hotmail.com_configioDeactivated</t>
  </si>
  <si>
    <t>rachelamann@hotmail.com</t>
  </si>
  <si>
    <t>Amann</t>
  </si>
  <si>
    <t>Rachel Amann</t>
  </si>
  <si>
    <t>9895 Lincoln Avenue</t>
  </si>
  <si>
    <t>gaertnerdawn@gmail.com</t>
  </si>
  <si>
    <t>reed.gaertner@gmail.com</t>
  </si>
  <si>
    <t>Gaertner</t>
  </si>
  <si>
    <t>Brennan Gaertner</t>
  </si>
  <si>
    <t>9444 Northgate Drive</t>
  </si>
  <si>
    <t>Allison Park</t>
  </si>
  <si>
    <t>ccsmco@croyle.net_configioDeactivated</t>
  </si>
  <si>
    <t>rcsmco@croyle.net</t>
  </si>
  <si>
    <t>Croyle</t>
  </si>
  <si>
    <t>Rachel Croyle</t>
  </si>
  <si>
    <t>PO BOx 279</t>
  </si>
  <si>
    <t>Granger</t>
  </si>
  <si>
    <t>mhcraftsmen@bellsouth.net</t>
  </si>
  <si>
    <t>9646 Lehigh Ave.</t>
  </si>
  <si>
    <t>thomsons4@comcast.net</t>
  </si>
  <si>
    <t>Lydia Thomson</t>
  </si>
  <si>
    <t>13661 Travois Trl</t>
  </si>
  <si>
    <t>rsbellas@yahoo.com</t>
  </si>
  <si>
    <t>orangeturtle00@hotmail.com</t>
  </si>
  <si>
    <t>Keegan Webb</t>
  </si>
  <si>
    <t>7003 Red Oak ct.</t>
  </si>
  <si>
    <t>mkbnksab@tctwest.net</t>
  </si>
  <si>
    <t>trbohlman@tctwest.net</t>
  </si>
  <si>
    <t>Bohlman</t>
  </si>
  <si>
    <t>Tristan Bohlman</t>
  </si>
  <si>
    <t>1083 Mountain Vista Road</t>
  </si>
  <si>
    <t>bohlmantk@gmail.com</t>
  </si>
  <si>
    <t>Taryn Bohlman</t>
  </si>
  <si>
    <t>Kendyl</t>
  </si>
  <si>
    <t>Kendyl Bohlman</t>
  </si>
  <si>
    <t>Jonathan Olson</t>
  </si>
  <si>
    <t>322 West 4th Street</t>
  </si>
  <si>
    <t>landon1301@yahoo.com</t>
  </si>
  <si>
    <t>Dick</t>
  </si>
  <si>
    <t>Landon Dick</t>
  </si>
  <si>
    <t>14255 American PL SE</t>
  </si>
  <si>
    <t>paulcade@yahoo.com</t>
  </si>
  <si>
    <t>jarod.stout@yahoo.com</t>
  </si>
  <si>
    <t>Jared Stout</t>
  </si>
  <si>
    <t>161 Grigg Road</t>
  </si>
  <si>
    <t>fandmlee@gmail.com</t>
  </si>
  <si>
    <t>mzl65c@gmail.com</t>
  </si>
  <si>
    <t>Michael Lee</t>
  </si>
  <si>
    <t>PO Box 2409</t>
  </si>
  <si>
    <t>lindsaycrist14@hotmail.com</t>
  </si>
  <si>
    <t>Lindsay Crist</t>
  </si>
  <si>
    <t>119 E. Center Street</t>
  </si>
  <si>
    <t>tianaban18@gmail.com</t>
  </si>
  <si>
    <t>Tiana</t>
  </si>
  <si>
    <t>Tiana Banuelos</t>
  </si>
  <si>
    <t>1401 Expedition Court</t>
  </si>
  <si>
    <t>amkough@gmail.com</t>
  </si>
  <si>
    <t>Aaron Kough</t>
  </si>
  <si>
    <t>coop4osu11@gmail.com</t>
  </si>
  <si>
    <t>Cooper Parsons</t>
  </si>
  <si>
    <t>3435 E 86th St</t>
  </si>
  <si>
    <t>kastack1@gmail.com</t>
  </si>
  <si>
    <t>Kayley Stack</t>
  </si>
  <si>
    <t>gbuzan@sbcglobal.net</t>
  </si>
  <si>
    <t>Buzan</t>
  </si>
  <si>
    <t>Nathan Buzan</t>
  </si>
  <si>
    <t>1109 Tower Circle</t>
  </si>
  <si>
    <t>wtracy@elon.edu</t>
  </si>
  <si>
    <t>shelliehintz@cox.net</t>
  </si>
  <si>
    <t>dck.ruby@gmail.com</t>
  </si>
  <si>
    <t>Brittney Hintz</t>
  </si>
  <si>
    <t>15964 W. Elm St.</t>
  </si>
  <si>
    <t>fmmmlee@gmail.com</t>
  </si>
  <si>
    <t>Matthew Lee</t>
  </si>
  <si>
    <t>lyddiebugks@gmail.com</t>
  </si>
  <si>
    <t>Brundage</t>
  </si>
  <si>
    <t>Lydia Brundage</t>
  </si>
  <si>
    <t>295 2350 Ave.</t>
  </si>
  <si>
    <t>Solomon</t>
  </si>
  <si>
    <t>rosalinaks@gmail.com</t>
  </si>
  <si>
    <t>Emma Brundage</t>
  </si>
  <si>
    <t>jotterks@gmail.com</t>
  </si>
  <si>
    <t>Jonathan Brundage</t>
  </si>
  <si>
    <t>laura.kotka@craftbrew.com</t>
  </si>
  <si>
    <t>BKOTKA@YAHOO.COM</t>
  </si>
  <si>
    <t>BRIANNA</t>
  </si>
  <si>
    <t>KOTKA</t>
  </si>
  <si>
    <t>BRIANNA KOTKA</t>
  </si>
  <si>
    <t>51550 MT VIEW RD</t>
  </si>
  <si>
    <t>SCAPPOOSE</t>
  </si>
  <si>
    <t>Bertron@yahoo.com</t>
  </si>
  <si>
    <t>ccbertron@gmail.com</t>
  </si>
  <si>
    <t>Bertron</t>
  </si>
  <si>
    <t>Cameron Bertron</t>
  </si>
  <si>
    <t>1901 S Brookline St</t>
  </si>
  <si>
    <t>rjehyoung@aol.com</t>
  </si>
  <si>
    <t>rjehyoung@live.com</t>
  </si>
  <si>
    <t>Ella Young</t>
  </si>
  <si>
    <t>1532 Buck Run Rd</t>
  </si>
  <si>
    <t>1999hyoung@gmail.com</t>
  </si>
  <si>
    <t>Hazel</t>
  </si>
  <si>
    <t>Hazel Young</t>
  </si>
  <si>
    <t>mattthompson@cox.net</t>
  </si>
  <si>
    <t>liamthompson@cox.net</t>
  </si>
  <si>
    <t>Liam Thompson</t>
  </si>
  <si>
    <t>blazeluver@gmail.com</t>
  </si>
  <si>
    <t>Cole Riel</t>
  </si>
  <si>
    <t>bnmoore116@gmail.com</t>
  </si>
  <si>
    <t>Bailey Moore</t>
  </si>
  <si>
    <t>1639 Quail Ridge Drive</t>
  </si>
  <si>
    <t>Gardendale</t>
  </si>
  <si>
    <t>8296lad@gmail.com</t>
  </si>
  <si>
    <t>Dodson</t>
  </si>
  <si>
    <t>Laura Dodson</t>
  </si>
  <si>
    <t>117 County Road 751</t>
  </si>
  <si>
    <t>kclark@frontiernet.net</t>
  </si>
  <si>
    <t>clarksally12@gmail.com</t>
  </si>
  <si>
    <t>Sally Clark</t>
  </si>
  <si>
    <t>mrskconrad@yahoo.com</t>
  </si>
  <si>
    <t>alanaconrad@gmail.com</t>
  </si>
  <si>
    <t>Kelly Conrad</t>
  </si>
  <si>
    <t>175 S. Amberwood St</t>
  </si>
  <si>
    <t>HallieConrad@gmail.com</t>
  </si>
  <si>
    <t>Hallie</t>
  </si>
  <si>
    <t>Hallie Conrad</t>
  </si>
  <si>
    <t>Christam98@gmail.com</t>
  </si>
  <si>
    <t>Christa Fernando</t>
  </si>
  <si>
    <t>2566 thorn creek st se</t>
  </si>
  <si>
    <t>Grand rapids</t>
  </si>
  <si>
    <t>kai.limma@gmail.com</t>
  </si>
  <si>
    <t>Kai-Li</t>
  </si>
  <si>
    <t>Cheng</t>
  </si>
  <si>
    <t>Kai-Li Cheng</t>
  </si>
  <si>
    <t>7844 Academy TR NE</t>
  </si>
  <si>
    <t>thelisters6@gmail.com</t>
  </si>
  <si>
    <t>txlistersister2@gmail.com</t>
  </si>
  <si>
    <t>Lister</t>
  </si>
  <si>
    <t>Caroline Lister</t>
  </si>
  <si>
    <t>1321 Upland Dr</t>
  </si>
  <si>
    <t>Suite 2197</t>
  </si>
  <si>
    <t>schauer.six@gmail.com</t>
  </si>
  <si>
    <t>Tigertropics@gmail.com</t>
  </si>
  <si>
    <t>Schauer</t>
  </si>
  <si>
    <t>Danielle Schauer</t>
  </si>
  <si>
    <t>38w334 Main Street</t>
  </si>
  <si>
    <t>Batavia</t>
  </si>
  <si>
    <t>reganepuckett@gmail.com</t>
  </si>
  <si>
    <t>Puckett</t>
  </si>
  <si>
    <t>Regan Puckett</t>
  </si>
  <si>
    <t>4106 Woodcutter Lane</t>
  </si>
  <si>
    <t>eslegg11@gmail.com</t>
  </si>
  <si>
    <t>Legg</t>
  </si>
  <si>
    <t>Elizabeth Legg</t>
  </si>
  <si>
    <t>1090 Green Street Circle</t>
  </si>
  <si>
    <t>Katie Bartsch</t>
  </si>
  <si>
    <t>charm.elliott@yahoo.com</t>
  </si>
  <si>
    <t>caderobert.elliott@yahoo.com</t>
  </si>
  <si>
    <t>Cade Elliott</t>
  </si>
  <si>
    <t>167 Bright Street</t>
  </si>
  <si>
    <t>Cave Springs</t>
  </si>
  <si>
    <t>scottselee@gmail.com</t>
  </si>
  <si>
    <t>gcfroglover1999@gmail.com</t>
  </si>
  <si>
    <t>Selee</t>
  </si>
  <si>
    <t>Grace Selee</t>
  </si>
  <si>
    <t>P.O. BOX 231</t>
  </si>
  <si>
    <t>arowe@twca.net</t>
  </si>
  <si>
    <t>dasanford@twca.net</t>
  </si>
  <si>
    <t>Darcy</t>
  </si>
  <si>
    <t>Darcy Sanford</t>
  </si>
  <si>
    <t>4400 College Park Dr</t>
  </si>
  <si>
    <t>#732</t>
  </si>
  <si>
    <t>jadams@twca.net</t>
  </si>
  <si>
    <t>Jacob Adams</t>
  </si>
  <si>
    <t>11206 Falcon Wing Dr.</t>
  </si>
  <si>
    <t>spears1166@bellsouth.net</t>
  </si>
  <si>
    <t>tejon.malik@yahoo.com</t>
  </si>
  <si>
    <t>Tejon</t>
  </si>
  <si>
    <t>Spears</t>
  </si>
  <si>
    <t>Tejon Spears</t>
  </si>
  <si>
    <t>501 Stone Crossing Ln</t>
  </si>
  <si>
    <t>browncolt1@yahoo.com</t>
  </si>
  <si>
    <t>Colton Brown</t>
  </si>
  <si>
    <t>annall726@hotmail.com</t>
  </si>
  <si>
    <t>Anna Luzinski</t>
  </si>
  <si>
    <t>cali_atkinson@msn.com</t>
  </si>
  <si>
    <t>taryn.atkinson98@gmail.com</t>
  </si>
  <si>
    <t>Taryn Atkinson</t>
  </si>
  <si>
    <t>3844 Kepler Drive</t>
  </si>
  <si>
    <t>amarastamatis@gmail.com</t>
  </si>
  <si>
    <t>Amara</t>
  </si>
  <si>
    <t>Stamatis</t>
  </si>
  <si>
    <t>Amara Stamatis</t>
  </si>
  <si>
    <t>202 North 5th Street</t>
  </si>
  <si>
    <t>Kallie2016@gmail.com</t>
  </si>
  <si>
    <t>Kallie</t>
  </si>
  <si>
    <t>Kallie Womble</t>
  </si>
  <si>
    <t>7112 Rowland Ave.</t>
  </si>
  <si>
    <t>nanesahill@gmail.com</t>
  </si>
  <si>
    <t>Nathanael Hill</t>
  </si>
  <si>
    <t>1101 Bridgeview Ave</t>
  </si>
  <si>
    <t>schumel@ymail.com</t>
  </si>
  <si>
    <t>Ariana Schumacher</t>
  </si>
  <si>
    <t>19683 SD Hwy 1804</t>
  </si>
  <si>
    <t>carolyn@factor360.com</t>
  </si>
  <si>
    <t>cassandra.e.ryckman@gmail.com</t>
  </si>
  <si>
    <t>Ryckman</t>
  </si>
  <si>
    <t>Cassandra Ryckman</t>
  </si>
  <si>
    <t>29108 Benelli Street</t>
  </si>
  <si>
    <t>samuel.ryckman@gmail.com</t>
  </si>
  <si>
    <t>Samuel Ryckman</t>
  </si>
  <si>
    <t>shaunahoey@msn.com</t>
  </si>
  <si>
    <t>andreaedwards1@msn.com</t>
  </si>
  <si>
    <t>Andrea Edwards</t>
  </si>
  <si>
    <t>224 Crystal Park Road</t>
  </si>
  <si>
    <t>betsybrese@hotmail.com</t>
  </si>
  <si>
    <t>ahill6767@yahoo.com</t>
  </si>
  <si>
    <t>Austin Hill</t>
  </si>
  <si>
    <t>220 Gloucester Street</t>
  </si>
  <si>
    <t>prdishon@gmail.com</t>
  </si>
  <si>
    <t>Phylicia</t>
  </si>
  <si>
    <t>Dishon</t>
  </si>
  <si>
    <t>Phylicia Dishon</t>
  </si>
  <si>
    <t>114 E. Southern Ave.</t>
  </si>
  <si>
    <t>Bucyrus</t>
  </si>
  <si>
    <t>rielchessrules@gmail.com</t>
  </si>
  <si>
    <t>Matthew Riel</t>
  </si>
  <si>
    <t>darren_hume@yahoo.com</t>
  </si>
  <si>
    <t>ehumekitty@gmail.com</t>
  </si>
  <si>
    <t>Hume</t>
  </si>
  <si>
    <t>Emily Hume</t>
  </si>
  <si>
    <t>11791 S Rock Willow Way</t>
  </si>
  <si>
    <t>kadirichardson@cedarville.edu</t>
  </si>
  <si>
    <t>Kadi</t>
  </si>
  <si>
    <t>Kadi Richardson</t>
  </si>
  <si>
    <t>10174 SW Eastridge Rd</t>
  </si>
  <si>
    <t>Pratt</t>
  </si>
  <si>
    <t>marliscarb@hotmail.com</t>
  </si>
  <si>
    <t>Marli</t>
  </si>
  <si>
    <t>Scarborough</t>
  </si>
  <si>
    <t>Marli Scarborough</t>
  </si>
  <si>
    <t>18902 SD Hwy 63</t>
  </si>
  <si>
    <t>jimm.r.miller@gmail.com</t>
  </si>
  <si>
    <t>Jimm.R.Miller@gmail.com</t>
  </si>
  <si>
    <t>James Miller</t>
  </si>
  <si>
    <t>104 Friars ct</t>
  </si>
  <si>
    <t>williamsburg</t>
  </si>
  <si>
    <t>beekmans81@gmail.com</t>
  </si>
  <si>
    <t>Malachibeekman@gmail.com</t>
  </si>
  <si>
    <t>Malachi</t>
  </si>
  <si>
    <t>Malachi Beekman</t>
  </si>
  <si>
    <t>1702 Beth Dr</t>
  </si>
  <si>
    <t>famfortune@aol.com</t>
  </si>
  <si>
    <t>dnfortune@gmail.com</t>
  </si>
  <si>
    <t>Fortune</t>
  </si>
  <si>
    <t>Dane Fortune</t>
  </si>
  <si>
    <t>9530 Red Bird Lane</t>
  </si>
  <si>
    <t>scfortune3@gmail.com</t>
  </si>
  <si>
    <t>Shawn</t>
  </si>
  <si>
    <t>Shawn Fortune</t>
  </si>
  <si>
    <t>jot2jada@gmail.com</t>
  </si>
  <si>
    <t>shayleesmith20@gmail.com</t>
  </si>
  <si>
    <t>Shaylee</t>
  </si>
  <si>
    <t>Shaylee Smith</t>
  </si>
  <si>
    <t>13010 Falcon Ridge Dr.</t>
  </si>
  <si>
    <t>SG3238@k12.sd.us</t>
  </si>
  <si>
    <t>Samantha Gortmaker</t>
  </si>
  <si>
    <t>1610 Hilltop Drive</t>
  </si>
  <si>
    <t>mrear99@comcast.net</t>
  </si>
  <si>
    <t>lucybelle5@comcast.net</t>
  </si>
  <si>
    <t>Reardon</t>
  </si>
  <si>
    <t>Isabelle Reardon</t>
  </si>
  <si>
    <t>3120 SW 23 CT</t>
  </si>
  <si>
    <t>andrealm9897@yahoo.com</t>
  </si>
  <si>
    <t>trystonrt5493@gmail.com</t>
  </si>
  <si>
    <t>Tryston</t>
  </si>
  <si>
    <t>Tryston Martin</t>
  </si>
  <si>
    <t>8512 Bender Cir NE</t>
  </si>
  <si>
    <t>Bremerton</t>
  </si>
  <si>
    <t>tcseeley@gmail.com</t>
  </si>
  <si>
    <t>laurenseeley01@icloud.com</t>
  </si>
  <si>
    <t>Seeley</t>
  </si>
  <si>
    <t>Lauren Seeley</t>
  </si>
  <si>
    <t>9235 Enclave Green LN E</t>
  </si>
  <si>
    <t>myvolker01@gmail.com</t>
  </si>
  <si>
    <t>ayvolker@gmail.com</t>
  </si>
  <si>
    <t>Volker</t>
  </si>
  <si>
    <t>Alexandra Volker</t>
  </si>
  <si>
    <t>8423 Dunnhill Lane</t>
  </si>
  <si>
    <t>Hixson</t>
  </si>
  <si>
    <t>mommateach5@outlook.com</t>
  </si>
  <si>
    <t>c1thenarrowpath@outlook.com</t>
  </si>
  <si>
    <t>East</t>
  </si>
  <si>
    <t>Caitlyn East</t>
  </si>
  <si>
    <t>Cobb RD</t>
  </si>
  <si>
    <t>c2thenarrowpath@yahoo.com</t>
  </si>
  <si>
    <t>Charleyna</t>
  </si>
  <si>
    <t>Charleyna East</t>
  </si>
  <si>
    <t>c3thenarrowpath@outlook.com</t>
  </si>
  <si>
    <t>Corey East</t>
  </si>
  <si>
    <t>306 Cobb RD</t>
  </si>
  <si>
    <t>helmkii@comcast.net</t>
  </si>
  <si>
    <t>ihfilmz@comcast.net</t>
  </si>
  <si>
    <t>Helmcke</t>
  </si>
  <si>
    <t>Ian Helmcke</t>
  </si>
  <si>
    <t>3645 Misty Meadows Drive</t>
  </si>
  <si>
    <t>ditzenberger@gmail.com</t>
  </si>
  <si>
    <t>Ditzenberger</t>
  </si>
  <si>
    <t>Rebekah Ditzenberger</t>
  </si>
  <si>
    <t>56 West Coast Crescent</t>
  </si>
  <si>
    <t>toribeasinger@yahoo.com</t>
  </si>
  <si>
    <t>Victoria Beasinger</t>
  </si>
  <si>
    <t>camerondelfs@icloud.com</t>
  </si>
  <si>
    <t>jeniralph@yahoo.com</t>
  </si>
  <si>
    <t>Leemis</t>
  </si>
  <si>
    <t>Nathan Leemis</t>
  </si>
  <si>
    <t>ben24campbell@gmail.com</t>
  </si>
  <si>
    <t>Ben Campbell</t>
  </si>
  <si>
    <t>934 Silver Lake Dr</t>
  </si>
  <si>
    <t>aluv2shop@gmail.com</t>
  </si>
  <si>
    <t>Amanda Campbell</t>
  </si>
  <si>
    <t>934 Silver Lake Drive</t>
  </si>
  <si>
    <t>schuster_am@yahoo.com</t>
  </si>
  <si>
    <t>Schuster</t>
  </si>
  <si>
    <t>Colin Schuster</t>
  </si>
  <si>
    <t>madisonkellee@yahoo.com</t>
  </si>
  <si>
    <t>Owens</t>
  </si>
  <si>
    <t>Madison Owens</t>
  </si>
  <si>
    <t>1725 Junior Williams Road</t>
  </si>
  <si>
    <t>georgiacuster@hotmail.com</t>
  </si>
  <si>
    <t>colecuster9@gmail.com</t>
  </si>
  <si>
    <t>Custer</t>
  </si>
  <si>
    <t>Cole Custer</t>
  </si>
  <si>
    <t>10201 E 93rd St N</t>
  </si>
  <si>
    <t>rtliz@live.com</t>
  </si>
  <si>
    <t>Emma Barnett</t>
  </si>
  <si>
    <t>swinkie32@hotmail.com</t>
  </si>
  <si>
    <t>Kendrah</t>
  </si>
  <si>
    <t>Wink</t>
  </si>
  <si>
    <t>Kendrah Wink</t>
  </si>
  <si>
    <t>612 230th Avenue</t>
  </si>
  <si>
    <t>Somerset</t>
  </si>
  <si>
    <t>servicepupana@gmail.com</t>
  </si>
  <si>
    <t>Christiana Ganahl</t>
  </si>
  <si>
    <t>lambert.halle@gmail.com</t>
  </si>
  <si>
    <t>Halle Lambert</t>
  </si>
  <si>
    <t>2311 S Summerbrook Pl</t>
  </si>
  <si>
    <t>ajcary95@gmail.com</t>
  </si>
  <si>
    <t>Angela</t>
  </si>
  <si>
    <t>Angela Cary</t>
  </si>
  <si>
    <t>4604 Western Hills Drive</t>
  </si>
  <si>
    <t>elizabethdonaldson98@gmail.com</t>
  </si>
  <si>
    <t>Elizabeth Donaldson</t>
  </si>
  <si>
    <t>cutiepiekitten@me.com</t>
  </si>
  <si>
    <t>Laura Kitten</t>
  </si>
  <si>
    <t>7008 59th St</t>
  </si>
  <si>
    <t>sfaithalderton@gmail.com</t>
  </si>
  <si>
    <t>Shannon Alderton</t>
  </si>
  <si>
    <t>fjeanni@gmail.com</t>
  </si>
  <si>
    <t>im4jc1@comcast.net</t>
  </si>
  <si>
    <t>Fliegel</t>
  </si>
  <si>
    <t>Tiffany Fliegel</t>
  </si>
  <si>
    <t>1435 South Haleyville Circle</t>
  </si>
  <si>
    <t>loriholifield8@gmail.com</t>
  </si>
  <si>
    <t>jonathanholifield16@gmail.com</t>
  </si>
  <si>
    <t>Jonathan Holifield</t>
  </si>
  <si>
    <t>232 West Ave S</t>
  </si>
  <si>
    <t>McComb</t>
  </si>
  <si>
    <t>stephenholifield13@gmail.com</t>
  </si>
  <si>
    <t>Stephen Holifield</t>
  </si>
  <si>
    <t>232 west ave S</t>
  </si>
  <si>
    <t>mccomb</t>
  </si>
  <si>
    <t>Jeffrey.holifield@yahoo.com</t>
  </si>
  <si>
    <t>jeffrey.holifield@gmail.com</t>
  </si>
  <si>
    <t>Jeffrey Holifield</t>
  </si>
  <si>
    <t>329 Sinclair ST</t>
  </si>
  <si>
    <t>fayjes@verizon.net</t>
  </si>
  <si>
    <t>njkhattar@gmail.com</t>
  </si>
  <si>
    <t>Khattar</t>
  </si>
  <si>
    <t>Nicole Khattar</t>
  </si>
  <si>
    <t>1634 Avon Pl</t>
  </si>
  <si>
    <t>kristenparis@earthlink.net</t>
  </si>
  <si>
    <t>SLPColorado@gmail.com</t>
  </si>
  <si>
    <t>Sorrel</t>
  </si>
  <si>
    <t>Paris</t>
  </si>
  <si>
    <t>Sorrel Paris</t>
  </si>
  <si>
    <t>13745 Holmes Rd</t>
  </si>
  <si>
    <t>Black Forest</t>
  </si>
  <si>
    <t>merahzinnia@gmail.com</t>
  </si>
  <si>
    <t>Mollie Nichols</t>
  </si>
  <si>
    <t>2115 170th St</t>
  </si>
  <si>
    <t>koornneefL@asme.org_configioDeactivated</t>
  </si>
  <si>
    <t>jdancer97@live.com</t>
  </si>
  <si>
    <t>Koornneef</t>
  </si>
  <si>
    <t>Jordan Koornneef</t>
  </si>
  <si>
    <t>15114 W Washburn Ave</t>
  </si>
  <si>
    <t>miss.carson57@gmail.com</t>
  </si>
  <si>
    <t>Rachel Carson</t>
  </si>
  <si>
    <t>2 Penny Meadow Ct</t>
  </si>
  <si>
    <t>cameron@graceselah.com</t>
  </si>
  <si>
    <t>Cameron Taylor</t>
  </si>
  <si>
    <t>10028 Calava Ct</t>
  </si>
  <si>
    <t>jjjhamartin@yahoo.com</t>
  </si>
  <si>
    <t>lrmyers52201@gmail.com</t>
  </si>
  <si>
    <t>LeaAnn</t>
  </si>
  <si>
    <t>LeaAnn Myers</t>
  </si>
  <si>
    <t>5824 Long Branch Court</t>
  </si>
  <si>
    <t>dawson@graceselah.com</t>
  </si>
  <si>
    <t>Dawson Rogers</t>
  </si>
  <si>
    <t>brittain9@twc.com</t>
  </si>
  <si>
    <t>kkbritt@twc.com</t>
  </si>
  <si>
    <t>Kaiden</t>
  </si>
  <si>
    <t>Kaiden Brittain</t>
  </si>
  <si>
    <t>2338 Hathaway Rd</t>
  </si>
  <si>
    <t>jarrod@coloradoharmony.com</t>
  </si>
  <si>
    <t>gerhanamo@coloradoharmony.com</t>
  </si>
  <si>
    <t>Hana</t>
  </si>
  <si>
    <t>Michel</t>
  </si>
  <si>
    <t>Hana Michel</t>
  </si>
  <si>
    <t>4561 Meadow Lark Road</t>
  </si>
  <si>
    <t>Fort Lupton</t>
  </si>
  <si>
    <t>flutesnflowers@coloradoharmony.com</t>
  </si>
  <si>
    <t>Heather Michel</t>
  </si>
  <si>
    <t>hayleycorrell97@gmail.com</t>
  </si>
  <si>
    <t>hayley</t>
  </si>
  <si>
    <t>correll</t>
  </si>
  <si>
    <t>hayley correll</t>
  </si>
  <si>
    <t>7541 Grasshopper Road</t>
  </si>
  <si>
    <t>LahaiDumbuya746@yahoo.com</t>
  </si>
  <si>
    <t>lahaidumbuya746@yahoo.com</t>
  </si>
  <si>
    <t>Lahai</t>
  </si>
  <si>
    <t>Dumbuya</t>
  </si>
  <si>
    <t>Lahai Dumbuya</t>
  </si>
  <si>
    <t>51 Old Rail Way LINE,</t>
  </si>
  <si>
    <t>51 Old Rail Way Line</t>
  </si>
  <si>
    <t>Freetown</t>
  </si>
  <si>
    <t>Sierra Leone</t>
  </si>
  <si>
    <t>N/A</t>
  </si>
  <si>
    <t>meg.e.dickey@gmail.com</t>
  </si>
  <si>
    <t>Megan Dickey</t>
  </si>
  <si>
    <t>1009 Bryn Mawr Drive</t>
  </si>
  <si>
    <t>Kathall9@Aol.com</t>
  </si>
  <si>
    <t>Halld.Ariel@gmail.com</t>
  </si>
  <si>
    <t>Halldin</t>
  </si>
  <si>
    <t>Arielle Halldin</t>
  </si>
  <si>
    <t>1116 Eastin Ave.</t>
  </si>
  <si>
    <t>ssbailey4_27@hotmail.com</t>
  </si>
  <si>
    <t>riahsweets@hotmail.com</t>
  </si>
  <si>
    <t>Moriah Bailey</t>
  </si>
  <si>
    <t>1864 Hwy 438 East</t>
  </si>
  <si>
    <t>Lobelville</t>
  </si>
  <si>
    <t>ikebailey99@hotmail.com</t>
  </si>
  <si>
    <t>Isaac Bailey</t>
  </si>
  <si>
    <t>1864 Hwy 438 E</t>
  </si>
  <si>
    <t>debbiegates@cox.net</t>
  </si>
  <si>
    <t>Matthewgates@cox.net</t>
  </si>
  <si>
    <t>Matthew Gates</t>
  </si>
  <si>
    <t>11268 Talamore Blvd</t>
  </si>
  <si>
    <t>4rtroops2012@gmail.com</t>
  </si>
  <si>
    <t>Kayla Cahoon</t>
  </si>
  <si>
    <t>1004 Rock Ridge Way</t>
  </si>
  <si>
    <t>artzjared@gmail.com</t>
  </si>
  <si>
    <t>Artz</t>
  </si>
  <si>
    <t>Jared Artz</t>
  </si>
  <si>
    <t>7940 Slate Court</t>
  </si>
  <si>
    <t>Maumee</t>
  </si>
  <si>
    <t>pynat@hotmail.it</t>
  </si>
  <si>
    <t>Edoardo</t>
  </si>
  <si>
    <t>Da Pra</t>
  </si>
  <si>
    <t>Edoardo Da Pra</t>
  </si>
  <si>
    <t>Viale Piave 27</t>
  </si>
  <si>
    <t>Milano</t>
  </si>
  <si>
    <t>Italy</t>
  </si>
  <si>
    <t>evanbecker@midco.net</t>
  </si>
  <si>
    <t>Evan Becker</t>
  </si>
  <si>
    <t>a-calcio@libero.it</t>
  </si>
  <si>
    <t>Amedeo</t>
  </si>
  <si>
    <t>Da Pra Galanti</t>
  </si>
  <si>
    <t>Amedeo Da Pra Galanti</t>
  </si>
  <si>
    <t>Lombardy</t>
  </si>
  <si>
    <t>rhogreen@gmail.com</t>
  </si>
  <si>
    <t>Corban Green</t>
  </si>
  <si>
    <t>lemay3@gci.net</t>
  </si>
  <si>
    <t>LeMay</t>
  </si>
  <si>
    <t>Shannon LeMay</t>
  </si>
  <si>
    <t>4272 Chelsea Way</t>
  </si>
  <si>
    <t>sarahwoodall@rocketmail.com</t>
  </si>
  <si>
    <t>windriderhorses@protonmail.com</t>
  </si>
  <si>
    <t>Lydia Grimes</t>
  </si>
  <si>
    <t>13440 DUNCAN RUN RD</t>
  </si>
  <si>
    <t>GALENA</t>
  </si>
  <si>
    <t>headradish@gmail.com</t>
  </si>
  <si>
    <t>samuel.duarte@acastudent.org</t>
  </si>
  <si>
    <t>Duarte</t>
  </si>
  <si>
    <t>Samuel Duarte</t>
  </si>
  <si>
    <t>110 church street</t>
  </si>
  <si>
    <t>black mountain</t>
  </si>
  <si>
    <t>amshelley98@gmail.com</t>
  </si>
  <si>
    <t>Anthony Shelley</t>
  </si>
  <si>
    <t>128 Leslie Avenue</t>
  </si>
  <si>
    <t>reverhart@raecodesign.com</t>
  </si>
  <si>
    <t>josiah@raecodesign.com</t>
  </si>
  <si>
    <t>Everhart</t>
  </si>
  <si>
    <t>Josiah Everhart</t>
  </si>
  <si>
    <t>1613 Cheyenne Trail</t>
  </si>
  <si>
    <t>ihabsorial@hotmail.com</t>
  </si>
  <si>
    <t>nataliesorial@gmail.com</t>
  </si>
  <si>
    <t>Sorial</t>
  </si>
  <si>
    <t>Natalie Sorial</t>
  </si>
  <si>
    <t>4 Fuller Drive</t>
  </si>
  <si>
    <t>pinkmagnolias11@gmail.com</t>
  </si>
  <si>
    <t>hglayman97@gmail.com</t>
  </si>
  <si>
    <t>Layman</t>
  </si>
  <si>
    <t>Hannah Layman</t>
  </si>
  <si>
    <t>Springdale road</t>
  </si>
  <si>
    <t>Leavenworth</t>
  </si>
  <si>
    <t>jenforst6@gmail.com</t>
  </si>
  <si>
    <t>eforst12@gmail.com</t>
  </si>
  <si>
    <t>Forst</t>
  </si>
  <si>
    <t>Elliot Forst</t>
  </si>
  <si>
    <t>4880 Lodge Lane</t>
  </si>
  <si>
    <t>esther.abigale@gmail.com</t>
  </si>
  <si>
    <t>Akridge</t>
  </si>
  <si>
    <t>Esther Akridge</t>
  </si>
  <si>
    <t>5211 Stearns</t>
  </si>
  <si>
    <t>OForst2012@gmail.com</t>
  </si>
  <si>
    <t>Oliver Forst</t>
  </si>
  <si>
    <t>steaveginnyharmon@gmail.com</t>
  </si>
  <si>
    <t>graciemay96@yahoo.com</t>
  </si>
  <si>
    <t>Grace Harmon</t>
  </si>
  <si>
    <t>11442 County Road P3</t>
  </si>
  <si>
    <t>Nickerson</t>
  </si>
  <si>
    <t>dictum@att.net</t>
  </si>
  <si>
    <t>ianjones1997@hotmail.com</t>
  </si>
  <si>
    <t>Ian Jones</t>
  </si>
  <si>
    <t>425 W. Edgewater Terrace</t>
  </si>
  <si>
    <t>walkerfrizzell@gmail.com</t>
  </si>
  <si>
    <t>Frizzell</t>
  </si>
  <si>
    <t>Walker Frizzell</t>
  </si>
  <si>
    <t>1439 Heathcliff Drive</t>
  </si>
  <si>
    <t>sbpierce5@gmail.com</t>
  </si>
  <si>
    <t>mndpierce18@gmail.com</t>
  </si>
  <si>
    <t>Amanda Pierce</t>
  </si>
  <si>
    <t>1967 north county road 27</t>
  </si>
  <si>
    <t>fremont</t>
  </si>
  <si>
    <t>tknemeth@comcast.net</t>
  </si>
  <si>
    <t>virtualcopyright@yahoo.com</t>
  </si>
  <si>
    <t>Nemeth</t>
  </si>
  <si>
    <t>Cole Nemeth</t>
  </si>
  <si>
    <t>1115 Matthews Court</t>
  </si>
  <si>
    <t>rbrooks387@gmail.com</t>
  </si>
  <si>
    <t>Rachael Brooks</t>
  </si>
  <si>
    <t>13157 Martin rd spur</t>
  </si>
  <si>
    <t>jbellas2@aol.com</t>
  </si>
  <si>
    <t>Bellas</t>
  </si>
  <si>
    <t>Andrew Bellas</t>
  </si>
  <si>
    <t>640 se jonathon ave</t>
  </si>
  <si>
    <t>lee's summit</t>
  </si>
  <si>
    <t>cortney.dowling@gmail.com</t>
  </si>
  <si>
    <t>318 N. Jefferson Ave</t>
  </si>
  <si>
    <t>jaycei95@yahoo.com</t>
  </si>
  <si>
    <t>eukim98@gmail.com</t>
  </si>
  <si>
    <t>Elizabeth Kim</t>
  </si>
  <si>
    <t>10252 Sherwood Cir</t>
  </si>
  <si>
    <t>akheipel@gmail.com</t>
  </si>
  <si>
    <t>16984 Cty 94</t>
  </si>
  <si>
    <t>Sauk Centre</t>
  </si>
  <si>
    <t>satara.chai@gmail.com</t>
  </si>
  <si>
    <t>FilawWarrior@gmail.com</t>
  </si>
  <si>
    <t>Scardino</t>
  </si>
  <si>
    <t>Daniel Scardino</t>
  </si>
  <si>
    <t>612 Forest Lakes Dr</t>
  </si>
  <si>
    <t>Sterrett</t>
  </si>
  <si>
    <t>katie.tomlinson.413@gmail.com</t>
  </si>
  <si>
    <t>Katie Tomlinson</t>
  </si>
  <si>
    <t>PO Box 5041</t>
  </si>
  <si>
    <t>americanpie1993@hotmail.com</t>
  </si>
  <si>
    <t>harrystyles234567@yahoo.com</t>
  </si>
  <si>
    <t>Paige Swanson</t>
  </si>
  <si>
    <t>Marquette</t>
  </si>
  <si>
    <t>strandsfive@gmail.com</t>
  </si>
  <si>
    <t>banana.anna97@gmail.com</t>
  </si>
  <si>
    <t>Strand</t>
  </si>
  <si>
    <t>Anna Strand</t>
  </si>
  <si>
    <t>2008 Sibley View Lane</t>
  </si>
  <si>
    <t>Northfield</t>
  </si>
  <si>
    <t>capfulbright@gmail.com</t>
  </si>
  <si>
    <t>Afulbright737@gmail.com</t>
  </si>
  <si>
    <t>Andrew Fulbright</t>
  </si>
  <si>
    <t>6086 W.10 NC Hwy</t>
  </si>
  <si>
    <t>edentheule@gmail.com</t>
  </si>
  <si>
    <t>Eden Theule</t>
  </si>
  <si>
    <t>cvberry@me.com</t>
  </si>
  <si>
    <t>aberry@vt.edu</t>
  </si>
  <si>
    <t>Adrienne</t>
  </si>
  <si>
    <t>Adrienne Berry</t>
  </si>
  <si>
    <t>3405 Rilman Road, NW</t>
  </si>
  <si>
    <t>jlsexten@woh.rr.com</t>
  </si>
  <si>
    <t>alan.sexten@gmail.com</t>
  </si>
  <si>
    <t>Alan</t>
  </si>
  <si>
    <t>Sexten</t>
  </si>
  <si>
    <t>Alan Sexten</t>
  </si>
  <si>
    <t>8457 Jones Road</t>
  </si>
  <si>
    <t>South Vienna</t>
  </si>
  <si>
    <t>katieallshouse@gmail.com</t>
  </si>
  <si>
    <t>speedytuxedo@gmail.com</t>
  </si>
  <si>
    <t>Allshouse</t>
  </si>
  <si>
    <t>Emma Allshouse</t>
  </si>
  <si>
    <t>415 Dixson Street</t>
  </si>
  <si>
    <t>jktheule@gmail.com</t>
  </si>
  <si>
    <t>ktheule@gmail.com</t>
  </si>
  <si>
    <t>Kyle Theule</t>
  </si>
  <si>
    <t>5120 Caballeros Ave.</t>
  </si>
  <si>
    <t>kinseyc4@gmail.com</t>
  </si>
  <si>
    <t>Kinsey Craig</t>
  </si>
  <si>
    <t>2817 Persimmon Ridge Ct</t>
  </si>
  <si>
    <t>jennestofjens@gmail.com</t>
  </si>
  <si>
    <t>kate@b-h-i.com</t>
  </si>
  <si>
    <t>Bischoff</t>
  </si>
  <si>
    <t>Mary Bischoff</t>
  </si>
  <si>
    <t>888 S 16th St</t>
  </si>
  <si>
    <t>Grover Beach</t>
  </si>
  <si>
    <t>frankie4ever@bellsouth.net</t>
  </si>
  <si>
    <t>Frankie4ever@bellsouth.net</t>
  </si>
  <si>
    <t>Tyler Harrison</t>
  </si>
  <si>
    <t>10964 NW 26 Street</t>
  </si>
  <si>
    <t>Sunrise</t>
  </si>
  <si>
    <t>ryansmith803522@gmail.com</t>
  </si>
  <si>
    <t>Ryan Smith</t>
  </si>
  <si>
    <t>dgokmen@att.net</t>
  </si>
  <si>
    <t>gzgokmen@att.net</t>
  </si>
  <si>
    <t>Aaron Gokmen</t>
  </si>
  <si>
    <t>ollyvia.lim@gmail.com</t>
  </si>
  <si>
    <t>Ollyvia</t>
  </si>
  <si>
    <t>Ollyvia Lim</t>
  </si>
  <si>
    <t>AimHolm22@aol.com</t>
  </si>
  <si>
    <t>Rebekahah23@aol.com</t>
  </si>
  <si>
    <t>Rebekah Holmes</t>
  </si>
  <si>
    <t>FM 3080</t>
  </si>
  <si>
    <t>Mabank</t>
  </si>
  <si>
    <t>hannahotto99@gmail.com</t>
  </si>
  <si>
    <t>Hannah Otto</t>
  </si>
  <si>
    <t>1096 Brook Trout Drive</t>
  </si>
  <si>
    <t>godpraiser5981@gmail.com</t>
  </si>
  <si>
    <t>Anna Winters</t>
  </si>
  <si>
    <t>28410 Hoffman Spring Lane</t>
  </si>
  <si>
    <t>Fulshear</t>
  </si>
  <si>
    <t>6thLong@gmail.com</t>
  </si>
  <si>
    <t>Sarah Long</t>
  </si>
  <si>
    <t>brad.aniya@sbcglobal.net</t>
  </si>
  <si>
    <t>Njaniya@sbcglobal.net</t>
  </si>
  <si>
    <t>Aniya</t>
  </si>
  <si>
    <t>Noah Aniya</t>
  </si>
  <si>
    <t>2112 w 238th</t>
  </si>
  <si>
    <t>matthewcnitschke@gmail.com</t>
  </si>
  <si>
    <t>Matthew Nitschke</t>
  </si>
  <si>
    <t>3240 Parkhill Dr</t>
  </si>
  <si>
    <t>Darrareppermund@yahoo.com</t>
  </si>
  <si>
    <t>Darra</t>
  </si>
  <si>
    <t>Darra Reppermund</t>
  </si>
  <si>
    <t>bblake@fellowsblakelaw.com</t>
  </si>
  <si>
    <t>kblake021@gmail.com</t>
  </si>
  <si>
    <t>Kristin Blake</t>
  </si>
  <si>
    <t>804 Castle Pines Drive</t>
  </si>
  <si>
    <t>Ballwin</t>
  </si>
  <si>
    <t>cpearson17@outlook.com</t>
  </si>
  <si>
    <t>Caleb Pearson</t>
  </si>
  <si>
    <t>1377 Sweetwater Dr</t>
  </si>
  <si>
    <t>phelpspartyof6@yahoo.com</t>
  </si>
  <si>
    <t>mattiephelpsshorty@yahoo.com</t>
  </si>
  <si>
    <t>Mattie</t>
  </si>
  <si>
    <t>Mattie Phelps</t>
  </si>
  <si>
    <t>536 Hedgerow Way</t>
  </si>
  <si>
    <t>bt.nicholson@hotmail.com</t>
  </si>
  <si>
    <t>Brooke Nicholson</t>
  </si>
  <si>
    <t>Po Box 1433</t>
  </si>
  <si>
    <t>Chinook</t>
  </si>
  <si>
    <t>ruth.stearley@gmail.com</t>
  </si>
  <si>
    <t>eybike@gmail.com</t>
  </si>
  <si>
    <t>Stearley</t>
  </si>
  <si>
    <t>Isaiah Stearley</t>
  </si>
  <si>
    <t>449 Ash St. NE</t>
  </si>
  <si>
    <t>evanol@icloud.com</t>
  </si>
  <si>
    <t>O'Leary</t>
  </si>
  <si>
    <t>Evan O'Leary</t>
  </si>
  <si>
    <t>W204N6108</t>
  </si>
  <si>
    <t>menomonee falls</t>
  </si>
  <si>
    <t>akaymeckel@hotmail.com</t>
  </si>
  <si>
    <t>Meckel</t>
  </si>
  <si>
    <t>Adrienne Meckel</t>
  </si>
  <si>
    <t>1914 M St</t>
  </si>
  <si>
    <t>Ord</t>
  </si>
  <si>
    <t>memiller2016@gmail.com</t>
  </si>
  <si>
    <t>Megan Miller</t>
  </si>
  <si>
    <t>samiam.koval@gmail.com</t>
  </si>
  <si>
    <t>Samantha Koval</t>
  </si>
  <si>
    <t>3436 E. Wilson Drive</t>
  </si>
  <si>
    <t>818 Sycamore Creek Rd,</t>
  </si>
  <si>
    <t>glennsdesertrose@gmail.com</t>
  </si>
  <si>
    <t>objectoflegend@gmail.com</t>
  </si>
  <si>
    <t>Philips</t>
  </si>
  <si>
    <t>Isaac Philips</t>
  </si>
  <si>
    <t>3406 Round Lake Rd</t>
  </si>
  <si>
    <t>Zellwood</t>
  </si>
  <si>
    <t>Hannah.Rose.Broyles@gmail.com</t>
  </si>
  <si>
    <t>Broyles</t>
  </si>
  <si>
    <t>Hannah Broyles</t>
  </si>
  <si>
    <t>1812 County Road 111</t>
  </si>
  <si>
    <t>blueandgold@centurylink.net</t>
  </si>
  <si>
    <t>jam12cole@centurylink.net</t>
  </si>
  <si>
    <t>Jordan Miller</t>
  </si>
  <si>
    <t>1400 Berkshire Drive</t>
  </si>
  <si>
    <t>Shipshewana</t>
  </si>
  <si>
    <t>aalemaster@msn.com</t>
  </si>
  <si>
    <t>joellemaster99@gmail.com</t>
  </si>
  <si>
    <t>LeMaster</t>
  </si>
  <si>
    <t>Joel LeMaster</t>
  </si>
  <si>
    <t>6987 Rainbow Creek Rd</t>
  </si>
  <si>
    <t>millahgirl523@gmail.com</t>
  </si>
  <si>
    <t>Alyssa Miller</t>
  </si>
  <si>
    <t>meissparker@gmail.com</t>
  </si>
  <si>
    <t>Meiss</t>
  </si>
  <si>
    <t>Parker Meiss</t>
  </si>
  <si>
    <t>144 S. Ohio St.</t>
  </si>
  <si>
    <t>tmeiss96@gmail.com</t>
  </si>
  <si>
    <t>Tanner Meiss</t>
  </si>
  <si>
    <t>144 S Ohio Ave</t>
  </si>
  <si>
    <t>Lilbarn4@gmail.com</t>
  </si>
  <si>
    <t>Wombat2017@gmail.com</t>
  </si>
  <si>
    <t>Nathan Barnett</t>
  </si>
  <si>
    <t>627 Indianapolis Rd</t>
  </si>
  <si>
    <t>leslie.oglesby10@gmail.com</t>
  </si>
  <si>
    <t>farleyonfire@gmail.com</t>
  </si>
  <si>
    <t>Noah Farley</t>
  </si>
  <si>
    <t>899 NW Harvest Moon Drive</t>
  </si>
  <si>
    <t>timrustand@hotmail.com</t>
  </si>
  <si>
    <t>mikaelamac@gmail.com</t>
  </si>
  <si>
    <t>Rustand</t>
  </si>
  <si>
    <t>Mikaela Rustand</t>
  </si>
  <si>
    <t>2600 N Oak Road</t>
  </si>
  <si>
    <t>Joseph Elliott</t>
  </si>
  <si>
    <t>crazyaboutequus@gmail.com</t>
  </si>
  <si>
    <t>Stephanie Kubick</t>
  </si>
  <si>
    <t>1656 E Otero Lane</t>
  </si>
  <si>
    <t>samantha.schindler@gmail.com</t>
  </si>
  <si>
    <t>Samantha Schindler</t>
  </si>
  <si>
    <t>16375 Wagon Court</t>
  </si>
  <si>
    <t>nata.uru1998@gmail.com</t>
  </si>
  <si>
    <t>Wendel</t>
  </si>
  <si>
    <t>Nathanael Wendel</t>
  </si>
  <si>
    <t>batmandebate@gmail.com</t>
  </si>
  <si>
    <t>Jadon</t>
  </si>
  <si>
    <t>Jadon Kaercher</t>
  </si>
  <si>
    <t>6250 Timber Run Dr,</t>
  </si>
  <si>
    <t>boilerhuskers@yahoo.com</t>
  </si>
  <si>
    <t>animelover1050@gmail.com</t>
  </si>
  <si>
    <t>Sauter</t>
  </si>
  <si>
    <t>Mikaela Sauter</t>
  </si>
  <si>
    <t>1256 Goldsmith Drive</t>
  </si>
  <si>
    <t>Bethshoe@comcast.net</t>
  </si>
  <si>
    <t>catieshoe@gmail.com</t>
  </si>
  <si>
    <t>Catie</t>
  </si>
  <si>
    <t>Shoemaker</t>
  </si>
  <si>
    <t>Catie Shoemaker</t>
  </si>
  <si>
    <t>Oak Manor Dr</t>
  </si>
  <si>
    <t>laprewitt@comcast.net</t>
  </si>
  <si>
    <t>allyprewitt@gmail.com</t>
  </si>
  <si>
    <t>Ally</t>
  </si>
  <si>
    <t>Ally Prewitt</t>
  </si>
  <si>
    <t>shoshanna.howey@gmail.com</t>
  </si>
  <si>
    <t>Shoshanna Howey</t>
  </si>
  <si>
    <t>alexkitten1@gmail.com</t>
  </si>
  <si>
    <t>Alex Kitten</t>
  </si>
  <si>
    <t>15218 CR 2100</t>
  </si>
  <si>
    <t>bondservant2@gmail.com</t>
  </si>
  <si>
    <t>iaderman0@gmail.com</t>
  </si>
  <si>
    <t>Aderman</t>
  </si>
  <si>
    <t>Isaac Aderman</t>
  </si>
  <si>
    <t>4742 Cedar Ct</t>
  </si>
  <si>
    <t>Quinnesec</t>
  </si>
  <si>
    <t>caragracieps139@gmail.com</t>
  </si>
  <si>
    <t>Caroline Walker</t>
  </si>
  <si>
    <t>1594 Callander Dr.</t>
  </si>
  <si>
    <t>toddsorrell@gmail.com</t>
  </si>
  <si>
    <t>Alexis Sorrell</t>
  </si>
  <si>
    <t>301 Arbolada Drive</t>
  </si>
  <si>
    <t>Ethan Sorrell</t>
  </si>
  <si>
    <t>621 Santa Maria Road</t>
  </si>
  <si>
    <t>ajrazgirl@aol.com</t>
  </si>
  <si>
    <t>Rasmussen</t>
  </si>
  <si>
    <t>Annika Rasmussen</t>
  </si>
  <si>
    <t>4083 S Skyline Court</t>
  </si>
  <si>
    <t>Maxboyle73@gmail.com</t>
  </si>
  <si>
    <t>Maxwell Boyle</t>
  </si>
  <si>
    <t>lana@souders.com</t>
  </si>
  <si>
    <t>Evan@souders.com</t>
  </si>
  <si>
    <t>Souders</t>
  </si>
  <si>
    <t>Evan Souders</t>
  </si>
  <si>
    <t>1271 county street 2820</t>
  </si>
  <si>
    <t>Pocasset</t>
  </si>
  <si>
    <t>Ethan@Souders.com</t>
  </si>
  <si>
    <t>Ethan Souders</t>
  </si>
  <si>
    <t>1271 County Street 2820</t>
  </si>
  <si>
    <t>Joseph McGraw</t>
  </si>
  <si>
    <t>gabivansant@gmail.com</t>
  </si>
  <si>
    <t>Gabrielle VanSant</t>
  </si>
  <si>
    <t>7058 Lionshead Pkwy</t>
  </si>
  <si>
    <t>elenawestmo@icloud.com</t>
  </si>
  <si>
    <t>steer@integrity.com</t>
  </si>
  <si>
    <t>C. Brodie</t>
  </si>
  <si>
    <t>Westmoreland</t>
  </si>
  <si>
    <t>C. Brodie Westmoreland</t>
  </si>
  <si>
    <t>2205 Westmoreland Rd</t>
  </si>
  <si>
    <t>gnjinnm@hotmail.com</t>
  </si>
  <si>
    <t>Kayla.bresett@cottonwoodclassical.org</t>
  </si>
  <si>
    <t>Bresett</t>
  </si>
  <si>
    <t>Kayla Bresett</t>
  </si>
  <si>
    <t>741 Playful Meadows Circle NE</t>
  </si>
  <si>
    <t>w.kephart@mchsi.com</t>
  </si>
  <si>
    <t>Kephart</t>
  </si>
  <si>
    <t>McKenna Kephart</t>
  </si>
  <si>
    <t>1368 Timberlake CT</t>
  </si>
  <si>
    <t>heathersh@me.com</t>
  </si>
  <si>
    <t>maisierh@me.com</t>
  </si>
  <si>
    <t>Margaret (Maisie)</t>
  </si>
  <si>
    <t>Margaret (Maisie) Howland</t>
  </si>
  <si>
    <t>34W093 Army Trail RD</t>
  </si>
  <si>
    <t>Wayne</t>
  </si>
  <si>
    <t>mjncolorado16@gmail.com</t>
  </si>
  <si>
    <t>nsjones16@gmail.com</t>
  </si>
  <si>
    <t>Nathaniel Jones</t>
  </si>
  <si>
    <t>1219 Kachina Dr.</t>
  </si>
  <si>
    <t>wendel_spain@yahoo.com</t>
  </si>
  <si>
    <t>timothywendel97@gmail.com</t>
  </si>
  <si>
    <t>Timothy Wendel</t>
  </si>
  <si>
    <t>shelbyndorman@gmail.com</t>
  </si>
  <si>
    <t>Dorman</t>
  </si>
  <si>
    <t>Shelby Dorman</t>
  </si>
  <si>
    <t>1626 Center Valley Road</t>
  </si>
  <si>
    <t>dmjibben@farmerstel.net</t>
  </si>
  <si>
    <t>horsingaround15@gmail.com</t>
  </si>
  <si>
    <t>Jibben</t>
  </si>
  <si>
    <t>Danielle Jibben</t>
  </si>
  <si>
    <t>1758 Hwy 40</t>
  </si>
  <si>
    <t>jenijenne@yahoo.com</t>
  </si>
  <si>
    <t>sagejenne@myecseagles.com</t>
  </si>
  <si>
    <t>Jenne</t>
  </si>
  <si>
    <t>Sage Jenne</t>
  </si>
  <si>
    <t>1925 McCool Forest Lane</t>
  </si>
  <si>
    <t>redmonds3@earthlink.net</t>
  </si>
  <si>
    <t>jpredmond139@gmail.com</t>
  </si>
  <si>
    <t>John Peter</t>
  </si>
  <si>
    <t>John Peter Redmond</t>
  </si>
  <si>
    <t>56 Pocono Ave.</t>
  </si>
  <si>
    <t>Yonkers</t>
  </si>
  <si>
    <t>fkgrls@gmail.com</t>
  </si>
  <si>
    <t>fkgrls16@gmail.com</t>
  </si>
  <si>
    <t>Neven</t>
  </si>
  <si>
    <t>Grace Neven</t>
  </si>
  <si>
    <t>195 Saber Creek Dr.</t>
  </si>
  <si>
    <t>lolamae@bellsouth.net</t>
  </si>
  <si>
    <t>reddayyonder@yahoo.com</t>
  </si>
  <si>
    <t>Andrew Holifield</t>
  </si>
  <si>
    <t>colleen18820@gmail.com</t>
  </si>
  <si>
    <t>brado@mail.broward.edu</t>
  </si>
  <si>
    <t>Owen Braden</t>
  </si>
  <si>
    <t>12960 SW 15th Street</t>
  </si>
  <si>
    <t>therese.backholm@gmail.com</t>
  </si>
  <si>
    <t>w.d.backholm@gmail.com</t>
  </si>
  <si>
    <t>Backholm</t>
  </si>
  <si>
    <t>Warren Backholm</t>
  </si>
  <si>
    <t>4033 61st ct sw</t>
  </si>
  <si>
    <t>Tumwater</t>
  </si>
  <si>
    <t>elizabethcardle@austin.rr.com</t>
  </si>
  <si>
    <t>audreycardle99@gmail.com</t>
  </si>
  <si>
    <t>Cardle</t>
  </si>
  <si>
    <t>Audrey Cardle</t>
  </si>
  <si>
    <t>104 Racebrook Court</t>
  </si>
  <si>
    <t>anjelinemar@gmail.com</t>
  </si>
  <si>
    <t>Elyse</t>
  </si>
  <si>
    <t>Marquardt</t>
  </si>
  <si>
    <t>Elyse Marquardt</t>
  </si>
  <si>
    <t>P.O. Box 27</t>
  </si>
  <si>
    <t>Leflore</t>
  </si>
  <si>
    <t>sushitopia@yahoo.com</t>
  </si>
  <si>
    <t>Terrance</t>
  </si>
  <si>
    <t>Terrance Kuo</t>
  </si>
  <si>
    <t>11869 Darby Avenue</t>
  </si>
  <si>
    <t>allison.s.kuo@gmail.com</t>
  </si>
  <si>
    <t>Allison Kuo</t>
  </si>
  <si>
    <t>tommynjo6@gmail.com</t>
  </si>
  <si>
    <t>joeyhendricks6621@gmail.com</t>
  </si>
  <si>
    <t>Joey</t>
  </si>
  <si>
    <t>Hendricks</t>
  </si>
  <si>
    <t>Joey Hendricks</t>
  </si>
  <si>
    <t>6621 Man O War Trail</t>
  </si>
  <si>
    <t>livinghappy17@gmail.com</t>
  </si>
  <si>
    <t>iamddub@cox.net</t>
  </si>
  <si>
    <t>Dawson Weiss</t>
  </si>
  <si>
    <t>20851 E Mewes Rd</t>
  </si>
  <si>
    <t>Michaela Burke</t>
  </si>
  <si>
    <t>d4preston@cox.net</t>
  </si>
  <si>
    <t>npreston15@cox.net</t>
  </si>
  <si>
    <t>Nina</t>
  </si>
  <si>
    <t>Nina Preston</t>
  </si>
  <si>
    <t>12344 Cuming Street</t>
  </si>
  <si>
    <t>kyle.artz1@gmail.com</t>
  </si>
  <si>
    <t>Kyle Artz</t>
  </si>
  <si>
    <t>missmarymack16@gmail.com</t>
  </si>
  <si>
    <t>Kemerly</t>
  </si>
  <si>
    <t>Mary Kemerly</t>
  </si>
  <si>
    <t>1521 Green Road</t>
  </si>
  <si>
    <t>marvelousmonkeysister@gmail.com</t>
  </si>
  <si>
    <t>Alaina Kemerly</t>
  </si>
  <si>
    <t>claymiller@santanbible.org</t>
  </si>
  <si>
    <t>bekahgmiller@gmail.com</t>
  </si>
  <si>
    <t>Rebekah Miller</t>
  </si>
  <si>
    <t>4054 East Thunderheart Ct.</t>
  </si>
  <si>
    <t>ashleykayswanson@yahoo.com</t>
  </si>
  <si>
    <t>jakeswanson@me.com</t>
  </si>
  <si>
    <t>Jacob Swanson</t>
  </si>
  <si>
    <t>4 NW Shadow Lake Rd</t>
  </si>
  <si>
    <t>cborrows@mllcb.com</t>
  </si>
  <si>
    <t>Borrows</t>
  </si>
  <si>
    <t>Clayton Borrows</t>
  </si>
  <si>
    <t>26910 w 108th St.</t>
  </si>
  <si>
    <t>kara@kinematics.com</t>
  </si>
  <si>
    <t>grace.e.calkins@gmail.com</t>
  </si>
  <si>
    <t>Calkins</t>
  </si>
  <si>
    <t>Grace Calkins</t>
  </si>
  <si>
    <t>950 Turners Landing Road</t>
  </si>
  <si>
    <t>Lanexa</t>
  </si>
  <si>
    <t>amesman@mncomm.com</t>
  </si>
  <si>
    <t>EM3161@k12.sd.us</t>
  </si>
  <si>
    <t>Mesman</t>
  </si>
  <si>
    <t>Emma Mesman</t>
  </si>
  <si>
    <t>19854 294th Avenue</t>
  </si>
  <si>
    <t>ashleyama25@aol.com</t>
  </si>
  <si>
    <t>Ashley Rivera</t>
  </si>
  <si>
    <t>striptbygrace@gmail.com</t>
  </si>
  <si>
    <t>harrisandrew101@gmail.com</t>
  </si>
  <si>
    <t>Andrew Harris</t>
  </si>
  <si>
    <t>6163 Inverness Terrace</t>
  </si>
  <si>
    <t>tracysmiller@cox.net_configioDeactivated</t>
  </si>
  <si>
    <t>mmiller19@cox.net</t>
  </si>
  <si>
    <t>Madison Miller</t>
  </si>
  <si>
    <t>2454 E. Glencove St.</t>
  </si>
  <si>
    <t>jsadler@advantagetn.com</t>
  </si>
  <si>
    <t>sadlersamuel@gmail.com</t>
  </si>
  <si>
    <t>Samuel Sadler</t>
  </si>
  <si>
    <t>dshultz@fciol.com</t>
  </si>
  <si>
    <t>5440 W 730 RD</t>
  </si>
  <si>
    <t>Joe98@post.com</t>
  </si>
  <si>
    <t>Josiah Anderson</t>
  </si>
  <si>
    <t>2034 Hwy 23</t>
  </si>
  <si>
    <t>alainap@okstate.edu</t>
  </si>
  <si>
    <t>Alaina Phillips</t>
  </si>
  <si>
    <t>712 Victoria Dr.</t>
  </si>
  <si>
    <t>Yukon</t>
  </si>
  <si>
    <t>donna.hajj@gmail.com</t>
  </si>
  <si>
    <t>emily.hajj@gmail.com</t>
  </si>
  <si>
    <t>Hajj</t>
  </si>
  <si>
    <t>Emily Hajj</t>
  </si>
  <si>
    <t>5173 Corte Playa San Juan</t>
  </si>
  <si>
    <t>ronjill_95@msn.com_configioDeactivated</t>
  </si>
  <si>
    <t>98danielsan@gmail.com</t>
  </si>
  <si>
    <t>Daniel Sanchez</t>
  </si>
  <si>
    <t>4981 Cherry Springs Dr.</t>
  </si>
  <si>
    <t>stuartfamily6@comcast.net</t>
  </si>
  <si>
    <t>brennanstuart1@me.com</t>
  </si>
  <si>
    <t>Brennan Stuart</t>
  </si>
  <si>
    <t>1980 Spring Valley Drive</t>
  </si>
  <si>
    <t>dkiley@cgwealth.com</t>
  </si>
  <si>
    <t>sarasienabff@gmail.com</t>
  </si>
  <si>
    <t>Sara Smith</t>
  </si>
  <si>
    <t>31 Salt Bush</t>
  </si>
  <si>
    <t>Irvine</t>
  </si>
  <si>
    <t>Magistraharmeling@gmail.com</t>
  </si>
  <si>
    <t>mharmeling123@gmail.com</t>
  </si>
  <si>
    <t>Harmeling</t>
  </si>
  <si>
    <t>Mikaela Harmeling</t>
  </si>
  <si>
    <t>82 Finley Ct</t>
  </si>
  <si>
    <t>rebekah.forti@gmail.com</t>
  </si>
  <si>
    <t>Rebekah Forti</t>
  </si>
  <si>
    <t>5125 County Road</t>
  </si>
  <si>
    <t>russell5415@sbcglobal.net</t>
  </si>
  <si>
    <t>kjr.sunshine@gmail.com</t>
  </si>
  <si>
    <t>Kristen Russell</t>
  </si>
  <si>
    <t>27 Lochbury Dr</t>
  </si>
  <si>
    <t>dartagnan3@embarqmail.com</t>
  </si>
  <si>
    <t>Stephenson</t>
  </si>
  <si>
    <t>Jesse Stephenson</t>
  </si>
  <si>
    <t>193 Maylon Lane</t>
  </si>
  <si>
    <t>mckeevercattle@yahoo.com</t>
  </si>
  <si>
    <t>ms.meganmckeever@gmail.com</t>
  </si>
  <si>
    <t>McKeever</t>
  </si>
  <si>
    <t>Megan McKeever</t>
  </si>
  <si>
    <t>13700 SW 44th st.</t>
  </si>
  <si>
    <t>teamwinterstein@gmail.com</t>
  </si>
  <si>
    <t>Kteamgirls@gmail.com</t>
  </si>
  <si>
    <t>Winterstein</t>
  </si>
  <si>
    <t>Abigail Winterstein</t>
  </si>
  <si>
    <t>213 Waverly Drive</t>
  </si>
  <si>
    <t>laurie@crouchcentral.com</t>
  </si>
  <si>
    <t>mason@crouchcentral.com</t>
  </si>
  <si>
    <t>Mason Crouch</t>
  </si>
  <si>
    <t>12720 Azul Rd SE</t>
  </si>
  <si>
    <t>rickanna@q.com</t>
  </si>
  <si>
    <t>evadabill@gmail.com</t>
  </si>
  <si>
    <t>Eva</t>
  </si>
  <si>
    <t>Eva Dabill</t>
  </si>
  <si>
    <t>14269 Cottage Grove Dr.</t>
  </si>
  <si>
    <t>oroses99@gmail.com</t>
  </si>
  <si>
    <t>Olivia Schneider</t>
  </si>
  <si>
    <t>imfeldfamily@bellsouth.net</t>
  </si>
  <si>
    <t>gabbygoo11@bellsouth.net</t>
  </si>
  <si>
    <t>Imfeld</t>
  </si>
  <si>
    <t>Gabrielle Imfeld</t>
  </si>
  <si>
    <t>612 Longview Rd</t>
  </si>
  <si>
    <t>dileriles@hotmail.com</t>
  </si>
  <si>
    <t>dileriles@hotmail.com, tiresomeshoopla@gmail.com</t>
  </si>
  <si>
    <t>JONATHAN</t>
  </si>
  <si>
    <t>RILES</t>
  </si>
  <si>
    <t>JONATHAN RILES</t>
  </si>
  <si>
    <t>12 SUNBEAM CIRCLE</t>
  </si>
  <si>
    <t>CABOT</t>
  </si>
  <si>
    <t>quisenberry.staci@gmail.com</t>
  </si>
  <si>
    <t>Katelynquiz@gmail.com</t>
  </si>
  <si>
    <t>Quisenberry</t>
  </si>
  <si>
    <t>Katelyn Quisenberry</t>
  </si>
  <si>
    <t>3349 Pebble Beach Ct</t>
  </si>
  <si>
    <t>vcrallmartin@live.com</t>
  </si>
  <si>
    <t>graciemacy@live.com</t>
  </si>
  <si>
    <t>Crall</t>
  </si>
  <si>
    <t>Katherine Crall</t>
  </si>
  <si>
    <t>103 Iron Liege Drive</t>
  </si>
  <si>
    <t>sarhajj@gmail.com</t>
  </si>
  <si>
    <t>Sarah Hajj</t>
  </si>
  <si>
    <t>mhuebert103@yahoo.com</t>
  </si>
  <si>
    <t>1102 B road B</t>
  </si>
  <si>
    <t>zzachattack96@gmail.com</t>
  </si>
  <si>
    <t>Zachary Mullet</t>
  </si>
  <si>
    <t>eesock2015@gmail.com</t>
  </si>
  <si>
    <t>Issac</t>
  </si>
  <si>
    <t>Issac Mullet</t>
  </si>
  <si>
    <t>Misspenguinlover@gmail.com</t>
  </si>
  <si>
    <t>Emily Kemerly</t>
  </si>
  <si>
    <t>sriffe@smu.edu</t>
  </si>
  <si>
    <t>allisonriffe22@gmail.com</t>
  </si>
  <si>
    <t>Riffe</t>
  </si>
  <si>
    <t>Allison Riffe</t>
  </si>
  <si>
    <t>3833 Villanova Street</t>
  </si>
  <si>
    <t>kindelynshanelle@yahoo.com</t>
  </si>
  <si>
    <t>Kindelyn</t>
  </si>
  <si>
    <t>Kindelyn Headings</t>
  </si>
  <si>
    <t>5732 Meredith St.</t>
  </si>
  <si>
    <t>mitzithomas10@gmail.com</t>
  </si>
  <si>
    <t>Tannec900@gmail.com</t>
  </si>
  <si>
    <t>Catherine Thomas</t>
  </si>
  <si>
    <t>179 Henry Cook Rd</t>
  </si>
  <si>
    <t>Sterlington</t>
  </si>
  <si>
    <t>garrettlriffe@gmail.com</t>
  </si>
  <si>
    <t>Garrett Riffe</t>
  </si>
  <si>
    <t>ogvc.01@gmail.com</t>
  </si>
  <si>
    <t>pattywagon1234@att.net</t>
  </si>
  <si>
    <t>Patrick McMillan</t>
  </si>
  <si>
    <t>306 East Enota Street</t>
  </si>
  <si>
    <t>Oxford</t>
  </si>
  <si>
    <t>mcmillanconner@yahoo.com</t>
  </si>
  <si>
    <t>Conner McMillan</t>
  </si>
  <si>
    <t>allstarjaszczak@gmail.com</t>
  </si>
  <si>
    <t>peter</t>
  </si>
  <si>
    <t>peter Jaszczak</t>
  </si>
  <si>
    <t>1104 summit st</t>
  </si>
  <si>
    <t>hancock</t>
  </si>
  <si>
    <t>fingel@frontier.com_configioDeactivated</t>
  </si>
  <si>
    <t>hannahfingel@gmail.com</t>
  </si>
  <si>
    <t>Fingel</t>
  </si>
  <si>
    <t>Hannah Fingel</t>
  </si>
  <si>
    <t>156 Ponder Point Dr.</t>
  </si>
  <si>
    <t>dderton@gmail.com</t>
  </si>
  <si>
    <t>abby97derton@gmail.com</t>
  </si>
  <si>
    <t>Derton</t>
  </si>
  <si>
    <t>Abby Derton</t>
  </si>
  <si>
    <t>2716 Meadowview Dr</t>
  </si>
  <si>
    <t>Corinth</t>
  </si>
  <si>
    <t>jefnmo@yahoo.com_configioDeactivated</t>
  </si>
  <si>
    <t>rlewis16281@st.kishwaukeecollege.edu</t>
  </si>
  <si>
    <t>Rebekah Lewis</t>
  </si>
  <si>
    <t>785 Fairway Ln</t>
  </si>
  <si>
    <t>17sindermw@student.cts.k12.mi.us</t>
  </si>
  <si>
    <t>Weston</t>
  </si>
  <si>
    <t>Sindermann</t>
  </si>
  <si>
    <t>Weston Sindermann</t>
  </si>
  <si>
    <t>42115 N Hancock St.</t>
  </si>
  <si>
    <t>bethabdo22@gmail.com</t>
  </si>
  <si>
    <t>Bethabdo22@gmail.com</t>
  </si>
  <si>
    <t>Abdo</t>
  </si>
  <si>
    <t>Elisabeth Abdo</t>
  </si>
  <si>
    <t>908 Dillon drive</t>
  </si>
  <si>
    <t>jeanmcparlan@gmail.com</t>
  </si>
  <si>
    <t>mpmcparlan@gmail.com</t>
  </si>
  <si>
    <t>McParlan</t>
  </si>
  <si>
    <t>Michael McParlan</t>
  </si>
  <si>
    <t>55174 St. John's Creek Road</t>
  </si>
  <si>
    <t>peggy@kahreco.com</t>
  </si>
  <si>
    <t>samkahre@gmail.com</t>
  </si>
  <si>
    <t>Kahre</t>
  </si>
  <si>
    <t>Samuel Kahre</t>
  </si>
  <si>
    <t>9808 Horseshoe Road</t>
  </si>
  <si>
    <t>sethcrandall@icloud.com</t>
  </si>
  <si>
    <t>Crandall</t>
  </si>
  <si>
    <t>Seth Crandall</t>
  </si>
  <si>
    <t>26882 Goya Circle</t>
  </si>
  <si>
    <t>sarahjcrandall@icloud.com</t>
  </si>
  <si>
    <t>Sarah Crandall</t>
  </si>
  <si>
    <t>Mission viejo</t>
  </si>
  <si>
    <t>fourkt@sbcglobal.net</t>
  </si>
  <si>
    <t>kaigs13@sbcglobal.net</t>
  </si>
  <si>
    <t>Kendall Kaigler</t>
  </si>
  <si>
    <t>10030 Faircrest Dr.</t>
  </si>
  <si>
    <t>mstarr@en-tel.net</t>
  </si>
  <si>
    <t>jmarkstarr@gmail.com</t>
  </si>
  <si>
    <t>Joshua Starr</t>
  </si>
  <si>
    <t>burtonsak7@gmail.com</t>
  </si>
  <si>
    <t>Johnie</t>
  </si>
  <si>
    <t>Burton</t>
  </si>
  <si>
    <t>Johnie Burton</t>
  </si>
  <si>
    <t>2455 Aurora Ln</t>
  </si>
  <si>
    <t>Palmer</t>
  </si>
  <si>
    <t>hj.hurst2@gmail.com</t>
  </si>
  <si>
    <t>Hannah Hurst</t>
  </si>
  <si>
    <t>Irpavi</t>
  </si>
  <si>
    <t>Calle 2</t>
  </si>
  <si>
    <t>La Paz</t>
  </si>
  <si>
    <t>Bolivia</t>
  </si>
  <si>
    <t>kevin_atkins@roadrunner.com</t>
  </si>
  <si>
    <t>Atkins</t>
  </si>
  <si>
    <t>Cassidy Atkins</t>
  </si>
  <si>
    <t>15297 US 127</t>
  </si>
  <si>
    <t>Cecil</t>
  </si>
  <si>
    <t>buckstopp@gmail.com</t>
  </si>
  <si>
    <t>Hunter Atkins</t>
  </si>
  <si>
    <t>pcbachand@pie.midco.net</t>
  </si>
  <si>
    <t>sb3354@k12.sd.us</t>
  </si>
  <si>
    <t>Bachand</t>
  </si>
  <si>
    <t>Sara Bachand</t>
  </si>
  <si>
    <t>1805 Sunrise Drive</t>
  </si>
  <si>
    <t>shelley@tmjdx.com</t>
  </si>
  <si>
    <t>staylorock@gmail.com</t>
  </si>
  <si>
    <t>McCarty</t>
  </si>
  <si>
    <t>Seth McCarty</t>
  </si>
  <si>
    <t>752 West Hill Dr.</t>
  </si>
  <si>
    <t>frandtr@sbcglobal.net</t>
  </si>
  <si>
    <t>nicosteelersfan@gmail.com</t>
  </si>
  <si>
    <t>Nicolas Rodriguez</t>
  </si>
  <si>
    <t>Bighorn Canyon Drive</t>
  </si>
  <si>
    <t>Eliana</t>
  </si>
  <si>
    <t>Eliana Rodriguez</t>
  </si>
  <si>
    <t>bettypalacios@verizon.net</t>
  </si>
  <si>
    <t>emmanuel7741@icloud.com</t>
  </si>
  <si>
    <t>Palacios</t>
  </si>
  <si>
    <t>Emmanuel Palacios</t>
  </si>
  <si>
    <t>16415 Bamboo St</t>
  </si>
  <si>
    <t>La Puente</t>
  </si>
  <si>
    <t>stobens@gmail.com_configioDeactivated</t>
  </si>
  <si>
    <t>readerkate98@gmail.com</t>
  </si>
  <si>
    <t>Tobens</t>
  </si>
  <si>
    <t>Kathryn Tobens</t>
  </si>
  <si>
    <t>6695 Eudailey Covington Rd</t>
  </si>
  <si>
    <t>College Grove</t>
  </si>
  <si>
    <t>susnmarty@earthlink.net</t>
  </si>
  <si>
    <t>moabeac98@gmail.com</t>
  </si>
  <si>
    <t>Caleb Edwards</t>
  </si>
  <si>
    <t>13627 Vasili Dr</t>
  </si>
  <si>
    <t>kyamada2217@verizon.net</t>
  </si>
  <si>
    <t>jaredyamada1@gmail.com</t>
  </si>
  <si>
    <t>Yamada</t>
  </si>
  <si>
    <t>Jared Yamada</t>
  </si>
  <si>
    <t>2217 5th Street</t>
  </si>
  <si>
    <t>Atco</t>
  </si>
  <si>
    <t>akedwardz@gmail.com</t>
  </si>
  <si>
    <t>Joshua Edwards</t>
  </si>
  <si>
    <t>Madelyne</t>
  </si>
  <si>
    <t>Madelyne Reed</t>
  </si>
  <si>
    <t>1164 Behnke road</t>
  </si>
  <si>
    <t>efwood@mac.com</t>
  </si>
  <si>
    <t>alex.woodchek@mac.com</t>
  </si>
  <si>
    <t>Woodchek</t>
  </si>
  <si>
    <t>Alexandra Woodchek</t>
  </si>
  <si>
    <t>4903 Shady Knolls Dr</t>
  </si>
  <si>
    <t>kristin@up.net</t>
  </si>
  <si>
    <t>17kyttak@student.cts.k12.mi.us</t>
  </si>
  <si>
    <t>Karsten</t>
  </si>
  <si>
    <t>Kytta</t>
  </si>
  <si>
    <t>Karsten Kytta</t>
  </si>
  <si>
    <t>40568 Channel View Lane</t>
  </si>
  <si>
    <t>salliann@mac.com</t>
  </si>
  <si>
    <t>Luke_shanahan@me.com</t>
  </si>
  <si>
    <t>Shanahan</t>
  </si>
  <si>
    <t>Luke Shanahan</t>
  </si>
  <si>
    <t>10453 epping lane</t>
  </si>
  <si>
    <t>Jwinter777@aol.com</t>
  </si>
  <si>
    <t>kmwinter898@gmail.com</t>
  </si>
  <si>
    <t>Katelyn Winter</t>
  </si>
  <si>
    <t>2005 State Route  72 North</t>
  </si>
  <si>
    <t>michaelcoker@me.com</t>
  </si>
  <si>
    <t>jackocoker@me.com</t>
  </si>
  <si>
    <t>Coker</t>
  </si>
  <si>
    <t>Jack Coker</t>
  </si>
  <si>
    <t>11512 Ivy Chase Lane</t>
  </si>
  <si>
    <t>taltons@yahoo.com</t>
  </si>
  <si>
    <t>alex37talton@gmail.com</t>
  </si>
  <si>
    <t>Talton</t>
  </si>
  <si>
    <t>Matthew Talton</t>
  </si>
  <si>
    <t>162 Windsor Green Dr</t>
  </si>
  <si>
    <t>drkevjenallen@gmail.com</t>
  </si>
  <si>
    <t>jakereon1@gmail.com</t>
  </si>
  <si>
    <t>4618 SW Circle Ct.</t>
  </si>
  <si>
    <t>jennlynborger@gmail.com</t>
  </si>
  <si>
    <t>nateborger@gmail.com</t>
  </si>
  <si>
    <t>Borger</t>
  </si>
  <si>
    <t>Nathaniel Borger</t>
  </si>
  <si>
    <t>2 Dawes Terrace</t>
  </si>
  <si>
    <t>Hanscom AFB</t>
  </si>
  <si>
    <t>klydon@live.com</t>
  </si>
  <si>
    <t>Lydon</t>
  </si>
  <si>
    <t>Kaitlin Lydon</t>
  </si>
  <si>
    <t>3355 Old Weymouth Rd</t>
  </si>
  <si>
    <t>vanessamccampbell@gmail.com</t>
  </si>
  <si>
    <t>chasemccampbell4229@gmail.com</t>
  </si>
  <si>
    <t>McCampbell</t>
  </si>
  <si>
    <t>Chase McCampbell</t>
  </si>
  <si>
    <t>9223 Paint Creek Four Mile Road</t>
  </si>
  <si>
    <t>ssheilapage7@gmail.com</t>
  </si>
  <si>
    <t>jtpdude@reagan.com</t>
  </si>
  <si>
    <t>Jackson Page</t>
  </si>
  <si>
    <t>401 McDavid Terrace Dr</t>
  </si>
  <si>
    <t>teddygaudet@gmail.com</t>
  </si>
  <si>
    <t>Edward Gaudet</t>
  </si>
  <si>
    <t>annastasia.yoder@gmail.com-OLD</t>
  </si>
  <si>
    <t>AnnaStasia</t>
  </si>
  <si>
    <t>AnnaStasia Yoder</t>
  </si>
  <si>
    <t>amandaloveskarate@gmail.com</t>
  </si>
  <si>
    <t>Amanda Carr</t>
  </si>
  <si>
    <t>1703 Cowtown Ct</t>
  </si>
  <si>
    <t>sitzybaby9@aol.com</t>
  </si>
  <si>
    <t>sitzybaby@gmail.com</t>
  </si>
  <si>
    <t>Bonner</t>
  </si>
  <si>
    <t>Elijah Bonner</t>
  </si>
  <si>
    <t>6633 Cove Creek Drive</t>
  </si>
  <si>
    <t>lindaannthomas@bellsouth.net</t>
  </si>
  <si>
    <t>johnzginger@gmail.com</t>
  </si>
  <si>
    <t>John Thomas</t>
  </si>
  <si>
    <t>1080 Deer Run</t>
  </si>
  <si>
    <t>Culleoka</t>
  </si>
  <si>
    <t>sheila_roemer@yahoo.com</t>
  </si>
  <si>
    <t>taylor_roemer@yahoo.com</t>
  </si>
  <si>
    <t>Roemer</t>
  </si>
  <si>
    <t>Taylor Roemer</t>
  </si>
  <si>
    <t>P.O. Box 414</t>
  </si>
  <si>
    <t>618 Quandary Ave.</t>
  </si>
  <si>
    <t>stannardsarah@gmail.com</t>
  </si>
  <si>
    <t>Stannardsarah@gmail.com</t>
  </si>
  <si>
    <t>Sarah Stannard</t>
  </si>
  <si>
    <t>2801 Pepper Tree Ln.</t>
  </si>
  <si>
    <t>gandpbudris@q.com</t>
  </si>
  <si>
    <t>adambudris@q.com</t>
  </si>
  <si>
    <t>Budris</t>
  </si>
  <si>
    <t>Adam Budris</t>
  </si>
  <si>
    <t>8841 Eagles Nest Lane</t>
  </si>
  <si>
    <t>csheahan@charter.net</t>
  </si>
  <si>
    <t>sheahanandrew8@gmail.com</t>
  </si>
  <si>
    <t>Sheahan</t>
  </si>
  <si>
    <t>Andrew Sheahan</t>
  </si>
  <si>
    <t>601 N. Anton Ave.</t>
  </si>
  <si>
    <t>dlswift@gmail.com</t>
  </si>
  <si>
    <t>eswifty101@yahoo.com</t>
  </si>
  <si>
    <t>Swift</t>
  </si>
  <si>
    <t>Ethan Swift</t>
  </si>
  <si>
    <t>4590 Brentwood</t>
  </si>
  <si>
    <t>Wheat Ridge</t>
  </si>
  <si>
    <t>rvr167@cyberback.com</t>
  </si>
  <si>
    <t>dawnlip22@icloud.com</t>
  </si>
  <si>
    <t>Dawn</t>
  </si>
  <si>
    <t>Lippelgoes</t>
  </si>
  <si>
    <t>Dawn Lippelgoes</t>
  </si>
  <si>
    <t>40 Majestic Valley Drive</t>
  </si>
  <si>
    <t>10holmy@gmail.com</t>
  </si>
  <si>
    <t>Jake Holmes</t>
  </si>
  <si>
    <t>41975 Half Moon Beach RD</t>
  </si>
  <si>
    <t>christa.meshell@gmail.com</t>
  </si>
  <si>
    <t>Emma.meshell@gmail.com</t>
  </si>
  <si>
    <t>Meshell</t>
  </si>
  <si>
    <t>Emma Meshell</t>
  </si>
  <si>
    <t>52559 NW Eastview Drive</t>
  </si>
  <si>
    <t>horvath.caroline@yahoo.com</t>
  </si>
  <si>
    <t>Horvath</t>
  </si>
  <si>
    <t>Caroline Horvath</t>
  </si>
  <si>
    <t>missjenna@neb.rr.com</t>
  </si>
  <si>
    <t>Jenna Mohrmann</t>
  </si>
  <si>
    <t>markmatney1998@gmail.com</t>
  </si>
  <si>
    <t>Mark Matney</t>
  </si>
  <si>
    <t>lboushell@nc.rr.com</t>
  </si>
  <si>
    <t>Jonboushell@gmail.com</t>
  </si>
  <si>
    <t>Boushell</t>
  </si>
  <si>
    <t>Jonathan Boushell</t>
  </si>
  <si>
    <t>1605 Piperwood Court</t>
  </si>
  <si>
    <t>jsfremont@wispwest.net</t>
  </si>
  <si>
    <t>ninja@wispwest.net</t>
  </si>
  <si>
    <t>Jadon Fremont</t>
  </si>
  <si>
    <t>PO Box 287</t>
  </si>
  <si>
    <t>Big Timber</t>
  </si>
  <si>
    <t>jac_in_the_box_19@yahoo.com</t>
  </si>
  <si>
    <t>Julie Christensen</t>
  </si>
  <si>
    <t>buschemcct@gmail.com</t>
  </si>
  <si>
    <t>thomasbusche327@gmail.com</t>
  </si>
  <si>
    <t>Thomas Busche</t>
  </si>
  <si>
    <t>turnermmaz@gmail.com</t>
  </si>
  <si>
    <t>thecelloguy98@gmail.com</t>
  </si>
  <si>
    <t>Samuel Turner</t>
  </si>
  <si>
    <t>20410 E.Pegasus Run Court</t>
  </si>
  <si>
    <t>Vail</t>
  </si>
  <si>
    <t>bnbacademy04@gmail.com</t>
  </si>
  <si>
    <t>redskins10b@gmail.com</t>
  </si>
  <si>
    <t>Brendon</t>
  </si>
  <si>
    <t>Brendon Martin</t>
  </si>
  <si>
    <t>271 Gravels Rd.</t>
  </si>
  <si>
    <t>Rockingham</t>
  </si>
  <si>
    <t>gloryhillacademy@gmail.com</t>
  </si>
  <si>
    <t>Nicholas Turner</t>
  </si>
  <si>
    <t>hayleykharbin@gmail.com</t>
  </si>
  <si>
    <t>Hayley Harbin</t>
  </si>
  <si>
    <t>Kristen Harbin</t>
  </si>
  <si>
    <t>kirsten.noblin@gmail.com</t>
  </si>
  <si>
    <t>hnoblin0@email.cpcc.edu</t>
  </si>
  <si>
    <t>Noblin</t>
  </si>
  <si>
    <t>Hannah Noblin</t>
  </si>
  <si>
    <t>4400 Brownes Ferry Rd</t>
  </si>
  <si>
    <t>tabithaloy@yahoo.com</t>
  </si>
  <si>
    <t>coloradoabby92@yahoo.com</t>
  </si>
  <si>
    <t>Loy</t>
  </si>
  <si>
    <t>Abigail Loy</t>
  </si>
  <si>
    <t>308 Washington Square Drive</t>
  </si>
  <si>
    <t>Leander</t>
  </si>
  <si>
    <t>pa2@castleview.org</t>
  </si>
  <si>
    <t>btestin14@yahoo.com</t>
  </si>
  <si>
    <t>Testin</t>
  </si>
  <si>
    <t>Bradford Testin</t>
  </si>
  <si>
    <t>6808 Winona Drive</t>
  </si>
  <si>
    <t>hwinchell87@gmail.com</t>
  </si>
  <si>
    <t>Winchell</t>
  </si>
  <si>
    <t>Hannah Winchell</t>
  </si>
  <si>
    <t>10624 East 97th Street</t>
  </si>
  <si>
    <t>j.vandersloot@sbcglobal.net</t>
  </si>
  <si>
    <t>dtvandersloot@sbcglobal.net</t>
  </si>
  <si>
    <t>VanderSloot</t>
  </si>
  <si>
    <t>David VanderSloot</t>
  </si>
  <si>
    <t>1811 Sunnyside Ave</t>
  </si>
  <si>
    <t>Suzanne Bernard</t>
  </si>
  <si>
    <t>sunnycjgm@gmail.com</t>
  </si>
  <si>
    <t>Eddy</t>
  </si>
  <si>
    <t>Grace Eddy</t>
  </si>
  <si>
    <t>310 7th street</t>
  </si>
  <si>
    <t>clairedahlby@gmail.com</t>
  </si>
  <si>
    <t>Dahlby</t>
  </si>
  <si>
    <t>Claire Dahlby</t>
  </si>
  <si>
    <t>128 12th Ave.</t>
  </si>
  <si>
    <t>Kirkland</t>
  </si>
  <si>
    <t>elizajoy14@hotmail.com</t>
  </si>
  <si>
    <t>Lentz</t>
  </si>
  <si>
    <t>Erica Lentz</t>
  </si>
  <si>
    <t>1112 Sagamore Dr</t>
  </si>
  <si>
    <t>seffner</t>
  </si>
  <si>
    <t>jhjaeb@hotmail.com</t>
  </si>
  <si>
    <t>2001 Gallagher Road</t>
  </si>
  <si>
    <t>mcjer2911@aol.com</t>
  </si>
  <si>
    <t>Sean McKeever</t>
  </si>
  <si>
    <t>14727 Richvale Drive</t>
  </si>
  <si>
    <t>La Mirada</t>
  </si>
  <si>
    <t>bouknightw@bellsouth.net</t>
  </si>
  <si>
    <t>roomb1444@gmail.com</t>
  </si>
  <si>
    <t>bouknight</t>
  </si>
  <si>
    <t>Rachael bouknight</t>
  </si>
  <si>
    <t>1736 north main street</t>
  </si>
  <si>
    <t>sketchy105@yahoo.com</t>
  </si>
  <si>
    <t>Rachel Carter</t>
  </si>
  <si>
    <t>1414 Front St.</t>
  </si>
  <si>
    <t>joyceimartin@att.net</t>
  </si>
  <si>
    <t>johndavidma@gmail.com</t>
  </si>
  <si>
    <t>John Martin</t>
  </si>
  <si>
    <t>9601 Ryoaks Cove</t>
  </si>
  <si>
    <t>letterstobarb@gmail.com</t>
  </si>
  <si>
    <t>william.scheffrahn@me.com</t>
  </si>
  <si>
    <t>Scheffrahn</t>
  </si>
  <si>
    <t>William Scheffrahn</t>
  </si>
  <si>
    <t>4021 Clayton Rd E</t>
  </si>
  <si>
    <t>tuckermancole98@gmail.com</t>
  </si>
  <si>
    <t>Tuckerman</t>
  </si>
  <si>
    <t>Tuckerman Golightly</t>
  </si>
  <si>
    <t>nutmegandpepper@gmail.com</t>
  </si>
  <si>
    <t>11424 N Tomahawk Rd</t>
  </si>
  <si>
    <t>courtlandmom@yahoo.com</t>
  </si>
  <si>
    <t>Wilkes</t>
  </si>
  <si>
    <t>Jonathan Wilkes</t>
  </si>
  <si>
    <t>Courtlandmom@yahoo.com</t>
  </si>
  <si>
    <t>Benjamin Wilkes</t>
  </si>
  <si>
    <t>312 wells st</t>
  </si>
  <si>
    <t>chezhamann@gmail.com</t>
  </si>
  <si>
    <t>sophiahamann29@gmail.com</t>
  </si>
  <si>
    <t>Hamann</t>
  </si>
  <si>
    <t>Sophia Hamann</t>
  </si>
  <si>
    <t>22532 Conil</t>
  </si>
  <si>
    <t>meljmet@embarqmail.com</t>
  </si>
  <si>
    <t>lukethegoatfarmer@gmail.com</t>
  </si>
  <si>
    <t>Luke Metzger</t>
  </si>
  <si>
    <t>amy@wills.net</t>
  </si>
  <si>
    <t>breachingnarwhal@gmail.com</t>
  </si>
  <si>
    <t>Wills</t>
  </si>
  <si>
    <t>Jessica Wills</t>
  </si>
  <si>
    <t>20125 19th Pl W</t>
  </si>
  <si>
    <t>theshearers15@gmail.com</t>
  </si>
  <si>
    <t>olivia.shearer@gmail.com</t>
  </si>
  <si>
    <t>Shearer</t>
  </si>
  <si>
    <t>Olivia Shearer</t>
  </si>
  <si>
    <t>5004 Malaga Drive</t>
  </si>
  <si>
    <t>geoffmueller10@msn.com</t>
  </si>
  <si>
    <t>Mueller</t>
  </si>
  <si>
    <t>Katrina Mueller</t>
  </si>
  <si>
    <t>PO Box 925</t>
  </si>
  <si>
    <t>Tijeras</t>
  </si>
  <si>
    <t>David Mueller</t>
  </si>
  <si>
    <t>2cellomusic@gmail.com</t>
  </si>
  <si>
    <t>Zachary Hunsuck</t>
  </si>
  <si>
    <t>schash19@gmail.com</t>
  </si>
  <si>
    <t>sarah.hash836@gmail.com</t>
  </si>
  <si>
    <t>Hash</t>
  </si>
  <si>
    <t>Sarah Hash</t>
  </si>
  <si>
    <t>14554 Circlewood Way</t>
  </si>
  <si>
    <t>denice@ramseycabinetscounters.com</t>
  </si>
  <si>
    <t>oliviaramsey94@gmail.com</t>
  </si>
  <si>
    <t>Olivia Ramsey</t>
  </si>
  <si>
    <t>3939 Old Garner Rd</t>
  </si>
  <si>
    <t>dramagirl87@gmail.com</t>
  </si>
  <si>
    <t>Elizabeth Ramsey</t>
  </si>
  <si>
    <t>3939 Old Garner</t>
  </si>
  <si>
    <t>Caroline Ramsey</t>
  </si>
  <si>
    <t>denisse@colegiobetel.com.do</t>
  </si>
  <si>
    <t>cesaraugustostar@hotmail.com</t>
  </si>
  <si>
    <t>Cesar</t>
  </si>
  <si>
    <t>Estrella</t>
  </si>
  <si>
    <t>Cesar Estrella</t>
  </si>
  <si>
    <t>64 Miguel A. Monclus</t>
  </si>
  <si>
    <t>Res. Shaddai II Apt. 301</t>
  </si>
  <si>
    <t>Santo Domingo</t>
  </si>
  <si>
    <t>D. N.</t>
  </si>
  <si>
    <t>Dominican Republic</t>
  </si>
  <si>
    <t>kcreech@burntforkranch.com</t>
  </si>
  <si>
    <t>bcreech@burntforkranch.com</t>
  </si>
  <si>
    <t>Benjamin Creech</t>
  </si>
  <si>
    <t>P.O. Box 29</t>
  </si>
  <si>
    <t>Hannah Oligee</t>
  </si>
  <si>
    <t>3312 Rome Ln</t>
  </si>
  <si>
    <t>izayah.darby@wsu.edu</t>
  </si>
  <si>
    <t>Izayah</t>
  </si>
  <si>
    <t>Darby</t>
  </si>
  <si>
    <t>Izayah Darby</t>
  </si>
  <si>
    <t>37129 S Olympia St.</t>
  </si>
  <si>
    <t>Kennewick</t>
  </si>
  <si>
    <t>hsphoffman@gmail.com</t>
  </si>
  <si>
    <t>isaak.thor@gmail.com</t>
  </si>
  <si>
    <t>Isaak</t>
  </si>
  <si>
    <t>Isaak Hoffman</t>
  </si>
  <si>
    <t>7697 Reed Avenue</t>
  </si>
  <si>
    <t>rioabajo_66@yahoo.com</t>
  </si>
  <si>
    <t>amandaahlgrim@yahoo.com</t>
  </si>
  <si>
    <t>Ahlgrim</t>
  </si>
  <si>
    <t>Amanda Ahlgrim</t>
  </si>
  <si>
    <t>01 Nube Bella Ct</t>
  </si>
  <si>
    <t>pjsmithwick96@gmail.com</t>
  </si>
  <si>
    <t>oceansdeeplove@gmail.com</t>
  </si>
  <si>
    <t>Smithwick</t>
  </si>
  <si>
    <t>Amy Smithwick</t>
  </si>
  <si>
    <t>8619 Austin Thomas Dr.</t>
  </si>
  <si>
    <t>ccarolinaperezf@gmail.com</t>
  </si>
  <si>
    <t>Carolina</t>
  </si>
  <si>
    <t>Perez</t>
  </si>
  <si>
    <t>Carolina Perez</t>
  </si>
  <si>
    <t>313 Romulo Betancourt. Bella Vista</t>
  </si>
  <si>
    <t>rosaeliasnajri@gmail.com</t>
  </si>
  <si>
    <t>Rosa</t>
  </si>
  <si>
    <t>Rosa Elias</t>
  </si>
  <si>
    <t>Anabel</t>
  </si>
  <si>
    <t>Fermin</t>
  </si>
  <si>
    <t>Anabel Fermin</t>
  </si>
  <si>
    <t>Res. Shaddai II apt 301</t>
  </si>
  <si>
    <t>Sto Dgo DR</t>
  </si>
  <si>
    <t>Fl</t>
  </si>
  <si>
    <t>fabiofermin98@gmail.com</t>
  </si>
  <si>
    <t>Fabio</t>
  </si>
  <si>
    <t>Fabio Fermin</t>
  </si>
  <si>
    <t>313 Romulo Betancourt</t>
  </si>
  <si>
    <t>brian.jenson@kaminario.com</t>
  </si>
  <si>
    <t>andrew.jenson@comcast.net</t>
  </si>
  <si>
    <t>Andrew Jenson</t>
  </si>
  <si>
    <t>3350 Quail Walk Lane</t>
  </si>
  <si>
    <t>prfriesen@bellsouth.net</t>
  </si>
  <si>
    <t>John Friesen</t>
  </si>
  <si>
    <t>1883 Cedar Lane</t>
  </si>
  <si>
    <t>drmoore900@gmail.com</t>
  </si>
  <si>
    <t>ktgym990@gmail.com</t>
  </si>
  <si>
    <t>Katie Moore</t>
  </si>
  <si>
    <t>2215 Forest Trail Drive</t>
  </si>
  <si>
    <t>mjyugovich@gmail.com</t>
  </si>
  <si>
    <t>Molly Yugovich</t>
  </si>
  <si>
    <t>2900 92nd Street SW</t>
  </si>
  <si>
    <t>reitzjt@eml.cc</t>
  </si>
  <si>
    <t>roverhood@fastmail.fm</t>
  </si>
  <si>
    <t>Josiah Reitz</t>
  </si>
  <si>
    <t>Neosho</t>
  </si>
  <si>
    <t>jolari13@gmail.com</t>
  </si>
  <si>
    <t>katja.olari@gmail.com</t>
  </si>
  <si>
    <t>Katja</t>
  </si>
  <si>
    <t>Katja Olari</t>
  </si>
  <si>
    <t>Walled Lake</t>
  </si>
  <si>
    <t>denniseneal@msn.com</t>
  </si>
  <si>
    <t>sirericml@gmail.com</t>
  </si>
  <si>
    <t>Eric Neal</t>
  </si>
  <si>
    <t>3319 Castle Butte Dr</t>
  </si>
  <si>
    <t>ellaleighneal@gmail.com</t>
  </si>
  <si>
    <t>Ella Neal</t>
  </si>
  <si>
    <t>isaactiman@hotmail.com</t>
  </si>
  <si>
    <t>Timan</t>
  </si>
  <si>
    <t>Isaac Timan</t>
  </si>
  <si>
    <t>234 Clark Road</t>
  </si>
  <si>
    <t>pineappleacres@yahoo.com</t>
  </si>
  <si>
    <t>Colton Folkers</t>
  </si>
  <si>
    <t>5230 County Road P37</t>
  </si>
  <si>
    <t>historyferret@gmail.com</t>
  </si>
  <si>
    <t>akimbotoast@gmail.com</t>
  </si>
  <si>
    <t>Jonathan Park</t>
  </si>
  <si>
    <t>2001 Saratoga Ave.</t>
  </si>
  <si>
    <t>Placentia</t>
  </si>
  <si>
    <t>micah.doerr@gmail.com</t>
  </si>
  <si>
    <t>Micah Doerr</t>
  </si>
  <si>
    <t>davinaka@gmail.com</t>
  </si>
  <si>
    <t>Karpstein</t>
  </si>
  <si>
    <t>Morgan Karpstein</t>
  </si>
  <si>
    <t>katiegiletto007@gmail.com</t>
  </si>
  <si>
    <t>Giletto</t>
  </si>
  <si>
    <t>Catherine Giletto</t>
  </si>
  <si>
    <t>11749 durrand st.</t>
  </si>
  <si>
    <t>domingos5j@yahoo.com</t>
  </si>
  <si>
    <t>loveart2death@yahoo.com</t>
  </si>
  <si>
    <t>Domingos</t>
  </si>
  <si>
    <t>Lori Domingos</t>
  </si>
  <si>
    <t>4215 Zurich Dr</t>
  </si>
  <si>
    <t>smdg125@gmail.com</t>
  </si>
  <si>
    <t>Sophie Green</t>
  </si>
  <si>
    <t>43 Poplar Court</t>
  </si>
  <si>
    <t>new whiteland</t>
  </si>
  <si>
    <t>taggerung126@aol.com</t>
  </si>
  <si>
    <t>Lenker</t>
  </si>
  <si>
    <t>Faith Lenker</t>
  </si>
  <si>
    <t>301 N 1st</t>
  </si>
  <si>
    <t>Arkansas City</t>
  </si>
  <si>
    <t>carlosmontano7777@gmail.com</t>
  </si>
  <si>
    <t>Carlos L.</t>
  </si>
  <si>
    <t>Carlos L. Montano</t>
  </si>
  <si>
    <t>jarkings01@gmail.com_configioDeactivated</t>
  </si>
  <si>
    <t>jarkings01@gmail.com</t>
  </si>
  <si>
    <t>Jadon Roberts</t>
  </si>
  <si>
    <t>913 King Dr.</t>
  </si>
  <si>
    <t>auston.buchholtz@gmail.com</t>
  </si>
  <si>
    <t>Auston</t>
  </si>
  <si>
    <t>Auston Buchholtz</t>
  </si>
  <si>
    <t>michelebain@me.com</t>
  </si>
  <si>
    <t>613 Bosphorous Ave.</t>
  </si>
  <si>
    <t>andrews@ccvsocal.com</t>
  </si>
  <si>
    <t>andrewc@ccvsocal.com</t>
  </si>
  <si>
    <t>Andrew Cook</t>
  </si>
  <si>
    <t>758 S. Barranca Ave.</t>
  </si>
  <si>
    <t>Covina</t>
  </si>
  <si>
    <t>joshuabrittain1@gmail.com</t>
  </si>
  <si>
    <t>Joshua Brittain</t>
  </si>
  <si>
    <t>4833 Juneau Hills Dr NE</t>
  </si>
  <si>
    <t>donnahubele@gmail.com</t>
  </si>
  <si>
    <t>nathanhubele@gmail.com</t>
  </si>
  <si>
    <t>Hubele</t>
  </si>
  <si>
    <t>Nathan Hubele</t>
  </si>
  <si>
    <t>1607 Howard Street</t>
  </si>
  <si>
    <t>happycamperphx@yahoo.com</t>
  </si>
  <si>
    <t>brenna.camping@gmail.com</t>
  </si>
  <si>
    <t>Camping</t>
  </si>
  <si>
    <t>Brenna Camping</t>
  </si>
  <si>
    <t>38403 N 19th Ave</t>
  </si>
  <si>
    <t>jlhorne@aol.com</t>
  </si>
  <si>
    <t>avery98horne@gmail.com</t>
  </si>
  <si>
    <t>Avery Horne</t>
  </si>
  <si>
    <t>32 Loon Drive</t>
  </si>
  <si>
    <t>Topsham</t>
  </si>
  <si>
    <t>beninmans@hotmail.com</t>
  </si>
  <si>
    <t>gcabrera2380@yahoo.com</t>
  </si>
  <si>
    <t>Cabrera</t>
  </si>
  <si>
    <t>Gabriel Cabrera</t>
  </si>
  <si>
    <t>181 Central Avenue</t>
  </si>
  <si>
    <t>Ecru</t>
  </si>
  <si>
    <t>vevebain@me.com</t>
  </si>
  <si>
    <t>Genevieve Bain</t>
  </si>
  <si>
    <t>cboschee@gmail.com</t>
  </si>
  <si>
    <t>amandaboschee1@gmail.com</t>
  </si>
  <si>
    <t>Boschee</t>
  </si>
  <si>
    <t>Amanda Boschee</t>
  </si>
  <si>
    <t>3057 W. Sousa Ct.</t>
  </si>
  <si>
    <t>Anthem</t>
  </si>
  <si>
    <t>susannah.schorlemer@gmail.com</t>
  </si>
  <si>
    <t>kikaschorlemer@yahoo.com</t>
  </si>
  <si>
    <t>Mary Frances</t>
  </si>
  <si>
    <t>Schorlemer</t>
  </si>
  <si>
    <t>Mary Frances Schorlemer</t>
  </si>
  <si>
    <t>8815 Tranquil Park Drive</t>
  </si>
  <si>
    <t>patchpope@integrity.com</t>
  </si>
  <si>
    <t>Pope</t>
  </si>
  <si>
    <t>Mollie Pope</t>
  </si>
  <si>
    <t>591 Spangler Rd.</t>
  </si>
  <si>
    <t>Estancia</t>
  </si>
  <si>
    <t>gheldman17@gmail.com</t>
  </si>
  <si>
    <t>Heldman</t>
  </si>
  <si>
    <t>Grace Heldman</t>
  </si>
  <si>
    <t>2050 Phinny Murphy Rd.</t>
  </si>
  <si>
    <t>lpmeade@suddenlink.net</t>
  </si>
  <si>
    <t>meade.rachelk@gmail.com</t>
  </si>
  <si>
    <t>Rachel Meade</t>
  </si>
  <si>
    <t>8810 Sandstone Drive</t>
  </si>
  <si>
    <t>tina.pecor@gmail.com</t>
  </si>
  <si>
    <t>kenziefritzer@gmail.com</t>
  </si>
  <si>
    <t>Pecor</t>
  </si>
  <si>
    <t>Mackenzie Pecor</t>
  </si>
  <si>
    <t>1129 E. Hamilton Ave.</t>
  </si>
  <si>
    <t>sanfordcongo@gmail.com</t>
  </si>
  <si>
    <t>jsanfordak@gmail.com</t>
  </si>
  <si>
    <t>John Sanford</t>
  </si>
  <si>
    <t>6809 Cape Lisburne</t>
  </si>
  <si>
    <t>melissa@glogower.com</t>
  </si>
  <si>
    <t>Collin@glogower.com</t>
  </si>
  <si>
    <t>Glogower</t>
  </si>
  <si>
    <t>Collin Glogower</t>
  </si>
  <si>
    <t>144 Montpelier Lane</t>
  </si>
  <si>
    <t>torch459@juno.com</t>
  </si>
  <si>
    <t>Jared Bruce</t>
  </si>
  <si>
    <t>816 Sumter St</t>
  </si>
  <si>
    <t>elainemoskalets@gmail.com</t>
  </si>
  <si>
    <t>Elaine</t>
  </si>
  <si>
    <t>Moskalets</t>
  </si>
  <si>
    <t>Elaine Moskalets</t>
  </si>
  <si>
    <t>625 N. Hobson Ave.</t>
  </si>
  <si>
    <t>West Sacramento</t>
  </si>
  <si>
    <t>anna13herin@gmail.com</t>
  </si>
  <si>
    <t>Herin</t>
  </si>
  <si>
    <t>Anna Herin</t>
  </si>
  <si>
    <t>7462 Harcourt Rd</t>
  </si>
  <si>
    <t>naty_pina23@hotmail.com</t>
  </si>
  <si>
    <t>Pina</t>
  </si>
  <si>
    <t>Natasha Pina</t>
  </si>
  <si>
    <t>lzbthgriffith@gmail.com</t>
  </si>
  <si>
    <t>Elizabeth Griffith</t>
  </si>
  <si>
    <t>7600 West Ridge Rd</t>
  </si>
  <si>
    <t>jhnimom@icloud.com</t>
  </si>
  <si>
    <t>jjbangs99@icloud.com</t>
  </si>
  <si>
    <t>Joshua Josiah</t>
  </si>
  <si>
    <t>Joshua Josiah Smith</t>
  </si>
  <si>
    <t>10523 Doty Ave</t>
  </si>
  <si>
    <t>Inglewood</t>
  </si>
  <si>
    <t>milaynab@hotmail.com</t>
  </si>
  <si>
    <t>alliebswimming@hotmail.com</t>
  </si>
  <si>
    <t>Allison Brandon</t>
  </si>
  <si>
    <t>2803 Cimarron Ct</t>
  </si>
  <si>
    <t>jabazen@gmail.com</t>
  </si>
  <si>
    <t>adambazen@gmail.com</t>
  </si>
  <si>
    <t>Adam Bazen</t>
  </si>
  <si>
    <t>3365 Brook Hollow Dr NE</t>
  </si>
  <si>
    <t>captainkelly6@gmail.com</t>
  </si>
  <si>
    <t>Kelly Kramer</t>
  </si>
  <si>
    <t>12885 McCune Rd</t>
  </si>
  <si>
    <t>paynedm@gmail.com</t>
  </si>
  <si>
    <t>nadiwadip@gmail.com</t>
  </si>
  <si>
    <t>Nadya</t>
  </si>
  <si>
    <t>Nadya Payne</t>
  </si>
  <si>
    <t>319 Terrace Drive</t>
  </si>
  <si>
    <t>justuswitty@gmail.com</t>
  </si>
  <si>
    <t>jordynkarnold@gmail.com</t>
  </si>
  <si>
    <t>Jordyn Arnold</t>
  </si>
  <si>
    <t>1291 Little Big Horn Drive</t>
  </si>
  <si>
    <t>O'Fallon</t>
  </si>
  <si>
    <t>bruce.schiek@gmail.com</t>
  </si>
  <si>
    <t>mentos546@gmail.com</t>
  </si>
  <si>
    <t>Schiek</t>
  </si>
  <si>
    <t>Greta Schiek</t>
  </si>
  <si>
    <t>220 Ponemah Rd</t>
  </si>
  <si>
    <t>kstevens@locateus.com</t>
  </si>
  <si>
    <t>colby@locateus.com</t>
  </si>
  <si>
    <t>Colby Stevens</t>
  </si>
  <si>
    <t>PO Box 92</t>
  </si>
  <si>
    <t>Pierceton</t>
  </si>
  <si>
    <t>tlaaret@windstream.net</t>
  </si>
  <si>
    <t>adamretych01@gmail.com</t>
  </si>
  <si>
    <t>Adam Retych</t>
  </si>
  <si>
    <t>lookinyourbible@gmail.com</t>
  </si>
  <si>
    <t>Jtc5309@gmail.com</t>
  </si>
  <si>
    <t>Cope</t>
  </si>
  <si>
    <t>Jordan Cope</t>
  </si>
  <si>
    <t>12 Lacie</t>
  </si>
  <si>
    <t>Greenbrier</t>
  </si>
  <si>
    <t>singndancenwendy@yahoo.com</t>
  </si>
  <si>
    <t>scg082099@gmail.com</t>
  </si>
  <si>
    <t>Gomez</t>
  </si>
  <si>
    <t>Spencer Gomez</t>
  </si>
  <si>
    <t>118 Raven Glass Drive</t>
  </si>
  <si>
    <t>jeff.brademeyer@gmail.com</t>
  </si>
  <si>
    <t>andrew.brademeyer@gmail.com</t>
  </si>
  <si>
    <t>Andrew Brademeyer</t>
  </si>
  <si>
    <t>1514 W Chilton Avenue</t>
  </si>
  <si>
    <t>piperbenaiah@gmail.com</t>
  </si>
  <si>
    <t>Piperbenaiah@gmail.com</t>
  </si>
  <si>
    <t>Benaiah Piper</t>
  </si>
  <si>
    <t>517 Crestwood Drive</t>
  </si>
  <si>
    <t>amaes@q.com</t>
  </si>
  <si>
    <t>atroff@hotmail.com</t>
  </si>
  <si>
    <t>Troff</t>
  </si>
  <si>
    <t>Andrew Troff</t>
  </si>
  <si>
    <t>2020 352 Ave NE</t>
  </si>
  <si>
    <t>stippey1234@gmail.com</t>
  </si>
  <si>
    <t>Tippey</t>
  </si>
  <si>
    <t>Brandon Tippey</t>
  </si>
  <si>
    <t>422 23rd St NW</t>
  </si>
  <si>
    <t>Chickeemo@comcast.net</t>
  </si>
  <si>
    <t>Abigail Moore</t>
  </si>
  <si>
    <t>tj.swimbikerun@gmail.com</t>
  </si>
  <si>
    <t>cassidyjanssen13@gmail.com</t>
  </si>
  <si>
    <t>Janssen</t>
  </si>
  <si>
    <t>Cassidy Janssen</t>
  </si>
  <si>
    <t>1011 Bank Street</t>
  </si>
  <si>
    <t>parkynlot@hotmail.com</t>
  </si>
  <si>
    <t>Bryana</t>
  </si>
  <si>
    <t>Bryana Parkyn</t>
  </si>
  <si>
    <t>deantaylor61@comcast.net</t>
  </si>
  <si>
    <t>sfredricks@canteyhanger.com</t>
  </si>
  <si>
    <t>cfredricks@yahoo.com</t>
  </si>
  <si>
    <t>Fredricks</t>
  </si>
  <si>
    <t>Collin Fredricks</t>
  </si>
  <si>
    <t>5128 Partridge Road</t>
  </si>
  <si>
    <t>cassidy.bultena@gmail.com</t>
  </si>
  <si>
    <t>Bultena</t>
  </si>
  <si>
    <t>Cassidy Bultena</t>
  </si>
  <si>
    <t>1009 N Terrace Dr</t>
  </si>
  <si>
    <t>HolySpiritHouse@juno.com</t>
  </si>
  <si>
    <t>Elijah Tung</t>
  </si>
  <si>
    <t>2427 Oak Grove Circle</t>
  </si>
  <si>
    <t>Scott AFB</t>
  </si>
  <si>
    <t>Daniel Tung</t>
  </si>
  <si>
    <t>liz.yardley@gmail.com-OLD</t>
  </si>
  <si>
    <t>liz.yardley@gmail.com</t>
  </si>
  <si>
    <t>Elizabeth Yardley</t>
  </si>
  <si>
    <t>shawtana@att.net</t>
  </si>
  <si>
    <t>esfishing7@gmail.com</t>
  </si>
  <si>
    <t>15135 Senator Way</t>
  </si>
  <si>
    <t>micahjmcneely@gmail.com</t>
  </si>
  <si>
    <t>Micah McNeely</t>
  </si>
  <si>
    <t>934 story drive</t>
  </si>
  <si>
    <t>fulleclipse00@gmail.com</t>
  </si>
  <si>
    <t>Joseph Moon</t>
  </si>
  <si>
    <t>cgenda@mvgshome.org</t>
  </si>
  <si>
    <t>Craig Genda</t>
  </si>
  <si>
    <t>hhpotis@gmail.com</t>
  </si>
  <si>
    <t>josiahotis@gmail.com</t>
  </si>
  <si>
    <t>Josiah Otis</t>
  </si>
  <si>
    <t>11 Torrey Hill Range Rd.</t>
  </si>
  <si>
    <t>nathanielguice17@gmail.com</t>
  </si>
  <si>
    <t>Guice</t>
  </si>
  <si>
    <t>Nathaniel Guice</t>
  </si>
  <si>
    <t>3120 South Frontage Rd</t>
  </si>
  <si>
    <t>Bigshows1239@gmail.com</t>
  </si>
  <si>
    <t>Shows</t>
  </si>
  <si>
    <t>Brian Shows</t>
  </si>
  <si>
    <t>217 Sweet Gum Lane</t>
  </si>
  <si>
    <t>bryan.orders@gmail.com</t>
  </si>
  <si>
    <t>Roy Bryan</t>
  </si>
  <si>
    <t>2105 Inverness Boulevard</t>
  </si>
  <si>
    <t>Rawlins</t>
  </si>
  <si>
    <t>julian.weber@outlook.com</t>
  </si>
  <si>
    <t>Heidi Weber</t>
  </si>
  <si>
    <t>131 E Park Place Ct.</t>
  </si>
  <si>
    <t>dianesikkema@gmail.com</t>
  </si>
  <si>
    <t>shadiasikkema@gmail.com</t>
  </si>
  <si>
    <t>Shadia</t>
  </si>
  <si>
    <t>Sikkema</t>
  </si>
  <si>
    <t>Shadia Sikkema</t>
  </si>
  <si>
    <t>16473 E. Prentice Ave.</t>
  </si>
  <si>
    <t>joseph.sonnier@mavs.uta.edu</t>
  </si>
  <si>
    <t>Sonnier</t>
  </si>
  <si>
    <t>Joseph Sonnier</t>
  </si>
  <si>
    <t>7204 Roaring Springs</t>
  </si>
  <si>
    <t>abrahamjenson@ymail.com</t>
  </si>
  <si>
    <t>Abraham</t>
  </si>
  <si>
    <t>Abraham Jenson</t>
  </si>
  <si>
    <t>7048 E. Huntingburg Street</t>
  </si>
  <si>
    <t>Stendal</t>
  </si>
  <si>
    <t>edgmonfamily@att.net</t>
  </si>
  <si>
    <t>bedgmon15@gmail.com</t>
  </si>
  <si>
    <t>Edgmon</t>
  </si>
  <si>
    <t>Ben Edgmon</t>
  </si>
  <si>
    <t>1523 Alderwood Dr.</t>
  </si>
  <si>
    <t>schwebach@integrity.com</t>
  </si>
  <si>
    <t>Ellysia</t>
  </si>
  <si>
    <t>Schwebach</t>
  </si>
  <si>
    <t>Ellysia Schwebach</t>
  </si>
  <si>
    <t>PO Box 327</t>
  </si>
  <si>
    <t>Moriarty</t>
  </si>
  <si>
    <t>bartholow12@gmail.com</t>
  </si>
  <si>
    <t>Paul Bartholow</t>
  </si>
  <si>
    <t>Nathan Schwebach</t>
  </si>
  <si>
    <t>901 West Martinez Road</t>
  </si>
  <si>
    <t>gbyrd@shentel.net</t>
  </si>
  <si>
    <t>ebyrd2020@gmail.com</t>
  </si>
  <si>
    <t>Erin Byrd</t>
  </si>
  <si>
    <t>107 Sunset Ct</t>
  </si>
  <si>
    <t>Edinburg</t>
  </si>
  <si>
    <t>Christinebyrd14@gmail.com</t>
  </si>
  <si>
    <t>Christine Byrd</t>
  </si>
  <si>
    <t>willverdoorn@gmail.com</t>
  </si>
  <si>
    <t>William Verdoorn</t>
  </si>
  <si>
    <t>4018 36th PL</t>
  </si>
  <si>
    <t>mr.vatne96@gmail.com</t>
  </si>
  <si>
    <t>Filip</t>
  </si>
  <si>
    <t>Vatne</t>
  </si>
  <si>
    <t>Filip Vatne</t>
  </si>
  <si>
    <t>2814 245th st</t>
  </si>
  <si>
    <t>Galt</t>
  </si>
  <si>
    <t>Joshua Monaghan</t>
  </si>
  <si>
    <t>4581 E. Faith Ln</t>
  </si>
  <si>
    <t>christianaeevans@gmail.com</t>
  </si>
  <si>
    <t>Christiana Evans</t>
  </si>
  <si>
    <t>10966 Wren Dr.</t>
  </si>
  <si>
    <t>Nunica</t>
  </si>
  <si>
    <t>jenny.compton121@gmail.com</t>
  </si>
  <si>
    <t>Teagan Compton</t>
  </si>
  <si>
    <t>121 Christopher Drive</t>
  </si>
  <si>
    <t>37489@sjabr.org</t>
  </si>
  <si>
    <t>Elizabeth Landreneau</t>
  </si>
  <si>
    <t>1410 carolyn Sue Dr.</t>
  </si>
  <si>
    <t>siewwenchao@yahoo.com</t>
  </si>
  <si>
    <t>catchan2010@gmail.com</t>
  </si>
  <si>
    <t>Katrina Chan</t>
  </si>
  <si>
    <t>30892 calle moraga</t>
  </si>
  <si>
    <t>laguna niguel</t>
  </si>
  <si>
    <t>mylittlehomestead@hotmail.com</t>
  </si>
  <si>
    <t>Brookover</t>
  </si>
  <si>
    <t>Margaret Brookover</t>
  </si>
  <si>
    <t>1906 Pork Rd</t>
  </si>
  <si>
    <t>Clymer</t>
  </si>
  <si>
    <t>nietsdarb@gmail.com</t>
  </si>
  <si>
    <t>jonnyman72@gmail.com</t>
  </si>
  <si>
    <t>Jonathan Steininger</t>
  </si>
  <si>
    <t>5125 Brady Rd</t>
  </si>
  <si>
    <t>Kirikazekylini@gmail.com</t>
  </si>
  <si>
    <t>Jam</t>
  </si>
  <si>
    <t>Sarah Jam</t>
  </si>
  <si>
    <t>valvanpaul@aol.com</t>
  </si>
  <si>
    <t>djpaul21@aol.com</t>
  </si>
  <si>
    <t>Daniel Paulukaitis</t>
  </si>
  <si>
    <t>annewilb@gmail.com</t>
  </si>
  <si>
    <t>emilyannewilbur@gmail.com</t>
  </si>
  <si>
    <t>Wilbur</t>
  </si>
  <si>
    <t>Emily Wilbur</t>
  </si>
  <si>
    <t>1932 Montebello Dr W</t>
  </si>
  <si>
    <t>farmer.david.james@gmail.com</t>
  </si>
  <si>
    <t>Farmer</t>
  </si>
  <si>
    <t>David Farmer</t>
  </si>
  <si>
    <t>1511 Poly Dr</t>
  </si>
  <si>
    <t>jcd4all@yahoo.com</t>
  </si>
  <si>
    <t>Sarah Jewett</t>
  </si>
  <si>
    <t>115 Kelsey Court</t>
  </si>
  <si>
    <t>cheli.gonzalez@icloud.com</t>
  </si>
  <si>
    <t>Araceli</t>
  </si>
  <si>
    <t>Araceli Gonzalez</t>
  </si>
  <si>
    <t>608 South Main Street</t>
  </si>
  <si>
    <t>bapederson@gmail.com</t>
  </si>
  <si>
    <t>mollympederson@gmail.com</t>
  </si>
  <si>
    <t>Molly Pederson</t>
  </si>
  <si>
    <t>3326 N COUNTY ROAD 125 W</t>
  </si>
  <si>
    <t>NEW CASTLE</t>
  </si>
  <si>
    <t>casadeavery@msn.com</t>
  </si>
  <si>
    <t>ga89057@gmail.com</t>
  </si>
  <si>
    <t>Grace Avery</t>
  </si>
  <si>
    <t>2710 Saddle Dr</t>
  </si>
  <si>
    <t>jamokinsey@gmail.com</t>
  </si>
  <si>
    <t>Jamokinsey@gmail.com</t>
  </si>
  <si>
    <t>Jameson</t>
  </si>
  <si>
    <t>Jameson Kinsey</t>
  </si>
  <si>
    <t>12283 97th ave</t>
  </si>
  <si>
    <t>seminole</t>
  </si>
  <si>
    <t>2941 E Lark Dr</t>
  </si>
  <si>
    <t>samkristi2001@aol.com</t>
  </si>
  <si>
    <t>kwbarker11@gmail.com</t>
  </si>
  <si>
    <t>Kyle Barker</t>
  </si>
  <si>
    <t>4317 S Dogwood Ave</t>
  </si>
  <si>
    <t>shopgirll4ever@gmail.com</t>
  </si>
  <si>
    <t>Keilee</t>
  </si>
  <si>
    <t>Keilee Barker</t>
  </si>
  <si>
    <t>wilmayoutz@hawaii.rr.com</t>
  </si>
  <si>
    <t>reddogny@hawaii.rr.com</t>
  </si>
  <si>
    <t>Youtz</t>
  </si>
  <si>
    <t>Noah Youtz</t>
  </si>
  <si>
    <t>2671 Ipulei Place</t>
  </si>
  <si>
    <t>gretchenlevesque@gmail.com</t>
  </si>
  <si>
    <t>brookedraws@gmail.com</t>
  </si>
  <si>
    <t>Levesque</t>
  </si>
  <si>
    <t>Brooke Levesque</t>
  </si>
  <si>
    <t>2650 West Trojan Place</t>
  </si>
  <si>
    <t>arcy.711@gmail.com</t>
  </si>
  <si>
    <t>Agustin</t>
  </si>
  <si>
    <t>Agustin Rosales</t>
  </si>
  <si>
    <t>Km. 4.8 Carr San Miguel a San Juan</t>
  </si>
  <si>
    <t>San Lucas Ev</t>
  </si>
  <si>
    <t>emschweinzz@gmail.com</t>
  </si>
  <si>
    <t>Emma Schweinsberg</t>
  </si>
  <si>
    <t>samandalice@gmail.com</t>
  </si>
  <si>
    <t>Weston White</t>
  </si>
  <si>
    <t>2274 White Memorial Church Rd</t>
  </si>
  <si>
    <t>Willow Spring</t>
  </si>
  <si>
    <t>Case McAdam</t>
  </si>
  <si>
    <t>swedenchong@gmail.com</t>
  </si>
  <si>
    <t>manoagirl8787@gmail.com</t>
  </si>
  <si>
    <t>Eleosa</t>
  </si>
  <si>
    <t>Chong</t>
  </si>
  <si>
    <t>Eleosa Chong</t>
  </si>
  <si>
    <t>3486 77th Ave SE</t>
  </si>
  <si>
    <t>Mercer Island</t>
  </si>
  <si>
    <t>kristen.forti01@gmail.com</t>
  </si>
  <si>
    <t>Kristen Forti</t>
  </si>
  <si>
    <t>micah@enelsons.com</t>
  </si>
  <si>
    <t>Micah Nelson</t>
  </si>
  <si>
    <t>roszhart@roszhart.net</t>
  </si>
  <si>
    <t>em@roszhart.net</t>
  </si>
  <si>
    <t>Roszhart</t>
  </si>
  <si>
    <t>Emily Roszhart</t>
  </si>
  <si>
    <t>3224 CR 3311</t>
  </si>
  <si>
    <t>bibliomaniac98@gmail.com</t>
  </si>
  <si>
    <t>Madelynn</t>
  </si>
  <si>
    <t>Mill</t>
  </si>
  <si>
    <t>Madelynn Mill</t>
  </si>
  <si>
    <t>22261 101st</t>
  </si>
  <si>
    <t>martasmars@nheri.org</t>
  </si>
  <si>
    <t>Marta</t>
  </si>
  <si>
    <t>Marta Ray</t>
  </si>
  <si>
    <t>5940 Fruitland Rd NE</t>
  </si>
  <si>
    <t>jtfarm@frontiernet.net</t>
  </si>
  <si>
    <t>natefcv@gmail.com</t>
  </si>
  <si>
    <t>Nathan Beckman</t>
  </si>
  <si>
    <t>35544 High Prairie Trail</t>
  </si>
  <si>
    <t>Dennison</t>
  </si>
  <si>
    <t>samantha.graves07@gmail.com</t>
  </si>
  <si>
    <t>Samantha Graves</t>
  </si>
  <si>
    <t>2133 Fluorshire Drive</t>
  </si>
  <si>
    <t>emilybrown2016@aol.com</t>
  </si>
  <si>
    <t>1855 J.M. Goodman Rd.</t>
  </si>
  <si>
    <t>chemman46@comcast.net</t>
  </si>
  <si>
    <t>alyssa5281999@hotmail.com</t>
  </si>
  <si>
    <t>Alyssa Pierce</t>
  </si>
  <si>
    <t>4513 Hilltop Drive</t>
  </si>
  <si>
    <t>Loves Park</t>
  </si>
  <si>
    <t>cliffandkelly@sbcglobal.net</t>
  </si>
  <si>
    <t>eyeondaprize99@gmail.com</t>
  </si>
  <si>
    <t>Lauren Sorge</t>
  </si>
  <si>
    <t>apanepi@q.com</t>
  </si>
  <si>
    <t>mattpanepinto13@gmail.com</t>
  </si>
  <si>
    <t>Panepinto</t>
  </si>
  <si>
    <t>Matthew Panepinto</t>
  </si>
  <si>
    <t>1036 W. Bosal Dr.</t>
  </si>
  <si>
    <t>mrandmrssisler@gmail.com</t>
  </si>
  <si>
    <t>Higgins</t>
  </si>
  <si>
    <t>Skylar Higgins</t>
  </si>
  <si>
    <t>350 Naples Drive</t>
  </si>
  <si>
    <t>Elyria</t>
  </si>
  <si>
    <t>Herman@computronix.com</t>
  </si>
  <si>
    <t>gregory.huizinga@gmail.com</t>
  </si>
  <si>
    <t>Gregory Huizinga</t>
  </si>
  <si>
    <t>McQueen Rd</t>
  </si>
  <si>
    <t>T5N 3L3</t>
  </si>
  <si>
    <t>fdharris32@gmail.com</t>
  </si>
  <si>
    <t>Faith Harris</t>
  </si>
  <si>
    <t>8206 JACKRABBIT LN</t>
  </si>
  <si>
    <t>BRYAN</t>
  </si>
  <si>
    <t>j.schonberg@yahoo.com</t>
  </si>
  <si>
    <t>jimthnen@gmail.com</t>
  </si>
  <si>
    <t>Schonberg</t>
  </si>
  <si>
    <t>Benjamin Schonberg</t>
  </si>
  <si>
    <t>12720 Daisy Ln. SW</t>
  </si>
  <si>
    <t>Farwell</t>
  </si>
  <si>
    <t>donandnaomimueller@gmail.com</t>
  </si>
  <si>
    <t>aaronme99@gmail.com</t>
  </si>
  <si>
    <t>Aaron Eash</t>
  </si>
  <si>
    <t>2661 Fuller Rd</t>
  </si>
  <si>
    <t>dsmithfam@att.net</t>
  </si>
  <si>
    <t>6smithjd@gmail.com</t>
  </si>
  <si>
    <t>Joel Smith</t>
  </si>
  <si>
    <t>8160 Pennfield Rd</t>
  </si>
  <si>
    <t>garybreinecke@gmail.com</t>
  </si>
  <si>
    <t>jbreinecke@gmail.com</t>
  </si>
  <si>
    <t>Reinecke</t>
  </si>
  <si>
    <t>Joel Reinecke</t>
  </si>
  <si>
    <t>25838 Seagrass Trail</t>
  </si>
  <si>
    <t>Wildomar</t>
  </si>
  <si>
    <t>606 Leaflet Ln</t>
  </si>
  <si>
    <t>wickyx4@att.net</t>
  </si>
  <si>
    <t>Wickstrom</t>
  </si>
  <si>
    <t>David Wickstrom</t>
  </si>
  <si>
    <t>10282 Braemar Way</t>
  </si>
  <si>
    <t>suzannemw119@gmail.com</t>
  </si>
  <si>
    <t>tomahawktj@gmail.com</t>
  </si>
  <si>
    <t>Thomas Williams</t>
  </si>
  <si>
    <t>5070 Shawnee Blvd</t>
  </si>
  <si>
    <t>Schnecksville</t>
  </si>
  <si>
    <t>mikayla.k.c@hotmail.com</t>
  </si>
  <si>
    <t>Cuykendall</t>
  </si>
  <si>
    <t>Mikayla Cuykendall</t>
  </si>
  <si>
    <t>920 Prestwould Dr</t>
  </si>
  <si>
    <t>nanatonkin@yahoo.com</t>
  </si>
  <si>
    <t>fortmolly@yahoo.com</t>
  </si>
  <si>
    <t>Molly Smith</t>
  </si>
  <si>
    <t>2012 Sheffield Ct.</t>
  </si>
  <si>
    <t>skiborose@gmail.com</t>
  </si>
  <si>
    <t>cynthiaspeis@gami.com</t>
  </si>
  <si>
    <t>griffspeis@gmail.com</t>
  </si>
  <si>
    <t>Griffith Speis</t>
  </si>
  <si>
    <t>turgolanas@icloud.com</t>
  </si>
  <si>
    <t>McClaran</t>
  </si>
  <si>
    <t>Nathan McClaran</t>
  </si>
  <si>
    <t>8380 E. OSR</t>
  </si>
  <si>
    <t>Ty Hutchins</t>
  </si>
  <si>
    <t>jp4living@gmail.com</t>
  </si>
  <si>
    <t>chance.blair333@gmail.com</t>
  </si>
  <si>
    <t>Chance Blair</t>
  </si>
  <si>
    <t>1721 S 675 W</t>
  </si>
  <si>
    <t>hcf1@mac.com</t>
  </si>
  <si>
    <t>Flanigan</t>
  </si>
  <si>
    <t>Hannah Flanigan</t>
  </si>
  <si>
    <t>9 Carriage Lane</t>
  </si>
  <si>
    <t>Yarmouth</t>
  </si>
  <si>
    <t>mheob10@hotmail.com</t>
  </si>
  <si>
    <t>danelle_boehm6@yahoo.com</t>
  </si>
  <si>
    <t>Danelle</t>
  </si>
  <si>
    <t>Danelle Boehm</t>
  </si>
  <si>
    <t>2752 34th Street</t>
  </si>
  <si>
    <t>reganlewis95@gmail.com</t>
  </si>
  <si>
    <t>Regan Lewis</t>
  </si>
  <si>
    <t>1408 E. Butterfield Pl</t>
  </si>
  <si>
    <t>Kenilovesku@yahoo.com</t>
  </si>
  <si>
    <t>Mackenzie Lewis</t>
  </si>
  <si>
    <t>1408 E Butterfield Pl</t>
  </si>
  <si>
    <t>Olath</t>
  </si>
  <si>
    <t>boothfwillow@gmail.com</t>
  </si>
  <si>
    <t>Booth</t>
  </si>
  <si>
    <t>Willow Booth</t>
  </si>
  <si>
    <t>308 west state street</t>
  </si>
  <si>
    <t>Caraway</t>
  </si>
  <si>
    <t>ckquartuccio@yahoo.com</t>
  </si>
  <si>
    <t>ariellequartuccio11@gmail.com</t>
  </si>
  <si>
    <t>Quartuccio</t>
  </si>
  <si>
    <t>Arielle Quartuccio</t>
  </si>
  <si>
    <t>9401 E Tecumseh Rd.</t>
  </si>
  <si>
    <t>Brian@cornerstonecustomprinting.com</t>
  </si>
  <si>
    <t>Light</t>
  </si>
  <si>
    <t>Ashley Light</t>
  </si>
  <si>
    <t>149 Claire Drive</t>
  </si>
  <si>
    <t>thedoheny5@yahoo.com</t>
  </si>
  <si>
    <t>shaundoheny@yahoo.com</t>
  </si>
  <si>
    <t>Shaun</t>
  </si>
  <si>
    <t>Doheny</t>
  </si>
  <si>
    <t>Shaun Doheny</t>
  </si>
  <si>
    <t>6321 Halifax Dr. N.</t>
  </si>
  <si>
    <t>Brooklyn Center</t>
  </si>
  <si>
    <t>2l2msmith@gmail.com</t>
  </si>
  <si>
    <t>3guitargirlsmith@gmail.com</t>
  </si>
  <si>
    <t>Macie</t>
  </si>
  <si>
    <t>Macie Smith</t>
  </si>
  <si>
    <t>5444 CR 34</t>
  </si>
  <si>
    <t>amyreilly@hotmail.com</t>
  </si>
  <si>
    <t>jwreilly4@gmail.com</t>
  </si>
  <si>
    <t>Reilly</t>
  </si>
  <si>
    <t>John Reilly</t>
  </si>
  <si>
    <t>2463 Derbyshire Rd</t>
  </si>
  <si>
    <t>info@eitzworld.com</t>
  </si>
  <si>
    <t>Kai</t>
  </si>
  <si>
    <t>Eitzen</t>
  </si>
  <si>
    <t>Kai Eitzen</t>
  </si>
  <si>
    <t>4655 Ponderosa Trail</t>
  </si>
  <si>
    <t>mmkb50@yahoo.com</t>
  </si>
  <si>
    <t>Matthew Branch</t>
  </si>
  <si>
    <t>1025 W 4th ST</t>
  </si>
  <si>
    <t>debby.esposito@gmail.com</t>
  </si>
  <si>
    <t>Alessandra</t>
  </si>
  <si>
    <t>Esposito</t>
  </si>
  <si>
    <t>Alessandra Esposito</t>
  </si>
  <si>
    <t>6770 Stephan Ct</t>
  </si>
  <si>
    <t>Gilroy</t>
  </si>
  <si>
    <t>andreagriffith@me.com</t>
  </si>
  <si>
    <t>Alexandralynngriffith@gmail.com</t>
  </si>
  <si>
    <t>Alexandra Griffith</t>
  </si>
  <si>
    <t>7600 west Ridge Rd.</t>
  </si>
  <si>
    <t>maxskings@gmail.com</t>
  </si>
  <si>
    <t>maxskings23@gmail.com</t>
  </si>
  <si>
    <t>Max Smith</t>
  </si>
  <si>
    <t>9450 Callisto Ct</t>
  </si>
  <si>
    <t>truepath@q.com</t>
  </si>
  <si>
    <t>nic.wildwood@q.com</t>
  </si>
  <si>
    <t>Nic</t>
  </si>
  <si>
    <t>Ansuini</t>
  </si>
  <si>
    <t>Nic Ansuini</t>
  </si>
  <si>
    <t>P.O. Box 270953</t>
  </si>
  <si>
    <t>mariya.gilliland@gmail.com</t>
  </si>
  <si>
    <t>Mariya</t>
  </si>
  <si>
    <t>Mariya Gilliland</t>
  </si>
  <si>
    <t>fayiga@att.net</t>
  </si>
  <si>
    <t>tobifayiga@att.net</t>
  </si>
  <si>
    <t>Olutobiloba</t>
  </si>
  <si>
    <t>Fayiga</t>
  </si>
  <si>
    <t>Olutobiloba Fayiga</t>
  </si>
  <si>
    <t>14850 ROSELAWN LN</t>
  </si>
  <si>
    <t>FRISCO</t>
  </si>
  <si>
    <t>wanda.vandenberg@yahoo.com</t>
  </si>
  <si>
    <t>Bella.m.vandenberg@icloud.com</t>
  </si>
  <si>
    <t>isabel</t>
  </si>
  <si>
    <t>vandenberg</t>
  </si>
  <si>
    <t>isabel vandenberg</t>
  </si>
  <si>
    <t>691 oak canyon court</t>
  </si>
  <si>
    <t>Dpboriack@gmail.com</t>
  </si>
  <si>
    <t>watkins01@windstream.net</t>
  </si>
  <si>
    <t>cottontopblue@gmail.com</t>
  </si>
  <si>
    <t>Adlee</t>
  </si>
  <si>
    <t>Adlee Watkins</t>
  </si>
  <si>
    <t>287 Hwy 285 East</t>
  </si>
  <si>
    <t>casword62@gmail.com</t>
  </si>
  <si>
    <t>Simon Meyer</t>
  </si>
  <si>
    <t>Mound</t>
  </si>
  <si>
    <t>kimpopealton@yahoo.com</t>
  </si>
  <si>
    <t>Clayton Pope</t>
  </si>
  <si>
    <t>68 Danforth Rd</t>
  </si>
  <si>
    <t>Alton</t>
  </si>
  <si>
    <t>kypuros@gmail.com</t>
  </si>
  <si>
    <t>lucianakypuros@gmail.com</t>
  </si>
  <si>
    <t>Luciana</t>
  </si>
  <si>
    <t>Kypuros</t>
  </si>
  <si>
    <t>Luciana Kypuros</t>
  </si>
  <si>
    <t>2027 wimbledon dr</t>
  </si>
  <si>
    <t>allen</t>
  </si>
  <si>
    <t>franochterbeck@sbcglobal.net</t>
  </si>
  <si>
    <t>sunflower_yellow2014@yahoo.com</t>
  </si>
  <si>
    <t>Ochterbeck</t>
  </si>
  <si>
    <t>Hannah Ochterbeck</t>
  </si>
  <si>
    <t>22226 Country View Rd.</t>
  </si>
  <si>
    <t>amlong98@gmail.com</t>
  </si>
  <si>
    <t>Anna Longbons</t>
  </si>
  <si>
    <t>galenesper@gmail.com</t>
  </si>
  <si>
    <t>Galen</t>
  </si>
  <si>
    <t>Esper</t>
  </si>
  <si>
    <t>Galen Esper</t>
  </si>
  <si>
    <t>PO Box 326</t>
  </si>
  <si>
    <t>eareid33@yahoo.com</t>
  </si>
  <si>
    <t>jaceyreid7@gmail.com</t>
  </si>
  <si>
    <t>Jacey</t>
  </si>
  <si>
    <t>Jacey Reid</t>
  </si>
  <si>
    <t>4100 Eagle Valley Drive</t>
  </si>
  <si>
    <t>shildreth@mail.usf.edu</t>
  </si>
  <si>
    <t>Hildreth</t>
  </si>
  <si>
    <t>Shannon Hildreth</t>
  </si>
  <si>
    <t>10117 64th way N</t>
  </si>
  <si>
    <t>forthejoyendured@gmail.com</t>
  </si>
  <si>
    <t>luvkjc@hotmail.com</t>
  </si>
  <si>
    <t>Rodgers</t>
  </si>
  <si>
    <t>Sylvia Rodgers</t>
  </si>
  <si>
    <t>33101 111th St SE</t>
  </si>
  <si>
    <t>clastang40@gmail.com</t>
  </si>
  <si>
    <t>LaStrapes</t>
  </si>
  <si>
    <t>Caleb LaStrapes</t>
  </si>
  <si>
    <t>1405 Fincastle Loop</t>
  </si>
  <si>
    <t>Dinah.Lee@family.org.sg</t>
  </si>
  <si>
    <t>deborahljs@gmail.com</t>
  </si>
  <si>
    <t>Deborah Lee</t>
  </si>
  <si>
    <t>175C Punggol Field</t>
  </si>
  <si>
    <t>15-547</t>
  </si>
  <si>
    <t>nzbusyma@gmail.com</t>
  </si>
  <si>
    <t>bjrobb99@gmail.com</t>
  </si>
  <si>
    <t>Benjamin Robb</t>
  </si>
  <si>
    <t>9 Jasper Ave.</t>
  </si>
  <si>
    <t>Mt. Roskill</t>
  </si>
  <si>
    <t>Auckland</t>
  </si>
  <si>
    <t>ljxdaniel@gmail.com</t>
  </si>
  <si>
    <t>Daniel Lee</t>
  </si>
  <si>
    <t>heatherbitterling@yahoo.com</t>
  </si>
  <si>
    <t>tnzookeeper@yahoo.com</t>
  </si>
  <si>
    <t>Bitterling</t>
  </si>
  <si>
    <t>Savannah Bitterling</t>
  </si>
  <si>
    <t>622 Portland Blvd</t>
  </si>
  <si>
    <t>37177@sjabr.org</t>
  </si>
  <si>
    <t>Melyse</t>
  </si>
  <si>
    <t>Cobb</t>
  </si>
  <si>
    <t>Melyse Cobb</t>
  </si>
  <si>
    <t>4019 White Oak Trace Dr</t>
  </si>
  <si>
    <t>5015 Horseshoe Bend St.</t>
  </si>
  <si>
    <t>bmclendon7@verizon.net</t>
  </si>
  <si>
    <t>unrequiteddreamer1111@gmail.com</t>
  </si>
  <si>
    <t>McLendon</t>
  </si>
  <si>
    <t>Christine McLendon</t>
  </si>
  <si>
    <t>1608 Storington Ave.</t>
  </si>
  <si>
    <t>ben_leslie@comcast.net</t>
  </si>
  <si>
    <t>chessman3000@comcast.net</t>
  </si>
  <si>
    <t>Wilking</t>
  </si>
  <si>
    <t>Benjamin Wilking</t>
  </si>
  <si>
    <t>7709 W Frost Dr</t>
  </si>
  <si>
    <t>theknightfamily@gmail.com</t>
  </si>
  <si>
    <t>knightduke1022@gmail.com</t>
  </si>
  <si>
    <t>Kenneth Knight</t>
  </si>
  <si>
    <t>127 Suntree Lane</t>
  </si>
  <si>
    <t>hknbknhodges@msn.com</t>
  </si>
  <si>
    <t>jjhodges20@gmail.com</t>
  </si>
  <si>
    <t>Hodges</t>
  </si>
  <si>
    <t>Joshua Hodges</t>
  </si>
  <si>
    <t>10215 W. Keene Ave.</t>
  </si>
  <si>
    <t>lacy.feezel@gmail.com</t>
  </si>
  <si>
    <t>linafeez@gmail.com</t>
  </si>
  <si>
    <t>Feezel</t>
  </si>
  <si>
    <t>Caroline Feezel</t>
  </si>
  <si>
    <t>2096 N Lake Drive</t>
  </si>
  <si>
    <t>lmccullough@greenvillechristian.org</t>
  </si>
  <si>
    <t>laineybeth@gmail.com</t>
  </si>
  <si>
    <t>Lainey McCullough</t>
  </si>
  <si>
    <t>3226 County Road 3115</t>
  </si>
  <si>
    <t>anniebick1@aol.com</t>
  </si>
  <si>
    <t>Madeline Bickerstaff</t>
  </si>
  <si>
    <t>andipants13@gmail.com</t>
  </si>
  <si>
    <t>Andrea Hoover</t>
  </si>
  <si>
    <t>3801 Blackwood Lane</t>
  </si>
  <si>
    <t>karinelson@earthlink.net</t>
  </si>
  <si>
    <t>kristanelson@earthlink.net</t>
  </si>
  <si>
    <t>Krista Nelson</t>
  </si>
  <si>
    <t>5584 S. Lansing Ct.</t>
  </si>
  <si>
    <t>dhomann@sbcglobal.net</t>
  </si>
  <si>
    <t>alex.homann98@icloud.com</t>
  </si>
  <si>
    <t>Homann</t>
  </si>
  <si>
    <t>Alexandria Homann</t>
  </si>
  <si>
    <t>21715 Jackson Rd</t>
  </si>
  <si>
    <t>South Bend</t>
  </si>
  <si>
    <t>jlord@watermark.org</t>
  </si>
  <si>
    <t>jessicaklord@gmail.com</t>
  </si>
  <si>
    <t>Lord</t>
  </si>
  <si>
    <t>Jessica Lord</t>
  </si>
  <si>
    <t>1211 Huntington Drive</t>
  </si>
  <si>
    <t>torihomann529@gmail.com</t>
  </si>
  <si>
    <t>Victoria Homann</t>
  </si>
  <si>
    <t>lcrunescapeboy@gmail.com</t>
  </si>
  <si>
    <t>Cloud</t>
  </si>
  <si>
    <t>Logan Cloud</t>
  </si>
  <si>
    <t>339 Michaels Road</t>
  </si>
  <si>
    <t>kk.reckard@gmail.com</t>
  </si>
  <si>
    <t>Reckard</t>
  </si>
  <si>
    <t>Kaela Reckard</t>
  </si>
  <si>
    <t>10302 Suffield Ct.</t>
  </si>
  <si>
    <t>jandkgilliland@comcast.net</t>
  </si>
  <si>
    <t>markg773@gmail.com</t>
  </si>
  <si>
    <t>Mark Gilliland</t>
  </si>
  <si>
    <t>6205 S. Routt</t>
  </si>
  <si>
    <t>Tabbyjoy12@yahoo.com</t>
  </si>
  <si>
    <t>Tabitha</t>
  </si>
  <si>
    <t>Tabitha Dodson</t>
  </si>
  <si>
    <t>1217 Sarasota Dr</t>
  </si>
  <si>
    <t>Jefferson City</t>
  </si>
  <si>
    <t>holts6@gmail.com</t>
  </si>
  <si>
    <t>riaholt@gmail.com</t>
  </si>
  <si>
    <t>Moriah Holt</t>
  </si>
  <si>
    <t>PO Box 19095</t>
  </si>
  <si>
    <t>Colorado City</t>
  </si>
  <si>
    <t>lucyandrickyjm@gmail.com</t>
  </si>
  <si>
    <t>caitlinhofstetter@gmail.com</t>
  </si>
  <si>
    <t>Hofstetter</t>
  </si>
  <si>
    <t>Caitlin Hofstetter</t>
  </si>
  <si>
    <t>100716 Burlington Place</t>
  </si>
  <si>
    <t>jewelmiller3@gmail.com</t>
  </si>
  <si>
    <t>Jewel Miller</t>
  </si>
  <si>
    <t>2256 Morning Dew Ct.</t>
  </si>
  <si>
    <t>ryseely@mchsi.com</t>
  </si>
  <si>
    <t>lyndseypopcorn@icloud.com</t>
  </si>
  <si>
    <t>Seely</t>
  </si>
  <si>
    <t>Lyndsey Seely</t>
  </si>
  <si>
    <t>307 N. Detroit St.</t>
  </si>
  <si>
    <t>kelleyfamily6@gmail.com</t>
  </si>
  <si>
    <t>Deirdre</t>
  </si>
  <si>
    <t>Deirdre Kelley</t>
  </si>
  <si>
    <t>920 S 900 E</t>
  </si>
  <si>
    <t>jessie9511@gmail.com</t>
  </si>
  <si>
    <t>Jessica Vergel</t>
  </si>
  <si>
    <t>jonahmoore99@gmail.com</t>
  </si>
  <si>
    <t>Jonah Moore</t>
  </si>
  <si>
    <t>Christisouthern5@gmail.com</t>
  </si>
  <si>
    <t>connersouthern@yahoo.com</t>
  </si>
  <si>
    <t>Southern</t>
  </si>
  <si>
    <t>Conner Southern</t>
  </si>
  <si>
    <t>PO Box 2352</t>
  </si>
  <si>
    <t>Kernersville</t>
  </si>
  <si>
    <t>aamute@gmail.com</t>
  </si>
  <si>
    <t>elaina.mute@gmail.com</t>
  </si>
  <si>
    <t>Muterspaugh</t>
  </si>
  <si>
    <t>Elaina Muterspaugh</t>
  </si>
  <si>
    <t>2873 Amyvale Ct</t>
  </si>
  <si>
    <t>sarahcomiskeyparsons@gmail.com</t>
  </si>
  <si>
    <t>Comiskey-Parsons</t>
  </si>
  <si>
    <t>Sarah Comiskey-Parsons</t>
  </si>
  <si>
    <t>3583 Ruffin Rd. #113</t>
  </si>
  <si>
    <t>jstigman@gmail.com</t>
  </si>
  <si>
    <t>freetobephoebe@gmail.com</t>
  </si>
  <si>
    <t>Mattson</t>
  </si>
  <si>
    <t>Mackenzie Mattson</t>
  </si>
  <si>
    <t>3868 County Road 44</t>
  </si>
  <si>
    <t>South Haven</t>
  </si>
  <si>
    <t>timandbecky6@yahoo.com</t>
  </si>
  <si>
    <t>franksjonah@gmail.com</t>
  </si>
  <si>
    <t>Rachel Wilson</t>
  </si>
  <si>
    <t>3195 Wateroak Lane</t>
  </si>
  <si>
    <t>Sumter</t>
  </si>
  <si>
    <t>pecanhillschool@aol.com</t>
  </si>
  <si>
    <t>Dalton Shaffer</t>
  </si>
  <si>
    <t>1025 High Rock Trail</t>
  </si>
  <si>
    <t>Vernon Hill</t>
  </si>
  <si>
    <t>Dominique Shaffer</t>
  </si>
  <si>
    <t>springrockfarm@nctc.com</t>
  </si>
  <si>
    <t>Lucy</t>
  </si>
  <si>
    <t>Lucy Baker</t>
  </si>
  <si>
    <t>3497 Westfork Crk Rd</t>
  </si>
  <si>
    <t>johndavid.logan@verizon.net</t>
  </si>
  <si>
    <t>John Logan</t>
  </si>
  <si>
    <t>4008 Abbey Lane</t>
  </si>
  <si>
    <t>tic-terd@att.net</t>
  </si>
  <si>
    <t>Macaylah</t>
  </si>
  <si>
    <t>Macaylah Faulkner</t>
  </si>
  <si>
    <t>13600 79th Street N</t>
  </si>
  <si>
    <t>Fellsmere</t>
  </si>
  <si>
    <t>gabbie.villa@gmail.com</t>
  </si>
  <si>
    <t>Villa</t>
  </si>
  <si>
    <t>Gabriella Villa</t>
  </si>
  <si>
    <t>8180 Dierks Rd</t>
  </si>
  <si>
    <t>capacitor99@hotmail.com</t>
  </si>
  <si>
    <t>Noah Johnson</t>
  </si>
  <si>
    <t>10364 w powers ave</t>
  </si>
  <si>
    <t>littleton</t>
  </si>
  <si>
    <t>rjbudelman@live.com_configioDeactivated</t>
  </si>
  <si>
    <t>bbbonnie3@gmail.com</t>
  </si>
  <si>
    <t>Budelman</t>
  </si>
  <si>
    <t>Bonnie Budelman</t>
  </si>
  <si>
    <t>1406 Chanticleer Lane</t>
  </si>
  <si>
    <t>Kingcasma@aol.com</t>
  </si>
  <si>
    <t>Jonathan Jagt</t>
  </si>
  <si>
    <t>bacloys@gmail.com</t>
  </si>
  <si>
    <t>Cloys</t>
  </si>
  <si>
    <t>Brian Cloys</t>
  </si>
  <si>
    <t>10050 Sandalwood Ln</t>
  </si>
  <si>
    <t>gabesandal.35@gmail.com</t>
  </si>
  <si>
    <t>gabe.sandal1997@gmail.com</t>
  </si>
  <si>
    <t>Gabel</t>
  </si>
  <si>
    <t>Gabel Sandal</t>
  </si>
  <si>
    <t>laurenkengel@gmail.com</t>
  </si>
  <si>
    <t>Lauren Engel</t>
  </si>
  <si>
    <t>josh_proctor@ymail.com</t>
  </si>
  <si>
    <t>jandkproctor@gmail.com</t>
  </si>
  <si>
    <t>Proctor</t>
  </si>
  <si>
    <t>Caroline Proctor</t>
  </si>
  <si>
    <t>273 Saddelbrook Ln.</t>
  </si>
  <si>
    <t>japrahlow@gmail.com</t>
  </si>
  <si>
    <t>Joe Prahlow</t>
  </si>
  <si>
    <t>72456 22nd st.</t>
  </si>
  <si>
    <t>kris.engel@gmail.com</t>
  </si>
  <si>
    <t>joe.engel00@gmail.com</t>
  </si>
  <si>
    <t>joseph</t>
  </si>
  <si>
    <t>joseph Engel</t>
  </si>
  <si>
    <t>8820 Southwood Drive</t>
  </si>
  <si>
    <t>jaldenvpsa@gmail.com</t>
  </si>
  <si>
    <t>John Alden</t>
  </si>
  <si>
    <t>606 Marks Pond Way</t>
  </si>
  <si>
    <t>beckyautry@oca.oakwoodbc.org</t>
  </si>
  <si>
    <t>Autry</t>
  </si>
  <si>
    <t>Joseph Autry</t>
  </si>
  <si>
    <t>twohawks97@yahoo.com</t>
  </si>
  <si>
    <t>Nathanael Holland</t>
  </si>
  <si>
    <t>perriott7@gmail.com</t>
  </si>
  <si>
    <t>mark470@gmail.com</t>
  </si>
  <si>
    <t>Mark Perry</t>
  </si>
  <si>
    <t>9 Woodsey Lane</t>
  </si>
  <si>
    <t>Swannanoa</t>
  </si>
  <si>
    <t>jerrypaul2003@gmail.com</t>
  </si>
  <si>
    <t>calewebber@icloud.com</t>
  </si>
  <si>
    <t>Webber</t>
  </si>
  <si>
    <t>Cale Webber</t>
  </si>
  <si>
    <t>craig.blow@gmail.com</t>
  </si>
  <si>
    <t>Duncanexe@gmail.com</t>
  </si>
  <si>
    <t>Justin Duncan</t>
  </si>
  <si>
    <t>495 Copper Creek Cir</t>
  </si>
  <si>
    <t>gretta.sheehan@gmail.com</t>
  </si>
  <si>
    <t>Gretta</t>
  </si>
  <si>
    <t>Gretta Sheehan</t>
  </si>
  <si>
    <t>5207 West 113th street</t>
  </si>
  <si>
    <t>joyfekete@hotmail.com</t>
  </si>
  <si>
    <t>lfekete1@hotmail.com</t>
  </si>
  <si>
    <t>Lelia</t>
  </si>
  <si>
    <t>Fekete</t>
  </si>
  <si>
    <t>Lelia Fekete</t>
  </si>
  <si>
    <t>102 Crystal rd</t>
  </si>
  <si>
    <t>mchitch51@gmail.com</t>
  </si>
  <si>
    <t>bhitchcock883@gmail.com</t>
  </si>
  <si>
    <t>Hitchcock</t>
  </si>
  <si>
    <t>Benjamin Hitchcock</t>
  </si>
  <si>
    <t>5970 Huddersfield Rd.</t>
  </si>
  <si>
    <t>Macon,</t>
  </si>
  <si>
    <t>mmarcus94@gmail.com</t>
  </si>
  <si>
    <t>Marcus Gutierrez</t>
  </si>
  <si>
    <t>14 Nambe Court</t>
  </si>
  <si>
    <t>amillsaps24@gmail.com</t>
  </si>
  <si>
    <t>amillsaps@gmail.com</t>
  </si>
  <si>
    <t>ChristianHS2016@gmail.com</t>
  </si>
  <si>
    <t>christianhs2016@gmail.com</t>
  </si>
  <si>
    <t>Dill</t>
  </si>
  <si>
    <t>Christian Dill</t>
  </si>
  <si>
    <t>1673 Minot Ave</t>
  </si>
  <si>
    <t>leanonjesus@gmail.com</t>
  </si>
  <si>
    <t>prayandplayball@gmail.com</t>
  </si>
  <si>
    <t>Tucker Griffith</t>
  </si>
  <si>
    <t>1240 Sweet Williams Lane</t>
  </si>
  <si>
    <t>baileyreid13@yahoo.com</t>
  </si>
  <si>
    <t>Bailey Reid</t>
  </si>
  <si>
    <t>7675 S. Harlan Street</t>
  </si>
  <si>
    <t>ejrabs6@yahoo.com</t>
  </si>
  <si>
    <t>Sarah Huffman</t>
  </si>
  <si>
    <t>1308 Emery St.</t>
  </si>
  <si>
    <t>sschueder@hotmail.com</t>
  </si>
  <si>
    <t>meltonalyssa@ccsd.k12.ia.us</t>
  </si>
  <si>
    <t>Melton</t>
  </si>
  <si>
    <t>Alyssa Melton</t>
  </si>
  <si>
    <t>203 e bluff</t>
  </si>
  <si>
    <t>Cherokee</t>
  </si>
  <si>
    <t>3lkman13@gmail.com</t>
  </si>
  <si>
    <t>Everett Kirkman</t>
  </si>
  <si>
    <t>ellyhammitt16@gmail.com</t>
  </si>
  <si>
    <t>Elly</t>
  </si>
  <si>
    <t>Hammitt</t>
  </si>
  <si>
    <t>Elly Hammitt</t>
  </si>
  <si>
    <t>640 CR 16</t>
  </si>
  <si>
    <t>noahhammitt@gmail.com</t>
  </si>
  <si>
    <t>Noah Hammitt</t>
  </si>
  <si>
    <t>jho_hammond@yahoo.com</t>
  </si>
  <si>
    <t>horseloverhammond@gmail.com</t>
  </si>
  <si>
    <t>Sydney Hammond</t>
  </si>
  <si>
    <t>16861 Birchview Dr.</t>
  </si>
  <si>
    <t>hannahjoyotto@gmail.com</t>
  </si>
  <si>
    <t>233 NE 31st STREET</t>
  </si>
  <si>
    <t>99joyfulblessings@gmail.com</t>
  </si>
  <si>
    <t>Michaela Yaste</t>
  </si>
  <si>
    <t>4540 E 250 S</t>
  </si>
  <si>
    <t>jgonzales96@gmail.com</t>
  </si>
  <si>
    <t>ryan.gonzales@live.com</t>
  </si>
  <si>
    <t>Ryan Gonzales</t>
  </si>
  <si>
    <t>1925 Memphis Dr</t>
  </si>
  <si>
    <t>laurenstewardd@gmail.com</t>
  </si>
  <si>
    <t>Steward</t>
  </si>
  <si>
    <t>Lauren Steward</t>
  </si>
  <si>
    <t>Rocca Road</t>
  </si>
  <si>
    <t>Ironton</t>
  </si>
  <si>
    <t>annrenwick61@yahoo.com</t>
  </si>
  <si>
    <t>crenwick98@hotmail.com</t>
  </si>
  <si>
    <t>Caleb Renwick</t>
  </si>
  <si>
    <t>5877-267th St.</t>
  </si>
  <si>
    <t>rlpetersen0@gmail.com</t>
  </si>
  <si>
    <t>Ryan Petersen</t>
  </si>
  <si>
    <t>31 Eisenhower Lane</t>
  </si>
  <si>
    <t>Trabuco Canyon</t>
  </si>
  <si>
    <t>momtwo2@gmail.com</t>
  </si>
  <si>
    <t>anika.jacobi@gmx.ch</t>
  </si>
  <si>
    <t>Aikin</t>
  </si>
  <si>
    <t>Amanda Aikin</t>
  </si>
  <si>
    <t>133 Elizabeth's Way</t>
  </si>
  <si>
    <t>Potterville</t>
  </si>
  <si>
    <t>Garlandon@gmail.com</t>
  </si>
  <si>
    <t>Garrett Landon</t>
  </si>
  <si>
    <t>379 valley bend dr</t>
  </si>
  <si>
    <t>Spring creek</t>
  </si>
  <si>
    <t>greathouse.lisa@yahoo.com</t>
  </si>
  <si>
    <t>lgreathouse@jgsc.k12.in.us</t>
  </si>
  <si>
    <t>Greathouse</t>
  </si>
  <si>
    <t>Lilian Greathouse</t>
  </si>
  <si>
    <t>5323 E State Road 4</t>
  </si>
  <si>
    <t>svenheid@runestone.net</t>
  </si>
  <si>
    <t>drakeswanson98@gmail.com</t>
  </si>
  <si>
    <t>Drake Swanson</t>
  </si>
  <si>
    <t>5801 Co Rd 15 Sw</t>
  </si>
  <si>
    <t>Kensington</t>
  </si>
  <si>
    <t>myshannonigans@gmail.com</t>
  </si>
  <si>
    <t>brettwilliams97@gmail.com</t>
  </si>
  <si>
    <t>Brett Williams</t>
  </si>
  <si>
    <t>3245 Post Oak Dr NW</t>
  </si>
  <si>
    <t>cmittel@yahoo.com</t>
  </si>
  <si>
    <t>natalia.mittelstadt@yahoo.com</t>
  </si>
  <si>
    <t>Natalia</t>
  </si>
  <si>
    <t>Mittelstadt</t>
  </si>
  <si>
    <t>Natalia Mittelstadt</t>
  </si>
  <si>
    <t>345 New Castle Lane</t>
  </si>
  <si>
    <t>Swedesboro</t>
  </si>
  <si>
    <t>wilsondane@comcast.net</t>
  </si>
  <si>
    <t>dinkydomination@gmail.com</t>
  </si>
  <si>
    <t>Roche</t>
  </si>
  <si>
    <t>Connor Roche</t>
  </si>
  <si>
    <t>8412 North Martinson</t>
  </si>
  <si>
    <t>Newman Lake</t>
  </si>
  <si>
    <t>becca.fugiel@yahoo.com</t>
  </si>
  <si>
    <t>Rebecca Fugiel</t>
  </si>
  <si>
    <t>rick.aston@sbcglobal.net</t>
  </si>
  <si>
    <t>thebuckassassin1@gmail.com</t>
  </si>
  <si>
    <t>Aston</t>
  </si>
  <si>
    <t>Caleb Aston</t>
  </si>
  <si>
    <t>12419 Laneview Dr.</t>
  </si>
  <si>
    <t>wagonfam316@gmail.com</t>
  </si>
  <si>
    <t>ps139girl@roadrunner.com</t>
  </si>
  <si>
    <t>Wagoner</t>
  </si>
  <si>
    <t>Hannah Wagoner</t>
  </si>
  <si>
    <t>170 Glendale Drive</t>
  </si>
  <si>
    <t>Elkin</t>
  </si>
  <si>
    <t>davisjustin656@gmail.com</t>
  </si>
  <si>
    <t>Justin Davis</t>
  </si>
  <si>
    <t>1220 Glenway Ave</t>
  </si>
  <si>
    <t>Fruitland</t>
  </si>
  <si>
    <t>mkjcwinter@sbcglobal.net</t>
  </si>
  <si>
    <t>triciaa0515@gmail.com</t>
  </si>
  <si>
    <t>Patricia Winter</t>
  </si>
  <si>
    <t>1012 Powderhorn Dr.</t>
  </si>
  <si>
    <t>adrsparkle98@gmail.com</t>
  </si>
  <si>
    <t>Allison Rowell</t>
  </si>
  <si>
    <t>950 Old Lower Mill Rd</t>
  </si>
  <si>
    <t>3833 Boyer Rd</t>
  </si>
  <si>
    <t>FlyinTrickRider@gmail.com</t>
  </si>
  <si>
    <t>slca98@me.com</t>
  </si>
  <si>
    <t>curlylocks14@me.com</t>
  </si>
  <si>
    <t>Sarah Hollenbeck</t>
  </si>
  <si>
    <t>8630 Delphinium Lane</t>
  </si>
  <si>
    <t>ejenkins7@gmail.com</t>
  </si>
  <si>
    <t>Emma Jenkins</t>
  </si>
  <si>
    <t>peter.yukich@gmail.com</t>
  </si>
  <si>
    <t>Yukich</t>
  </si>
  <si>
    <t>Peter Yukich</t>
  </si>
  <si>
    <t>P.O. Box 1876</t>
  </si>
  <si>
    <t>Hampden Sydney</t>
  </si>
  <si>
    <t>fletchgt500@gmail.com</t>
  </si>
  <si>
    <t>Kenneth Fletcher</t>
  </si>
  <si>
    <t>2753 Misty Rock Cove</t>
  </si>
  <si>
    <t>Dacula</t>
  </si>
  <si>
    <t>superupchuck99@gmail.com</t>
  </si>
  <si>
    <t>Santiago</t>
  </si>
  <si>
    <t>Santiago Lopez</t>
  </si>
  <si>
    <t>engelbrecht_1@hotmail.com</t>
  </si>
  <si>
    <t>sar_bear16@outlook.com</t>
  </si>
  <si>
    <t>Sarah Nelson</t>
  </si>
  <si>
    <t>3699 MacQueen Court</t>
  </si>
  <si>
    <t>godssweet1@gmail.com</t>
  </si>
  <si>
    <t>Shelby Payne</t>
  </si>
  <si>
    <t>5799 county road 29</t>
  </si>
  <si>
    <t>afwhinnen@centurylink.net</t>
  </si>
  <si>
    <t>Whinnen</t>
  </si>
  <si>
    <t>Amelia Whinnen</t>
  </si>
  <si>
    <t>5324 SE 44th Circle</t>
  </si>
  <si>
    <t>mclandess@icloud.com</t>
  </si>
  <si>
    <t>Margaret Landess</t>
  </si>
  <si>
    <t>carajanice@comcast.net</t>
  </si>
  <si>
    <t>cscott57@vols.utk.edutt</t>
  </si>
  <si>
    <t>Cara Scott</t>
  </si>
  <si>
    <t>louise.e.skelton@gmail.com</t>
  </si>
  <si>
    <t>nicholas.l.skelton@gmail.com</t>
  </si>
  <si>
    <t>Skelton</t>
  </si>
  <si>
    <t>Nicholas Skelton</t>
  </si>
  <si>
    <t>49587 W. Valley Circle</t>
  </si>
  <si>
    <t>Shelby Township</t>
  </si>
  <si>
    <t>stevenwwayne98@gmail.com</t>
  </si>
  <si>
    <t>Steven Ward</t>
  </si>
  <si>
    <t>1997 NW 5th Ave.</t>
  </si>
  <si>
    <t>casey_stephany04@aol.com</t>
  </si>
  <si>
    <t>Stephany</t>
  </si>
  <si>
    <t>Casey Stephany</t>
  </si>
  <si>
    <t>11051 Rumford Court</t>
  </si>
  <si>
    <t>ljwicker@mac.com</t>
  </si>
  <si>
    <t>ntwicker@me.com</t>
  </si>
  <si>
    <t>Nathan Wicker</t>
  </si>
  <si>
    <t>raesusu@msn.com</t>
  </si>
  <si>
    <t>PO Box 2132</t>
  </si>
  <si>
    <t>brandymeredith3@gmail.com</t>
  </si>
  <si>
    <t>jmeredith.4444@gmail.com</t>
  </si>
  <si>
    <t>Justin Meredith</t>
  </si>
  <si>
    <t>121 County Road 2202</t>
  </si>
  <si>
    <t>markfox57@gmail.com</t>
  </si>
  <si>
    <t>susannajfox@gmail.com</t>
  </si>
  <si>
    <t>Fox</t>
  </si>
  <si>
    <t>Susanna Fox</t>
  </si>
  <si>
    <t>5500 Joyful Way</t>
  </si>
  <si>
    <t>stirnemanns@comcast.net</t>
  </si>
  <si>
    <t>pencil202@gmail.com</t>
  </si>
  <si>
    <t>Stirnemann</t>
  </si>
  <si>
    <t>Carrie Stirnemann</t>
  </si>
  <si>
    <t>2408 Forest Hills</t>
  </si>
  <si>
    <t>Lake Orion</t>
  </si>
  <si>
    <t>puremich01@gmail.com</t>
  </si>
  <si>
    <t>Nathan Stirnemann</t>
  </si>
  <si>
    <t>2408  Forest Hills Drive</t>
  </si>
  <si>
    <t>fletcherksenia@gmail.com</t>
  </si>
  <si>
    <t>Ksenia</t>
  </si>
  <si>
    <t>Ksenia Fletcher</t>
  </si>
  <si>
    <t>2753 misty rock cove</t>
  </si>
  <si>
    <t>Greebster@msn.com</t>
  </si>
  <si>
    <t>ajgreeb2@gmail.com</t>
  </si>
  <si>
    <t>Greeb</t>
  </si>
  <si>
    <t>Andrew Greeb</t>
  </si>
  <si>
    <t>854 Quass Road</t>
  </si>
  <si>
    <t>Robins</t>
  </si>
  <si>
    <t>lisa.freund@live.com</t>
  </si>
  <si>
    <t>benfreund@live.com</t>
  </si>
  <si>
    <t>Benjamin Freund</t>
  </si>
  <si>
    <t>125 Waterway Drive</t>
  </si>
  <si>
    <t>emzaes@gmail.com</t>
  </si>
  <si>
    <t>Sodergren</t>
  </si>
  <si>
    <t>Emma Sodergren</t>
  </si>
  <si>
    <t>33408  746th Ave</t>
  </si>
  <si>
    <t>rsburby@gmail.com</t>
  </si>
  <si>
    <t>Burby</t>
  </si>
  <si>
    <t>Ethan Burby</t>
  </si>
  <si>
    <t>1022 Lake Harbor Court</t>
  </si>
  <si>
    <t>sandra2paint@gmail.com</t>
  </si>
  <si>
    <t>jameskcauchterlonie@gmail.com</t>
  </si>
  <si>
    <t>Auchterlonie</t>
  </si>
  <si>
    <t>James Auchterlonie</t>
  </si>
  <si>
    <t>stewardgroup@gmail.com_configioDeactivated</t>
  </si>
  <si>
    <t>tsteward0@gmail.com</t>
  </si>
  <si>
    <t>Timothy Steward</t>
  </si>
  <si>
    <t>242 Trail Ridge Rd</t>
  </si>
  <si>
    <t>thompsonair@gmail.com</t>
  </si>
  <si>
    <t>hannahmcthompson@gmail.com</t>
  </si>
  <si>
    <t>Hannah Thompson</t>
  </si>
  <si>
    <t>6059 Del Rio Rd</t>
  </si>
  <si>
    <t>keithokano@gmail.com</t>
  </si>
  <si>
    <t>okanoja@gmail.com</t>
  </si>
  <si>
    <t>Okano</t>
  </si>
  <si>
    <t>Jason Okano</t>
  </si>
  <si>
    <t>4210 Windy Orchard Dr</t>
  </si>
  <si>
    <t>gfernando001@comcast.net</t>
  </si>
  <si>
    <t>Gabrielle Fernando</t>
  </si>
  <si>
    <t>915 Toulouse Lane</t>
  </si>
  <si>
    <t>emandlee123@yahoo.com</t>
  </si>
  <si>
    <t>Emily Fernando</t>
  </si>
  <si>
    <t>915 Touloluse Lane</t>
  </si>
  <si>
    <t>rothfamilyof5@msn.com</t>
  </si>
  <si>
    <t>Roth</t>
  </si>
  <si>
    <t>Jack Roth</t>
  </si>
  <si>
    <t>17449 SE 300th St</t>
  </si>
  <si>
    <t>sarahcborger@icloud.com</t>
  </si>
  <si>
    <t>Sarah Borger</t>
  </si>
  <si>
    <t>51203 Leeward Pt.</t>
  </si>
  <si>
    <t>jonalopez@comcast.net</t>
  </si>
  <si>
    <t>Jonathan Lopez</t>
  </si>
  <si>
    <t>8634 Magnolia Forest Dr.</t>
  </si>
  <si>
    <t>jewelsl7@yahoo.com</t>
  </si>
  <si>
    <t>racinvader7@yahoo.com</t>
  </si>
  <si>
    <t>Appel</t>
  </si>
  <si>
    <t>Andrew Appel</t>
  </si>
  <si>
    <t>8637 Glen Echo Drive</t>
  </si>
  <si>
    <t>mikesbost@hotmail.com</t>
  </si>
  <si>
    <t>soccerben24@outlook.com</t>
  </si>
  <si>
    <t>Bost</t>
  </si>
  <si>
    <t>Benjamin Bost</t>
  </si>
  <si>
    <t>8021 Crosscreek Trail</t>
  </si>
  <si>
    <t>Pfafftown</t>
  </si>
  <si>
    <t>purpleconverse27@gmail.com</t>
  </si>
  <si>
    <t>abigail</t>
  </si>
  <si>
    <t>abigail Rakes</t>
  </si>
  <si>
    <t>10076 Rio Grande blvd NW</t>
  </si>
  <si>
    <t>albuquerque</t>
  </si>
  <si>
    <t>kbocrscs@gmail.com</t>
  </si>
  <si>
    <t>Karalyn</t>
  </si>
  <si>
    <t>Karalyn Brandon</t>
  </si>
  <si>
    <t>steven.esmond@gmail.com</t>
  </si>
  <si>
    <t>caleb.esmond@gmail.com</t>
  </si>
  <si>
    <t>Esmond</t>
  </si>
  <si>
    <t>Caleb Esmond</t>
  </si>
  <si>
    <t>1015 Courtland Avenue</t>
  </si>
  <si>
    <t>macon</t>
  </si>
  <si>
    <t>bubblybiff82@gmail.com</t>
  </si>
  <si>
    <t>Elizabeth Rakes</t>
  </si>
  <si>
    <t>kevinmhoskins@gmail.com</t>
  </si>
  <si>
    <t>kevinmhoskins @gmail.com</t>
  </si>
  <si>
    <t>Kevin Hoskins</t>
  </si>
  <si>
    <t>365 Hibiscus Blvd.</t>
  </si>
  <si>
    <t>ssjb3@yahoo.com</t>
  </si>
  <si>
    <t>emily.sumler@gmail.com</t>
  </si>
  <si>
    <t>Sumler</t>
  </si>
  <si>
    <t>Emily Sumler</t>
  </si>
  <si>
    <t>460 Bull Run Loop</t>
  </si>
  <si>
    <t>Cabot</t>
  </si>
  <si>
    <t>svalentimd@msn.com</t>
  </si>
  <si>
    <t>packamike321@gmail.com</t>
  </si>
  <si>
    <t>Valenti</t>
  </si>
  <si>
    <t>Steven Valenti</t>
  </si>
  <si>
    <t>28971 Davis Lane</t>
  </si>
  <si>
    <t>Highland</t>
  </si>
  <si>
    <t>Rmeyer11@sbcglobal.net</t>
  </si>
  <si>
    <t>Alex Meyer</t>
  </si>
  <si>
    <t>eartowisdom@yahoo.com</t>
  </si>
  <si>
    <t>Theisen</t>
  </si>
  <si>
    <t>Maggie Theisen</t>
  </si>
  <si>
    <t>brian@clanbrown.us</t>
  </si>
  <si>
    <t>bailey@clanbrown.us</t>
  </si>
  <si>
    <t>Bailey Brown</t>
  </si>
  <si>
    <t>7920 Henslow Ct</t>
  </si>
  <si>
    <t>michaelleshan@gmail.com</t>
  </si>
  <si>
    <t>ajleshan@gmail.com</t>
  </si>
  <si>
    <t>Leshan</t>
  </si>
  <si>
    <t>Avery Leshan</t>
  </si>
  <si>
    <t>2608 Foxcreek Dr</t>
  </si>
  <si>
    <t>amyandwhit@bellsouth.net</t>
  </si>
  <si>
    <t>samandwhitaker@gmail.com</t>
  </si>
  <si>
    <t>345 Timber Drive</t>
  </si>
  <si>
    <t>thanagan@indy.rr.com</t>
  </si>
  <si>
    <t>Hanagan</t>
  </si>
  <si>
    <t>Riley Hanagan</t>
  </si>
  <si>
    <t>chrissyeubanks97@yahoo.com</t>
  </si>
  <si>
    <t>Eubanks</t>
  </si>
  <si>
    <t>Christina Eubanks</t>
  </si>
  <si>
    <t>POB 70051</t>
  </si>
  <si>
    <t>nalin@g.clemson.edu</t>
  </si>
  <si>
    <t>14 Carriage Lane</t>
  </si>
  <si>
    <t>mnclark@yahoo.com</t>
  </si>
  <si>
    <t>Christiana Clark</t>
  </si>
  <si>
    <t>1003 Duke Cove</t>
  </si>
  <si>
    <t>ksantley@aol.com</t>
  </si>
  <si>
    <t>bscpiano@gmail.com</t>
  </si>
  <si>
    <t>Santley</t>
  </si>
  <si>
    <t>Brandon Santley</t>
  </si>
  <si>
    <t>1266 Lake Trace Cove</t>
  </si>
  <si>
    <t>mrs.rickydean@gmail.com</t>
  </si>
  <si>
    <t>estefania.laree@gmail.com</t>
  </si>
  <si>
    <t>Estefania</t>
  </si>
  <si>
    <t>Estefania Dean</t>
  </si>
  <si>
    <t>3617 Salon Court</t>
  </si>
  <si>
    <t>tcminahan@cox.net</t>
  </si>
  <si>
    <t>emilycminahan@gmail.com</t>
  </si>
  <si>
    <t>San clemente</t>
  </si>
  <si>
    <t>rm.hay_ewe@yahoo.com</t>
  </si>
  <si>
    <t>Rachel Minahan</t>
  </si>
  <si>
    <t>balos@juno.com</t>
  </si>
  <si>
    <t>michaelbalos14@gmail.com</t>
  </si>
  <si>
    <t>Balos</t>
  </si>
  <si>
    <t>Michael Balos</t>
  </si>
  <si>
    <t>365 South Weiss Circle</t>
  </si>
  <si>
    <t>fourteenergirl52@gmail.com</t>
  </si>
  <si>
    <t>Ethan Jefferson</t>
  </si>
  <si>
    <t>3215 Chateau Morse Ct</t>
  </si>
  <si>
    <t>dr.arj.kecj@hotmail.com</t>
  </si>
  <si>
    <t>CLAXTON</t>
  </si>
  <si>
    <t>JAMES CLAXTON</t>
  </si>
  <si>
    <t>24918 AUGHTON CT</t>
  </si>
  <si>
    <t>SPRING</t>
  </si>
  <si>
    <t>mkmatts@runestone.net</t>
  </si>
  <si>
    <t>Zachary Mattson</t>
  </si>
  <si>
    <t>11674 Co Rd 3</t>
  </si>
  <si>
    <t>kackerman17@mcstangs.org</t>
  </si>
  <si>
    <t>kaylaackerman99@gmail.com</t>
  </si>
  <si>
    <t>Ackerman</t>
  </si>
  <si>
    <t>Kayla Ackerman</t>
  </si>
  <si>
    <t>4836 Rustic Trail</t>
  </si>
  <si>
    <t>carolmknopp@yahoo.com</t>
  </si>
  <si>
    <t>Sarakatie1@gmail.com</t>
  </si>
  <si>
    <t>Sara Knopp</t>
  </si>
  <si>
    <t>46 RD M NE</t>
  </si>
  <si>
    <t>Moses Lake</t>
  </si>
  <si>
    <t>chelseahealey5@gmail.com</t>
  </si>
  <si>
    <t>Chelsea Healey</t>
  </si>
  <si>
    <t>P.O. Box 654</t>
  </si>
  <si>
    <t>604 Park Avenue East</t>
  </si>
  <si>
    <t>Sk</t>
  </si>
  <si>
    <t>S0E 1A0</t>
  </si>
  <si>
    <t>alyssa@swannfamily.net</t>
  </si>
  <si>
    <t>Swann</t>
  </si>
  <si>
    <t>Alyssa Swann</t>
  </si>
  <si>
    <t>11402 Melanie Lane</t>
  </si>
  <si>
    <t>amycnrd@yahoo.com</t>
  </si>
  <si>
    <t>conrad.hgc@gmail.com</t>
  </si>
  <si>
    <t>Hannah Conrad</t>
  </si>
  <si>
    <t>419 Fields Landing Drive</t>
  </si>
  <si>
    <t>rmurph152@gmail.com</t>
  </si>
  <si>
    <t>Rachel Murphy</t>
  </si>
  <si>
    <t>5330 River Basin Ct</t>
  </si>
  <si>
    <t>omcm96@gmail.com</t>
  </si>
  <si>
    <t>Olivia Monroe</t>
  </si>
  <si>
    <t>1814 White Dogwood Road</t>
  </si>
  <si>
    <t>emilyleanne0113@gmail.com</t>
  </si>
  <si>
    <t>Saylor</t>
  </si>
  <si>
    <t>Emily Saylor</t>
  </si>
  <si>
    <t>6621 121 street north</t>
  </si>
  <si>
    <t>tbluvshair@gmail.com</t>
  </si>
  <si>
    <t>Bianco</t>
  </si>
  <si>
    <t>Teresa Bianco</t>
  </si>
  <si>
    <t>203 Brookside Dr</t>
  </si>
  <si>
    <t>kjpartin@bellsouth.net</t>
  </si>
  <si>
    <t>Kathryn Partin</t>
  </si>
  <si>
    <t>jefflaurebell@hotmail.com</t>
  </si>
  <si>
    <t>patrickb97@hotmail.com</t>
  </si>
  <si>
    <t>Patrick Bell</t>
  </si>
  <si>
    <t>178 Sunnyland Dr.</t>
  </si>
  <si>
    <t>kinniburgh@telus.net</t>
  </si>
  <si>
    <t>paigek@telus.net</t>
  </si>
  <si>
    <t>Kinniburgh</t>
  </si>
  <si>
    <t>Paige Kinniburgh</t>
  </si>
  <si>
    <t>70 Arbour Vista Close NW</t>
  </si>
  <si>
    <t>T3G 5P4</t>
  </si>
  <si>
    <t>deehrke99@gmail.com</t>
  </si>
  <si>
    <t>David Ehrke</t>
  </si>
  <si>
    <t>PO Box 985</t>
  </si>
  <si>
    <t>11 James</t>
  </si>
  <si>
    <t>Abigail Ruhlmann</t>
  </si>
  <si>
    <t>5107 Bluestem</t>
  </si>
  <si>
    <t>jtatumso@gmail.com</t>
  </si>
  <si>
    <t>Julia Sorrell</t>
  </si>
  <si>
    <t>2313 N. Maplewood Ave.</t>
  </si>
  <si>
    <t>sixdurees@yahoo.com</t>
  </si>
  <si>
    <t>Duree</t>
  </si>
  <si>
    <t>Julianne Duree</t>
  </si>
  <si>
    <t>2750 N. Halstead</t>
  </si>
  <si>
    <t>lbwead@gmail.com</t>
  </si>
  <si>
    <t>warriorwead@gmail.com</t>
  </si>
  <si>
    <t>Colten</t>
  </si>
  <si>
    <t>Wead</t>
  </si>
  <si>
    <t>Colten Wead</t>
  </si>
  <si>
    <t>325 Road 6BU</t>
  </si>
  <si>
    <t>alex.wead@gmail.com</t>
  </si>
  <si>
    <t>Alexandria Wead</t>
  </si>
  <si>
    <t>j.castrow@icloud.com</t>
  </si>
  <si>
    <t>dawnvan98@gmail.com</t>
  </si>
  <si>
    <t>Shyrell</t>
  </si>
  <si>
    <t>Van Arsdale</t>
  </si>
  <si>
    <t>Shyrell Van Arsdale</t>
  </si>
  <si>
    <t>14138 Castor ST</t>
  </si>
  <si>
    <t>a.tetreault@live.com</t>
  </si>
  <si>
    <t>j.itetreault@icloud.com</t>
  </si>
  <si>
    <t>Tetreault</t>
  </si>
  <si>
    <t>Joseph Tetreault</t>
  </si>
  <si>
    <t>58 Clifford St.</t>
  </si>
  <si>
    <t>Pawtucket</t>
  </si>
  <si>
    <t>RI</t>
  </si>
  <si>
    <t>mkhaselden097@gmail.com</t>
  </si>
  <si>
    <t>Haselden</t>
  </si>
  <si>
    <t>Mary Haselden</t>
  </si>
  <si>
    <t>9325 Gunston Rd</t>
  </si>
  <si>
    <t>jimmybazen@gmail.com</t>
  </si>
  <si>
    <t>James Bazen</t>
  </si>
  <si>
    <t>3365 Brook Hollow Dr</t>
  </si>
  <si>
    <t>sarahpaga@gmail.com</t>
  </si>
  <si>
    <t>Paga</t>
  </si>
  <si>
    <t>Sarah Paga</t>
  </si>
  <si>
    <t>7daysofcreation@gmail.com</t>
  </si>
  <si>
    <t>gbhunter98@gmail.com</t>
  </si>
  <si>
    <t>Ball</t>
  </si>
  <si>
    <t>Garrett Ball</t>
  </si>
  <si>
    <t>6249 Mt. Hermon Rock Creek Rd.</t>
  </si>
  <si>
    <t>Snow Camp</t>
  </si>
  <si>
    <t>katherinewhiteman2@gmail.com</t>
  </si>
  <si>
    <t>Whiteman</t>
  </si>
  <si>
    <t>Katherine Whiteman</t>
  </si>
  <si>
    <t>4007 Norwood St.</t>
  </si>
  <si>
    <t>Aidenwead027@gmail.com</t>
  </si>
  <si>
    <t>Aiden</t>
  </si>
  <si>
    <t>Aiden Wead</t>
  </si>
  <si>
    <t>510 Cardon Ridge Dr.</t>
  </si>
  <si>
    <t>Smithfield</t>
  </si>
  <si>
    <t>aprilmathewson@comcast.net</t>
  </si>
  <si>
    <t>katiebugmat@gmail.com</t>
  </si>
  <si>
    <t>Mathewson</t>
  </si>
  <si>
    <t>Katie Mathewson</t>
  </si>
  <si>
    <t>10102 SW Riverview Circle</t>
  </si>
  <si>
    <t>tsakjhasegawa@gmail.com</t>
  </si>
  <si>
    <t>jh.stormrunner@gmail.com</t>
  </si>
  <si>
    <t>Hasegawa</t>
  </si>
  <si>
    <t>Jared Hasegawa</t>
  </si>
  <si>
    <t>12622 Palomar St.</t>
  </si>
  <si>
    <t>mschultz4@lssu.edu</t>
  </si>
  <si>
    <t>Mark Schultz</t>
  </si>
  <si>
    <t>bennielillie@gmail.com</t>
  </si>
  <si>
    <t>Mary Lillie</t>
  </si>
  <si>
    <t>hwil6@cvcaroyals.org</t>
  </si>
  <si>
    <t>willshallie@gmail.com</t>
  </si>
  <si>
    <t>Hallie Wills</t>
  </si>
  <si>
    <t>8043 N. Gannett Rd.</t>
  </si>
  <si>
    <t>Sagamore Hills</t>
  </si>
  <si>
    <t>awesomergrays@gmail.com_configioDeactivated</t>
  </si>
  <si>
    <t>Julia Gray</t>
  </si>
  <si>
    <t>crabbienguyen@gmail.com</t>
  </si>
  <si>
    <t>Van Thanh</t>
  </si>
  <si>
    <t>Van Thanh Nguyen</t>
  </si>
  <si>
    <t>tyjung1024@gmail.com</t>
  </si>
  <si>
    <t>Taeyeong</t>
  </si>
  <si>
    <t>Taeyeong Jung</t>
  </si>
  <si>
    <t>Gwangmyeong-ro 877</t>
  </si>
  <si>
    <t>Gwangmyeongsi</t>
  </si>
  <si>
    <t>Gyeonggi-do</t>
  </si>
  <si>
    <t>hztheway@comcast.net</t>
  </si>
  <si>
    <t>crowleyjacob00@gmail.com</t>
  </si>
  <si>
    <t>Jacob Crowley</t>
  </si>
  <si>
    <t>125 Maverick Ct</t>
  </si>
  <si>
    <t>allisonlynnbasore14@gmail.com</t>
  </si>
  <si>
    <t>Basore</t>
  </si>
  <si>
    <t>Allison Basore</t>
  </si>
  <si>
    <t>543 Main St</t>
  </si>
  <si>
    <t>tbyrdargall@gmail.com</t>
  </si>
  <si>
    <t>kat4youngearth@gmail.com</t>
  </si>
  <si>
    <t>Katharine</t>
  </si>
  <si>
    <t>Argall</t>
  </si>
  <si>
    <t>Katharine Argall</t>
  </si>
  <si>
    <t>314 Windsor Falls Dr</t>
  </si>
  <si>
    <t>angorarabbott@gmail.com</t>
  </si>
  <si>
    <t>Adeline</t>
  </si>
  <si>
    <t>Adeline Abbott</t>
  </si>
  <si>
    <t>dlivsey17@mcstangs.org</t>
  </si>
  <si>
    <t>DMLivsey@gmail.com</t>
  </si>
  <si>
    <t>Deverie</t>
  </si>
  <si>
    <t>Livsey</t>
  </si>
  <si>
    <t>Deverie Livsey</t>
  </si>
  <si>
    <t>3617 West Wadley</t>
  </si>
  <si>
    <t>dkirk@tctelco.net</t>
  </si>
  <si>
    <t>16ckirk@cgrove417.org</t>
  </si>
  <si>
    <t>Caleb Kirk</t>
  </si>
  <si>
    <t>262 US Hwy 56</t>
  </si>
  <si>
    <t>16mtischhauser@cgrove417.org</t>
  </si>
  <si>
    <t>Tischhauser</t>
  </si>
  <si>
    <t>Madison Tischhauser</t>
  </si>
  <si>
    <t>1353 S 1800 Rd</t>
  </si>
  <si>
    <t>Wilsey</t>
  </si>
  <si>
    <t>heatherraeharris@gmail.com</t>
  </si>
  <si>
    <t>tharris17@mcstangs.org</t>
  </si>
  <si>
    <t>Tristan Harris</t>
  </si>
  <si>
    <t>4604 Woodbar Court</t>
  </si>
  <si>
    <t>theneels@hotmail.com</t>
  </si>
  <si>
    <t>Neel</t>
  </si>
  <si>
    <t>Aidan Neel</t>
  </si>
  <si>
    <t>innocomp@nb.net</t>
  </si>
  <si>
    <t>011ArtLover110@gmail.com</t>
  </si>
  <si>
    <t>Grumbine</t>
  </si>
  <si>
    <t>Ruth Grumbine</t>
  </si>
  <si>
    <t>146 Castle Farms Road</t>
  </si>
  <si>
    <t>Altoona</t>
  </si>
  <si>
    <t>bubbablaster@yahoo.com</t>
  </si>
  <si>
    <t>Samantha Chapman</t>
  </si>
  <si>
    <t>jeff.lovelady@shawinc.com</t>
  </si>
  <si>
    <t>ffl1998@yahoo.com</t>
  </si>
  <si>
    <t>Lovelady</t>
  </si>
  <si>
    <t>Faith Lovelady</t>
  </si>
  <si>
    <t>701 Centerpoint Rd</t>
  </si>
  <si>
    <t>moyerts15@students.crown.edu</t>
  </si>
  <si>
    <t>Taylor Moyer</t>
  </si>
  <si>
    <t>1871 313th Ave NE</t>
  </si>
  <si>
    <t>nikkivanhandel@gmail.com</t>
  </si>
  <si>
    <t>Nikki</t>
  </si>
  <si>
    <t>Nikki VanHandel</t>
  </si>
  <si>
    <t>remjjm@gmail.com_configioDeactivated</t>
  </si>
  <si>
    <t>ecmrjm18@gmail.com</t>
  </si>
  <si>
    <t>Monson</t>
  </si>
  <si>
    <t>Eric Monson</t>
  </si>
  <si>
    <t>311 Live Oak Lane</t>
  </si>
  <si>
    <t>dydowling@sabrenation.org</t>
  </si>
  <si>
    <t>Delaney</t>
  </si>
  <si>
    <t>Delaney Dowling</t>
  </si>
  <si>
    <t>14 Riverbanks Ct.</t>
  </si>
  <si>
    <t>cranderson@sabrenation.org</t>
  </si>
  <si>
    <t>129 River Way Dr</t>
  </si>
  <si>
    <t>elizabethr.charles@yahoo.com</t>
  </si>
  <si>
    <t>Julberthy</t>
  </si>
  <si>
    <t>Julberthy Charles</t>
  </si>
  <si>
    <t>3451 Riverina Dr</t>
  </si>
  <si>
    <t>rjturngren@hotmail.com</t>
  </si>
  <si>
    <t>Rebecca Turngren</t>
  </si>
  <si>
    <t>Emily Lampman</t>
  </si>
  <si>
    <t>drjco@hotmail.com</t>
  </si>
  <si>
    <t>sylviegrace98@icloud.com</t>
  </si>
  <si>
    <t>Sylvie</t>
  </si>
  <si>
    <t>Sylvie Johnson</t>
  </si>
  <si>
    <t>robotanimalover@gmail.com</t>
  </si>
  <si>
    <t>545 N. Oliver Rd</t>
  </si>
  <si>
    <t>cme23@aol.com</t>
  </si>
  <si>
    <t>Jameshansen1011@gmail.com</t>
  </si>
  <si>
    <t>James Hansen</t>
  </si>
  <si>
    <t>7511 NW 7th Street</t>
  </si>
  <si>
    <t>mccallemail@aol.com</t>
  </si>
  <si>
    <t>mccalwil000@students.centergrove.k12.in.us</t>
  </si>
  <si>
    <t>McCall</t>
  </si>
  <si>
    <t>Will McCall</t>
  </si>
  <si>
    <t>4489 Annelo Drive</t>
  </si>
  <si>
    <t>yagerfarm@gmail.com</t>
  </si>
  <si>
    <t>spongeyboy@outlook.com</t>
  </si>
  <si>
    <t>Gilford</t>
  </si>
  <si>
    <t>Sees The Ground Jr.</t>
  </si>
  <si>
    <t>Gilford Sees The Ground Jr.</t>
  </si>
  <si>
    <t>P.O. Box 147</t>
  </si>
  <si>
    <t>sophiasanders2016@gmail.com</t>
  </si>
  <si>
    <t>Sophia Sanders</t>
  </si>
  <si>
    <t>7323 South Southside Blvd</t>
  </si>
  <si>
    <t>Zachariah</t>
  </si>
  <si>
    <t>Zachariah Sanders</t>
  </si>
  <si>
    <t>7323 South Southside</t>
  </si>
  <si>
    <t>cperkinsbryan@aol.com</t>
  </si>
  <si>
    <t>kperkins17@bcseagles.org</t>
  </si>
  <si>
    <t>Kendall Perkins</t>
  </si>
  <si>
    <t>18643 Iroquois Cove</t>
  </si>
  <si>
    <t>jtuck24@gmail.com</t>
  </si>
  <si>
    <t>etuck97@gmail.com</t>
  </si>
  <si>
    <t>Ethan Tucker</t>
  </si>
  <si>
    <t>111 Copperfield Ct</t>
  </si>
  <si>
    <t>ml4hisglory@gmail.com</t>
  </si>
  <si>
    <t>mallen@stumail.fhtc.edu</t>
  </si>
  <si>
    <t>Megan Allen</t>
  </si>
  <si>
    <t>1998 S 400 Rd</t>
  </si>
  <si>
    <t>tenifayiga@att.net</t>
  </si>
  <si>
    <t>Obateniola</t>
  </si>
  <si>
    <t>Obateniola Fayiga</t>
  </si>
  <si>
    <t>don.mathis@cfl.rr.com</t>
  </si>
  <si>
    <t>math11698829@evangel.edu</t>
  </si>
  <si>
    <t>Mathis</t>
  </si>
  <si>
    <t>Michael Mathis</t>
  </si>
  <si>
    <t>14024 Bramble Bush Ct</t>
  </si>
  <si>
    <t>marilyn@crosspointbible.org</t>
  </si>
  <si>
    <t>garrett.busenitz@agps.org</t>
  </si>
  <si>
    <t>Garrett Busenitz</t>
  </si>
  <si>
    <t>2141 Boyd St</t>
  </si>
  <si>
    <t>tom@jthawes.com</t>
  </si>
  <si>
    <t>the.reagan.fan@gmail.com</t>
  </si>
  <si>
    <t>Samuel Hawes</t>
  </si>
  <si>
    <t>818 Sycamore Creek</t>
  </si>
  <si>
    <t>figgfam@att.net</t>
  </si>
  <si>
    <t>jdfkeys88@icloud.com</t>
  </si>
  <si>
    <t>Jonathan Figg</t>
  </si>
  <si>
    <t>5585 San Jacinto Avenue</t>
  </si>
  <si>
    <t>evviehunter@gmail.com</t>
  </si>
  <si>
    <t>Dorothy</t>
  </si>
  <si>
    <t>Dorothy Hunter</t>
  </si>
  <si>
    <t>kddmn@comcast.net</t>
  </si>
  <si>
    <t>Kimberly</t>
  </si>
  <si>
    <t>Kimberly Davis</t>
  </si>
  <si>
    <t>15244 Elm Road</t>
  </si>
  <si>
    <t>monroetj@hughes.net</t>
  </si>
  <si>
    <t>jonroe333@gmail.com</t>
  </si>
  <si>
    <t>Joel Monroe</t>
  </si>
  <si>
    <t>19763 Foggy Bottom Rd</t>
  </si>
  <si>
    <t>alitelife@gmail.com</t>
  </si>
  <si>
    <t>im2kkool4u@gmail.com</t>
  </si>
  <si>
    <t>Kalauna</t>
  </si>
  <si>
    <t>Nunns</t>
  </si>
  <si>
    <t>Kalauna Nunns</t>
  </si>
  <si>
    <t>13003 El Morado St.</t>
  </si>
  <si>
    <t>cassiejoy@mac.com</t>
  </si>
  <si>
    <t>Cassandra Kelemen</t>
  </si>
  <si>
    <t>broctonnunns@gmail.com</t>
  </si>
  <si>
    <t>Brocton</t>
  </si>
  <si>
    <t>Brocton Nunns</t>
  </si>
  <si>
    <t>13003 El Morado</t>
  </si>
  <si>
    <t>tammypeterson1530@gmail.com</t>
  </si>
  <si>
    <t>tsp1999@me.com</t>
  </si>
  <si>
    <t>Tristan Peterson</t>
  </si>
  <si>
    <t>625 Oakwood St</t>
  </si>
  <si>
    <t>Lowell</t>
  </si>
  <si>
    <t>becky.hollenkamp@hotmail.com</t>
  </si>
  <si>
    <t>calebkey@outlook.com</t>
  </si>
  <si>
    <t>Hollenkamp</t>
  </si>
  <si>
    <t>Caleb Hollenkamp</t>
  </si>
  <si>
    <t>7203 Gleason Road</t>
  </si>
  <si>
    <t>happiestgirl72@juno.com</t>
  </si>
  <si>
    <t>morgantrageser@yahoo.com</t>
  </si>
  <si>
    <t>Trageser</t>
  </si>
  <si>
    <t>Morgan Trageser</t>
  </si>
  <si>
    <t>468 Champagne Circle</t>
  </si>
  <si>
    <t>Port Orange</t>
  </si>
  <si>
    <t>caroldacosta@gmail.com</t>
  </si>
  <si>
    <t>Zach.s.dacosta@icloud.com</t>
  </si>
  <si>
    <t>DaCosta</t>
  </si>
  <si>
    <t>Zachary DaCosta</t>
  </si>
  <si>
    <t>6002 begonia way</t>
  </si>
  <si>
    <t>Hanahan</t>
  </si>
  <si>
    <t>jwomic@bellsouth.net</t>
  </si>
  <si>
    <t>jh@womick.org</t>
  </si>
  <si>
    <t>Womick</t>
  </si>
  <si>
    <t>Jacob Womick</t>
  </si>
  <si>
    <t>125 Colfax Dr</t>
  </si>
  <si>
    <t>mklefsaas@gmail.com</t>
  </si>
  <si>
    <t>Emmeline</t>
  </si>
  <si>
    <t>Emmeline Klefsaas</t>
  </si>
  <si>
    <t>brent@haverkamp-properties.com</t>
  </si>
  <si>
    <t>Colehaverkamp@gmail.com</t>
  </si>
  <si>
    <t>Cole Haverkamp</t>
  </si>
  <si>
    <t>debbiemeyer3@msn.com</t>
  </si>
  <si>
    <t>tatumm.6@gmail.com</t>
  </si>
  <si>
    <t>Tatum Meyer</t>
  </si>
  <si>
    <t>1835 Chelsea Lane</t>
  </si>
  <si>
    <t>pippomoyer@gmail.com</t>
  </si>
  <si>
    <t>Phillip Moyer</t>
  </si>
  <si>
    <t>30919 NE Carnation Farm Rd</t>
  </si>
  <si>
    <t>Carnation</t>
  </si>
  <si>
    <t>talon67@yahoo.com</t>
  </si>
  <si>
    <t>mpackers1999@icloud.com</t>
  </si>
  <si>
    <t>Marissa Becker</t>
  </si>
  <si>
    <t>E4619 County Road FF</t>
  </si>
  <si>
    <t>Boyceville</t>
  </si>
  <si>
    <t>charliepretzer12@gmail.com</t>
  </si>
  <si>
    <t>Pretzer</t>
  </si>
  <si>
    <t>Charles Pretzer</t>
  </si>
  <si>
    <t>311 North Washington</t>
  </si>
  <si>
    <t>engler@tctelco.net</t>
  </si>
  <si>
    <t>nathaniel.engler@gmail.com</t>
  </si>
  <si>
    <t>Engler</t>
  </si>
  <si>
    <t>Nathaniel Engler</t>
  </si>
  <si>
    <t>104 Reed</t>
  </si>
  <si>
    <t>P.O. Box 56</t>
  </si>
  <si>
    <t>ksjeffries81@yahoo.com</t>
  </si>
  <si>
    <t>rdjeffries97@gmail.com</t>
  </si>
  <si>
    <t>Jeffries</t>
  </si>
  <si>
    <t>Ryan Jeffries</t>
  </si>
  <si>
    <t>674 John High Road</t>
  </si>
  <si>
    <t>staci_masson@hotmail.com</t>
  </si>
  <si>
    <t>Arianna.Masson@gmail.com</t>
  </si>
  <si>
    <t>Masson</t>
  </si>
  <si>
    <t>Arianna Masson</t>
  </si>
  <si>
    <t>2600 Hackberry Road</t>
  </si>
  <si>
    <t>sydcrow@embarqmail.com</t>
  </si>
  <si>
    <t>Crow</t>
  </si>
  <si>
    <t>Sydnee Crow</t>
  </si>
  <si>
    <t>P.O. Box 2979</t>
  </si>
  <si>
    <t>Lake Placid</t>
  </si>
  <si>
    <t>elaine@bann.com</t>
  </si>
  <si>
    <t>Isabella@bann.com</t>
  </si>
  <si>
    <t>Bann</t>
  </si>
  <si>
    <t>Isabella Bann</t>
  </si>
  <si>
    <t>Rua Band. Sampaio Soares 400</t>
  </si>
  <si>
    <t>Sao Paulo</t>
  </si>
  <si>
    <t>SP</t>
  </si>
  <si>
    <t>05688-010</t>
  </si>
  <si>
    <t>jfpoolut@gmail.com</t>
  </si>
  <si>
    <t>Jeffrey Pool</t>
  </si>
  <si>
    <t>129 W. Pat Ohara Dr.</t>
  </si>
  <si>
    <t>rcvall@msn.com</t>
  </si>
  <si>
    <t>ashvall99@gmail.com</t>
  </si>
  <si>
    <t>Ashlely</t>
  </si>
  <si>
    <t>Vallejo</t>
  </si>
  <si>
    <t>Ashlely Vallejo</t>
  </si>
  <si>
    <t>2299 Camino Largo Drive</t>
  </si>
  <si>
    <t>terrifechtel@gmail.com</t>
  </si>
  <si>
    <t>hannah.fechtel@gmail.com</t>
  </si>
  <si>
    <t>Fechtel</t>
  </si>
  <si>
    <t>Hannah Fechtel</t>
  </si>
  <si>
    <t>531 E. County Line Road</t>
  </si>
  <si>
    <t>susanneprickett@live.com</t>
  </si>
  <si>
    <t>Zoey</t>
  </si>
  <si>
    <t>Prickett</t>
  </si>
  <si>
    <t>Zoey Prickett</t>
  </si>
  <si>
    <t>2565 Winder Drive</t>
  </si>
  <si>
    <t>LLenzkes@gmail.com</t>
  </si>
  <si>
    <t>baylenzkes@gmail.com</t>
  </si>
  <si>
    <t>Lenzkes</t>
  </si>
  <si>
    <t>Baylee Lenzkes</t>
  </si>
  <si>
    <t>9505 Hinton Drive</t>
  </si>
  <si>
    <t>carlrobinlee@msn.com</t>
  </si>
  <si>
    <t>reaganelee430@gmail.com</t>
  </si>
  <si>
    <t>Reagan Lee</t>
  </si>
  <si>
    <t>6395 Parkhill Rd</t>
  </si>
  <si>
    <t>Santa Margarita</t>
  </si>
  <si>
    <t>tomandcher@cox.net</t>
  </si>
  <si>
    <t>paulpowell3@gmail.com</t>
  </si>
  <si>
    <t>Paul Powell</t>
  </si>
  <si>
    <t>16541 Cottonwood St</t>
  </si>
  <si>
    <t>krisemy@cox.net</t>
  </si>
  <si>
    <t>kriselet@yahoo.com</t>
  </si>
  <si>
    <t>Letkiewicz</t>
  </si>
  <si>
    <t>Kristen Letkiewicz</t>
  </si>
  <si>
    <t>8468 Brody Marsh Ave</t>
  </si>
  <si>
    <t>noahdog@icloud.com</t>
  </si>
  <si>
    <t>Noah Letkiewicz</t>
  </si>
  <si>
    <t>freakysoccerlover@gmail.com</t>
  </si>
  <si>
    <t>Alicia Letkiewicz</t>
  </si>
  <si>
    <t>hanna.jane16@gmail.com</t>
  </si>
  <si>
    <t>Bruegger</t>
  </si>
  <si>
    <t>Hannah Bruegger</t>
  </si>
  <si>
    <t>7003 Horn Point Ct.</t>
  </si>
  <si>
    <t>Fort Belvoir</t>
  </si>
  <si>
    <t>everlastingfather97@yahoo.com</t>
  </si>
  <si>
    <t>Teresa McCoy</t>
  </si>
  <si>
    <t>27 Steep Rd</t>
  </si>
  <si>
    <t>Roundup</t>
  </si>
  <si>
    <t>watsonrlco@gmail.com</t>
  </si>
  <si>
    <t>renee@ninewatsons.com</t>
  </si>
  <si>
    <t>Renee Watson</t>
  </si>
  <si>
    <t>5299 S. Manitou Rd.</t>
  </si>
  <si>
    <t>pjgarrison@netzero.com</t>
  </si>
  <si>
    <t>GrantGarrison5@gmail.com</t>
  </si>
  <si>
    <t>Grant Garrison</t>
  </si>
  <si>
    <t>40756 CO. RD. 653</t>
  </si>
  <si>
    <t>Paw Paw</t>
  </si>
  <si>
    <t>djblake62@gmail.com</t>
  </si>
  <si>
    <t>anniebananie1999@gmail.com</t>
  </si>
  <si>
    <t>Anna Blake</t>
  </si>
  <si>
    <t>14934 119th Ave</t>
  </si>
  <si>
    <t>wwjd@wvi.com</t>
  </si>
  <si>
    <t>Trahan</t>
  </si>
  <si>
    <t>Megan Trahan</t>
  </si>
  <si>
    <t>PO Box 62</t>
  </si>
  <si>
    <t>Stayton</t>
  </si>
  <si>
    <t>jcl_goal@yahoo.com_configioDeactivated</t>
  </si>
  <si>
    <t>stl_cardinals1@att.net</t>
  </si>
  <si>
    <t>Cortes</t>
  </si>
  <si>
    <t>Christian Cortes</t>
  </si>
  <si>
    <t>7056 Dorval Rd.</t>
  </si>
  <si>
    <t>sheims2@gmail.com</t>
  </si>
  <si>
    <t>Kayko104@gmail.com</t>
  </si>
  <si>
    <t>Heims</t>
  </si>
  <si>
    <t>Kaitlyn Heims</t>
  </si>
  <si>
    <t>950 78th Place</t>
  </si>
  <si>
    <t>marinapuebla@yahoo.com</t>
  </si>
  <si>
    <t>Puebla</t>
  </si>
  <si>
    <t>Ivan Puebla</t>
  </si>
  <si>
    <t>po box 183</t>
  </si>
  <si>
    <t>felt</t>
  </si>
  <si>
    <t>jodi.reeves@allen.k12.la.us</t>
  </si>
  <si>
    <t>dalt.reeves@gmail.com</t>
  </si>
  <si>
    <t>Dalton Reeves</t>
  </si>
  <si>
    <t>PO Box 5</t>
  </si>
  <si>
    <t>Mittie</t>
  </si>
  <si>
    <t>sgreenjean@yahoo.com</t>
  </si>
  <si>
    <t>fireball98@me.com</t>
  </si>
  <si>
    <t>Austin Green</t>
  </si>
  <si>
    <t>1815 Vistillas Road</t>
  </si>
  <si>
    <t>Tvcs@fmtc.com</t>
  </si>
  <si>
    <t>Mitchell Griffin</t>
  </si>
  <si>
    <t>610 NW 14th St.</t>
  </si>
  <si>
    <t>jkhaak@juno.com</t>
  </si>
  <si>
    <t>Haak</t>
  </si>
  <si>
    <t>Jaclyn Haak</t>
  </si>
  <si>
    <t>6177 Warner Ave. S</t>
  </si>
  <si>
    <t>Pine Springs</t>
  </si>
  <si>
    <t>kimmeysuet@gmail.com</t>
  </si>
  <si>
    <t>loganlevi34@gmail.com</t>
  </si>
  <si>
    <t>Logan Thompson</t>
  </si>
  <si>
    <t>10530 E Wethersfield Rd</t>
  </si>
  <si>
    <t>ssckeith@hotmail.com</t>
  </si>
  <si>
    <t>htindall2017@gmail.com</t>
  </si>
  <si>
    <t>Tindall</t>
  </si>
  <si>
    <t>Hannah Tindall</t>
  </si>
  <si>
    <t>552 Joy Court</t>
  </si>
  <si>
    <t>South Sioux City</t>
  </si>
  <si>
    <t>voice4Christ11@gmail.com</t>
  </si>
  <si>
    <t>Kalei</t>
  </si>
  <si>
    <t>Swogger</t>
  </si>
  <si>
    <t>Kalei Swogger</t>
  </si>
  <si>
    <t>1 Creekside Dr.</t>
  </si>
  <si>
    <t>rkatcc@blomand.net</t>
  </si>
  <si>
    <t>Bryan Knowles</t>
  </si>
  <si>
    <t>199 Cherry Creek Road</t>
  </si>
  <si>
    <t>sam_ingalls@yahoo.com</t>
  </si>
  <si>
    <t>Samantha Ingalls</t>
  </si>
  <si>
    <t>5 Bolduc Drive</t>
  </si>
  <si>
    <t>Ledyard</t>
  </si>
  <si>
    <t>ms@smithcircle.com</t>
  </si>
  <si>
    <t>nutmeg@smithcircle.com</t>
  </si>
  <si>
    <t>Lauren Smith</t>
  </si>
  <si>
    <t>20040 Hilltop Ranch Dr</t>
  </si>
  <si>
    <t>lydialinn@icloud.com</t>
  </si>
  <si>
    <t>Linn</t>
  </si>
  <si>
    <t>Lydia Linn</t>
  </si>
  <si>
    <t>11601 Cartwright Trl</t>
  </si>
  <si>
    <t>Ponder</t>
  </si>
  <si>
    <t>gv12@q.com</t>
  </si>
  <si>
    <t>Grant Veurink</t>
  </si>
  <si>
    <t>Clvie</t>
  </si>
  <si>
    <t>bethany.sikkink@acastudent.org</t>
  </si>
  <si>
    <t>Sikkink</t>
  </si>
  <si>
    <t>Bethany Sikkink</t>
  </si>
  <si>
    <t>41 Cedar Knob Rd.</t>
  </si>
  <si>
    <t>1980gmc.jn@gmail.com</t>
  </si>
  <si>
    <t>Nameth</t>
  </si>
  <si>
    <t>Joshua Nameth</t>
  </si>
  <si>
    <t>5856 county road hh.5</t>
  </si>
  <si>
    <t>smallbutwise@live.com</t>
  </si>
  <si>
    <t>Shannon Griffith</t>
  </si>
  <si>
    <t>4572 Butler Ave</t>
  </si>
  <si>
    <t>eliza.sturgeon@richmond.edu</t>
  </si>
  <si>
    <t>Sturgeon</t>
  </si>
  <si>
    <t>Eliza Sturgeon</t>
  </si>
  <si>
    <t>14325 Spring Gate Ct</t>
  </si>
  <si>
    <t>stevebublitz3@gmail.com</t>
  </si>
  <si>
    <t>nathanielbublitz@gmail.com</t>
  </si>
  <si>
    <t>Bublitz</t>
  </si>
  <si>
    <t>Nathaniel Bublitz</t>
  </si>
  <si>
    <t>1192 41st Street</t>
  </si>
  <si>
    <t>Apt. A</t>
  </si>
  <si>
    <t>heathn6@bellsouth.net</t>
  </si>
  <si>
    <t>egheath@mc.edu</t>
  </si>
  <si>
    <t>Heath</t>
  </si>
  <si>
    <t>Emily Heath</t>
  </si>
  <si>
    <t>1725 Yancey Rd</t>
  </si>
  <si>
    <t>Rossville</t>
  </si>
  <si>
    <t>amy.clark@abbvie.com</t>
  </si>
  <si>
    <t>Clarkwc97@yahoo.com</t>
  </si>
  <si>
    <t>Weslee</t>
  </si>
  <si>
    <t>Weslee Clark</t>
  </si>
  <si>
    <t>165 Cody Street</t>
  </si>
  <si>
    <t>susi116@suddenlink.net</t>
  </si>
  <si>
    <t>iwaspromisedcookies@gmal.com</t>
  </si>
  <si>
    <t>Rebecca Long</t>
  </si>
  <si>
    <t>137 Dawns Edge Drive</t>
  </si>
  <si>
    <t>jadhood@me.com</t>
  </si>
  <si>
    <t>livhood24@gmail.com</t>
  </si>
  <si>
    <t>Olivia Hood</t>
  </si>
  <si>
    <t>300 Chestnut Street</t>
  </si>
  <si>
    <t>PO Box 499</t>
  </si>
  <si>
    <t>De Soto</t>
  </si>
  <si>
    <t>lakne23@gmail.com</t>
  </si>
  <si>
    <t>Lakne23@gmail.com</t>
  </si>
  <si>
    <t>Knecht</t>
  </si>
  <si>
    <t>Ivan Knecht</t>
  </si>
  <si>
    <t>4143 Stargrass Ct</t>
  </si>
  <si>
    <t>Hilliard</t>
  </si>
  <si>
    <t>mbussing44@gmail.com</t>
  </si>
  <si>
    <t>Bussing</t>
  </si>
  <si>
    <t>Matthew Bussing</t>
  </si>
  <si>
    <t>2786 Harp Avenue</t>
  </si>
  <si>
    <t>Montrose</t>
  </si>
  <si>
    <t>wrclark98@icloud.com</t>
  </si>
  <si>
    <t>Will Clark</t>
  </si>
  <si>
    <t>419 Field's Landing Drive</t>
  </si>
  <si>
    <t>thelowegang@gmail.com</t>
  </si>
  <si>
    <t>Brenna Lowe</t>
  </si>
  <si>
    <t>5069 Chillicothe</t>
  </si>
  <si>
    <t>Chagrin Falls</t>
  </si>
  <si>
    <t>colbyfield98@gmail.com</t>
  </si>
  <si>
    <t>Colby Field</t>
  </si>
  <si>
    <t>altec1@aol.com</t>
  </si>
  <si>
    <t>bendermikaela16@gmail.com</t>
  </si>
  <si>
    <t>Mikaela Bender</t>
  </si>
  <si>
    <t>9717 Lake Hugh Drive</t>
  </si>
  <si>
    <t>Gotha</t>
  </si>
  <si>
    <t>hanahteresa98@gmail.com</t>
  </si>
  <si>
    <t>Hanah</t>
  </si>
  <si>
    <t>Grooms</t>
  </si>
  <si>
    <t>Hanah Grooms</t>
  </si>
  <si>
    <t>122 Williams rd</t>
  </si>
  <si>
    <t>whitneys@rbnet.com</t>
  </si>
  <si>
    <t>Megan Whitney</t>
  </si>
  <si>
    <t>105 Stoneledge Dr.</t>
  </si>
  <si>
    <t>asoja@tampabay.rr.com</t>
  </si>
  <si>
    <t>jsoja01@gmail.com</t>
  </si>
  <si>
    <t>Jozef</t>
  </si>
  <si>
    <t>Soja</t>
  </si>
  <si>
    <t>Jozef Soja</t>
  </si>
  <si>
    <t>11685 Magnolia Ave.</t>
  </si>
  <si>
    <t>heatherjeanlillie@rocketmail.com</t>
  </si>
  <si>
    <t>Wiley</t>
  </si>
  <si>
    <t>Hayden Wiley</t>
  </si>
  <si>
    <t>51276 HWY 242</t>
  </si>
  <si>
    <t>Broadbent</t>
  </si>
  <si>
    <t>Randall</t>
  </si>
  <si>
    <t>Levi Randall</t>
  </si>
  <si>
    <t>136 1st St.</t>
  </si>
  <si>
    <t>andrewtennisace@gmail.com</t>
  </si>
  <si>
    <t>Andrew Aston</t>
  </si>
  <si>
    <t>12419 Laneview Drive</t>
  </si>
  <si>
    <t>89truck350@gmail.com</t>
  </si>
  <si>
    <t>Stephen Nameth</t>
  </si>
  <si>
    <t>5856 County Road HH.5</t>
  </si>
  <si>
    <t>bj_hatton@yahoo.com</t>
  </si>
  <si>
    <t>ogghatton@gmail.com</t>
  </si>
  <si>
    <t>Hatton</t>
  </si>
  <si>
    <t>Olivia Hatton</t>
  </si>
  <si>
    <t>917 Zoe Street</t>
  </si>
  <si>
    <t>Royse City</t>
  </si>
  <si>
    <t>eddebp@yahoo.com</t>
  </si>
  <si>
    <t>lucitapiot@gmail.com</t>
  </si>
  <si>
    <t>Lucita</t>
  </si>
  <si>
    <t>Piotrowicz</t>
  </si>
  <si>
    <t>Lucita Piotrowicz</t>
  </si>
  <si>
    <t>119 Blacksferry Loop</t>
  </si>
  <si>
    <t>norske.poole@gmail.com</t>
  </si>
  <si>
    <t>kmpoole95@gmail.com</t>
  </si>
  <si>
    <t>Kristoffer</t>
  </si>
  <si>
    <t>Kristoffer Poole</t>
  </si>
  <si>
    <t>1824 Hollow View Ct NW</t>
  </si>
  <si>
    <t>longhandful@yahoo.com</t>
  </si>
  <si>
    <t>Lake Pointe Dr.</t>
  </si>
  <si>
    <t>poolek@uni.edu</t>
  </si>
  <si>
    <t>Katlyn</t>
  </si>
  <si>
    <t>Katlyn Poole</t>
  </si>
  <si>
    <t>Cedar rapids</t>
  </si>
  <si>
    <t>jraxce@hotmail.com</t>
  </si>
  <si>
    <t>c.axce1234@gmail.com</t>
  </si>
  <si>
    <t>Axce</t>
  </si>
  <si>
    <t>Caleb Axce</t>
  </si>
  <si>
    <t>1806 Briarcrest Dr.</t>
  </si>
  <si>
    <t>emilyremy@gmail.com</t>
  </si>
  <si>
    <t>Emily Remy</t>
  </si>
  <si>
    <t>1233 Evergreen Way</t>
  </si>
  <si>
    <t>mdenney6@gmail.com</t>
  </si>
  <si>
    <t>laurendenney16@gmail.com</t>
  </si>
  <si>
    <t>Denney</t>
  </si>
  <si>
    <t>Lauren Denney</t>
  </si>
  <si>
    <t>1220 N. Lake Sybelia Dr.</t>
  </si>
  <si>
    <t>cvg11@windstream.net</t>
  </si>
  <si>
    <t>jcgrossi27@gmail.com</t>
  </si>
  <si>
    <t>Joshua Grossi</t>
  </si>
  <si>
    <t>erindenney@ymail.com</t>
  </si>
  <si>
    <t>Erin Denney</t>
  </si>
  <si>
    <t>1220 N Lake Sybelia Drive</t>
  </si>
  <si>
    <t>susansimpson@mac.com</t>
  </si>
  <si>
    <t>sophiaelisabeths@icloud.com</t>
  </si>
  <si>
    <t>Simpson</t>
  </si>
  <si>
    <t>Sophia Simpson</t>
  </si>
  <si>
    <t>302 Hunter Creek Drive</t>
  </si>
  <si>
    <t>debra.brinkman@gmail.com</t>
  </si>
  <si>
    <t>brink97@gmail.com</t>
  </si>
  <si>
    <t>Brinkman</t>
  </si>
  <si>
    <t>Connor Brinkman</t>
  </si>
  <si>
    <t>7415 Edison Road</t>
  </si>
  <si>
    <t>keziah2911@gmail.com</t>
  </si>
  <si>
    <t>Peri</t>
  </si>
  <si>
    <t>Peri Bergman</t>
  </si>
  <si>
    <t>tb.long@yahoo.com</t>
  </si>
  <si>
    <t>Taylor Long</t>
  </si>
  <si>
    <t>coffeebud@charter.net</t>
  </si>
  <si>
    <t>benlegowizard@gmail.com</t>
  </si>
  <si>
    <t>Trammell</t>
  </si>
  <si>
    <t>Benjamin Trammell</t>
  </si>
  <si>
    <t>775 Baker Rd</t>
  </si>
  <si>
    <t>faithnotz@notzart.com</t>
  </si>
  <si>
    <t>Notz</t>
  </si>
  <si>
    <t>Faith Notz</t>
  </si>
  <si>
    <t>704 Crestview Drive</t>
  </si>
  <si>
    <t>kristina.myankova@gmail.com</t>
  </si>
  <si>
    <t>Myankova</t>
  </si>
  <si>
    <t>Kristina Myankova</t>
  </si>
  <si>
    <t>127 13th Ave. S. Apt. B4</t>
  </si>
  <si>
    <t>orloffjan@gmail.com</t>
  </si>
  <si>
    <t>adam.orloff@gmail.com</t>
  </si>
  <si>
    <t>Orloff</t>
  </si>
  <si>
    <t>Adam Orloff</t>
  </si>
  <si>
    <t>9225 Blue Mtn Drive</t>
  </si>
  <si>
    <t>Golden</t>
  </si>
  <si>
    <t>gymjim01@gmail.com</t>
  </si>
  <si>
    <t>James McGinnis</t>
  </si>
  <si>
    <t>800779 S. 3300 Road</t>
  </si>
  <si>
    <t>Wellston</t>
  </si>
  <si>
    <t>christcrew@hotmail.com</t>
  </si>
  <si>
    <t>khyrstyn@gmail.com</t>
  </si>
  <si>
    <t>Khyrstyn</t>
  </si>
  <si>
    <t>Short</t>
  </si>
  <si>
    <t>Khyrstyn Short</t>
  </si>
  <si>
    <t>1109 Cypress Lane</t>
  </si>
  <si>
    <t>Joliet</t>
  </si>
  <si>
    <t>crimsonrosesugg@gmail.com</t>
  </si>
  <si>
    <t>Crimson</t>
  </si>
  <si>
    <t>Sugg</t>
  </si>
  <si>
    <t>Crimson Sugg</t>
  </si>
  <si>
    <t>105 Knob Creek Road</t>
  </si>
  <si>
    <t>hjdombach@gmail.com</t>
  </si>
  <si>
    <t>Dombach</t>
  </si>
  <si>
    <t>Hannah Dombach</t>
  </si>
  <si>
    <t>4252 Rock Bend Drive</t>
  </si>
  <si>
    <t>cjchildress7@gmail.com</t>
  </si>
  <si>
    <t>Christina Childress</t>
  </si>
  <si>
    <t>wards1297@gmail.com</t>
  </si>
  <si>
    <t>lakelynward@gmail.com</t>
  </si>
  <si>
    <t>Lakelyn</t>
  </si>
  <si>
    <t>Lakelyn Ward</t>
  </si>
  <si>
    <t>3 Bailey Reach</t>
  </si>
  <si>
    <t>karen@karengcarter.com</t>
  </si>
  <si>
    <t>jasonpaulcarter10@gmail.com</t>
  </si>
  <si>
    <t>Jason Carter</t>
  </si>
  <si>
    <t>310 Ellis Lazenby Rd</t>
  </si>
  <si>
    <t>Eclectic</t>
  </si>
  <si>
    <t>nancyccox@yahoo.com</t>
  </si>
  <si>
    <t>imtb98@gmail.com</t>
  </si>
  <si>
    <t>1936 W. Meadowbrook Dr.</t>
  </si>
  <si>
    <t>everroads@cox.net</t>
  </si>
  <si>
    <t>jackeverroad@gmail.com</t>
  </si>
  <si>
    <t>Everroad</t>
  </si>
  <si>
    <t>Jack Everroad</t>
  </si>
  <si>
    <t>7417 E. Paradise DR.</t>
  </si>
  <si>
    <t>landryfam@me.com</t>
  </si>
  <si>
    <t>bradenlandry09@gmail.com</t>
  </si>
  <si>
    <t>Landry</t>
  </si>
  <si>
    <t>Braden Landry</t>
  </si>
  <si>
    <t>5255 S Waco St</t>
  </si>
  <si>
    <t>jfuller700@gmail.com</t>
  </si>
  <si>
    <t>lydiaf814@gmail.com</t>
  </si>
  <si>
    <t>Lydia Fuller</t>
  </si>
  <si>
    <t>848 Old Five Notch Rd</t>
  </si>
  <si>
    <t>Whitesburg</t>
  </si>
  <si>
    <t>tpthorn87@windstream.net</t>
  </si>
  <si>
    <t>Thorn</t>
  </si>
  <si>
    <t>Colby Thorn</t>
  </si>
  <si>
    <t>155 Old Hickory Rd</t>
  </si>
  <si>
    <t>ezhen@stevens.edu</t>
  </si>
  <si>
    <t>Zhen</t>
  </si>
  <si>
    <t>Eric Zhen</t>
  </si>
  <si>
    <t>8908 15th avenue</t>
  </si>
  <si>
    <t>jcbrady94@gmail.com</t>
  </si>
  <si>
    <t>jcbrady@gmail.com</t>
  </si>
  <si>
    <t>John Brady</t>
  </si>
  <si>
    <t>9454 Miami Beach Rd</t>
  </si>
  <si>
    <t>Seabeck</t>
  </si>
  <si>
    <t>dressagerider9@yahoo.com</t>
  </si>
  <si>
    <t>Elisabeth Russell</t>
  </si>
  <si>
    <t>gl4197@aol.com</t>
  </si>
  <si>
    <t>Gordon</t>
  </si>
  <si>
    <t>Lam</t>
  </si>
  <si>
    <t>Gordon Lam</t>
  </si>
  <si>
    <t>14 Edward Court</t>
  </si>
  <si>
    <t>Staten Island</t>
  </si>
  <si>
    <t>jonathan111799@gmail.com</t>
  </si>
  <si>
    <t>Jonathan111799@gmail.com</t>
  </si>
  <si>
    <t>100a dinsmore street</t>
  </si>
  <si>
    <t>lewirm86@suny.oneonta.edu</t>
  </si>
  <si>
    <t>rachel_lewi@aol.com</t>
  </si>
  <si>
    <t>Rachel Lewis</t>
  </si>
  <si>
    <t>18 clark place</t>
  </si>
  <si>
    <t>chris.soccerwing@gmail.com</t>
  </si>
  <si>
    <t>Gauthier</t>
  </si>
  <si>
    <t>Christopher Gauthier</t>
  </si>
  <si>
    <t>7374 N. Straits HWY</t>
  </si>
  <si>
    <t>Cheboygan</t>
  </si>
  <si>
    <t>rachelmohler@gmail.com</t>
  </si>
  <si>
    <t>josephmohler98@gmail.com</t>
  </si>
  <si>
    <t>Mohler</t>
  </si>
  <si>
    <t>Joseph Mohler</t>
  </si>
  <si>
    <t>1007 Stonemanor Dr</t>
  </si>
  <si>
    <t>emory.lambert@verizon.net</t>
  </si>
  <si>
    <t>Emory Lambert</t>
  </si>
  <si>
    <t>6625 Osage Trail</t>
  </si>
  <si>
    <t>susan.mchughes@yahoo.com</t>
  </si>
  <si>
    <t>pmchughes17@mcstangs.org</t>
  </si>
  <si>
    <t>McHughes</t>
  </si>
  <si>
    <t>Payton McHughes</t>
  </si>
  <si>
    <t>5209 Quicksand Dr</t>
  </si>
  <si>
    <t>dixiegal19@gmail.com-OLD</t>
  </si>
  <si>
    <t>dixiegal19@gmail.com</t>
  </si>
  <si>
    <t>12376 ST RT F</t>
  </si>
  <si>
    <t>dvdfechtel@gmail.com</t>
  </si>
  <si>
    <t>David Fechtel</t>
  </si>
  <si>
    <t>kimandpoohbear@hotmail.com</t>
  </si>
  <si>
    <t>roycem@cscnaz.com</t>
  </si>
  <si>
    <t>Royce</t>
  </si>
  <si>
    <t>Milgrim</t>
  </si>
  <si>
    <t>Royce Milgrim</t>
  </si>
  <si>
    <t>604 Wingedfoot Drive</t>
  </si>
  <si>
    <t>leej00@suny.oneonta.edu</t>
  </si>
  <si>
    <t>Jeff Lee</t>
  </si>
  <si>
    <t>azhao1139@bths.edu</t>
  </si>
  <si>
    <t>Zhao</t>
  </si>
  <si>
    <t>Amanda Zhao</t>
  </si>
  <si>
    <t>7524 18th ave 76st</t>
  </si>
  <si>
    <t>wbbrewer@earthlink.net</t>
  </si>
  <si>
    <t>brewermadeline@gmail.com</t>
  </si>
  <si>
    <t>Brewer</t>
  </si>
  <si>
    <t>Madeline Brewer</t>
  </si>
  <si>
    <t>422 Kelvin Blvd</t>
  </si>
  <si>
    <t>R3P 0J2</t>
  </si>
  <si>
    <t>whereisjtholmes@gmail.com</t>
  </si>
  <si>
    <t>Justin Holmes</t>
  </si>
  <si>
    <t>21 Grace Park</t>
  </si>
  <si>
    <t>Beaufort</t>
  </si>
  <si>
    <t>wookiemash@gmail.com</t>
  </si>
  <si>
    <t>paulustribe@gmail.com</t>
  </si>
  <si>
    <t>nateowami@gmail.com</t>
  </si>
  <si>
    <t>Nathaniel Paulus</t>
  </si>
  <si>
    <t>6631 Monroeville Road</t>
  </si>
  <si>
    <t>djkvhard@gmail.com</t>
  </si>
  <si>
    <t>victorhard18@gmail.com</t>
  </si>
  <si>
    <t>Hard</t>
  </si>
  <si>
    <t>Donald Hard</t>
  </si>
  <si>
    <t>7445 Woodstock Cuba Rd</t>
  </si>
  <si>
    <t>Millington</t>
  </si>
  <si>
    <t>kiarnold@lpstudent.org</t>
  </si>
  <si>
    <t>Kirsten Arnold</t>
  </si>
  <si>
    <t>16313 Wagon Trail</t>
  </si>
  <si>
    <t>Harlan</t>
  </si>
  <si>
    <t>lahjch@bellsouth.net</t>
  </si>
  <si>
    <t>klheadrick97@gmail.com</t>
  </si>
  <si>
    <t>Kailey</t>
  </si>
  <si>
    <t>Headrick</t>
  </si>
  <si>
    <t>Kailey Headrick</t>
  </si>
  <si>
    <t>1011 Cavern Road</t>
  </si>
  <si>
    <t>knots077@gmail.com</t>
  </si>
  <si>
    <t>Jedidiah Barber</t>
  </si>
  <si>
    <t>336 Iwo St.</t>
  </si>
  <si>
    <t>bepage@lpstudent.org</t>
  </si>
  <si>
    <t>Benjamin Page</t>
  </si>
  <si>
    <t>5633 County Road 35</t>
  </si>
  <si>
    <t>m.scott.driggers@gmail.com</t>
  </si>
  <si>
    <t>Martin Driggers</t>
  </si>
  <si>
    <t>heismylifedeut30.20@gmail.com</t>
  </si>
  <si>
    <t>Rachel Paulus</t>
  </si>
  <si>
    <t>cawhitmer@lpstudent.org</t>
  </si>
  <si>
    <t>Whitmer</t>
  </si>
  <si>
    <t>Cameron Whitmer</t>
  </si>
  <si>
    <t>13127 Bolinni Lane</t>
  </si>
  <si>
    <t>shumphries@assanteontaylor.ca</t>
  </si>
  <si>
    <t>averyhumphries98@gmail.com</t>
  </si>
  <si>
    <t>Humphries</t>
  </si>
  <si>
    <t>Avery Humphries</t>
  </si>
  <si>
    <t>125 Girton Blvd</t>
  </si>
  <si>
    <t>R3P0A4</t>
  </si>
  <si>
    <t>lmares102@gmail.com</t>
  </si>
  <si>
    <t>kmares37@verizon.net</t>
  </si>
  <si>
    <t>Mares</t>
  </si>
  <si>
    <t>Kendall Mares</t>
  </si>
  <si>
    <t>316 Gene Autry</t>
  </si>
  <si>
    <t>rachelboone98@gmail.com</t>
  </si>
  <si>
    <t>Rachel Boone</t>
  </si>
  <si>
    <t>307 Lake Blvd</t>
  </si>
  <si>
    <t>momwalsh6@gmail.com</t>
  </si>
  <si>
    <t>Footballccs2013@gmail.com</t>
  </si>
  <si>
    <t>Walsh</t>
  </si>
  <si>
    <t>Colin Walsh</t>
  </si>
  <si>
    <t>9702 West Park Village Drive</t>
  </si>
  <si>
    <t>connollyacct@gmail.com</t>
  </si>
  <si>
    <t>Jenae</t>
  </si>
  <si>
    <t>Connolly</t>
  </si>
  <si>
    <t>Jenae Connolly</t>
  </si>
  <si>
    <t>3041 Knollridge Drive NW</t>
  </si>
  <si>
    <t>shadowspark111@gmail.com</t>
  </si>
  <si>
    <t>Jonathan Beatty</t>
  </si>
  <si>
    <t>702 Braemere Drive</t>
  </si>
  <si>
    <t>grhalverson@att.net</t>
  </si>
  <si>
    <t>Maria Halverson</t>
  </si>
  <si>
    <t>1117 S. Van Ness Avenue</t>
  </si>
  <si>
    <t>chelllybean24@yahoo.com</t>
  </si>
  <si>
    <t>Chelsey Armstrong</t>
  </si>
  <si>
    <t>1419 20th street</t>
  </si>
  <si>
    <t>lindbergben20@gmail.com</t>
  </si>
  <si>
    <t>Lindberg</t>
  </si>
  <si>
    <t>Ben Lindberg</t>
  </si>
  <si>
    <t>52498 240th Ave</t>
  </si>
  <si>
    <t>Pine Island</t>
  </si>
  <si>
    <t>krusemolly@sbcglobal.net</t>
  </si>
  <si>
    <t>Kruse</t>
  </si>
  <si>
    <t>Molly Kruse</t>
  </si>
  <si>
    <t>2702 Peachtree Lane</t>
  </si>
  <si>
    <t>Pantego</t>
  </si>
  <si>
    <t>erin@the-odonnells.com</t>
  </si>
  <si>
    <t>mikelle@the-odonnells.com</t>
  </si>
  <si>
    <t>Mikelle</t>
  </si>
  <si>
    <t>ODonnell</t>
  </si>
  <si>
    <t>Mikelle ODonnell</t>
  </si>
  <si>
    <t>12204 Palm Springs Court NE</t>
  </si>
  <si>
    <t>taylorsteam11@gmail.com</t>
  </si>
  <si>
    <t>3590 FM N 312</t>
  </si>
  <si>
    <t>Winnsboror</t>
  </si>
  <si>
    <t>jacobis@sunrise.ch</t>
  </si>
  <si>
    <t>Anika</t>
  </si>
  <si>
    <t>Anika Jacobi</t>
  </si>
  <si>
    <t>2838 West Elizabeth Street</t>
  </si>
  <si>
    <t>bradleyhovis@yahoo.com</t>
  </si>
  <si>
    <t>garretthovis52@gmail.com</t>
  </si>
  <si>
    <t>Hovis</t>
  </si>
  <si>
    <t>Garrett Hovis</t>
  </si>
  <si>
    <t>122 Gibson Cove Estates Drive</t>
  </si>
  <si>
    <t>horsewhiz@gmail.com</t>
  </si>
  <si>
    <t>Calabretta</t>
  </si>
  <si>
    <t>Natalie Calabretta</t>
  </si>
  <si>
    <t>1685 goulart ranch rd.</t>
  </si>
  <si>
    <t>hyunah_yoon@aol.com</t>
  </si>
  <si>
    <t>Hyun Ah</t>
  </si>
  <si>
    <t>Yoon</t>
  </si>
  <si>
    <t>Hyun Ah Yoon</t>
  </si>
  <si>
    <t>771 Klondike Avenue</t>
  </si>
  <si>
    <t>mclayton6@gmail.com</t>
  </si>
  <si>
    <t>johnclaytonc@gmail.com</t>
  </si>
  <si>
    <t>John Clayton</t>
  </si>
  <si>
    <t>14 Burwick St</t>
  </si>
  <si>
    <t>naomireynolds919@gmail.com</t>
  </si>
  <si>
    <t>streyeraug38@gmail.com</t>
  </si>
  <si>
    <t>Tyler Reynolds</t>
  </si>
  <si>
    <t>149 Woodmont Drive</t>
  </si>
  <si>
    <t>Joshuavanasse@gmail.com</t>
  </si>
  <si>
    <t>Joshua Vanasse</t>
  </si>
  <si>
    <t>allenmburton@gmail.com</t>
  </si>
  <si>
    <t>Allen Burton</t>
  </si>
  <si>
    <t>304 Amanda Street</t>
  </si>
  <si>
    <t>Radcliffe</t>
  </si>
  <si>
    <t>irisnewway@hotmail.com</t>
  </si>
  <si>
    <t>azhao4497@mail.dbu.edu</t>
  </si>
  <si>
    <t>Aolin</t>
  </si>
  <si>
    <t>Aolin Zhao</t>
  </si>
  <si>
    <t>3000 Mountain Creek</t>
  </si>
  <si>
    <t>Pkwy</t>
  </si>
  <si>
    <t>malawi.boersma@gmail.com</t>
  </si>
  <si>
    <t>kelleyboersma98@gmail.com</t>
  </si>
  <si>
    <t>Boersma</t>
  </si>
  <si>
    <t>Kelley Boersma</t>
  </si>
  <si>
    <t>2702 Northwood Drive</t>
  </si>
  <si>
    <t>laurendacosta.college@gmail.com</t>
  </si>
  <si>
    <t>Lauren DaCosta</t>
  </si>
  <si>
    <t>6002 Begonia Way</t>
  </si>
  <si>
    <t>peter65529619@gmail.com</t>
  </si>
  <si>
    <t>rye6327@mail.dbu.edu</t>
  </si>
  <si>
    <t>Mr</t>
  </si>
  <si>
    <t>Ye</t>
  </si>
  <si>
    <t>Mr Ye</t>
  </si>
  <si>
    <t>6968 Clarkridge Dr, #2703</t>
  </si>
  <si>
    <t>gracegemail@gmail.com</t>
  </si>
  <si>
    <t>Christina Gillespie</t>
  </si>
  <si>
    <t>pizzarita9@hotmail.com</t>
  </si>
  <si>
    <t>helen.a.busch@aol.com</t>
  </si>
  <si>
    <t>Busch</t>
  </si>
  <si>
    <t>Helen Busch</t>
  </si>
  <si>
    <t>247 Allenhurst rd</t>
  </si>
  <si>
    <t>Amherst</t>
  </si>
  <si>
    <t>ruthhun@keystrokepos.com</t>
  </si>
  <si>
    <t>ruthh@keystrokepos.com</t>
  </si>
  <si>
    <t>Hunsinger</t>
  </si>
  <si>
    <t>Ruth Hunsinger</t>
  </si>
  <si>
    <t>POB 24236</t>
  </si>
  <si>
    <t>ceriver11@gmail.com</t>
  </si>
  <si>
    <t>rivaj2000@gmail.com</t>
  </si>
  <si>
    <t>Aaron Rivera</t>
  </si>
  <si>
    <t>1485 Valley Forge Road</t>
  </si>
  <si>
    <t>Phoenixville</t>
  </si>
  <si>
    <t>g.akamatsu@gmail.com</t>
  </si>
  <si>
    <t>jarretlna@gmail.com</t>
  </si>
  <si>
    <t>Jarret</t>
  </si>
  <si>
    <t>Akamatsu</t>
  </si>
  <si>
    <t>Jarret Akamatsu</t>
  </si>
  <si>
    <t>8362 Ridglea Ave.</t>
  </si>
  <si>
    <t>Buena Park</t>
  </si>
  <si>
    <t>cambriataylor5@gmail.com</t>
  </si>
  <si>
    <t>Cambria</t>
  </si>
  <si>
    <t>Cambria Taylor</t>
  </si>
  <si>
    <t>3590 FM 312</t>
  </si>
  <si>
    <t>nolanya98@gmail.com</t>
  </si>
  <si>
    <t>Nolan Akamatsu</t>
  </si>
  <si>
    <t>mabie323@icloud.com</t>
  </si>
  <si>
    <t>Mabie</t>
  </si>
  <si>
    <t>Suzanne Mabie</t>
  </si>
  <si>
    <t>21 Kingsway Dr</t>
  </si>
  <si>
    <t>christoff6@gmail.com</t>
  </si>
  <si>
    <t>micahchristofferson@gmail.com</t>
  </si>
  <si>
    <t>Micah Christofferson</t>
  </si>
  <si>
    <t>345 63rd</t>
  </si>
  <si>
    <t>joshua.yanov@gmail.com</t>
  </si>
  <si>
    <t>taylor.yanov@gmail.com</t>
  </si>
  <si>
    <t>Yanov</t>
  </si>
  <si>
    <t>Taylor Yanov</t>
  </si>
  <si>
    <t>1596 Hickam Dr.</t>
  </si>
  <si>
    <t>Grand Forks AFB</t>
  </si>
  <si>
    <t>mcstreckert@charter.net</t>
  </si>
  <si>
    <t>Strej9169@students.uwc.edu</t>
  </si>
  <si>
    <t>Streckert</t>
  </si>
  <si>
    <t>Jonathan Streckert</t>
  </si>
  <si>
    <t>M208 Edgewood Lane</t>
  </si>
  <si>
    <t>antoniacobble@gmail.com</t>
  </si>
  <si>
    <t>kmcobble@gmail.com</t>
  </si>
  <si>
    <t>Katheryne</t>
  </si>
  <si>
    <t>Cobble</t>
  </si>
  <si>
    <t>Katheryne Cobble</t>
  </si>
  <si>
    <t>2300 Palamino Court</t>
  </si>
  <si>
    <t>jpsheetz@mchsi.com</t>
  </si>
  <si>
    <t>jjsheetz64@gmail.com</t>
  </si>
  <si>
    <t>Sheetz</t>
  </si>
  <si>
    <t>Joseph Sheetz</t>
  </si>
  <si>
    <t>5910 Lost Quarry Dr NE</t>
  </si>
  <si>
    <t>leiakdavis@gmail.com</t>
  </si>
  <si>
    <t>Austinaustin.davis@gmail.com</t>
  </si>
  <si>
    <t>Austin Davis</t>
  </si>
  <si>
    <t>385 S. Highland Dr.</t>
  </si>
  <si>
    <t>evzmtnman@gmail.com</t>
  </si>
  <si>
    <t>Elias Van Zweden</t>
  </si>
  <si>
    <t>2241 South Hoyt Court</t>
  </si>
  <si>
    <t>Beau Martin</t>
  </si>
  <si>
    <t>D 1356 Elm Street</t>
  </si>
  <si>
    <t>woogabear@comcast.net</t>
  </si>
  <si>
    <t>legojack99@comcast.net</t>
  </si>
  <si>
    <t>Cates</t>
  </si>
  <si>
    <t>Jackson Cates</t>
  </si>
  <si>
    <t>2024 Goose Creek Drive</t>
  </si>
  <si>
    <t>sonnyjay4@hotmail.com</t>
  </si>
  <si>
    <t>garage.band5@hotmail.com</t>
  </si>
  <si>
    <t>Sonny</t>
  </si>
  <si>
    <t>Sonny Flores</t>
  </si>
  <si>
    <t>15271 nugget St</t>
  </si>
  <si>
    <t>Nevada City</t>
  </si>
  <si>
    <t>cre8sld@gmail.com</t>
  </si>
  <si>
    <t>kedoggett2@gmail.com</t>
  </si>
  <si>
    <t>Doggett</t>
  </si>
  <si>
    <t>Katrina Doggett</t>
  </si>
  <si>
    <t>2505 NW Ashley Dr</t>
  </si>
  <si>
    <t>leah.woods49@yahoo.com</t>
  </si>
  <si>
    <t>Leah Woods</t>
  </si>
  <si>
    <t>12631 Navajo dr</t>
  </si>
  <si>
    <t>bmagomolla@gmail.com</t>
  </si>
  <si>
    <t>makmago16@gmail.com</t>
  </si>
  <si>
    <t>Makeela</t>
  </si>
  <si>
    <t>Magomolla</t>
  </si>
  <si>
    <t>Makeela Magomolla</t>
  </si>
  <si>
    <t>11700 S. Railroad St</t>
  </si>
  <si>
    <t>Solon Springs</t>
  </si>
  <si>
    <t>jgrady@auburngrace.com</t>
  </si>
  <si>
    <t>Jeremy Grady</t>
  </si>
  <si>
    <t>1700 Hillish Rock Road</t>
  </si>
  <si>
    <t>cltuv@yahoo.com</t>
  </si>
  <si>
    <t>tjesse33@hotmail.com</t>
  </si>
  <si>
    <t>Tuveson</t>
  </si>
  <si>
    <t>Jesse Tuveson</t>
  </si>
  <si>
    <t>7941 Stockwell Street</t>
  </si>
  <si>
    <t>bradhafnersfa@gmail.com</t>
  </si>
  <si>
    <t>Kelsey Hafner</t>
  </si>
  <si>
    <t>reginagee1@gmail.com</t>
  </si>
  <si>
    <t>Gee</t>
  </si>
  <si>
    <t>Regina Gee</t>
  </si>
  <si>
    <t>1320 Sunset Blvd. S.</t>
  </si>
  <si>
    <t>oliviajonson08@yahoo.com</t>
  </si>
  <si>
    <t>oliviajohnson08@yahoo.com</t>
  </si>
  <si>
    <t>Olivia Johnson</t>
  </si>
  <si>
    <t>132 Hurricane Valley Rd</t>
  </si>
  <si>
    <t>Ten Mile</t>
  </si>
  <si>
    <t>zandramay99@gmail.com</t>
  </si>
  <si>
    <t>dottie@bvti.com</t>
  </si>
  <si>
    <t>haley@bvti.com</t>
  </si>
  <si>
    <t>Haley Zimmerman</t>
  </si>
  <si>
    <t>derreck.linder@gmail.com</t>
  </si>
  <si>
    <t>Melodyjohnson8j@icloud.com</t>
  </si>
  <si>
    <t>Melody Johnson</t>
  </si>
  <si>
    <t>850 hwy</t>
  </si>
  <si>
    <t>Ellison Bay</t>
  </si>
  <si>
    <t>jjreinhart@sbcglobal.net</t>
  </si>
  <si>
    <t>idance4thelord@att.net</t>
  </si>
  <si>
    <t>Reinhart</t>
  </si>
  <si>
    <t>Elizabeth Reinhart</t>
  </si>
  <si>
    <t>2004 Sherborn Street</t>
  </si>
  <si>
    <t>jruegsegger@msn.com</t>
  </si>
  <si>
    <t>danceforgod6@hotmail.com</t>
  </si>
  <si>
    <t>charity</t>
  </si>
  <si>
    <t>ruegsegger</t>
  </si>
  <si>
    <t>charity ruegsegger</t>
  </si>
  <si>
    <t>4205 County Road 35</t>
  </si>
  <si>
    <t>heppnerruss@gmail.com</t>
  </si>
  <si>
    <t>Nattie.grace.heppner@gmail.com</t>
  </si>
  <si>
    <t>Heppner</t>
  </si>
  <si>
    <t>Natalie Heppner</t>
  </si>
  <si>
    <t>37808 cr 53</t>
  </si>
  <si>
    <t>windmereparents@yahoo.com</t>
  </si>
  <si>
    <t>rebekahrexroth@gmail.com</t>
  </si>
  <si>
    <t>Rexroth</t>
  </si>
  <si>
    <t>Rebekah Rexroth</t>
  </si>
  <si>
    <t>2077 County Road 40</t>
  </si>
  <si>
    <t>lively.entertainment@gmail.com</t>
  </si>
  <si>
    <t>Sadie.Mae.Lively@gmail.com</t>
  </si>
  <si>
    <t>Lively</t>
  </si>
  <si>
    <t>Sadie Lively</t>
  </si>
  <si>
    <t>19 Division Street</t>
  </si>
  <si>
    <t>Waterford</t>
  </si>
  <si>
    <t>sandy.cannon@comcast.net</t>
  </si>
  <si>
    <t>parkerC1999@gmail.com</t>
  </si>
  <si>
    <t>Parker Cannon</t>
  </si>
  <si>
    <t>6816 Country Glen Ct. NW</t>
  </si>
  <si>
    <t>marie.beusse@sbcglobal.net</t>
  </si>
  <si>
    <t>Beusse</t>
  </si>
  <si>
    <t>Sarah Beusse</t>
  </si>
  <si>
    <t>danju.musiclover@gmail.com</t>
  </si>
  <si>
    <t>Donoghue</t>
  </si>
  <si>
    <t>John Donoghue</t>
  </si>
  <si>
    <t>1918 Charlton Drive</t>
  </si>
  <si>
    <t>Dothan</t>
  </si>
  <si>
    <t>desteele@gmail.com</t>
  </si>
  <si>
    <t>noah@damonsbunch.com</t>
  </si>
  <si>
    <t>Noah Steele</t>
  </si>
  <si>
    <t>1220 Oak Shadows Dr</t>
  </si>
  <si>
    <t>angelarobinson51267@yahoo.com</t>
  </si>
  <si>
    <t>Donielittle@yahoo.com</t>
  </si>
  <si>
    <t>Donie</t>
  </si>
  <si>
    <t>Donie Little</t>
  </si>
  <si>
    <t>5400 Amity Dr</t>
  </si>
  <si>
    <t>Powder Springs</t>
  </si>
  <si>
    <t>morgangabe13@yahoo.com</t>
  </si>
  <si>
    <t>Gabriel Morgan</t>
  </si>
  <si>
    <t>1212 Bowden Rd</t>
  </si>
  <si>
    <t>Joey.bresett@oakgroveowls.com</t>
  </si>
  <si>
    <t>Joey Bresett</t>
  </si>
  <si>
    <t>741 Playful Meadows circle NE</t>
  </si>
  <si>
    <t>mgfolta@gmail.com</t>
  </si>
  <si>
    <t>n8folta@gmail.com</t>
  </si>
  <si>
    <t>Folta</t>
  </si>
  <si>
    <t>Nathan Folta</t>
  </si>
  <si>
    <t>1306 Bishop Rd</t>
  </si>
  <si>
    <t>gracieb975swish@gmail.com</t>
  </si>
  <si>
    <t>Bornschlegl</t>
  </si>
  <si>
    <t>Grace Bornschlegl</t>
  </si>
  <si>
    <t>4900 Glade St</t>
  </si>
  <si>
    <t>wbwelch@ecpi.com</t>
  </si>
  <si>
    <t>Walker Welch</t>
  </si>
  <si>
    <t>397 Courtnees Way</t>
  </si>
  <si>
    <t>erdunn13@my.trine.edu</t>
  </si>
  <si>
    <t>Emily Dunn</t>
  </si>
  <si>
    <t>185 Northwood Drive</t>
  </si>
  <si>
    <t>rdel6@cvcaroyals.org</t>
  </si>
  <si>
    <t>Rachel Delaney</t>
  </si>
  <si>
    <t>4531 Hillside Rd.</t>
  </si>
  <si>
    <t>Seven Hills</t>
  </si>
  <si>
    <t>Braden Hardy</t>
  </si>
  <si>
    <t>betsyefowlerspencer@gmail.com</t>
  </si>
  <si>
    <t>elizabethspencer032@gmail.com</t>
  </si>
  <si>
    <t>Elizabeth Spencer</t>
  </si>
  <si>
    <t>29929 Pulaski Pike</t>
  </si>
  <si>
    <t>Ardmore</t>
  </si>
  <si>
    <t>freeman.sarah@sbcglobal.net</t>
  </si>
  <si>
    <t>Freeman.haven@yahoo.com</t>
  </si>
  <si>
    <t>Haven Freeman</t>
  </si>
  <si>
    <t>4910 Pure Country Ln</t>
  </si>
  <si>
    <t>weberg4@gmail.com</t>
  </si>
  <si>
    <t>lweberg98@icloud.com</t>
  </si>
  <si>
    <t>Weberg</t>
  </si>
  <si>
    <t>Logan Weberg</t>
  </si>
  <si>
    <t>3762 Black Feather Tr.</t>
  </si>
  <si>
    <t>jdpetersen2006@gmail.com</t>
  </si>
  <si>
    <t>Emily Petersen</t>
  </si>
  <si>
    <t>5249 N Park Place NE # 212</t>
  </si>
  <si>
    <t>endersmom@gmail.com</t>
  </si>
  <si>
    <t>andrew@philotic.net</t>
  </si>
  <si>
    <t>Andrew Watts</t>
  </si>
  <si>
    <t>3322 Catamaran Ct.</t>
  </si>
  <si>
    <t>stiedemann@me.com</t>
  </si>
  <si>
    <t>Tiedemann</t>
  </si>
  <si>
    <t>Sarah Tiedemann</t>
  </si>
  <si>
    <t>80 Harbor Beach Rd</t>
  </si>
  <si>
    <t>Millerplace</t>
  </si>
  <si>
    <t>abby.f.reimer@gmail.com</t>
  </si>
  <si>
    <t>Abby.f.reimer@gmail.com</t>
  </si>
  <si>
    <t>Reimer</t>
  </si>
  <si>
    <t>Abigail Reimer</t>
  </si>
  <si>
    <t>729 Lewis Drive</t>
  </si>
  <si>
    <t>donna@communitycrossing.org</t>
  </si>
  <si>
    <t>aroki.hupar@gmail.com</t>
  </si>
  <si>
    <t>Aron</t>
  </si>
  <si>
    <t>Ludwinski</t>
  </si>
  <si>
    <t>Aron Ludwinski</t>
  </si>
  <si>
    <t>120 Maple Ave</t>
  </si>
  <si>
    <t>marymiddleton01@yahoo.com</t>
  </si>
  <si>
    <t>wolfcarmin2015@gmail.com</t>
  </si>
  <si>
    <t>Blackwell</t>
  </si>
  <si>
    <t>Margaret Blackwell</t>
  </si>
  <si>
    <t>3285 Jordan Ave.</t>
  </si>
  <si>
    <t>Cowarts</t>
  </si>
  <si>
    <t>katlbro@aol.com</t>
  </si>
  <si>
    <t>Mikebrod24@aol.com</t>
  </si>
  <si>
    <t>Brodmann</t>
  </si>
  <si>
    <t>Michael Brodmann</t>
  </si>
  <si>
    <t>1 Madico Chase</t>
  </si>
  <si>
    <t>McCrackenmeup@cox.net</t>
  </si>
  <si>
    <t>kingdom14000@gmail.com</t>
  </si>
  <si>
    <t>McCracken</t>
  </si>
  <si>
    <t>Emily McCracken</t>
  </si>
  <si>
    <t>4700 Caliburn Parkway</t>
  </si>
  <si>
    <t>jaminjl@yahoo.com</t>
  </si>
  <si>
    <t>Noahjamison17@gmail.com</t>
  </si>
  <si>
    <t>Noah Jamison</t>
  </si>
  <si>
    <t>3264 Pleasant View Dr</t>
  </si>
  <si>
    <t>Zowielittle@yahoo.com</t>
  </si>
  <si>
    <t>Zowie</t>
  </si>
  <si>
    <t>Zowie Little</t>
  </si>
  <si>
    <t>danafharvey@hotmail.com</t>
  </si>
  <si>
    <t>ericdavidson1999@icloud.com</t>
  </si>
  <si>
    <t>Eric Davidson</t>
  </si>
  <si>
    <t>32 Grand Lake Circle</t>
  </si>
  <si>
    <t>kitkat41099@gmail.com</t>
  </si>
  <si>
    <t>Kitkat41099@gmail.com</t>
  </si>
  <si>
    <t>Haberman</t>
  </si>
  <si>
    <t>Kathryn Haberman</t>
  </si>
  <si>
    <t>832 E DeRenne ave</t>
  </si>
  <si>
    <t>joshpaskauskas@gmail.com</t>
  </si>
  <si>
    <t>Joshua Paskauskas</t>
  </si>
  <si>
    <t>ajtg.home@icloud.com</t>
  </si>
  <si>
    <t>Trichards12o6@gmail.com</t>
  </si>
  <si>
    <t>Tyler Richards</t>
  </si>
  <si>
    <t>17 cat boat place</t>
  </si>
  <si>
    <t>sandnesamanda@gmail.com</t>
  </si>
  <si>
    <t>Sandnes</t>
  </si>
  <si>
    <t>Amanda Sandnes</t>
  </si>
  <si>
    <t>8512 Lyn Ave</t>
  </si>
  <si>
    <t>dance4jesus@att.net</t>
  </si>
  <si>
    <t>Abigail Powell</t>
  </si>
  <si>
    <t>6119 Jadecrest Court</t>
  </si>
  <si>
    <t>danandkathykaufman@gmail.com</t>
  </si>
  <si>
    <t>ryseed2998@gmail.com</t>
  </si>
  <si>
    <t>ryan</t>
  </si>
  <si>
    <t>kaufman</t>
  </si>
  <si>
    <t>ryan kaufman</t>
  </si>
  <si>
    <t>8 cherry lane</t>
  </si>
  <si>
    <t>oley</t>
  </si>
  <si>
    <t>matt.d.c24@gmail.com</t>
  </si>
  <si>
    <t>Matthew Carpenter</t>
  </si>
  <si>
    <t>336 Joe Nixon Lane</t>
  </si>
  <si>
    <t>lukewj24@gmail.com</t>
  </si>
  <si>
    <t>3565 Grant Wood Forest Ln SE</t>
  </si>
  <si>
    <t>dbeardsley@coreadvisoy.com</t>
  </si>
  <si>
    <t>Huntertrip98@gmail.com</t>
  </si>
  <si>
    <t>Beardsley</t>
  </si>
  <si>
    <t>Kyle Beardsley</t>
  </si>
  <si>
    <t>3913 Vicksberry Trl</t>
  </si>
  <si>
    <t>Kalebr1098@gmail.com</t>
  </si>
  <si>
    <t>Kaleb Beardsley</t>
  </si>
  <si>
    <t>chrisugulley@aol.com</t>
  </si>
  <si>
    <t>loverabbits4@gmail.com</t>
  </si>
  <si>
    <t>andrea</t>
  </si>
  <si>
    <t>gulley</t>
  </si>
  <si>
    <t>andrea gulley</t>
  </si>
  <si>
    <t>1112 Blackburn RD</t>
  </si>
  <si>
    <t>kimberlya.vogel@gmail.com</t>
  </si>
  <si>
    <t>mbrvogel5599@gmail.com</t>
  </si>
  <si>
    <t>Vogel</t>
  </si>
  <si>
    <t>Amber Vogel</t>
  </si>
  <si>
    <t>6126 Inway Dr.</t>
  </si>
  <si>
    <t>Graciegirl1098@gmail.com</t>
  </si>
  <si>
    <t>Kalee</t>
  </si>
  <si>
    <t>Kalee Beardsley</t>
  </si>
  <si>
    <t>lazyk2r@yahoo.com</t>
  </si>
  <si>
    <t>hrkeller52@gmail.com</t>
  </si>
  <si>
    <t>Hayden Keller</t>
  </si>
  <si>
    <t>27337 Forest Ridge Dr.</t>
  </si>
  <si>
    <t>SarahJMorrissey@hotmail.com</t>
  </si>
  <si>
    <t>Sarah Morrissey</t>
  </si>
  <si>
    <t>andreww1021@gmail.com</t>
  </si>
  <si>
    <t>Northam</t>
  </si>
  <si>
    <t>Andrew Northam</t>
  </si>
  <si>
    <t>420 W Forest Grove</t>
  </si>
  <si>
    <t>rachelmstoll@gmail.com</t>
  </si>
  <si>
    <t>amrstoll@gmail.com</t>
  </si>
  <si>
    <t>Stoll</t>
  </si>
  <si>
    <t>Amy Stoll</t>
  </si>
  <si>
    <t>877 Lower Cane Creek RD</t>
  </si>
  <si>
    <t>Pleasantville</t>
  </si>
  <si>
    <t>gandtneal@sbcglobal.net</t>
  </si>
  <si>
    <t>josiahneal1@hotmail.com</t>
  </si>
  <si>
    <t>Josiah Neal</t>
  </si>
  <si>
    <t>246 Myrtle</t>
  </si>
  <si>
    <t>racerunner1212@gmail.com</t>
  </si>
  <si>
    <t>Rohrer</t>
  </si>
  <si>
    <t>Paige Rohrer</t>
  </si>
  <si>
    <t>PO Box 681418</t>
  </si>
  <si>
    <t>quintol@alextech.edu</t>
  </si>
  <si>
    <t>levittycus25@hotmail.com</t>
  </si>
  <si>
    <t>Lotti</t>
  </si>
  <si>
    <t>Levi Lotti</t>
  </si>
  <si>
    <t>306 Fingal Dr.</t>
  </si>
  <si>
    <t>cymmgarcia@yahoo.com</t>
  </si>
  <si>
    <t>cymmm1@gmail.com</t>
  </si>
  <si>
    <t>Matthew Garcia</t>
  </si>
  <si>
    <t>7840 N.W. 160 Terrace</t>
  </si>
  <si>
    <t>blake.bermuda@yahoo.com</t>
  </si>
  <si>
    <t>Bermuda</t>
  </si>
  <si>
    <t>Blake Bermuda</t>
  </si>
  <si>
    <t>524 Ashland Oaks Drive</t>
  </si>
  <si>
    <t>thecornerstone@afo.net</t>
  </si>
  <si>
    <t>Christenson</t>
  </si>
  <si>
    <t>Joshua Christenson</t>
  </si>
  <si>
    <t>5448 Apex Peakway#372</t>
  </si>
  <si>
    <t>cymmm2@gmail.com</t>
  </si>
  <si>
    <t>Michael Garcia</t>
  </si>
  <si>
    <t>jcoleman@tds.net</t>
  </si>
  <si>
    <t>cgrimsley26@gmail.com</t>
  </si>
  <si>
    <t>Grimsley</t>
  </si>
  <si>
    <t>Clara Grimsley</t>
  </si>
  <si>
    <t>6 Park View Road</t>
  </si>
  <si>
    <t>jandmkidder@gmail.com</t>
  </si>
  <si>
    <t>sirmarquette@gmail.com</t>
  </si>
  <si>
    <t>Kidder</t>
  </si>
  <si>
    <t>Marcus Kidder</t>
  </si>
  <si>
    <t>713 Bridgewater Rd</t>
  </si>
  <si>
    <t>ELIZBEGLEY@BELLSOUTH.NET</t>
  </si>
  <si>
    <t>johnbegley1@hotmail.com</t>
  </si>
  <si>
    <t>John Carl</t>
  </si>
  <si>
    <t>Begley</t>
  </si>
  <si>
    <t>John Carl Begley</t>
  </si>
  <si>
    <t>20051 Old Scenic Hwy, Apt 1807</t>
  </si>
  <si>
    <t>jayme@maxwell.us</t>
  </si>
  <si>
    <t>dawsonmaxwell@icloud.com</t>
  </si>
  <si>
    <t>Dawson Maxwell</t>
  </si>
  <si>
    <t>1504 Yarborough Dr.</t>
  </si>
  <si>
    <t>udallfbc@yahoo.com</t>
  </si>
  <si>
    <t>bryce.aimes@yahoo.com</t>
  </si>
  <si>
    <t>Aimes</t>
  </si>
  <si>
    <t>Bryce Aimes</t>
  </si>
  <si>
    <t>310 s Williams pl</t>
  </si>
  <si>
    <t>udall</t>
  </si>
  <si>
    <t>micaelaknight13@gmail.com</t>
  </si>
  <si>
    <t>Micaela Knight</t>
  </si>
  <si>
    <t>3510 Ga Hwy 313</t>
  </si>
  <si>
    <t>marlisaeyre@ymail.com</t>
  </si>
  <si>
    <t>emmakateeyre@gmail.com</t>
  </si>
  <si>
    <t>Emma Kate</t>
  </si>
  <si>
    <t>Eyre</t>
  </si>
  <si>
    <t>Emma Kate Eyre</t>
  </si>
  <si>
    <t>435 N. Braddock Street</t>
  </si>
  <si>
    <t>jamiefirment@aol.com</t>
  </si>
  <si>
    <t>Firment</t>
  </si>
  <si>
    <t>Jamie Firment</t>
  </si>
  <si>
    <t>154 Deerbrook Trail</t>
  </si>
  <si>
    <t>astronautcat@live.com</t>
  </si>
  <si>
    <t>Katherine Streckert</t>
  </si>
  <si>
    <t>sarakoch1@hotmail.com</t>
  </si>
  <si>
    <t>kochbrats@gmail.com</t>
  </si>
  <si>
    <t>Koch</t>
  </si>
  <si>
    <t>Brandon Koch</t>
  </si>
  <si>
    <t>4300 Cloverdale Rd</t>
  </si>
  <si>
    <t>Olivia Evans</t>
  </si>
  <si>
    <t>abby.sweatman@yahoo.com</t>
  </si>
  <si>
    <t>Sweatman</t>
  </si>
  <si>
    <t>Abby Sweatman</t>
  </si>
  <si>
    <t>5419 Sunny Dell Lane</t>
  </si>
  <si>
    <t>East Ridge</t>
  </si>
  <si>
    <t>kid5mom@aol.com</t>
  </si>
  <si>
    <t>elisamaevick@aol.com</t>
  </si>
  <si>
    <t>Elisa Vick</t>
  </si>
  <si>
    <t>6255 Hwy 25 E</t>
  </si>
  <si>
    <t>Thorn Hill</t>
  </si>
  <si>
    <t>andrewwpittman@gmail.com</t>
  </si>
  <si>
    <t>Andrew Pittman</t>
  </si>
  <si>
    <t>Anna Hixon</t>
  </si>
  <si>
    <t>marilyn.kay.martin@gmail.com</t>
  </si>
  <si>
    <t>mjoseph877@gmail.com</t>
  </si>
  <si>
    <t>Joseph Martin</t>
  </si>
  <si>
    <t>575 Warehouse rd.</t>
  </si>
  <si>
    <t>Manheim</t>
  </si>
  <si>
    <t>athorpe709@gmail.com</t>
  </si>
  <si>
    <t>Alex Thorpe</t>
  </si>
  <si>
    <t>146 Lansdowne Drive</t>
  </si>
  <si>
    <t>Albeuro2010@gmail.com</t>
  </si>
  <si>
    <t>Andrew (Drew)</t>
  </si>
  <si>
    <t>Andrew (Drew) Bennett</t>
  </si>
  <si>
    <t>4220 GA Hwy 65</t>
  </si>
  <si>
    <t>Pelham</t>
  </si>
  <si>
    <t>Hlovesholly@gmail.com</t>
  </si>
  <si>
    <t>Hannah Stephens</t>
  </si>
  <si>
    <t>128 hawthorn lane</t>
  </si>
  <si>
    <t>wsmartin979@yahoo.com</t>
  </si>
  <si>
    <t>wmauburn@yahoo.com</t>
  </si>
  <si>
    <t>William Martin</t>
  </si>
  <si>
    <t>711 Harding Way SE</t>
  </si>
  <si>
    <t>ems8770@gmail.com</t>
  </si>
  <si>
    <t>1949 sansburys way</t>
  </si>
  <si>
    <t>west palm beach</t>
  </si>
  <si>
    <t>micah.watterson@gmail.com</t>
  </si>
  <si>
    <t>Micah Watterson</t>
  </si>
  <si>
    <t>Smith711@cox.net</t>
  </si>
  <si>
    <t>Davidsmith2049@gmail.com</t>
  </si>
  <si>
    <t>Bryson Smith</t>
  </si>
  <si>
    <t>1501 North Post Rd</t>
  </si>
  <si>
    <t>sandozjesse@gmail.com</t>
  </si>
  <si>
    <t>Sandoz</t>
  </si>
  <si>
    <t>Jesse Sandoz</t>
  </si>
  <si>
    <t>701 Charles St.</t>
  </si>
  <si>
    <t>pilar_hansen@yahoo.com</t>
  </si>
  <si>
    <t>michaelahansen@gmail.com</t>
  </si>
  <si>
    <t>Michaela Hansen</t>
  </si>
  <si>
    <t>922 Glen Rose Dr</t>
  </si>
  <si>
    <t>rebeccaeholland@att.net</t>
  </si>
  <si>
    <t>Bearbud6700@gmail.com</t>
  </si>
  <si>
    <t>Aubrey Holland</t>
  </si>
  <si>
    <t>1708 Coronado St</t>
  </si>
  <si>
    <t>bestmom@integrity.com</t>
  </si>
  <si>
    <t>josiahbest@gmail.com</t>
  </si>
  <si>
    <t>Best</t>
  </si>
  <si>
    <t>Josiah Best</t>
  </si>
  <si>
    <t>3615 Crosley Ave</t>
  </si>
  <si>
    <t>sissy.sue101@gmail.com</t>
  </si>
  <si>
    <t>Sissy.sue101@gmail.com</t>
  </si>
  <si>
    <t>Sarah Heard</t>
  </si>
  <si>
    <t>PO box 548</t>
  </si>
  <si>
    <t>1215 hwy 49 E</t>
  </si>
  <si>
    <t>stacey0560@gmail.com</t>
  </si>
  <si>
    <t>Socc3rcr4zd98@yahoo.com</t>
  </si>
  <si>
    <t>Anna Sanders</t>
  </si>
  <si>
    <t>1156 Chippewah Drive</t>
  </si>
  <si>
    <t>Preston Blackmon</t>
  </si>
  <si>
    <t>scott@webfones.com</t>
  </si>
  <si>
    <t>keithsm@mail.irsc.edu</t>
  </si>
  <si>
    <t>Sarah Keith</t>
  </si>
  <si>
    <t>396 Live Oak Drive</t>
  </si>
  <si>
    <t>begeman@venturecomm.net</t>
  </si>
  <si>
    <t>jb3729@k12.sd.us</t>
  </si>
  <si>
    <t>Begeman</t>
  </si>
  <si>
    <t>John Begeman</t>
  </si>
  <si>
    <t>30530 130th Street</t>
  </si>
  <si>
    <t>keithaj@mail.irsc.edu</t>
  </si>
  <si>
    <t>Andrew Keith</t>
  </si>
  <si>
    <t>aarondtaveras@gmail.com</t>
  </si>
  <si>
    <t>Taveras</t>
  </si>
  <si>
    <t>Aaron Taveras</t>
  </si>
  <si>
    <t>91 Crabtree Avenue</t>
  </si>
  <si>
    <t>keithd@mail.irsc.edu</t>
  </si>
  <si>
    <t>Daniel Keith</t>
  </si>
  <si>
    <t>alexanderkim620@gmail.com</t>
  </si>
  <si>
    <t>taejooneom@yahoo.com</t>
  </si>
  <si>
    <t>Eom</t>
  </si>
  <si>
    <t>Michael Eom</t>
  </si>
  <si>
    <t>2406 Palos Verdes Dr W. Apt #6</t>
  </si>
  <si>
    <t>Palos Verdes Estates</t>
  </si>
  <si>
    <t>justinshin505@yahoo.com</t>
  </si>
  <si>
    <t>Justin Shin</t>
  </si>
  <si>
    <t>21007 Victor St. Apt #18</t>
  </si>
  <si>
    <t>Joy Kim</t>
  </si>
  <si>
    <t>jenny.nam401@gmail.com</t>
  </si>
  <si>
    <t>Ha Yeon</t>
  </si>
  <si>
    <t>Ha Yeon Nam</t>
  </si>
  <si>
    <t>2621 Plaza Del Amo Unit #510</t>
  </si>
  <si>
    <t>paulgsandoz@gmail.com</t>
  </si>
  <si>
    <t>Paul Sandoz</t>
  </si>
  <si>
    <t>701 Charles Street</t>
  </si>
  <si>
    <t>kirawysocki28@gmail.com</t>
  </si>
  <si>
    <t>Kira</t>
  </si>
  <si>
    <t>Wysocki</t>
  </si>
  <si>
    <t>Kira Wysocki</t>
  </si>
  <si>
    <t>2035 17th Street</t>
  </si>
  <si>
    <t>infinitum.mundos@gmail.com</t>
  </si>
  <si>
    <t>Joseph Brazell</t>
  </si>
  <si>
    <t>8816 S.E. 12</t>
  </si>
  <si>
    <t>tkingtiger@gmail.com</t>
  </si>
  <si>
    <t>Thomas Keith</t>
  </si>
  <si>
    <t>jakebolling@yahoo.com</t>
  </si>
  <si>
    <t>Bolling</t>
  </si>
  <si>
    <t>Jacob Bolling</t>
  </si>
  <si>
    <t>452 Annadel St</t>
  </si>
  <si>
    <t>nicki.rakestraw@gmail.com</t>
  </si>
  <si>
    <t>Jeanie</t>
  </si>
  <si>
    <t>Rakestraw</t>
  </si>
  <si>
    <t>Jeanie Rakestraw</t>
  </si>
  <si>
    <t>1817 Fox Meadow Trail</t>
  </si>
  <si>
    <t>dlobosco12@gmail.com</t>
  </si>
  <si>
    <t>Daniel LoBosco</t>
  </si>
  <si>
    <t>cctigerfan@hotmail.com</t>
  </si>
  <si>
    <t>alanabelana@comcast.net</t>
  </si>
  <si>
    <t>Cowles</t>
  </si>
  <si>
    <t>Alana Cowles</t>
  </si>
  <si>
    <t>988 Collins Rd</t>
  </si>
  <si>
    <t>illusionistninja96@gmail.com</t>
  </si>
  <si>
    <t>illusionistninja@gmail.com</t>
  </si>
  <si>
    <t>817 N. Meridian</t>
  </si>
  <si>
    <t>richardmmarsh@yahoo.com</t>
  </si>
  <si>
    <t>jrmarsh101813@bellsouth.net</t>
  </si>
  <si>
    <t>Joseph Marsh</t>
  </si>
  <si>
    <t>POBox 38384</t>
  </si>
  <si>
    <t>tdmarsh20413@bellsouth.net</t>
  </si>
  <si>
    <t>Timothy Marsh</t>
  </si>
  <si>
    <t>PO Box 38384</t>
  </si>
  <si>
    <t>corbs22@comcast.net</t>
  </si>
  <si>
    <t>Corban Cowles</t>
  </si>
  <si>
    <t>abbybergman@live.com</t>
  </si>
  <si>
    <t>Abigail Bergman</t>
  </si>
  <si>
    <t>28975 Oxford Road</t>
  </si>
  <si>
    <t>Louisburg</t>
  </si>
  <si>
    <t>tuckratese@gmail.com</t>
  </si>
  <si>
    <t>Tucker Onishi</t>
  </si>
  <si>
    <t>PO Box 2152</t>
  </si>
  <si>
    <t>mlstrand@gmail.com</t>
  </si>
  <si>
    <t>kyjstrand@gmail.com</t>
  </si>
  <si>
    <t>Karis Strand</t>
  </si>
  <si>
    <t>5878 Sand Dr</t>
  </si>
  <si>
    <t>West Bend</t>
  </si>
  <si>
    <t>jonathanjackbloom@gmail.com</t>
  </si>
  <si>
    <t>jjackbloom@gmail.com</t>
  </si>
  <si>
    <t>Jonathan Bloom</t>
  </si>
  <si>
    <t>1054 McArthur Drive</t>
  </si>
  <si>
    <t>ethanoverlie@gmail.com</t>
  </si>
  <si>
    <t>Overlie</t>
  </si>
  <si>
    <t>Ethan Overlie</t>
  </si>
  <si>
    <t>1279 eider circle</t>
  </si>
  <si>
    <t>fallon</t>
  </si>
  <si>
    <t>graciekneen7@gmail.com</t>
  </si>
  <si>
    <t>Nadia</t>
  </si>
  <si>
    <t>Kneen</t>
  </si>
  <si>
    <t>Nadia Kneen</t>
  </si>
  <si>
    <t>9901 Indigo tr</t>
  </si>
  <si>
    <t>ajunknown12@yahoo.com</t>
  </si>
  <si>
    <t>Lehan</t>
  </si>
  <si>
    <t>Lydia Lehan</t>
  </si>
  <si>
    <t>137 catrina court</t>
  </si>
  <si>
    <t>clinescorner@gmail.com</t>
  </si>
  <si>
    <t>azkeeper10@gmail.com</t>
  </si>
  <si>
    <t>Drew Cline</t>
  </si>
  <si>
    <t>9125 E. Purdue Ave.</t>
  </si>
  <si>
    <t>#207</t>
  </si>
  <si>
    <t>EliMorris243@gmail.com</t>
  </si>
  <si>
    <t>Shively</t>
  </si>
  <si>
    <t>Joseph Shively</t>
  </si>
  <si>
    <t>12919 Zion st.</t>
  </si>
  <si>
    <t>Hot Springs</t>
  </si>
  <si>
    <t>itworksfortara@gmail.com</t>
  </si>
  <si>
    <t>Huntsman</t>
  </si>
  <si>
    <t>Tara Huntsman</t>
  </si>
  <si>
    <t>2472 S. County Road 300 East</t>
  </si>
  <si>
    <t>scottmeeberg@gmail.com</t>
  </si>
  <si>
    <t>Meeberg</t>
  </si>
  <si>
    <t>Scott Meeberg</t>
  </si>
  <si>
    <t>14315 63 Avenue</t>
  </si>
  <si>
    <t>t6h 1s3</t>
  </si>
  <si>
    <t>redclaw01@hotmail.com</t>
  </si>
  <si>
    <t>jonathon</t>
  </si>
  <si>
    <t>devore</t>
  </si>
  <si>
    <t>jonathon devore</t>
  </si>
  <si>
    <t>4560 sierra rica rd</t>
  </si>
  <si>
    <t>hoonie@avebaptistchurch.org</t>
  </si>
  <si>
    <t>Noah Kim</t>
  </si>
  <si>
    <t>shawnbarber215@gmail.com</t>
  </si>
  <si>
    <t>Coltsfandanny@yahoo.com</t>
  </si>
  <si>
    <t>Daniel Barber</t>
  </si>
  <si>
    <t>503 Blessings Hill Lane</t>
  </si>
  <si>
    <t>slhelwig@tds.net</t>
  </si>
  <si>
    <t>bradyh25@tds.net</t>
  </si>
  <si>
    <t>Brayden</t>
  </si>
  <si>
    <t>Helwig</t>
  </si>
  <si>
    <t>Brayden Helwig</t>
  </si>
  <si>
    <t>1203 Hanover Trail</t>
  </si>
  <si>
    <t>Waunakee</t>
  </si>
  <si>
    <t>myjunk.haha@gmail.com</t>
  </si>
  <si>
    <t>arast2014@gmail.com</t>
  </si>
  <si>
    <t>Rast</t>
  </si>
  <si>
    <t>Alaina Rast</t>
  </si>
  <si>
    <t>82645 540 AVE</t>
  </si>
  <si>
    <t>Newman Grove</t>
  </si>
  <si>
    <t>kenley@threeriver.net</t>
  </si>
  <si>
    <t>kevinudd62@gmail.com</t>
  </si>
  <si>
    <t>Udd</t>
  </si>
  <si>
    <t>Kevin Udd</t>
  </si>
  <si>
    <t>90516 Gregory Ave</t>
  </si>
  <si>
    <t>jacobgpickering@aol.com</t>
  </si>
  <si>
    <t>Jacob Pickering</t>
  </si>
  <si>
    <t>maryannstjohn@live.com</t>
  </si>
  <si>
    <t>rockinredsfan@gmail.com</t>
  </si>
  <si>
    <t>St John</t>
  </si>
  <si>
    <t>Jonathan St John</t>
  </si>
  <si>
    <t>4165 Sharon Knoll Ct.</t>
  </si>
  <si>
    <t>sixprecioushearts@yahoo.com</t>
  </si>
  <si>
    <t>Ashley Kohler</t>
  </si>
  <si>
    <t>84 Willow Way</t>
  </si>
  <si>
    <t>Saint Charles</t>
  </si>
  <si>
    <t>mlarson@uccs.edu</t>
  </si>
  <si>
    <t>coolflute@icloud.com</t>
  </si>
  <si>
    <t>Jessica Larson</t>
  </si>
  <si>
    <t>brian@churchatsouthlake.com</t>
  </si>
  <si>
    <t>shelbyhammond98@gmail.com</t>
  </si>
  <si>
    <t>Shelby Hammond</t>
  </si>
  <si>
    <t>18228 Great Blue Heron Dr</t>
  </si>
  <si>
    <t>Groveland</t>
  </si>
  <si>
    <t>magraddon@gmail.com</t>
  </si>
  <si>
    <t>morgan</t>
  </si>
  <si>
    <t>graddon</t>
  </si>
  <si>
    <t>morgan graddon</t>
  </si>
  <si>
    <t>9201 Salem Ct.</t>
  </si>
  <si>
    <t>mmead9198@gmail.com</t>
  </si>
  <si>
    <t>516mead.lydi@gmail.com</t>
  </si>
  <si>
    <t>Lydia Mead</t>
  </si>
  <si>
    <t>7155 Winslow Dr.</t>
  </si>
  <si>
    <t>chandlercobb922@gmail.com</t>
  </si>
  <si>
    <t>Chandler Cobb</t>
  </si>
  <si>
    <t>203 Durden Dr</t>
  </si>
  <si>
    <t>elizhedman@gmail.com</t>
  </si>
  <si>
    <t>Obiwanlovr101@aol.com</t>
  </si>
  <si>
    <t>Hedman</t>
  </si>
  <si>
    <t>Rebecca Hedman</t>
  </si>
  <si>
    <t>475 Mustang Mesa</t>
  </si>
  <si>
    <t>Liberty Hill</t>
  </si>
  <si>
    <t>msiskefam@nuvox.net</t>
  </si>
  <si>
    <t>Siske</t>
  </si>
  <si>
    <t>Sarah Siske</t>
  </si>
  <si>
    <t>308 Deep Wood Dr</t>
  </si>
  <si>
    <t>Goodlettsville</t>
  </si>
  <si>
    <t>GlenKeenan@Charter.net</t>
  </si>
  <si>
    <t>Buggymay23@gmail.com</t>
  </si>
  <si>
    <t>Malaia</t>
  </si>
  <si>
    <t>Malaia Martinez</t>
  </si>
  <si>
    <t>841 Jensen Drive</t>
  </si>
  <si>
    <t>Delta</t>
  </si>
  <si>
    <t>emaleesue@charter.net</t>
  </si>
  <si>
    <t>Emalee</t>
  </si>
  <si>
    <t>Breeding</t>
  </si>
  <si>
    <t>Emalee Breeding</t>
  </si>
  <si>
    <t>305 Pigeon Ridge Road</t>
  </si>
  <si>
    <t>marbletilemoore@gmail.com</t>
  </si>
  <si>
    <t>lmo73@aol.com</t>
  </si>
  <si>
    <t>Lance Moore</t>
  </si>
  <si>
    <t>1229 Old Highway 48 North</t>
  </si>
  <si>
    <t>Cumberland Furnace</t>
  </si>
  <si>
    <t>flash4163@bellsouth.net</t>
  </si>
  <si>
    <t>kgxcountry@yahoo.com</t>
  </si>
  <si>
    <t>Kiernan Gordon</t>
  </si>
  <si>
    <t>401 Playground Rd.</t>
  </si>
  <si>
    <t>Walhalla</t>
  </si>
  <si>
    <t>cochst98@gmail.com</t>
  </si>
  <si>
    <t>Strege</t>
  </si>
  <si>
    <t>Collin Strege</t>
  </si>
  <si>
    <t>12077 Highway 42</t>
  </si>
  <si>
    <t>dmp717200@gmail.com</t>
  </si>
  <si>
    <t>Conner Patterson</t>
  </si>
  <si>
    <t>5440 Chatsworth Ln</t>
  </si>
  <si>
    <t>swimfreaks@hotmail.com</t>
  </si>
  <si>
    <t>Elisabeth Torres</t>
  </si>
  <si>
    <t>85544 572 Avenue</t>
  </si>
  <si>
    <t>lisamorgan7@gmail.com</t>
  </si>
  <si>
    <t>Larissa</t>
  </si>
  <si>
    <t>Larissa Morgan</t>
  </si>
  <si>
    <t>schroedersue@yahoo.com</t>
  </si>
  <si>
    <t>chipmunk9834@yahoo.com</t>
  </si>
  <si>
    <t>Rachel Schroeder</t>
  </si>
  <si>
    <t>N5859 Lawrence St.</t>
  </si>
  <si>
    <t>Glen Flora</t>
  </si>
  <si>
    <t>4everand2wks@sutv.com</t>
  </si>
  <si>
    <t>Mosinnagant01@sutv.com</t>
  </si>
  <si>
    <t>Brendan Hamilton</t>
  </si>
  <si>
    <t>1404 n estate rd</t>
  </si>
  <si>
    <t>johnrosswiegel@gmail.com</t>
  </si>
  <si>
    <t>Wiegel</t>
  </si>
  <si>
    <t>John Wiegel</t>
  </si>
  <si>
    <t>28 Oyster Reef Drive</t>
  </si>
  <si>
    <t>eliz96sch@yahoo.com</t>
  </si>
  <si>
    <t>Elizabeth Schroeder</t>
  </si>
  <si>
    <t>missylee5@bellsouth.net</t>
  </si>
  <si>
    <t>jake24lee@bellsouth.net</t>
  </si>
  <si>
    <t>Jacob Lee</t>
  </si>
  <si>
    <t>3544 Wexgate Rd</t>
  </si>
  <si>
    <t>patrickandyogi@yahoo.com</t>
  </si>
  <si>
    <t>Patrick DaCosta</t>
  </si>
  <si>
    <t>21085 Mountain Village Dr.</t>
  </si>
  <si>
    <t>emmadavisn3@gmail.com</t>
  </si>
  <si>
    <t>Rosebud08181999@gmail.com</t>
  </si>
  <si>
    <t>Courtney Schrom</t>
  </si>
  <si>
    <t>914 hannah dr</t>
  </si>
  <si>
    <t>lititz</t>
  </si>
  <si>
    <t>mandy@hensleycrew.com</t>
  </si>
  <si>
    <t>megan@hensleycrew.com</t>
  </si>
  <si>
    <t>Hensley</t>
  </si>
  <si>
    <t>Megan Hensley</t>
  </si>
  <si>
    <t>1529 West First Street</t>
  </si>
  <si>
    <t>Jakob.littler3@gmail.com</t>
  </si>
  <si>
    <t>Littler</t>
  </si>
  <si>
    <t>Jakob Littler</t>
  </si>
  <si>
    <t>10718 Old Stage Rd</t>
  </si>
  <si>
    <t>Sister Bay</t>
  </si>
  <si>
    <t>Lion2al@cox.net</t>
  </si>
  <si>
    <t>jamcqueen1017@gmail.com</t>
  </si>
  <si>
    <t>McQueen</t>
  </si>
  <si>
    <t>Jacob McQueen</t>
  </si>
  <si>
    <t>2161 Caravelle St.</t>
  </si>
  <si>
    <t>Las vegas</t>
  </si>
  <si>
    <t>horse.lover1196@gmail.com</t>
  </si>
  <si>
    <t>Horse.lover1196@gmail.com</t>
  </si>
  <si>
    <t>Paulson</t>
  </si>
  <si>
    <t>Courtney Paulson</t>
  </si>
  <si>
    <t>9801 Hwy 52 S</t>
  </si>
  <si>
    <t>pc4jc12@gmail.com</t>
  </si>
  <si>
    <t>Cassidy Philley</t>
  </si>
  <si>
    <t>4471 Cripple Creek Rd</t>
  </si>
  <si>
    <t>urmysunshine101@charter.net</t>
  </si>
  <si>
    <t>noah_hhl@charter.net</t>
  </si>
  <si>
    <t>Noah Van Fleet</t>
  </si>
  <si>
    <t>816 Lee Drive</t>
  </si>
  <si>
    <t>lawesdavis@aol.com</t>
  </si>
  <si>
    <t>Npdavis116@gmail.com</t>
  </si>
  <si>
    <t>Nathan Davis</t>
  </si>
  <si>
    <t>12158 Twin Oaks Ct</t>
  </si>
  <si>
    <t>sarahkins12@gmail.com</t>
  </si>
  <si>
    <t>Sarah Schmidt</t>
  </si>
  <si>
    <t>P.O. Box 1593</t>
  </si>
  <si>
    <t>jwsatzler@yahoo.com</t>
  </si>
  <si>
    <t>Josiah Satzler</t>
  </si>
  <si>
    <t>6847 Anderson Ave</t>
  </si>
  <si>
    <t>kaseplace@aol.com</t>
  </si>
  <si>
    <t>Nutkase15@gmail.com</t>
  </si>
  <si>
    <t>Amy Kase</t>
  </si>
  <si>
    <t>5317 Sweet Breeze Lane</t>
  </si>
  <si>
    <t>aventador977@gmail.com</t>
  </si>
  <si>
    <t>Benjamin Lee</t>
  </si>
  <si>
    <t>summitbistros@aol.com</t>
  </si>
  <si>
    <t>greg.spaulding@aol.com</t>
  </si>
  <si>
    <t>Spaulding</t>
  </si>
  <si>
    <t>Gregory Spaulding</t>
  </si>
  <si>
    <t>PO Box 2568</t>
  </si>
  <si>
    <t>111 Lupine Lane</t>
  </si>
  <si>
    <t>Shadrach@calvarycch.org</t>
  </si>
  <si>
    <t>Means</t>
  </si>
  <si>
    <t>Micah Means</t>
  </si>
  <si>
    <t>6700 Sunnyvale Dr.</t>
  </si>
  <si>
    <t>aowilson@email.sc.edu</t>
  </si>
  <si>
    <t>Andy</t>
  </si>
  <si>
    <t>Andy Wilson</t>
  </si>
  <si>
    <t>Josiah Means</t>
  </si>
  <si>
    <t>billyrosa21@gmail.com</t>
  </si>
  <si>
    <t>julians1177@gmail.com</t>
  </si>
  <si>
    <t>JULIAN</t>
  </si>
  <si>
    <t>SANCHEZ</t>
  </si>
  <si>
    <t>JULIAN SANCHEZ</t>
  </si>
  <si>
    <t>7137 TIBURON DR</t>
  </si>
  <si>
    <t>CORONA</t>
  </si>
  <si>
    <t>kjb_2016@aol.com</t>
  </si>
  <si>
    <t>Baeza</t>
  </si>
  <si>
    <t>Katlyn Baeza</t>
  </si>
  <si>
    <t>15277 Murray Ave</t>
  </si>
  <si>
    <t>mail2linda.04@Gmail.com</t>
  </si>
  <si>
    <t>Matthew.sesti@yahoo.com</t>
  </si>
  <si>
    <t>Sesti</t>
  </si>
  <si>
    <t>Matthew Sesti</t>
  </si>
  <si>
    <t>14352 Autumn Hill Lane</t>
  </si>
  <si>
    <t>bambambrooke@gmail.com</t>
  </si>
  <si>
    <t>Brooke Mitchell</t>
  </si>
  <si>
    <t>13517 Oxford Ct</t>
  </si>
  <si>
    <t>music41god@gmail.com</t>
  </si>
  <si>
    <t>Kimberly Logan</t>
  </si>
  <si>
    <t>13934 Live Oak Ct</t>
  </si>
  <si>
    <t>keilahgallardo@gmail.com</t>
  </si>
  <si>
    <t>Keilah</t>
  </si>
  <si>
    <t>Gallardo</t>
  </si>
  <si>
    <t>Keilah Gallardo</t>
  </si>
  <si>
    <t>12653 Orgren Ave</t>
  </si>
  <si>
    <t>shelleyk@calvarycch.org</t>
  </si>
  <si>
    <t>smdavidson99@yahoo.com</t>
  </si>
  <si>
    <t>Sean Davidson</t>
  </si>
  <si>
    <t>14504 Rock Canyon Court</t>
  </si>
  <si>
    <t>alexisrjimenez18@gmail.com</t>
  </si>
  <si>
    <t>Jimenez</t>
  </si>
  <si>
    <t>Alexis Jimenez</t>
  </si>
  <si>
    <t>6226 Satterfield Way</t>
  </si>
  <si>
    <t>rjmartelli@charter.net</t>
  </si>
  <si>
    <t>harmonyandhorses@gmail.com</t>
  </si>
  <si>
    <t>Emille</t>
  </si>
  <si>
    <t>Martelli</t>
  </si>
  <si>
    <t>Emille Martelli</t>
  </si>
  <si>
    <t>3228 North Territorial Rd. W</t>
  </si>
  <si>
    <t>hessappraisal@verizon.net</t>
  </si>
  <si>
    <t>ben_hess77@yahoo.com</t>
  </si>
  <si>
    <t>Benjamin Hess</t>
  </si>
  <si>
    <t>6509 Homan Ct</t>
  </si>
  <si>
    <t>amandammachado16@gmail.com</t>
  </si>
  <si>
    <t>Machado</t>
  </si>
  <si>
    <t>Amanda Machado</t>
  </si>
  <si>
    <t>17383 East Park</t>
  </si>
  <si>
    <t>ftotaker56@msn.com</t>
  </si>
  <si>
    <t>Jack Pascua</t>
  </si>
  <si>
    <t>853 W. I Street</t>
  </si>
  <si>
    <t>woodwardclan@gmail.com</t>
  </si>
  <si>
    <t>Faith Woodward</t>
  </si>
  <si>
    <t>531 roy north rd</t>
  </si>
  <si>
    <t>carrollton</t>
  </si>
  <si>
    <t>loverevolution4God@gmail.com</t>
  </si>
  <si>
    <t>Kayla Paul</t>
  </si>
  <si>
    <t>13897 Cottonwood Avenue</t>
  </si>
  <si>
    <t>junkmail@easyelegance.com</t>
  </si>
  <si>
    <t>jmolson17@gmail.com</t>
  </si>
  <si>
    <t>John Olson</t>
  </si>
  <si>
    <t>5463 Crane Ave E</t>
  </si>
  <si>
    <t>anthony_simpson95@yahoo.com</t>
  </si>
  <si>
    <t>Anthony_simpson95@yahoo.com</t>
  </si>
  <si>
    <t>Anthony Simpson</t>
  </si>
  <si>
    <t>13439 peyton drive #137</t>
  </si>
  <si>
    <t>Chino hills</t>
  </si>
  <si>
    <t>cs_academy@att.net</t>
  </si>
  <si>
    <t>dj.awesome@att.net</t>
  </si>
  <si>
    <t>Daniel Jarvis</t>
  </si>
  <si>
    <t>3971 Point Clear Drive</t>
  </si>
  <si>
    <t>Missouri City</t>
  </si>
  <si>
    <t>michaelbennettmusic@yahoo.com</t>
  </si>
  <si>
    <t>Michael Bennett</t>
  </si>
  <si>
    <t>3027 Plum Street</t>
  </si>
  <si>
    <t>bethanysesti@gmail.com</t>
  </si>
  <si>
    <t>Bethany Sesti</t>
  </si>
  <si>
    <t>jeff@bolingfamily.com</t>
  </si>
  <si>
    <t>yoda@bolingfamily.com</t>
  </si>
  <si>
    <t>Boling</t>
  </si>
  <si>
    <t>Jonathan Boling</t>
  </si>
  <si>
    <t>7611 Lake Pointe Dr.</t>
  </si>
  <si>
    <t>Crestwood</t>
  </si>
  <si>
    <t>bizzoyds@hotmail.com</t>
  </si>
  <si>
    <t>Rhonald</t>
  </si>
  <si>
    <t>Rhonald Boyd</t>
  </si>
  <si>
    <t>10 Japonica Lane</t>
  </si>
  <si>
    <t>Shalimar</t>
  </si>
  <si>
    <t>davelisareiter@comcast.net</t>
  </si>
  <si>
    <t>evreiter@comcast.net</t>
  </si>
  <si>
    <t>Evelyn</t>
  </si>
  <si>
    <t>Reiter</t>
  </si>
  <si>
    <t>Evelyn Reiter</t>
  </si>
  <si>
    <t>7149 Meadow Lane</t>
  </si>
  <si>
    <t>shelbyscott7@yahoo.com</t>
  </si>
  <si>
    <t>stephenscott1998@yahoo.com</t>
  </si>
  <si>
    <t>Stephen Scott</t>
  </si>
  <si>
    <t>6600 Jenny Dee Place</t>
  </si>
  <si>
    <t>Speingfield</t>
  </si>
  <si>
    <t>slhah@bellsouth.net</t>
  </si>
  <si>
    <t>Hannah Hobbs</t>
  </si>
  <si>
    <t>12621 Boyce Mill Rd.</t>
  </si>
  <si>
    <t>chattvegas5@gmail.com</t>
  </si>
  <si>
    <t>ajgator2000@gmail.com</t>
  </si>
  <si>
    <t>Andrew Johnson</t>
  </si>
  <si>
    <t>6482 Brookmead Cir</t>
  </si>
  <si>
    <t>timothy.snodgrass@rockwellcollins.com</t>
  </si>
  <si>
    <t>elisnow17@gmail.com</t>
  </si>
  <si>
    <t>Snodgrass</t>
  </si>
  <si>
    <t>Elliot Snodgrass</t>
  </si>
  <si>
    <t>1503 8th Ave SE</t>
  </si>
  <si>
    <t>David Turner</t>
  </si>
  <si>
    <t>Mt. Juliet</t>
  </si>
  <si>
    <t>jrw3@hotmail.com</t>
  </si>
  <si>
    <t>Reedcrawford@inbox.lv</t>
  </si>
  <si>
    <t>Reed Crawford</t>
  </si>
  <si>
    <t>1239 Farmcrest Drive</t>
  </si>
  <si>
    <t>george_so@sbcglobal.net</t>
  </si>
  <si>
    <t>finner505@gmail.com</t>
  </si>
  <si>
    <t>GILIENE</t>
  </si>
  <si>
    <t>SO</t>
  </si>
  <si>
    <t>GILIENE SO</t>
  </si>
  <si>
    <t>1024 DON DIABLO DRIVE</t>
  </si>
  <si>
    <t>ARCADIA</t>
  </si>
  <si>
    <t>sogentle0@gmail.com</t>
  </si>
  <si>
    <t>GENTLE</t>
  </si>
  <si>
    <t>GENTLE SO</t>
  </si>
  <si>
    <t>gapopes@aol.com</t>
  </si>
  <si>
    <t>kpope14@yahoo.com</t>
  </si>
  <si>
    <t>Pope III</t>
  </si>
  <si>
    <t>Gibson Pope III</t>
  </si>
  <si>
    <t>205 Wavertree Drive</t>
  </si>
  <si>
    <t>Warner Robins</t>
  </si>
  <si>
    <t>robertkara@hotmail.com</t>
  </si>
  <si>
    <t>dallasg@outlook.com</t>
  </si>
  <si>
    <t>Dallas Gray</t>
  </si>
  <si>
    <t>2244 E Baseline Rd</t>
  </si>
  <si>
    <t>ernie@mtechnis.com</t>
  </si>
  <si>
    <t>LClark@Sterling.edu</t>
  </si>
  <si>
    <t>10404 Wolcott Dr.</t>
  </si>
  <si>
    <t>jordanhayes15@gmail.com</t>
  </si>
  <si>
    <t>Jordan Hayes</t>
  </si>
  <si>
    <t>Saint Johns</t>
  </si>
  <si>
    <t>Marissabeastyy@gmail.com</t>
  </si>
  <si>
    <t>marissabeastyy@gmail.com</t>
  </si>
  <si>
    <t>Marissa Bertram</t>
  </si>
  <si>
    <t>82 Valley View Lane</t>
  </si>
  <si>
    <t>mjwiegel1998@gmail.com</t>
  </si>
  <si>
    <t>Matthew Wiegel</t>
  </si>
  <si>
    <t>rebekah76.rl@gmail.com</t>
  </si>
  <si>
    <t>Jonathan Lamb</t>
  </si>
  <si>
    <t>6521 Hwy 287</t>
  </si>
  <si>
    <t>olivialscott97@gmail.com</t>
  </si>
  <si>
    <t>kspring33@gmail.com</t>
  </si>
  <si>
    <t>kaniela33@gmail.com</t>
  </si>
  <si>
    <t>Daniel Spring</t>
  </si>
  <si>
    <t>1785 Grace Rd.</t>
  </si>
  <si>
    <t>Gridley</t>
  </si>
  <si>
    <t>zacray13@gmail.com</t>
  </si>
  <si>
    <t>Zac</t>
  </si>
  <si>
    <t>Zac Ray</t>
  </si>
  <si>
    <t>2101 E. Palm Valley Blvd</t>
  </si>
  <si>
    <t>diana@masseytrial.com</t>
  </si>
  <si>
    <t>rachelmassey379@gmail.com</t>
  </si>
  <si>
    <t>Massey</t>
  </si>
  <si>
    <t>Rachel Massey</t>
  </si>
  <si>
    <t>PO Box 8426</t>
  </si>
  <si>
    <t>tthatchell@earthlink.net</t>
  </si>
  <si>
    <t>cwilliamsburg428@gmail.com</t>
  </si>
  <si>
    <t>Hatchell</t>
  </si>
  <si>
    <t>Chloe Hatchell</t>
  </si>
  <si>
    <t>19 Spanish Moss Road</t>
  </si>
  <si>
    <t>elleyshin659@gmail.com</t>
  </si>
  <si>
    <t>Elley</t>
  </si>
  <si>
    <t>Elley Shin</t>
  </si>
  <si>
    <t>474 Travis Avenue</t>
  </si>
  <si>
    <t>willkallen@gmail.com</t>
  </si>
  <si>
    <t>William Allen</t>
  </si>
  <si>
    <t>2403 Township Rd. 35</t>
  </si>
  <si>
    <t>shinnarrie98@gmail.com</t>
  </si>
  <si>
    <t>Narrie</t>
  </si>
  <si>
    <t>Narrie Shin</t>
  </si>
  <si>
    <t>kjkerbs@gmail.com</t>
  </si>
  <si>
    <t>Kerbs</t>
  </si>
  <si>
    <t>Kennedy Kerbs</t>
  </si>
  <si>
    <t>alvinhelms@gmail.com</t>
  </si>
  <si>
    <t>zachhinca@gmail.com</t>
  </si>
  <si>
    <t>Zachary Helms</t>
  </si>
  <si>
    <t>3729 southridge way</t>
  </si>
  <si>
    <t>oceanside</t>
  </si>
  <si>
    <t>eunicevalenzuela28@gmail.com</t>
  </si>
  <si>
    <t>Eunice</t>
  </si>
  <si>
    <t>Eunice Valenzuela</t>
  </si>
  <si>
    <t>12838 Colony Heath Ln</t>
  </si>
  <si>
    <t>budkkchase@comcast.net</t>
  </si>
  <si>
    <t>chailynn.chase@gmail.com</t>
  </si>
  <si>
    <t>Chailynn</t>
  </si>
  <si>
    <t>Chailynn Chase</t>
  </si>
  <si>
    <t>PO Box 430363</t>
  </si>
  <si>
    <t>nelsonsacademy@yahoo.com</t>
  </si>
  <si>
    <t>t_bnelson@yahoo.com</t>
  </si>
  <si>
    <t>Tessa Nelson</t>
  </si>
  <si>
    <t>7975 Autumn Hill Dr</t>
  </si>
  <si>
    <t>jtschmidt13@gmail.com</t>
  </si>
  <si>
    <t>broughall3@windstream.net</t>
  </si>
  <si>
    <t>Broughall</t>
  </si>
  <si>
    <t>John Broughall</t>
  </si>
  <si>
    <t>libertyhomestead@gmail.com</t>
  </si>
  <si>
    <t>benjamincmcelvain@student.cofo.edu</t>
  </si>
  <si>
    <t>McElvain</t>
  </si>
  <si>
    <t>Benjamin McElvain</t>
  </si>
  <si>
    <t>Ava</t>
  </si>
  <si>
    <t>missionaryburkes@gmail.com</t>
  </si>
  <si>
    <t>benburke213@gmail.com</t>
  </si>
  <si>
    <t>Benjamin Burke</t>
  </si>
  <si>
    <t>1535 George Ellis Rd</t>
  </si>
  <si>
    <t>garrett.long2@aol.com</t>
  </si>
  <si>
    <t>1759 NW 20 Street</t>
  </si>
  <si>
    <t>djlawlin@gmail.com</t>
  </si>
  <si>
    <t>ajtanker50@gmail.com</t>
  </si>
  <si>
    <t>Lawlin</t>
  </si>
  <si>
    <t>Andrew Lawlin</t>
  </si>
  <si>
    <t>40895 Cooper Dr.</t>
  </si>
  <si>
    <t>Leonardtown</t>
  </si>
  <si>
    <t>tcdupon@gmail.com</t>
  </si>
  <si>
    <t>Tate Dupon</t>
  </si>
  <si>
    <t>13550 Alex</t>
  </si>
  <si>
    <t>ericandtania@hotmail.com</t>
  </si>
  <si>
    <t>Calvin Larson</t>
  </si>
  <si>
    <t>waynebelieves@gmail.com</t>
  </si>
  <si>
    <t>Waynebelieves@gmail.com</t>
  </si>
  <si>
    <t>Mercer</t>
  </si>
  <si>
    <t>Gabriel Mercer</t>
  </si>
  <si>
    <t>43 Lake Henry Drive</t>
  </si>
  <si>
    <t>moorebeth4@gmail.com</t>
  </si>
  <si>
    <t>gcmooreiv@gmail.com</t>
  </si>
  <si>
    <t>Moore IV</t>
  </si>
  <si>
    <t>George Moore IV</t>
  </si>
  <si>
    <t>2112 Hearthwood Lane</t>
  </si>
  <si>
    <t>kirkdown2001us@yahoo.com</t>
  </si>
  <si>
    <t>Down</t>
  </si>
  <si>
    <t>Noah Down</t>
  </si>
  <si>
    <t>1610 Culbera St.</t>
  </si>
  <si>
    <t>savannah0896@hotmail.com</t>
  </si>
  <si>
    <t>Savannah Russell</t>
  </si>
  <si>
    <t>40291 Sunridge ct</t>
  </si>
  <si>
    <t>Paonia</t>
  </si>
  <si>
    <t>quarterback1997@gmail.com</t>
  </si>
  <si>
    <t>Quarterback1997@gmail.com</t>
  </si>
  <si>
    <t>Alex Welch</t>
  </si>
  <si>
    <t>322 Dell Meadows Place</t>
  </si>
  <si>
    <t>Four Oaks</t>
  </si>
  <si>
    <t>athome16@windstream.net</t>
  </si>
  <si>
    <t>Athome16@windstream.net</t>
  </si>
  <si>
    <t>Glorianna</t>
  </si>
  <si>
    <t>Glorianna Sapp</t>
  </si>
  <si>
    <t>Bronwood</t>
  </si>
  <si>
    <t>lyndaben21@gmail.com</t>
  </si>
  <si>
    <t>Christine Bennett</t>
  </si>
  <si>
    <t>3 Almike Drive</t>
  </si>
  <si>
    <t>Centereach</t>
  </si>
  <si>
    <t>melia.leonard@msn.com</t>
  </si>
  <si>
    <t>Melia</t>
  </si>
  <si>
    <t>Melia Leonard</t>
  </si>
  <si>
    <t>3494 Colonnade Drive</t>
  </si>
  <si>
    <t>davidleeblom@gmail.com</t>
  </si>
  <si>
    <t>David Blom</t>
  </si>
  <si>
    <t>sberreth7@comcast.net</t>
  </si>
  <si>
    <t>joshberreth1@yahoo.com</t>
  </si>
  <si>
    <t>Joshua Berreth</t>
  </si>
  <si>
    <t>2007 Sandy Lake Dr.</t>
  </si>
  <si>
    <t>john.choi@ealas.org</t>
  </si>
  <si>
    <t>John Choi</t>
  </si>
  <si>
    <t>25355 Playa Serena Dr.</t>
  </si>
  <si>
    <t>my52willys@yahoo.com</t>
  </si>
  <si>
    <t>isoccer217@gmail.com</t>
  </si>
  <si>
    <t>Isaac Fuller</t>
  </si>
  <si>
    <t>21002 Nowhere Rd.</t>
  </si>
  <si>
    <t>jnsjsmith@gmail.com</t>
  </si>
  <si>
    <t>Julia Smith</t>
  </si>
  <si>
    <t>103 Lake Herrin Ct</t>
  </si>
  <si>
    <t>Yorktown</t>
  </si>
  <si>
    <t>scspurlin@yahoo.com</t>
  </si>
  <si>
    <t>camibviolubb@yahoo.com</t>
  </si>
  <si>
    <t>Spurlin</t>
  </si>
  <si>
    <t>Camryn Spurlin</t>
  </si>
  <si>
    <t>3518 102nd Street</t>
  </si>
  <si>
    <t>jwarmourjr@comcast.net</t>
  </si>
  <si>
    <t>Armour</t>
  </si>
  <si>
    <t>Harrison Armour</t>
  </si>
  <si>
    <t>treska_m97@yahoo.com</t>
  </si>
  <si>
    <t>Treska</t>
  </si>
  <si>
    <t>Treska Mason</t>
  </si>
  <si>
    <t>2324 CR 7650</t>
  </si>
  <si>
    <t>cal32b@gmail.com</t>
  </si>
  <si>
    <t>cale32b@gmail.com</t>
  </si>
  <si>
    <t>Caleb Butler</t>
  </si>
  <si>
    <t>4430 Laven way</t>
  </si>
  <si>
    <t>scotthubinger1@gmail.com</t>
  </si>
  <si>
    <t>calhubinger@gmail.com</t>
  </si>
  <si>
    <t>hubinger</t>
  </si>
  <si>
    <t>caleb hubinger</t>
  </si>
  <si>
    <t>11700 waldron rd</t>
  </si>
  <si>
    <t>waldron</t>
  </si>
  <si>
    <t>marianne.in.colorado@gmail.com</t>
  </si>
  <si>
    <t>jjburmaboy@gmail.com</t>
  </si>
  <si>
    <t>Joseph Johnson</t>
  </si>
  <si>
    <t>10201 W. Ida Ave</t>
  </si>
  <si>
    <t>#141</t>
  </si>
  <si>
    <t>fred_witmer@yahoo.com</t>
  </si>
  <si>
    <t>3420 County Road 56</t>
  </si>
  <si>
    <t>phharrison95@gmail.com</t>
  </si>
  <si>
    <t>Peter Harrison</t>
  </si>
  <si>
    <t>899 Browntown Rd.</t>
  </si>
  <si>
    <t>furlough.lennie@gmail.com</t>
  </si>
  <si>
    <t>tqbfurlough@gmail.com</t>
  </si>
  <si>
    <t>Lenard</t>
  </si>
  <si>
    <t>Furlough III</t>
  </si>
  <si>
    <t>Lenard Furlough III</t>
  </si>
  <si>
    <t>6725 Country Hollows Lane</t>
  </si>
  <si>
    <t>michelle.3@comcast.net</t>
  </si>
  <si>
    <t>Emily Lindsey</t>
  </si>
  <si>
    <t>3102 Sugar Maple Court</t>
  </si>
  <si>
    <t>jsphbq@gmail.com</t>
  </si>
  <si>
    <t>Joseph Quinones</t>
  </si>
  <si>
    <t>3406 S Glenbrook Dr</t>
  </si>
  <si>
    <t>mama.cross.3@gmail.com</t>
  </si>
  <si>
    <t>annascottcross@gmail.com</t>
  </si>
  <si>
    <t>Anna Cross</t>
  </si>
  <si>
    <t>26 Little Farm Circle</t>
  </si>
  <si>
    <t>baileyrolfes@gmail.com</t>
  </si>
  <si>
    <t>Rolfes</t>
  </si>
  <si>
    <t>Bailey Rolfes</t>
  </si>
  <si>
    <t>21465 Bonanza Blvd.</t>
  </si>
  <si>
    <t>karolinereiter@comcast.net</t>
  </si>
  <si>
    <t>Karoline</t>
  </si>
  <si>
    <t>Karoline Reiter</t>
  </si>
  <si>
    <t>353 Pease Road</t>
  </si>
  <si>
    <t>hijoshjohnson@gmail.com</t>
  </si>
  <si>
    <t>headlee.jacob@yahoo.com</t>
  </si>
  <si>
    <t>Jacob Headlee</t>
  </si>
  <si>
    <t>boydhargraves@yahoo.com</t>
  </si>
  <si>
    <t>gideonhargraves@yahoo.com</t>
  </si>
  <si>
    <t>Hargraves</t>
  </si>
  <si>
    <t>Gideon Hargraves</t>
  </si>
  <si>
    <t>430 Gibson Pond Rd</t>
  </si>
  <si>
    <t>haileykrowden@gmail.com</t>
  </si>
  <si>
    <t>Potts</t>
  </si>
  <si>
    <t>Hailey Potts</t>
  </si>
  <si>
    <t>4801 E 5th St. #221</t>
  </si>
  <si>
    <t>josiah.d.macy@gmail.com</t>
  </si>
  <si>
    <t>Josiah Macy</t>
  </si>
  <si>
    <t>3769 Sierra Hwy</t>
  </si>
  <si>
    <t>Rosamond</t>
  </si>
  <si>
    <t>jasonprisk@gmail.com</t>
  </si>
  <si>
    <t>xenithdrummer@yahoo.com</t>
  </si>
  <si>
    <t>Prisk</t>
  </si>
  <si>
    <t>Chandler Prisk</t>
  </si>
  <si>
    <t>339 Waterfront Drive</t>
  </si>
  <si>
    <t>diane.grigg@libertychristian.com</t>
  </si>
  <si>
    <t>GriggM@jbu.edu</t>
  </si>
  <si>
    <t>Malorie</t>
  </si>
  <si>
    <t>Grigg</t>
  </si>
  <si>
    <t>Malorie Grigg</t>
  </si>
  <si>
    <t>2804 Pinto Dr.</t>
  </si>
  <si>
    <t>jakethelawnboy@gmail.com</t>
  </si>
  <si>
    <t>willgeisz605@gmail.com</t>
  </si>
  <si>
    <t>Will Geisz</t>
  </si>
  <si>
    <t>605 High Valley Ct.</t>
  </si>
  <si>
    <t>Colorado</t>
  </si>
  <si>
    <t>charlotte.ellard@gmail.com</t>
  </si>
  <si>
    <t>fraser.ellard@gmail.com</t>
  </si>
  <si>
    <t>Fraser Ellard</t>
  </si>
  <si>
    <t>rperrin4@gmail.com</t>
  </si>
  <si>
    <t>Perrin</t>
  </si>
  <si>
    <t>Joshua Perrin</t>
  </si>
  <si>
    <t>26992 summers road</t>
  </si>
  <si>
    <t>Corder</t>
  </si>
  <si>
    <t>MorningGlory9@devoucalla.com</t>
  </si>
  <si>
    <t>CallaCrew@DeVoucalla.com</t>
  </si>
  <si>
    <t>DeVoucalla</t>
  </si>
  <si>
    <t>Christine DeVoucalla</t>
  </si>
  <si>
    <t>5303 Brownlee Lane</t>
  </si>
  <si>
    <t>tina@thejobes.com</t>
  </si>
  <si>
    <t>nathan@thejobes.com</t>
  </si>
  <si>
    <t>Jobe</t>
  </si>
  <si>
    <t>Nathan Jobe</t>
  </si>
  <si>
    <t>183 Rembrandt Drive</t>
  </si>
  <si>
    <t>eugena76@yahoo.com</t>
  </si>
  <si>
    <t>brownje98@gmail.com</t>
  </si>
  <si>
    <t>Justin Brown</t>
  </si>
  <si>
    <t>894 Wilda Road</t>
  </si>
  <si>
    <t>Stuarts Draft</t>
  </si>
  <si>
    <t>Natalie Grigg</t>
  </si>
  <si>
    <t>doug@dougnicola.com</t>
  </si>
  <si>
    <t>Nicola</t>
  </si>
  <si>
    <t>Emma Nicola</t>
  </si>
  <si>
    <t>6885 Cicero Rd</t>
  </si>
  <si>
    <t>hicksville</t>
  </si>
  <si>
    <t>Lolettag@aol.com</t>
  </si>
  <si>
    <t>Mary Rogers</t>
  </si>
  <si>
    <t>milothatch1@att.net</t>
  </si>
  <si>
    <t>Ethan Appleton</t>
  </si>
  <si>
    <t>1531 Liberty Expy SE</t>
  </si>
  <si>
    <t>fred_duong@sil.org</t>
  </si>
  <si>
    <t>Lydia.Duong@gmail.com</t>
  </si>
  <si>
    <t>Duong</t>
  </si>
  <si>
    <t>Lydia Duong</t>
  </si>
  <si>
    <t>218 Sydney Lane</t>
  </si>
  <si>
    <t>mpaxton62@hotmail.com</t>
  </si>
  <si>
    <t>marykp21@yahoo.com</t>
  </si>
  <si>
    <t>Paxton</t>
  </si>
  <si>
    <t>Mary Paxton</t>
  </si>
  <si>
    <t>4803 100th St.</t>
  </si>
  <si>
    <t>Davismomva@hotmail.com</t>
  </si>
  <si>
    <t>gadjr622@gmail.com</t>
  </si>
  <si>
    <t>Gregory Davis</t>
  </si>
  <si>
    <t>15325 Dillwyn Ct</t>
  </si>
  <si>
    <t>kschriner@hcscolby.org</t>
  </si>
  <si>
    <t>gschriner@hcscolby.org</t>
  </si>
  <si>
    <t>Schriner</t>
  </si>
  <si>
    <t>Gabriel Schriner</t>
  </si>
  <si>
    <t>955 Prairie View</t>
  </si>
  <si>
    <t>trestapayne@gmail.com</t>
  </si>
  <si>
    <t>baileysblogs@gmail.com</t>
  </si>
  <si>
    <t>Bailey Payne</t>
  </si>
  <si>
    <t>1355 Wildcat Rd.</t>
  </si>
  <si>
    <t>Camas Valley</t>
  </si>
  <si>
    <t>rolltidecc@gmail.com</t>
  </si>
  <si>
    <t>Chandler Crow</t>
  </si>
  <si>
    <t>6806 Allen Hill Place</t>
  </si>
  <si>
    <t>Peter5459schmuldt@gmail.com</t>
  </si>
  <si>
    <t>Peter Schmuldt</t>
  </si>
  <si>
    <t>57 N Glenview Ave</t>
  </si>
  <si>
    <t>baylea@blades.net</t>
  </si>
  <si>
    <t>Baylea</t>
  </si>
  <si>
    <t>Baylea Snodgrass</t>
  </si>
  <si>
    <t>603 d st</t>
  </si>
  <si>
    <t>amana</t>
  </si>
  <si>
    <t>jlkped5@cox.net</t>
  </si>
  <si>
    <t>bryanpedersen34@gmail.com</t>
  </si>
  <si>
    <t>Pedersen</t>
  </si>
  <si>
    <t>Bryan Pedersen</t>
  </si>
  <si>
    <t>Pam Lane</t>
  </si>
  <si>
    <t>seafem2002@yahoo.com</t>
  </si>
  <si>
    <t>renellapeters@gmail.com</t>
  </si>
  <si>
    <t>Shaniece</t>
  </si>
  <si>
    <t>Shaniece Peters</t>
  </si>
  <si>
    <t>11 Diane Street</t>
  </si>
  <si>
    <t>Cottam</t>
  </si>
  <si>
    <t>N0R1B0</t>
  </si>
  <si>
    <t>macidevenport@gmail.com</t>
  </si>
  <si>
    <t>Maci</t>
  </si>
  <si>
    <t>Devenport</t>
  </si>
  <si>
    <t>Maci Devenport</t>
  </si>
  <si>
    <t>808 Mesa Verde Dr.</t>
  </si>
  <si>
    <t>Barberton</t>
  </si>
  <si>
    <t>rutledge@reagan.com</t>
  </si>
  <si>
    <t>mccraerutledge@gmail.com</t>
  </si>
  <si>
    <t>McCrae</t>
  </si>
  <si>
    <t>McCrae Rutledge</t>
  </si>
  <si>
    <t>7822 N FM 117</t>
  </si>
  <si>
    <t>mchillery@hotmail.com</t>
  </si>
  <si>
    <t>charles.m.hillery@gmail.com</t>
  </si>
  <si>
    <t>Hillery</t>
  </si>
  <si>
    <t>Charles Hillery</t>
  </si>
  <si>
    <t>1256 Lasterbrook</t>
  </si>
  <si>
    <t>tommymorris1@aol.com</t>
  </si>
  <si>
    <t>sktnoah@aol.com</t>
  </si>
  <si>
    <t>Noah Morris</t>
  </si>
  <si>
    <t>2031 Oak Branch Way</t>
  </si>
  <si>
    <t>Stone Mountain</t>
  </si>
  <si>
    <t>bdenton0@gmail.com</t>
  </si>
  <si>
    <t>num16459@gmail.com</t>
  </si>
  <si>
    <t>Nathan Denton</t>
  </si>
  <si>
    <t>5531 Maplewood St</t>
  </si>
  <si>
    <t>ben.spud.williams@gmail.com</t>
  </si>
  <si>
    <t>Benjamin Williams</t>
  </si>
  <si>
    <t>423 S Jackson St</t>
  </si>
  <si>
    <t>brock_bishop@hotmail.com</t>
  </si>
  <si>
    <t>Bishop</t>
  </si>
  <si>
    <t>John Bishop</t>
  </si>
  <si>
    <t>greatreading@emilysbooks.net</t>
  </si>
  <si>
    <t>joshbeltran688@gmail.com</t>
  </si>
  <si>
    <t>Beltran</t>
  </si>
  <si>
    <t>Joshua Beltran</t>
  </si>
  <si>
    <t>6735 Gould Gray Rd.</t>
  </si>
  <si>
    <t>Brainerd</t>
  </si>
  <si>
    <t>weandpeas@yahoo.com</t>
  </si>
  <si>
    <t>Caddy</t>
  </si>
  <si>
    <t>Dylan Caddy</t>
  </si>
  <si>
    <t>2240 Yellow Sulphur Rd</t>
  </si>
  <si>
    <t>Christiansburg</t>
  </si>
  <si>
    <t>Reaves</t>
  </si>
  <si>
    <t>Robert Reaves</t>
  </si>
  <si>
    <t>slyterfamily@q.com</t>
  </si>
  <si>
    <t>Kevinslyter@q.com</t>
  </si>
  <si>
    <t>Slyter</t>
  </si>
  <si>
    <t>Kevin Slyter</t>
  </si>
  <si>
    <t>7505 Berkshire Dr NE</t>
  </si>
  <si>
    <t>megan.paulo356@gmail.com</t>
  </si>
  <si>
    <t>Megan Paulo</t>
  </si>
  <si>
    <t>2524 Lincoln Airpark Drive</t>
  </si>
  <si>
    <t>lisapenningtonnc@gmail.com</t>
  </si>
  <si>
    <t>davispennington@gmail.com</t>
  </si>
  <si>
    <t>Robert Pennington</t>
  </si>
  <si>
    <t>6051-E Mt Zion Rd</t>
  </si>
  <si>
    <t>davidstrangebird@gmail.com</t>
  </si>
  <si>
    <t>hughes45452009@gmail.com</t>
  </si>
  <si>
    <t>Dalton Hughes</t>
  </si>
  <si>
    <t>7701 Tindall Court</t>
  </si>
  <si>
    <t>nanci.patch@gmail.com</t>
  </si>
  <si>
    <t>jjonahpatch@gmail.com</t>
  </si>
  <si>
    <t>Patch</t>
  </si>
  <si>
    <t>Jonathan Patch</t>
  </si>
  <si>
    <t>1603 Wood Rock Dr.</t>
  </si>
  <si>
    <t>tklgwe4@hotmail.com</t>
  </si>
  <si>
    <t>gogatorsnmbr1@yahoo.com</t>
  </si>
  <si>
    <t>Luke Kendall</t>
  </si>
  <si>
    <t>2345 Thomson Way</t>
  </si>
  <si>
    <t>sarakangas@live.com</t>
  </si>
  <si>
    <t>Sara Kangas</t>
  </si>
  <si>
    <t>5913 Montaque Ave</t>
  </si>
  <si>
    <t>Rockvale</t>
  </si>
  <si>
    <t>dawnmsnow@aol.com</t>
  </si>
  <si>
    <t>Anthonysnowman@gmail.com</t>
  </si>
  <si>
    <t>Snow</t>
  </si>
  <si>
    <t>Anthony Snow</t>
  </si>
  <si>
    <t>1206 n main</t>
  </si>
  <si>
    <t>kaitlyndsharpe@yahoo.com</t>
  </si>
  <si>
    <t>Kaitlynd</t>
  </si>
  <si>
    <t>Sharpe</t>
  </si>
  <si>
    <t>Kaitlynd Sharpe</t>
  </si>
  <si>
    <t>3436 Blue Spring Road</t>
  </si>
  <si>
    <t>Decherd</t>
  </si>
  <si>
    <t>mical23@hotmail.com</t>
  </si>
  <si>
    <t>Ethandg23@outlook.com</t>
  </si>
  <si>
    <t>DeGuzman</t>
  </si>
  <si>
    <t>Ethan DeGuzman</t>
  </si>
  <si>
    <t>1023 S. 30th St</t>
  </si>
  <si>
    <t>therealcodygee@gmail.com</t>
  </si>
  <si>
    <t>Cody Gee</t>
  </si>
  <si>
    <t>8965 grant line rd</t>
  </si>
  <si>
    <t>elk grove</t>
  </si>
  <si>
    <t>mckinnissupport@gmail.com</t>
  </si>
  <si>
    <t>kenton.mckinnis95@gmail.com</t>
  </si>
  <si>
    <t>McKinnis</t>
  </si>
  <si>
    <t>Kenton McKinnis</t>
  </si>
  <si>
    <t>6601 E. Lonesome Drive</t>
  </si>
  <si>
    <t>brobertsfamily@gmail.com</t>
  </si>
  <si>
    <t>Wordsmithrekindled@gmail.com</t>
  </si>
  <si>
    <t>Sheila</t>
  </si>
  <si>
    <t>Sheila Roberts</t>
  </si>
  <si>
    <t>11270 Nicoles Way</t>
  </si>
  <si>
    <t>Darthquacker@gmail.com</t>
  </si>
  <si>
    <t>Susan Roberts</t>
  </si>
  <si>
    <t>rcsommers@charter.net</t>
  </si>
  <si>
    <t>mayo910@charter.net</t>
  </si>
  <si>
    <t>Sommers</t>
  </si>
  <si>
    <t>Mary Sommers</t>
  </si>
  <si>
    <t>1099 Black Oak Est. Rd.</t>
  </si>
  <si>
    <t>donnamiller3k@gmail.com</t>
  </si>
  <si>
    <t>Sawyermiller99@gmail.com</t>
  </si>
  <si>
    <t>Sawyer Miller</t>
  </si>
  <si>
    <t>266 Mark St</t>
  </si>
  <si>
    <t>Gate City</t>
  </si>
  <si>
    <t>jakkob23@charter.net</t>
  </si>
  <si>
    <t>Jacob Sommers</t>
  </si>
  <si>
    <t>bos.rack.97@theinter.com</t>
  </si>
  <si>
    <t>bosc1@central.edu</t>
  </si>
  <si>
    <t>Bos</t>
  </si>
  <si>
    <t>Cassidy Bos</t>
  </si>
  <si>
    <t>27977 Grange Rd</t>
  </si>
  <si>
    <t>hintondp1@gmail.com</t>
  </si>
  <si>
    <t>liam42h@gmail.com</t>
  </si>
  <si>
    <t>hinton</t>
  </si>
  <si>
    <t>Liam hinton</t>
  </si>
  <si>
    <t>22196 Oriole Dr.</t>
  </si>
  <si>
    <t>Great Mills</t>
  </si>
  <si>
    <t>jwn888@yahoo.com</t>
  </si>
  <si>
    <t>summern888@yahoo.com</t>
  </si>
  <si>
    <t>Summer Nash</t>
  </si>
  <si>
    <t>124 Fox Hollow Bend</t>
  </si>
  <si>
    <t>nwsanders10@gmail.com</t>
  </si>
  <si>
    <t>Nathan Sanders</t>
  </si>
  <si>
    <t>615 Veinte Dr</t>
  </si>
  <si>
    <t>shamdee1659@gmail.com</t>
  </si>
  <si>
    <t>tullar98@hotmail.com</t>
  </si>
  <si>
    <t>Tullar</t>
  </si>
  <si>
    <t>Shamburg</t>
  </si>
  <si>
    <t>Tullar Shamburg</t>
  </si>
  <si>
    <t>7 Chatham St.</t>
  </si>
  <si>
    <t>Portis</t>
  </si>
  <si>
    <t>ctbear28@gmail.com</t>
  </si>
  <si>
    <t>Trevino</t>
  </si>
  <si>
    <t>Claire Trevino</t>
  </si>
  <si>
    <t>30903 Trinket Drive</t>
  </si>
  <si>
    <t>AHernandez17@mcstangs.org</t>
  </si>
  <si>
    <t>Alex Hernandez</t>
  </si>
  <si>
    <t>4502 Mathis</t>
  </si>
  <si>
    <t>hopester91@gmail.com</t>
  </si>
  <si>
    <t>Hope Nelson</t>
  </si>
  <si>
    <t>214 La Mesa Lane</t>
  </si>
  <si>
    <t>realschen@yahoo.com</t>
  </si>
  <si>
    <t>nathanael.chen50@gmail.com</t>
  </si>
  <si>
    <t>Nathanael Chen</t>
  </si>
  <si>
    <t>23455 hamlin st</t>
  </si>
  <si>
    <t>williamsoncrew@comcast.net</t>
  </si>
  <si>
    <t>madelineviolin@gmail.com</t>
  </si>
  <si>
    <t>Madeline Williamson</t>
  </si>
  <si>
    <t>3175 Nutmeg Court</t>
  </si>
  <si>
    <t>bprobasco@juno.com</t>
  </si>
  <si>
    <t>becca@undyinglands.net</t>
  </si>
  <si>
    <t>Rebekah Probasco</t>
  </si>
  <si>
    <t>drhilburn@bellsouth.net</t>
  </si>
  <si>
    <t>Hilburn</t>
  </si>
  <si>
    <t>Sarah Hilburn</t>
  </si>
  <si>
    <t>krusetcmze@hotmail.com</t>
  </si>
  <si>
    <t>Mackenzie Kruse</t>
  </si>
  <si>
    <t>32083 Lever St NE</t>
  </si>
  <si>
    <t>kelly.medina@yahoo.com</t>
  </si>
  <si>
    <t>Natalie Medina</t>
  </si>
  <si>
    <t>jfarrand@gmail.com</t>
  </si>
  <si>
    <t>joshuafarrand@gmail.com</t>
  </si>
  <si>
    <t>Farrand</t>
  </si>
  <si>
    <t>Joshua Farrand</t>
  </si>
  <si>
    <t>14115 Marina Drive</t>
  </si>
  <si>
    <t>Belleville</t>
  </si>
  <si>
    <t>jjmcdonald28@gmail.com</t>
  </si>
  <si>
    <t>katelynrmcdonald@gmail.com</t>
  </si>
  <si>
    <t>Katelyn McDonald</t>
  </si>
  <si>
    <t>624 W Conejo Ave</t>
  </si>
  <si>
    <t>Mountain House</t>
  </si>
  <si>
    <t>mnmelonade@gmail.com</t>
  </si>
  <si>
    <t>Melody McDonald</t>
  </si>
  <si>
    <t>1085 Tasman Drive Space 715</t>
  </si>
  <si>
    <t>karinadance@outlook.com</t>
  </si>
  <si>
    <t>Karina Gray</t>
  </si>
  <si>
    <t>rlking1030@comcast.net</t>
  </si>
  <si>
    <t>Kingdavid31415@gmail.com</t>
  </si>
  <si>
    <t>David C.</t>
  </si>
  <si>
    <t>David C. King</t>
  </si>
  <si>
    <t>265 3rd Ave SE</t>
  </si>
  <si>
    <t>jcsavedme4good@gmail.com</t>
  </si>
  <si>
    <t>natasha.y.culpepper@gmail.con</t>
  </si>
  <si>
    <t>Culpepper</t>
  </si>
  <si>
    <t>Natasha Culpepper</t>
  </si>
  <si>
    <t>1714 Bobwhite Lane</t>
  </si>
  <si>
    <t>Gardnerville</t>
  </si>
  <si>
    <t>lisaeddy@outlook.com</t>
  </si>
  <si>
    <t>avantgraceke@gmail.com</t>
  </si>
  <si>
    <t>480 Jackson Road</t>
  </si>
  <si>
    <t>michael_mannina@hotmail.com</t>
  </si>
  <si>
    <t>mmannina39@gmail.com</t>
  </si>
  <si>
    <t>Mannina</t>
  </si>
  <si>
    <t>Michael Mannina</t>
  </si>
  <si>
    <t>262 Starwood Lane</t>
  </si>
  <si>
    <t>Tecumseh</t>
  </si>
  <si>
    <t>N8N4X3</t>
  </si>
  <si>
    <t>dmolind@gmail.com</t>
  </si>
  <si>
    <t>owen</t>
  </si>
  <si>
    <t>molind</t>
  </si>
  <si>
    <t>owen molind</t>
  </si>
  <si>
    <t>history.dmr@gmail.com</t>
  </si>
  <si>
    <t>Daniel Robb</t>
  </si>
  <si>
    <t>9 Jasper Ave</t>
  </si>
  <si>
    <t>doran7lee@gmail.com</t>
  </si>
  <si>
    <t>Doran</t>
  </si>
  <si>
    <t>Doran Lee</t>
  </si>
  <si>
    <t>8767 S. Fairall Rd.</t>
  </si>
  <si>
    <t>ewoklover97@gmail.com</t>
  </si>
  <si>
    <t>Brady Smith</t>
  </si>
  <si>
    <t>301 Thornberry Ct.</t>
  </si>
  <si>
    <t>geechung@gmail.com</t>
  </si>
  <si>
    <t>hannah.chung02@gmail.com</t>
  </si>
  <si>
    <t>Hannah Chung</t>
  </si>
  <si>
    <t>502 W. Green Street #301</t>
  </si>
  <si>
    <t>Ubrana</t>
  </si>
  <si>
    <t>971011gloria@gmail.com</t>
  </si>
  <si>
    <t>Hayoung</t>
  </si>
  <si>
    <t>Hayoung Park</t>
  </si>
  <si>
    <t>1034 Kennedy Blvd.</t>
  </si>
  <si>
    <t>#G-102</t>
  </si>
  <si>
    <t>tpbayse@yahoo.com</t>
  </si>
  <si>
    <t>ecbayse@yahoo.com</t>
  </si>
  <si>
    <t>Bayse</t>
  </si>
  <si>
    <t>Elaina Bayse</t>
  </si>
  <si>
    <t>24263 V Ave</t>
  </si>
  <si>
    <t>pianomatrex@gmail.com</t>
  </si>
  <si>
    <t>Trexel</t>
  </si>
  <si>
    <t>Rachel Trexel</t>
  </si>
  <si>
    <t>6235 s. 34th street, apt. 158</t>
  </si>
  <si>
    <t>wendyenloe4@yahoo.com</t>
  </si>
  <si>
    <t>Colten Enloe</t>
  </si>
  <si>
    <t>705 Doris Ln</t>
  </si>
  <si>
    <t>Gunter</t>
  </si>
  <si>
    <t>skimbbc@yahoo.com</t>
  </si>
  <si>
    <t>chriskim4jc@gmail.com</t>
  </si>
  <si>
    <t>Christopher Kim</t>
  </si>
  <si>
    <t>5121 N St Louis Ave</t>
  </si>
  <si>
    <t>vurtual@aol.com</t>
  </si>
  <si>
    <t>James Clark</t>
  </si>
  <si>
    <t>sarah.chung11@gmail.com</t>
  </si>
  <si>
    <t>Sarah Chung</t>
  </si>
  <si>
    <t>Urbana</t>
  </si>
  <si>
    <t>bjsaxon@me.com</t>
  </si>
  <si>
    <t>Vivian.g.saxon@vanderbilt.edu</t>
  </si>
  <si>
    <t>Vivian Saxon</t>
  </si>
  <si>
    <t>6677 S. Evanston Circle</t>
  </si>
  <si>
    <t>mfhargis1@gmail.com</t>
  </si>
  <si>
    <t>lydiadavis174@gmail.com</t>
  </si>
  <si>
    <t>Lydia Davis</t>
  </si>
  <si>
    <t>7805 Summer Glen Dr.</t>
  </si>
  <si>
    <t>ashleygracewoods@gmail.com</t>
  </si>
  <si>
    <t>Ashley Woods</t>
  </si>
  <si>
    <t>14769 Ella Drive</t>
  </si>
  <si>
    <t>youraudreyrose@gmail.com</t>
  </si>
  <si>
    <t>Audrey Aguirre</t>
  </si>
  <si>
    <t>14701 Bordeaux Lane</t>
  </si>
  <si>
    <t>robertovalenzuela.jr@gmail.com</t>
  </si>
  <si>
    <t>Robert Valenzuela</t>
  </si>
  <si>
    <t>mkjecbrown@verizon.net</t>
  </si>
  <si>
    <t>calebjbrown98@gmail.com</t>
  </si>
  <si>
    <t>3808 Gillespie Drive</t>
  </si>
  <si>
    <t>c/o 24 1200 W Mariposa Rd</t>
  </si>
  <si>
    <t>Nogales</t>
  </si>
  <si>
    <t>jona10_01@hotmail.com</t>
  </si>
  <si>
    <t>Wetzel</t>
  </si>
  <si>
    <t>Jonathan Wetzel</t>
  </si>
  <si>
    <t>1201 Morning Star Dr</t>
  </si>
  <si>
    <t>billysanchez267@gmail.com</t>
  </si>
  <si>
    <t>William Sanchez</t>
  </si>
  <si>
    <t>brookstone16@gmail.com</t>
  </si>
  <si>
    <t>Michael Clayton</t>
  </si>
  <si>
    <t>closornio@verizon.net</t>
  </si>
  <si>
    <t>pandadraws21@gmail.com</t>
  </si>
  <si>
    <t>Osornio</t>
  </si>
  <si>
    <t>Rachel Osornio</t>
  </si>
  <si>
    <t>20736 Moonlake Street</t>
  </si>
  <si>
    <t>eddieandlee@aol.com</t>
  </si>
  <si>
    <t>leocooper1@aol.com</t>
  </si>
  <si>
    <t>Leo Cooper</t>
  </si>
  <si>
    <t>2908 Day Drive</t>
  </si>
  <si>
    <t>jacobcbrown00@gmail.com</t>
  </si>
  <si>
    <t>Jacob Brown</t>
  </si>
  <si>
    <t>mina_roller@yahoo.com</t>
  </si>
  <si>
    <t>elikroller@gmail.com</t>
  </si>
  <si>
    <t>Roller</t>
  </si>
  <si>
    <t>Eli Roller</t>
  </si>
  <si>
    <t>14137 Spring Creek Ct</t>
  </si>
  <si>
    <t>Liberty</t>
  </si>
  <si>
    <t>logan.gee@live.com</t>
  </si>
  <si>
    <t>Logan Gee</t>
  </si>
  <si>
    <t>8965 Grant Line Road, Elk Grove,Ca</t>
  </si>
  <si>
    <t>Elk grove</t>
  </si>
  <si>
    <t>rjwconsulting@msn.com</t>
  </si>
  <si>
    <t>williams.hanna1999@gmail.com</t>
  </si>
  <si>
    <t>Hanna Williams</t>
  </si>
  <si>
    <t>6328 Beaver Ct NE</t>
  </si>
  <si>
    <t>zolboomunkhbayar@gmail.com</t>
  </si>
  <si>
    <t>Zolboo</t>
  </si>
  <si>
    <t>Munkhbayar</t>
  </si>
  <si>
    <t>Zolboo Munkhbayar</t>
  </si>
  <si>
    <t>Handong Global University</t>
  </si>
  <si>
    <t>558Handong-ro, Buk-gu</t>
  </si>
  <si>
    <t>Pohang</t>
  </si>
  <si>
    <t>aftertheheartofchrist715@gmail.com</t>
  </si>
  <si>
    <t>allendbrownleeii@gmail.com</t>
  </si>
  <si>
    <t>Brownlee</t>
  </si>
  <si>
    <t>Allen Brownlee</t>
  </si>
  <si>
    <t>706 Howard  St.</t>
  </si>
  <si>
    <t>Bay City</t>
  </si>
  <si>
    <t>phinney5@verizon.net</t>
  </si>
  <si>
    <t>cphinster@gmail.com</t>
  </si>
  <si>
    <t>Calvin Phinney</t>
  </si>
  <si>
    <t>4325 Ledgestone Trail</t>
  </si>
  <si>
    <t>sarah.marie@cox.net</t>
  </si>
  <si>
    <t>emily.richter922@gmail.com</t>
  </si>
  <si>
    <t>Richter</t>
  </si>
  <si>
    <t>Emily Richter</t>
  </si>
  <si>
    <t>1445 Charleston St.</t>
  </si>
  <si>
    <t>ashleyhongaa@gmail.com</t>
  </si>
  <si>
    <t>Hong</t>
  </si>
  <si>
    <t>Ashley Hong</t>
  </si>
  <si>
    <t>17809 Avis Ave.</t>
  </si>
  <si>
    <t>jlatture@gmail.com</t>
  </si>
  <si>
    <t>stulatture@gmail.com</t>
  </si>
  <si>
    <t>Latture</t>
  </si>
  <si>
    <t>Stuart Latture</t>
  </si>
  <si>
    <t>164 Welch</t>
  </si>
  <si>
    <t>McRae</t>
  </si>
  <si>
    <t>meehane@hughes.net</t>
  </si>
  <si>
    <t>Meehan</t>
  </si>
  <si>
    <t>Debra Meehan</t>
  </si>
  <si>
    <t>P.O. Box 280</t>
  </si>
  <si>
    <t>taw210@gmail.com</t>
  </si>
  <si>
    <t>Tiannan</t>
  </si>
  <si>
    <t>Wu</t>
  </si>
  <si>
    <t>Tiannan Wu</t>
  </si>
  <si>
    <t>3812 Stansbury Road</t>
  </si>
  <si>
    <t>megalimegreen@gmail.com</t>
  </si>
  <si>
    <t>Abigail Carlson</t>
  </si>
  <si>
    <t>12055 Penford Dr.</t>
  </si>
  <si>
    <t>mike.w.belin@gmail.com</t>
  </si>
  <si>
    <t>grace.belin@gmail.com</t>
  </si>
  <si>
    <t>Belin</t>
  </si>
  <si>
    <t>Grace Belin</t>
  </si>
  <si>
    <t>1389 480th St</t>
  </si>
  <si>
    <t>WSellman</t>
  </si>
  <si>
    <t>grveneracion@gmail.com</t>
  </si>
  <si>
    <t>Veneracion</t>
  </si>
  <si>
    <t>Gabrielle Veneracion</t>
  </si>
  <si>
    <t>504 S Grand St.</t>
  </si>
  <si>
    <t>brendonjones525@gmail.com</t>
  </si>
  <si>
    <t>Brendon Jones</t>
  </si>
  <si>
    <t>423 6th Ave S</t>
  </si>
  <si>
    <t>elizabethannebywater@gmail.com</t>
  </si>
  <si>
    <t>Bywater</t>
  </si>
  <si>
    <t>Elizabeth Bywater</t>
  </si>
  <si>
    <t>5 Woodstock Rd.</t>
  </si>
  <si>
    <t>Witney</t>
  </si>
  <si>
    <t>OX281EA</t>
  </si>
  <si>
    <t>ameliarod98@gmail.com</t>
  </si>
  <si>
    <t>Amelia Rodriguez</t>
  </si>
  <si>
    <t>250 27th Street Drive SE</t>
  </si>
  <si>
    <t>sunyeob_kim@taylor.edu</t>
  </si>
  <si>
    <t>SunYeob</t>
  </si>
  <si>
    <t>SunYeob Kim</t>
  </si>
  <si>
    <t>236 W Reade</t>
  </si>
  <si>
    <t>Sammy Morris 435</t>
  </si>
  <si>
    <t>6andyfans@sbcglobal.net</t>
  </si>
  <si>
    <t>Raife.C.Johnson-1@ou.edu</t>
  </si>
  <si>
    <t>Raife</t>
  </si>
  <si>
    <t>Raife Johnson</t>
  </si>
  <si>
    <t>2712  S.  Mar Vista</t>
  </si>
  <si>
    <t>mcgill.dawn@yahoo.com</t>
  </si>
  <si>
    <t>miadoravictoria@gmail.com</t>
  </si>
  <si>
    <t>Miadora</t>
  </si>
  <si>
    <t>Miadora McGill</t>
  </si>
  <si>
    <t>187 Leslie Drive</t>
  </si>
  <si>
    <t>Portsmouth</t>
  </si>
  <si>
    <t>all.wolf2t17@gmail.com</t>
  </si>
  <si>
    <t>Alli.wolf33@gmail.com</t>
  </si>
  <si>
    <t>Allison Wolf</t>
  </si>
  <si>
    <t>PO Box 3947</t>
  </si>
  <si>
    <t>2124 Hidden Ranch Lane</t>
  </si>
  <si>
    <t>montgomeryprecious91@yahoo.com</t>
  </si>
  <si>
    <t>Precious</t>
  </si>
  <si>
    <t>Precious Montgomery</t>
  </si>
  <si>
    <t>1605 Buck St</t>
  </si>
  <si>
    <t>hannahpugh98@gmail.com</t>
  </si>
  <si>
    <t>Pugh</t>
  </si>
  <si>
    <t>Hannah Pugh</t>
  </si>
  <si>
    <t>8888 Elk Ally</t>
  </si>
  <si>
    <t>jaskim5487@yahoo.com</t>
  </si>
  <si>
    <t>Jasmine Kim</t>
  </si>
  <si>
    <t>23306 Anza Avenue</t>
  </si>
  <si>
    <t>brenden.smith@eagles.oc.edu</t>
  </si>
  <si>
    <t>Brenden.smith@eagles.oc.edu</t>
  </si>
  <si>
    <t>Brenden</t>
  </si>
  <si>
    <t>Brenden Smith</t>
  </si>
  <si>
    <t>1501 N Post Rd</t>
  </si>
  <si>
    <t>ajhildebrand@sbcglobal.net</t>
  </si>
  <si>
    <t>Alex Hildebrand</t>
  </si>
  <si>
    <t>904 NE 20th ST</t>
  </si>
  <si>
    <t>5blessedkings@gmail.com</t>
  </si>
  <si>
    <t>Zia</t>
  </si>
  <si>
    <t>Zia King</t>
  </si>
  <si>
    <t>12858 Montana Woods Lane</t>
  </si>
  <si>
    <t>annastamps99@gmail.com</t>
  </si>
  <si>
    <t>Anna Stamps</t>
  </si>
  <si>
    <t>thehintze5@msn.com</t>
  </si>
  <si>
    <t>hudsonhintze@gmail.com</t>
  </si>
  <si>
    <t>Hintze</t>
  </si>
  <si>
    <t>Hudson Hintze</t>
  </si>
  <si>
    <t>17409 Old Cherokee Trail</t>
  </si>
  <si>
    <t>bridgevenosdel@gmail.com</t>
  </si>
  <si>
    <t>juven18venosdel@gmail.com</t>
  </si>
  <si>
    <t>Juvenson</t>
  </si>
  <si>
    <t>VenOsdel</t>
  </si>
  <si>
    <t>Juvenson VenOsdel</t>
  </si>
  <si>
    <t>23002 Co. Rd. 5 N.W.</t>
  </si>
  <si>
    <t>slowe631@gmail.com</t>
  </si>
  <si>
    <t>Sarah Lowe</t>
  </si>
  <si>
    <t>38275 Overlook Ct.</t>
  </si>
  <si>
    <t>North Ridgeville</t>
  </si>
  <si>
    <t>sfox8384@g.fmarion.edu</t>
  </si>
  <si>
    <t>Samuel Fox</t>
  </si>
  <si>
    <t>1461 Weaver Street</t>
  </si>
  <si>
    <t>wsshatton@gmail.com</t>
  </si>
  <si>
    <t>William Hatton</t>
  </si>
  <si>
    <t>seraknittel@gmail.com</t>
  </si>
  <si>
    <t>Sera</t>
  </si>
  <si>
    <t>Knittel</t>
  </si>
  <si>
    <t>Sera Knittel</t>
  </si>
  <si>
    <t>P.O. Box 664</t>
  </si>
  <si>
    <t>lollipop.penguins@gmail.com</t>
  </si>
  <si>
    <t>Elise Yeager</t>
  </si>
  <si>
    <t>PO Box 1690</t>
  </si>
  <si>
    <t>Pagosa Springs</t>
  </si>
  <si>
    <t>nadacoleman@yahoo.com</t>
  </si>
  <si>
    <t>hannahecoleman@yahoo.com</t>
  </si>
  <si>
    <t>coleman</t>
  </si>
  <si>
    <t>hannah coleman</t>
  </si>
  <si>
    <t>6048 mission dr</t>
  </si>
  <si>
    <t>mission hills</t>
  </si>
  <si>
    <t>jrbanister156@gmail.com</t>
  </si>
  <si>
    <t>Banister</t>
  </si>
  <si>
    <t>Jason Banister</t>
  </si>
  <si>
    <t>33156 Sea Bright dr</t>
  </si>
  <si>
    <t>Dana Point</t>
  </si>
  <si>
    <t>sarahcompton9@gmail.com</t>
  </si>
  <si>
    <t>Sarahcompton9@gmail.com</t>
  </si>
  <si>
    <t>Hardin</t>
  </si>
  <si>
    <t>James Hardin</t>
  </si>
  <si>
    <t>20006 Pearl st</t>
  </si>
  <si>
    <t>alicevalleyfarm@tds.net</t>
  </si>
  <si>
    <t>topgun101899@gmail.com</t>
  </si>
  <si>
    <t>Alice Kirby</t>
  </si>
  <si>
    <t>2100 Salem Ch Rd</t>
  </si>
  <si>
    <t>clodhop@sbclgobal.net</t>
  </si>
  <si>
    <t>acbradleyy@icloud.com</t>
  </si>
  <si>
    <t>Anna Bradley</t>
  </si>
  <si>
    <t>4111 86th st</t>
  </si>
  <si>
    <t>jkholloway@hotmail.com</t>
  </si>
  <si>
    <t>Mholloway987@gmail.com</t>
  </si>
  <si>
    <t>Holloway</t>
  </si>
  <si>
    <t>Matthew Holloway</t>
  </si>
  <si>
    <t>1110 Mockingbird Dr</t>
  </si>
  <si>
    <t>Scottsbluff</t>
  </si>
  <si>
    <t>egoddardtex@comcast.net</t>
  </si>
  <si>
    <t>agoddardtex@comcast.net</t>
  </si>
  <si>
    <t>Goddard</t>
  </si>
  <si>
    <t>Alexandra Goddard</t>
  </si>
  <si>
    <t>908 White Pine Drive</t>
  </si>
  <si>
    <t>milliekeuper@gmail.com</t>
  </si>
  <si>
    <t>Millicent</t>
  </si>
  <si>
    <t>Millicent Keuper</t>
  </si>
  <si>
    <t>207 Lariat</t>
  </si>
  <si>
    <t>mkwestwood@gmail.com</t>
  </si>
  <si>
    <t>charlwstw1@gmail.com</t>
  </si>
  <si>
    <t>Westwood</t>
  </si>
  <si>
    <t>Charles Westwood</t>
  </si>
  <si>
    <t>2606 Whittier Place</t>
  </si>
  <si>
    <t>leejbryan@embarqmail.com</t>
  </si>
  <si>
    <t>avery.bryan3@gmail.com</t>
  </si>
  <si>
    <t>Jonathan Bryan</t>
  </si>
  <si>
    <t>4504 Milligans Cove Rd</t>
  </si>
  <si>
    <t>littleone_72@hotmail.com</t>
  </si>
  <si>
    <t>hpellew34@gmail.com</t>
  </si>
  <si>
    <t>Pellew</t>
  </si>
  <si>
    <t>Hallie Pellew</t>
  </si>
  <si>
    <t>1055 Kimball Dr</t>
  </si>
  <si>
    <t>Grantsville</t>
  </si>
  <si>
    <t>brittanyt097@gmail.com</t>
  </si>
  <si>
    <t>Brittany Turner</t>
  </si>
  <si>
    <t>1905 Key Street Apt. L</t>
  </si>
  <si>
    <t>jazzmynanaya@gmail.com</t>
  </si>
  <si>
    <t>Jazzmynanaya@gmail.com</t>
  </si>
  <si>
    <t>Jazzmyn</t>
  </si>
  <si>
    <t>Anaya</t>
  </si>
  <si>
    <t>Jazzmyn Anaya</t>
  </si>
  <si>
    <t>3941 E Callaway Dr.</t>
  </si>
  <si>
    <t>fh_siregar@hotmail.com</t>
  </si>
  <si>
    <t>Siregar</t>
  </si>
  <si>
    <t>Jeremiah Siregar</t>
  </si>
  <si>
    <t>15797 Flight Ave</t>
  </si>
  <si>
    <t>paulericreinhart@gmail.com</t>
  </si>
  <si>
    <t>Paul Reinhart</t>
  </si>
  <si>
    <t>jessedkneen@gmail.com</t>
  </si>
  <si>
    <t>jessedlneen@gmail.com</t>
  </si>
  <si>
    <t>kneen</t>
  </si>
  <si>
    <t>jesse kneen</t>
  </si>
  <si>
    <t>9901 INDIGO TRL</t>
  </si>
  <si>
    <t>ST PAUL</t>
  </si>
  <si>
    <t>flyapaperairplane@gmail.com</t>
  </si>
  <si>
    <t>Daniel Mabie</t>
  </si>
  <si>
    <t>21 Kingsway Dr.</t>
  </si>
  <si>
    <t>907family@gmail.com</t>
  </si>
  <si>
    <t>Psalm</t>
  </si>
  <si>
    <t>Psalm McKinnis</t>
  </si>
  <si>
    <t>6601 E. Lonesome Dr</t>
  </si>
  <si>
    <t>wmartinez125@gmail.com</t>
  </si>
  <si>
    <t>LAYNE</t>
  </si>
  <si>
    <t>VASQUEZ</t>
  </si>
  <si>
    <t>LAYNE VASQUEZ</t>
  </si>
  <si>
    <t>ellabjorn99@gmail.com</t>
  </si>
  <si>
    <t>Bjorn</t>
  </si>
  <si>
    <t>Ella Bjorn</t>
  </si>
  <si>
    <t>102 NW 4th Ave</t>
  </si>
  <si>
    <t>triciaandbuddy@gmail.com</t>
  </si>
  <si>
    <t>Miles Davis</t>
  </si>
  <si>
    <t>lisajp8@gmail.com</t>
  </si>
  <si>
    <t>cierrajp21@gmail.com</t>
  </si>
  <si>
    <t>Cierra Porter</t>
  </si>
  <si>
    <t>2004 Orrine Ct.</t>
  </si>
  <si>
    <t>mporter@toltonstudent.org</t>
  </si>
  <si>
    <t>Michael Jr.</t>
  </si>
  <si>
    <t>Michael Jr. Porter</t>
  </si>
  <si>
    <t>ifeyikeonu@gmail.com</t>
  </si>
  <si>
    <t>kevinmillzikeonu@gmail.com</t>
  </si>
  <si>
    <t>Kamtochi</t>
  </si>
  <si>
    <t>Ikeonu</t>
  </si>
  <si>
    <t>Kamtochi Ikeonu</t>
  </si>
  <si>
    <t>5710 Ballina Canyon Ln</t>
  </si>
  <si>
    <t>emmie.carson@gmail.com</t>
  </si>
  <si>
    <t>Emily Carson</t>
  </si>
  <si>
    <t>2275 Malachite Drive</t>
  </si>
  <si>
    <t>schmidtnat16@gmail.com</t>
  </si>
  <si>
    <t>Nathaniel Schmidt</t>
  </si>
  <si>
    <t>7749 Comanche Rd</t>
  </si>
  <si>
    <t>Meriden</t>
  </si>
  <si>
    <t>CrunchyNumbers@epbfi.com</t>
  </si>
  <si>
    <t>WingChunHaley@epbfi.com</t>
  </si>
  <si>
    <t>Haley Baker</t>
  </si>
  <si>
    <t>3333 Boydston Road</t>
  </si>
  <si>
    <t>sheevaungoff@gmail.com</t>
  </si>
  <si>
    <t>go24rob@gmail.com</t>
  </si>
  <si>
    <t>Goff</t>
  </si>
  <si>
    <t>Robert Goff</t>
  </si>
  <si>
    <t>PO Box 461121</t>
  </si>
  <si>
    <t>hannahthuy18@gmail.com</t>
  </si>
  <si>
    <t>Hannah Evans</t>
  </si>
  <si>
    <t>elijahescobar@aol.com</t>
  </si>
  <si>
    <t>Escobar</t>
  </si>
  <si>
    <t>Elijah Escobar</t>
  </si>
  <si>
    <t>98191/2 Rose Street</t>
  </si>
  <si>
    <t>Bellflower</t>
  </si>
  <si>
    <t>glory6pitts@gmail.com</t>
  </si>
  <si>
    <t>Graysen</t>
  </si>
  <si>
    <t>Pitts</t>
  </si>
  <si>
    <t>Graysen Pitts</t>
  </si>
  <si>
    <t>4608 Taft Hwy</t>
  </si>
  <si>
    <t>brentangel9@yahoo.com</t>
  </si>
  <si>
    <t>kuhnc@grace.edu</t>
  </si>
  <si>
    <t>Kuhn</t>
  </si>
  <si>
    <t>Christian Kuhn</t>
  </si>
  <si>
    <t>10470 E 350 S</t>
  </si>
  <si>
    <t>brentkuhn1122@yahoo.com</t>
  </si>
  <si>
    <t>AMKuhn14@my.trine.edu</t>
  </si>
  <si>
    <t>Angelina Kuhn</t>
  </si>
  <si>
    <t>guitargalcj@gmail.com</t>
  </si>
  <si>
    <t>aaryncallahan@gmail.com</t>
  </si>
  <si>
    <t>Aaryn</t>
  </si>
  <si>
    <t>Callahan</t>
  </si>
  <si>
    <t>Aaryn Callahan</t>
  </si>
  <si>
    <t>104 Easy Street</t>
  </si>
  <si>
    <t>rkeeefloat@bellsouth.net</t>
  </si>
  <si>
    <t>Student14bchs@gmail.com</t>
  </si>
  <si>
    <t>Float</t>
  </si>
  <si>
    <t>Elliot Float</t>
  </si>
  <si>
    <t>265 Phillips Lane Spur</t>
  </si>
  <si>
    <t>Junction City</t>
  </si>
  <si>
    <t>rludwick36@aol.com</t>
  </si>
  <si>
    <t>caseylud28@gmail.com</t>
  </si>
  <si>
    <t>Ludwick</t>
  </si>
  <si>
    <t>Casey Ludwick</t>
  </si>
  <si>
    <t>1248 Windfall Farm Lane</t>
  </si>
  <si>
    <t>Hartsville</t>
  </si>
  <si>
    <t>Josiahk722@gmail.com</t>
  </si>
  <si>
    <t>Josiah Krehbiel</t>
  </si>
  <si>
    <t>thealice96@gmail.com</t>
  </si>
  <si>
    <t>Alice Shin</t>
  </si>
  <si>
    <t>2916 Francis Ave</t>
  </si>
  <si>
    <t>tomlly@aol.com</t>
  </si>
  <si>
    <t>O'Malley</t>
  </si>
  <si>
    <t>Daniel O'Malley</t>
  </si>
  <si>
    <t>1176 Morganshire Drive</t>
  </si>
  <si>
    <t>jdtrexel@inebraska.com</t>
  </si>
  <si>
    <t>arymay14@gmail.com</t>
  </si>
  <si>
    <t>Mary Trexel</t>
  </si>
  <si>
    <t>6235 S. 34th #158</t>
  </si>
  <si>
    <t>karagracenc@gmail.com</t>
  </si>
  <si>
    <t>Kara Sutton</t>
  </si>
  <si>
    <t>1129 East Milada Drive</t>
  </si>
  <si>
    <t>jennymtune@comcast.net</t>
  </si>
  <si>
    <t>bctune@go.olemiss.edu</t>
  </si>
  <si>
    <t>Tune</t>
  </si>
  <si>
    <t>Bradley Tune</t>
  </si>
  <si>
    <t>8375 Craven Road</t>
  </si>
  <si>
    <t>bogee@att.net</t>
  </si>
  <si>
    <t>Lauren Rossini</t>
  </si>
  <si>
    <t>coreylownes@gmail.com</t>
  </si>
  <si>
    <t>Lownes</t>
  </si>
  <si>
    <t>Corey Lownes</t>
  </si>
  <si>
    <t>8202 Payton</t>
  </si>
  <si>
    <t>lanae.aguilar@yahoo.com</t>
  </si>
  <si>
    <t>Aguilar</t>
  </si>
  <si>
    <t>Lanae Aguilar</t>
  </si>
  <si>
    <t>3613 Altamont St.</t>
  </si>
  <si>
    <t>extbus5@gmail.com</t>
  </si>
  <si>
    <t>edwardssorin@gmail.com</t>
  </si>
  <si>
    <t>Orin</t>
  </si>
  <si>
    <t>Orin Edwards</t>
  </si>
  <si>
    <t>3950 Clinton</t>
  </si>
  <si>
    <t>crop2drop@juno.com</t>
  </si>
  <si>
    <t>livin4the1@live.com</t>
  </si>
  <si>
    <t>Natalie Walker</t>
  </si>
  <si>
    <t>pduffytvbc@gmail.com</t>
  </si>
  <si>
    <t>Duffy</t>
  </si>
  <si>
    <t>William Duffy</t>
  </si>
  <si>
    <t>314 Hillcrest Dr.</t>
  </si>
  <si>
    <t>zach.shull4@gmail.com</t>
  </si>
  <si>
    <t>Shull</t>
  </si>
  <si>
    <t>Zachary Shull</t>
  </si>
  <si>
    <t>1005 E 13th St</t>
  </si>
  <si>
    <t>janyberg@gmail.com</t>
  </si>
  <si>
    <t>dj1.1.7@me.com</t>
  </si>
  <si>
    <t>Nyberg</t>
  </si>
  <si>
    <t>Jon Nyberg</t>
  </si>
  <si>
    <t>6700 Trinity Falls Parkway</t>
  </si>
  <si>
    <t>ltiplea@verizon.net</t>
  </si>
  <si>
    <t>Tiplea</t>
  </si>
  <si>
    <t>Paul Tiplea</t>
  </si>
  <si>
    <t>14428 Los Robles Ave</t>
  </si>
  <si>
    <t>shellyj4jesus@yahoo.com</t>
  </si>
  <si>
    <t>felicia.jurist@yahoo.com</t>
  </si>
  <si>
    <t>Felicia</t>
  </si>
  <si>
    <t>Jurist</t>
  </si>
  <si>
    <t>Felicia Jurist</t>
  </si>
  <si>
    <t>12373 Monterey Hwy</t>
  </si>
  <si>
    <t>c_dattoli@yahoo.com</t>
  </si>
  <si>
    <t>hijoylynn@yahoo.com</t>
  </si>
  <si>
    <t>Dattoli</t>
  </si>
  <si>
    <t>Joy Dattoli</t>
  </si>
  <si>
    <t>393 W. Van Buren St</t>
  </si>
  <si>
    <t>simpleabundancefamily@gmail.com</t>
  </si>
  <si>
    <t>joshualelandpugh@gmail.com</t>
  </si>
  <si>
    <t>Joshua Pugh</t>
  </si>
  <si>
    <t>8888 Elk Alley</t>
  </si>
  <si>
    <t>cehviolin@gmail.com_configioDeactivated</t>
  </si>
  <si>
    <t>cehviolin@gmail.com</t>
  </si>
  <si>
    <t>Halvorson</t>
  </si>
  <si>
    <t>Cara Halvorson</t>
  </si>
  <si>
    <t>16callben@gmail.com</t>
  </si>
  <si>
    <t>Benjamin Call</t>
  </si>
  <si>
    <t>thisisjosiah97@yahoo.com</t>
  </si>
  <si>
    <t>Josiah James</t>
  </si>
  <si>
    <t>822 forest ave</t>
  </si>
  <si>
    <t>omaha</t>
  </si>
  <si>
    <t>bpstrange@charter.net</t>
  </si>
  <si>
    <t>maddyshea31@gmail.com</t>
  </si>
  <si>
    <t>Maddy</t>
  </si>
  <si>
    <t>Strange</t>
  </si>
  <si>
    <t>Maddy Strange</t>
  </si>
  <si>
    <t>2783 Raritan Rd</t>
  </si>
  <si>
    <t>Fitchburg</t>
  </si>
  <si>
    <t>debbie@aallbright.com</t>
  </si>
  <si>
    <t>Debbie@aallbright.com</t>
  </si>
  <si>
    <t>Abramson</t>
  </si>
  <si>
    <t>Jacob Abramson</t>
  </si>
  <si>
    <t>26629 Thackery Lane</t>
  </si>
  <si>
    <t>Stevenson Ranch</t>
  </si>
  <si>
    <t>Noah Abramson</t>
  </si>
  <si>
    <t>countrygirl@broadband-mn.com</t>
  </si>
  <si>
    <t>Britta</t>
  </si>
  <si>
    <t>Britta Swenson</t>
  </si>
  <si>
    <t>P.O. Box 209</t>
  </si>
  <si>
    <t>Howard Lake</t>
  </si>
  <si>
    <t>annakathleen99@gmail.com</t>
  </si>
  <si>
    <t>Anna Schmidt</t>
  </si>
  <si>
    <t>wgmartin3@yahoo.com</t>
  </si>
  <si>
    <t>ben.martin@cox.net</t>
  </si>
  <si>
    <t>Ben Martin</t>
  </si>
  <si>
    <t>2406 N Peckham St</t>
  </si>
  <si>
    <t>guest.zachary@gmail.com</t>
  </si>
  <si>
    <t>Zachary Guest</t>
  </si>
  <si>
    <t>dennhardtcody93@gmail.com</t>
  </si>
  <si>
    <t>Dennhardt</t>
  </si>
  <si>
    <t>Cody Dennhardt</t>
  </si>
  <si>
    <t>2737 Meadowbrook Ln.</t>
  </si>
  <si>
    <t>hoopahsupport@gmail.com</t>
  </si>
  <si>
    <t>leptich@sbcglobal.net</t>
  </si>
  <si>
    <t>camdenleptich@gmail.com</t>
  </si>
  <si>
    <t>Leptich</t>
  </si>
  <si>
    <t>Camden Leptich</t>
  </si>
  <si>
    <t>6224 E. Twin Peak Circle</t>
  </si>
  <si>
    <t>lorentz@bevcomm.net</t>
  </si>
  <si>
    <t>Lorentz</t>
  </si>
  <si>
    <t>Josh Lorentz</t>
  </si>
  <si>
    <t>W7965 390th</t>
  </si>
  <si>
    <t>Ellsworth</t>
  </si>
  <si>
    <t>mightymcclure112@yahoo.com</t>
  </si>
  <si>
    <t>david7mc7@gmail.com</t>
  </si>
  <si>
    <t>David McClure</t>
  </si>
  <si>
    <t>832 Gardendale Drive</t>
  </si>
  <si>
    <t>ericmcclure2015@gmail.com</t>
  </si>
  <si>
    <t>Eric McClure</t>
  </si>
  <si>
    <t>opptpaul@verizon.net</t>
  </si>
  <si>
    <t>motyka</t>
  </si>
  <si>
    <t>josiah motyka</t>
  </si>
  <si>
    <t>317 maldiner</t>
  </si>
  <si>
    <t>tonawanda</t>
  </si>
  <si>
    <t>vinceyvellez@gmail.com</t>
  </si>
  <si>
    <t>Vicente</t>
  </si>
  <si>
    <t>Yvellez</t>
  </si>
  <si>
    <t>Vicente Yvellez</t>
  </si>
  <si>
    <t>pbaj1056@charter.net</t>
  </si>
  <si>
    <t>ben.hurst27@gmail. com</t>
  </si>
  <si>
    <t>Benjamin Hurst</t>
  </si>
  <si>
    <t>1056 Greystone Cove Dr</t>
  </si>
  <si>
    <t>jhclancy@live.com</t>
  </si>
  <si>
    <t>conogherc@gmail.com</t>
  </si>
  <si>
    <t>Conogher</t>
  </si>
  <si>
    <t>Conogher Clancy</t>
  </si>
  <si>
    <t>nicholeharman@gmail.com</t>
  </si>
  <si>
    <t>harmanama12@wsd3.org</t>
  </si>
  <si>
    <t>Harman</t>
  </si>
  <si>
    <t>Amanda Harman</t>
  </si>
  <si>
    <t>7275 Grand Valley Dr</t>
  </si>
  <si>
    <t>jeremywebb333@yahoo.com</t>
  </si>
  <si>
    <t>Jeremy Webb</t>
  </si>
  <si>
    <t>2433 Silver Fir Avenue</t>
  </si>
  <si>
    <t>gafears52@gmail.com</t>
  </si>
  <si>
    <t>Fears</t>
  </si>
  <si>
    <t>Genevieve Fears</t>
  </si>
  <si>
    <t>411-E Woodview Square</t>
  </si>
  <si>
    <t>Salisbury</t>
  </si>
  <si>
    <t>scott1956@comcast.net</t>
  </si>
  <si>
    <t>cookhm@dukes.jmu.edu</t>
  </si>
  <si>
    <t>Hope Cook</t>
  </si>
  <si>
    <t>9363 Fox Hill Drive</t>
  </si>
  <si>
    <t>justinwjchu@gmail.com</t>
  </si>
  <si>
    <t>Chu</t>
  </si>
  <si>
    <t>Justin Chu</t>
  </si>
  <si>
    <t>34 Skyline Lane</t>
  </si>
  <si>
    <t>jenjenningsbc@yahoo.com</t>
  </si>
  <si>
    <t>noahjennings98@gmail.com</t>
  </si>
  <si>
    <t>Noah Jennings</t>
  </si>
  <si>
    <t>3007 5th Ave Ct SW</t>
  </si>
  <si>
    <t>13.blueboy@gmail.com</t>
  </si>
  <si>
    <t>Caleb Berberich</t>
  </si>
  <si>
    <t>303 Crosshaven Pl.</t>
  </si>
  <si>
    <t>al137junk@bellsouth.net</t>
  </si>
  <si>
    <t>abbiegrace@att.net</t>
  </si>
  <si>
    <t>Abigail Kuhn</t>
  </si>
  <si>
    <t>2745 Paden Trail</t>
  </si>
  <si>
    <t>leusinkfamily@yahoo.com</t>
  </si>
  <si>
    <t>nathanleusink@gmail.com</t>
  </si>
  <si>
    <t>Leusink</t>
  </si>
  <si>
    <t>Nathan Leusink</t>
  </si>
  <si>
    <t>13218 Lions Peak Way</t>
  </si>
  <si>
    <t>john@fbcprosper.org</t>
  </si>
  <si>
    <t>emma.herring15@gmail.com</t>
  </si>
  <si>
    <t>Herring</t>
  </si>
  <si>
    <t>Emma Herring</t>
  </si>
  <si>
    <t>1550 Havenbrook</t>
  </si>
  <si>
    <t>livinwithgrace77@gmail.com</t>
  </si>
  <si>
    <t>Harnish</t>
  </si>
  <si>
    <t>Mary Harnish</t>
  </si>
  <si>
    <t>455 Camp Road</t>
  </si>
  <si>
    <t>lindakcox1@gmail.com</t>
  </si>
  <si>
    <t>ace.curtis17@gmail.com</t>
  </si>
  <si>
    <t>Curtis Cox</t>
  </si>
  <si>
    <t>109 Wildwood Plantation Ln.</t>
  </si>
  <si>
    <t>Cataula</t>
  </si>
  <si>
    <t>jwklanderson@comcast.net</t>
  </si>
  <si>
    <t>Justin Anderson</t>
  </si>
  <si>
    <t>mbarn6@gmail.com</t>
  </si>
  <si>
    <t>fbarnett073@gmail.com</t>
  </si>
  <si>
    <t>Faith Barnett</t>
  </si>
  <si>
    <t>Colecrumpler98@yahoo.com</t>
  </si>
  <si>
    <t>Cole Crumpler</t>
  </si>
  <si>
    <t>813 Crumpler rd.</t>
  </si>
  <si>
    <t>wifesusanm@gmail.com</t>
  </si>
  <si>
    <t>minnichnathan@gmail.com</t>
  </si>
  <si>
    <t>Minnich</t>
  </si>
  <si>
    <t>Nathan Minnich</t>
  </si>
  <si>
    <t>106 Oak Leaf Dr.</t>
  </si>
  <si>
    <t>Hudson Oaks</t>
  </si>
  <si>
    <t>cokesonline@integrity.com</t>
  </si>
  <si>
    <t>legoforever1@gmail.com</t>
  </si>
  <si>
    <t>Coughenour</t>
  </si>
  <si>
    <t>Sean Coughenour</t>
  </si>
  <si>
    <t>PO Box 1494</t>
  </si>
  <si>
    <t>Greer_7@hotmail.com</t>
  </si>
  <si>
    <t>greer_7@hotmail.com</t>
  </si>
  <si>
    <t>Austin Greer</t>
  </si>
  <si>
    <t>236 Cherokee Trail</t>
  </si>
  <si>
    <t>Stanford</t>
  </si>
  <si>
    <t>pettinger.jessica@gmail.com</t>
  </si>
  <si>
    <t>wynniep@comcast.net</t>
  </si>
  <si>
    <t>Pettinger</t>
  </si>
  <si>
    <t>Wynn Pettinger</t>
  </si>
  <si>
    <t>7015 Borg Road NE</t>
  </si>
  <si>
    <t>ehagen@beaconhealthsystem.org</t>
  </si>
  <si>
    <t>lucashagen123@gmail.com</t>
  </si>
  <si>
    <t>Lucas Hagen</t>
  </si>
  <si>
    <t>PO box 127</t>
  </si>
  <si>
    <t>69280 crooked creek road</t>
  </si>
  <si>
    <t>White pigeon</t>
  </si>
  <si>
    <t>apodaca3@gmail.com</t>
  </si>
  <si>
    <t>ozmorf@gmail.com</t>
  </si>
  <si>
    <t>Apodaca</t>
  </si>
  <si>
    <t>Anthony Apodaca</t>
  </si>
  <si>
    <t>2612 Red Mountain Court</t>
  </si>
  <si>
    <t>lapodgal@gmail.com</t>
  </si>
  <si>
    <t>Leanna Apodaca</t>
  </si>
  <si>
    <t>allisonkinchen72@gmail.com</t>
  </si>
  <si>
    <t>Kinchen</t>
  </si>
  <si>
    <t>Allison Kinchen</t>
  </si>
  <si>
    <t>328 Serenade Drive</t>
  </si>
  <si>
    <t>benort49@gmail.com</t>
  </si>
  <si>
    <t>volleybri6@gmail.com</t>
  </si>
  <si>
    <t>Brianna Ortiz</t>
  </si>
  <si>
    <t>3114 Houndsworth Ct #510</t>
  </si>
  <si>
    <t>stone3642@gmail.com</t>
  </si>
  <si>
    <t>benstone1207@gmail.com</t>
  </si>
  <si>
    <t>Benjamin Stone</t>
  </si>
  <si>
    <t>6126 Green Ct.</t>
  </si>
  <si>
    <t>51jmstone@gmail.com</t>
  </si>
  <si>
    <t>Joshua Stone</t>
  </si>
  <si>
    <t>lesinoma@juno.com</t>
  </si>
  <si>
    <t>melaniej.nordstrom@gmail.com</t>
  </si>
  <si>
    <t>Nordstrom</t>
  </si>
  <si>
    <t>Melanie Nordstrom</t>
  </si>
  <si>
    <t>3426 N 81 St</t>
  </si>
  <si>
    <t>taylor.lee199@gmail.com</t>
  </si>
  <si>
    <t>taylor lee</t>
  </si>
  <si>
    <t>5624 pamplico why</t>
  </si>
  <si>
    <t>florence</t>
  </si>
  <si>
    <t>dani.waresak@gmail.com</t>
  </si>
  <si>
    <t>Waresak</t>
  </si>
  <si>
    <t>Danielle Waresak</t>
  </si>
  <si>
    <t>5915 Dolores Street</t>
  </si>
  <si>
    <t>tavarezjordan@yahoo.com</t>
  </si>
  <si>
    <t>vtavarez820@gmail.com</t>
  </si>
  <si>
    <t>Tavarez</t>
  </si>
  <si>
    <t>Vanessa Tavarez</t>
  </si>
  <si>
    <t>193 Welling Way</t>
  </si>
  <si>
    <t>jordancarla26@yahoo.com</t>
  </si>
  <si>
    <t>Carla</t>
  </si>
  <si>
    <t>Carla Jordan</t>
  </si>
  <si>
    <t>6515 Broadrick Place</t>
  </si>
  <si>
    <t>julissapenney@gmail.com</t>
  </si>
  <si>
    <t>Penney</t>
  </si>
  <si>
    <t>Julissa Penney</t>
  </si>
  <si>
    <t>8712 Ildica Street  #2</t>
  </si>
  <si>
    <t>slian.p@gmail.com</t>
  </si>
  <si>
    <t>PAU</t>
  </si>
  <si>
    <t>LIAN</t>
  </si>
  <si>
    <t>PAU LIAN</t>
  </si>
  <si>
    <t>4E TSUKUBA BUILDING</t>
  </si>
  <si>
    <t>1-6-3, NISHI WASEDA</t>
  </si>
  <si>
    <t>SHINJUKU</t>
  </si>
  <si>
    <t>TOKYO</t>
  </si>
  <si>
    <t>169-0052</t>
  </si>
  <si>
    <t>jdavis@organix.us</t>
  </si>
  <si>
    <t>lillysnap96@gmail.com</t>
  </si>
  <si>
    <t>Lillian Davis</t>
  </si>
  <si>
    <t>2515 S Wilbur Ave</t>
  </si>
  <si>
    <t>Walla Walla</t>
  </si>
  <si>
    <t>tessaalzen@gmail.com</t>
  </si>
  <si>
    <t>Alzen</t>
  </si>
  <si>
    <t>Tessa Alzen</t>
  </si>
  <si>
    <t>1016 110th Ave</t>
  </si>
  <si>
    <t>zhohenstatt@yahoo.com</t>
  </si>
  <si>
    <t>joshhohenstatt@icloud.com</t>
  </si>
  <si>
    <t>Hohenstatt</t>
  </si>
  <si>
    <t>Joshua Hohenstatt</t>
  </si>
  <si>
    <t>3603 madison grace way</t>
  </si>
  <si>
    <t>franklin</t>
  </si>
  <si>
    <t>joann_axtell@bereanwpb.org</t>
  </si>
  <si>
    <t>joshaxtell@comcast.net</t>
  </si>
  <si>
    <t>Axtell</t>
  </si>
  <si>
    <t>Hunter Axtell</t>
  </si>
  <si>
    <t>2181 Tigris Dr</t>
  </si>
  <si>
    <t>West Palm Beach</t>
  </si>
  <si>
    <t>Thomas Hohenstatt</t>
  </si>
  <si>
    <t>Kevin Yeager</t>
  </si>
  <si>
    <t>colbycarol@sbcglobal.net</t>
  </si>
  <si>
    <t>cayden.smith@hcknights.org</t>
  </si>
  <si>
    <t>Cayden</t>
  </si>
  <si>
    <t>Cayden Smith</t>
  </si>
  <si>
    <t>15108 Terra Verde Dr.</t>
  </si>
  <si>
    <t>bdpeniston@gmail.com</t>
  </si>
  <si>
    <t>abpeniston@gmail.com</t>
  </si>
  <si>
    <t>Peniston</t>
  </si>
  <si>
    <t>Andrew Peniston</t>
  </si>
  <si>
    <t>6826 SW Autumn Trail</t>
  </si>
  <si>
    <t>whitemarlinJH@aol.com</t>
  </si>
  <si>
    <t>hannah.harvin@aol.com</t>
  </si>
  <si>
    <t>Harvin</t>
  </si>
  <si>
    <t>Hannah Harvin</t>
  </si>
  <si>
    <t>4263 live oak circle</t>
  </si>
  <si>
    <t>hillmanor4@bellsouth.net</t>
  </si>
  <si>
    <t>faithfulfriend@bellsouth.net</t>
  </si>
  <si>
    <t>Sara Williams</t>
  </si>
  <si>
    <t>822 Bowmantown Rd</t>
  </si>
  <si>
    <t>kbug94@gmail.com</t>
  </si>
  <si>
    <t>madigra99@gmail.com</t>
  </si>
  <si>
    <t>Madison Russell</t>
  </si>
  <si>
    <t>2086 Peavine Road</t>
  </si>
  <si>
    <t>Justin Hohenstatt</t>
  </si>
  <si>
    <t>robertmalcom@ymail.com</t>
  </si>
  <si>
    <t>Malcom</t>
  </si>
  <si>
    <t>Hannah Malcom</t>
  </si>
  <si>
    <t>312 sw alpine</t>
  </si>
  <si>
    <t>Plainview</t>
  </si>
  <si>
    <t>drjohnson@csprings.com</t>
  </si>
  <si>
    <t>Darin</t>
  </si>
  <si>
    <t>Darin Johnson</t>
  </si>
  <si>
    <t>3615 Hill Circle</t>
  </si>
  <si>
    <t>amanda.couch@my.uu.edu</t>
  </si>
  <si>
    <t>Amanda Couch</t>
  </si>
  <si>
    <t>2288 Hampshire Pike</t>
  </si>
  <si>
    <t>cometcal@gmail.com</t>
  </si>
  <si>
    <t>jsawesomedude@gmail.com</t>
  </si>
  <si>
    <t>michael</t>
  </si>
  <si>
    <t>quan</t>
  </si>
  <si>
    <t>michael quan</t>
  </si>
  <si>
    <t>13437 se 43rd street</t>
  </si>
  <si>
    <t>bellevue</t>
  </si>
  <si>
    <t>jcimlj@gmail.com</t>
  </si>
  <si>
    <t>Micaiah</t>
  </si>
  <si>
    <t>Bodiford</t>
  </si>
  <si>
    <t>Micaiah Bodiford</t>
  </si>
  <si>
    <t>6150 S Summer Ridge Way</t>
  </si>
  <si>
    <t>Jeff@RevolutionONE.com</t>
  </si>
  <si>
    <t>airplanehelix109@gmail.com</t>
  </si>
  <si>
    <t>Javier</t>
  </si>
  <si>
    <t>Javier Smith</t>
  </si>
  <si>
    <t>amy.elliott@me.com_configioDeactivated</t>
  </si>
  <si>
    <t>elliottmolly98@gmail.com</t>
  </si>
  <si>
    <t>Molly Elliott</t>
  </si>
  <si>
    <t>5819 Woodrow Rd</t>
  </si>
  <si>
    <t>lubbock</t>
  </si>
  <si>
    <t>ookayman6@gmail.com</t>
  </si>
  <si>
    <t>nathanjosephbyrd@gmail.com</t>
  </si>
  <si>
    <t>Nathan Byrd</t>
  </si>
  <si>
    <t>196 N. Parkview Ct.</t>
  </si>
  <si>
    <t>noahjbyrd3@gmail.com</t>
  </si>
  <si>
    <t>Noah Byrd</t>
  </si>
  <si>
    <t>Litchfield Park</t>
  </si>
  <si>
    <t>lyndsaytyler@outlook.com</t>
  </si>
  <si>
    <t>htyler7@outlook.com</t>
  </si>
  <si>
    <t>Hunter Tyler</t>
  </si>
  <si>
    <t>4101 Snowy Egret Dr</t>
  </si>
  <si>
    <t>msmihelc@yahoo.com</t>
  </si>
  <si>
    <t>laura.mihelc@gmail.com</t>
  </si>
  <si>
    <t>Mihelc</t>
  </si>
  <si>
    <t>Laura Mihelc</t>
  </si>
  <si>
    <t>220 Sherwood Ct.</t>
  </si>
  <si>
    <t>jhlinley@aol.com</t>
  </si>
  <si>
    <t>eflinley@aol.com</t>
  </si>
  <si>
    <t>Linley</t>
  </si>
  <si>
    <t>Erin Linley</t>
  </si>
  <si>
    <t>326 Highway 12 West</t>
  </si>
  <si>
    <t>micheallee06@hotmail.com</t>
  </si>
  <si>
    <t>Shelbi</t>
  </si>
  <si>
    <t>Tacon</t>
  </si>
  <si>
    <t>Shelbi Tacon</t>
  </si>
  <si>
    <t>214 Bonaire Dr</t>
  </si>
  <si>
    <t>jtxcattle@gmail.com</t>
  </si>
  <si>
    <t>Jtxcattle@gmail.com</t>
  </si>
  <si>
    <t>Gracelyn</t>
  </si>
  <si>
    <t>Gracelyn Jacobs</t>
  </si>
  <si>
    <t>11488 Buffalo Ridge Rd</t>
  </si>
  <si>
    <t>seralaw@att.net</t>
  </si>
  <si>
    <t>will.sera@att.net</t>
  </si>
  <si>
    <t>Will Sera</t>
  </si>
  <si>
    <t>2707 Northview Dr.</t>
  </si>
  <si>
    <t>amyvthomas79@hotmail.com</t>
  </si>
  <si>
    <t>gabe@veldboom.com</t>
  </si>
  <si>
    <t>Veldboom</t>
  </si>
  <si>
    <t>Gabriel Veldboom</t>
  </si>
  <si>
    <t>123 McElmurray Rd</t>
  </si>
  <si>
    <t>Waynesboro</t>
  </si>
  <si>
    <t>epicnun@gmail.com</t>
  </si>
  <si>
    <t>Austin Nunns</t>
  </si>
  <si>
    <t>bri.vb41@gmail.com</t>
  </si>
  <si>
    <t>Bertsch</t>
  </si>
  <si>
    <t>Brianna Bertsch</t>
  </si>
  <si>
    <t>6606 E 100 N</t>
  </si>
  <si>
    <t>ps2a1emb@gmail.com</t>
  </si>
  <si>
    <t>Seemb27@gmail.com</t>
  </si>
  <si>
    <t>Embleton</t>
  </si>
  <si>
    <t>Seth Embleton</t>
  </si>
  <si>
    <t>4126 Lisbon St.</t>
  </si>
  <si>
    <t>abramschumacher@gmail.com</t>
  </si>
  <si>
    <t>Abram Schumacher</t>
  </si>
  <si>
    <t>1122 North State Street</t>
  </si>
  <si>
    <t>tstpeters@gmail.com</t>
  </si>
  <si>
    <t>Estpeters2018@bcsstudent.org</t>
  </si>
  <si>
    <t>StPeters</t>
  </si>
  <si>
    <t>Emma StPeters</t>
  </si>
  <si>
    <t>2809 Sandpoint Rd.</t>
  </si>
  <si>
    <t>acbennett3@gmail.com</t>
  </si>
  <si>
    <t>vbennett97@live.com</t>
  </si>
  <si>
    <t>Victoria Bennett</t>
  </si>
  <si>
    <t>PO Box 3017</t>
  </si>
  <si>
    <t>Columbia Falls</t>
  </si>
  <si>
    <t>briawarren13@gmail.com</t>
  </si>
  <si>
    <t>Bria</t>
  </si>
  <si>
    <t>Bria Warren</t>
  </si>
  <si>
    <t>6535 Birchdale Drive</t>
  </si>
  <si>
    <t>rues2k@yahoo.com</t>
  </si>
  <si>
    <t>rehd98@gmail.com</t>
  </si>
  <si>
    <t>Rehani</t>
  </si>
  <si>
    <t>Rehani Davis</t>
  </si>
  <si>
    <t>6333 Hallet</t>
  </si>
  <si>
    <t>andrewacademy247@gmail.com</t>
  </si>
  <si>
    <t>Kjandrew3@gmail.com</t>
  </si>
  <si>
    <t>Kailey Andrew</t>
  </si>
  <si>
    <t>11 Logging Hill Road</t>
  </si>
  <si>
    <t>Bow</t>
  </si>
  <si>
    <t>wrossmiller@yahoo.com</t>
  </si>
  <si>
    <t>Sophie.rossmiller@gmail.com</t>
  </si>
  <si>
    <t>Rossmiller</t>
  </si>
  <si>
    <t>Sophie Rossmiller</t>
  </si>
  <si>
    <t>2275 Wagon Wheel Court</t>
  </si>
  <si>
    <t>Mendota Heights</t>
  </si>
  <si>
    <t>noelaniwankenobi@gmail.com</t>
  </si>
  <si>
    <t>Noelani</t>
  </si>
  <si>
    <t>Noelani Nelson</t>
  </si>
  <si>
    <t>3110 Rouncival Dr</t>
  </si>
  <si>
    <t>102 Colt st</t>
  </si>
  <si>
    <t>ann.enright@gmail.com</t>
  </si>
  <si>
    <t>smileycj113@gmail.com</t>
  </si>
  <si>
    <t>Enright</t>
  </si>
  <si>
    <t>Caitlyn Enright</t>
  </si>
  <si>
    <t>8645 243rd St.</t>
  </si>
  <si>
    <t>cavsc@cox.net</t>
  </si>
  <si>
    <t>jcbubbles@cox.net</t>
  </si>
  <si>
    <t>Jessica Huber</t>
  </si>
  <si>
    <t>33855 Zarzito Drive</t>
  </si>
  <si>
    <t>luis.reyna1975@gmail.com</t>
  </si>
  <si>
    <t>anahisreyna98@gmail.com</t>
  </si>
  <si>
    <t>ANAHI</t>
  </si>
  <si>
    <t>REYNA</t>
  </si>
  <si>
    <t>ANAHI REYNA</t>
  </si>
  <si>
    <t>4301 ROSE LEAF CT</t>
  </si>
  <si>
    <t>ROWLETT</t>
  </si>
  <si>
    <t>rdmfiredog@yahoo.com</t>
  </si>
  <si>
    <t>matthew.s.miller@biola.edu</t>
  </si>
  <si>
    <t>Matthew Miller</t>
  </si>
  <si>
    <t>115 Via Pascual</t>
  </si>
  <si>
    <t>pdegray@msn.com</t>
  </si>
  <si>
    <t>angeladegray@yahoo.com</t>
  </si>
  <si>
    <t>DeGray</t>
  </si>
  <si>
    <t>Angela DeGray</t>
  </si>
  <si>
    <t>9431 Harvest Rd</t>
  </si>
  <si>
    <t>Grasston</t>
  </si>
  <si>
    <t>mblane@suddenlink.net</t>
  </si>
  <si>
    <t>cblane22@gmail.com</t>
  </si>
  <si>
    <t>Blane</t>
  </si>
  <si>
    <t>Cory Blane</t>
  </si>
  <si>
    <t>3706 Oak Court</t>
  </si>
  <si>
    <t>presliedavis@ymail.com</t>
  </si>
  <si>
    <t>Preslie</t>
  </si>
  <si>
    <t>Preslie Davis</t>
  </si>
  <si>
    <t>1540 NW CR 0145</t>
  </si>
  <si>
    <t>carie.lawyer@comcast.net</t>
  </si>
  <si>
    <t>rileylawyer247@gmail.com</t>
  </si>
  <si>
    <t>Lawyer</t>
  </si>
  <si>
    <t>Riley Lawyer</t>
  </si>
  <si>
    <t>1055 Archer Dr.</t>
  </si>
  <si>
    <t>White House</t>
  </si>
  <si>
    <t>reinaover@aol.com</t>
  </si>
  <si>
    <t>kaelaoverb@gmail.com</t>
  </si>
  <si>
    <t>Overby</t>
  </si>
  <si>
    <t>Kaela Overby</t>
  </si>
  <si>
    <t>5829 Spruce Creek Woods Dr</t>
  </si>
  <si>
    <t>hamm1lls@hotmail.com</t>
  </si>
  <si>
    <t>Hamilton Mills</t>
  </si>
  <si>
    <t>881 River Rd</t>
  </si>
  <si>
    <t>sbitgood728@gmail.com</t>
  </si>
  <si>
    <t>brebitgood212@gmail.com</t>
  </si>
  <si>
    <t>Bitgood</t>
  </si>
  <si>
    <t>Breanna Bitgood</t>
  </si>
  <si>
    <t>1428 W. Trammell St.</t>
  </si>
  <si>
    <t>Lantana</t>
  </si>
  <si>
    <t>jasonvanhierden@gmail.com</t>
  </si>
  <si>
    <t>Jason Van Hierden</t>
  </si>
  <si>
    <t>1321 30th St S</t>
  </si>
  <si>
    <t>rcbc82591@charter.net</t>
  </si>
  <si>
    <t>lukesommer356@gmail.com</t>
  </si>
  <si>
    <t>Luke Sommer</t>
  </si>
  <si>
    <t>54553 Old Bedford Trail</t>
  </si>
  <si>
    <t>Mishawaka</t>
  </si>
  <si>
    <t>trvanatta@verizon.net</t>
  </si>
  <si>
    <t>ajvanatta97@gmail.com</t>
  </si>
  <si>
    <t>Vanatta</t>
  </si>
  <si>
    <t>Anneliese Vanatta</t>
  </si>
  <si>
    <t>2933 S. Goldcrest Place</t>
  </si>
  <si>
    <t>jill.joe.vincent@gmai.com</t>
  </si>
  <si>
    <t>jfraserv3@gmail.com</t>
  </si>
  <si>
    <t>Joseph Vincent</t>
  </si>
  <si>
    <t>647 Charles Drive</t>
  </si>
  <si>
    <t>GIlbertsville</t>
  </si>
  <si>
    <t>bg_nel@msn.com</t>
  </si>
  <si>
    <t>dane</t>
  </si>
  <si>
    <t>nelson</t>
  </si>
  <si>
    <t>dane nelson</t>
  </si>
  <si>
    <t>5811 Lake Avenue</t>
  </si>
  <si>
    <t>White Bear Lake</t>
  </si>
  <si>
    <t>angelawikkerink@gmail.com</t>
  </si>
  <si>
    <t>Wikkerink</t>
  </si>
  <si>
    <t>Angela Wikkerink</t>
  </si>
  <si>
    <t>12202 Boonstra Rd.</t>
  </si>
  <si>
    <t>Telkwa</t>
  </si>
  <si>
    <t>B.C.</t>
  </si>
  <si>
    <t>V0J 2X2</t>
  </si>
  <si>
    <t>jwikkerink93@hotmail.com</t>
  </si>
  <si>
    <t>Jessica Wikkerink</t>
  </si>
  <si>
    <t>Boonstra Rd</t>
  </si>
  <si>
    <t>B.C</t>
  </si>
  <si>
    <t>daniellongden@gmail.com</t>
  </si>
  <si>
    <t>rco1049@yahoo.com</t>
  </si>
  <si>
    <t>Rachel Olson</t>
  </si>
  <si>
    <t>4081 Bell HWY</t>
  </si>
  <si>
    <t>Eaton Rapids</t>
  </si>
  <si>
    <t>tigerboyrogge@gmail.com</t>
  </si>
  <si>
    <t>Kennan</t>
  </si>
  <si>
    <t>Rogge</t>
  </si>
  <si>
    <t>Kennan Rogge</t>
  </si>
  <si>
    <t>16144 Doyle Rd.</t>
  </si>
  <si>
    <t>evanalmighty16@gmail.com</t>
  </si>
  <si>
    <t>evanalmighty16@gmail.co</t>
  </si>
  <si>
    <t>Golondzinier</t>
  </si>
  <si>
    <t>Evan Golondzinier</t>
  </si>
  <si>
    <t>24339 Northview place</t>
  </si>
  <si>
    <t>diamond bar</t>
  </si>
  <si>
    <t>strong_tower@wowway.com</t>
  </si>
  <si>
    <t>Whosscruffylookin95@gmail.com</t>
  </si>
  <si>
    <t>Andrew Wilhelm</t>
  </si>
  <si>
    <t>10315 Biddulph Road</t>
  </si>
  <si>
    <t>wesp.physicsguy@gmail.com</t>
  </si>
  <si>
    <t>Wesley Porter</t>
  </si>
  <si>
    <t>259 Pinon way</t>
  </si>
  <si>
    <t>pete@pfg12.com</t>
  </si>
  <si>
    <t>aptychsen@gmail.com</t>
  </si>
  <si>
    <t>Tychsen</t>
  </si>
  <si>
    <t>Andrew Tychsen</t>
  </si>
  <si>
    <t>1695-1 Metropolitan Circle</t>
  </si>
  <si>
    <t>kenton5@sbcglobal.net</t>
  </si>
  <si>
    <t>Katherine Kenton</t>
  </si>
  <si>
    <t>4032 Trailcrest Drive</t>
  </si>
  <si>
    <t>Moorpark</t>
  </si>
  <si>
    <t>vickilmoag@gmail.com</t>
  </si>
  <si>
    <t>auroradowney123@gmail.com</t>
  </si>
  <si>
    <t>Aurora Downey</t>
  </si>
  <si>
    <t>2787 Oak Bay Drive</t>
  </si>
  <si>
    <t>Longs</t>
  </si>
  <si>
    <t>maddi.sharp5@gmail.com</t>
  </si>
  <si>
    <t>michaeldavidsharp@gmail.com</t>
  </si>
  <si>
    <t>Michael Sharp</t>
  </si>
  <si>
    <t>10837 Windermere Blvd</t>
  </si>
  <si>
    <t>bmariepurdy@gmail.com</t>
  </si>
  <si>
    <t>michellepurdy3302@gmail.com</t>
  </si>
  <si>
    <t>Purdy</t>
  </si>
  <si>
    <t>Michelle Purdy</t>
  </si>
  <si>
    <t>111 E Ruelle</t>
  </si>
  <si>
    <t>drvanatta@verizon.net</t>
  </si>
  <si>
    <t>Daniel Vanatta</t>
  </si>
  <si>
    <t>fullhowes@att.net</t>
  </si>
  <si>
    <t>Howeoscar@gmail.com</t>
  </si>
  <si>
    <t>Oscar</t>
  </si>
  <si>
    <t>Howe</t>
  </si>
  <si>
    <t>Oscar Howe</t>
  </si>
  <si>
    <t>7789 Calle mejor</t>
  </si>
  <si>
    <t>Earthahowe8@gmail.com</t>
  </si>
  <si>
    <t>Eartha</t>
  </si>
  <si>
    <t>Eartha Howe</t>
  </si>
  <si>
    <t>arziebow@live.com</t>
  </si>
  <si>
    <t>Daniel Estes</t>
  </si>
  <si>
    <t>4607 SW Swinton Drive</t>
  </si>
  <si>
    <t>sppeauroi@hotmail.com</t>
  </si>
  <si>
    <t>Peauroi</t>
  </si>
  <si>
    <t>Sydney Peauroi</t>
  </si>
  <si>
    <t>1234 Weat Cedar St.</t>
  </si>
  <si>
    <t>slemh51@yahoo.com</t>
  </si>
  <si>
    <t>Jonathon Nichols</t>
  </si>
  <si>
    <t>hartzlers7@gmail.com</t>
  </si>
  <si>
    <t>hartzlerandrew@gmail.com</t>
  </si>
  <si>
    <t>Hartzler</t>
  </si>
  <si>
    <t>Andrew Hartzler</t>
  </si>
  <si>
    <t>22501 E. 299th St.</t>
  </si>
  <si>
    <t>msawall@wisc.edu</t>
  </si>
  <si>
    <t>Michael Sawall</t>
  </si>
  <si>
    <t>rc.metcalf@outlook.com</t>
  </si>
  <si>
    <t>klcallender3@hotmail.com</t>
  </si>
  <si>
    <t>Callender</t>
  </si>
  <si>
    <t>Kelly Callender</t>
  </si>
  <si>
    <t>2755 Heathrow Dr</t>
  </si>
  <si>
    <t>samanthabata@gmail.com</t>
  </si>
  <si>
    <t>Bata</t>
  </si>
  <si>
    <t>Samantha Bata</t>
  </si>
  <si>
    <t>1345 Shepherds Creek Drive</t>
  </si>
  <si>
    <t>leanna@adcfab.com</t>
  </si>
  <si>
    <t>cloveall15@gmail.com</t>
  </si>
  <si>
    <t>Loveall</t>
  </si>
  <si>
    <t>Clay Loveall</t>
  </si>
  <si>
    <t>1021 W State</t>
  </si>
  <si>
    <t>greganddebiewood@hotmail.com</t>
  </si>
  <si>
    <t>wholesomecone@hotmail.com</t>
  </si>
  <si>
    <t>Dean Wood</t>
  </si>
  <si>
    <t>3889 W. Hill Rd.</t>
  </si>
  <si>
    <t>austinjong@att.net</t>
  </si>
  <si>
    <t>Evelyn Austin</t>
  </si>
  <si>
    <t>3500 Quarterstaff Place</t>
  </si>
  <si>
    <t>WInston Salem</t>
  </si>
  <si>
    <t>ljr2@sbcglobal.net</t>
  </si>
  <si>
    <t>ian.reimschisel@sbcglobal.net</t>
  </si>
  <si>
    <t>Reimschisel</t>
  </si>
  <si>
    <t>Ian Reimschisel</t>
  </si>
  <si>
    <t>4735 N Krueger</t>
  </si>
  <si>
    <t>Bel Aire</t>
  </si>
  <si>
    <t>gerry.true@gmail.com</t>
  </si>
  <si>
    <t>mtrue@gloriadeoacademy.net</t>
  </si>
  <si>
    <t>Mason True</t>
  </si>
  <si>
    <t>224 River Forest Drive</t>
  </si>
  <si>
    <t>shannonsalomejohnston@gmail.com</t>
  </si>
  <si>
    <t>mrslaurenjohnston@gmail.com</t>
  </si>
  <si>
    <t>John-Daniel</t>
  </si>
  <si>
    <t>John-Daniel Johnston</t>
  </si>
  <si>
    <t>6441 Blue Ridge Blvd</t>
  </si>
  <si>
    <t>Raytown</t>
  </si>
  <si>
    <t>shannon</t>
  </si>
  <si>
    <t>johnston</t>
  </si>
  <si>
    <t>shannon johnston</t>
  </si>
  <si>
    <t>christina.l.jarrett@gmail.com</t>
  </si>
  <si>
    <t>Christina Jarrett</t>
  </si>
  <si>
    <t>kpage1119@hotmail.com</t>
  </si>
  <si>
    <t>Clayton630@icloud.com</t>
  </si>
  <si>
    <t>Vohler</t>
  </si>
  <si>
    <t>Clayton Vohler</t>
  </si>
  <si>
    <t>380 Lake Kathryn Dr</t>
  </si>
  <si>
    <t>Dkwood55@gmail.com</t>
  </si>
  <si>
    <t>Dallas Wood</t>
  </si>
  <si>
    <t>liaheatherton29@gmail.com</t>
  </si>
  <si>
    <t>Liaheatherton29@gmail.com</t>
  </si>
  <si>
    <t>Rosalia</t>
  </si>
  <si>
    <t>Heatherton</t>
  </si>
  <si>
    <t>Rosalia Heatherton</t>
  </si>
  <si>
    <t>6714 Homan street</t>
  </si>
  <si>
    <t>coltonnunns@gmail.com</t>
  </si>
  <si>
    <t>Colton Nunns</t>
  </si>
  <si>
    <t>g.kolcheva@yahoo.com</t>
  </si>
  <si>
    <t>a.kolchev@yahoo.com</t>
  </si>
  <si>
    <t>Andrey</t>
  </si>
  <si>
    <t>Kolchev</t>
  </si>
  <si>
    <t>Andrey Kolchev</t>
  </si>
  <si>
    <t>2234 Hedgerow Ln</t>
  </si>
  <si>
    <t>jajohnson1996@gmail.com</t>
  </si>
  <si>
    <t>Janelle</t>
  </si>
  <si>
    <t>Janelle Johnson</t>
  </si>
  <si>
    <t>JacobGuntle@gmail.com</t>
  </si>
  <si>
    <t>Guntle</t>
  </si>
  <si>
    <t>Jacob Guntle</t>
  </si>
  <si>
    <t>6714 Ludington Drive</t>
  </si>
  <si>
    <t>gcarel7@gmail.com</t>
  </si>
  <si>
    <t>ejcarel@gmail.com</t>
  </si>
  <si>
    <t>Carel</t>
  </si>
  <si>
    <t>Edward Carel</t>
  </si>
  <si>
    <t>209 Joe Washburn Rd</t>
  </si>
  <si>
    <t>Denison</t>
  </si>
  <si>
    <t>dilynpalmer@gmail.com</t>
  </si>
  <si>
    <t>Micah Palmer</t>
  </si>
  <si>
    <t>479 Hollyhock Hills way</t>
  </si>
  <si>
    <t>bepack10@gmail.com</t>
  </si>
  <si>
    <t>Bailey Pack</t>
  </si>
  <si>
    <t>130 Blue Heron Lane</t>
  </si>
  <si>
    <t>North Augusta</t>
  </si>
  <si>
    <t>jessicatyree14@gmail.com</t>
  </si>
  <si>
    <t>Jessica Tyree</t>
  </si>
  <si>
    <t>12131 Prism Trail</t>
  </si>
  <si>
    <t>truekingfollower@gmail.com</t>
  </si>
  <si>
    <t>Abigail Forquer</t>
  </si>
  <si>
    <t>shannonmoore@gmx.com</t>
  </si>
  <si>
    <t>Moorehenry76@gmail.com</t>
  </si>
  <si>
    <t>Henry Moore</t>
  </si>
  <si>
    <t>2088 sawdust hill rd</t>
  </si>
  <si>
    <t>Poulsbo</t>
  </si>
  <si>
    <t>kkaldahl@hotmail.com</t>
  </si>
  <si>
    <t>alex4ou@live.com</t>
  </si>
  <si>
    <t>Kaldahl</t>
  </si>
  <si>
    <t>Alex Kaldahl</t>
  </si>
  <si>
    <t>815 6th ST SW</t>
  </si>
  <si>
    <t>mk.shope@frontier.com</t>
  </si>
  <si>
    <t>parker.shope@frontier.com</t>
  </si>
  <si>
    <t>Shope</t>
  </si>
  <si>
    <t>Parker Shope</t>
  </si>
  <si>
    <t>5303 Giehl Rd</t>
  </si>
  <si>
    <t>kdrumm63@yahoo.com</t>
  </si>
  <si>
    <t>Dandrumm98@gmail.com</t>
  </si>
  <si>
    <t>Drummond</t>
  </si>
  <si>
    <t>Daniel Drummond</t>
  </si>
  <si>
    <t>15939 St Rt 39</t>
  </si>
  <si>
    <t>Loudonville</t>
  </si>
  <si>
    <t>kristieleung911@gmail.com</t>
  </si>
  <si>
    <t>Kristie</t>
  </si>
  <si>
    <t>Leung</t>
  </si>
  <si>
    <t>Kristie Leung</t>
  </si>
  <si>
    <t>1126 Pebblewood Dr</t>
  </si>
  <si>
    <t>ldrumm97@yahoo.com</t>
  </si>
  <si>
    <t>Lia</t>
  </si>
  <si>
    <t>Lia Drummond</t>
  </si>
  <si>
    <t>Masyn</t>
  </si>
  <si>
    <t>Masyn Shope</t>
  </si>
  <si>
    <t>gaarnts@catt.com</t>
  </si>
  <si>
    <t>madisonarnt@gmail.com</t>
  </si>
  <si>
    <t>Arnt</t>
  </si>
  <si>
    <t>Madison Arnt</t>
  </si>
  <si>
    <t>145 Canyon Trail</t>
  </si>
  <si>
    <t>2cchelle@gmail.com</t>
  </si>
  <si>
    <t>cmshively16@gmail.com</t>
  </si>
  <si>
    <t>Collin Shively</t>
  </si>
  <si>
    <t>Riser</t>
  </si>
  <si>
    <t>Road</t>
  </si>
  <si>
    <t>natasha.jarrett98@gmail.com</t>
  </si>
  <si>
    <t>Natasha Jarrett</t>
  </si>
  <si>
    <t>South Australia</t>
  </si>
  <si>
    <t>ray_shellie@juno.com</t>
  </si>
  <si>
    <t>tmead15@yahoo.com</t>
  </si>
  <si>
    <t>Taylor Mead</t>
  </si>
  <si>
    <t>284 Dundridge Drive</t>
  </si>
  <si>
    <t>White Post</t>
  </si>
  <si>
    <t>mayluvsmusic@gmail.com</t>
  </si>
  <si>
    <t>Kea</t>
  </si>
  <si>
    <t>Delacruz</t>
  </si>
  <si>
    <t>Kea Delacruz</t>
  </si>
  <si>
    <t>8138 Garden Gate Street</t>
  </si>
  <si>
    <t>ana.shbeeb@gmail.com</t>
  </si>
  <si>
    <t>anastasia</t>
  </si>
  <si>
    <t>shbeeb</t>
  </si>
  <si>
    <t>anastasia shbeeb</t>
  </si>
  <si>
    <t>3226 knollwest dr</t>
  </si>
  <si>
    <t>newsome@telepath.com</t>
  </si>
  <si>
    <t>dnewsome17@gmail.com</t>
  </si>
  <si>
    <t>Derek Newsome</t>
  </si>
  <si>
    <t>2525 NE 126th ST</t>
  </si>
  <si>
    <t>sonyayoungny@gmail.com</t>
  </si>
  <si>
    <t>luvbaily@gmail.com</t>
  </si>
  <si>
    <t>Helland</t>
  </si>
  <si>
    <t>Erika Helland</t>
  </si>
  <si>
    <t>po box 13232</t>
  </si>
  <si>
    <t>Smithtown</t>
  </si>
  <si>
    <t>bennettfolsom@gmail.com</t>
  </si>
  <si>
    <t>Bennett Folsom</t>
  </si>
  <si>
    <t>121 The Hills Drive</t>
  </si>
  <si>
    <t>The Hills</t>
  </si>
  <si>
    <t>cruz.antonio.aguilar@gmail.com</t>
  </si>
  <si>
    <t>Cruz</t>
  </si>
  <si>
    <t>Cruz Aguilar</t>
  </si>
  <si>
    <t>c/o Roberto Valenzuela</t>
  </si>
  <si>
    <t>PO Box 8</t>
  </si>
  <si>
    <t>rblowry87@msn.com</t>
  </si>
  <si>
    <t>14prairiegirl@gmail.com</t>
  </si>
  <si>
    <t>Lowry</t>
  </si>
  <si>
    <t>Grace Lowry</t>
  </si>
  <si>
    <t>10809 Wind Dancer Rd</t>
  </si>
  <si>
    <t>dingfamily1@gmail.com</t>
  </si>
  <si>
    <t>dingdude1998@gmail.com</t>
  </si>
  <si>
    <t>Meinerding</t>
  </si>
  <si>
    <t>Eric Meinerding</t>
  </si>
  <si>
    <t>6473 Bridgeton Manor Ct.</t>
  </si>
  <si>
    <t>Liberty Twp</t>
  </si>
  <si>
    <t>saida@saidarhodes.com</t>
  </si>
  <si>
    <t>parksalyssa@yahoo.com</t>
  </si>
  <si>
    <t>Parks</t>
  </si>
  <si>
    <t>Alyssa Parks</t>
  </si>
  <si>
    <t>2100 Tanglewilde Unit 737</t>
  </si>
  <si>
    <t>sydnee541@yahoo.com</t>
  </si>
  <si>
    <t>Sydnee Brown</t>
  </si>
  <si>
    <t>15091 Wilderness Ridge Lane NW</t>
  </si>
  <si>
    <t>jholt@payh.org</t>
  </si>
  <si>
    <t>Jholt@payh.org</t>
  </si>
  <si>
    <t>Perry Bata</t>
  </si>
  <si>
    <t>PO Box 525</t>
  </si>
  <si>
    <t>aprilefamily@msn.com</t>
  </si>
  <si>
    <t>evan.aprile@gmail.com</t>
  </si>
  <si>
    <t>Aprile</t>
  </si>
  <si>
    <t>Evan Aprile</t>
  </si>
  <si>
    <t>14540 Beaver Creek Rd.</t>
  </si>
  <si>
    <t>garrettwedemire@gmail.com</t>
  </si>
  <si>
    <t>Garrettwedemire@gmail.com</t>
  </si>
  <si>
    <t>Wedemire</t>
  </si>
  <si>
    <t>Garrett Wedemire</t>
  </si>
  <si>
    <t>6103 Maple Ave.</t>
  </si>
  <si>
    <t>Swartz Creek</t>
  </si>
  <si>
    <t>stephaniewolfe92@yahoo.com</t>
  </si>
  <si>
    <t>wolfeekatie50@gmail.com</t>
  </si>
  <si>
    <t>Katheryn Wolfe</t>
  </si>
  <si>
    <t>3319 Pineview Rd</t>
  </si>
  <si>
    <t>brenna.22.1998@gmail.com</t>
  </si>
  <si>
    <t>Klopfenstein</t>
  </si>
  <si>
    <t>Brenna Klopfenstein</t>
  </si>
  <si>
    <t>755 West Sawgrass Trail Dakota Dunes</t>
  </si>
  <si>
    <t>welchmackenzie204@gmail.com</t>
  </si>
  <si>
    <t>mackenzie</t>
  </si>
  <si>
    <t>welch</t>
  </si>
  <si>
    <t>mackenzie welch</t>
  </si>
  <si>
    <t>5111 morningside ave</t>
  </si>
  <si>
    <t>sioux city</t>
  </si>
  <si>
    <t>lesliekshih@gmail.com</t>
  </si>
  <si>
    <t>Thebetbunny@gmail.com</t>
  </si>
  <si>
    <t>Shih</t>
  </si>
  <si>
    <t>Bethany Shih</t>
  </si>
  <si>
    <t>4929 palacewood ct</t>
  </si>
  <si>
    <t>San jose</t>
  </si>
  <si>
    <t>bhscoggins@valornet.com</t>
  </si>
  <si>
    <t>Scoggins</t>
  </si>
  <si>
    <t>Caleb Scoggins</t>
  </si>
  <si>
    <t>richard5610@amaonline.com</t>
  </si>
  <si>
    <t>ccamden498@aol.com</t>
  </si>
  <si>
    <t>Coleton</t>
  </si>
  <si>
    <t>Coleton Camden</t>
  </si>
  <si>
    <t>PO Box 8286</t>
  </si>
  <si>
    <t>delaneybonacquisti@gmail.com</t>
  </si>
  <si>
    <t>delaneybonacquisti@keithschool.net</t>
  </si>
  <si>
    <t>Bonacquisti</t>
  </si>
  <si>
    <t>Delaney Bonacquisti</t>
  </si>
  <si>
    <t>Carbineer Drive</t>
  </si>
  <si>
    <t>crvf@yahoo.com</t>
  </si>
  <si>
    <t>vanfossencaleb@sau.edu</t>
  </si>
  <si>
    <t>1579 Berryfield Court</t>
  </si>
  <si>
    <t>denadepiazza@gmail.com</t>
  </si>
  <si>
    <t>depiazzafam@gmail.com</t>
  </si>
  <si>
    <t>DePiazza</t>
  </si>
  <si>
    <t>Michael DePiazza</t>
  </si>
  <si>
    <t>39745 N Lost Legend dr</t>
  </si>
  <si>
    <t>davechamp8@gmail.com</t>
  </si>
  <si>
    <t>natec93314@yahoo.com</t>
  </si>
  <si>
    <t>Nate</t>
  </si>
  <si>
    <t>Champness</t>
  </si>
  <si>
    <t>Nate Champness</t>
  </si>
  <si>
    <t>13904 Veracruz Dr.</t>
  </si>
  <si>
    <t>alcanfield6@gmail.com</t>
  </si>
  <si>
    <t>johndeere.canfield@gmail.com</t>
  </si>
  <si>
    <t>Jonathan Canfield</t>
  </si>
  <si>
    <t>2502 Lake Van Giesen Rd.</t>
  </si>
  <si>
    <t>P. O. Box 861</t>
  </si>
  <si>
    <t>champness67@gmail.com</t>
  </si>
  <si>
    <t>Sam Champness</t>
  </si>
  <si>
    <t>shaylin18@yahoo.com</t>
  </si>
  <si>
    <t>Shaylin</t>
  </si>
  <si>
    <t>Shaylin Connolly</t>
  </si>
  <si>
    <t>4435 Buttonbush Drive</t>
  </si>
  <si>
    <t>Titusville</t>
  </si>
  <si>
    <t>elijahnathanwilson@gmail.com</t>
  </si>
  <si>
    <t>Elijah Wilson</t>
  </si>
  <si>
    <t>cvillalobos2717@ccbs.edu</t>
  </si>
  <si>
    <t>Valerie31@outlook.com</t>
  </si>
  <si>
    <t>Valerie</t>
  </si>
  <si>
    <t>Villalobos</t>
  </si>
  <si>
    <t>Valerie Villalobos</t>
  </si>
  <si>
    <t>214 first street</t>
  </si>
  <si>
    <t>rawlsfam@suddenlink.net</t>
  </si>
  <si>
    <t>lexrawls3@suddenlink.net</t>
  </si>
  <si>
    <t>Rawls</t>
  </si>
  <si>
    <t>Alexis Rawls</t>
  </si>
  <si>
    <t>8305 Trenton Ave</t>
  </si>
  <si>
    <t>emilyjroos@gmail.com</t>
  </si>
  <si>
    <t>Emily Roos</t>
  </si>
  <si>
    <t>11034 Malibu Ave.</t>
  </si>
  <si>
    <t>Chowchilla</t>
  </si>
  <si>
    <t>travisbinkley.travis@aol.com</t>
  </si>
  <si>
    <t>Travis Binkley</t>
  </si>
  <si>
    <t>annieellison98@gmail.com</t>
  </si>
  <si>
    <t>AnneMarie</t>
  </si>
  <si>
    <t>AnneMarie Ellison</t>
  </si>
  <si>
    <t>910 Shiloh Ridge Run</t>
  </si>
  <si>
    <t>1040 Wooten Lake Road</t>
  </si>
  <si>
    <t>eruble@apps.bearspawschool.com</t>
  </si>
  <si>
    <t>egrchina@yahoo.com</t>
  </si>
  <si>
    <t>Ruble</t>
  </si>
  <si>
    <t>Emily Ruble</t>
  </si>
  <si>
    <t>10321 Hidden Valley Dr. NW</t>
  </si>
  <si>
    <t>T3A 4Z5</t>
  </si>
  <si>
    <t>aubrilynn04@gmail.com</t>
  </si>
  <si>
    <t>Aubri</t>
  </si>
  <si>
    <t>Aubri Hughes</t>
  </si>
  <si>
    <t>103 Third Road</t>
  </si>
  <si>
    <t>Leesburg</t>
  </si>
  <si>
    <t>mhsmith97@gmail.com</t>
  </si>
  <si>
    <t>McKinnon</t>
  </si>
  <si>
    <t>McKinnon Smith</t>
  </si>
  <si>
    <t>3504B Breckenridge Rd.</t>
  </si>
  <si>
    <t>terryl@consociate.com</t>
  </si>
  <si>
    <t>nlovekamp@millikin.edu</t>
  </si>
  <si>
    <t>Lovekamp</t>
  </si>
  <si>
    <t>Nathan Lovekamp</t>
  </si>
  <si>
    <t>784 Fairway Drive</t>
  </si>
  <si>
    <t>Forsyth</t>
  </si>
  <si>
    <t>mumbi8@yahoo.com</t>
  </si>
  <si>
    <t>tenajtinak@gmail.com</t>
  </si>
  <si>
    <t>Bettina</t>
  </si>
  <si>
    <t>Bettina King</t>
  </si>
  <si>
    <t>120 Woods Rd</t>
  </si>
  <si>
    <t>Ball Ground</t>
  </si>
  <si>
    <t>Traci@countrygoldens.com</t>
  </si>
  <si>
    <t>btthompson@bledsoe.net</t>
  </si>
  <si>
    <t>Jacob Thompson</t>
  </si>
  <si>
    <t>810 Pitts Gap Rd</t>
  </si>
  <si>
    <t>Graysville</t>
  </si>
  <si>
    <t>jlobue111@yahoo.com</t>
  </si>
  <si>
    <t>Jpf@firminconstruction.com</t>
  </si>
  <si>
    <t>Firmin</t>
  </si>
  <si>
    <t>John Firmin</t>
  </si>
  <si>
    <t>13933 Greenwell Springs Road</t>
  </si>
  <si>
    <t>springshome@msn.com</t>
  </si>
  <si>
    <t>dcassidy.0823@gmail.com</t>
  </si>
  <si>
    <t>Daniel Cassidy</t>
  </si>
  <si>
    <t>1989 Quadrangle Court</t>
  </si>
  <si>
    <t>mjasmiles@gmail.com</t>
  </si>
  <si>
    <t>Madilyn Anderson</t>
  </si>
  <si>
    <t>25819 W. Comfort Dr.</t>
  </si>
  <si>
    <t>juicepluspower@msn.com</t>
  </si>
  <si>
    <t>rickybobbyjoe97@gmail.com</t>
  </si>
  <si>
    <t>Friedly</t>
  </si>
  <si>
    <t>Richard Friedly</t>
  </si>
  <si>
    <t>158 Kelly Lane</t>
  </si>
  <si>
    <t>wendymaekirkwood@gmail.com</t>
  </si>
  <si>
    <t>konnorkirkwood@yahoo.com</t>
  </si>
  <si>
    <t>Konnor</t>
  </si>
  <si>
    <t>Kirkwood</t>
  </si>
  <si>
    <t>Konnor Kirkwood</t>
  </si>
  <si>
    <t>341 Suffolk Drive</t>
  </si>
  <si>
    <t>Cfwannabevet@gmail.com</t>
  </si>
  <si>
    <t>cfwannabevet@gmail.com</t>
  </si>
  <si>
    <t>Clarissa</t>
  </si>
  <si>
    <t>Fitzgerald</t>
  </si>
  <si>
    <t>Clarissa Fitzgerald</t>
  </si>
  <si>
    <t>3222 8th Ave</t>
  </si>
  <si>
    <t>jlang@fortmitchellcc.com</t>
  </si>
  <si>
    <t>dlang2598@gmail.com</t>
  </si>
  <si>
    <t>David Lang</t>
  </si>
  <si>
    <t>6531 Glade Avenue</t>
  </si>
  <si>
    <t>christa@longbines.com</t>
  </si>
  <si>
    <t>samuelalongbine@gmail.com</t>
  </si>
  <si>
    <t>Longbine</t>
  </si>
  <si>
    <t>Samuel Longbine</t>
  </si>
  <si>
    <t>421 Misty Ridge Dr</t>
  </si>
  <si>
    <t>bowers@mm.st</t>
  </si>
  <si>
    <t>daaronbowers@gmail.com</t>
  </si>
  <si>
    <t>Bowers</t>
  </si>
  <si>
    <t>David Bowers</t>
  </si>
  <si>
    <t>917 Charleston Rd.</t>
  </si>
  <si>
    <t>Wellsboro</t>
  </si>
  <si>
    <t>tsnolfe@gmail.com</t>
  </si>
  <si>
    <t>christianstnl@gmail.com</t>
  </si>
  <si>
    <t>Christian Stanley</t>
  </si>
  <si>
    <t>2242 Johnson Rd W</t>
  </si>
  <si>
    <t>mctreliv@yahoo.com</t>
  </si>
  <si>
    <t>JohnaToburen@gmail.com</t>
  </si>
  <si>
    <t>Toburen</t>
  </si>
  <si>
    <t>John Toburen</t>
  </si>
  <si>
    <t>1222 SE 44th St</t>
  </si>
  <si>
    <t>mattheworgill7@gmail.com</t>
  </si>
  <si>
    <t>Orgill</t>
  </si>
  <si>
    <t>Matthew Orgill</t>
  </si>
  <si>
    <t>30156 Hillside Terrace</t>
  </si>
  <si>
    <t>robesondm@gmail.ckm</t>
  </si>
  <si>
    <t>justuslaw34@gmail.com</t>
  </si>
  <si>
    <t>Justus</t>
  </si>
  <si>
    <t>Justus Robeson</t>
  </si>
  <si>
    <t>jsdwyer81@gmail.com</t>
  </si>
  <si>
    <t>moonwolf1998@gmail.com</t>
  </si>
  <si>
    <t>Avary</t>
  </si>
  <si>
    <t>Avary Dwyer</t>
  </si>
  <si>
    <t>93 Sertata Ct</t>
  </si>
  <si>
    <t>thosestephens@gmail.com</t>
  </si>
  <si>
    <t>heyoitsleo1332@gmail.com</t>
  </si>
  <si>
    <t>Leigh Stephens</t>
  </si>
  <si>
    <t>2329 S. Crestway St</t>
  </si>
  <si>
    <t>hannahjanett@outlook.com</t>
  </si>
  <si>
    <t>HannahJane</t>
  </si>
  <si>
    <t>HannahJane Thompson</t>
  </si>
  <si>
    <t>!07 Oak Leaf Lane</t>
  </si>
  <si>
    <t>wallacefamily92@gmail.com</t>
  </si>
  <si>
    <t>braeden.wallace16@gmail.com</t>
  </si>
  <si>
    <t>Braeden</t>
  </si>
  <si>
    <t>Braeden Wallace</t>
  </si>
  <si>
    <t>13331 Danvers Way</t>
  </si>
  <si>
    <t>flash1of7@gmail.com</t>
  </si>
  <si>
    <t>Nathaniel Abbott</t>
  </si>
  <si>
    <t>17385 Breeze Rd</t>
  </si>
  <si>
    <t>garybennett1955@yahoo.com</t>
  </si>
  <si>
    <t>Jake.bennett34@yahoo.com</t>
  </si>
  <si>
    <t>Jacob Bennett</t>
  </si>
  <si>
    <t>P.O.Box 8215</t>
  </si>
  <si>
    <t>Ennis</t>
  </si>
  <si>
    <t>bellegoingtotheball@gmail.com</t>
  </si>
  <si>
    <t>Lenora</t>
  </si>
  <si>
    <t>McCrory</t>
  </si>
  <si>
    <t>Lenora McCrory</t>
  </si>
  <si>
    <t>628 Purdy Ct.</t>
  </si>
  <si>
    <t>sixolivebranches@hotmail.com</t>
  </si>
  <si>
    <t>soccerrodgersnoah7@icloud.com</t>
  </si>
  <si>
    <t>Noah Rodgers</t>
  </si>
  <si>
    <t>2398 Gordon Rd</t>
  </si>
  <si>
    <t>Rock Hill</t>
  </si>
  <si>
    <t>rpvtech@yahoo.com</t>
  </si>
  <si>
    <t>cindib93@gmail.com</t>
  </si>
  <si>
    <t>Rebekah Vickers</t>
  </si>
  <si>
    <t>125 kimberly way</t>
  </si>
  <si>
    <t>werner22@embarqmail.com</t>
  </si>
  <si>
    <t>Werner</t>
  </si>
  <si>
    <t>Levi Werner</t>
  </si>
  <si>
    <t>1759 Harrisburg Ave</t>
  </si>
  <si>
    <t>Mount Joy</t>
  </si>
  <si>
    <t>WilliamVickers@tfc.edu</t>
  </si>
  <si>
    <t>William Vickers</t>
  </si>
  <si>
    <t>125 Kimberly way</t>
  </si>
  <si>
    <t>hull</t>
  </si>
  <si>
    <t>clarawiebe@gmail.com</t>
  </si>
  <si>
    <t>Clara Wiebe</t>
  </si>
  <si>
    <t>jcmelgarjr@gmail.com</t>
  </si>
  <si>
    <t>Melgar</t>
  </si>
  <si>
    <t>Juan Melgar</t>
  </si>
  <si>
    <t>5052 Fidler Ave.</t>
  </si>
  <si>
    <t>mary laurance</t>
  </si>
  <si>
    <t>edelehe@yahoo.com</t>
  </si>
  <si>
    <t>estherehe59@gmail.com</t>
  </si>
  <si>
    <t>Ehe</t>
  </si>
  <si>
    <t>Tamara Ehe</t>
  </si>
  <si>
    <t>819 W. Fern Drive</t>
  </si>
  <si>
    <t>Fullerton</t>
  </si>
  <si>
    <t>tamidarfler1@gmail.com</t>
  </si>
  <si>
    <t>Darfler</t>
  </si>
  <si>
    <t>Destiny Darfler</t>
  </si>
  <si>
    <t>3544 S 35 W</t>
  </si>
  <si>
    <t>thomsen@myrootsandwings.org</t>
  </si>
  <si>
    <t>caroline.kate23@gmail.com</t>
  </si>
  <si>
    <t>Nolen</t>
  </si>
  <si>
    <t>Caroline Nolen</t>
  </si>
  <si>
    <t>3400 Bowie St.</t>
  </si>
  <si>
    <t>wontturnback@gmail.com</t>
  </si>
  <si>
    <t>Hannah Maddox</t>
  </si>
  <si>
    <t>8211 SW 60th Ave</t>
  </si>
  <si>
    <t>Bushnell</t>
  </si>
  <si>
    <t>wlw@vigoschools.org</t>
  </si>
  <si>
    <t>brendanpw@juno.com</t>
  </si>
  <si>
    <t>Wilkinson</t>
  </si>
  <si>
    <t>Brendan Wilkinson</t>
  </si>
  <si>
    <t>2198 W. French Dr.</t>
  </si>
  <si>
    <t>amwestwp@gmail.com</t>
  </si>
  <si>
    <t>Ashley West</t>
  </si>
  <si>
    <t>94A Lotus Drive</t>
  </si>
  <si>
    <t>Sylva</t>
  </si>
  <si>
    <t>hannahhalbgewachs32@gmail.com</t>
  </si>
  <si>
    <t>Halbgewachs</t>
  </si>
  <si>
    <t>Hannah Halbgewachs</t>
  </si>
  <si>
    <t>6716 Orphelia Ave. Ne</t>
  </si>
  <si>
    <t>jadedeji@apps.bearspawschool.com</t>
  </si>
  <si>
    <t>Justice</t>
  </si>
  <si>
    <t>Adedeji</t>
  </si>
  <si>
    <t>Justice Adedeji</t>
  </si>
  <si>
    <t>19 Biggar Height Close</t>
  </si>
  <si>
    <t>T3R1H3</t>
  </si>
  <si>
    <t>tennycorbett1@hotmail.com</t>
  </si>
  <si>
    <t>skyler.corbett@hotmail.com</t>
  </si>
  <si>
    <t>Corbett</t>
  </si>
  <si>
    <t>Skyler Corbett</t>
  </si>
  <si>
    <t>385 Monivea Lane</t>
  </si>
  <si>
    <t>spiras8@gmail.com</t>
  </si>
  <si>
    <t>mattaopiras@gmail.com</t>
  </si>
  <si>
    <t>Piras</t>
  </si>
  <si>
    <t>Matthew Piras</t>
  </si>
  <si>
    <t>1631 Turnberry</t>
  </si>
  <si>
    <t>Place</t>
  </si>
  <si>
    <t>Cookeville</t>
  </si>
  <si>
    <t>sixdefords@gmail.com</t>
  </si>
  <si>
    <t>ddeford199@gmail.com</t>
  </si>
  <si>
    <t>DeFord</t>
  </si>
  <si>
    <t>Dan DeFord</t>
  </si>
  <si>
    <t>236 Phelps Rd</t>
  </si>
  <si>
    <t>Honeoye Falls</t>
  </si>
  <si>
    <t>joe.a.knapp@gmail.com</t>
  </si>
  <si>
    <t>Joseph Knapp</t>
  </si>
  <si>
    <t>alex.brown2@centurytel.net</t>
  </si>
  <si>
    <t>angelbrown317@gmail.com</t>
  </si>
  <si>
    <t>Angel-Marie</t>
  </si>
  <si>
    <t>Angel-Marie Brown</t>
  </si>
  <si>
    <t>129 Trotman Circle</t>
  </si>
  <si>
    <t>Ozark</t>
  </si>
  <si>
    <t>Reneehadwinnewell@yahoo.com</t>
  </si>
  <si>
    <t>NoahNewell@gmail.com</t>
  </si>
  <si>
    <t>Newell</t>
  </si>
  <si>
    <t>Noah Newell</t>
  </si>
  <si>
    <t>8720 Ferguson Avenue</t>
  </si>
  <si>
    <t>tloessin@shaw.ca</t>
  </si>
  <si>
    <t>ploessin@shaw.ca</t>
  </si>
  <si>
    <t>Loessin</t>
  </si>
  <si>
    <t>Paige Loessin</t>
  </si>
  <si>
    <t>1916 Riverbend Road</t>
  </si>
  <si>
    <t>N6K 0A2</t>
  </si>
  <si>
    <t>kerseydj@msn.com</t>
  </si>
  <si>
    <t>kerseyjs@hotmail.com</t>
  </si>
  <si>
    <t>Kersey</t>
  </si>
  <si>
    <t>Jacob Kersey</t>
  </si>
  <si>
    <t>11975 Eagle Lane</t>
  </si>
  <si>
    <t>nallely.lopez@biola.edu</t>
  </si>
  <si>
    <t>jc07drummer@yahoo.com</t>
  </si>
  <si>
    <t>Julio</t>
  </si>
  <si>
    <t>De Paz</t>
  </si>
  <si>
    <t>Julio De Paz</t>
  </si>
  <si>
    <t>815 Freeman Ave</t>
  </si>
  <si>
    <t>guerra_ezra@yahoo.com</t>
  </si>
  <si>
    <t>Ezra Guerra</t>
  </si>
  <si>
    <t>8016 Portsmouth Dr.</t>
  </si>
  <si>
    <t>Spring Branch</t>
  </si>
  <si>
    <t>bnoland23@gmail.com</t>
  </si>
  <si>
    <t>Noland</t>
  </si>
  <si>
    <t>Brandon Noland</t>
  </si>
  <si>
    <t>1301 Rockdale Lane</t>
  </si>
  <si>
    <t>bloombunch@gmail.com</t>
  </si>
  <si>
    <t>globemaster@outlook.com</t>
  </si>
  <si>
    <t>Joshua Bloom</t>
  </si>
  <si>
    <t>115 The Bend Drive</t>
  </si>
  <si>
    <t>lilbrijon@frontier.com</t>
  </si>
  <si>
    <t>hetfield.dillon@gmail.com</t>
  </si>
  <si>
    <t>Hetfield</t>
  </si>
  <si>
    <t>Dillon Hetfield</t>
  </si>
  <si>
    <t>6648 Crooked Rd.</t>
  </si>
  <si>
    <t>Hartford</t>
  </si>
  <si>
    <t>kim_lasko@hotmail.com</t>
  </si>
  <si>
    <t>melasko@liberty.edu</t>
  </si>
  <si>
    <t>Lasko</t>
  </si>
  <si>
    <t>Mia Lasko</t>
  </si>
  <si>
    <t>106 Millbrook Terrace</t>
  </si>
  <si>
    <t>Julie Myers</t>
  </si>
  <si>
    <t>1321 Fairfax S.</t>
  </si>
  <si>
    <t>vinylkid100@gmail.com</t>
  </si>
  <si>
    <t>Michael Tarcza</t>
  </si>
  <si>
    <t>2305 Choto Road</t>
  </si>
  <si>
    <t>neilandcheryl@gmail.com</t>
  </si>
  <si>
    <t>jmseneix@gmail.com</t>
  </si>
  <si>
    <t>Eneix</t>
  </si>
  <si>
    <t>James Eneix</t>
  </si>
  <si>
    <t>14233 26 th  Dr.N.E.</t>
  </si>
  <si>
    <t>Susankov@hotmail.com</t>
  </si>
  <si>
    <t>elena.o.v@hotmail.com</t>
  </si>
  <si>
    <t>Ortiz-Villajos</t>
  </si>
  <si>
    <t>Elena Ortiz-Villajos</t>
  </si>
  <si>
    <t>930 Riverhaven Drive</t>
  </si>
  <si>
    <t>Suwanee</t>
  </si>
  <si>
    <t>jamesehitt@dslextreme.com</t>
  </si>
  <si>
    <t>gabrielxjohn@aol.com</t>
  </si>
  <si>
    <t>Wickline</t>
  </si>
  <si>
    <t>Gabriel Wickline</t>
  </si>
  <si>
    <t>3520 South Kirk Street</t>
  </si>
  <si>
    <t>paytonkneier@gmail.com</t>
  </si>
  <si>
    <t>Kneier</t>
  </si>
  <si>
    <t>Payton Kneier</t>
  </si>
  <si>
    <t>4001 Audubon Dr.</t>
  </si>
  <si>
    <t>rsevilla4@gmail.com</t>
  </si>
  <si>
    <t>sevmj-18@rhodes.edu</t>
  </si>
  <si>
    <t>Sevilla</t>
  </si>
  <si>
    <t>Melanie Sevilla</t>
  </si>
  <si>
    <t>3067 Stonecrest Circle</t>
  </si>
  <si>
    <t>miriam.archila@yahoo.com</t>
  </si>
  <si>
    <t>Martir1799@gmail.com</t>
  </si>
  <si>
    <t>Mario</t>
  </si>
  <si>
    <t>Martir</t>
  </si>
  <si>
    <t>Mario Martir</t>
  </si>
  <si>
    <t>5960 Rhodes Ave #1</t>
  </si>
  <si>
    <t>Valley Village</t>
  </si>
  <si>
    <t>mayoralantonio07@gmail.com</t>
  </si>
  <si>
    <t>Mayoral</t>
  </si>
  <si>
    <t>Antonio Mayoral</t>
  </si>
  <si>
    <t>819 Freeman Ave</t>
  </si>
  <si>
    <t>bjmunger@threeriver.net_configioDeactivated</t>
  </si>
  <si>
    <t>ewmunger@gmail.com</t>
  </si>
  <si>
    <t>Munger</t>
  </si>
  <si>
    <t>Ethan Munger</t>
  </si>
  <si>
    <t>90374 439th Ave.</t>
  </si>
  <si>
    <t>Springview</t>
  </si>
  <si>
    <t>ltomlins@cisco.com</t>
  </si>
  <si>
    <t>jmtom99@gmai.com</t>
  </si>
  <si>
    <t>Jonathan Tomlinson</t>
  </si>
  <si>
    <t>8652 Kunker Rd.</t>
  </si>
  <si>
    <t>joksan7@gmail.com</t>
  </si>
  <si>
    <t>nalcala1@gmail.com</t>
  </si>
  <si>
    <t>Nikole</t>
  </si>
  <si>
    <t>Alcala</t>
  </si>
  <si>
    <t>Nikole Alcala</t>
  </si>
  <si>
    <t>1877 Morgan Ave</t>
  </si>
  <si>
    <t>Claremont</t>
  </si>
  <si>
    <t>momfinch@hotmail.com</t>
  </si>
  <si>
    <t>littlefinch@live.com</t>
  </si>
  <si>
    <t>Finch</t>
  </si>
  <si>
    <t>Peyton Finch</t>
  </si>
  <si>
    <t>9984 Steppin High Lane</t>
  </si>
  <si>
    <t>Missoula</t>
  </si>
  <si>
    <t>manueljacob13@yahoo.com</t>
  </si>
  <si>
    <t>Jacob Dublin</t>
  </si>
  <si>
    <t>171 Henry Smith Lane</t>
  </si>
  <si>
    <t>Copperhill</t>
  </si>
  <si>
    <t>kgb@uwmail.com</t>
  </si>
  <si>
    <t>mrb@uwmail.com</t>
  </si>
  <si>
    <t>Micah Brownlee</t>
  </si>
  <si>
    <t>271 Duke Trail</t>
  </si>
  <si>
    <t>renee.brz@gmail.com</t>
  </si>
  <si>
    <t>huntinjb@gmail.com</t>
  </si>
  <si>
    <t>Brzozowski</t>
  </si>
  <si>
    <t>Jacob Brzozowski</t>
  </si>
  <si>
    <t>169 Tejas Ct</t>
  </si>
  <si>
    <t>emharrod44@gmail.com</t>
  </si>
  <si>
    <t>Harrod</t>
  </si>
  <si>
    <t>Emma Harrod</t>
  </si>
  <si>
    <t>2 Osprey Pt.</t>
  </si>
  <si>
    <t>Johnson City</t>
  </si>
  <si>
    <t>rachelduke808@gmail.com</t>
  </si>
  <si>
    <t>adukerox@gmail.com</t>
  </si>
  <si>
    <t>Adam Duke</t>
  </si>
  <si>
    <t>jterry6898@gmail.com</t>
  </si>
  <si>
    <t>ateam0798@gmail.com</t>
  </si>
  <si>
    <t>Yawn</t>
  </si>
  <si>
    <t>Audrey Yawn</t>
  </si>
  <si>
    <t>251 Hammer Lane</t>
  </si>
  <si>
    <t>Sylvia.Snodgrass@austin.rr.com</t>
  </si>
  <si>
    <t>StephenSnodgrass10@gmail.com</t>
  </si>
  <si>
    <t>Stephen Snodgrass</t>
  </si>
  <si>
    <t>8409 Cambria Dr</t>
  </si>
  <si>
    <t>brownfamily8@gmail.com</t>
  </si>
  <si>
    <t>18sarshlr@gmail.com</t>
  </si>
  <si>
    <t>Sarah Brown</t>
  </si>
  <si>
    <t>150 Richardson Road</t>
  </si>
  <si>
    <t>Collinsville</t>
  </si>
  <si>
    <t>agbwoodnstream@gmail.com</t>
  </si>
  <si>
    <t>Anna Brown</t>
  </si>
  <si>
    <t>djclements1005@gmail.com</t>
  </si>
  <si>
    <t>Clements</t>
  </si>
  <si>
    <t>David Clements</t>
  </si>
  <si>
    <t>1505 Sunset Dr</t>
  </si>
  <si>
    <t>jaryck21@gmail.com</t>
  </si>
  <si>
    <t>Jacob Ryckman</t>
  </si>
  <si>
    <t>540 Middle Fork Rd.</t>
  </si>
  <si>
    <t>adkersonhouse@gmail.com</t>
  </si>
  <si>
    <t>artisticabbie@me.com</t>
  </si>
  <si>
    <t>Adkerson</t>
  </si>
  <si>
    <t>Abbie Adkerson</t>
  </si>
  <si>
    <t>8500 McCrory Lane</t>
  </si>
  <si>
    <t>notahater22@gmail.com</t>
  </si>
  <si>
    <t>Zacarey</t>
  </si>
  <si>
    <t>Zacarey Adkerson</t>
  </si>
  <si>
    <t>8442 McCrory Lane</t>
  </si>
  <si>
    <t>joy.bissonnette@cadence.org</t>
  </si>
  <si>
    <t>hbiz728@gmail.com</t>
  </si>
  <si>
    <t>Bissonnette</t>
  </si>
  <si>
    <t>Hannah Bissonnette</t>
  </si>
  <si>
    <t>PSC 9</t>
  </si>
  <si>
    <t>Box 2222</t>
  </si>
  <si>
    <t>AE</t>
  </si>
  <si>
    <t>Germany</t>
  </si>
  <si>
    <t>charlalentz@cox.net</t>
  </si>
  <si>
    <t>Hallelentz27@gmail.com</t>
  </si>
  <si>
    <t>Halle Lentz</t>
  </si>
  <si>
    <t>2032 E Mariposa Grande</t>
  </si>
  <si>
    <t>Phx</t>
  </si>
  <si>
    <t>cherylkolesar@yahoo.com</t>
  </si>
  <si>
    <t>Kolesar</t>
  </si>
  <si>
    <t>Michael Kolesar</t>
  </si>
  <si>
    <t>portiapratt@aol.com</t>
  </si>
  <si>
    <t>shelbypratt1111@gmail.com</t>
  </si>
  <si>
    <t>Shelby Pratt</t>
  </si>
  <si>
    <t>19300 Mabel Court</t>
  </si>
  <si>
    <t>Culpeper</t>
  </si>
  <si>
    <t>markggranholm@gmail.com</t>
  </si>
  <si>
    <t>Granholm</t>
  </si>
  <si>
    <t>Mark Granholm</t>
  </si>
  <si>
    <t>1140 Massey St.</t>
  </si>
  <si>
    <t>schwarzfamily94@gmail.com</t>
  </si>
  <si>
    <t>annabeljoy416@gmail.com</t>
  </si>
  <si>
    <t>Annabel</t>
  </si>
  <si>
    <t>Annabel Schwarz</t>
  </si>
  <si>
    <t>2527 S Dillon St</t>
  </si>
  <si>
    <t>sosophiazoe@gmail.com</t>
  </si>
  <si>
    <t>Sophia Schwarz</t>
  </si>
  <si>
    <t>kbkraemer@hotmail.com</t>
  </si>
  <si>
    <t>tommy_kraemer@hotmail.com</t>
  </si>
  <si>
    <t>Kraemer</t>
  </si>
  <si>
    <t>Thomas Kraemer</t>
  </si>
  <si>
    <t>412 9th St. N.</t>
  </si>
  <si>
    <t>PO Box 531</t>
  </si>
  <si>
    <t>reitsma@solcon.nl</t>
  </si>
  <si>
    <t>paul_mattias@hotmail.com</t>
  </si>
  <si>
    <t>Paul-Mattias</t>
  </si>
  <si>
    <t>Reitsma</t>
  </si>
  <si>
    <t>Paul-Mattias Reitsma</t>
  </si>
  <si>
    <t>Lijsterlaan 71</t>
  </si>
  <si>
    <t>Ermelo</t>
  </si>
  <si>
    <t>ssblonde96@gmail.com</t>
  </si>
  <si>
    <t>ssblonde@gmail.com</t>
  </si>
  <si>
    <t>Sarah Schneider</t>
  </si>
  <si>
    <t>9711 East Jagged Peak Rd</t>
  </si>
  <si>
    <t>mamahilton@gmail.com</t>
  </si>
  <si>
    <t>thehiltongirls5@gmail.com</t>
  </si>
  <si>
    <t>Anna Grace</t>
  </si>
  <si>
    <t>Hilton</t>
  </si>
  <si>
    <t>Anna Grace Hilton</t>
  </si>
  <si>
    <t>5324 Hunts Drive</t>
  </si>
  <si>
    <t>marianas72@hotmail.com</t>
  </si>
  <si>
    <t>Eddieisboss@yahoo.com</t>
  </si>
  <si>
    <t>Eddie</t>
  </si>
  <si>
    <t>Subbotin</t>
  </si>
  <si>
    <t>Eddie Subbotin</t>
  </si>
  <si>
    <t>208 st Basil ct</t>
  </si>
  <si>
    <t>susyisblessed@gmail.com</t>
  </si>
  <si>
    <t>bethany@thewilliscrew.org</t>
  </si>
  <si>
    <t>Bethany Willis</t>
  </si>
  <si>
    <t>2505 Limerick Drive</t>
  </si>
  <si>
    <t>renninger.morgan.cca@gmail.com</t>
  </si>
  <si>
    <t>Renninger</t>
  </si>
  <si>
    <t>Morgan Renninger</t>
  </si>
  <si>
    <t>424 Golden oaks Dr.</t>
  </si>
  <si>
    <t>nick.turner@hopechapel.org</t>
  </si>
  <si>
    <t>cazconnect@aol.com</t>
  </si>
  <si>
    <t>Bry</t>
  </si>
  <si>
    <t>Montijo</t>
  </si>
  <si>
    <t>Bry Montijo</t>
  </si>
  <si>
    <t>605 S. Irena Ave.</t>
  </si>
  <si>
    <t>Redondo Beach</t>
  </si>
  <si>
    <t>fivestonekings@bellsouth.net</t>
  </si>
  <si>
    <t>Stoneking</t>
  </si>
  <si>
    <t>Bradley Stoneking</t>
  </si>
  <si>
    <t>5943 Ticer Drive</t>
  </si>
  <si>
    <t>david@pioneerdesign.net</t>
  </si>
  <si>
    <t>tori@guyscorner.us</t>
  </si>
  <si>
    <t>Guy</t>
  </si>
  <si>
    <t>Victoria Guy</t>
  </si>
  <si>
    <t>3823 Old Bonner Rd</t>
  </si>
  <si>
    <t>anthonylabarca@gmail.com</t>
  </si>
  <si>
    <t>LaBarca</t>
  </si>
  <si>
    <t>Anthony LaBarca</t>
  </si>
  <si>
    <t>1578 Rochester Street</t>
  </si>
  <si>
    <t>benjudah0708@gmail.com</t>
  </si>
  <si>
    <t>noahputrich@gmail.com</t>
  </si>
  <si>
    <t>Putrich</t>
  </si>
  <si>
    <t>Noah Putrich</t>
  </si>
  <si>
    <t>10184 Luman Lane</t>
  </si>
  <si>
    <t>Twinsburg</t>
  </si>
  <si>
    <t>josiahputrich@gmail.com</t>
  </si>
  <si>
    <t>Josiah Putrich</t>
  </si>
  <si>
    <t>seemiahrun@gmail.com</t>
  </si>
  <si>
    <t>ttl.christ@gmail.com</t>
  </si>
  <si>
    <t>Theresa</t>
  </si>
  <si>
    <t>Lemke</t>
  </si>
  <si>
    <t>Theresa Lemke</t>
  </si>
  <si>
    <t>657 N. Forrest Ave.</t>
  </si>
  <si>
    <t>Norristown</t>
  </si>
  <si>
    <t>my9kidsdad@yahoo.com</t>
  </si>
  <si>
    <t>thomasblack175@yahoo.com</t>
  </si>
  <si>
    <t>Timothy Wahl</t>
  </si>
  <si>
    <t>2098 Jefferson Hwy</t>
  </si>
  <si>
    <t>Lutcher</t>
  </si>
  <si>
    <t>nchristwestand@gmail.com</t>
  </si>
  <si>
    <t>Allyson Buchanan</t>
  </si>
  <si>
    <t>134 Lone Hill Ct</t>
  </si>
  <si>
    <t>laura@creditdusters.com</t>
  </si>
  <si>
    <t>emmypaigerox8@gmail.com</t>
  </si>
  <si>
    <t>Emily Sullivan</t>
  </si>
  <si>
    <t>3507 Carolmet Dr</t>
  </si>
  <si>
    <t>Jeffersonville</t>
  </si>
  <si>
    <t>s13609@yahoo.com</t>
  </si>
  <si>
    <t>abladesu3@gmail.com</t>
  </si>
  <si>
    <t>Abigail Sutton</t>
  </si>
  <si>
    <t>2093 Stone Pointe Dr NW</t>
  </si>
  <si>
    <t>Rebecca Wahl</t>
  </si>
  <si>
    <t>olivia@cctri.org</t>
  </si>
  <si>
    <t>Olivia Hancock</t>
  </si>
  <si>
    <t>251 Dulaney Rd</t>
  </si>
  <si>
    <t>lesleighb10@gmail.com</t>
  </si>
  <si>
    <t>Lesleigh</t>
  </si>
  <si>
    <t>Blackburn</t>
  </si>
  <si>
    <t>Lesleigh Blackburn</t>
  </si>
  <si>
    <t>100 Smithfield Dr.</t>
  </si>
  <si>
    <t>Shelbyville</t>
  </si>
  <si>
    <t>bonnierom@gmail.com</t>
  </si>
  <si>
    <t>gracerom42@gmail.com</t>
  </si>
  <si>
    <t>Grace Rom</t>
  </si>
  <si>
    <t>28730 Mickle St.</t>
  </si>
  <si>
    <t>PO Box 87</t>
  </si>
  <si>
    <t>Gotham</t>
  </si>
  <si>
    <t>zachmckenzie308@gmail.com</t>
  </si>
  <si>
    <t>Zachary McKenzie</t>
  </si>
  <si>
    <t>8908 Honey Run Rd.</t>
  </si>
  <si>
    <t>karin@karinederer.com</t>
  </si>
  <si>
    <t>edjamin5@gmail.com</t>
  </si>
  <si>
    <t>Ederer</t>
  </si>
  <si>
    <t>Joseph Ederer</t>
  </si>
  <si>
    <t>13954 Guadalcanal St NE</t>
  </si>
  <si>
    <t>Ham Lake</t>
  </si>
  <si>
    <t>galliano22@comcast.net</t>
  </si>
  <si>
    <t>lilgal1297@gmail.com</t>
  </si>
  <si>
    <t>Galliano</t>
  </si>
  <si>
    <t>Haley Galliano</t>
  </si>
  <si>
    <t>862 Webster Drive</t>
  </si>
  <si>
    <t>State College</t>
  </si>
  <si>
    <t>patrox1@msn.com</t>
  </si>
  <si>
    <t>tomlegojedi@gmail.com</t>
  </si>
  <si>
    <t>Thomas Matthews</t>
  </si>
  <si>
    <t>1540 Woodrose Ct</t>
  </si>
  <si>
    <t>zachmcpherson33@gmail.com</t>
  </si>
  <si>
    <t>Zach.mcpherson33@gmail.com</t>
  </si>
  <si>
    <t>McPherson</t>
  </si>
  <si>
    <t>Zach McPherson</t>
  </si>
  <si>
    <t>3851 Walden Way</t>
  </si>
  <si>
    <t>jewles21273@yahoo.com</t>
  </si>
  <si>
    <t>grant@digitalwayservices.com</t>
  </si>
  <si>
    <t>Murry</t>
  </si>
  <si>
    <t>Grant Murry</t>
  </si>
  <si>
    <t>490 Private Road 3558</t>
  </si>
  <si>
    <t>eleanoursk@gmail.com</t>
  </si>
  <si>
    <t>joy.lightwind@gmail.com</t>
  </si>
  <si>
    <t>Jiamei</t>
  </si>
  <si>
    <t>Shang</t>
  </si>
  <si>
    <t>Jiamei Shang</t>
  </si>
  <si>
    <t>PO Box 732124</t>
  </si>
  <si>
    <t>tamarabateson@yahoo.com</t>
  </si>
  <si>
    <t>taylorabateson@gmail.com</t>
  </si>
  <si>
    <t>Bateson</t>
  </si>
  <si>
    <t>Taylor Bateson</t>
  </si>
  <si>
    <t>606 Alamo Pintado Rd #178</t>
  </si>
  <si>
    <t>Ste 3</t>
  </si>
  <si>
    <t>Solvang</t>
  </si>
  <si>
    <t>christiallen@outlook.com</t>
  </si>
  <si>
    <t>trallen6@outlook.com</t>
  </si>
  <si>
    <t>Travis Allen</t>
  </si>
  <si>
    <t>201 E Mulberry</t>
  </si>
  <si>
    <t>jimpitts59@gmail.com</t>
  </si>
  <si>
    <t>danielpitts00@gmail.com</t>
  </si>
  <si>
    <t>Daniel Pitts</t>
  </si>
  <si>
    <t>1801 P. R. 3340</t>
  </si>
  <si>
    <t>mscully10@gmail.com</t>
  </si>
  <si>
    <t>Ascully4@emich.edu</t>
  </si>
  <si>
    <t>Andrew Scully</t>
  </si>
  <si>
    <t>DylanDD2016@gmail.com</t>
  </si>
  <si>
    <t>DePanfilis</t>
  </si>
  <si>
    <t>Dylan DePanfilis</t>
  </si>
  <si>
    <t>2620 Falcon Drive</t>
  </si>
  <si>
    <t>megan@crbproductions.ca</t>
  </si>
  <si>
    <t>Megan Buss</t>
  </si>
  <si>
    <t>120 Waterside Court</t>
  </si>
  <si>
    <t>T3L 0C9</t>
  </si>
  <si>
    <t>joshuaplat10@gmail.com</t>
  </si>
  <si>
    <t>Joshuaplat10@gmail.com</t>
  </si>
  <si>
    <t>Platillero</t>
  </si>
  <si>
    <t>Joshua Platillero</t>
  </si>
  <si>
    <t>foutz05@gmail.com</t>
  </si>
  <si>
    <t>jacobfoutz@gmail.com</t>
  </si>
  <si>
    <t>Foutz</t>
  </si>
  <si>
    <t>Jacob Foutz</t>
  </si>
  <si>
    <t>2386 Chatata Valley Rd NE</t>
  </si>
  <si>
    <t>Maddi</t>
  </si>
  <si>
    <t>Maddi Sharp</t>
  </si>
  <si>
    <t>10837 Windermere Blve</t>
  </si>
  <si>
    <t>melissa_dubs@yahoo.com</t>
  </si>
  <si>
    <t>Nathanael Dubs</t>
  </si>
  <si>
    <t>5120 Washington Rd</t>
  </si>
  <si>
    <t>hannah.m.rodgers@hsutx.edu</t>
  </si>
  <si>
    <t>rodgers</t>
  </si>
  <si>
    <t>Hannah rodgers</t>
  </si>
  <si>
    <t>8913 Maagnolia Vale Dr</t>
  </si>
  <si>
    <t>lairdmarg@gmail.com</t>
  </si>
  <si>
    <t>huntilla_the_hun@yahoo.com</t>
  </si>
  <si>
    <t>Jordan Laird</t>
  </si>
  <si>
    <t>14901 Amber Leaf Ct</t>
  </si>
  <si>
    <t>nanda_ash@Ymail.com</t>
  </si>
  <si>
    <t>nanda_ash@ymail.com</t>
  </si>
  <si>
    <t>Nanda</t>
  </si>
  <si>
    <t>Nathan Nanda</t>
  </si>
  <si>
    <t>511 N. Wisconsin St.</t>
  </si>
  <si>
    <t>lynnefausset@tds.net</t>
  </si>
  <si>
    <t>faussetfam4@tds.net</t>
  </si>
  <si>
    <t>Fausset</t>
  </si>
  <si>
    <t>Tristan Fausset</t>
  </si>
  <si>
    <t>5300 North Creek Drive</t>
  </si>
  <si>
    <t>hmwksfn2do@aol.com</t>
  </si>
  <si>
    <t>breazymchase707@gmail.com</t>
  </si>
  <si>
    <t>Breanna Chase</t>
  </si>
  <si>
    <t>6047 W. Progress Avenue</t>
  </si>
  <si>
    <t>toribioz1975@gmail.com</t>
  </si>
  <si>
    <t>Anzamora29@gmail.com</t>
  </si>
  <si>
    <t>Zamora</t>
  </si>
  <si>
    <t>Amanda Zamora</t>
  </si>
  <si>
    <t>2217 3rd st</t>
  </si>
  <si>
    <t>jonathanmcclurg98@gmail.com</t>
  </si>
  <si>
    <t>McClurg</t>
  </si>
  <si>
    <t>Jonathan McClurg</t>
  </si>
  <si>
    <t>213 NW Woodbine Ave</t>
  </si>
  <si>
    <t>Lee's Summit</t>
  </si>
  <si>
    <t>nancykern61@gmail.com</t>
  </si>
  <si>
    <t>daviskern@icloud.com</t>
  </si>
  <si>
    <t>Davis Kern</t>
  </si>
  <si>
    <t>3033 137th Ave NE</t>
  </si>
  <si>
    <t>donthrasher340@gmail.com</t>
  </si>
  <si>
    <t>hlt_97@yahoo.com</t>
  </si>
  <si>
    <t>Thrasher</t>
  </si>
  <si>
    <t>Hunter Thrasher</t>
  </si>
  <si>
    <t>146 Crystal Springs Rd.</t>
  </si>
  <si>
    <t>Kelso</t>
  </si>
  <si>
    <t>hancox1sisof4@gmail.com</t>
  </si>
  <si>
    <t>Hannah Cox</t>
  </si>
  <si>
    <t>12532 S. Birch Ave.</t>
  </si>
  <si>
    <t>benton.rain.ashley@gmail.com</t>
  </si>
  <si>
    <t>Benton.rain.ashley@gmail.com</t>
  </si>
  <si>
    <t>Ashley Benton</t>
  </si>
  <si>
    <t>3853 Randolph St.</t>
  </si>
  <si>
    <t>Michelle@as.net</t>
  </si>
  <si>
    <t>JoshPosh@as.net</t>
  </si>
  <si>
    <t>Joshua Potter</t>
  </si>
  <si>
    <t>14627 Calpella St.</t>
  </si>
  <si>
    <t>elim@morristribe.com</t>
  </si>
  <si>
    <t>eli</t>
  </si>
  <si>
    <t>morris</t>
  </si>
  <si>
    <t>eli morris</t>
  </si>
  <si>
    <t>8689 chisum rd.</t>
  </si>
  <si>
    <t>sanger</t>
  </si>
  <si>
    <t>springjstr@gmail.com</t>
  </si>
  <si>
    <t>rjester96@gmail.com</t>
  </si>
  <si>
    <t>Jester</t>
  </si>
  <si>
    <t>Rebecca Jester</t>
  </si>
  <si>
    <t>111 Woodland Dr.</t>
  </si>
  <si>
    <t>roberta.mast@gmail.com</t>
  </si>
  <si>
    <t>Jdmast6@gmail.com</t>
  </si>
  <si>
    <t>Mast</t>
  </si>
  <si>
    <t>Jesse Mast</t>
  </si>
  <si>
    <t>105 Sailview Dr.</t>
  </si>
  <si>
    <t>jordanschroeder66@gmail.com</t>
  </si>
  <si>
    <t>Jordan Schroeder</t>
  </si>
  <si>
    <t>131 Justice Street</t>
  </si>
  <si>
    <t>barton.stone@gmail.com</t>
  </si>
  <si>
    <t>bond91988@hotmail.com</t>
  </si>
  <si>
    <t>Jonathan Stone</t>
  </si>
  <si>
    <t>248 Heritage Hills</t>
  </si>
  <si>
    <t>Greeneville</t>
  </si>
  <si>
    <t>griggtd@verizon.net</t>
  </si>
  <si>
    <t>ms.beccaross@gmail.com</t>
  </si>
  <si>
    <t>ms.beccaross1964@gmail.com</t>
  </si>
  <si>
    <t>Rebecca Ross</t>
  </si>
  <si>
    <t>2025 Elk Spring Drive</t>
  </si>
  <si>
    <t>andrewabbott@aol.com</t>
  </si>
  <si>
    <t>Andrew Abbott</t>
  </si>
  <si>
    <t>514 Country Club Dr.</t>
  </si>
  <si>
    <t>andrea.l.williamson@outlook.com</t>
  </si>
  <si>
    <t>Andrea Williamson</t>
  </si>
  <si>
    <t>3280 Nanceford Road SW</t>
  </si>
  <si>
    <t>Hartselle</t>
  </si>
  <si>
    <t>richandmissy4@icloud.com</t>
  </si>
  <si>
    <t>Caleb Kirkpatrick</t>
  </si>
  <si>
    <t>266 University Drive</t>
  </si>
  <si>
    <t>kkatycall@gmail.com</t>
  </si>
  <si>
    <t>Katherine Callender</t>
  </si>
  <si>
    <t>rebelhero3@gmail.com</t>
  </si>
  <si>
    <t>Riggs</t>
  </si>
  <si>
    <t>Anthony Riggs</t>
  </si>
  <si>
    <t>410 Britton Lane</t>
  </si>
  <si>
    <t>leighhaz@gmail.com</t>
  </si>
  <si>
    <t>colehazen@gmail.com</t>
  </si>
  <si>
    <t>Hazen</t>
  </si>
  <si>
    <t>Cole Hazen</t>
  </si>
  <si>
    <t>24 Lummi key</t>
  </si>
  <si>
    <t>torres6mtb@aol.com</t>
  </si>
  <si>
    <t>mirandatorres.la@gmail.com</t>
  </si>
  <si>
    <t>Miranda Torres</t>
  </si>
  <si>
    <t>1704 W. Cleveland Ave.</t>
  </si>
  <si>
    <t>Montebello</t>
  </si>
  <si>
    <t>dsolet@alum.dartmouth.org</t>
  </si>
  <si>
    <t>jpsolet@yahoo.com</t>
  </si>
  <si>
    <t>Solet</t>
  </si>
  <si>
    <t>Joshua Solet</t>
  </si>
  <si>
    <t>135 St. George Rd.</t>
  </si>
  <si>
    <t>Schriever</t>
  </si>
  <si>
    <t>mooredenture@gmail.com</t>
  </si>
  <si>
    <t>carlynfmoore@gmail.com</t>
  </si>
  <si>
    <t>Carlyn</t>
  </si>
  <si>
    <t>Carlyn Moore</t>
  </si>
  <si>
    <t>6618 Silver Ridge Rd., N.W.</t>
  </si>
  <si>
    <t>T3B 4X3</t>
  </si>
  <si>
    <t>Andrewgreen2015@fau.edu</t>
  </si>
  <si>
    <t>Greenrun@bellsouth.net</t>
  </si>
  <si>
    <t>Andrew Green</t>
  </si>
  <si>
    <t>2583 NW Timbercreek cir.</t>
  </si>
  <si>
    <t>jesus.lover311@gmail.com</t>
  </si>
  <si>
    <t>tjpaulson99@gmail.com</t>
  </si>
  <si>
    <t>Tucker Paulson</t>
  </si>
  <si>
    <t>9801 Highway 52 S</t>
  </si>
  <si>
    <t>bjbowenfamily@gmail.com</t>
  </si>
  <si>
    <t>briannajb98@gmail.com</t>
  </si>
  <si>
    <t>Brianna Bowen</t>
  </si>
  <si>
    <t>12795 White Creek Ave.</t>
  </si>
  <si>
    <t>Cedar Springs</t>
  </si>
  <si>
    <t>andrewteubl@gmail.com</t>
  </si>
  <si>
    <t>Teubl</t>
  </si>
  <si>
    <t>Andrew Teubl</t>
  </si>
  <si>
    <t>92 Nevis Rd</t>
  </si>
  <si>
    <t>Tivoli</t>
  </si>
  <si>
    <t>evin.westeren@myself.com</t>
  </si>
  <si>
    <t>Morgan.westeren@gmail.com</t>
  </si>
  <si>
    <t>Westeren</t>
  </si>
  <si>
    <t>Morgan Westeren</t>
  </si>
  <si>
    <t>7953 Miami Beach Road NW</t>
  </si>
  <si>
    <t>Valari</t>
  </si>
  <si>
    <t>Valari Westeren</t>
  </si>
  <si>
    <t>susieg@alum.mit.edu</t>
  </si>
  <si>
    <t>neildafish@gmail.com</t>
  </si>
  <si>
    <t>Neil Smith</t>
  </si>
  <si>
    <t>43441 Laidlow St</t>
  </si>
  <si>
    <t>South Riding</t>
  </si>
  <si>
    <t>shalenedjohnson@gmail.com</t>
  </si>
  <si>
    <t>maciehighjohnson@gmail.com</t>
  </si>
  <si>
    <t>Macie Johnson</t>
  </si>
  <si>
    <t>Collinville</t>
  </si>
  <si>
    <t>scottm@irvineaccessfloors.com</t>
  </si>
  <si>
    <t>Braden Miller</t>
  </si>
  <si>
    <t>159 Linwood Lane</t>
  </si>
  <si>
    <t>deephaven6@msn.com</t>
  </si>
  <si>
    <t>Wtc012@gmail.com</t>
  </si>
  <si>
    <t>Walker Clark</t>
  </si>
  <si>
    <t>442 Lafayette Ave</t>
  </si>
  <si>
    <t>Excelsior</t>
  </si>
  <si>
    <t>noahcclark@gmail.com</t>
  </si>
  <si>
    <t>Noah Clark</t>
  </si>
  <si>
    <t>sgirljohnson@gmail.com</t>
  </si>
  <si>
    <t>Sarah Johnson</t>
  </si>
  <si>
    <t>1023 CR 286</t>
  </si>
  <si>
    <t>zieg321@reagan.com</t>
  </si>
  <si>
    <t>pandazieg@gmail.com</t>
  </si>
  <si>
    <t>Zieg</t>
  </si>
  <si>
    <t>Allison Zieg</t>
  </si>
  <si>
    <t>16965 I St</t>
  </si>
  <si>
    <t>scott.c.lane@jci.com</t>
  </si>
  <si>
    <t>alyssalane11@gmail.com</t>
  </si>
  <si>
    <t>Alyssa Lane</t>
  </si>
  <si>
    <t>11809 S 224th Street</t>
  </si>
  <si>
    <t>Gretna</t>
  </si>
  <si>
    <t>jensencate.jr@gmail.com</t>
  </si>
  <si>
    <t>Jensen Robitaille</t>
  </si>
  <si>
    <t>addisonboully@yahoo.com</t>
  </si>
  <si>
    <t>Boully</t>
  </si>
  <si>
    <t>Addison Boully</t>
  </si>
  <si>
    <t>6021 Rolling Vista Loop</t>
  </si>
  <si>
    <t>cjajrandall@hotmail.com</t>
  </si>
  <si>
    <t>AJ.randall18@yahoo.com</t>
  </si>
  <si>
    <t>Aaron Randall</t>
  </si>
  <si>
    <t>120 Ash Brooke Lane</t>
  </si>
  <si>
    <t>mund.beth@gmail.com</t>
  </si>
  <si>
    <t>mund.aubrey@gmail.com</t>
  </si>
  <si>
    <t>Mund</t>
  </si>
  <si>
    <t>Andrew Mund</t>
  </si>
  <si>
    <t>16194 County Road 9</t>
  </si>
  <si>
    <t>Summerdale</t>
  </si>
  <si>
    <t>dlmarkt@ofmlive.net</t>
  </si>
  <si>
    <t>nathanaelmarkt@gmail.com</t>
  </si>
  <si>
    <t>Markt</t>
  </si>
  <si>
    <t>Nathanael Markt</t>
  </si>
  <si>
    <t>25644 Hwy 59</t>
  </si>
  <si>
    <t>susan.pol@centurylink.net</t>
  </si>
  <si>
    <t>emma.pol@centurylink.net</t>
  </si>
  <si>
    <t>Pol</t>
  </si>
  <si>
    <t>Emma Pol</t>
  </si>
  <si>
    <t>11458 W. 105th. Way</t>
  </si>
  <si>
    <t>sebylsma96@gmail.com</t>
  </si>
  <si>
    <t>sab34922@bethel.edu</t>
  </si>
  <si>
    <t>Bylsma</t>
  </si>
  <si>
    <t>Sarah Bylsma</t>
  </si>
  <si>
    <t>6921 Kitlisa Dr</t>
  </si>
  <si>
    <t>carey.northington@gmail.com</t>
  </si>
  <si>
    <t>hannah.northington@gmail.com</t>
  </si>
  <si>
    <t>Northington</t>
  </si>
  <si>
    <t>Hannah Northington</t>
  </si>
  <si>
    <t>2928 W Barnhill Pl</t>
  </si>
  <si>
    <t>gracie.northington@gmail.com</t>
  </si>
  <si>
    <t>Gracie Northington</t>
  </si>
  <si>
    <t>ricgraves@aol.com</t>
  </si>
  <si>
    <t>ethangraves13@gmail.com</t>
  </si>
  <si>
    <t>Ethan Graves</t>
  </si>
  <si>
    <t>theporchlife@gmail.com</t>
  </si>
  <si>
    <t>newpaths356@gmail.com</t>
  </si>
  <si>
    <t>Bauman</t>
  </si>
  <si>
    <t>Nolan Bauman</t>
  </si>
  <si>
    <t>921 Morton Street</t>
  </si>
  <si>
    <t>Holdrege</t>
  </si>
  <si>
    <t>christian2000linn@icloud.com</t>
  </si>
  <si>
    <t>Christian Linn</t>
  </si>
  <si>
    <t>11601 Cartwright trl</t>
  </si>
  <si>
    <t>iamlovedbygod@icloud.com</t>
  </si>
  <si>
    <t>Chloe Linn</t>
  </si>
  <si>
    <t>a_lynn.daud@yahoo.com</t>
  </si>
  <si>
    <t>Daud</t>
  </si>
  <si>
    <t>Andrea Daud</t>
  </si>
  <si>
    <t>1 Laura Ct.</t>
  </si>
  <si>
    <t>algarrett3@gmail.com</t>
  </si>
  <si>
    <t>anna.c.garrett@sbcglobal.net</t>
  </si>
  <si>
    <t>Anna Garrett</t>
  </si>
  <si>
    <t>3321 Lovers Lane</t>
  </si>
  <si>
    <t>cheriwaite@windstream.net</t>
  </si>
  <si>
    <t>laylamarie651@yahoo.com</t>
  </si>
  <si>
    <t>Layla</t>
  </si>
  <si>
    <t>Waite</t>
  </si>
  <si>
    <t>Layla Waite</t>
  </si>
  <si>
    <t>103 Ranch St</t>
  </si>
  <si>
    <t>Bay Saint Louis</t>
  </si>
  <si>
    <t>elizabethrussell412@gmail.com</t>
  </si>
  <si>
    <t>Elizabeth Russell</t>
  </si>
  <si>
    <t>7308 Greenhaven Dr.</t>
  </si>
  <si>
    <t>f8thful86@outlook.com</t>
  </si>
  <si>
    <t>citycmc10@outlook.com</t>
  </si>
  <si>
    <t>Cardinale</t>
  </si>
  <si>
    <t>Christine Cardinale</t>
  </si>
  <si>
    <t>2367 W228th St.</t>
  </si>
  <si>
    <t>brandyharm@charter.net</t>
  </si>
  <si>
    <t>austinharm@charter.net</t>
  </si>
  <si>
    <t>Harm</t>
  </si>
  <si>
    <t>Austin Harm</t>
  </si>
  <si>
    <t>25865 Gray Stone Drive</t>
  </si>
  <si>
    <t>MUSTANGMARSHALL@NETZERO.COM</t>
  </si>
  <si>
    <t>Christopherwhite4157@gmail.com</t>
  </si>
  <si>
    <t>Christopher White</t>
  </si>
  <si>
    <t>3234Brakebillcv</t>
  </si>
  <si>
    <t>hardisonlodge@gmail.com</t>
  </si>
  <si>
    <t>hhardison16@gmail.com</t>
  </si>
  <si>
    <t>Hardison</t>
  </si>
  <si>
    <t>Hannah Hardison</t>
  </si>
  <si>
    <t>1409 Wellington Dr.</t>
  </si>
  <si>
    <t>becky@ryanmoe.com</t>
  </si>
  <si>
    <t>lindsay@ryanmoe.com</t>
  </si>
  <si>
    <t>Moe</t>
  </si>
  <si>
    <t>Lindsay Moe</t>
  </si>
  <si>
    <t>2 Clearbrook Pass</t>
  </si>
  <si>
    <t>Crystal Moe</t>
  </si>
  <si>
    <t>4334 Jennifer  ct</t>
  </si>
  <si>
    <t>jkwill@windstream.net</t>
  </si>
  <si>
    <t>macec7@gmail.com</t>
  </si>
  <si>
    <t>Macey</t>
  </si>
  <si>
    <t>Macey Williams</t>
  </si>
  <si>
    <t>tracierogers01@gmail.com</t>
  </si>
  <si>
    <t>savannahrogers818@gmail.com</t>
  </si>
  <si>
    <t>Savannah Rogers</t>
  </si>
  <si>
    <t>385 Possum Trot Trail</t>
  </si>
  <si>
    <t>awesomewife61@yahoo.com</t>
  </si>
  <si>
    <t>Joshua Dawson</t>
  </si>
  <si>
    <t>matthuffman88@gmail.com</t>
  </si>
  <si>
    <t>tommygoodhue@gmail.com</t>
  </si>
  <si>
    <t>Goodhue</t>
  </si>
  <si>
    <t>Thomas Goodhue</t>
  </si>
  <si>
    <t>359 Adams Road</t>
  </si>
  <si>
    <t>Oakham</t>
  </si>
  <si>
    <t>sawyerweeks3@gmail.com</t>
  </si>
  <si>
    <t>Sawyer Weeks</t>
  </si>
  <si>
    <t>wendy.ml@comcast.net</t>
  </si>
  <si>
    <t>tristan.l@comcast.net</t>
  </si>
  <si>
    <t>Louria</t>
  </si>
  <si>
    <t>Tristan Louria</t>
  </si>
  <si>
    <t>451 Shady Lane</t>
  </si>
  <si>
    <t>Mundelein</t>
  </si>
  <si>
    <t>wldrushn@msn.com_configioDeactivated</t>
  </si>
  <si>
    <t>wldrushn@msn.com</t>
  </si>
  <si>
    <t>Rusinko</t>
  </si>
  <si>
    <t>Stephen Rusinko</t>
  </si>
  <si>
    <t>8410 Meadowland Drive</t>
  </si>
  <si>
    <t>Locust Grove</t>
  </si>
  <si>
    <t>Benjamin Rusinko</t>
  </si>
  <si>
    <t>cathy@sauterphoto.com</t>
  </si>
  <si>
    <t>ameliars@icloud.com</t>
  </si>
  <si>
    <t>Amelia Sauter</t>
  </si>
  <si>
    <t>949 E 226th St</t>
  </si>
  <si>
    <t>Cherylynne</t>
  </si>
  <si>
    <t>Cherylynne Fowler</t>
  </si>
  <si>
    <t>montanaolsen828@gmail.com</t>
  </si>
  <si>
    <t>Montana</t>
  </si>
  <si>
    <t>Montana Olsen</t>
  </si>
  <si>
    <t>67 Rodeo Ct</t>
  </si>
  <si>
    <t>lesperich@rpmtax.net</t>
  </si>
  <si>
    <t>clazychloe98@gmail.com</t>
  </si>
  <si>
    <t>Perich</t>
  </si>
  <si>
    <t>Chloe Perich</t>
  </si>
  <si>
    <t>362 Music Ln</t>
  </si>
  <si>
    <t>kjbehrendt@gmail.com</t>
  </si>
  <si>
    <t>Cass.behr@gmail.com</t>
  </si>
  <si>
    <t>Behrendt</t>
  </si>
  <si>
    <t>Cassandra Behrendt</t>
  </si>
  <si>
    <t>1098 Springbrook Avenue</t>
  </si>
  <si>
    <t>moore.cindy91@gmail.com</t>
  </si>
  <si>
    <t>karisk99@gmail.com</t>
  </si>
  <si>
    <t>Karis Kim</t>
  </si>
  <si>
    <t>5007 Stone Ridge</t>
  </si>
  <si>
    <t>melvinfamily@melvineng.com</t>
  </si>
  <si>
    <t>dillonmelvin15@gmail.com</t>
  </si>
  <si>
    <t>Melvin</t>
  </si>
  <si>
    <t>Dillon Melvin</t>
  </si>
  <si>
    <t>4646 The Oaks Dr</t>
  </si>
  <si>
    <t>Marianna</t>
  </si>
  <si>
    <t>david-key@comcast.net</t>
  </si>
  <si>
    <t>kirbydkey98@gmail.com</t>
  </si>
  <si>
    <t>Key</t>
  </si>
  <si>
    <t>Kirby Key</t>
  </si>
  <si>
    <t>PO Box 1754</t>
  </si>
  <si>
    <t>rockyroad4@centuarylink.net</t>
  </si>
  <si>
    <t>coloradopink7@gmail.com</t>
  </si>
  <si>
    <t>Cavett</t>
  </si>
  <si>
    <t>Morgan Cavett</t>
  </si>
  <si>
    <t>160 Buck St.</t>
  </si>
  <si>
    <t>South Fork</t>
  </si>
  <si>
    <t>jeanbessey@gmail.com</t>
  </si>
  <si>
    <t>Besseyar@gmail.com</t>
  </si>
  <si>
    <t>Bessey</t>
  </si>
  <si>
    <t>Adam Bessey</t>
  </si>
  <si>
    <t>9652 S Millstone Ct</t>
  </si>
  <si>
    <t>julie@gartone.net</t>
  </si>
  <si>
    <t>jessica@gartone.net</t>
  </si>
  <si>
    <t>Jessica Gardner</t>
  </si>
  <si>
    <t>2573 W. Baneberry Way</t>
  </si>
  <si>
    <t>mallorych16@gmail.com</t>
  </si>
  <si>
    <t>Mallory Hardie</t>
  </si>
  <si>
    <t>jschwartz1@triad.rr.com</t>
  </si>
  <si>
    <t>kkbugg2000@gmail.com</t>
  </si>
  <si>
    <t>Schwartz</t>
  </si>
  <si>
    <t>Michaela Schwartz</t>
  </si>
  <si>
    <t>408 A Lakeshore Dr.</t>
  </si>
  <si>
    <t>Lake Waccamaw</t>
  </si>
  <si>
    <t>amhoffman01@yahoo.com</t>
  </si>
  <si>
    <t>LAUREN</t>
  </si>
  <si>
    <t>HOFFMAN</t>
  </si>
  <si>
    <t>LAUREN HOFFMAN</t>
  </si>
  <si>
    <t>davidinsequim@yahoo.com</t>
  </si>
  <si>
    <t>20207 25th Dr SE</t>
  </si>
  <si>
    <t>emily@mcd1.com</t>
  </si>
  <si>
    <t>Emily McDonald</t>
  </si>
  <si>
    <t>20207 25th Dr. SE</t>
  </si>
  <si>
    <t>reedable1@gmail.com</t>
  </si>
  <si>
    <t>Reed Knecht</t>
  </si>
  <si>
    <t>170 Pasture Ct.</t>
  </si>
  <si>
    <t>Springboro</t>
  </si>
  <si>
    <t>denise@tillmans.com</t>
  </si>
  <si>
    <t>tillman_scott@ymail.com</t>
  </si>
  <si>
    <t>Tillman</t>
  </si>
  <si>
    <t>Scott Tillman</t>
  </si>
  <si>
    <t>1023 Mt Vernon Ct</t>
  </si>
  <si>
    <t>jslovrien@sbcglobal.net</t>
  </si>
  <si>
    <t>Ajlovrien@sbcglobal.net</t>
  </si>
  <si>
    <t>Lovrien</t>
  </si>
  <si>
    <t>Alexander Lovrien</t>
  </si>
  <si>
    <t>453 Shade Tree Cir</t>
  </si>
  <si>
    <t>semiomniomniscience@gmail.com</t>
  </si>
  <si>
    <t>ethanmlee00@gmail.com</t>
  </si>
  <si>
    <t>Ethan Lee</t>
  </si>
  <si>
    <t>2210 Villawood Ln</t>
  </si>
  <si>
    <t>eunice@neotechwireless.com</t>
  </si>
  <si>
    <t>apark19@pcalion.org</t>
  </si>
  <si>
    <t>ANDREW</t>
  </si>
  <si>
    <t>PARK</t>
  </si>
  <si>
    <t>ANDREW PARK</t>
  </si>
  <si>
    <t>2625 ROUND TABLE BLVD</t>
  </si>
  <si>
    <t>LEWISVILLE</t>
  </si>
  <si>
    <t>montgomery007@gmail.com</t>
  </si>
  <si>
    <t>rpmoore19@pcalion.org</t>
  </si>
  <si>
    <t>Reece Moore</t>
  </si>
  <si>
    <t>8828 Calistoga Springs Way</t>
  </si>
  <si>
    <t>nessaparks17@gmail.com</t>
  </si>
  <si>
    <t>bennett_parks@woodberry.org</t>
  </si>
  <si>
    <t>James Parks</t>
  </si>
  <si>
    <t>17 Robin Road</t>
  </si>
  <si>
    <t>Olivia Hogan</t>
  </si>
  <si>
    <t>levisjeans9@gmail.com</t>
  </si>
  <si>
    <t>Levi Knecht</t>
  </si>
  <si>
    <t>john@allensrus.com</t>
  </si>
  <si>
    <t>dinoluv@allensrus.com</t>
  </si>
  <si>
    <t>Camelia</t>
  </si>
  <si>
    <t>Camelia Allen</t>
  </si>
  <si>
    <t>1392 Windsor Way</t>
  </si>
  <si>
    <t>sherrie.horstman@gmail.com</t>
  </si>
  <si>
    <t>eric.horstman66@gmail.com</t>
  </si>
  <si>
    <t>Horstman</t>
  </si>
  <si>
    <t>Jeremy Horstman</t>
  </si>
  <si>
    <t>2316 Mare Road</t>
  </si>
  <si>
    <t>chris@pikespeakglass.com</t>
  </si>
  <si>
    <t>camdenbole@gmail.com</t>
  </si>
  <si>
    <t>Camden Bole</t>
  </si>
  <si>
    <t>3205 Muirfield Drive</t>
  </si>
  <si>
    <t>theannapayne4321@gmail.com</t>
  </si>
  <si>
    <t>Anna Payne</t>
  </si>
  <si>
    <t>111 Peterson Road</t>
  </si>
  <si>
    <t>douglasb63@yahoo.com_configioDeactivated</t>
  </si>
  <si>
    <t>Jackdouglas797@yahoo.com</t>
  </si>
  <si>
    <t>John Douglas</t>
  </si>
  <si>
    <t>5572 Roenicke Rd</t>
  </si>
  <si>
    <t>Millstadt</t>
  </si>
  <si>
    <t>ninekids9@gmail.com</t>
  </si>
  <si>
    <t>daws0019@gmail.com</t>
  </si>
  <si>
    <t>Dawson Ayers</t>
  </si>
  <si>
    <t>302 Edgewood Pl E</t>
  </si>
  <si>
    <t>shortstuffs266@gmail.com</t>
  </si>
  <si>
    <t>Joseph Lukachick</t>
  </si>
  <si>
    <t>36001 Cypress Dr.</t>
  </si>
  <si>
    <t>stoltzfus98@gmail.com</t>
  </si>
  <si>
    <t>Stoltzfus</t>
  </si>
  <si>
    <t>Katie Stoltzfus</t>
  </si>
  <si>
    <t>711 Dozier Avenue</t>
  </si>
  <si>
    <t>Canon City</t>
  </si>
  <si>
    <t>sasatzler@gmail.com</t>
  </si>
  <si>
    <t>Stacia</t>
  </si>
  <si>
    <t>Stacia Satzler</t>
  </si>
  <si>
    <t>6847 Anderson Avenue</t>
  </si>
  <si>
    <t>mbetsch@trane.com</t>
  </si>
  <si>
    <t>alibetsch@yahoo.com</t>
  </si>
  <si>
    <t>Alison Betsch</t>
  </si>
  <si>
    <t>10266 Peach Blossom Trail</t>
  </si>
  <si>
    <t>maddox.mckaylee@yahoo.com</t>
  </si>
  <si>
    <t>McKaylee</t>
  </si>
  <si>
    <t>McKaylee Maddox</t>
  </si>
  <si>
    <t>5512 Los Patios</t>
  </si>
  <si>
    <t>laiwen09@hotmail.com</t>
  </si>
  <si>
    <t>Grace Balkan</t>
  </si>
  <si>
    <t>3752 N Morning Dove Cir</t>
  </si>
  <si>
    <t>sharissa@brpaulger.com</t>
  </si>
  <si>
    <t>seth@brpaulger.com</t>
  </si>
  <si>
    <t>Paulger</t>
  </si>
  <si>
    <t>Seth Paulger</t>
  </si>
  <si>
    <t>2001 Dover Ave.</t>
  </si>
  <si>
    <t>mariah@brpaulger.com</t>
  </si>
  <si>
    <t>Mariah Paulger</t>
  </si>
  <si>
    <t>sewsewgal95@gmail.com</t>
  </si>
  <si>
    <t>Morgan Brock</t>
  </si>
  <si>
    <t>11970 S. Vanlaningham Rd.</t>
  </si>
  <si>
    <t>Milltown</t>
  </si>
  <si>
    <t>holliehope.elliott@yahoo.com</t>
  </si>
  <si>
    <t>Hollie</t>
  </si>
  <si>
    <t>Hollie Elliott</t>
  </si>
  <si>
    <t>maryleslie@yahoo.com</t>
  </si>
  <si>
    <t>Dawson Holder</t>
  </si>
  <si>
    <t>lopez.rusty@gmail.com</t>
  </si>
  <si>
    <t>lopezheather2018@gmail.com</t>
  </si>
  <si>
    <t>Heather Lopez</t>
  </si>
  <si>
    <t>5251 E Gerda Dr</t>
  </si>
  <si>
    <t>josephhoehner@gmail.com</t>
  </si>
  <si>
    <t>Joseph Hoehner</t>
  </si>
  <si>
    <t>9100 Dellwood DR</t>
  </si>
  <si>
    <t>lifeonstagerocks@gmail.com</t>
  </si>
  <si>
    <t>Isaac Jarrell</t>
  </si>
  <si>
    <t>fritzmb@gmail.com</t>
  </si>
  <si>
    <t>fritzsa@gmail.com</t>
  </si>
  <si>
    <t>Sasha</t>
  </si>
  <si>
    <t>Fritz</t>
  </si>
  <si>
    <t>Sasha Fritz</t>
  </si>
  <si>
    <t>912 Mount Pleasant Rd</t>
  </si>
  <si>
    <t>Kingston Springs</t>
  </si>
  <si>
    <t>selenafritz@gmail.com</t>
  </si>
  <si>
    <t>Selena Fritz</t>
  </si>
  <si>
    <t>royallj@bellsouth.net</t>
  </si>
  <si>
    <t>joyinhim34@gmail.com</t>
  </si>
  <si>
    <t>Royall</t>
  </si>
  <si>
    <t>Allison Royall</t>
  </si>
  <si>
    <t>3004 Woodgreen Drive</t>
  </si>
  <si>
    <t>joliver3@harding.edu</t>
  </si>
  <si>
    <t>John Oliver</t>
  </si>
  <si>
    <t>141 Meadow Brook Dr.</t>
  </si>
  <si>
    <t>atsalafia@juno.com</t>
  </si>
  <si>
    <t>oliviasalafia22@gmail.com</t>
  </si>
  <si>
    <t>Salafia</t>
  </si>
  <si>
    <t>Olivia Salafia</t>
  </si>
  <si>
    <t>4623 McKenna</t>
  </si>
  <si>
    <t>Kayti</t>
  </si>
  <si>
    <t>Kayti Martin</t>
  </si>
  <si>
    <t>610 County Road 4540</t>
  </si>
  <si>
    <t>sophia.ford@att.net</t>
  </si>
  <si>
    <t>Sophia Ford</t>
  </si>
  <si>
    <t>5364 S. Palisades Ave.</t>
  </si>
  <si>
    <t>Brookline Station</t>
  </si>
  <si>
    <t>isaiahpatton31@gmail.com</t>
  </si>
  <si>
    <t>Isaiah Patton</t>
  </si>
  <si>
    <t>3919 E 104th St.</t>
  </si>
  <si>
    <t>alex.boyer99@gmail.com</t>
  </si>
  <si>
    <t>Alex.boyer99@gmail.com</t>
  </si>
  <si>
    <t>Boyer</t>
  </si>
  <si>
    <t>Alex Boyer</t>
  </si>
  <si>
    <t>915 E Market St</t>
  </si>
  <si>
    <t>e007@nc.rr.com</t>
  </si>
  <si>
    <t>22rebeccaedmondson@gmail.com</t>
  </si>
  <si>
    <t>Edmondson</t>
  </si>
  <si>
    <t>Rebecca Edmondson</t>
  </si>
  <si>
    <t>127 Fairmax Road</t>
  </si>
  <si>
    <t>Goldsboro</t>
  </si>
  <si>
    <t>paclaudel@gmail.com_configioDeactivated</t>
  </si>
  <si>
    <t>nocturnealegria@gmail.com</t>
  </si>
  <si>
    <t>Delgado</t>
  </si>
  <si>
    <t>Rebecca Delgado</t>
  </si>
  <si>
    <t>3615 Brian Pl</t>
  </si>
  <si>
    <t>teachertam14@gmail.com</t>
  </si>
  <si>
    <t>claytontaylor44@icloud.com</t>
  </si>
  <si>
    <t>Clayton Taylor</t>
  </si>
  <si>
    <t>PO Box 1636</t>
  </si>
  <si>
    <t>136 Golf club Dr</t>
  </si>
  <si>
    <t>yokedtochrist@gmail.com</t>
  </si>
  <si>
    <t>Natalie Patton</t>
  </si>
  <si>
    <t>3919 E 104th St</t>
  </si>
  <si>
    <t>lingtim@gmail.com</t>
  </si>
  <si>
    <t>Ling</t>
  </si>
  <si>
    <t>Libby Ling</t>
  </si>
  <si>
    <t>789 ormsby dr</t>
  </si>
  <si>
    <t>Suite 203</t>
  </si>
  <si>
    <t>xenia</t>
  </si>
  <si>
    <t>kmathems@yahoo.com</t>
  </si>
  <si>
    <t>mtmathems@gmail.com</t>
  </si>
  <si>
    <t>Milam Mathems</t>
  </si>
  <si>
    <t>6207 Loyce Lane</t>
  </si>
  <si>
    <t>getz.farm@ffni.com</t>
  </si>
  <si>
    <t>Getz</t>
  </si>
  <si>
    <t>Sophie Getz</t>
  </si>
  <si>
    <t>2008 S</t>
  </si>
  <si>
    <t>1100 W</t>
  </si>
  <si>
    <t>pennyanneheipel@gmail.com</t>
  </si>
  <si>
    <t>Penny</t>
  </si>
  <si>
    <t>Penny Heipel</t>
  </si>
  <si>
    <t>16984 County 94</t>
  </si>
  <si>
    <t>blondechristianchic@yahoo.com</t>
  </si>
  <si>
    <t>Makenzie Adams</t>
  </si>
  <si>
    <t>2850 N Williamsport Rd.</t>
  </si>
  <si>
    <t>rhondammurphy@comcast.net</t>
  </si>
  <si>
    <t>ashlinm2@gmail.com</t>
  </si>
  <si>
    <t>Ashlin</t>
  </si>
  <si>
    <t>Ashlin Murphy</t>
  </si>
  <si>
    <t>423 Whitney Dr</t>
  </si>
  <si>
    <t>Barnettcd@s.dcsdk12.org</t>
  </si>
  <si>
    <t>barnett</t>
  </si>
  <si>
    <t>Christopher barnett</t>
  </si>
  <si>
    <t>9876 Aftonwood Street</t>
  </si>
  <si>
    <t>gwendscott@verizon.net</t>
  </si>
  <si>
    <t>regan.scott2552@yahoo.com</t>
  </si>
  <si>
    <t>Regan Scott</t>
  </si>
  <si>
    <t>1114 Wiltshire Drive</t>
  </si>
  <si>
    <t>erburch99@gmail.com</t>
  </si>
  <si>
    <t>mattburch431@gmail.com</t>
  </si>
  <si>
    <t>Burchfield</t>
  </si>
  <si>
    <t>Matthew Burchfield</t>
  </si>
  <si>
    <t>3685 S. Hyde Rd</t>
  </si>
  <si>
    <t>ecrementfamily@yahoo.com</t>
  </si>
  <si>
    <t>legotanner@yahoo.com</t>
  </si>
  <si>
    <t>Ecrement</t>
  </si>
  <si>
    <t>Tanner Ecrement</t>
  </si>
  <si>
    <t>1795 Pleasant Hill Rd</t>
  </si>
  <si>
    <t>jtcksc@yahoo.com</t>
  </si>
  <si>
    <t>Lukecostello23@yahoo.com</t>
  </si>
  <si>
    <t>Luke Costello</t>
  </si>
  <si>
    <t>1694 Old Hillsboro road</t>
  </si>
  <si>
    <t>mmadigan@hillsdale.edu</t>
  </si>
  <si>
    <t>Madigan</t>
  </si>
  <si>
    <t>Molly Madigan</t>
  </si>
  <si>
    <t>2781 60th St.</t>
  </si>
  <si>
    <t>Fennville</t>
  </si>
  <si>
    <t>tamora@jcstudies.com</t>
  </si>
  <si>
    <t>margaret.h.whitman@gmail.com</t>
  </si>
  <si>
    <t>Whitman</t>
  </si>
  <si>
    <t>Margaret Whitman</t>
  </si>
  <si>
    <t>6410 Colechester</t>
  </si>
  <si>
    <t>bckuo2001@yahoo.com</t>
  </si>
  <si>
    <t>awesomechrisness@gmail.com</t>
  </si>
  <si>
    <t>Christopher Kuo</t>
  </si>
  <si>
    <t>70 Maugus Ave</t>
  </si>
  <si>
    <t>Wellesley</t>
  </si>
  <si>
    <t>faithleesman13@gmail.com</t>
  </si>
  <si>
    <t>Leesman</t>
  </si>
  <si>
    <t>Faith Leesman</t>
  </si>
  <si>
    <t>30729-206th St.</t>
  </si>
  <si>
    <t>johnwharden@gmail.com</t>
  </si>
  <si>
    <t>calebmharden@gmail.com</t>
  </si>
  <si>
    <t>Harden</t>
  </si>
  <si>
    <t>Caleb Harden</t>
  </si>
  <si>
    <t>12935 Jasmine Way</t>
  </si>
  <si>
    <t>moomom09@yahoo.com</t>
  </si>
  <si>
    <t>mariahstorm9@yahoo.com</t>
  </si>
  <si>
    <t>Sadowitz</t>
  </si>
  <si>
    <t>Madeline Sadowitz</t>
  </si>
  <si>
    <t>2731 West FoxHill Lane</t>
  </si>
  <si>
    <t>Camillus</t>
  </si>
  <si>
    <t>but_ler@hotmail.com</t>
  </si>
  <si>
    <t>o.naught_on@outlook.com</t>
  </si>
  <si>
    <t>Naughton</t>
  </si>
  <si>
    <t>Olivia Naughton</t>
  </si>
  <si>
    <t>1017 Toole Circle</t>
  </si>
  <si>
    <t>jfashian@columbus.rr.com</t>
  </si>
  <si>
    <t>jfashian98@gmail.com</t>
  </si>
  <si>
    <t>Fashian</t>
  </si>
  <si>
    <t>Joshua Fashian</t>
  </si>
  <si>
    <t>688 Hills-Miller Rd</t>
  </si>
  <si>
    <t>plooper57@yahoo.com</t>
  </si>
  <si>
    <t>Thomas Morris</t>
  </si>
  <si>
    <t>6593 S St Rd 55</t>
  </si>
  <si>
    <t>darynm5701@gmail.com</t>
  </si>
  <si>
    <t>joshuam5701@gmail.com</t>
  </si>
  <si>
    <t>Joshua Mullholand</t>
  </si>
  <si>
    <t>5701 Applecross St N</t>
  </si>
  <si>
    <t>Saint Petersburg</t>
  </si>
  <si>
    <t>nmuschalek@yahoo.com</t>
  </si>
  <si>
    <t>Muschalek</t>
  </si>
  <si>
    <t>Nicole Muschalek</t>
  </si>
  <si>
    <t>6541 Dartbrook Dr.</t>
  </si>
  <si>
    <t>monicachoi18@yahoo.com</t>
  </si>
  <si>
    <t>Monica Choi</t>
  </si>
  <si>
    <t>3448 Mount Vernon Way</t>
  </si>
  <si>
    <t>rpgsbailey@hotmail.com</t>
  </si>
  <si>
    <t>stephen.bailey136@gmail.com</t>
  </si>
  <si>
    <t>Stephen Bailey</t>
  </si>
  <si>
    <t>167 Grey Oaks Lane</t>
  </si>
  <si>
    <t>cameronlanderville@gmail.com</t>
  </si>
  <si>
    <t>Landerville</t>
  </si>
  <si>
    <t>Cameron Landerville</t>
  </si>
  <si>
    <t>1508 Via Montemar</t>
  </si>
  <si>
    <t>valbytx@aol.com</t>
  </si>
  <si>
    <t>mlbtexas1@aol.com</t>
  </si>
  <si>
    <t>Buttry</t>
  </si>
  <si>
    <t>Matthew Buttry</t>
  </si>
  <si>
    <t>6548 Village Springs Dr</t>
  </si>
  <si>
    <t>emilyvwalker2@gmail.com</t>
  </si>
  <si>
    <t>1594 Callander Drive</t>
  </si>
  <si>
    <t>weworship970@gmail.com</t>
  </si>
  <si>
    <t>micah.quinn.jones@gmail.com</t>
  </si>
  <si>
    <t>Micah Jones</t>
  </si>
  <si>
    <t>4396 County Road 113</t>
  </si>
  <si>
    <t>fly4fun4ever@gmail.com</t>
  </si>
  <si>
    <t>Dane Vegter</t>
  </si>
  <si>
    <t>590 Willsher Drive</t>
  </si>
  <si>
    <t>tiffhenney@gmail.com</t>
  </si>
  <si>
    <t>Tiffany Henney</t>
  </si>
  <si>
    <t>5408 Wedgefield</t>
  </si>
  <si>
    <t>Holidayhannahkanter@gmail.com</t>
  </si>
  <si>
    <t>Kanter</t>
  </si>
  <si>
    <t>Holly Kanter</t>
  </si>
  <si>
    <t>700 E redlands blvd U173</t>
  </si>
  <si>
    <t>Brusven@pie.midco.net</t>
  </si>
  <si>
    <t>Kara Brusven</t>
  </si>
  <si>
    <t>1609 Flag Mt. Dr.</t>
  </si>
  <si>
    <t>calebjohn98@gmail.com</t>
  </si>
  <si>
    <t>Caleb Rutherford</t>
  </si>
  <si>
    <t>112 E 12th Street</t>
  </si>
  <si>
    <t>lydiagrace44@gmail.com</t>
  </si>
  <si>
    <t>Lydia Pope</t>
  </si>
  <si>
    <t>2405 Marylane Drive</t>
  </si>
  <si>
    <t>delectablebutterfly@gmail.com</t>
  </si>
  <si>
    <t>Cora</t>
  </si>
  <si>
    <t>Cora Howell</t>
  </si>
  <si>
    <t>rheckma@gmail.com</t>
  </si>
  <si>
    <t>erheckma@email.uark.edu</t>
  </si>
  <si>
    <t>Heckmann</t>
  </si>
  <si>
    <t>Esther Heckmann</t>
  </si>
  <si>
    <t>3100 N. Velma Drive</t>
  </si>
  <si>
    <t>gocubs91@juno.com</t>
  </si>
  <si>
    <t>Appleby</t>
  </si>
  <si>
    <t>Will Appleby</t>
  </si>
  <si>
    <t>1521 Merritt St</t>
  </si>
  <si>
    <t>gracepietroburgo@gmail.com</t>
  </si>
  <si>
    <t>Grace Pietroburgo</t>
  </si>
  <si>
    <t>7002 US Highway 160</t>
  </si>
  <si>
    <t>requist@juno.com</t>
  </si>
  <si>
    <t>Requist</t>
  </si>
  <si>
    <t>Brennan Requist</t>
  </si>
  <si>
    <t>14665 W Vassar Dr</t>
  </si>
  <si>
    <t>Janson</t>
  </si>
  <si>
    <t>Janson Requist</t>
  </si>
  <si>
    <t>benlutz99@gmail.com</t>
  </si>
  <si>
    <t>Ben Lutz</t>
  </si>
  <si>
    <t>1724 Bluffview LN</t>
  </si>
  <si>
    <t>theeagleflies101@yahoo.com</t>
  </si>
  <si>
    <t>Nathan McCoy</t>
  </si>
  <si>
    <t>27 Steep Road</t>
  </si>
  <si>
    <t>bruggyfam@gmail.com</t>
  </si>
  <si>
    <t>alwayssparkle98@gmail.com</t>
  </si>
  <si>
    <t>Bruggenthies</t>
  </si>
  <si>
    <t>Laura Bruggenthies</t>
  </si>
  <si>
    <t>8685 60th St W</t>
  </si>
  <si>
    <t>Lonsdale</t>
  </si>
  <si>
    <t>tjaydude17@gmail.com</t>
  </si>
  <si>
    <t>Thomas Bruggenthies</t>
  </si>
  <si>
    <t>ludwigs8@embarqmail.com</t>
  </si>
  <si>
    <t>xrayj10@gmail.com</t>
  </si>
  <si>
    <t>John Ludwig</t>
  </si>
  <si>
    <t>2351 Pesaro Circle</t>
  </si>
  <si>
    <t>Ocoee</t>
  </si>
  <si>
    <t>segaflint@gmail.com</t>
  </si>
  <si>
    <t>Rasmusson</t>
  </si>
  <si>
    <t>Seth Rasmusson</t>
  </si>
  <si>
    <t>23539 Neon Lane</t>
  </si>
  <si>
    <t>pammarch@yahoo.com</t>
  </si>
  <si>
    <t>jemmarch@hotmail.com</t>
  </si>
  <si>
    <t>Marchitti</t>
  </si>
  <si>
    <t>John Marchitti</t>
  </si>
  <si>
    <t>1063 Misty Trails Ln</t>
  </si>
  <si>
    <t>League City</t>
  </si>
  <si>
    <t>triode757@gmail.com</t>
  </si>
  <si>
    <t>Triode757@gmail.com</t>
  </si>
  <si>
    <t>Richard Nameth</t>
  </si>
  <si>
    <t>202 E. North Street</t>
  </si>
  <si>
    <t>Kimball</t>
  </si>
  <si>
    <t>mcmader1@gmail.com</t>
  </si>
  <si>
    <t>Matt Mader</t>
  </si>
  <si>
    <t>730 DUblin Court</t>
  </si>
  <si>
    <t>ledmonds@stny.rr.com</t>
  </si>
  <si>
    <t>thedoodlebop@gmail.com</t>
  </si>
  <si>
    <t>Edmonds</t>
  </si>
  <si>
    <t>Heidi Edmonds</t>
  </si>
  <si>
    <t>47.5 Susquehanna Ave.</t>
  </si>
  <si>
    <t>evan49ak@gmail.com</t>
  </si>
  <si>
    <t>Loudon</t>
  </si>
  <si>
    <t>Evan Loudon</t>
  </si>
  <si>
    <t>1075 S Settler's Circle</t>
  </si>
  <si>
    <t>jaydenhowell55@gmail.com</t>
  </si>
  <si>
    <t>Jayden Howell</t>
  </si>
  <si>
    <t>339 53rd Ave. Ct.</t>
  </si>
  <si>
    <t>reiglefamily@stny.rr.com</t>
  </si>
  <si>
    <t>Reigle</t>
  </si>
  <si>
    <t>Joseph Reigle</t>
  </si>
  <si>
    <t>75 Rush Ave</t>
  </si>
  <si>
    <t>Binghamton</t>
  </si>
  <si>
    <t>tmarrah@tolcs.org</t>
  </si>
  <si>
    <t>elijah.marrah@tolcs.org</t>
  </si>
  <si>
    <t>Elijah Marrah</t>
  </si>
  <si>
    <t>1022 Larkstone drive</t>
  </si>
  <si>
    <t>columbus</t>
  </si>
  <si>
    <t>joy.marrah@tolcs.org</t>
  </si>
  <si>
    <t>Joy Marrah</t>
  </si>
  <si>
    <t>lildude.nolan@yahoo.com</t>
  </si>
  <si>
    <t>Nolan Drake</t>
  </si>
  <si>
    <t>213 N. Ida</t>
  </si>
  <si>
    <t>tduck03@cox.net</t>
  </si>
  <si>
    <t>jmundy2001@gmail.com</t>
  </si>
  <si>
    <t>Jacob Mund</t>
  </si>
  <si>
    <t>206 W Martin</t>
  </si>
  <si>
    <t>Coffeyville</t>
  </si>
  <si>
    <t>1buckethead@comcast.net</t>
  </si>
  <si>
    <t>Colton Gates</t>
  </si>
  <si>
    <t>5555 S Sedalia St</t>
  </si>
  <si>
    <t>rebecca.mouganis@gmail.com</t>
  </si>
  <si>
    <t>mannymou1@gmail.com</t>
  </si>
  <si>
    <t>Manny</t>
  </si>
  <si>
    <t>Mouganis</t>
  </si>
  <si>
    <t>Manny Mouganis</t>
  </si>
  <si>
    <t>1601 Fieldstone Lane</t>
  </si>
  <si>
    <t>Sewickley</t>
  </si>
  <si>
    <t>firefox4132@live.com</t>
  </si>
  <si>
    <t>Alyssa Burke</t>
  </si>
  <si>
    <t>4205 Holland Grove Way</t>
  </si>
  <si>
    <t>ltwommbptyol@cox.net_configioDeactivated</t>
  </si>
  <si>
    <t>tvotdt@cox.net</t>
  </si>
  <si>
    <t>Dees</t>
  </si>
  <si>
    <t>Jonathan Dees</t>
  </si>
  <si>
    <t>10716 Shoreside Drive</t>
  </si>
  <si>
    <t>okiesmine@cox.net</t>
  </si>
  <si>
    <t>Jessica Dees</t>
  </si>
  <si>
    <t>harlymaria@yahoo.com</t>
  </si>
  <si>
    <t>Harly</t>
  </si>
  <si>
    <t>Dumas</t>
  </si>
  <si>
    <t>Harly Dumas</t>
  </si>
  <si>
    <t>10004 Glascow Terrace</t>
  </si>
  <si>
    <t>harrisonjfowler@gmail.com</t>
  </si>
  <si>
    <t>Harrison Fowler</t>
  </si>
  <si>
    <t>rachael@varblow.net</t>
  </si>
  <si>
    <t>sean@varblow.net</t>
  </si>
  <si>
    <t>Varblow</t>
  </si>
  <si>
    <t>Sean Varblow</t>
  </si>
  <si>
    <t>2062 Walnut Way</t>
  </si>
  <si>
    <t>schindelcade@gmail.com</t>
  </si>
  <si>
    <t>Cade Schindel</t>
  </si>
  <si>
    <t>jimmy@varblow.net</t>
  </si>
  <si>
    <t>James Varblow</t>
  </si>
  <si>
    <t>coloradoandersons@gmail.com</t>
  </si>
  <si>
    <t>Ariana Anderson</t>
  </si>
  <si>
    <t>890 Dolan Dr</t>
  </si>
  <si>
    <t>kadams@t-d-services.com</t>
  </si>
  <si>
    <t>wadams.evca@gmail.com</t>
  </si>
  <si>
    <t>PO Box 1057</t>
  </si>
  <si>
    <t>159 Rabbit Run</t>
  </si>
  <si>
    <t>bananapeppers8@hotmail.com</t>
  </si>
  <si>
    <t>Anna Ray</t>
  </si>
  <si>
    <t>426 S Broadway St.</t>
  </si>
  <si>
    <t>Skiatook</t>
  </si>
  <si>
    <t>mt4herin@gmail.com</t>
  </si>
  <si>
    <t>Erin Brush</t>
  </si>
  <si>
    <t>adamsb43@gmail.com</t>
  </si>
  <si>
    <t>ama4jesus@gmail.com</t>
  </si>
  <si>
    <t>Ashley Adams</t>
  </si>
  <si>
    <t>143 Circle G Lane</t>
  </si>
  <si>
    <t>daddee.robert@gmail.com</t>
  </si>
  <si>
    <t>Kyle Phillips</t>
  </si>
  <si>
    <t>becky.l.sharp@gmail.com</t>
  </si>
  <si>
    <t>andrewgsharp@gmail.com</t>
  </si>
  <si>
    <t>Andrew Sharp</t>
  </si>
  <si>
    <t>8776 Hidden Woods Ct</t>
  </si>
  <si>
    <t>langesaresewfun@hotmail.com</t>
  </si>
  <si>
    <t>sugarplum4077@hotmail.com</t>
  </si>
  <si>
    <t>Brianna Lange</t>
  </si>
  <si>
    <t>47297 807 RD</t>
  </si>
  <si>
    <t>apbealor@verizon.net</t>
  </si>
  <si>
    <t>clairebealor3@gmail.com</t>
  </si>
  <si>
    <t>Claire Bealor</t>
  </si>
  <si>
    <t>jenmarie1971@gmail.com</t>
  </si>
  <si>
    <t>jojotheknight23@gmail.com</t>
  </si>
  <si>
    <t>Hodge</t>
  </si>
  <si>
    <t>Alexander Hodge</t>
  </si>
  <si>
    <t>3708 Jackson Dr NW</t>
  </si>
  <si>
    <t>Tuckerberens@hotmail.com</t>
  </si>
  <si>
    <t>Tucker Berens</t>
  </si>
  <si>
    <t>anneliesedykstra@u.boisestate.edu</t>
  </si>
  <si>
    <t>annelieseisaiah4113@gmail.com</t>
  </si>
  <si>
    <t>Anneliese Dykstra</t>
  </si>
  <si>
    <t>4260 E. Venture Circle</t>
  </si>
  <si>
    <t>musicoliver@comcast.net</t>
  </si>
  <si>
    <t>Smugkoalas@gmail.com</t>
  </si>
  <si>
    <t>Andrea Oliver</t>
  </si>
  <si>
    <t>1707 6th Avenue SW</t>
  </si>
  <si>
    <t>chroel@comcast.net</t>
  </si>
  <si>
    <t>joshuapettterle@yahoo.com</t>
  </si>
  <si>
    <t>Petterle</t>
  </si>
  <si>
    <t>Joshua Petterle</t>
  </si>
  <si>
    <t>6621 Tiger Tooth</t>
  </si>
  <si>
    <t>wbiciunas@gmail.com</t>
  </si>
  <si>
    <t>cbiciunas@gmail.com</t>
  </si>
  <si>
    <t>Biciunas</t>
  </si>
  <si>
    <t>Chelsea Biciunas</t>
  </si>
  <si>
    <t>50 Sitka Cir</t>
  </si>
  <si>
    <t>Forks</t>
  </si>
  <si>
    <t>cmb1299@gmail.com</t>
  </si>
  <si>
    <t>Claire Brownlee</t>
  </si>
  <si>
    <t>Vandenberg suzette@gmail.com</t>
  </si>
  <si>
    <t>Suzette</t>
  </si>
  <si>
    <t>Vandenberg</t>
  </si>
  <si>
    <t>Suzette Vandenberg</t>
  </si>
  <si>
    <t>amazing.gracee.p@gmail.com</t>
  </si>
  <si>
    <t>Grace Protzman</t>
  </si>
  <si>
    <t>1502 Clark St.</t>
  </si>
  <si>
    <t>mason_lee_jdedwards@hotmail.com</t>
  </si>
  <si>
    <t>Doran7lee@gmail.com</t>
  </si>
  <si>
    <t>PO Box 108</t>
  </si>
  <si>
    <t>Abby Sandberg</t>
  </si>
  <si>
    <t>70599 Road 353</t>
  </si>
  <si>
    <t>sunnyant98@gmail.com</t>
  </si>
  <si>
    <t>Aubrey Thomson</t>
  </si>
  <si>
    <t>sadie_tafoya@yahoo.com</t>
  </si>
  <si>
    <t>macrina.tafoya@gmail.com</t>
  </si>
  <si>
    <t>Macrina</t>
  </si>
  <si>
    <t>Macrina Tafoya</t>
  </si>
  <si>
    <t>315 Leyden Street</t>
  </si>
  <si>
    <t>snfarrand@gmail.com</t>
  </si>
  <si>
    <t>Sarah Farrand</t>
  </si>
  <si>
    <t>7735 Chase Lake Rd</t>
  </si>
  <si>
    <t>Fowlerville</t>
  </si>
  <si>
    <t>parker.andrews4730@gmail.com</t>
  </si>
  <si>
    <t>Parker Andrews</t>
  </si>
  <si>
    <t>determinedowl@gmail.com</t>
  </si>
  <si>
    <t>Olivia Loveless</t>
  </si>
  <si>
    <t>409 North Garfield St.</t>
  </si>
  <si>
    <t>aubrie.hope.19@gmail.com</t>
  </si>
  <si>
    <t>Aubrie</t>
  </si>
  <si>
    <t>Aubrie Hillery</t>
  </si>
  <si>
    <t>anitalad5@gmail.com</t>
  </si>
  <si>
    <t>sarah13lad@gmail.com</t>
  </si>
  <si>
    <t>Ladehoff</t>
  </si>
  <si>
    <t>Sarah Ladehoff</t>
  </si>
  <si>
    <t>6225 Trail Lake Dr.</t>
  </si>
  <si>
    <t>bjmj2@juno.com</t>
  </si>
  <si>
    <t>summerlawn1@gmail.com</t>
  </si>
  <si>
    <t>Summer Johnson</t>
  </si>
  <si>
    <t>1321 Lory Street</t>
  </si>
  <si>
    <t>jeffandcatha@comcast.net</t>
  </si>
  <si>
    <t>rebekahgrace17@gmail.com</t>
  </si>
  <si>
    <t>Skinner</t>
  </si>
  <si>
    <t>Rebekah Skinner</t>
  </si>
  <si>
    <t>8210 Brentview Ct</t>
  </si>
  <si>
    <t>djfb2013@gmail.com</t>
  </si>
  <si>
    <t>Djimy</t>
  </si>
  <si>
    <t>Djimy Brownlee</t>
  </si>
  <si>
    <t>godspoke@outlook.com</t>
  </si>
  <si>
    <t>godgirl31@outlook.com</t>
  </si>
  <si>
    <t>Maynard</t>
  </si>
  <si>
    <t>Sierra Maynard</t>
  </si>
  <si>
    <t>PO Box 667</t>
  </si>
  <si>
    <t>jaimeliechty@gmail.com</t>
  </si>
  <si>
    <t>edithliechty@gmail.com</t>
  </si>
  <si>
    <t>Edith</t>
  </si>
  <si>
    <t>Liechty</t>
  </si>
  <si>
    <t>Edith Liechty</t>
  </si>
  <si>
    <t>46175 Palmer Drive</t>
  </si>
  <si>
    <t>jaynielove2121@gmail.com</t>
  </si>
  <si>
    <t>Jaynie</t>
  </si>
  <si>
    <t>Jaynie Love</t>
  </si>
  <si>
    <t>Elanor</t>
  </si>
  <si>
    <t>Elanor Long</t>
  </si>
  <si>
    <t>3425 Lake pointe Dr</t>
  </si>
  <si>
    <t>bframe13@cox.net</t>
  </si>
  <si>
    <t>Frame</t>
  </si>
  <si>
    <t>Benjamin Frame</t>
  </si>
  <si>
    <t>9625 N 94th AVE</t>
  </si>
  <si>
    <t>drhagedorn@gmail.com</t>
  </si>
  <si>
    <t>mkhagedorn@gmail.com</t>
  </si>
  <si>
    <t>Hagedorn</t>
  </si>
  <si>
    <t>Morgan Hagedorn</t>
  </si>
  <si>
    <t>106 Drayton Hall</t>
  </si>
  <si>
    <t>Crhagedorn@gmail.com</t>
  </si>
  <si>
    <t>Claire Hagedorn</t>
  </si>
  <si>
    <t>aroanblessing4me@yahoo.com</t>
  </si>
  <si>
    <t>Canen</t>
  </si>
  <si>
    <t>Alexis Canen</t>
  </si>
  <si>
    <t>201 Olmstead Lane</t>
  </si>
  <si>
    <t>Glendive</t>
  </si>
  <si>
    <t>morganlynnn8@gmail.com</t>
  </si>
  <si>
    <t>Lynn</t>
  </si>
  <si>
    <t>Morgan Lynn</t>
  </si>
  <si>
    <t>200 VZ CR 2811</t>
  </si>
  <si>
    <t>eric_urban@comcast.net</t>
  </si>
  <si>
    <t>Eric Urban</t>
  </si>
  <si>
    <t>1084 Titanite Place</t>
  </si>
  <si>
    <t>yulia.wil@gmail.com</t>
  </si>
  <si>
    <t>lxandra09@gmail.com</t>
  </si>
  <si>
    <t>Sasha Willis</t>
  </si>
  <si>
    <t>1324 4th Ave NW</t>
  </si>
  <si>
    <t>zekuna.fitusa@gmail.com</t>
  </si>
  <si>
    <t>Daniel Brazell</t>
  </si>
  <si>
    <t>88116 S.E. 12 St.</t>
  </si>
  <si>
    <t>Sunshinegirl.rck@gmail.com</t>
  </si>
  <si>
    <t>Ragan Kelley</t>
  </si>
  <si>
    <t>1828 N Alabama St</t>
  </si>
  <si>
    <t>stephkbennett@hotmail.com</t>
  </si>
  <si>
    <t>parkerrbennett@hotmail.com</t>
  </si>
  <si>
    <t>Parker Bennett</t>
  </si>
  <si>
    <t>8902 Edgefield Drive</t>
  </si>
  <si>
    <t>davies@owenspod.com</t>
  </si>
  <si>
    <t>hannah@owenspod.com</t>
  </si>
  <si>
    <t>Hannah Owens</t>
  </si>
  <si>
    <t>3290 Holl Dr</t>
  </si>
  <si>
    <t>jenulrichs@gmail.com</t>
  </si>
  <si>
    <t>evulrichs@gmail.com</t>
  </si>
  <si>
    <t>Evan Ulrichs</t>
  </si>
  <si>
    <t>brandonandwendy@sbcglobal.net</t>
  </si>
  <si>
    <t>harleyqsample@gmail.com</t>
  </si>
  <si>
    <t>Harley</t>
  </si>
  <si>
    <t>Sample</t>
  </si>
  <si>
    <t>Harley Sample</t>
  </si>
  <si>
    <t>1002 19th street</t>
  </si>
  <si>
    <t>anna.qiaoen.pan@gmail.com</t>
  </si>
  <si>
    <t>Pan</t>
  </si>
  <si>
    <t>Anna Pan</t>
  </si>
  <si>
    <t>Jdslaughter96@gmail.com</t>
  </si>
  <si>
    <t>aringrace98@att.net</t>
  </si>
  <si>
    <t>Arin</t>
  </si>
  <si>
    <t>Arin Slaughter</t>
  </si>
  <si>
    <t>2615 Beauchamp St.</t>
  </si>
  <si>
    <t>Gregorywest2000@yahoo.com</t>
  </si>
  <si>
    <t>Gregory West</t>
  </si>
  <si>
    <t>11127 Glenmoor Place</t>
  </si>
  <si>
    <t>katie@seedroff.com</t>
  </si>
  <si>
    <t>Kira@seedroff.com</t>
  </si>
  <si>
    <t>Seedroff</t>
  </si>
  <si>
    <t>Kira Seedroff</t>
  </si>
  <si>
    <t>8554 E Radcliff Ave</t>
  </si>
  <si>
    <t>citizenelah@gmail.com</t>
  </si>
  <si>
    <t>jrahm2000@gmail.com</t>
  </si>
  <si>
    <t>Rahm</t>
  </si>
  <si>
    <t>Jacob Rahm</t>
  </si>
  <si>
    <t>3431 Plainfield Way</t>
  </si>
  <si>
    <t>wlwitmer@yahoo.com</t>
  </si>
  <si>
    <t>witmerclaire@yahoo.com</t>
  </si>
  <si>
    <t>Claire Witmer</t>
  </si>
  <si>
    <t>3800 Krystal drive</t>
  </si>
  <si>
    <t>nelam@designlinkinteriors.us</t>
  </si>
  <si>
    <t>aelam@0211@gmail.com</t>
  </si>
  <si>
    <t>Robert Elam</t>
  </si>
  <si>
    <t>162  Cherry Hill</t>
  </si>
  <si>
    <t>familynecessary@gmail.com</t>
  </si>
  <si>
    <t>chess.necessary@gmail.com</t>
  </si>
  <si>
    <t>Chess</t>
  </si>
  <si>
    <t>Necessary</t>
  </si>
  <si>
    <t>Chess Necessary</t>
  </si>
  <si>
    <t>119 King Fisher Wat</t>
  </si>
  <si>
    <t>Midway</t>
  </si>
  <si>
    <t>paul@burtonfamily.co.nz</t>
  </si>
  <si>
    <t>sophia@burtonfamily.co.nz</t>
  </si>
  <si>
    <t>Sophia Burton</t>
  </si>
  <si>
    <t>6 Allender Drive</t>
  </si>
  <si>
    <t>Torbay</t>
  </si>
  <si>
    <t>chris@burtonfamily.co.nz</t>
  </si>
  <si>
    <t>Christopher Burton</t>
  </si>
  <si>
    <t>emilia@burtonfamily.co.nz</t>
  </si>
  <si>
    <t>Emilia Burton</t>
  </si>
  <si>
    <t>taylornagel132@gmail.com</t>
  </si>
  <si>
    <t>nagel</t>
  </si>
  <si>
    <t>taylor nagel</t>
  </si>
  <si>
    <t>16009 riggs road</t>
  </si>
  <si>
    <t>stilwell</t>
  </si>
  <si>
    <t>heinz@osta.com</t>
  </si>
  <si>
    <t>isabela.pacis@yahoo.com</t>
  </si>
  <si>
    <t>Isabela</t>
  </si>
  <si>
    <t>Pacis</t>
  </si>
  <si>
    <t>Isabela Pacis</t>
  </si>
  <si>
    <t>17988 South Trail</t>
  </si>
  <si>
    <t>heidibears7@yahoo.com</t>
  </si>
  <si>
    <t>Heidi Smith</t>
  </si>
  <si>
    <t>14908 79th Dr. SE</t>
  </si>
  <si>
    <t>sketcky105@yahoo.com</t>
  </si>
  <si>
    <t>1414 Front Street</t>
  </si>
  <si>
    <t>juliecaylor@yahoo.com</t>
  </si>
  <si>
    <t>chloecaylor@gmail.com</t>
  </si>
  <si>
    <t>Caylor</t>
  </si>
  <si>
    <t>Chloe Caylor</t>
  </si>
  <si>
    <t>2827 Kilkierane</t>
  </si>
  <si>
    <t>sam.streeter11@gmail.com</t>
  </si>
  <si>
    <t>Samuel Streeter</t>
  </si>
  <si>
    <t>rebekahvanzoest@gmail.com</t>
  </si>
  <si>
    <t>Van Zoest</t>
  </si>
  <si>
    <t>Rebekah Van Zoest</t>
  </si>
  <si>
    <t>18863 I Ave</t>
  </si>
  <si>
    <t>Wellsburg</t>
  </si>
  <si>
    <t>rharbin4@charter.net</t>
  </si>
  <si>
    <t>mtharbin4@gmail.com</t>
  </si>
  <si>
    <t>Morgan Harbin</t>
  </si>
  <si>
    <t>309 Best Street</t>
  </si>
  <si>
    <t>nerelmartin@gmail.com</t>
  </si>
  <si>
    <t>Nerel</t>
  </si>
  <si>
    <t>Nerel Martin</t>
  </si>
  <si>
    <t>11065 Mt. Pendleton Street</t>
  </si>
  <si>
    <t>davidtrishpeel@bellsouth.net</t>
  </si>
  <si>
    <t>collindpeel@gmail.com</t>
  </si>
  <si>
    <t>Peel</t>
  </si>
  <si>
    <t>Collin Peel</t>
  </si>
  <si>
    <t>7500 Osborntown Rd</t>
  </si>
  <si>
    <t>toni@hbcm.org</t>
  </si>
  <si>
    <t>annabellehafler@gmail.com</t>
  </si>
  <si>
    <t>Hafler</t>
  </si>
  <si>
    <t>Annabelle Hafler</t>
  </si>
  <si>
    <t>7442 South Wellington St</t>
  </si>
  <si>
    <t>bethpurdum2710@gmail.com</t>
  </si>
  <si>
    <t>mlbbretnjr@gmail.com</t>
  </si>
  <si>
    <t>Purdum</t>
  </si>
  <si>
    <t>Michael Purdum</t>
  </si>
  <si>
    <t>1219 Turner Woods Drive</t>
  </si>
  <si>
    <t>larryandmartha@rocketmail.com</t>
  </si>
  <si>
    <t>aj2hip@rocketmail.com</t>
  </si>
  <si>
    <t>Gabriella Mckinney</t>
  </si>
  <si>
    <t>496 Copper Dr NE</t>
  </si>
  <si>
    <t>metcalfacres@telebeep.com</t>
  </si>
  <si>
    <t>rghorselover314@gmail.com</t>
  </si>
  <si>
    <t>Metcalf</t>
  </si>
  <si>
    <t>Rebecca Metcalf</t>
  </si>
  <si>
    <t>84245 561st Ave.</t>
  </si>
  <si>
    <t>dustinwinslow31@gmail.com</t>
  </si>
  <si>
    <t>Winslow</t>
  </si>
  <si>
    <t>Dustin Winslow</t>
  </si>
  <si>
    <t>8898 cr 9090</t>
  </si>
  <si>
    <t>West plains</t>
  </si>
  <si>
    <t>stephen.hairston@yahoo.com</t>
  </si>
  <si>
    <t>Stephen Hairston</t>
  </si>
  <si>
    <t>5608 Graphite</t>
  </si>
  <si>
    <t>laura.carlson@comcast.net</t>
  </si>
  <si>
    <t>christycarlson99@gmail.com</t>
  </si>
  <si>
    <t>Christy Carlson</t>
  </si>
  <si>
    <t>2332 108th Ave SE</t>
  </si>
  <si>
    <t>azbylot@gmail.com</t>
  </si>
  <si>
    <t>bigbuckkiller45@gmail.com</t>
  </si>
  <si>
    <t>Zbylot</t>
  </si>
  <si>
    <t>Dawson Zbylot</t>
  </si>
  <si>
    <t>18914 Lake Front Dr.</t>
  </si>
  <si>
    <t>mef2@mac.com</t>
  </si>
  <si>
    <t>Morgan Flanigan</t>
  </si>
  <si>
    <t>samanthajoy@sbcglobal.net</t>
  </si>
  <si>
    <t>Samantha Ward</t>
  </si>
  <si>
    <t>10175 La Alegria Dr</t>
  </si>
  <si>
    <t>sydnee.g.142@gmail.com</t>
  </si>
  <si>
    <t>Sydnee Goff</t>
  </si>
  <si>
    <t>79 Mitchell Road</t>
  </si>
  <si>
    <t>Taft</t>
  </si>
  <si>
    <t>jamanndude@ofmlive.net</t>
  </si>
  <si>
    <t>sarahdudeck13@gmail.com</t>
  </si>
  <si>
    <t>Dudeck</t>
  </si>
  <si>
    <t>Sarah Dudeck</t>
  </si>
  <si>
    <t>31646 Trinity Rd.</t>
  </si>
  <si>
    <t>jdude289@gmail.com</t>
  </si>
  <si>
    <t>Joel Dudeck</t>
  </si>
  <si>
    <t>hinkev@altelco.net</t>
  </si>
  <si>
    <t>Hinkev@altelco.net</t>
  </si>
  <si>
    <t>Hinken</t>
  </si>
  <si>
    <t>Joshua Hinken</t>
  </si>
  <si>
    <t>Pine Grove</t>
  </si>
  <si>
    <t>Allendale</t>
  </si>
  <si>
    <t>jcbphil5@gmail.com</t>
  </si>
  <si>
    <t>Jacob Phillips</t>
  </si>
  <si>
    <t>318 Timber Ridge Dr.</t>
  </si>
  <si>
    <t>patty.s.cannella@gmail.com</t>
  </si>
  <si>
    <t>Gabrielle.Cannella@gmail.com</t>
  </si>
  <si>
    <t>Cannella</t>
  </si>
  <si>
    <t>Gabrielle Cannella</t>
  </si>
  <si>
    <t>165 Rosehill Dr W</t>
  </si>
  <si>
    <t>mmmbirdwell@gmail.com</t>
  </si>
  <si>
    <t>sam2000birdwell@gmail.com</t>
  </si>
  <si>
    <t>Birdwell</t>
  </si>
  <si>
    <t>Sam Birdwell</t>
  </si>
  <si>
    <t>572 West Hill Drive</t>
  </si>
  <si>
    <t>regmisuzen@gmail.com</t>
  </si>
  <si>
    <t>Suzen</t>
  </si>
  <si>
    <t>Regmi</t>
  </si>
  <si>
    <t>Suzen Regmi</t>
  </si>
  <si>
    <t>88 Harrington</t>
  </si>
  <si>
    <t>Shelbunre</t>
  </si>
  <si>
    <t>juliebsmith@hotmail.com</t>
  </si>
  <si>
    <t>samuelfrazee@hotmail.com</t>
  </si>
  <si>
    <t>Samuel Frazee</t>
  </si>
  <si>
    <t>627 SE 128th Ave</t>
  </si>
  <si>
    <t>mandi.lindstrom@gmail.com</t>
  </si>
  <si>
    <t>Mandi.lindstrom@gmail.com</t>
  </si>
  <si>
    <t>Amanda Lindstrom</t>
  </si>
  <si>
    <t>1629 570th Street</t>
  </si>
  <si>
    <t>willvanzoest@gmail.com</t>
  </si>
  <si>
    <t>Will Van Zoest</t>
  </si>
  <si>
    <t>rkhaehnel@aol.com</t>
  </si>
  <si>
    <t>brooke.haehnel@gmail.com</t>
  </si>
  <si>
    <t>Haehnel</t>
  </si>
  <si>
    <t>Brooke Haehnel</t>
  </si>
  <si>
    <t>24737 Ben Kelly Rd</t>
  </si>
  <si>
    <t>Morgan Graddon</t>
  </si>
  <si>
    <t>stmobbs@gmail.com</t>
  </si>
  <si>
    <t>cmobbs3130@gmail.com</t>
  </si>
  <si>
    <t>Mobbs</t>
  </si>
  <si>
    <t>Courtney Mobbs</t>
  </si>
  <si>
    <t>3607 Brook Highland Drive</t>
  </si>
  <si>
    <t>Tuscaloosa</t>
  </si>
  <si>
    <t>jtpieters@gmail.com</t>
  </si>
  <si>
    <t>krosem99@gmail.com</t>
  </si>
  <si>
    <t>Kiana Pieters</t>
  </si>
  <si>
    <t>Apartado 10</t>
  </si>
  <si>
    <t>Ojo de Agua Tecamac</t>
  </si>
  <si>
    <t>CP55770</t>
  </si>
  <si>
    <t>jscottlambert@gmail.com</t>
  </si>
  <si>
    <t>pearcelambert@gmail.com</t>
  </si>
  <si>
    <t>Evan Lambert</t>
  </si>
  <si>
    <t>2311 S. Summerbrook Place</t>
  </si>
  <si>
    <t>andria.holt18@gmail.com</t>
  </si>
  <si>
    <t>Andria</t>
  </si>
  <si>
    <t>Andria Holt</t>
  </si>
  <si>
    <t>dhinckley@univestproperties.com</t>
  </si>
  <si>
    <t>jh@ywc-us.com</t>
  </si>
  <si>
    <t>Jackson Hinckley</t>
  </si>
  <si>
    <t>5522 Vista Meadow Dr</t>
  </si>
  <si>
    <t>emc007@austin.rr.com</t>
  </si>
  <si>
    <t>Ellie Cole</t>
  </si>
  <si>
    <t>167 Strackbein Drive</t>
  </si>
  <si>
    <t>bkcrowe@live.com</t>
  </si>
  <si>
    <t>itsbigez5@gmail.com</t>
  </si>
  <si>
    <t>Crowe</t>
  </si>
  <si>
    <t>Ethan Crowe</t>
  </si>
  <si>
    <t>4229 west Buffalo rd</t>
  </si>
  <si>
    <t>Robbinsville</t>
  </si>
  <si>
    <t>gickle22@me.com</t>
  </si>
  <si>
    <t>Wachacha</t>
  </si>
  <si>
    <t>Lindsey Wachacha</t>
  </si>
  <si>
    <t>4229 West Buffalo Road</t>
  </si>
  <si>
    <t>tkpublic@att.net</t>
  </si>
  <si>
    <t>mattv73@zoho.com</t>
  </si>
  <si>
    <t>Viets</t>
  </si>
  <si>
    <t>Matthew Viets</t>
  </si>
  <si>
    <t>Midland City</t>
  </si>
  <si>
    <t>anikalai@cdnis.edu.hk</t>
  </si>
  <si>
    <t>Lai</t>
  </si>
  <si>
    <t>Anika Lai</t>
  </si>
  <si>
    <t>18A, Han Kung Mansion</t>
  </si>
  <si>
    <t>26 Taikoo Shing Rd, Taikoo Shing</t>
  </si>
  <si>
    <t>maggiepepper7@gmail.com</t>
  </si>
  <si>
    <t>Maggie Pepper</t>
  </si>
  <si>
    <t>166 Volunteer Road</t>
  </si>
  <si>
    <t>jmwestwood2000@gmail.com</t>
  </si>
  <si>
    <t>Justin Westwood</t>
  </si>
  <si>
    <t>pjpetry@yahoo.com</t>
  </si>
  <si>
    <t>PJPETRY@YAHOO.COM</t>
  </si>
  <si>
    <t>Benjamin Petry</t>
  </si>
  <si>
    <t>8739 Eagle Springs Dr NE</t>
  </si>
  <si>
    <t>sally.michael@jhilburnpartner.com</t>
  </si>
  <si>
    <t>abbymichael052799@gmail.com</t>
  </si>
  <si>
    <t>Abigail Michael</t>
  </si>
  <si>
    <t>13224 Copenhill Road</t>
  </si>
  <si>
    <t>tyler.apple24@gmail.com</t>
  </si>
  <si>
    <t>Tyler Collins</t>
  </si>
  <si>
    <t>16599 Cedar Circle</t>
  </si>
  <si>
    <t>carolegstanley@gmail.com</t>
  </si>
  <si>
    <t>caylamccoy13@gmail.com</t>
  </si>
  <si>
    <t>Cayla</t>
  </si>
  <si>
    <t>Cayla McCoy</t>
  </si>
  <si>
    <t>895 Alpine Circle</t>
  </si>
  <si>
    <t>tanner_kopp@live.com</t>
  </si>
  <si>
    <t>Koppelmaa</t>
  </si>
  <si>
    <t>Tanner Koppelmaa</t>
  </si>
  <si>
    <t>500 West 10th street #150</t>
  </si>
  <si>
    <t>mimi@bann.com</t>
  </si>
  <si>
    <t>caitlyn@bann.com</t>
  </si>
  <si>
    <t>Caitlyn Bann</t>
  </si>
  <si>
    <t>Rua Cambuci do Vale, 597</t>
  </si>
  <si>
    <t>Apt. 94B</t>
  </si>
  <si>
    <t>04805-110</t>
  </si>
  <si>
    <t>allandersjr@gmail.com</t>
  </si>
  <si>
    <t>grayson.landers1@gmail.com</t>
  </si>
  <si>
    <t>Landers</t>
  </si>
  <si>
    <t>Grayson Landers</t>
  </si>
  <si>
    <t>9411 Falcon Hill Dr.</t>
  </si>
  <si>
    <t>csathomas@hotmail.com</t>
  </si>
  <si>
    <t>aj.logical16@gmail.com</t>
  </si>
  <si>
    <t>Aaron Thomas</t>
  </si>
  <si>
    <t>190 Barren Church Road South</t>
  </si>
  <si>
    <t>cschara@sbcglobal.net_configioDeactivated</t>
  </si>
  <si>
    <t>cschara@sbcglobal.net</t>
  </si>
  <si>
    <t>Schara</t>
  </si>
  <si>
    <t>Mark Schara</t>
  </si>
  <si>
    <t>2460 Cimmaron Dr</t>
  </si>
  <si>
    <t>lori.saxe@gmail.com</t>
  </si>
  <si>
    <t>rachel.j.saxe@gmail.com</t>
  </si>
  <si>
    <t>Saxe</t>
  </si>
  <si>
    <t>Rachel Saxe</t>
  </si>
  <si>
    <t>340 S. Xanadu St.</t>
  </si>
  <si>
    <t>Garrett Safley</t>
  </si>
  <si>
    <t>125 Seven Drive</t>
  </si>
  <si>
    <t>bsgaddy94@verizon.net</t>
  </si>
  <si>
    <t>Gaddy</t>
  </si>
  <si>
    <t>Macy Gaddy</t>
  </si>
  <si>
    <t>3912  Justin Drive</t>
  </si>
  <si>
    <t>rholmes35@me.com</t>
  </si>
  <si>
    <t>averyholmes@me.com</t>
  </si>
  <si>
    <t>Avery Holmes</t>
  </si>
  <si>
    <t>2808 Stanford</t>
  </si>
  <si>
    <t>stephanietmortonn@gmail.com</t>
  </si>
  <si>
    <t>Stephanie Morton</t>
  </si>
  <si>
    <t>420 Williams Rd</t>
  </si>
  <si>
    <t>gracie.michael2001@gmail.com</t>
  </si>
  <si>
    <t>Grace Michael</t>
  </si>
  <si>
    <t>jcnixon03@gmail.com</t>
  </si>
  <si>
    <t>Nixon</t>
  </si>
  <si>
    <t>Jacob Nixon</t>
  </si>
  <si>
    <t>5170 Anderson Avenue</t>
  </si>
  <si>
    <t>ebethdewitt@gmail.com</t>
  </si>
  <si>
    <t>Elizabeth DeWitt</t>
  </si>
  <si>
    <t>mkspharler@yahoo.com</t>
  </si>
  <si>
    <t>spharler29@gmail.com</t>
  </si>
  <si>
    <t>Spharler</t>
  </si>
  <si>
    <t>Michael Spharler</t>
  </si>
  <si>
    <t>2161 Arroyo Road</t>
  </si>
  <si>
    <t>Ukiah</t>
  </si>
  <si>
    <t>momostorm5297@gmail.com</t>
  </si>
  <si>
    <t>Morgan Rakes</t>
  </si>
  <si>
    <t>3504 Grove Park Dr</t>
  </si>
  <si>
    <t>joe@vermilioncap.com</t>
  </si>
  <si>
    <t>betsy.jasper@tcu.edu</t>
  </si>
  <si>
    <t>Betsy Jasper</t>
  </si>
  <si>
    <t>920 2nd Avenue South</t>
  </si>
  <si>
    <t>Ste. 1030</t>
  </si>
  <si>
    <t>mlvivanco@gmail.com</t>
  </si>
  <si>
    <t>cjvivanco98@gmail.com</t>
  </si>
  <si>
    <t>Vivanco</t>
  </si>
  <si>
    <t>Caleb Vivanco</t>
  </si>
  <si>
    <t>3796 Via Real</t>
  </si>
  <si>
    <t>franell_b@yahoo.com</t>
  </si>
  <si>
    <t>dogcowboy02@gmail.com</t>
  </si>
  <si>
    <t>Karson</t>
  </si>
  <si>
    <t>Mahaffy</t>
  </si>
  <si>
    <t>Karson Mahaffy</t>
  </si>
  <si>
    <t>10228 Avenal Street</t>
  </si>
  <si>
    <t>Oakhills</t>
  </si>
  <si>
    <t>kpreston8687@gmail.com</t>
  </si>
  <si>
    <t>Keith Preston</t>
  </si>
  <si>
    <t>6010 Dabney Hill Ct</t>
  </si>
  <si>
    <t>justusrooker@gmail.com</t>
  </si>
  <si>
    <t>justus</t>
  </si>
  <si>
    <t>justus rooker</t>
  </si>
  <si>
    <t>1222 whisper trace lane</t>
  </si>
  <si>
    <t>Peter@granitecreative.com</t>
  </si>
  <si>
    <t>mudmanikin@gmail.com</t>
  </si>
  <si>
    <t>Michael Schmidt</t>
  </si>
  <si>
    <t>818 Collins Rd</t>
  </si>
  <si>
    <t>pshaw18@yahoo.com</t>
  </si>
  <si>
    <t>Burritoslapper37@gmail.com</t>
  </si>
  <si>
    <t>Garrison Shaw</t>
  </si>
  <si>
    <t>222 hwy 359</t>
  </si>
  <si>
    <t>kallisonrein@gmail.com</t>
  </si>
  <si>
    <t>twinklestar.rein@gmail.com</t>
  </si>
  <si>
    <t>Rein</t>
  </si>
  <si>
    <t>Brigitte Rein</t>
  </si>
  <si>
    <t>2330 Fresno St.</t>
  </si>
  <si>
    <t>Los Osos</t>
  </si>
  <si>
    <t>jfconcep@gmail.com</t>
  </si>
  <si>
    <t>kaconcepcion1299@gmail.com</t>
  </si>
  <si>
    <t>Karina Concepcion</t>
  </si>
  <si>
    <t>Urb. Sierra Real</t>
  </si>
  <si>
    <t>G-11 St. 1</t>
  </si>
  <si>
    <t>Cayey</t>
  </si>
  <si>
    <t>Puerto Rico</t>
  </si>
  <si>
    <t>lapeadeoti@gmail.com</t>
  </si>
  <si>
    <t>Lapeadeoti@gmail.com</t>
  </si>
  <si>
    <t>Toluwalope</t>
  </si>
  <si>
    <t>Adeoti</t>
  </si>
  <si>
    <t>Toluwalope Adeoti</t>
  </si>
  <si>
    <t>32 Welton Road</t>
  </si>
  <si>
    <t>Toluwanimi</t>
  </si>
  <si>
    <t>Toluwanimi Adeoti</t>
  </si>
  <si>
    <t>lara.k.tanner@gmail.com</t>
  </si>
  <si>
    <t>Lara Tanner</t>
  </si>
  <si>
    <t>1671 Starwood Dr</t>
  </si>
  <si>
    <t>brandonruns99@gmail.com</t>
  </si>
  <si>
    <t>Brandon Allen</t>
  </si>
  <si>
    <t>409 Twickenham Place</t>
  </si>
  <si>
    <t>hschlon@gmail.com</t>
  </si>
  <si>
    <t>ajschlon@icloud.com</t>
  </si>
  <si>
    <t>Schloneger</t>
  </si>
  <si>
    <t>Allison Schloneger</t>
  </si>
  <si>
    <t>10465 Beeson St. NE</t>
  </si>
  <si>
    <t>Alliance</t>
  </si>
  <si>
    <t>hoysrus@gmail.com</t>
  </si>
  <si>
    <t>Willhoy2000@gmail.com</t>
  </si>
  <si>
    <t>Hoy</t>
  </si>
  <si>
    <t>William Hoy</t>
  </si>
  <si>
    <t>1861 CR 3900</t>
  </si>
  <si>
    <t>lohr5@comcast.net</t>
  </si>
  <si>
    <t>wlohr8@gmail.com</t>
  </si>
  <si>
    <t>Lohr</t>
  </si>
  <si>
    <t>Whitney Lohr</t>
  </si>
  <si>
    <t>870 Indian Springs Drive</t>
  </si>
  <si>
    <t>kelliquigg@comcast.net</t>
  </si>
  <si>
    <t>suzanne.quigg@s-sm.org</t>
  </si>
  <si>
    <t>Quigg</t>
  </si>
  <si>
    <t>Suzanne Quigg</t>
  </si>
  <si>
    <t>1114 Newhall Dr.</t>
  </si>
  <si>
    <t>Faribault</t>
  </si>
  <si>
    <t>sugarnsprinkless@gmail.com</t>
  </si>
  <si>
    <t>Wyatt Norman</t>
  </si>
  <si>
    <t>11108 N Mataro Ave</t>
  </si>
  <si>
    <t>mindy@pierceclan.net</t>
  </si>
  <si>
    <t>maggie@pierceclan.net</t>
  </si>
  <si>
    <t>Margaret Pierce</t>
  </si>
  <si>
    <t>4920 NW 111th Terrace</t>
  </si>
  <si>
    <t>tobaccorootview9@yahoo.com</t>
  </si>
  <si>
    <t>biblegirlnat@gmail.com</t>
  </si>
  <si>
    <t>Grinder</t>
  </si>
  <si>
    <t>Natalia Grinder</t>
  </si>
  <si>
    <t>289 McKeown Ln</t>
  </si>
  <si>
    <t>jessika_norman@ymail.com</t>
  </si>
  <si>
    <t>Jessika</t>
  </si>
  <si>
    <t>Jessika Norman</t>
  </si>
  <si>
    <t>7749 N Paris Dr</t>
  </si>
  <si>
    <t>cjhk@Flingcreek.com</t>
  </si>
  <si>
    <t>rachel@stylishjava.com</t>
  </si>
  <si>
    <t>Hackney</t>
  </si>
  <si>
    <t>Rachel Hackney</t>
  </si>
  <si>
    <t>403511 W 1900 Rd</t>
  </si>
  <si>
    <t>daltonzona@gmail.com</t>
  </si>
  <si>
    <t>Zona</t>
  </si>
  <si>
    <t>Dalton Zona</t>
  </si>
  <si>
    <t>1388 NW 13th ct.</t>
  </si>
  <si>
    <t>fullsomemusic@gmail.com</t>
  </si>
  <si>
    <t>Julian Lopez</t>
  </si>
  <si>
    <t>17 Terra del Valle</t>
  </si>
  <si>
    <t>PR</t>
  </si>
  <si>
    <t>m-mckinney1@ti.com</t>
  </si>
  <si>
    <t>mckinneykri@dallaschristian.com</t>
  </si>
  <si>
    <t>Kristen McKinney</t>
  </si>
  <si>
    <t>1409 Peaceway</t>
  </si>
  <si>
    <t>hoppere98@gmail.com</t>
  </si>
  <si>
    <t>Elizabeth Hopper</t>
  </si>
  <si>
    <t>125 Norbeck Dr</t>
  </si>
  <si>
    <t>Ellensusco@gmail.com</t>
  </si>
  <si>
    <t>krsusman@gmail.com</t>
  </si>
  <si>
    <t>Susman</t>
  </si>
  <si>
    <t>Katie Susman</t>
  </si>
  <si>
    <t>6545 Hastings Dr</t>
  </si>
  <si>
    <t>daphnekemmann@yahoo.com</t>
  </si>
  <si>
    <t>Daphne</t>
  </si>
  <si>
    <t>Kemmann</t>
  </si>
  <si>
    <t>Daphne Kemmann</t>
  </si>
  <si>
    <t>44 Downing Drive</t>
  </si>
  <si>
    <t>mindan600@yahoo.com</t>
  </si>
  <si>
    <t>yang.j.peter@gmail.com</t>
  </si>
  <si>
    <t>yang</t>
  </si>
  <si>
    <t>peter yang</t>
  </si>
  <si>
    <t>600 plantation rd.</t>
  </si>
  <si>
    <t>tallahassee</t>
  </si>
  <si>
    <t>grace.baughman17@gmail.com</t>
  </si>
  <si>
    <t>Baughman</t>
  </si>
  <si>
    <t>Grace Baughman</t>
  </si>
  <si>
    <t>635 Middle View Dr</t>
  </si>
  <si>
    <t>sjcphx@cox.net</t>
  </si>
  <si>
    <t>ccbasimesa@gmail.com</t>
  </si>
  <si>
    <t>Chris Castillo</t>
  </si>
  <si>
    <t>10607 E. Knowles Ave</t>
  </si>
  <si>
    <t>mdodson@bacquae.com</t>
  </si>
  <si>
    <t>lukepdodson@gmail.com</t>
  </si>
  <si>
    <t>Luke Dodson</t>
  </si>
  <si>
    <t>9317 Hopeland Drive</t>
  </si>
  <si>
    <t>emmadodson23@gmail.com</t>
  </si>
  <si>
    <t>Emma Dodson</t>
  </si>
  <si>
    <t>azradtkes@gmail.com</t>
  </si>
  <si>
    <t>rmradtke7@gmail.com</t>
  </si>
  <si>
    <t>Radtke</t>
  </si>
  <si>
    <t>Rachael Radtke</t>
  </si>
  <si>
    <t>7302 E Wilderness TRL</t>
  </si>
  <si>
    <t>Sahuarita</t>
  </si>
  <si>
    <t>melissajradtke@gmail.com</t>
  </si>
  <si>
    <t>Melissa Radtke</t>
  </si>
  <si>
    <t>jen.mortensen3441@gmail.com</t>
  </si>
  <si>
    <t>Jennifer Mortensen</t>
  </si>
  <si>
    <t>5395 Stickney Rd.</t>
  </si>
  <si>
    <t>Clarkston</t>
  </si>
  <si>
    <t>jonah.d.day@gmail.com</t>
  </si>
  <si>
    <t>Jonah Day</t>
  </si>
  <si>
    <t>gershomepp@gmail.com</t>
  </si>
  <si>
    <t>Gershom</t>
  </si>
  <si>
    <t>Gershom Epp</t>
  </si>
  <si>
    <t>308 E. Knott St.</t>
  </si>
  <si>
    <t>colinjmoore1@gmail.com</t>
  </si>
  <si>
    <t>colinjmoore@gmail.com</t>
  </si>
  <si>
    <t>Colin Moore</t>
  </si>
  <si>
    <t>5100 West G Ave</t>
  </si>
  <si>
    <t>sjcphx57@yahoo.com</t>
  </si>
  <si>
    <t>amycastillo221b@yahoo.com</t>
  </si>
  <si>
    <t>Amy Castillo</t>
  </si>
  <si>
    <t>10607 E. Knowles</t>
  </si>
  <si>
    <t>thompson.caleb.d@gmail.com</t>
  </si>
  <si>
    <t>730 Dublin CT</t>
  </si>
  <si>
    <t>johannakasper98@gmail.com</t>
  </si>
  <si>
    <t>Kasper</t>
  </si>
  <si>
    <t>Johanna Kasper</t>
  </si>
  <si>
    <t>3349 Hill RD</t>
  </si>
  <si>
    <t>Melba</t>
  </si>
  <si>
    <t>alaine.hoffman@gmail.com</t>
  </si>
  <si>
    <t>Alaine</t>
  </si>
  <si>
    <t>Alaine Hoffman</t>
  </si>
  <si>
    <t>15075 Jessie Dr</t>
  </si>
  <si>
    <t>fryefamily@me.com</t>
  </si>
  <si>
    <t>ethanfrye@icloud.com</t>
  </si>
  <si>
    <t>Ethan Frye</t>
  </si>
  <si>
    <t>1637 Warner Ave.</t>
  </si>
  <si>
    <t>hjnorton@embarqmail.com</t>
  </si>
  <si>
    <t>Lemon14000@gmail.com</t>
  </si>
  <si>
    <t>Levi Norton</t>
  </si>
  <si>
    <t>7062 US Route 40</t>
  </si>
  <si>
    <t>New Paris</t>
  </si>
  <si>
    <t>roscwright@gmail.com</t>
  </si>
  <si>
    <t>wrightlauren00@gmail.com</t>
  </si>
  <si>
    <t>Lauren Wright</t>
  </si>
  <si>
    <t>shawndady@me.com</t>
  </si>
  <si>
    <t>Dady, Jr.</t>
  </si>
  <si>
    <t>Steven Dady, Jr.</t>
  </si>
  <si>
    <t>1361 Holly Tree Gap Rd.</t>
  </si>
  <si>
    <t>hzibby99@gmail.com</t>
  </si>
  <si>
    <t>Hannah Zbylot</t>
  </si>
  <si>
    <t>judi.withers@gmail.com</t>
  </si>
  <si>
    <t>price.withers@gmail.com</t>
  </si>
  <si>
    <t>Withers</t>
  </si>
  <si>
    <t>Christopher Withers</t>
  </si>
  <si>
    <t>202 Wexleigh Drive</t>
  </si>
  <si>
    <t>withergs@dukes.jmu.edu</t>
  </si>
  <si>
    <t>Gillian Withers</t>
  </si>
  <si>
    <t>imlpr7@gmail.com</t>
  </si>
  <si>
    <t>Isabel Lopez</t>
  </si>
  <si>
    <t>PO BOX 366341</t>
  </si>
  <si>
    <t>San Juan</t>
  </si>
  <si>
    <t>hellomorgan.311@gmail.com</t>
  </si>
  <si>
    <t>Morgan Dunlap</t>
  </si>
  <si>
    <t>308 Fairview Ln.</t>
  </si>
  <si>
    <t>Desloge</t>
  </si>
  <si>
    <t>justinryota@gmail.com</t>
  </si>
  <si>
    <t>Bamba</t>
  </si>
  <si>
    <t>Justin Bamba</t>
  </si>
  <si>
    <t>95-20Besshi-cho Kita-ku</t>
  </si>
  <si>
    <t>Saitamashi</t>
  </si>
  <si>
    <t>331-0821</t>
  </si>
  <si>
    <t>karen21river@gmail.com</t>
  </si>
  <si>
    <t>joshua21river@gmail.com</t>
  </si>
  <si>
    <t>Wanek</t>
  </si>
  <si>
    <t>Joshua Wanek</t>
  </si>
  <si>
    <t>21 Rivermeadow Drive</t>
  </si>
  <si>
    <t>Chelmsford</t>
  </si>
  <si>
    <t>hison@reagan.com</t>
  </si>
  <si>
    <t>connorvance8@gmail.com</t>
  </si>
  <si>
    <t>Connor Huggins</t>
  </si>
  <si>
    <t>200 Burnham Road</t>
  </si>
  <si>
    <t>#411</t>
  </si>
  <si>
    <t>jai000@esd401.org</t>
  </si>
  <si>
    <t>Jaiden</t>
  </si>
  <si>
    <t>Jaiden Duby</t>
  </si>
  <si>
    <t>21632 34th ave s</t>
  </si>
  <si>
    <t>seatac</t>
  </si>
  <si>
    <t>cbmartin1@cox.net</t>
  </si>
  <si>
    <t>Derek Martin</t>
  </si>
  <si>
    <t>1503 E. 12th</t>
  </si>
  <si>
    <t>Ian Quesnel</t>
  </si>
  <si>
    <t>312 Heights Loop</t>
  </si>
  <si>
    <t>Bonners Ferry</t>
  </si>
  <si>
    <t>abeckmc@yahoo.com</t>
  </si>
  <si>
    <t>slater.mclaughlin.student@veritasacademy.net</t>
  </si>
  <si>
    <t>David McLaughlin</t>
  </si>
  <si>
    <t>5807 Republic of Texas</t>
  </si>
  <si>
    <t>jdh142223@yahoo.com</t>
  </si>
  <si>
    <t>Helton</t>
  </si>
  <si>
    <t>Joanna Helton</t>
  </si>
  <si>
    <t>348 Corbin St</t>
  </si>
  <si>
    <t>Summertown</t>
  </si>
  <si>
    <t>74jdawg@gmail.com</t>
  </si>
  <si>
    <t>James St John</t>
  </si>
  <si>
    <t>4165 Sharon Knoll Ct</t>
  </si>
  <si>
    <t>woot280@gmail.com</t>
  </si>
  <si>
    <t>woot280@gmail.copm</t>
  </si>
  <si>
    <t>Charity Boos</t>
  </si>
  <si>
    <t>2740 E Wentwood Dr</t>
  </si>
  <si>
    <t>bentertainment98@gmail.com</t>
  </si>
  <si>
    <t>Hourigan</t>
  </si>
  <si>
    <t>Benjamin Hourigan</t>
  </si>
  <si>
    <t>1302 N. Crystal Terrace</t>
  </si>
  <si>
    <t>pumahockey98@gmail.com</t>
  </si>
  <si>
    <t>DiPuma</t>
  </si>
  <si>
    <t>Noah DiPuma</t>
  </si>
  <si>
    <t>1304 E. 2nd St.</t>
  </si>
  <si>
    <t>Superior</t>
  </si>
  <si>
    <t>kac_gimj@hotmail.com</t>
  </si>
  <si>
    <t>Kali</t>
  </si>
  <si>
    <t>Kali Christensen</t>
  </si>
  <si>
    <t>mitzi.g.jones@gmail.com</t>
  </si>
  <si>
    <t>soccer22jcjones@gmail.com</t>
  </si>
  <si>
    <t>16142 Crusade Court</t>
  </si>
  <si>
    <t>faithgulliver@gmail.com</t>
  </si>
  <si>
    <t>Faith Gulliver</t>
  </si>
  <si>
    <t>2800 Summer Swan Drive</t>
  </si>
  <si>
    <t>brenna.luetke@hotmail.com</t>
  </si>
  <si>
    <t>Brennan Luetke</t>
  </si>
  <si>
    <t>1139 Beverly DR</t>
  </si>
  <si>
    <t>mckinley717@gmail.com</t>
  </si>
  <si>
    <t>gecko1197@gmail.com</t>
  </si>
  <si>
    <t>Klasna</t>
  </si>
  <si>
    <t>Caleb Klasna</t>
  </si>
  <si>
    <t>45 Maier RD</t>
  </si>
  <si>
    <t>reyakae99@gmail.com</t>
  </si>
  <si>
    <t>Ruth Klasna</t>
  </si>
  <si>
    <t>45 Maier Road</t>
  </si>
  <si>
    <t>noelemma99@gmail.com</t>
  </si>
  <si>
    <t>Emma Noel</t>
  </si>
  <si>
    <t>marissa11100@gmail.com</t>
  </si>
  <si>
    <t>Clairebelle</t>
  </si>
  <si>
    <t>Clairebelle Ray</t>
  </si>
  <si>
    <t>16845 Buffalo road</t>
  </si>
  <si>
    <t>Wendell</t>
  </si>
  <si>
    <t>adoughty188@gmail.com</t>
  </si>
  <si>
    <t>Doughty</t>
  </si>
  <si>
    <t>Ashley Doughty</t>
  </si>
  <si>
    <t>188 Mountain Meadow Road</t>
  </si>
  <si>
    <t>mkoths@beau.k12.la.us</t>
  </si>
  <si>
    <t>melkoths@yahoo.com</t>
  </si>
  <si>
    <t>Koths</t>
  </si>
  <si>
    <t>Madalyn Koths</t>
  </si>
  <si>
    <t>2631 Stillwood Rd</t>
  </si>
  <si>
    <t>stormy.rhodes@aol.com</t>
  </si>
  <si>
    <t>Stormy</t>
  </si>
  <si>
    <t>Rhodes</t>
  </si>
  <si>
    <t>Stormy Rhodes</t>
  </si>
  <si>
    <t>1216 Biggs, PO box 9</t>
  </si>
  <si>
    <t>miss.rose1399@gmail.com</t>
  </si>
  <si>
    <t>Elsie</t>
  </si>
  <si>
    <t>Elsie Sexton</t>
  </si>
  <si>
    <t>Jerushah</t>
  </si>
  <si>
    <t>Jerushah Lamb</t>
  </si>
  <si>
    <t>6521 HWY 287</t>
  </si>
  <si>
    <t>hambone.1@juno.com</t>
  </si>
  <si>
    <t>andrew fuller</t>
  </si>
  <si>
    <t>p.o. box 461</t>
  </si>
  <si>
    <t>mango</t>
  </si>
  <si>
    <t>elliek@runestone.net</t>
  </si>
  <si>
    <t>Eleanor Koranda</t>
  </si>
  <si>
    <t>ballfamily8@gmail.com</t>
  </si>
  <si>
    <t>averagenathansphere@gmail.com</t>
  </si>
  <si>
    <t>Nathanael Ball</t>
  </si>
  <si>
    <t>2195 E Valley View Trail</t>
  </si>
  <si>
    <t>isaacball333@gmail.com</t>
  </si>
  <si>
    <t>Isaac Ball</t>
  </si>
  <si>
    <t>hurleyjr@live.com</t>
  </si>
  <si>
    <t>dancemal@live.com</t>
  </si>
  <si>
    <t>Mallory Hurley</t>
  </si>
  <si>
    <t>148 Langston Ridge Drive</t>
  </si>
  <si>
    <t>sharon.m.holst@gmail.com</t>
  </si>
  <si>
    <t>nathanholst3@gmail.com</t>
  </si>
  <si>
    <t>Holst</t>
  </si>
  <si>
    <t>Nathaniel Holst</t>
  </si>
  <si>
    <t>7661 Degood Rd</t>
  </si>
  <si>
    <t>troyborn9269@q.com</t>
  </si>
  <si>
    <t>theeaglewings@q.com</t>
  </si>
  <si>
    <t>Born</t>
  </si>
  <si>
    <t>Kendyl Born</t>
  </si>
  <si>
    <t>9269 William Cody Dr</t>
  </si>
  <si>
    <t>cottrells13@juno.com</t>
  </si>
  <si>
    <t>cellofun11@gmail.com</t>
  </si>
  <si>
    <t>John Cottrell</t>
  </si>
  <si>
    <t>18852 Lister Ln</t>
  </si>
  <si>
    <t>dthoughtsinc@att.net</t>
  </si>
  <si>
    <t>brooken.hales@gmail.com</t>
  </si>
  <si>
    <t>Hales</t>
  </si>
  <si>
    <t>Brooke Hales</t>
  </si>
  <si>
    <t>183 E Garfield Ave</t>
  </si>
  <si>
    <t>Tulare</t>
  </si>
  <si>
    <t>art4ever303@gmail.com</t>
  </si>
  <si>
    <t>Chloe Weberg</t>
  </si>
  <si>
    <t>3762 Black Feather Tr</t>
  </si>
  <si>
    <t>ellalentz@gmail.com</t>
  </si>
  <si>
    <t>Ellary</t>
  </si>
  <si>
    <t>Ellary Lentz</t>
  </si>
  <si>
    <t>2032 E mariposa Grande</t>
  </si>
  <si>
    <t>hubbellacademy@gmail.com</t>
  </si>
  <si>
    <t>Hubbellacademy@gmail.com</t>
  </si>
  <si>
    <t>Emily Hubbell</t>
  </si>
  <si>
    <t>206 W River RD</t>
  </si>
  <si>
    <t>jchill127@gmail.com</t>
  </si>
  <si>
    <t>onehopeonetruthonelife@gmail.com</t>
  </si>
  <si>
    <t>Mikayla Hill</t>
  </si>
  <si>
    <t>3346 Melby St</t>
  </si>
  <si>
    <t>edmant5@comcast.net</t>
  </si>
  <si>
    <t>bball430@outlook.com</t>
  </si>
  <si>
    <t>Edman</t>
  </si>
  <si>
    <t>Caleb Edman</t>
  </si>
  <si>
    <t>13370 Saratoga Springs Way</t>
  </si>
  <si>
    <t>donnaclyde47@yahoo.com_configioDeactivated</t>
  </si>
  <si>
    <t>owenclyde47@yahoo.com</t>
  </si>
  <si>
    <t>Clyde</t>
  </si>
  <si>
    <t>James Clyde</t>
  </si>
  <si>
    <t>11239 Bains Rd.</t>
  </si>
  <si>
    <t>Saint Francisville</t>
  </si>
  <si>
    <t>louizer10@gmail.com</t>
  </si>
  <si>
    <t>HB</t>
  </si>
  <si>
    <t>kimberleegard@aol.com</t>
  </si>
  <si>
    <t>jordanjd@s.dcsk12.com</t>
  </si>
  <si>
    <t>Gard</t>
  </si>
  <si>
    <t>Joseph Gard</t>
  </si>
  <si>
    <t>3500 Longs Peak Circle</t>
  </si>
  <si>
    <t>jnljamison@gmail.com</t>
  </si>
  <si>
    <t>ajamison31@gmail.com</t>
  </si>
  <si>
    <t>Alexa Jamison</t>
  </si>
  <si>
    <t>3264 Pleasant View Drive</t>
  </si>
  <si>
    <t>dcameron2024@gmail.com</t>
  </si>
  <si>
    <t>ryanacameron99@gmail.com</t>
  </si>
  <si>
    <t>Ryan Cameron</t>
  </si>
  <si>
    <t>15814 Cypress Hall Drive</t>
  </si>
  <si>
    <t>emeralds123@icloud.com</t>
  </si>
  <si>
    <t>Emerald</t>
  </si>
  <si>
    <t>Smucker</t>
  </si>
  <si>
    <t>Emerald Smucker</t>
  </si>
  <si>
    <t>450 Orchard Rd</t>
  </si>
  <si>
    <t>jhalverson10@gmail.com</t>
  </si>
  <si>
    <t>Halvejos000@isd284.com</t>
  </si>
  <si>
    <t>Joshua Halverson</t>
  </si>
  <si>
    <t>137 Central Ave S</t>
  </si>
  <si>
    <t>blakeness@hotmail.com</t>
  </si>
  <si>
    <t>Ness</t>
  </si>
  <si>
    <t>Blake Ness</t>
  </si>
  <si>
    <t>4320 Country Shores SW</t>
  </si>
  <si>
    <t>tchon2008@sbcglobal.net</t>
  </si>
  <si>
    <t>echon0421@gmail.com</t>
  </si>
  <si>
    <t>Chon</t>
  </si>
  <si>
    <t>Ethan Chon</t>
  </si>
  <si>
    <t>568 Burke Hollow Dr.</t>
  </si>
  <si>
    <t>tjcrotinger@yahoo.com</t>
  </si>
  <si>
    <t>chriscrotinger@yahoo.com</t>
  </si>
  <si>
    <t>Crotinger</t>
  </si>
  <si>
    <t>Christian Crotinger</t>
  </si>
  <si>
    <t>428 Rock Court Drive</t>
  </si>
  <si>
    <t>tuvesonjoel@gmail.com</t>
  </si>
  <si>
    <t>Joel Tuveson</t>
  </si>
  <si>
    <t>kristinaroegner@gmail.com</t>
  </si>
  <si>
    <t>25754@hudson.k12.oh.us</t>
  </si>
  <si>
    <t>katherine</t>
  </si>
  <si>
    <t>roegner</t>
  </si>
  <si>
    <t>katherine roegner</t>
  </si>
  <si>
    <t>1556 E. Hines HIll Rd</t>
  </si>
  <si>
    <t>dondonna1957@gmail.com</t>
  </si>
  <si>
    <t>Hartley</t>
  </si>
  <si>
    <t>Daniel Hartley</t>
  </si>
  <si>
    <t>Verna</t>
  </si>
  <si>
    <t>mrose@crossroadsonline.tv</t>
  </si>
  <si>
    <t>Stephen Rose</t>
  </si>
  <si>
    <t>kdcooper@kans.com</t>
  </si>
  <si>
    <t>ljcoop228@gmail.com</t>
  </si>
  <si>
    <t>Liza Cooper</t>
  </si>
  <si>
    <t>1426 Sherwood Ln</t>
  </si>
  <si>
    <t>Salina</t>
  </si>
  <si>
    <t>hannahjoyhunt@gmail.com</t>
  </si>
  <si>
    <t>Hannahjoyhunt@gmail.com</t>
  </si>
  <si>
    <t>Hannah Hunt</t>
  </si>
  <si>
    <t>264 Stagecoach Lane</t>
  </si>
  <si>
    <t>Independence</t>
  </si>
  <si>
    <t>fnjneal@gmail.com</t>
  </si>
  <si>
    <t>Jason Neal</t>
  </si>
  <si>
    <t>iggysiegel@gmail.com</t>
  </si>
  <si>
    <t>Benjamin Siegel</t>
  </si>
  <si>
    <t>alfandme@aol.com</t>
  </si>
  <si>
    <t>Mreofan99@gmail.com</t>
  </si>
  <si>
    <t>Mecklenburg</t>
  </si>
  <si>
    <t>Luke Mecklenburg</t>
  </si>
  <si>
    <t>6630 Cheshire Road</t>
  </si>
  <si>
    <t>gbunch@twca.net</t>
  </si>
  <si>
    <t>Gregory Bunch</t>
  </si>
  <si>
    <t>6 Hunnewell Way</t>
  </si>
  <si>
    <t>seiyaam@hotmail.com</t>
  </si>
  <si>
    <t>Seiyaam Jasper S.</t>
  </si>
  <si>
    <t>Miah</t>
  </si>
  <si>
    <t>Seiyaam Jasper S. Miah</t>
  </si>
  <si>
    <t>G/F, Flat 160, Wang Toi Shan, Wing Ling Lei, Pat Heung, NT</t>
  </si>
  <si>
    <t>Micah Mecklenburg</t>
  </si>
  <si>
    <t>stephenhballard@gmail.com</t>
  </si>
  <si>
    <t>chb1247@gmail.com</t>
  </si>
  <si>
    <t>Christopher Ballard</t>
  </si>
  <si>
    <t>6219 Bridlewood Lane</t>
  </si>
  <si>
    <t>clover0905@yahoo.com</t>
  </si>
  <si>
    <t>donnatchloe@yahoo.com</t>
  </si>
  <si>
    <t>Chloe Jenkins</t>
  </si>
  <si>
    <t>1816 Colonial Way Circle</t>
  </si>
  <si>
    <t>benballard122@gmail.com</t>
  </si>
  <si>
    <t>Benjamin Ballard</t>
  </si>
  <si>
    <t>Samuel Ballard</t>
  </si>
  <si>
    <t>brannonafoster@gmail.com</t>
  </si>
  <si>
    <t>Brannon</t>
  </si>
  <si>
    <t>Brannon Foster</t>
  </si>
  <si>
    <t>1157 Evans Cook Rd.</t>
  </si>
  <si>
    <t>wenswartz@gmail.com</t>
  </si>
  <si>
    <t>tyj.swartz@gmail.com</t>
  </si>
  <si>
    <t>Swartzentruber</t>
  </si>
  <si>
    <t>Ty Swartzentruber</t>
  </si>
  <si>
    <t>1677 County Road 995</t>
  </si>
  <si>
    <t>a.neustaeter@gmail.com</t>
  </si>
  <si>
    <t>r.neustaeter@gmail.com</t>
  </si>
  <si>
    <t>Rory</t>
  </si>
  <si>
    <t>Neustaeter</t>
  </si>
  <si>
    <t>Rory Neustaeter</t>
  </si>
  <si>
    <t>Box 1045</t>
  </si>
  <si>
    <t>Swift Current</t>
  </si>
  <si>
    <t>SK</t>
  </si>
  <si>
    <t>S9H3X1</t>
  </si>
  <si>
    <t>cghunter58@yahoo.com</t>
  </si>
  <si>
    <t>Cierra Hunter</t>
  </si>
  <si>
    <t>165 Dutch Farm Road</t>
  </si>
  <si>
    <t>Rockwell</t>
  </si>
  <si>
    <t>scrappingtam@digis.net</t>
  </si>
  <si>
    <t>rowdydogjr@gmail.com</t>
  </si>
  <si>
    <t>Caden Bailey</t>
  </si>
  <si>
    <t>8343 Sage Run Lane</t>
  </si>
  <si>
    <t>kstreit43@gmail.com</t>
  </si>
  <si>
    <t>Kaleb Streit</t>
  </si>
  <si>
    <t>616  Cottonwood Dr.</t>
  </si>
  <si>
    <t>carmenlsmith71@yahoo.com</t>
  </si>
  <si>
    <t>3142530@gmail.com</t>
  </si>
  <si>
    <t>probro214@gmail.com</t>
  </si>
  <si>
    <t>Matthew Kendrick</t>
  </si>
  <si>
    <t>1652 Brookside Road</t>
  </si>
  <si>
    <t>pringabaya.z.grailingen@gmail.com</t>
  </si>
  <si>
    <t>Joshua Newton</t>
  </si>
  <si>
    <t>middleearthmusician@gmail.com</t>
  </si>
  <si>
    <t>David Lawrence</t>
  </si>
  <si>
    <t>5805 Brookbank  Drive</t>
  </si>
  <si>
    <t>alexwagner@watermark.org</t>
  </si>
  <si>
    <t>Landrywags@sbcglobal.net</t>
  </si>
  <si>
    <t>Landry Wagner</t>
  </si>
  <si>
    <t>7908 Bryn Mawr Dr.</t>
  </si>
  <si>
    <t>dorlson@woh.rr.com</t>
  </si>
  <si>
    <t>Delaney Olson</t>
  </si>
  <si>
    <t>5815 Cotner</t>
  </si>
  <si>
    <t>Elida</t>
  </si>
  <si>
    <t>cynthialopez862@gmail.com</t>
  </si>
  <si>
    <t>cynthialopez862@gmail.con</t>
  </si>
  <si>
    <t>Cynthia</t>
  </si>
  <si>
    <t>Cynthia Lopez</t>
  </si>
  <si>
    <t>6525 NE 109th</t>
  </si>
  <si>
    <t>easlingb1@gmail.com</t>
  </si>
  <si>
    <t>Easling</t>
  </si>
  <si>
    <t>Bethany Easling</t>
  </si>
  <si>
    <t>14200 FM 757</t>
  </si>
  <si>
    <t>zosiagirl@gmail.com</t>
  </si>
  <si>
    <t>Sophia Swanson</t>
  </si>
  <si>
    <t>811 Danville Circle</t>
  </si>
  <si>
    <t>lifeisbeautiful00000@gmail.com</t>
  </si>
  <si>
    <t>Jobhaer12@gmail.com</t>
  </si>
  <si>
    <t>Josephine</t>
  </si>
  <si>
    <t>Josephine Ward</t>
  </si>
  <si>
    <t>4030 Prospect Rd</t>
  </si>
  <si>
    <t>Whiteford</t>
  </si>
  <si>
    <t>susan@susangeitner.com</t>
  </si>
  <si>
    <t>zgeitner@embarqmail.com</t>
  </si>
  <si>
    <t>Geitner</t>
  </si>
  <si>
    <t>Zachary Geitner</t>
  </si>
  <si>
    <t>12 Lake June in Winter Dr</t>
  </si>
  <si>
    <t>esglazier@hotmail.com</t>
  </si>
  <si>
    <t>tommyglazier01@gmail.com</t>
  </si>
  <si>
    <t>Thomas Glazier</t>
  </si>
  <si>
    <t>1001 Columbus Circle S</t>
  </si>
  <si>
    <t>mattandkathywalker@gmail.com</t>
  </si>
  <si>
    <t>nickolasjwalker@gmail.com</t>
  </si>
  <si>
    <t>Nicholas Walker</t>
  </si>
  <si>
    <t>3470 Sandy Shore Dr.</t>
  </si>
  <si>
    <t>Metamora</t>
  </si>
  <si>
    <t>chriscorbett2@gmail.com</t>
  </si>
  <si>
    <t>sarahcorbett33@gmail.com</t>
  </si>
  <si>
    <t>Sarah Corbett</t>
  </si>
  <si>
    <t>5104 Prairie Creek Drive</t>
  </si>
  <si>
    <t>rnelso4129@students.pcci.edu</t>
  </si>
  <si>
    <t>Ruth Nelson</t>
  </si>
  <si>
    <t>7408 E 20th Ave</t>
  </si>
  <si>
    <t>piperglidewell@gmail.com</t>
  </si>
  <si>
    <t>Glidewell</t>
  </si>
  <si>
    <t>Piper Glidewell</t>
  </si>
  <si>
    <t>3792 W. Dunwoody St.</t>
  </si>
  <si>
    <t>dcase4195@comcast.net</t>
  </si>
  <si>
    <t>zcase88@gmail.com</t>
  </si>
  <si>
    <t>Zach Case</t>
  </si>
  <si>
    <t>4195 Oakridge Dr</t>
  </si>
  <si>
    <t>heididawnbrennan@gmail.com</t>
  </si>
  <si>
    <t>Jh216781@granburyisd.net</t>
  </si>
  <si>
    <t>Jonathan Hammond</t>
  </si>
  <si>
    <t>4312 cotton wood ct</t>
  </si>
  <si>
    <t>rcthom33@gmail.com</t>
  </si>
  <si>
    <t>wcthom463@gmail.com</t>
  </si>
  <si>
    <t>Thomason</t>
  </si>
  <si>
    <t>Wilson Thomason</t>
  </si>
  <si>
    <t>9140 Old Watermelon Rd</t>
  </si>
  <si>
    <t>molly@doodlepost.org</t>
  </si>
  <si>
    <t>picaboominnesota@gmail.com</t>
  </si>
  <si>
    <t>Sprinkel</t>
  </si>
  <si>
    <t>Moriah Sprinkel</t>
  </si>
  <si>
    <t>PO Box 1656</t>
  </si>
  <si>
    <t>Dhahran</t>
  </si>
  <si>
    <t>Saudi Arabia</t>
  </si>
  <si>
    <t>lsu3517@yahoo.com</t>
  </si>
  <si>
    <t>Penguinsnsaints@gmail.com</t>
  </si>
  <si>
    <t>Catherine Anderson</t>
  </si>
  <si>
    <t>571 Paradise Lane</t>
  </si>
  <si>
    <t>Gordonsville</t>
  </si>
  <si>
    <t>bobbya777@gmail.com</t>
  </si>
  <si>
    <t>Jlukesky1@gmail.com</t>
  </si>
  <si>
    <t>Jordan Arnold</t>
  </si>
  <si>
    <t>7183 Pirie Dr</t>
  </si>
  <si>
    <t>Denham Springs</t>
  </si>
  <si>
    <t>rkpie@bex.net</t>
  </si>
  <si>
    <t>rgk17@bex.net</t>
  </si>
  <si>
    <t>Rebecca Keiser</t>
  </si>
  <si>
    <t>8017 Bridgehampton Drive</t>
  </si>
  <si>
    <t>Waterville</t>
  </si>
  <si>
    <t>bizyboyz@hotmail.com</t>
  </si>
  <si>
    <t>wyley@criss.name</t>
  </si>
  <si>
    <t>Wyley</t>
  </si>
  <si>
    <t>Criss</t>
  </si>
  <si>
    <t>Wyley Criss</t>
  </si>
  <si>
    <t>3475 Oakcrest Dr</t>
  </si>
  <si>
    <t>zreinecke1021@gmail.com</t>
  </si>
  <si>
    <t>Zoe Reinecke</t>
  </si>
  <si>
    <t>scvanm@yahoo.com</t>
  </si>
  <si>
    <t>DAVIVANM@YAHOO.COM</t>
  </si>
  <si>
    <t>DAVID</t>
  </si>
  <si>
    <t>VANMOORLEGHEM</t>
  </si>
  <si>
    <t>DAVID VANMOORLEGHEM</t>
  </si>
  <si>
    <t>20114 CHICAGO ST</t>
  </si>
  <si>
    <t>ELKHORN</t>
  </si>
  <si>
    <t>tgoddardtex@gmail.com</t>
  </si>
  <si>
    <t>aegoddardtex@comcast.net</t>
  </si>
  <si>
    <t>Angela Goddard</t>
  </si>
  <si>
    <t>jbarthelemy@westshorefree.org</t>
  </si>
  <si>
    <t>stillinpa@comcast.net</t>
  </si>
  <si>
    <t>Steiner</t>
  </si>
  <si>
    <t>Jonah Steiner</t>
  </si>
  <si>
    <t>11 Big Horn Ave.</t>
  </si>
  <si>
    <t>Mechanicsburg</t>
  </si>
  <si>
    <t>kgstock@verizon.net</t>
  </si>
  <si>
    <t>Bram</t>
  </si>
  <si>
    <t>Stockbauer</t>
  </si>
  <si>
    <t>Bram Stockbauer</t>
  </si>
  <si>
    <t>2234 Canterbury Drive</t>
  </si>
  <si>
    <t>nc_dalton_gang@frontier.com</t>
  </si>
  <si>
    <t>flying_gnome@frontier.com</t>
  </si>
  <si>
    <t>Adam Dalton</t>
  </si>
  <si>
    <t>107 Sonnett Pl</t>
  </si>
  <si>
    <t>mothersheartcn@gmail.com</t>
  </si>
  <si>
    <t>Wilkins</t>
  </si>
  <si>
    <t>Greta Wilkins</t>
  </si>
  <si>
    <t>525 Coweeta Lake Cir</t>
  </si>
  <si>
    <t>david.mains@magellanlp.com</t>
  </si>
  <si>
    <t>dude@blueseaz.com</t>
  </si>
  <si>
    <t>Joshua Mains</t>
  </si>
  <si>
    <t>2917 Hagen Dr</t>
  </si>
  <si>
    <t>homeschoolthem4@gmail.com</t>
  </si>
  <si>
    <t>jade.white9988@gmail.com</t>
  </si>
  <si>
    <t>Jade</t>
  </si>
  <si>
    <t>Jade Perry</t>
  </si>
  <si>
    <t>336 hillcrest circle</t>
  </si>
  <si>
    <t>etowah</t>
  </si>
  <si>
    <t>bwalker@cspire.com</t>
  </si>
  <si>
    <t>walkermeg@rocketmail.com</t>
  </si>
  <si>
    <t>Megan Walker</t>
  </si>
  <si>
    <t>124 Windsor Blvd</t>
  </si>
  <si>
    <t>joshdaetz@gmail.com</t>
  </si>
  <si>
    <t>Daetz</t>
  </si>
  <si>
    <t>Joshua Daetz</t>
  </si>
  <si>
    <t>5269 Fraser Valley Ln</t>
  </si>
  <si>
    <t>frankie.persons@gmail.com</t>
  </si>
  <si>
    <t>Frankie</t>
  </si>
  <si>
    <t>Persons</t>
  </si>
  <si>
    <t>Frankie Persons</t>
  </si>
  <si>
    <t>4848 135th Ave.</t>
  </si>
  <si>
    <t>Clear Lake</t>
  </si>
  <si>
    <t>d_a_anderson@sympatico.ca</t>
  </si>
  <si>
    <t>Danielle Anderson</t>
  </si>
  <si>
    <t>2922 Place de la Seigneurie</t>
  </si>
  <si>
    <t>Saint-Lazare</t>
  </si>
  <si>
    <t>Quebec</t>
  </si>
  <si>
    <t>J7T2K3</t>
  </si>
  <si>
    <t>dianetoohey4@gmail.com</t>
  </si>
  <si>
    <t>annatoohey99@gmail.com</t>
  </si>
  <si>
    <t>Toohey</t>
  </si>
  <si>
    <t>Anna Toohey</t>
  </si>
  <si>
    <t>2693 Glen Forest Dr.</t>
  </si>
  <si>
    <t>hutchinsm4@gmail.com</t>
  </si>
  <si>
    <t>Mark Hutchins</t>
  </si>
  <si>
    <t>6355 Gough Court</t>
  </si>
  <si>
    <t>jnlduke@gmail.com</t>
  </si>
  <si>
    <t>Dylan Duke</t>
  </si>
  <si>
    <t>401 Spring Street</t>
  </si>
  <si>
    <t>sberry@sc.rr.com</t>
  </si>
  <si>
    <t>gb.behemoth99@gmail.com</t>
  </si>
  <si>
    <t>Gwyneth</t>
  </si>
  <si>
    <t>Gwyneth Berry</t>
  </si>
  <si>
    <t>6432 Winyah Drive</t>
  </si>
  <si>
    <t>sierra.persons@gmail.com</t>
  </si>
  <si>
    <t>Sierra Persons</t>
  </si>
  <si>
    <t>14450 Rhinestone St.</t>
  </si>
  <si>
    <t>#320</t>
  </si>
  <si>
    <t>cowboyjo13@yahoo.com</t>
  </si>
  <si>
    <t>Cowboyjon13@yahoo.com</t>
  </si>
  <si>
    <t>5179 Weaver Dr</t>
  </si>
  <si>
    <t>carleenuhmontano@gmail.com</t>
  </si>
  <si>
    <t>Caleb Montano</t>
  </si>
  <si>
    <t>bucknbrillo@hotmail.com</t>
  </si>
  <si>
    <t>hmgbug@comcast.net</t>
  </si>
  <si>
    <t>Hannah Gaona</t>
  </si>
  <si>
    <t>8095 Old Exchange Dr</t>
  </si>
  <si>
    <t>renaescott@comcast.net</t>
  </si>
  <si>
    <t>williamscott11@comcast.net</t>
  </si>
  <si>
    <t>Will Scott</t>
  </si>
  <si>
    <t>1815 Wild Violet Ct.</t>
  </si>
  <si>
    <t>samhut231@gmail.com</t>
  </si>
  <si>
    <t>Samuel Chu</t>
  </si>
  <si>
    <t>1722 Russell Circle</t>
  </si>
  <si>
    <t>kenw@cadcolorado.com</t>
  </si>
  <si>
    <t>Peywrighttt@gmail.com</t>
  </si>
  <si>
    <t>Peyton Wright</t>
  </si>
  <si>
    <t>5289 West Euclid Place</t>
  </si>
  <si>
    <t>bubbs2460@gmail.com</t>
  </si>
  <si>
    <t>David Brookins</t>
  </si>
  <si>
    <t>2460 NW 108 Drive</t>
  </si>
  <si>
    <t>davina@canyonchurch.org</t>
  </si>
  <si>
    <t>kateshewmaker@gmail.com</t>
  </si>
  <si>
    <t>Shewmaker</t>
  </si>
  <si>
    <t>Katherine Shewmaker</t>
  </si>
  <si>
    <t>4513 W Venture Ct</t>
  </si>
  <si>
    <t>sideoutgabi@gmail.com</t>
  </si>
  <si>
    <t>Gabriella Jenkins</t>
  </si>
  <si>
    <t>2426 W. Memorial Drive</t>
  </si>
  <si>
    <t>jparks@frontier.com</t>
  </si>
  <si>
    <t>jplegoman58@gmail.com</t>
  </si>
  <si>
    <t>Joseph Parks</t>
  </si>
  <si>
    <t>107 Amsterdam Ave. East</t>
  </si>
  <si>
    <t>PO Box 143</t>
  </si>
  <si>
    <t>Hollandale</t>
  </si>
  <si>
    <t>jduval61@yahoo.com</t>
  </si>
  <si>
    <t>Duval</t>
  </si>
  <si>
    <t>Ethan Duval</t>
  </si>
  <si>
    <t>5713 Cedar Crest Court</t>
  </si>
  <si>
    <t>NefrIsrael@Gmail.com</t>
  </si>
  <si>
    <t>YoussefWahba15@Yahoo.com</t>
  </si>
  <si>
    <t>Youssef</t>
  </si>
  <si>
    <t>Youssef Wahba</t>
  </si>
  <si>
    <t>6123 Queens Brigade Ct.</t>
  </si>
  <si>
    <t>cgbinkowski@gmail.com</t>
  </si>
  <si>
    <t>Binkowski</t>
  </si>
  <si>
    <t>Chandler Binkowski</t>
  </si>
  <si>
    <t>1720 Kensington Cir</t>
  </si>
  <si>
    <t>dmjsorsi@gmail.com</t>
  </si>
  <si>
    <t>Dmjsorsi@gmail.com</t>
  </si>
  <si>
    <t>Orsi</t>
  </si>
  <si>
    <t>Joshua Orsi</t>
  </si>
  <si>
    <t>2910 Hunterstown Hampton rd</t>
  </si>
  <si>
    <t>New Oxford</t>
  </si>
  <si>
    <t>dandtsrr@verizon.net</t>
  </si>
  <si>
    <t>Lissalovesthelord@gmail.com</t>
  </si>
  <si>
    <t>Sheffer</t>
  </si>
  <si>
    <t>Elisabeth Sheffer</t>
  </si>
  <si>
    <t>9642 Corsair Dr</t>
  </si>
  <si>
    <t>parksnoah96@gmail.com</t>
  </si>
  <si>
    <t>Noah Parks</t>
  </si>
  <si>
    <t>107 Amsterdam Ave.E.</t>
  </si>
  <si>
    <t>P O Box 143</t>
  </si>
  <si>
    <t>mgwiebe5@hotmail.com</t>
  </si>
  <si>
    <t>meganwiebe5@gmail.com</t>
  </si>
  <si>
    <t>Megan Wiebe</t>
  </si>
  <si>
    <t>33852 Co. Rd. 45</t>
  </si>
  <si>
    <t>walterfam6@cableone.net</t>
  </si>
  <si>
    <t>Annie Walter</t>
  </si>
  <si>
    <t>1306 Eldorado Road</t>
  </si>
  <si>
    <t>tymekai@yahoo.com</t>
  </si>
  <si>
    <t>tristonni7@gmail.com</t>
  </si>
  <si>
    <t>Triston</t>
  </si>
  <si>
    <t>Ioppini</t>
  </si>
  <si>
    <t>Triston Ioppini</t>
  </si>
  <si>
    <t>8680 Portola Road</t>
  </si>
  <si>
    <t>robpeggy1@alliancecom.net</t>
  </si>
  <si>
    <t>Schoon</t>
  </si>
  <si>
    <t>Rachel Schoon</t>
  </si>
  <si>
    <t>301 Country Club Ave.</t>
  </si>
  <si>
    <t>abbi.collins@gmail.com</t>
  </si>
  <si>
    <t>Abbi</t>
  </si>
  <si>
    <t>Abbi Collins</t>
  </si>
  <si>
    <t>12233 Homestead Road</t>
  </si>
  <si>
    <t>sbryngel@gmail.com</t>
  </si>
  <si>
    <t>jamesbryngel@gmail.com</t>
  </si>
  <si>
    <t>Bryngelson</t>
  </si>
  <si>
    <t>Samuel Bryngelson</t>
  </si>
  <si>
    <t>15916 Dakota Lane</t>
  </si>
  <si>
    <t>Rosemount</t>
  </si>
  <si>
    <t>Krista.Beckman111@gmail.com</t>
  </si>
  <si>
    <t>Krista Beckman</t>
  </si>
  <si>
    <t>35544 high prairie trail</t>
  </si>
  <si>
    <t>bafrianeza@comcast.net</t>
  </si>
  <si>
    <t>danfrianeza@gmail.com</t>
  </si>
  <si>
    <t>Frianeza</t>
  </si>
  <si>
    <t>Daniel Frianeza</t>
  </si>
  <si>
    <t>P.O. Box 30034</t>
  </si>
  <si>
    <t>Bellingham</t>
  </si>
  <si>
    <t>calliewasser@gmail.com</t>
  </si>
  <si>
    <t>Wasser</t>
  </si>
  <si>
    <t>Callie Wasser</t>
  </si>
  <si>
    <t>18888 2376 rd</t>
  </si>
  <si>
    <t>Cedaredge</t>
  </si>
  <si>
    <t>esha09@comcast.net</t>
  </si>
  <si>
    <t>maddymdilley@yahoo.com</t>
  </si>
  <si>
    <t>Dilley</t>
  </si>
  <si>
    <t>Madison Dilley</t>
  </si>
  <si>
    <t>4909 Sherry Ann rd nw</t>
  </si>
  <si>
    <t>ameliagray11@gmail.com</t>
  </si>
  <si>
    <t>Amelia Gray</t>
  </si>
  <si>
    <t>106 Poders Ray Lane</t>
  </si>
  <si>
    <t>rachelg813@yahoo.com</t>
  </si>
  <si>
    <t>Rachel Griffin</t>
  </si>
  <si>
    <t>will.leonard@rocketmail.com</t>
  </si>
  <si>
    <t>Jleonard10.98@gmail.com</t>
  </si>
  <si>
    <t>James Leonard</t>
  </si>
  <si>
    <t>148 County Rd 522</t>
  </si>
  <si>
    <t>Etowah</t>
  </si>
  <si>
    <t>TimothyaReed1928@gmail.com</t>
  </si>
  <si>
    <t>Timothy Reed</t>
  </si>
  <si>
    <t>oj.music18@gmail.com</t>
  </si>
  <si>
    <t>Olivia Ulrich</t>
  </si>
  <si>
    <t>1607 County Road 1200 North</t>
  </si>
  <si>
    <t>coltertwentyseven@gmail.com</t>
  </si>
  <si>
    <t>Colter</t>
  </si>
  <si>
    <t>Colter Wagner</t>
  </si>
  <si>
    <t>19480 San Juan Vista Rd.</t>
  </si>
  <si>
    <t>elkridgehomeinspections@gmail.com</t>
  </si>
  <si>
    <t>lexeewilson7@gmail.com</t>
  </si>
  <si>
    <t>Alexeea</t>
  </si>
  <si>
    <t>Alexeea Wilson</t>
  </si>
  <si>
    <t>1036 North Grand Mesa Drive</t>
  </si>
  <si>
    <t>quinton@philipwiebe.com</t>
  </si>
  <si>
    <t>Quinton Wiebe</t>
  </si>
  <si>
    <t>6341 SW 56 Court</t>
  </si>
  <si>
    <t>caleb@infinicada.com</t>
  </si>
  <si>
    <t>Caleb Williams</t>
  </si>
  <si>
    <t>24274 Mesa View Lane</t>
  </si>
  <si>
    <t>rdclanton@gmail.com</t>
  </si>
  <si>
    <t>Clanton</t>
  </si>
  <si>
    <t>Reid Clanton</t>
  </si>
  <si>
    <t>4805 spring meadow Ln unit 4</t>
  </si>
  <si>
    <t>timothy042899@gmail.com</t>
  </si>
  <si>
    <t>Hamin</t>
  </si>
  <si>
    <t>Hamin Park</t>
  </si>
  <si>
    <t>1034 J.F.Kennedy Blvd.</t>
  </si>
  <si>
    <t>#G102</t>
  </si>
  <si>
    <t>nate@c3church.com</t>
  </si>
  <si>
    <t>kbfairfield@gmail.com</t>
  </si>
  <si>
    <t>Mekenzie</t>
  </si>
  <si>
    <t>Mekenzie Fairfield</t>
  </si>
  <si>
    <t>65 Glen Rd</t>
  </si>
  <si>
    <t>PMB 217</t>
  </si>
  <si>
    <t>coulter006@gmail.com</t>
  </si>
  <si>
    <t>gcoulter6@gmail.com</t>
  </si>
  <si>
    <t>Coulter</t>
  </si>
  <si>
    <t>Grace Coulter</t>
  </si>
  <si>
    <t>5736 Springmonte Ct.</t>
  </si>
  <si>
    <t>marionmomof5@gmail.com</t>
  </si>
  <si>
    <t>keithsullivan1999@gmail.com</t>
  </si>
  <si>
    <t>Keith Sullivan</t>
  </si>
  <si>
    <t>1063 River Ave.</t>
  </si>
  <si>
    <t>Gardiner</t>
  </si>
  <si>
    <t>debimasters@yahoo.com</t>
  </si>
  <si>
    <t>Yodaslayer21@yahoo.com</t>
  </si>
  <si>
    <t>Ty Masters</t>
  </si>
  <si>
    <t>8 Metz court</t>
  </si>
  <si>
    <t>mkcarmack@gmail.com</t>
  </si>
  <si>
    <t>ryan.carmack@newcovenant.net</t>
  </si>
  <si>
    <t>Carmack</t>
  </si>
  <si>
    <t>Ryan Carmack</t>
  </si>
  <si>
    <t>5934 S Northern Ridge Rd</t>
  </si>
  <si>
    <t>herdingcats.canfield@gmail.com</t>
  </si>
  <si>
    <t>PO Box 861</t>
  </si>
  <si>
    <t>Aleithia Robe (jasmine12ajr@gmail.com)</t>
  </si>
  <si>
    <t>Aleithia</t>
  </si>
  <si>
    <t>Aleithia Robe</t>
  </si>
  <si>
    <t>joshuarobe22@gmail.com</t>
  </si>
  <si>
    <t>Joshua Robe</t>
  </si>
  <si>
    <t>bethkeany@gmail.com</t>
  </si>
  <si>
    <t>mattkeany@gmail.com</t>
  </si>
  <si>
    <t>Keany</t>
  </si>
  <si>
    <t>Matthew Keany</t>
  </si>
  <si>
    <t>2800 Rioja</t>
  </si>
  <si>
    <t>jaskeany@gmail.com</t>
  </si>
  <si>
    <t>Jason Keany</t>
  </si>
  <si>
    <t>ucry@aol.com</t>
  </si>
  <si>
    <t>the.cole.reynolds@gmail.com</t>
  </si>
  <si>
    <t>Cole Reynolds</t>
  </si>
  <si>
    <t>4341 Lula St.</t>
  </si>
  <si>
    <t>Bellaire</t>
  </si>
  <si>
    <t>mortonandrew18@gmail.com</t>
  </si>
  <si>
    <t>Andrew Morton</t>
  </si>
  <si>
    <t>Alexjunkking@gmail.com</t>
  </si>
  <si>
    <t>Alex Daniels</t>
  </si>
  <si>
    <t>375 Pine Ridge Rd</t>
  </si>
  <si>
    <t>Bluff City</t>
  </si>
  <si>
    <t>mibucsnip25@ridgewoodcable.com</t>
  </si>
  <si>
    <t>kelharm19@gmail.com</t>
  </si>
  <si>
    <t>Kelcie Harmon</t>
  </si>
  <si>
    <t>2004 S. Co. Rd. 1120</t>
  </si>
  <si>
    <t>shayleighharm7@gmail.com</t>
  </si>
  <si>
    <t>Shayla Harmon</t>
  </si>
  <si>
    <t>mamawatt9@sbcglobal.net</t>
  </si>
  <si>
    <t>prov17-17@sbcglobal.net</t>
  </si>
  <si>
    <t>Allison Watkins</t>
  </si>
  <si>
    <t>15707-1 Brown Road</t>
  </si>
  <si>
    <t>susannlilly@yahoo.com</t>
  </si>
  <si>
    <t>tmartinlilly@yahoo.com</t>
  </si>
  <si>
    <t>Lilly</t>
  </si>
  <si>
    <t>Timothy Lilly</t>
  </si>
  <si>
    <t>11201 N County Road 7</t>
  </si>
  <si>
    <t>rosekstarr@gmail.com</t>
  </si>
  <si>
    <t>hopetstarr@gmail.com</t>
  </si>
  <si>
    <t>Hope Starr</t>
  </si>
  <si>
    <t>P. O. Box 862</t>
  </si>
  <si>
    <t>New Castle</t>
  </si>
  <si>
    <t>angeliamarie106@gmail.com</t>
  </si>
  <si>
    <t>Angelia</t>
  </si>
  <si>
    <t>Angelia Sanchez</t>
  </si>
  <si>
    <t>144 N Addison Rd</t>
  </si>
  <si>
    <t>Wood Dale</t>
  </si>
  <si>
    <t>hunnicuttcrew@gmail.com</t>
  </si>
  <si>
    <t>kinsleyhunnicutt@gamil.com</t>
  </si>
  <si>
    <t>Hunnicutt</t>
  </si>
  <si>
    <t>Kinsley Hunnicutt</t>
  </si>
  <si>
    <t>609 South G road</t>
  </si>
  <si>
    <t>larissadaniellecarroll@gmail.com</t>
  </si>
  <si>
    <t>Larissa Carroll</t>
  </si>
  <si>
    <t>9650 Moore Road</t>
  </si>
  <si>
    <t>jnsedlacek2000@gmail.com</t>
  </si>
  <si>
    <t>Sedlacek</t>
  </si>
  <si>
    <t>Jacob Sedlacek</t>
  </si>
  <si>
    <t>2020 Greenway Dr</t>
  </si>
  <si>
    <t>noteworthywga@me.com</t>
  </si>
  <si>
    <t>Windsor Anderton</t>
  </si>
  <si>
    <t>annemejeur@live.com</t>
  </si>
  <si>
    <t>meje4@comcast.net</t>
  </si>
  <si>
    <t>Mejeur</t>
  </si>
  <si>
    <t>Ashley Mejeur</t>
  </si>
  <si>
    <t>1756  15th Avenue North</t>
  </si>
  <si>
    <t>Lake Worth</t>
  </si>
  <si>
    <t>stephen.w.esmond@gmail.com</t>
  </si>
  <si>
    <t>Stephen Esmond</t>
  </si>
  <si>
    <t>1015 Courtland Ave</t>
  </si>
  <si>
    <t>dawnrichardson428@yahoo.com</t>
  </si>
  <si>
    <t>Dustinruns2017@gmail.com</t>
  </si>
  <si>
    <t>Dustin Reynolds</t>
  </si>
  <si>
    <t>179 wainhurst avenue</t>
  </si>
  <si>
    <t>Brinson</t>
  </si>
  <si>
    <t>monaghanchris@icloud.com</t>
  </si>
  <si>
    <t>jp.monaghan@icloud.com</t>
  </si>
  <si>
    <t>chumlan1@memorialhealth.com</t>
  </si>
  <si>
    <t>Noahchumley76@gmail.com</t>
  </si>
  <si>
    <t>Chumley</t>
  </si>
  <si>
    <t>Noah Chumley</t>
  </si>
  <si>
    <t>302 Birch Dr</t>
  </si>
  <si>
    <t>Rincon</t>
  </si>
  <si>
    <t>taylorhammerstein@yahoo.com</t>
  </si>
  <si>
    <t>Hammerstein</t>
  </si>
  <si>
    <t>Taylor Hammerstein</t>
  </si>
  <si>
    <t>36 Myrtlewood Drive</t>
  </si>
  <si>
    <t>melanie@myharmon.net</t>
  </si>
  <si>
    <t>hannah@myharmon.net</t>
  </si>
  <si>
    <t>Hannah Harmon</t>
  </si>
  <si>
    <t>1599 Chatham Parkway</t>
  </si>
  <si>
    <t>Jlane526316@gmail.com</t>
  </si>
  <si>
    <t>Jack Lane</t>
  </si>
  <si>
    <t>128 Cherryfield Lane</t>
  </si>
  <si>
    <t>mklacanilao@gmal.com</t>
  </si>
  <si>
    <t>mklacanilao@gmail.com</t>
  </si>
  <si>
    <t>Lacanilao</t>
  </si>
  <si>
    <t>Mikayla Lacanilao</t>
  </si>
  <si>
    <t>171 Grayson Avenue</t>
  </si>
  <si>
    <t>mshepherd@savcps.com</t>
  </si>
  <si>
    <t>edwinshepherd@gmail.com</t>
  </si>
  <si>
    <t>Edwin</t>
  </si>
  <si>
    <t>Edwin Shepherd</t>
  </si>
  <si>
    <t>21 Monastery Road</t>
  </si>
  <si>
    <t>jwetmore@savcps.com</t>
  </si>
  <si>
    <t>nathanwetmore7@gmail.com</t>
  </si>
  <si>
    <t>Wetmore</t>
  </si>
  <si>
    <t>Nathan Wetmore</t>
  </si>
  <si>
    <t>132 Captain John's Drive</t>
  </si>
  <si>
    <t>ngk4him@hotmail.com</t>
  </si>
  <si>
    <t>Kvanvig</t>
  </si>
  <si>
    <t>Nathaniel Kvanvig</t>
  </si>
  <si>
    <t>5528 Knollwood Drive</t>
  </si>
  <si>
    <t>zackstein08@gmail.com</t>
  </si>
  <si>
    <t>Zack</t>
  </si>
  <si>
    <t>Zack Stein</t>
  </si>
  <si>
    <t>pddoghouse@outlook.com</t>
  </si>
  <si>
    <t>DuPaul</t>
  </si>
  <si>
    <t>Hannah DuPaul</t>
  </si>
  <si>
    <t>dalppcbrummett@gmail.com</t>
  </si>
  <si>
    <t>Brummett</t>
  </si>
  <si>
    <t>David Brummett</t>
  </si>
  <si>
    <t>6650 South Arrowhead Lake Dr</t>
  </si>
  <si>
    <t>floridahorsecrazy@gmail.com</t>
  </si>
  <si>
    <t>Ellie Richter</t>
  </si>
  <si>
    <t>3419 Imperata Dr</t>
  </si>
  <si>
    <t>Rockledge</t>
  </si>
  <si>
    <t>thany@dykson.com</t>
  </si>
  <si>
    <t>Thany</t>
  </si>
  <si>
    <t>Thany Dykson</t>
  </si>
  <si>
    <t>maddywiehe17@gmail.com</t>
  </si>
  <si>
    <t>Maddy Wiehe</t>
  </si>
  <si>
    <t>2616 lee anna dr</t>
  </si>
  <si>
    <t>ryri1997@gmail.com</t>
  </si>
  <si>
    <t>Ryan Richter</t>
  </si>
  <si>
    <t>3419 Imperata Drive</t>
  </si>
  <si>
    <t>scdurio@gmail.com</t>
  </si>
  <si>
    <t>haley_durio@yahoo.com</t>
  </si>
  <si>
    <t>Durio</t>
  </si>
  <si>
    <t>Haley Durio</t>
  </si>
  <si>
    <t>PO BOX 367</t>
  </si>
  <si>
    <t>josephaj803@gmail.com</t>
  </si>
  <si>
    <t>Joseph Johnston</t>
  </si>
  <si>
    <t>savedatcalvary@gmail.com</t>
  </si>
  <si>
    <t>Ebbisaac@gmail.com</t>
  </si>
  <si>
    <t>Edgar</t>
  </si>
  <si>
    <t>Bohannon IV</t>
  </si>
  <si>
    <t>Edgar Bohannon IV</t>
  </si>
  <si>
    <t>460 County Road 185</t>
  </si>
  <si>
    <t>skywardseth@gmail.com</t>
  </si>
  <si>
    <t>Seth Showalter</t>
  </si>
  <si>
    <t>Mount Crawford</t>
  </si>
  <si>
    <t>notafanjcs@aol.com</t>
  </si>
  <si>
    <t>Jacob Steele</t>
  </si>
  <si>
    <t>kathleenmargaretrichardson@gmail.com</t>
  </si>
  <si>
    <t>joshuajosephrichardson@gmail.com</t>
  </si>
  <si>
    <t>220 north highland ave</t>
  </si>
  <si>
    <t>winter garden</t>
  </si>
  <si>
    <t>classic99@earthlink.net</t>
  </si>
  <si>
    <t>finkedz@mail.uc.edu</t>
  </si>
  <si>
    <t>Finke</t>
  </si>
  <si>
    <t>Daniel Finke</t>
  </si>
  <si>
    <t>8243 Saint Andrews Drive</t>
  </si>
  <si>
    <t>armstrongangus@live.com</t>
  </si>
  <si>
    <t>klancy</t>
  </si>
  <si>
    <t>armstrong</t>
  </si>
  <si>
    <t>klancy armstrong</t>
  </si>
  <si>
    <t>55 Cemetery Hill Road</t>
  </si>
  <si>
    <t>bestfamily6@gmail.com</t>
  </si>
  <si>
    <t>ihartbest@gmail.com</t>
  </si>
  <si>
    <t>Hartley Best</t>
  </si>
  <si>
    <t>4505 Preserve Pl</t>
  </si>
  <si>
    <t>zacharyvholmes@gmail.com</t>
  </si>
  <si>
    <t>Zachary Holmes</t>
  </si>
  <si>
    <t>19 Mount Grace</t>
  </si>
  <si>
    <t>polly@gdwns.com</t>
  </si>
  <si>
    <t>jennerose@gdwns.com</t>
  </si>
  <si>
    <t>Jennerose</t>
  </si>
  <si>
    <t>Jennerose Goodwin</t>
  </si>
  <si>
    <t>9835 Prominent Peak Hts.</t>
  </si>
  <si>
    <t>srvjav@juno.com</t>
  </si>
  <si>
    <t>cutuprex3@gmail.com</t>
  </si>
  <si>
    <t>Vaught</t>
  </si>
  <si>
    <t>Abigail Vaught</t>
  </si>
  <si>
    <t>13738 Locust St.</t>
  </si>
  <si>
    <t>kept.by.God@gmail.com</t>
  </si>
  <si>
    <t>jchurty98@gmail.com</t>
  </si>
  <si>
    <t>Hurty</t>
  </si>
  <si>
    <t>Josiah Hurty</t>
  </si>
  <si>
    <t>#118 Calle Olivine</t>
  </si>
  <si>
    <t>Vega Alta</t>
  </si>
  <si>
    <t>United States, Minor Outlying Islands</t>
  </si>
  <si>
    <t>Edmund.hurty@gmail.com</t>
  </si>
  <si>
    <t>Edmund</t>
  </si>
  <si>
    <t>Edmund Hurty</t>
  </si>
  <si>
    <t>mariah.fashions@gmail.com</t>
  </si>
  <si>
    <t>Sarah Hurty</t>
  </si>
  <si>
    <t>afaithsabin@gmail.com</t>
  </si>
  <si>
    <t>Amanda Sabin</t>
  </si>
  <si>
    <t>kt@stoxfam.net</t>
  </si>
  <si>
    <t>flute.stox@yahoo.com</t>
  </si>
  <si>
    <t>Stocksdale</t>
  </si>
  <si>
    <t>Eleanor Stocksdale</t>
  </si>
  <si>
    <t>3110 Old Collinsville Rd</t>
  </si>
  <si>
    <t>garrettzell877@gmail.com</t>
  </si>
  <si>
    <t>Ezell</t>
  </si>
  <si>
    <t>Garrett Ezell</t>
  </si>
  <si>
    <t>P.O. Box 1081</t>
  </si>
  <si>
    <t>overcomer.nowjoy@gmail.com</t>
  </si>
  <si>
    <t>Rosie</t>
  </si>
  <si>
    <t>Rosie Ballard</t>
  </si>
  <si>
    <t>121 Lauren Dr SE</t>
  </si>
  <si>
    <t>margaret.kemp@demingps.org</t>
  </si>
  <si>
    <t>DaHeat34@gmail.com</t>
  </si>
  <si>
    <t>Edward Kemp</t>
  </si>
  <si>
    <t>3760 Happiness Ave. SE</t>
  </si>
  <si>
    <t>newberryjana@gmail.com</t>
  </si>
  <si>
    <t>Jana Newberry</t>
  </si>
  <si>
    <t>444 Spring Field Court</t>
  </si>
  <si>
    <t>johnh@kurtzhomes.com</t>
  </si>
  <si>
    <t>josephghurtado@aol.com</t>
  </si>
  <si>
    <t>Hurtado</t>
  </si>
  <si>
    <t>Joseph Hurtado</t>
  </si>
  <si>
    <t>3004 Ellice Way</t>
  </si>
  <si>
    <t>kellynk@msn.com</t>
  </si>
  <si>
    <t>liamjk4121@gmail.com</t>
  </si>
  <si>
    <t>Liam Kelly</t>
  </si>
  <si>
    <t>1032 6th ave</t>
  </si>
  <si>
    <t>jwtbmt@gmail.com</t>
  </si>
  <si>
    <t>littlemissrst@yahoo.com</t>
  </si>
  <si>
    <t>Rachel Thompson</t>
  </si>
  <si>
    <t>Wray</t>
  </si>
  <si>
    <t>parliervoo@yahoo.com</t>
  </si>
  <si>
    <t>psalm149.3@live.com</t>
  </si>
  <si>
    <t>Evalina</t>
  </si>
  <si>
    <t>Parlier</t>
  </si>
  <si>
    <t>Evalina Parlier</t>
  </si>
  <si>
    <t>109 Tortoise Ln</t>
  </si>
  <si>
    <t>stampinschool@yahoo.com</t>
  </si>
  <si>
    <t>aedismuke2000@sbcglobal.net</t>
  </si>
  <si>
    <t>Dismuke</t>
  </si>
  <si>
    <t>Abigail Dismuke</t>
  </si>
  <si>
    <t>109 Beechwood Lane</t>
  </si>
  <si>
    <t>Kingston</t>
  </si>
  <si>
    <t>rodchaney@gmail.com</t>
  </si>
  <si>
    <t>Chaney</t>
  </si>
  <si>
    <t>Olivia Chaney</t>
  </si>
  <si>
    <t>3425 Tree Farm Road</t>
  </si>
  <si>
    <t>moosegonemad@gmail.com</t>
  </si>
  <si>
    <t>Cameron Chaney</t>
  </si>
  <si>
    <t>3425 Tree Farm ROad</t>
  </si>
  <si>
    <t>abbyhouston1213@gmail.com</t>
  </si>
  <si>
    <t>Abigail Houston</t>
  </si>
  <si>
    <t>jennakv@zoho.com</t>
  </si>
  <si>
    <t>Jenna Viets</t>
  </si>
  <si>
    <t>320 Cypressglade Lane</t>
  </si>
  <si>
    <t>be.hope@yahoo.com</t>
  </si>
  <si>
    <t>biancachuertaa@gmail.com</t>
  </si>
  <si>
    <t>Bianca</t>
  </si>
  <si>
    <t>Huerta</t>
  </si>
  <si>
    <t>Bianca Huerta</t>
  </si>
  <si>
    <t>13230 Lions Peak way</t>
  </si>
  <si>
    <t>poseyville@gmail.com</t>
  </si>
  <si>
    <t>atomposey@gmail.com</t>
  </si>
  <si>
    <t>Posey</t>
  </si>
  <si>
    <t>Adam Posey</t>
  </si>
  <si>
    <t>20110 Centreville Constantine Rd.</t>
  </si>
  <si>
    <t>chasingthreekids@aol.com</t>
  </si>
  <si>
    <t>grace_harper04@aol.com</t>
  </si>
  <si>
    <t>Grace Harper</t>
  </si>
  <si>
    <t>4517 Grand Forest Dr.</t>
  </si>
  <si>
    <t>Schertz</t>
  </si>
  <si>
    <t>A.Omar.98@gmail.com</t>
  </si>
  <si>
    <t>Angelomar</t>
  </si>
  <si>
    <t>Sandoval</t>
  </si>
  <si>
    <t>Angelomar Sandoval</t>
  </si>
  <si>
    <t>766 S. San Miguel</t>
  </si>
  <si>
    <t>Brienna</t>
  </si>
  <si>
    <t>Brienna Levin</t>
  </si>
  <si>
    <t>12869 N. 57th Ave</t>
  </si>
  <si>
    <t>susiewoodford@verizon.net</t>
  </si>
  <si>
    <t>justbelieve32@gmail.com</t>
  </si>
  <si>
    <t>Kelly Woodford</t>
  </si>
  <si>
    <t>327 Tersas CT</t>
  </si>
  <si>
    <t>Lake Mary</t>
  </si>
  <si>
    <t>Mark Levin</t>
  </si>
  <si>
    <t>kmacgibbon@comcast.net</t>
  </si>
  <si>
    <t>cmacgibbon@comcast.net</t>
  </si>
  <si>
    <t>MacGibbon</t>
  </si>
  <si>
    <t>Conner MacGibbon</t>
  </si>
  <si>
    <t>9600 SE 257th Dr</t>
  </si>
  <si>
    <t>Damascus</t>
  </si>
  <si>
    <t>cockerillfamily777@yahoo.com</t>
  </si>
  <si>
    <t>c.cockerill13@gmail.com</t>
  </si>
  <si>
    <t>Cockerill</t>
  </si>
  <si>
    <t>Caleb Cockerill</t>
  </si>
  <si>
    <t>2288 County Road E</t>
  </si>
  <si>
    <t>katiechaffin23@gmail.com</t>
  </si>
  <si>
    <t>Katie Chaffin</t>
  </si>
  <si>
    <t>mitchell_wimbush@sil.org</t>
  </si>
  <si>
    <t>kthemk@gmail.com</t>
  </si>
  <si>
    <t>Wimbush</t>
  </si>
  <si>
    <t>Kira Wimbush</t>
  </si>
  <si>
    <t>2407 Lakeview Ave</t>
  </si>
  <si>
    <t>armyof8@gmail.com</t>
  </si>
  <si>
    <t>jakepalmerjohnson@gmail.com</t>
  </si>
  <si>
    <t>Jake Johnson</t>
  </si>
  <si>
    <t>ddmiller4@sbcglobal.net</t>
  </si>
  <si>
    <t>robijs.n@gmail.com</t>
  </si>
  <si>
    <t>Robert Miller</t>
  </si>
  <si>
    <t>18911 Robin Lane</t>
  </si>
  <si>
    <t>amnerat@gmail.com</t>
  </si>
  <si>
    <t>Ashley-Margaret</t>
  </si>
  <si>
    <t>Ashley-Margaret Nerat</t>
  </si>
  <si>
    <t>W6615 #11.5 RD</t>
  </si>
  <si>
    <t>kschott318@gmail.com</t>
  </si>
  <si>
    <t>kakes1215@gmail.com</t>
  </si>
  <si>
    <t>Kaylynn</t>
  </si>
  <si>
    <t>Diaz-Schott</t>
  </si>
  <si>
    <t>Kaylynn Diaz-Schott</t>
  </si>
  <si>
    <t>7564 Dawn Drive</t>
  </si>
  <si>
    <t>joclowe6@gmail.com</t>
  </si>
  <si>
    <t>lowea17@ucfsd.net</t>
  </si>
  <si>
    <t>Alexandra Lowe</t>
  </si>
  <si>
    <t>100 West Clay Creek Lane</t>
  </si>
  <si>
    <t>Kennett Square</t>
  </si>
  <si>
    <t>pachiorka@hotmail.com</t>
  </si>
  <si>
    <t>zara.pachiorka@hotmail.com</t>
  </si>
  <si>
    <t>Zara</t>
  </si>
  <si>
    <t>Pachiorka</t>
  </si>
  <si>
    <t>Zara Pachiorka</t>
  </si>
  <si>
    <t>28 Lancaster Place</t>
  </si>
  <si>
    <t>Sask</t>
  </si>
  <si>
    <t>S4S2Z4</t>
  </si>
  <si>
    <t>the.banjo.sender@gmail.com</t>
  </si>
  <si>
    <t>miesse4@sbcglobal.net</t>
  </si>
  <si>
    <t>Miesse</t>
  </si>
  <si>
    <t>Jonathan Miesse</t>
  </si>
  <si>
    <t>1741 J W Way</t>
  </si>
  <si>
    <t>drice@nsmc.com</t>
  </si>
  <si>
    <t>AM_Rice@outlook.com</t>
  </si>
  <si>
    <t>Audrey Rice</t>
  </si>
  <si>
    <t>978 West Carson Street</t>
  </si>
  <si>
    <t>leigha.harbert@gmail.com</t>
  </si>
  <si>
    <t>Leigha</t>
  </si>
  <si>
    <t>Harbert</t>
  </si>
  <si>
    <t>Leigha Harbert</t>
  </si>
  <si>
    <t>107 CONNELLY DR.</t>
  </si>
  <si>
    <t>PROSPERITY</t>
  </si>
  <si>
    <t>Lfa2017@gmail.com</t>
  </si>
  <si>
    <t>Laura Anderson</t>
  </si>
  <si>
    <t>17030 Highway 10</t>
  </si>
  <si>
    <t>richoliv@embarqmail.com</t>
  </si>
  <si>
    <t>Jacob Oliver</t>
  </si>
  <si>
    <t>605 Peaceful Way</t>
  </si>
  <si>
    <t>jjjaylimbercalauthor@gmail.com</t>
  </si>
  <si>
    <t>Kori</t>
  </si>
  <si>
    <t>Kori Diaz-Schott</t>
  </si>
  <si>
    <t>117 Ember Way</t>
  </si>
  <si>
    <t>gwinns@gmail.com</t>
  </si>
  <si>
    <t>thomas@innsfamily.com</t>
  </si>
  <si>
    <t>Inns</t>
  </si>
  <si>
    <t>Thomas Inns</t>
  </si>
  <si>
    <t>201 Orchard Drive</t>
  </si>
  <si>
    <t>Catawissa</t>
  </si>
  <si>
    <t>elisabeth@innsfamily.com</t>
  </si>
  <si>
    <t>Elisabeth Inns</t>
  </si>
  <si>
    <t>bondwrite@gmail.com</t>
  </si>
  <si>
    <t>goodnewsgirl1999@gmail.com</t>
  </si>
  <si>
    <t>Wismer</t>
  </si>
  <si>
    <t>Evangeline Wismer</t>
  </si>
  <si>
    <t>8305 Coachmans Court</t>
  </si>
  <si>
    <t>kamyannie@gmail.com</t>
  </si>
  <si>
    <t>Kamryn</t>
  </si>
  <si>
    <t>Kamryn Allen</t>
  </si>
  <si>
    <t>2624 W Rockwell Ave</t>
  </si>
  <si>
    <t>lthemk@gmail.com</t>
  </si>
  <si>
    <t>Lianne</t>
  </si>
  <si>
    <t>Lianne Wimbush</t>
  </si>
  <si>
    <t>2407 Lakeview Avenue</t>
  </si>
  <si>
    <t>Saint Joesph</t>
  </si>
  <si>
    <t>mtcamel@hotmail.com</t>
  </si>
  <si>
    <t>choteau.kammel@outlook.com</t>
  </si>
  <si>
    <t>Choteau</t>
  </si>
  <si>
    <t>Kammel</t>
  </si>
  <si>
    <t>Choteau Kammel</t>
  </si>
  <si>
    <t>4523 Pierce Street</t>
  </si>
  <si>
    <t>nxc025@shsu.edu</t>
  </si>
  <si>
    <t>Nizeyimana</t>
  </si>
  <si>
    <t>Claude</t>
  </si>
  <si>
    <t>Nizeyimana Claude</t>
  </si>
  <si>
    <t>3118 Sunset Oaks St</t>
  </si>
  <si>
    <t>buddinglioness@gmail.com</t>
  </si>
  <si>
    <t>Brauning</t>
  </si>
  <si>
    <t>Kayla Brauning</t>
  </si>
  <si>
    <t>15151 S. 46 St.</t>
  </si>
  <si>
    <t>Roca</t>
  </si>
  <si>
    <t>mdcairns2@gmail.com</t>
  </si>
  <si>
    <t>kitkatcairns@gmail.com</t>
  </si>
  <si>
    <t>Cairns</t>
  </si>
  <si>
    <t>Chloe Cairns</t>
  </si>
  <si>
    <t>5049 326</t>
  </si>
  <si>
    <t>kathryn.g.erb@gmail.com</t>
  </si>
  <si>
    <t>Erb</t>
  </si>
  <si>
    <t>Kathryn Erb</t>
  </si>
  <si>
    <t>117 Holly Way</t>
  </si>
  <si>
    <t>melodywright1965@gmail.com</t>
  </si>
  <si>
    <t>jonesmik177@gmail.com</t>
  </si>
  <si>
    <t>Mikayla Jones</t>
  </si>
  <si>
    <t>406 SE Eaton Street</t>
  </si>
  <si>
    <t>lizmo2019@gmail.com</t>
  </si>
  <si>
    <t>Elizabeth Kelly</t>
  </si>
  <si>
    <t>cathorton@hotmail.com</t>
  </si>
  <si>
    <t>abbiehorton@hotmail.com</t>
  </si>
  <si>
    <t>Abigail Horton</t>
  </si>
  <si>
    <t>405 Page</t>
  </si>
  <si>
    <t>Atwood</t>
  </si>
  <si>
    <t>joshandnancy@juno.com</t>
  </si>
  <si>
    <t>apknut@gmail.com</t>
  </si>
  <si>
    <t>302 S Railway St</t>
  </si>
  <si>
    <t>tmccracken522@gmail.com</t>
  </si>
  <si>
    <t>Tim McCracken</t>
  </si>
  <si>
    <t>Crimson Rose</t>
  </si>
  <si>
    <t>Crimson Rose Sugg</t>
  </si>
  <si>
    <t>isaacnasekos@gmail.com</t>
  </si>
  <si>
    <t>Isaac Nasekos</t>
  </si>
  <si>
    <t>190 Bledsoe Hollow Ln</t>
  </si>
  <si>
    <t>Mosheim</t>
  </si>
  <si>
    <t>gtbms@comcast.net</t>
  </si>
  <si>
    <t>cmb0703@outlook.com</t>
  </si>
  <si>
    <t>Baldwin</t>
  </si>
  <si>
    <t>Caleb Baldwin</t>
  </si>
  <si>
    <t>207 Lakeview Circle</t>
  </si>
  <si>
    <t>harrisonnasekos@students.belhaven.edu</t>
  </si>
  <si>
    <t>harrisonnasekos@student.belhaven.edu</t>
  </si>
  <si>
    <t>3841 Hwy 22</t>
  </si>
  <si>
    <t>kelly.martin@calvaryredbank.org</t>
  </si>
  <si>
    <t>absgraciemartin@gmail.com</t>
  </si>
  <si>
    <t>Abby Martin</t>
  </si>
  <si>
    <t>7627 Nadick Lane</t>
  </si>
  <si>
    <t>schusterlori@yahoo.com</t>
  </si>
  <si>
    <t>William Schuster</t>
  </si>
  <si>
    <t>1313 S Chestnut</t>
  </si>
  <si>
    <t>1mgolden@comcast.net</t>
  </si>
  <si>
    <t>Malora VandeMark (lulumorgan1025@yahoo.com)</t>
  </si>
  <si>
    <t>Malora</t>
  </si>
  <si>
    <t>Vandemark</t>
  </si>
  <si>
    <t>Malora Vandemark</t>
  </si>
  <si>
    <t>7334 Campstool Drive</t>
  </si>
  <si>
    <t>lizzylizard222@gmail.com</t>
  </si>
  <si>
    <t>Elizabeth Schmidt</t>
  </si>
  <si>
    <t>3801 Peppertree Drive</t>
  </si>
  <si>
    <t>catwalsh97@gmail.com</t>
  </si>
  <si>
    <t>Catherine Walsh</t>
  </si>
  <si>
    <t>804 Golf Dr</t>
  </si>
  <si>
    <t>kandakew@gmail.com</t>
  </si>
  <si>
    <t>Candace Walsh</t>
  </si>
  <si>
    <t>ryan.walsh@mariettacap.org</t>
  </si>
  <si>
    <t>Ryan Walsh</t>
  </si>
  <si>
    <t>claudia_hester@aol.com</t>
  </si>
  <si>
    <t>Hester</t>
  </si>
  <si>
    <t>Claudia Hester</t>
  </si>
  <si>
    <t>6971 Diamond Ct</t>
  </si>
  <si>
    <t>Winston</t>
  </si>
  <si>
    <t>katielee@epbfi.com</t>
  </si>
  <si>
    <t>Katie Turner</t>
  </si>
  <si>
    <t>15911 Providence Road</t>
  </si>
  <si>
    <t>Sale Creek</t>
  </si>
  <si>
    <t>liz@cottagecompany.net</t>
  </si>
  <si>
    <t>Kathryn LeBlanc</t>
  </si>
  <si>
    <t>599 Sunset Pointe Drive</t>
  </si>
  <si>
    <t>fullonaviator98@gmail.com</t>
  </si>
  <si>
    <t>Andrew Burton</t>
  </si>
  <si>
    <t>866 Arnold Rd</t>
  </si>
  <si>
    <t>White Bluff</t>
  </si>
  <si>
    <t>jddip7@gmail.com</t>
  </si>
  <si>
    <t>Emma DiPuma</t>
  </si>
  <si>
    <t>vanthom@roadrunner.com</t>
  </si>
  <si>
    <t>michaelat28@yahoo.com</t>
  </si>
  <si>
    <t>Michaela Thomas</t>
  </si>
  <si>
    <t>3012 Neidhart Rd.</t>
  </si>
  <si>
    <t>cecily.elizabeth@hotmail.com</t>
  </si>
  <si>
    <t>Cecily</t>
  </si>
  <si>
    <t>Cecily Peterson</t>
  </si>
  <si>
    <t>bkudder@gmail.com</t>
  </si>
  <si>
    <t>Kudder</t>
  </si>
  <si>
    <t>Bennett Kudder</t>
  </si>
  <si>
    <t>18 Princeton Drive</t>
  </si>
  <si>
    <t>Dix Hills</t>
  </si>
  <si>
    <t>pdlibby@gmail.com</t>
  </si>
  <si>
    <t>Cyclingscottwl@gmail.com</t>
  </si>
  <si>
    <t>Scott Libby</t>
  </si>
  <si>
    <t>1010 Creek Bottom Rd</t>
  </si>
  <si>
    <t>dramamama1207@att.net</t>
  </si>
  <si>
    <t>keatonmcd@att.net</t>
  </si>
  <si>
    <t>Keaton McDonald</t>
  </si>
  <si>
    <t>803 Cargill Street</t>
  </si>
  <si>
    <t>Wharton</t>
  </si>
  <si>
    <t>jessicawiebe42@gmail.com</t>
  </si>
  <si>
    <t>JESWIEBE035@citruscollege.student.edu</t>
  </si>
  <si>
    <t>1223 E Shamwood St</t>
  </si>
  <si>
    <t>lynn@telejoke.com</t>
  </si>
  <si>
    <t>tim@familymentors.com</t>
  </si>
  <si>
    <t>Silva</t>
  </si>
  <si>
    <t>Timothy Silva</t>
  </si>
  <si>
    <t>1685 Greenwood Lane</t>
  </si>
  <si>
    <t>runnerchick227@gmail.com</t>
  </si>
  <si>
    <t>Isabella Dawson</t>
  </si>
  <si>
    <t>2235 Shelby Drive</t>
  </si>
  <si>
    <t>wsupeterurban4@yahoo.com</t>
  </si>
  <si>
    <t>Peter Urban</t>
  </si>
  <si>
    <t>6145 East county rd 50 North</t>
  </si>
  <si>
    <t>Fillmore</t>
  </si>
  <si>
    <t>wjl2832@yahoo.com</t>
  </si>
  <si>
    <t>alinww1@gmail.com</t>
  </si>
  <si>
    <t>Angela Lin</t>
  </si>
  <si>
    <t>12388 Princeton Ave</t>
  </si>
  <si>
    <t>kacolaneri@gmail.com</t>
  </si>
  <si>
    <t>Colaneri</t>
  </si>
  <si>
    <t>Cameron Colaneri</t>
  </si>
  <si>
    <t>7 Ruth's Way</t>
  </si>
  <si>
    <t>Ipswich</t>
  </si>
  <si>
    <t>mgraunikar@sabrenation.org</t>
  </si>
  <si>
    <t>Mary Raunikar</t>
  </si>
  <si>
    <t>danny.mcdowell@windstream.net</t>
  </si>
  <si>
    <t>aviatorsrcool@gmail.com</t>
  </si>
  <si>
    <t>McDowell</t>
  </si>
  <si>
    <t>Elizabeth McDowell</t>
  </si>
  <si>
    <t>3402 Brooktrr Ln</t>
  </si>
  <si>
    <t>joe.roboraider@gmail.com</t>
  </si>
  <si>
    <t>Joseph Phillips</t>
  </si>
  <si>
    <t>cassienicole39@yahoo.com</t>
  </si>
  <si>
    <t>Cassienicole39@yahoo.com</t>
  </si>
  <si>
    <t>Matsinger</t>
  </si>
  <si>
    <t>Cassie Matsinger</t>
  </si>
  <si>
    <t>420 W Spruce</t>
  </si>
  <si>
    <t>mike.public@superbrown.com</t>
  </si>
  <si>
    <t>logan@superbrown.com</t>
  </si>
  <si>
    <t>Logan Brown</t>
  </si>
  <si>
    <t>12814 E Nevada Ave</t>
  </si>
  <si>
    <t>sonja@nutley.org</t>
  </si>
  <si>
    <t>katherine@nutley.org</t>
  </si>
  <si>
    <t>Katherine West</t>
  </si>
  <si>
    <t>35839 57th Ave. S.</t>
  </si>
  <si>
    <t>ghwest16@gmail.com</t>
  </si>
  <si>
    <t>Garrett West</t>
  </si>
  <si>
    <t>jake@guyscorner.us</t>
  </si>
  <si>
    <t>Joseph Guy</t>
  </si>
  <si>
    <t>roepckem.17@gmail.com</t>
  </si>
  <si>
    <t>Mikayla Roepcke</t>
  </si>
  <si>
    <t>e.e.urabe@gmail.com</t>
  </si>
  <si>
    <t>Klinkhammer</t>
  </si>
  <si>
    <t>Noah Klinkhammer</t>
  </si>
  <si>
    <t>2648 Mitchell Avenue</t>
  </si>
  <si>
    <t>Dupont</t>
  </si>
  <si>
    <t>michealmoore1995@gmail.com</t>
  </si>
  <si>
    <t>Micheal</t>
  </si>
  <si>
    <t>Micheal Moore</t>
  </si>
  <si>
    <t>bear4swimming@gmail.com</t>
  </si>
  <si>
    <t>Barrett Lohr</t>
  </si>
  <si>
    <t>29429 clearview cir</t>
  </si>
  <si>
    <t>jlazydslash@gmail.com</t>
  </si>
  <si>
    <t>warrenshafer54@gmail.com</t>
  </si>
  <si>
    <t>Shafer</t>
  </si>
  <si>
    <t>Warren Shafer</t>
  </si>
  <si>
    <t>1409 S. Mesilla St.</t>
  </si>
  <si>
    <t>ktierney@tampabay.rr.com</t>
  </si>
  <si>
    <t>volleyballgrl40@tampabay.rr.com</t>
  </si>
  <si>
    <t>Tierney</t>
  </si>
  <si>
    <t>Nicole Tierney</t>
  </si>
  <si>
    <t>9509 starlite dr</t>
  </si>
  <si>
    <t>Riverview</t>
  </si>
  <si>
    <t>toni.l.lovato@gmail.com</t>
  </si>
  <si>
    <t>lovato.alan11@svvsd.org</t>
  </si>
  <si>
    <t>Lovato</t>
  </si>
  <si>
    <t>Alan Lovato</t>
  </si>
  <si>
    <t>6117 Marble Mill Place</t>
  </si>
  <si>
    <t>eleesolomon09@gmail.com</t>
  </si>
  <si>
    <t>eleesolomon09@hotmail.com</t>
  </si>
  <si>
    <t>Elora Solomon</t>
  </si>
  <si>
    <t>1410 Boise Avenhe</t>
  </si>
  <si>
    <t>russellscott98@icloud.com</t>
  </si>
  <si>
    <t>Russellscott98@icloud.com</t>
  </si>
  <si>
    <t>Russell Richardson</t>
  </si>
  <si>
    <t>24052 141st rd</t>
  </si>
  <si>
    <t>hjdeem@embarqmail.com</t>
  </si>
  <si>
    <t>Hunter Deem</t>
  </si>
  <si>
    <t>michelleandsportz@tampabay.rr.com</t>
  </si>
  <si>
    <t>Michelle Tierney</t>
  </si>
  <si>
    <t>9509 Starlite Dr</t>
  </si>
  <si>
    <t>mindyn@me.com</t>
  </si>
  <si>
    <t>ijnoyes@me.com</t>
  </si>
  <si>
    <t>Ian Noyes</t>
  </si>
  <si>
    <t>30 White Court</t>
  </si>
  <si>
    <t>mdieterich@hotmail.com</t>
  </si>
  <si>
    <t>wolverine44.bf@gmail.com</t>
  </si>
  <si>
    <t>Dieterich</t>
  </si>
  <si>
    <t>Kira Dieterich</t>
  </si>
  <si>
    <t>1944 Chesapeake Lane</t>
  </si>
  <si>
    <t>ssigrist2017@hotmail.com</t>
  </si>
  <si>
    <t>Sigrist</t>
  </si>
  <si>
    <t>Scott Sigrist</t>
  </si>
  <si>
    <t>517 Bear RD</t>
  </si>
  <si>
    <t>katherine_walker97@yahoo.com</t>
  </si>
  <si>
    <t>Katherine Walker</t>
  </si>
  <si>
    <t>2048 CR 426 N</t>
  </si>
  <si>
    <t>efouts@harding.edu</t>
  </si>
  <si>
    <t>Fouts</t>
  </si>
  <si>
    <t>Elizabeth Fouts</t>
  </si>
  <si>
    <t>274 Riverview rd.</t>
  </si>
  <si>
    <t>michael@mccreary.cc</t>
  </si>
  <si>
    <t>shannyn@mccreary.cc</t>
  </si>
  <si>
    <t>Shannyn</t>
  </si>
  <si>
    <t>Shannyn McCreary</t>
  </si>
  <si>
    <t>karrieyarnes@icloud.com</t>
  </si>
  <si>
    <t>ckeidel00@gmail.com</t>
  </si>
  <si>
    <t>Yarnes</t>
  </si>
  <si>
    <t>Connor Yarnes</t>
  </si>
  <si>
    <t>353 West Redoubt Ave Apt A</t>
  </si>
  <si>
    <t>tiny_liss12@yahoo.com</t>
  </si>
  <si>
    <t>Lieffers</t>
  </si>
  <si>
    <t>Alyssa Lieffers</t>
  </si>
  <si>
    <t>6300 Leonard St</t>
  </si>
  <si>
    <t>Coopersville</t>
  </si>
  <si>
    <t>Caleb Langford</t>
  </si>
  <si>
    <t>bethharrison@bellsouth.net</t>
  </si>
  <si>
    <t>oharrison404@gmail.com</t>
  </si>
  <si>
    <t>Olivia Harrison</t>
  </si>
  <si>
    <t>23029 AL Hwy 99</t>
  </si>
  <si>
    <t>r.greathouse@sbcglobal.net</t>
  </si>
  <si>
    <t>silas.greathouse@sbcgobal.net</t>
  </si>
  <si>
    <t>Silas Greathouse</t>
  </si>
  <si>
    <t>jackmwaters@gmail.com</t>
  </si>
  <si>
    <t>Waters</t>
  </si>
  <si>
    <t>Jack Waters</t>
  </si>
  <si>
    <t>6122 Beech Tree Dr.</t>
  </si>
  <si>
    <t>katie@vonguntens.com</t>
  </si>
  <si>
    <t>Kathryn Von Gunten</t>
  </si>
  <si>
    <t>613 Pecan Ave #A</t>
  </si>
  <si>
    <t>morganvongunten@gmail.com</t>
  </si>
  <si>
    <t>thelongbons@gmail.com</t>
  </si>
  <si>
    <t>caleb@project667.com</t>
  </si>
  <si>
    <t>Caleb Longbons</t>
  </si>
  <si>
    <t>27050 Ridge Rd.</t>
  </si>
  <si>
    <t>carannhughes@yahoo.com</t>
  </si>
  <si>
    <t>Caroline Hughes</t>
  </si>
  <si>
    <t>16 Azalea Trail Lane</t>
  </si>
  <si>
    <t>luke.smith.hawkeye@gmail.com</t>
  </si>
  <si>
    <t>lcs@students.calvin.edu</t>
  </si>
  <si>
    <t>4800 myrtle beach drive</t>
  </si>
  <si>
    <t>Sebring</t>
  </si>
  <si>
    <t>shaybee27@yahoo.com</t>
  </si>
  <si>
    <t>tylerlukacz@yahoo.com</t>
  </si>
  <si>
    <t>Lukacz</t>
  </si>
  <si>
    <t>Tyler Lukacz</t>
  </si>
  <si>
    <t>20522 Driftwood Bay Dr</t>
  </si>
  <si>
    <t>rybcorea@yahoo.com</t>
  </si>
  <si>
    <t>passionateworshiper83@gmail.com</t>
  </si>
  <si>
    <t>Shekinah</t>
  </si>
  <si>
    <t>Corea</t>
  </si>
  <si>
    <t>Shekinah Corea</t>
  </si>
  <si>
    <t>12103 Slater Ave</t>
  </si>
  <si>
    <t>taylorecampbell@hotmail.com</t>
  </si>
  <si>
    <t>Taylor Campbell</t>
  </si>
  <si>
    <t>4110 Douglass Loop</t>
  </si>
  <si>
    <t>Usafa</t>
  </si>
  <si>
    <t>wangwirsig@gmail.com</t>
  </si>
  <si>
    <t>Nellye</t>
  </si>
  <si>
    <t>Wirsig</t>
  </si>
  <si>
    <t>Nellye Wirsig</t>
  </si>
  <si>
    <t>2160 Dunlap Rd</t>
  </si>
  <si>
    <t>powersonthego@comcast.net</t>
  </si>
  <si>
    <t>libbysue97@gmail.com</t>
  </si>
  <si>
    <t>Powers</t>
  </si>
  <si>
    <t>Lydia Powers</t>
  </si>
  <si>
    <t>9904 S Counry Knoll</t>
  </si>
  <si>
    <t>efritz@c.ringling.edu</t>
  </si>
  <si>
    <t>Emily Fritz</t>
  </si>
  <si>
    <t>1130 Beechs Tavern Trail</t>
  </si>
  <si>
    <t>Shereeba58@hotmail.com</t>
  </si>
  <si>
    <t>Bookworm1505@hotmail.com</t>
  </si>
  <si>
    <t>Slagle</t>
  </si>
  <si>
    <t>Brenna Slagle</t>
  </si>
  <si>
    <t>1505 Kent St</t>
  </si>
  <si>
    <t>Berwyn</t>
  </si>
  <si>
    <t>saxton@tc3net.com</t>
  </si>
  <si>
    <t>jsaxton@d-pcomm.net</t>
  </si>
  <si>
    <t>Saxton</t>
  </si>
  <si>
    <t>Jennifer Saxton</t>
  </si>
  <si>
    <t>5871 Crockett</t>
  </si>
  <si>
    <t>Blissfield</t>
  </si>
  <si>
    <t>tenisebogus@hotmail.com</t>
  </si>
  <si>
    <t>carissabogus@gmail.com</t>
  </si>
  <si>
    <t>Bogus</t>
  </si>
  <si>
    <t>Carissa Bogus</t>
  </si>
  <si>
    <t>47341 806th</t>
  </si>
  <si>
    <t>kmstanley3@protonmail.com</t>
  </si>
  <si>
    <t>Kimberley Stanley</t>
  </si>
  <si>
    <t>agape@gpcom.net</t>
  </si>
  <si>
    <t>brett.haidle@gmail.com</t>
  </si>
  <si>
    <t>Haidle</t>
  </si>
  <si>
    <t>Brett Haidle</t>
  </si>
  <si>
    <t>107 S Cameron</t>
  </si>
  <si>
    <t>PO Box 158</t>
  </si>
  <si>
    <t>gdssturm@gmail.com</t>
  </si>
  <si>
    <t>startthedaywithabang@hotmail.com</t>
  </si>
  <si>
    <t>Sturm</t>
  </si>
  <si>
    <t>Christina Sturm</t>
  </si>
  <si>
    <t>1098 Granite Drive</t>
  </si>
  <si>
    <t>admin@cookinletalaska.org</t>
  </si>
  <si>
    <t>warrior.hunter98@gmail.com</t>
  </si>
  <si>
    <t>Brooke Kent</t>
  </si>
  <si>
    <t>153 Hillcrest Avenue</t>
  </si>
  <si>
    <t>mariaelenaborrell@hotmail.com</t>
  </si>
  <si>
    <t>Borrel</t>
  </si>
  <si>
    <t>Maria Borrel</t>
  </si>
  <si>
    <t>jwilso82@mycctc.cctech.edu</t>
  </si>
  <si>
    <t>James Wilson</t>
  </si>
  <si>
    <t>Sofia</t>
  </si>
  <si>
    <t>Sofia Estrella</t>
  </si>
  <si>
    <t>18sengstockcm@rbhs208.net</t>
  </si>
  <si>
    <t>Sengstock</t>
  </si>
  <si>
    <t>Chandler Sengstock</t>
  </si>
  <si>
    <t>Arden Avenue</t>
  </si>
  <si>
    <t>Apt. 2</t>
  </si>
  <si>
    <t>madisonrose78225@gmail.com</t>
  </si>
  <si>
    <t>crone</t>
  </si>
  <si>
    <t>madison crone</t>
  </si>
  <si>
    <t>4630 1st Ave</t>
  </si>
  <si>
    <t>lyons</t>
  </si>
  <si>
    <t>Sparklekya.613@gmail.com</t>
  </si>
  <si>
    <t>Kya</t>
  </si>
  <si>
    <t>Kya Connolly</t>
  </si>
  <si>
    <t>10035 Devonwood Court</t>
  </si>
  <si>
    <t>moriahneumayer@hotmail.com</t>
  </si>
  <si>
    <t>Moriahneumayer@hotmail.com</t>
  </si>
  <si>
    <t>Moriah Neumayer</t>
  </si>
  <si>
    <t>3533 Pinewood Ct.</t>
  </si>
  <si>
    <t>lvwerkhoven@gmail.com</t>
  </si>
  <si>
    <t>mavway02@gmail.com</t>
  </si>
  <si>
    <t>Marcel</t>
  </si>
  <si>
    <t>Marcel van Werkhoven</t>
  </si>
  <si>
    <t>5404 Crater Lake Dr</t>
  </si>
  <si>
    <t>samayo@mminternet.com</t>
  </si>
  <si>
    <t>sarahmayo072@gmail.com</t>
  </si>
  <si>
    <t>Sarah Mayo</t>
  </si>
  <si>
    <t>25349 Howard Dr.</t>
  </si>
  <si>
    <t>rafik.onsi.anis@gmail.com</t>
  </si>
  <si>
    <t>Rafik</t>
  </si>
  <si>
    <t>Abousoliman</t>
  </si>
  <si>
    <t>Rafik Abousoliman</t>
  </si>
  <si>
    <t>11555 Santa Gertrudes Avenue</t>
  </si>
  <si>
    <t>Apt 33</t>
  </si>
  <si>
    <t>fundrunnerlady@yahoo.com</t>
  </si>
  <si>
    <t>lavisallison69@yahoo.com</t>
  </si>
  <si>
    <t>Lavis</t>
  </si>
  <si>
    <t>Allison Lavis</t>
  </si>
  <si>
    <t>502 North Pine Grove</t>
  </si>
  <si>
    <t>tntorner1@gmail.com</t>
  </si>
  <si>
    <t>Torner, Jr</t>
  </si>
  <si>
    <t>Gary Torner, Jr</t>
  </si>
  <si>
    <t>4701 Tennessee Ave</t>
  </si>
  <si>
    <t>mjraya7@yahoo.com</t>
  </si>
  <si>
    <t>Gav.raya@gmail.com</t>
  </si>
  <si>
    <t>Gavin Raya</t>
  </si>
  <si>
    <t>40407 Lake Riverside Dr.</t>
  </si>
  <si>
    <t>Aguanga</t>
  </si>
  <si>
    <t>Paula</t>
  </si>
  <si>
    <t>Paula Hernandez</t>
  </si>
  <si>
    <t>rockofthemountains@gmail.com</t>
  </si>
  <si>
    <t>jbrdmnt@gmail.com</t>
  </si>
  <si>
    <t>Dumont</t>
  </si>
  <si>
    <t>Justus Dumont</t>
  </si>
  <si>
    <t>11 Birch Ave</t>
  </si>
  <si>
    <t>joshklischer@gmail.com</t>
  </si>
  <si>
    <t>Josh Klischer</t>
  </si>
  <si>
    <t>2945 Ocher St</t>
  </si>
  <si>
    <t>ambushtoo@yahoo.com</t>
  </si>
  <si>
    <t>zazzyfox@gmail.com</t>
  </si>
  <si>
    <t>Bushu</t>
  </si>
  <si>
    <t>Sterling Bushu</t>
  </si>
  <si>
    <t>42536 55th St W</t>
  </si>
  <si>
    <t>Quartz Hill</t>
  </si>
  <si>
    <t>eskoester@gmail.com</t>
  </si>
  <si>
    <t>faithkoester22@gmail.com</t>
  </si>
  <si>
    <t>Koester</t>
  </si>
  <si>
    <t>Faith Koester</t>
  </si>
  <si>
    <t>2601 Lillehammer Drive</t>
  </si>
  <si>
    <t>pinkpal808@gmail.com</t>
  </si>
  <si>
    <t>Alexandria Beecher</t>
  </si>
  <si>
    <t>800s 15th st.</t>
  </si>
  <si>
    <t>dihabashy@gmail.com</t>
  </si>
  <si>
    <t>Daniel Habashy</t>
  </si>
  <si>
    <t>6123 Queens Brigade Ct</t>
  </si>
  <si>
    <t>keckfam6@aol.com</t>
  </si>
  <si>
    <t>ckeck@desertchristianacademy.org</t>
  </si>
  <si>
    <t>Carlin</t>
  </si>
  <si>
    <t>Keck</t>
  </si>
  <si>
    <t>Carlin Keck</t>
  </si>
  <si>
    <t>79560 Bermuda Dunes Drive</t>
  </si>
  <si>
    <t>Bermuda Dunes</t>
  </si>
  <si>
    <t>jd.ceklic@ircs.org</t>
  </si>
  <si>
    <t>Jovan</t>
  </si>
  <si>
    <t>Ceklic</t>
  </si>
  <si>
    <t>Jovan Ceklic</t>
  </si>
  <si>
    <t>10397 Nina St</t>
  </si>
  <si>
    <t>camilleshattler@gmail.com</t>
  </si>
  <si>
    <t>Shattler</t>
  </si>
  <si>
    <t>Camille Shattler</t>
  </si>
  <si>
    <t>1711 Chapel Hill St.</t>
  </si>
  <si>
    <t>davisusmc@yahoo.com</t>
  </si>
  <si>
    <t>jpdavisusmc@gmail.com</t>
  </si>
  <si>
    <t>Jack Davis</t>
  </si>
  <si>
    <t>1720 Smoke Ridge Drive</t>
  </si>
  <si>
    <t>ana@guyscorner.us</t>
  </si>
  <si>
    <t>Adriana</t>
  </si>
  <si>
    <t>Adriana Guy</t>
  </si>
  <si>
    <t>luannkirkham@roadrunner.com</t>
  </si>
  <si>
    <t>geekygirlanna12@gmail.com</t>
  </si>
  <si>
    <t>Kirkham</t>
  </si>
  <si>
    <t>Anna Kirkham</t>
  </si>
  <si>
    <t>8052 W. Canal St.</t>
  </si>
  <si>
    <t>Rathdrum</t>
  </si>
  <si>
    <t>kcsmith7740@me.com</t>
  </si>
  <si>
    <t>Livymarie16@icloud.com</t>
  </si>
  <si>
    <t>Olivia Smith</t>
  </si>
  <si>
    <t>307 N 36th Ave</t>
  </si>
  <si>
    <t>Keenan12ncc@gmail.com-OLD</t>
  </si>
  <si>
    <t>keenancx@gmail.com</t>
  </si>
  <si>
    <t>Keenan</t>
  </si>
  <si>
    <t>Keenan Cox</t>
  </si>
  <si>
    <t>8161 Old Pond Creek Road</t>
  </si>
  <si>
    <t>Pegram</t>
  </si>
  <si>
    <t>studio@nordviksphotography.com</t>
  </si>
  <si>
    <t>nordviksvideo@gmail.com</t>
  </si>
  <si>
    <t>Nordvik</t>
  </si>
  <si>
    <t>Ashley Nordvik</t>
  </si>
  <si>
    <t>19273 7th ST SE</t>
  </si>
  <si>
    <t>nathangoddard99@yahoo.com</t>
  </si>
  <si>
    <t>Nathan Goddard</t>
  </si>
  <si>
    <t>327 Davis Street</t>
  </si>
  <si>
    <t>Northborough</t>
  </si>
  <si>
    <t>lotrqueen2001@gmail.com</t>
  </si>
  <si>
    <t>Slack</t>
  </si>
  <si>
    <t>Sarah Slack</t>
  </si>
  <si>
    <t>PO Box 150231</t>
  </si>
  <si>
    <t>cthomas2006@hotmail.com</t>
  </si>
  <si>
    <t>talia.noelle@live.com</t>
  </si>
  <si>
    <t>Talia Williams</t>
  </si>
  <si>
    <t>306 N. Madison Ave.</t>
  </si>
  <si>
    <t>ptrephan@comcast.net</t>
  </si>
  <si>
    <t>etrephan@gmail.com</t>
  </si>
  <si>
    <t>Trephan</t>
  </si>
  <si>
    <t>Elizabeth Trephan</t>
  </si>
  <si>
    <t>2414 Los Robles Drive</t>
  </si>
  <si>
    <t>Fernandina Beach</t>
  </si>
  <si>
    <t>joshart13evans@yahoo.com</t>
  </si>
  <si>
    <t>Josh Evans</t>
  </si>
  <si>
    <t>guthriedianne@yahoo.com</t>
  </si>
  <si>
    <t>whitneycguthrie@gmail.com</t>
  </si>
  <si>
    <t>Whitney Guthrie</t>
  </si>
  <si>
    <t>835 Leslie Lane</t>
  </si>
  <si>
    <t>isaacnstone@gmail.com</t>
  </si>
  <si>
    <t>Isaac Stone</t>
  </si>
  <si>
    <t>3540 Lost Hills Ct.</t>
  </si>
  <si>
    <t>cainsarah5@gmail.com</t>
  </si>
  <si>
    <t>Sarah Cain</t>
  </si>
  <si>
    <t>254 Rolling Hills Lane</t>
  </si>
  <si>
    <t>Jacksboro</t>
  </si>
  <si>
    <t>tyleratherton12@gmail.com</t>
  </si>
  <si>
    <t>Atherton</t>
  </si>
  <si>
    <t>Tyler Atherton</t>
  </si>
  <si>
    <t>676 Murray Drive</t>
  </si>
  <si>
    <t>stukdo@gmail.com</t>
  </si>
  <si>
    <t>jimbocad@gmail.com</t>
  </si>
  <si>
    <t>Cadieu</t>
  </si>
  <si>
    <t>James Cadieu</t>
  </si>
  <si>
    <t>1270 Windwood Farm Loop</t>
  </si>
  <si>
    <t>bethany@thejobes.com</t>
  </si>
  <si>
    <t>Bethany Jobe</t>
  </si>
  <si>
    <t>183 Rembrandt Dr</t>
  </si>
  <si>
    <t>jack.starcher@icloud.com</t>
  </si>
  <si>
    <t>jack@thesewellfamily.net</t>
  </si>
  <si>
    <t>Sewell</t>
  </si>
  <si>
    <t>Jack Sewell</t>
  </si>
  <si>
    <t>8355 Poison Oak Road</t>
  </si>
  <si>
    <t>Number 11</t>
  </si>
  <si>
    <t>dtbbarker@yahoo.com</t>
  </si>
  <si>
    <t>barker1617@yahoo.com</t>
  </si>
  <si>
    <t>Brian Barker</t>
  </si>
  <si>
    <t>2443 Somervell Tr</t>
  </si>
  <si>
    <t>andyandannalong@gmail.com</t>
  </si>
  <si>
    <t>abbilong@gmail.com</t>
  </si>
  <si>
    <t>Abagail</t>
  </si>
  <si>
    <t>Abagail Long</t>
  </si>
  <si>
    <t>24920 Nick Davis Road</t>
  </si>
  <si>
    <t>rakchazak2000@gmail.com</t>
  </si>
  <si>
    <t>Whelan</t>
  </si>
  <si>
    <t>Matthew Whelan</t>
  </si>
  <si>
    <t>412 Weatherby Dr.</t>
  </si>
  <si>
    <t>Sally Whelan</t>
  </si>
  <si>
    <t>firmontherock@gmail.com</t>
  </si>
  <si>
    <t>Haley Whelan</t>
  </si>
  <si>
    <t>412 Weatherby Drive</t>
  </si>
  <si>
    <t>barbarabiz@handfam.org</t>
  </si>
  <si>
    <t>samuel@handfam.org</t>
  </si>
  <si>
    <t>Hand</t>
  </si>
  <si>
    <t>Samuel Hand</t>
  </si>
  <si>
    <t>3336 Langston Circle</t>
  </si>
  <si>
    <t>literallykim5@gmail.com</t>
  </si>
  <si>
    <t>jmurphy5263@gmail.com</t>
  </si>
  <si>
    <t>Jack Murphy</t>
  </si>
  <si>
    <t>oliviafritz@icloud.com</t>
  </si>
  <si>
    <t>Oliviafritz@icloud.com</t>
  </si>
  <si>
    <t>Olivia Fritz</t>
  </si>
  <si>
    <t>1130 Beech's Tavern Trl</t>
  </si>
  <si>
    <t>morgan.clark7838@gmail.com</t>
  </si>
  <si>
    <t>Morgan Clark</t>
  </si>
  <si>
    <t>423 Co Rd 181</t>
  </si>
  <si>
    <t>popcornwalls@gmail.com</t>
  </si>
  <si>
    <t>1karatejoey@gmail.com</t>
  </si>
  <si>
    <t>Cornwall</t>
  </si>
  <si>
    <t>Joseph Cornwall</t>
  </si>
  <si>
    <t>4221 Riverglen St</t>
  </si>
  <si>
    <t>rbruceinc@sbcglobal.net</t>
  </si>
  <si>
    <t>elevia.bruce@gmail.com</t>
  </si>
  <si>
    <t>Elevia</t>
  </si>
  <si>
    <t>Elevia Bruce</t>
  </si>
  <si>
    <t>221 S Arrington Dr</t>
  </si>
  <si>
    <t>17jprudence@cgrove417.org</t>
  </si>
  <si>
    <t>Prudence</t>
  </si>
  <si>
    <t>Jessica Prudence</t>
  </si>
  <si>
    <t>307 S 4th St</t>
  </si>
  <si>
    <t>ccbpannell@yahoo.com</t>
  </si>
  <si>
    <t>wolfgang3775@gmail.com</t>
  </si>
  <si>
    <t>Cedric</t>
  </si>
  <si>
    <t>Pannell</t>
  </si>
  <si>
    <t>Cedric Pannell</t>
  </si>
  <si>
    <t>2512 St. Andrew Ct.</t>
  </si>
  <si>
    <t>17khula@cgrove417.org</t>
  </si>
  <si>
    <t>Kobe</t>
  </si>
  <si>
    <t>Kobe Hula</t>
  </si>
  <si>
    <t>804 Hays</t>
  </si>
  <si>
    <t>theschuberts1@msn.com</t>
  </si>
  <si>
    <t>seabreezerose@hotmail.com</t>
  </si>
  <si>
    <t>Schubert</t>
  </si>
  <si>
    <t>Carissa Schubert</t>
  </si>
  <si>
    <t>1588 Cheetah Pl</t>
  </si>
  <si>
    <t>legokrazynate@hotmail.com</t>
  </si>
  <si>
    <t>Nathan Schubert</t>
  </si>
  <si>
    <t>sarad@consolidated.net</t>
  </si>
  <si>
    <t>Dancingartist99@yahoo.com</t>
  </si>
  <si>
    <t>Derksen</t>
  </si>
  <si>
    <t>Lydia Derksen</t>
  </si>
  <si>
    <t>7 Lancelot Lane</t>
  </si>
  <si>
    <t>conversefamily@yahoo.com</t>
  </si>
  <si>
    <t>gconverse15@gmail.com</t>
  </si>
  <si>
    <t>Converse</t>
  </si>
  <si>
    <t>Grace Converse</t>
  </si>
  <si>
    <t>105 Colonial Way NE</t>
  </si>
  <si>
    <t>Calhoun</t>
  </si>
  <si>
    <t>ajarecki@comcast.net</t>
  </si>
  <si>
    <t>Jarecki</t>
  </si>
  <si>
    <t>Madeleine Jarecki</t>
  </si>
  <si>
    <t>theerictoussaint@gmail.com</t>
  </si>
  <si>
    <t>tousssaint Jr</t>
  </si>
  <si>
    <t>Eric tousssaint Jr</t>
  </si>
  <si>
    <t>9313 quail roost rd</t>
  </si>
  <si>
    <t>bahama</t>
  </si>
  <si>
    <t>rockphonian@gmail.com</t>
  </si>
  <si>
    <t>Rockphonian@gmail.com</t>
  </si>
  <si>
    <t>Fine</t>
  </si>
  <si>
    <t>Tim Fine</t>
  </si>
  <si>
    <t>2899 Sierra Drive</t>
  </si>
  <si>
    <t>borchrk@me.com</t>
  </si>
  <si>
    <t>epicsportsfan718@gmail.com</t>
  </si>
  <si>
    <t>Daniel Borchert</t>
  </si>
  <si>
    <t>promisefulfilled@gmail.com</t>
  </si>
  <si>
    <t>profulfilled@gmail.commise</t>
  </si>
  <si>
    <t>Josiah Roberts</t>
  </si>
  <si>
    <t>2017 Redbank Drive</t>
  </si>
  <si>
    <t>sngraf3@cox.net</t>
  </si>
  <si>
    <t>Graf</t>
  </si>
  <si>
    <t>Elizabeth Graf</t>
  </si>
  <si>
    <t>409 High View Way</t>
  </si>
  <si>
    <t>WARNER ROBINS</t>
  </si>
  <si>
    <t>lemming01@mail.ru</t>
  </si>
  <si>
    <t>Ilya</t>
  </si>
  <si>
    <t>Besedin</t>
  </si>
  <si>
    <t>Ilya Besedin</t>
  </si>
  <si>
    <t>prospekt Lenina 99-2</t>
  </si>
  <si>
    <t>Barnaul</t>
  </si>
  <si>
    <t>Altai Krai</t>
  </si>
  <si>
    <t>Russian Federation</t>
  </si>
  <si>
    <t>bjsullivan2529@gmail.com</t>
  </si>
  <si>
    <t>kloe4dance@gmail.com</t>
  </si>
  <si>
    <t>Kloe</t>
  </si>
  <si>
    <t>Sulivan</t>
  </si>
  <si>
    <t>Kloe Sulivan</t>
  </si>
  <si>
    <t>212 Tarawa Circle</t>
  </si>
  <si>
    <t>Belle chasse</t>
  </si>
  <si>
    <t>clairemarie934@gmail.com</t>
  </si>
  <si>
    <t>Claire Corbett</t>
  </si>
  <si>
    <t>238 Frenchmans Creek Way</t>
  </si>
  <si>
    <t>Winter Haven</t>
  </si>
  <si>
    <t>garrett_sammie@yahoo.com</t>
  </si>
  <si>
    <t>Samantha Garrett</t>
  </si>
  <si>
    <t>650 Ventana Drive</t>
  </si>
  <si>
    <t>g_pearson98@hotmail.com</t>
  </si>
  <si>
    <t>Garrett Pearson</t>
  </si>
  <si>
    <t>3703 S Virkus Ct</t>
  </si>
  <si>
    <t>MLMS.Wicker@gmail.com</t>
  </si>
  <si>
    <t>thomasjwicker@students.npsne.org</t>
  </si>
  <si>
    <t>Thomas Wicker</t>
  </si>
  <si>
    <t>3309 N 25th Street</t>
  </si>
  <si>
    <t>melissafeil16@gmail.com</t>
  </si>
  <si>
    <t>lfbraden12@gmail.com</t>
  </si>
  <si>
    <t>Feil</t>
  </si>
  <si>
    <t>Levi Feil</t>
  </si>
  <si>
    <t>15206 E Sweet Gum Ct</t>
  </si>
  <si>
    <t>alyssamariehuffman@gmail.com</t>
  </si>
  <si>
    <t>Alyssa Brown</t>
  </si>
  <si>
    <t>P.O. BOX 382</t>
  </si>
  <si>
    <t>clintonfamily8@gmail.com</t>
  </si>
  <si>
    <t>benjaminclinton2000@gmail.com</t>
  </si>
  <si>
    <t>Benjamin Clinton</t>
  </si>
  <si>
    <t>1316 Quail Valley West</t>
  </si>
  <si>
    <t>arneafc@gmail.com</t>
  </si>
  <si>
    <t>Anna Neafsey</t>
  </si>
  <si>
    <t>15985 W 77th Pl</t>
  </si>
  <si>
    <t>janetmckay8@yahoo.com</t>
  </si>
  <si>
    <t>Joeuser767@gmail.com</t>
  </si>
  <si>
    <t>Noah McKay</t>
  </si>
  <si>
    <t>20 River Manor Ct.</t>
  </si>
  <si>
    <t>Youngsville</t>
  </si>
  <si>
    <t>leahpow74@gmail.com</t>
  </si>
  <si>
    <t>taypow98@gmail.com</t>
  </si>
  <si>
    <t>Taylor Powell</t>
  </si>
  <si>
    <t>426 Force rd</t>
  </si>
  <si>
    <t>samueljreitz@gmail.com</t>
  </si>
  <si>
    <t>Samuel Reitz</t>
  </si>
  <si>
    <t>10635 166th St</t>
  </si>
  <si>
    <t>lmstaska@gmail.com</t>
  </si>
  <si>
    <t>staskaa1@yahoo.com</t>
  </si>
  <si>
    <t>Staska</t>
  </si>
  <si>
    <t>Aaron Staska</t>
  </si>
  <si>
    <t>14100 Toledo</t>
  </si>
  <si>
    <t>jonathan.d.whitaker@gmail.com</t>
  </si>
  <si>
    <t>sarah.r.whitaker@gmail.com</t>
  </si>
  <si>
    <t>Whitaker</t>
  </si>
  <si>
    <t>Sarah Whitaker</t>
  </si>
  <si>
    <t>1140 Tanbark rd</t>
  </si>
  <si>
    <t>christinajkat@gmail.com</t>
  </si>
  <si>
    <t>Christina Johnson</t>
  </si>
  <si>
    <t>1652 Lookout Springs Dr</t>
  </si>
  <si>
    <t>zmnagraom@gmail.com</t>
  </si>
  <si>
    <t>Morgan Montague</t>
  </si>
  <si>
    <t>vfriedly@aol.com</t>
  </si>
  <si>
    <t>SarahFriedly@gmail.com</t>
  </si>
  <si>
    <t>Sarah Friedly</t>
  </si>
  <si>
    <t>11962 Huckleberry Dr.</t>
  </si>
  <si>
    <t>cbkbsdat@aol.com</t>
  </si>
  <si>
    <t>danica.davis@aol.com</t>
  </si>
  <si>
    <t>Danica</t>
  </si>
  <si>
    <t>Danica Davis</t>
  </si>
  <si>
    <t>754 K Road</t>
  </si>
  <si>
    <t>six6kidz@yahoo.com</t>
  </si>
  <si>
    <t>picklelover53@hotmail.com</t>
  </si>
  <si>
    <t>Hobson</t>
  </si>
  <si>
    <t>Tiffany Hobson</t>
  </si>
  <si>
    <t>P.O. Box 80</t>
  </si>
  <si>
    <t>sidsash7@gmail.com</t>
  </si>
  <si>
    <t>Abby McKay</t>
  </si>
  <si>
    <t>sophia.chihyo.lin@gmail.com</t>
  </si>
  <si>
    <t>Chihyo</t>
  </si>
  <si>
    <t>Chihyo Lin</t>
  </si>
  <si>
    <t>2817 Arabian Ave</t>
  </si>
  <si>
    <t>claire.evans17@icloud.com</t>
  </si>
  <si>
    <t>Claire Evans</t>
  </si>
  <si>
    <t>5227 E. 69th Street</t>
  </si>
  <si>
    <t>mmdean84@gmail.com</t>
  </si>
  <si>
    <t>jbdean318816@gmail.com</t>
  </si>
  <si>
    <t>Jared Dean</t>
  </si>
  <si>
    <t>4320 South Dogwood Ave</t>
  </si>
  <si>
    <t>broken arrow</t>
  </si>
  <si>
    <t>thomasmdixon@yahoo.com</t>
  </si>
  <si>
    <t>ameliahd99@gmail.com</t>
  </si>
  <si>
    <t>Amelia Dixon</t>
  </si>
  <si>
    <t>20085 Mill Creek Ln</t>
  </si>
  <si>
    <t>Adel</t>
  </si>
  <si>
    <t>Clara.kennedy.99@gmail.com</t>
  </si>
  <si>
    <t>Clara Kennedy</t>
  </si>
  <si>
    <t>13713 Mapleleaf Cir</t>
  </si>
  <si>
    <t>garretm406269@gmail.com</t>
  </si>
  <si>
    <t>Main</t>
  </si>
  <si>
    <t>Garret Main</t>
  </si>
  <si>
    <t>135 Huntley Oaks Blvd</t>
  </si>
  <si>
    <t>marier@honoluallc.com</t>
  </si>
  <si>
    <t>Reindorp</t>
  </si>
  <si>
    <t>Nicole Reindorp</t>
  </si>
  <si>
    <t>4388 W. Crystal Ranch Place</t>
  </si>
  <si>
    <t>Marana</t>
  </si>
  <si>
    <t>llday8798@gmail.com</t>
  </si>
  <si>
    <t>Llday8798@gmail.com</t>
  </si>
  <si>
    <t>Landon Day</t>
  </si>
  <si>
    <t>609 East County Road 135</t>
  </si>
  <si>
    <t>angieazar1@gmail.com</t>
  </si>
  <si>
    <t>Angieazar1@gmail.com</t>
  </si>
  <si>
    <t>Azar</t>
  </si>
  <si>
    <t>Max Azar</t>
  </si>
  <si>
    <t>1321 monarch AVE</t>
  </si>
  <si>
    <t>abputney@gmail.com</t>
  </si>
  <si>
    <t>Putney</t>
  </si>
  <si>
    <t>Abigail Putney</t>
  </si>
  <si>
    <t>8762 South Main St.</t>
  </si>
  <si>
    <t>PO Box 392</t>
  </si>
  <si>
    <t>Poland</t>
  </si>
  <si>
    <t>treybeasinger@gmail.com</t>
  </si>
  <si>
    <t>Joshua Beasinger</t>
  </si>
  <si>
    <t>shineongirl818@gmail.com</t>
  </si>
  <si>
    <t>Katelyn Nichols</t>
  </si>
  <si>
    <t>633 Periwinkle Ct.</t>
  </si>
  <si>
    <t>scott.gready@gmail.com</t>
  </si>
  <si>
    <t>kate.gready16@gmail.com</t>
  </si>
  <si>
    <t>Catharine</t>
  </si>
  <si>
    <t>Gready</t>
  </si>
  <si>
    <t>Catharine Gready</t>
  </si>
  <si>
    <t>15575 Pineneedle Ct</t>
  </si>
  <si>
    <t>jpl1998@gmail.com</t>
  </si>
  <si>
    <t>John Lyons</t>
  </si>
  <si>
    <t>2216 Millpine Dr.</t>
  </si>
  <si>
    <t>taylorja@roxborocommunityschool.org</t>
  </si>
  <si>
    <t>Jordan Taylor</t>
  </si>
  <si>
    <t>wellsallan@gmail.com</t>
  </si>
  <si>
    <t>waterrifter98@gmail.com</t>
  </si>
  <si>
    <t>Madalyn Wells</t>
  </si>
  <si>
    <t>5213 West Oaks Drive</t>
  </si>
  <si>
    <t>Fuquay-Varina</t>
  </si>
  <si>
    <t>tvpadiak@hotmail.com</t>
  </si>
  <si>
    <t>cpadiak@protonmail.com</t>
  </si>
  <si>
    <t>Padiak</t>
  </si>
  <si>
    <t>Caleb Padiak</t>
  </si>
  <si>
    <t>3217 Ridgewood Rd</t>
  </si>
  <si>
    <t>Matthew Grigg</t>
  </si>
  <si>
    <t>2804 Pinto Drive</t>
  </si>
  <si>
    <t>bjflint@gmail.com</t>
  </si>
  <si>
    <t>morganflint7@gmail.com</t>
  </si>
  <si>
    <t>Flint</t>
  </si>
  <si>
    <t>Morgan Flint</t>
  </si>
  <si>
    <t>14365 Taft Rd.</t>
  </si>
  <si>
    <t>Spring Lake</t>
  </si>
  <si>
    <t>jenmeece@yahoo.com</t>
  </si>
  <si>
    <t>drewmeece1122@gmail.com</t>
  </si>
  <si>
    <t>Meece</t>
  </si>
  <si>
    <t>Drew Meece</t>
  </si>
  <si>
    <t>451 Sweetgum Dr.</t>
  </si>
  <si>
    <t>ryanmlagato@gmail.com</t>
  </si>
  <si>
    <t>Ryan Meece</t>
  </si>
  <si>
    <t>stewalden@msn.com</t>
  </si>
  <si>
    <t>Zachary Walden</t>
  </si>
  <si>
    <t>222 Prairie Ridge Dr</t>
  </si>
  <si>
    <t>meganlfrazier@att.net</t>
  </si>
  <si>
    <t>Megan Frazier</t>
  </si>
  <si>
    <t>1803 Yarmouth Lane</t>
  </si>
  <si>
    <t>dvdheinrich@gmail.com</t>
  </si>
  <si>
    <t>shazamuel89@gmail.com</t>
  </si>
  <si>
    <t>Heinrich</t>
  </si>
  <si>
    <t>Samuel Heinrich</t>
  </si>
  <si>
    <t>2410 N Lindberg St</t>
  </si>
  <si>
    <t>kriskocher@yahoo.com</t>
  </si>
  <si>
    <t>kriskocher@gmail.com</t>
  </si>
  <si>
    <t>Barrett Kocher</t>
  </si>
  <si>
    <t>1026 La Grange Ave</t>
  </si>
  <si>
    <t>forbaue@hbu.edu</t>
  </si>
  <si>
    <t>Emelia</t>
  </si>
  <si>
    <t>Forbau</t>
  </si>
  <si>
    <t>Emelia Forbau</t>
  </si>
  <si>
    <t>5603 Palisade Falls Trail</t>
  </si>
  <si>
    <t>Kingwood</t>
  </si>
  <si>
    <t>oliviadoraisamy@gmail.com</t>
  </si>
  <si>
    <t>Doraisamy</t>
  </si>
  <si>
    <t>Olivia Doraisamy</t>
  </si>
  <si>
    <t>112 Rubens Dr</t>
  </si>
  <si>
    <t>katiecorradino@gmail.com</t>
  </si>
  <si>
    <t>Darrel</t>
  </si>
  <si>
    <t>Corradino</t>
  </si>
  <si>
    <t>Darrel Corradino</t>
  </si>
  <si>
    <t>8885 SW 196 ter</t>
  </si>
  <si>
    <t>andrea.r.clarke@gmail.com</t>
  </si>
  <si>
    <t>Andrea Clarke</t>
  </si>
  <si>
    <t>Bailey.thomas26@gmail.com</t>
  </si>
  <si>
    <t>Bailey Thomas</t>
  </si>
  <si>
    <t>27069 Cliff Ave</t>
  </si>
  <si>
    <t>justinmckellips@gmail.com</t>
  </si>
  <si>
    <t>Justin McKellips</t>
  </si>
  <si>
    <t>Malachi Hubinger</t>
  </si>
  <si>
    <t>carrolls.sarah@gmail.com</t>
  </si>
  <si>
    <t>Sarah Carroll</t>
  </si>
  <si>
    <t>219 Keeland Drive</t>
  </si>
  <si>
    <t>littlemansnana@yahoo.com</t>
  </si>
  <si>
    <t>Littlemansnana@yahoo.com</t>
  </si>
  <si>
    <t>Taylor Williams</t>
  </si>
  <si>
    <t>1814 Whispering Pines Road</t>
  </si>
  <si>
    <t>Lincolnton</t>
  </si>
  <si>
    <t>smeyer1967@msn.com</t>
  </si>
  <si>
    <t>decemberjorgie@me.com</t>
  </si>
  <si>
    <t>Jordan Meyer</t>
  </si>
  <si>
    <t>251 N. Rutland St</t>
  </si>
  <si>
    <t>zacktes26@gmail.com</t>
  </si>
  <si>
    <t>Tesser</t>
  </si>
  <si>
    <t>Zachary Tesser</t>
  </si>
  <si>
    <t>715 Willowood St.</t>
  </si>
  <si>
    <t>Emalee1999@me.com</t>
  </si>
  <si>
    <t>emalee1999@me.com</t>
  </si>
  <si>
    <t>Emalee Meyer</t>
  </si>
  <si>
    <t>251 N Rutland St</t>
  </si>
  <si>
    <t>flower.c.power@gmail.com</t>
  </si>
  <si>
    <t>Carissa Flores</t>
  </si>
  <si>
    <t>3782 w 99th avenue</t>
  </si>
  <si>
    <t>alex.chernyavsky@netzero.com</t>
  </si>
  <si>
    <t>12samazing@gmail.com</t>
  </si>
  <si>
    <t>Sienna</t>
  </si>
  <si>
    <t>Chernyavsky</t>
  </si>
  <si>
    <t>Sienna Chernyavsky</t>
  </si>
  <si>
    <t>7650 28th St. SE</t>
  </si>
  <si>
    <t>camdenholm@gmail.com</t>
  </si>
  <si>
    <t>Holm</t>
  </si>
  <si>
    <t>Camden Holm</t>
  </si>
  <si>
    <t>372 Whitney St</t>
  </si>
  <si>
    <t>cmartens@midmaine.com</t>
  </si>
  <si>
    <t>mmmartens99@gmail.com</t>
  </si>
  <si>
    <t>Madelaine</t>
  </si>
  <si>
    <t>Madelaine Martens</t>
  </si>
  <si>
    <t>37 Overlook Drive</t>
  </si>
  <si>
    <t>mackenziepauline.ms4t@gmail.com</t>
  </si>
  <si>
    <t>MacKenzie</t>
  </si>
  <si>
    <t>MacKenzie Branch</t>
  </si>
  <si>
    <t>2976 Cotton Lane</t>
  </si>
  <si>
    <t>sammallen@outlook.com</t>
  </si>
  <si>
    <t>Ruby Allen</t>
  </si>
  <si>
    <t>201 E. Mulberry St.</t>
  </si>
  <si>
    <t>karenosterbye@gmail.com</t>
  </si>
  <si>
    <t>Kevin Osterbye</t>
  </si>
  <si>
    <t>2399 Merrigan Place</t>
  </si>
  <si>
    <t>emmarice517@gmail.com</t>
  </si>
  <si>
    <t>Emma Rice</t>
  </si>
  <si>
    <t>2810 NW 69th Ave</t>
  </si>
  <si>
    <t>westbrooks.cheri@gmail.com</t>
  </si>
  <si>
    <t>westbrooksacademysolomon@gmail.com</t>
  </si>
  <si>
    <t>Westbrooks</t>
  </si>
  <si>
    <t>Solomon Westbrooks</t>
  </si>
  <si>
    <t>120 Twin Lakes Road</t>
  </si>
  <si>
    <t>jhammer555@comcast.net</t>
  </si>
  <si>
    <t>daniel.glenn.hammerton@gmail.com</t>
  </si>
  <si>
    <t>Daniel Hammerton</t>
  </si>
  <si>
    <t>6225 N. Teal Wood Circle</t>
  </si>
  <si>
    <t>quickspinner11@gmail.com</t>
  </si>
  <si>
    <t>garretwilkinson7@gmail.com</t>
  </si>
  <si>
    <t>Garrett Wilkinson</t>
  </si>
  <si>
    <t>15640 Sweetpine Lane</t>
  </si>
  <si>
    <t>harriettehull@gmail.com</t>
  </si>
  <si>
    <t>Harriette</t>
  </si>
  <si>
    <t>Harriette Hull</t>
  </si>
  <si>
    <t>mckenzies3@frontier.com</t>
  </si>
  <si>
    <t>ajmac2323@outlook.com</t>
  </si>
  <si>
    <t>Austin McKenzie</t>
  </si>
  <si>
    <t>russellville</t>
  </si>
  <si>
    <t>dylanpoch@gmail.com</t>
  </si>
  <si>
    <t>Dylan Poch</t>
  </si>
  <si>
    <t>6386 Falling Leaf Cir.</t>
  </si>
  <si>
    <t>racarson4@icloud.com</t>
  </si>
  <si>
    <t>dkrauss1@aim.com</t>
  </si>
  <si>
    <t>danielkscs1@gmail.com</t>
  </si>
  <si>
    <t>Krauss</t>
  </si>
  <si>
    <t>Daniel Krauss</t>
  </si>
  <si>
    <t>69 Finley Ct</t>
  </si>
  <si>
    <t>joycebruns@msn.com</t>
  </si>
  <si>
    <t>Downes</t>
  </si>
  <si>
    <t>Ryan Downes</t>
  </si>
  <si>
    <t>1112 36th Avenue West</t>
  </si>
  <si>
    <t>losch4him@hotmail.com</t>
  </si>
  <si>
    <t>danielloscher@gmail.com</t>
  </si>
  <si>
    <t>Loscher</t>
  </si>
  <si>
    <t>Daniel Loscher</t>
  </si>
  <si>
    <t>2788 Adams Rd</t>
  </si>
  <si>
    <t>apoulos621@gmail.com</t>
  </si>
  <si>
    <t>Poulos</t>
  </si>
  <si>
    <t>Angel Poulos</t>
  </si>
  <si>
    <t>4203 West Lake Estates Drive</t>
  </si>
  <si>
    <t>davie</t>
  </si>
  <si>
    <t>stanoclan@gmail.com</t>
  </si>
  <si>
    <t>mad_skillz123@yahoo.com</t>
  </si>
  <si>
    <t>Stano</t>
  </si>
  <si>
    <t>Madison Stano</t>
  </si>
  <si>
    <t>6908 Chelsea Dr. NE</t>
  </si>
  <si>
    <t>nnakhla@sbcglobal.net</t>
  </si>
  <si>
    <t>Fnakhla@berkeley.edu</t>
  </si>
  <si>
    <t>Fady</t>
  </si>
  <si>
    <t>Nakhla</t>
  </si>
  <si>
    <t>Fady Nakhla</t>
  </si>
  <si>
    <t>25550 Baker PL</t>
  </si>
  <si>
    <t>davidmarks@marksmanrealty.com</t>
  </si>
  <si>
    <t>cody.marks107@gmail.com</t>
  </si>
  <si>
    <t>Marks</t>
  </si>
  <si>
    <t>Cody Marks</t>
  </si>
  <si>
    <t>240 Squirrel Run</t>
  </si>
  <si>
    <t>Blakeazar14@gmail.com</t>
  </si>
  <si>
    <t>blake</t>
  </si>
  <si>
    <t>azar</t>
  </si>
  <si>
    <t>blake azar</t>
  </si>
  <si>
    <t>1321 monarch ave.</t>
  </si>
  <si>
    <t>longmont</t>
  </si>
  <si>
    <t>graciecjohnson00@gmail.com</t>
  </si>
  <si>
    <t>Gracie Johnson</t>
  </si>
  <si>
    <t>20 Powell Dr.</t>
  </si>
  <si>
    <t>allisontweedt@gmail.com</t>
  </si>
  <si>
    <t>Tweedt</t>
  </si>
  <si>
    <t>Allison Tweedt</t>
  </si>
  <si>
    <t>20659 McPherson Ave</t>
  </si>
  <si>
    <t>tforkh@hotmail.com-OLD</t>
  </si>
  <si>
    <t>tforkh@hotmail.com</t>
  </si>
  <si>
    <t>Kroft</t>
  </si>
  <si>
    <t>Hunter Kroft</t>
  </si>
  <si>
    <t>2021 hwy 212</t>
  </si>
  <si>
    <t>fourzimcollin@hotmail.com</t>
  </si>
  <si>
    <t>Collin Zimmerman</t>
  </si>
  <si>
    <t>1224 Hampton Place</t>
  </si>
  <si>
    <t>hoshiko.adam@gmail.com</t>
  </si>
  <si>
    <t>Hoshiko</t>
  </si>
  <si>
    <t>Adam Hoshiko</t>
  </si>
  <si>
    <t>2443 Edgerton Rd</t>
  </si>
  <si>
    <t>University Heights</t>
  </si>
  <si>
    <t>reaganj99@gmail.com</t>
  </si>
  <si>
    <t>Reagan Payne</t>
  </si>
  <si>
    <t>9408 Miami Ave</t>
  </si>
  <si>
    <t>karensalvato@att.net</t>
  </si>
  <si>
    <t>sydni.salvato@icould.com</t>
  </si>
  <si>
    <t>Sydni</t>
  </si>
  <si>
    <t>Salvato</t>
  </si>
  <si>
    <t>Sydni Salvato</t>
  </si>
  <si>
    <t>5902 86th</t>
  </si>
  <si>
    <t>Derrickhudson2018@gmail.com</t>
  </si>
  <si>
    <t>Derrick</t>
  </si>
  <si>
    <t>Derrick Hudson</t>
  </si>
  <si>
    <t>P.O. Box 63</t>
  </si>
  <si>
    <t>pettibon@mindspring.com</t>
  </si>
  <si>
    <t>abby@pettibonfamily.com</t>
  </si>
  <si>
    <t>Abby Pettibon</t>
  </si>
  <si>
    <t>7400 Stacy Rd</t>
  </si>
  <si>
    <t>raeganallinder@gmail.com</t>
  </si>
  <si>
    <t>Allinder</t>
  </si>
  <si>
    <t>Raegan Allinder</t>
  </si>
  <si>
    <t>2937 Broadford Terrace</t>
  </si>
  <si>
    <t>ann_sparks@yahoo.com</t>
  </si>
  <si>
    <t>gscottsparks@outlook.com</t>
  </si>
  <si>
    <t>Gregory Sparks</t>
  </si>
  <si>
    <t>redpanda82@gmail.com</t>
  </si>
  <si>
    <t>Himango</t>
  </si>
  <si>
    <t>Connor Himango</t>
  </si>
  <si>
    <t>5920 w 136th st</t>
  </si>
  <si>
    <t>savage</t>
  </si>
  <si>
    <t>megan.lim8@sbcglobal.net</t>
  </si>
  <si>
    <t>Suek Yi</t>
  </si>
  <si>
    <t>Suek Yi Lim</t>
  </si>
  <si>
    <t>4401 Quail Creek Dr.</t>
  </si>
  <si>
    <t>18woodch@wcsu.net</t>
  </si>
  <si>
    <t>Christian Wood</t>
  </si>
  <si>
    <t>janceb3@gmail.com</t>
  </si>
  <si>
    <t>Jance</t>
  </si>
  <si>
    <t>Burris</t>
  </si>
  <si>
    <t>Jance Burris</t>
  </si>
  <si>
    <t>1608 John</t>
  </si>
  <si>
    <t>dicozart@sbcglobal.net</t>
  </si>
  <si>
    <t>krankston@gmail.com</t>
  </si>
  <si>
    <t>Cozart</t>
  </si>
  <si>
    <t>Kirsten Cozart</t>
  </si>
  <si>
    <t>10605 Lakemere Dr</t>
  </si>
  <si>
    <t>sunshinedancerak@gmail.com</t>
  </si>
  <si>
    <t>Molly Swanson</t>
  </si>
  <si>
    <t>PO Box 870915</t>
  </si>
  <si>
    <t>serena.jackel@gmail.com</t>
  </si>
  <si>
    <t>Serena</t>
  </si>
  <si>
    <t>Serena Jackel</t>
  </si>
  <si>
    <t>Vic.</t>
  </si>
  <si>
    <t>ginghamdaisies@gmail.com</t>
  </si>
  <si>
    <t>Dacie</t>
  </si>
  <si>
    <t>Dacie Lindner</t>
  </si>
  <si>
    <t>44 E Flemming Rd</t>
  </si>
  <si>
    <t>jgr_robbins@comcast.net</t>
  </si>
  <si>
    <t>cody.r.robbins@outlook.com</t>
  </si>
  <si>
    <t>Cody Robbins</t>
  </si>
  <si>
    <t>6064 S. Perth St</t>
  </si>
  <si>
    <t>bluiiluvsu@aol.com</t>
  </si>
  <si>
    <t>Nicksepicscience@aol.com</t>
  </si>
  <si>
    <t>Nicholas Gordon</t>
  </si>
  <si>
    <t>2218 Lowells Glen Rd, A</t>
  </si>
  <si>
    <t>Parkville</t>
  </si>
  <si>
    <t>Danae.Pierce@live.com</t>
  </si>
  <si>
    <t>Danae Pierce</t>
  </si>
  <si>
    <t>7237 Ann Cabell Ln</t>
  </si>
  <si>
    <t>hhmedical1@comcast.net</t>
  </si>
  <si>
    <t>bryantgreene11@yahoo.com</t>
  </si>
  <si>
    <t>Geordy</t>
  </si>
  <si>
    <t>Geordy Greene</t>
  </si>
  <si>
    <t>4815 Glenwood Ave</t>
  </si>
  <si>
    <t>susananddavid@yahoo.com</t>
  </si>
  <si>
    <t>tyndallcunningham@gmail.com</t>
  </si>
  <si>
    <t>Tyndall</t>
  </si>
  <si>
    <t>Tyndall Cunningham</t>
  </si>
  <si>
    <t>100 Rosebury Circle</t>
  </si>
  <si>
    <t>pcunningham2000@gmail.com</t>
  </si>
  <si>
    <t>Joshua Cunningham</t>
  </si>
  <si>
    <t>dudgeon7442@comcast.net</t>
  </si>
  <si>
    <t>Patrick Dudgeon</t>
  </si>
  <si>
    <t>735 SW Sleret Ave</t>
  </si>
  <si>
    <t>joshtski97@gmail.com</t>
  </si>
  <si>
    <t>Joshua Tomaszewski</t>
  </si>
  <si>
    <t>1643 Bayview Dr</t>
  </si>
  <si>
    <t>zacharymgone@gmail.com</t>
  </si>
  <si>
    <t>Zachary Gaylor</t>
  </si>
  <si>
    <t>mdaedwards@gmail.com</t>
  </si>
  <si>
    <t>ashlyn.elizabeth.e@gmail.com</t>
  </si>
  <si>
    <t>Ashlyn Edwards</t>
  </si>
  <si>
    <t>7641 CR 3914</t>
  </si>
  <si>
    <t>juliaaamot823@gmail.com</t>
  </si>
  <si>
    <t>Aamot</t>
  </si>
  <si>
    <t>Julia Aamot</t>
  </si>
  <si>
    <t>415 Linden Ave. SE</t>
  </si>
  <si>
    <t>Cokato</t>
  </si>
  <si>
    <t>dlynda6@gmail.com</t>
  </si>
  <si>
    <t>samafett@yahoo.com</t>
  </si>
  <si>
    <t>Dickerson</t>
  </si>
  <si>
    <t>Samuel Dickerson</t>
  </si>
  <si>
    <t>8753 Golden Sunset Trail</t>
  </si>
  <si>
    <t>ligaligaf@gmail.com</t>
  </si>
  <si>
    <t>Leah Aamot</t>
  </si>
  <si>
    <t>lbsparrow@juno.com</t>
  </si>
  <si>
    <t>Novak</t>
  </si>
  <si>
    <t>Katelyn Novak</t>
  </si>
  <si>
    <t>1128 Sanders Ln.</t>
  </si>
  <si>
    <t>Willisburg</t>
  </si>
  <si>
    <t>jackipedigo@gmail.com</t>
  </si>
  <si>
    <t>Jackipedigo@gmail.com</t>
  </si>
  <si>
    <t>Jacquelyn Pedigo</t>
  </si>
  <si>
    <t>patricelynnh@gmail.com</t>
  </si>
  <si>
    <t>bendig1230@gmail.com</t>
  </si>
  <si>
    <t>DiGirolamo</t>
  </si>
  <si>
    <t>Ben DiGirolamo</t>
  </si>
  <si>
    <t>5606 Davis Ford Road</t>
  </si>
  <si>
    <t>godwithus.1998@gmail.com</t>
  </si>
  <si>
    <t>Nina Conte</t>
  </si>
  <si>
    <t>hiebertgirl@me.com</t>
  </si>
  <si>
    <t>Hiebertgirl@me.com</t>
  </si>
  <si>
    <t>Hiebert</t>
  </si>
  <si>
    <t>Anna Hiebert</t>
  </si>
  <si>
    <t>6 tanglewood</t>
  </si>
  <si>
    <t>reggieandrea.bean@vsbchsap.org</t>
  </si>
  <si>
    <t>mareeluvshorses@gmail.com</t>
  </si>
  <si>
    <t>Maree</t>
  </si>
  <si>
    <t>Maree Bean</t>
  </si>
  <si>
    <t>4285 Schultz Rd.</t>
  </si>
  <si>
    <t>nich5604@gmail.com</t>
  </si>
  <si>
    <t>Noah Hamby</t>
  </si>
  <si>
    <t>300 Lafayette Drive</t>
  </si>
  <si>
    <t>christina.ortiz.761@gmail.com</t>
  </si>
  <si>
    <t>Ortiz-Mateos</t>
  </si>
  <si>
    <t>Cristina Ortiz-Mateos</t>
  </si>
  <si>
    <t>631 NW Grove st</t>
  </si>
  <si>
    <t>Newport</t>
  </si>
  <si>
    <t>jennywithacamera@gmail.com</t>
  </si>
  <si>
    <t>Sorensen</t>
  </si>
  <si>
    <t>Jennifer Sorensen</t>
  </si>
  <si>
    <t>17354 w 158th street</t>
  </si>
  <si>
    <t>laurel.rodd@gmail.com</t>
  </si>
  <si>
    <t>T.Rodd18@animashighschool.com</t>
  </si>
  <si>
    <t>Rodd</t>
  </si>
  <si>
    <t>Theodore Rodd</t>
  </si>
  <si>
    <t>1137 Oak Dr</t>
  </si>
  <si>
    <t>lindseyglester@yahoo.com</t>
  </si>
  <si>
    <t>Lindsey Lester</t>
  </si>
  <si>
    <t>tracy.h.aleman@gmail.com</t>
  </si>
  <si>
    <t>anchorpoint965@gmail.com</t>
  </si>
  <si>
    <t>Aleman Hogue</t>
  </si>
  <si>
    <t>Tomas Aleman Hogue</t>
  </si>
  <si>
    <t>Calle Sevilla, 10</t>
  </si>
  <si>
    <t>41908 CASTILLEJA DE GUZMAN</t>
  </si>
  <si>
    <t>Spain</t>
  </si>
  <si>
    <t>emmilee.bean@vsbchsap.org</t>
  </si>
  <si>
    <t>Emmilee</t>
  </si>
  <si>
    <t>Emmilee Bean</t>
  </si>
  <si>
    <t>stephanie@axis.org</t>
  </si>
  <si>
    <t>loganf@axis.org</t>
  </si>
  <si>
    <t>Logan Floyd</t>
  </si>
  <si>
    <t>2580 Covington Pl</t>
  </si>
  <si>
    <t>alyssa.danielle.e@gmail.com</t>
  </si>
  <si>
    <t>Alyssa Edwards</t>
  </si>
  <si>
    <t>gwfulton@charter.net</t>
  </si>
  <si>
    <t>stepmfulton@gmail.com</t>
  </si>
  <si>
    <t>Stephen Fulton</t>
  </si>
  <si>
    <t>222 Old Hwy 431 S</t>
  </si>
  <si>
    <t>saunmorgan@aol.com</t>
  </si>
  <si>
    <t>Saunders</t>
  </si>
  <si>
    <t>Morgan Saunders</t>
  </si>
  <si>
    <t>393 Ooltewah Ringgold Road</t>
  </si>
  <si>
    <t>rissa.sanchez1@gmail.com</t>
  </si>
  <si>
    <t>Carissa Sanchez</t>
  </si>
  <si>
    <t>16009 County Road 2140</t>
  </si>
  <si>
    <t>danajones006@gmail.com</t>
  </si>
  <si>
    <t>Danajones006@gmail.com</t>
  </si>
  <si>
    <t>Dana Jones</t>
  </si>
  <si>
    <t>3621 Jefferson St</t>
  </si>
  <si>
    <t>toles.matthe07@svvsd.org</t>
  </si>
  <si>
    <t>Matthew Toles</t>
  </si>
  <si>
    <t>lindsey54swyers@gmail.com</t>
  </si>
  <si>
    <t>Swyers</t>
  </si>
  <si>
    <t>Lindsey Swyers</t>
  </si>
  <si>
    <t>181 Walnut Street</t>
  </si>
  <si>
    <t>lydiab95@gmail.com</t>
  </si>
  <si>
    <t>Lydia Boettcher</t>
  </si>
  <si>
    <t>28995 Jodrell Dr NE</t>
  </si>
  <si>
    <t>Legg0704@gmail.com</t>
  </si>
  <si>
    <t>Notyetisrael@gmail.com</t>
  </si>
  <si>
    <t>Ente</t>
  </si>
  <si>
    <t>Jacob Ente</t>
  </si>
  <si>
    <t>5775 Shimerville Road</t>
  </si>
  <si>
    <t>Clarence</t>
  </si>
  <si>
    <t>ktroopnks@sbcglobal.net</t>
  </si>
  <si>
    <t>kekohler34@gmail.com</t>
  </si>
  <si>
    <t>Kiley</t>
  </si>
  <si>
    <t>Kiley Kohler</t>
  </si>
  <si>
    <t>1709 Overhill Rd</t>
  </si>
  <si>
    <t>isemeldaanaiya@gmail.com</t>
  </si>
  <si>
    <t>Isemelda</t>
  </si>
  <si>
    <t>Isemelda Bonacquisti</t>
  </si>
  <si>
    <t>mustang40bri@yahoo.com</t>
  </si>
  <si>
    <t>Iorga</t>
  </si>
  <si>
    <t>Brianna Iorga</t>
  </si>
  <si>
    <t>1111 ScenicDr</t>
  </si>
  <si>
    <t>ajester99@gmail.com</t>
  </si>
  <si>
    <t>jester</t>
  </si>
  <si>
    <t>amy jester</t>
  </si>
  <si>
    <t>111 woodland dr</t>
  </si>
  <si>
    <t>aubrey</t>
  </si>
  <si>
    <t>will@willduke.com</t>
  </si>
  <si>
    <t>josh@mathisboys.com</t>
  </si>
  <si>
    <t>Joshua Mathis</t>
  </si>
  <si>
    <t>3520 West Neap Place</t>
  </si>
  <si>
    <t>eliseussery@gmail.com</t>
  </si>
  <si>
    <t>Elise Ussery</t>
  </si>
  <si>
    <t>1604 Suggs Taylor Rd</t>
  </si>
  <si>
    <t>tlk2brittany@gmail.com</t>
  </si>
  <si>
    <t>Brittany Harris</t>
  </si>
  <si>
    <t>12007 Pebble Path</t>
  </si>
  <si>
    <t>suzecbgreen@gmail.com</t>
  </si>
  <si>
    <t>Susannah Green</t>
  </si>
  <si>
    <t>Gordonjm@twc.com</t>
  </si>
  <si>
    <t>Benjamingordon@twc.com</t>
  </si>
  <si>
    <t>Benjamin Gordon</t>
  </si>
  <si>
    <t>5601 Saddlebrook Dr</t>
  </si>
  <si>
    <t>michael.patrick.dean@gmail.com</t>
  </si>
  <si>
    <t>mpd3@alfred.edu</t>
  </si>
  <si>
    <t>Michael Dean</t>
  </si>
  <si>
    <t>PO Box 239</t>
  </si>
  <si>
    <t>Taberg</t>
  </si>
  <si>
    <t>kelseepedigo@gmail.com</t>
  </si>
  <si>
    <t>Kelsee</t>
  </si>
  <si>
    <t>Kelsee Pedigo</t>
  </si>
  <si>
    <t>6828 Laurel Valley Drive</t>
  </si>
  <si>
    <t>daplazic1@bellsouth.net</t>
  </si>
  <si>
    <t>luvespurple12@gmail.com</t>
  </si>
  <si>
    <t>Lazic</t>
  </si>
  <si>
    <t>Alexandra Lazic</t>
  </si>
  <si>
    <t>6043 Hillcrest Rd.</t>
  </si>
  <si>
    <t>avadoraisamy@gmail.com</t>
  </si>
  <si>
    <t>Ava Doraisamy</t>
  </si>
  <si>
    <t>112 Rubens Drive</t>
  </si>
  <si>
    <t>lesprague@lpstudent.org</t>
  </si>
  <si>
    <t>Sprague</t>
  </si>
  <si>
    <t>Leah Sprague</t>
  </si>
  <si>
    <t>310 South Main St.</t>
  </si>
  <si>
    <t>ikedi9@gmail.com</t>
  </si>
  <si>
    <t>Di Domenico</t>
  </si>
  <si>
    <t>Isaac Di Domenico</t>
  </si>
  <si>
    <t>1223 McIntyre Drive</t>
  </si>
  <si>
    <t>jgrace611@gmail.com</t>
  </si>
  <si>
    <t>Jael</t>
  </si>
  <si>
    <t>Winterholter</t>
  </si>
  <si>
    <t>Jael Winterholter</t>
  </si>
  <si>
    <t>wintermail71@gmail.com</t>
  </si>
  <si>
    <t>tdubs2315@gmail.com</t>
  </si>
  <si>
    <t>Trevor Winter</t>
  </si>
  <si>
    <t>8140 Freeman Dr</t>
  </si>
  <si>
    <t>hafaur@lpstudent.org</t>
  </si>
  <si>
    <t>Hafaur@lpstudent.org</t>
  </si>
  <si>
    <t>Hadyn</t>
  </si>
  <si>
    <t>Faur</t>
  </si>
  <si>
    <t>Hadyn Faur</t>
  </si>
  <si>
    <t>3458 County Road 19</t>
  </si>
  <si>
    <t>autumn@lcacres.com</t>
  </si>
  <si>
    <t>LaVan</t>
  </si>
  <si>
    <t>Autumn LaVan</t>
  </si>
  <si>
    <t>34510 Irving Ct</t>
  </si>
  <si>
    <t>saydiloewer@gmail.com</t>
  </si>
  <si>
    <t>Saydi</t>
  </si>
  <si>
    <t>Loewer</t>
  </si>
  <si>
    <t>Saydi Loewer</t>
  </si>
  <si>
    <t>24556 92nd Rd</t>
  </si>
  <si>
    <t>1333 West Tobi Lane</t>
  </si>
  <si>
    <t>schlabachs@yahoo.com</t>
  </si>
  <si>
    <t>leighton@theuntamedmouse.com</t>
  </si>
  <si>
    <t>Leighton</t>
  </si>
  <si>
    <t>Schlabach</t>
  </si>
  <si>
    <t>Leighton Schlabach</t>
  </si>
  <si>
    <t>320 N 1st Street</t>
  </si>
  <si>
    <t>mjshep3@msn.com</t>
  </si>
  <si>
    <t>bigskyaidan@gmail.com</t>
  </si>
  <si>
    <t>Aidan Shepherd</t>
  </si>
  <si>
    <t>1404 3rd Ave S</t>
  </si>
  <si>
    <t>crobrien@pcisys.net</t>
  </si>
  <si>
    <t>Conor</t>
  </si>
  <si>
    <t>Conor O'Brien</t>
  </si>
  <si>
    <t>14695 Herring Rd</t>
  </si>
  <si>
    <t>jacobawicker@students.npsne.org</t>
  </si>
  <si>
    <t>Jacob Wicker</t>
  </si>
  <si>
    <t>ethanvolgren@gmail.com</t>
  </si>
  <si>
    <t>Ethan Volgren</t>
  </si>
  <si>
    <t>jessecfowler@hotmail.com</t>
  </si>
  <si>
    <t>rfgroovygirl@gmail.com</t>
  </si>
  <si>
    <t>Rachel Fowler</t>
  </si>
  <si>
    <t>2230 Lane 9</t>
  </si>
  <si>
    <t>emann208@verizon.net</t>
  </si>
  <si>
    <t>Ethan Hamlin</t>
  </si>
  <si>
    <t>hrgoldylocks@gmail.com</t>
  </si>
  <si>
    <t>Meznarich</t>
  </si>
  <si>
    <t>Haley Meznarich</t>
  </si>
  <si>
    <t>1119 1/2 Bleistein Ave.</t>
  </si>
  <si>
    <t>tony@lcipigeonforge.org</t>
  </si>
  <si>
    <t>Coleroberts52@yahoo.com</t>
  </si>
  <si>
    <t>Anthony Roberts</t>
  </si>
  <si>
    <t>2110 Bluff Mountain Rd.</t>
  </si>
  <si>
    <t>Sevierville</t>
  </si>
  <si>
    <t>Nikole@covenantbuildings.com</t>
  </si>
  <si>
    <t>Emilouwho.ea@gmail.com</t>
  </si>
  <si>
    <t>Emilie Axelsson</t>
  </si>
  <si>
    <t>emiofandoria@gmail.com</t>
  </si>
  <si>
    <t>Emily Argall</t>
  </si>
  <si>
    <t>readridedance23@gmail.com</t>
  </si>
  <si>
    <t>Kelsey Griffith</t>
  </si>
  <si>
    <t>dalewalker01@hotmail.com</t>
  </si>
  <si>
    <t>Grant Walker</t>
  </si>
  <si>
    <t>jtamidd@gmail.com</t>
  </si>
  <si>
    <t>Joshua Middleton</t>
  </si>
  <si>
    <t>eljones439@aol.com</t>
  </si>
  <si>
    <t>austinjones439@aol.com</t>
  </si>
  <si>
    <t>Austin Jones</t>
  </si>
  <si>
    <t>1638 Newcastle Ct</t>
  </si>
  <si>
    <t>Rochester Hills</t>
  </si>
  <si>
    <t>dee@redletterwords.com</t>
  </si>
  <si>
    <t>cjkasberger@gmail.com</t>
  </si>
  <si>
    <t>Kasberger</t>
  </si>
  <si>
    <t>Christian Kasberger</t>
  </si>
  <si>
    <t>4408 Bat Falcon Drive</t>
  </si>
  <si>
    <t>alwaysenthusiasmnb@gmail.com-old</t>
  </si>
  <si>
    <t>alwaysenthusiasmnb@gmail.com</t>
  </si>
  <si>
    <t>Bergford</t>
  </si>
  <si>
    <t>Noah Bergford</t>
  </si>
  <si>
    <t>12988 Banyon circle</t>
  </si>
  <si>
    <t>sealed4heaven@att.net</t>
  </si>
  <si>
    <t>makaylacatlett7@gmail.com</t>
  </si>
  <si>
    <t>Makayla Catlett</t>
  </si>
  <si>
    <t>2111 Hamill Road</t>
  </si>
  <si>
    <t>rebekah07@earthlink.net</t>
  </si>
  <si>
    <t>laurenherndon@earthlink.net</t>
  </si>
  <si>
    <t>Lauren Herndon</t>
  </si>
  <si>
    <t>107 Longleaf Lane</t>
  </si>
  <si>
    <t>Altamonte Springs</t>
  </si>
  <si>
    <t>troytdd@gmail.com</t>
  </si>
  <si>
    <t>todd.zech1@gmail.com</t>
  </si>
  <si>
    <t>Zech</t>
  </si>
  <si>
    <t>Zech Todd</t>
  </si>
  <si>
    <t>2019 Shoshone Trail North</t>
  </si>
  <si>
    <t>pattyschallengeb@gmail.com</t>
  </si>
  <si>
    <t>ccarlson@student.ccaeagles.org</t>
  </si>
  <si>
    <t>Christian Carlson</t>
  </si>
  <si>
    <t>1420 SE 14th St</t>
  </si>
  <si>
    <t>Deerfield Beach</t>
  </si>
  <si>
    <t>katiegmctavish@gmail.com</t>
  </si>
  <si>
    <t>Katie McTavish</t>
  </si>
  <si>
    <t>kmzimmerman22@gmail.com</t>
  </si>
  <si>
    <t>Kate Zimmerman</t>
  </si>
  <si>
    <t>35555 Kenai Spur hwy</t>
  </si>
  <si>
    <t>bignellgn@gmail.com</t>
  </si>
  <si>
    <t>Bignell</t>
  </si>
  <si>
    <t>Gabriel Bignell</t>
  </si>
  <si>
    <t>35020 Alaskan View Lane</t>
  </si>
  <si>
    <t>dmetsker@canbyfoursquare.com</t>
  </si>
  <si>
    <t>matthewmetsker@gmail.com</t>
  </si>
  <si>
    <t>Metsker</t>
  </si>
  <si>
    <t>Matthew Metsker</t>
  </si>
  <si>
    <t>1010 NE 13th Ave.</t>
  </si>
  <si>
    <t>Canby</t>
  </si>
  <si>
    <t>Sam Watkins</t>
  </si>
  <si>
    <t>jjjandkk@gmail.com</t>
  </si>
  <si>
    <t>joelcpeterson0131@gmail.com</t>
  </si>
  <si>
    <t>Joel Peterson</t>
  </si>
  <si>
    <t>7205 Brookdale Lane NE</t>
  </si>
  <si>
    <t>kellanhulet@gmail.com</t>
  </si>
  <si>
    <t>Kellan</t>
  </si>
  <si>
    <t>Hulet</t>
  </si>
  <si>
    <t>Kellan Hulet</t>
  </si>
  <si>
    <t>7451 Featherstone Ct</t>
  </si>
  <si>
    <t>shalombck@comcast.net</t>
  </si>
  <si>
    <t>e.music.kurtz@gmail.com</t>
  </si>
  <si>
    <t>Elizabeth Kurtz</t>
  </si>
  <si>
    <t>336 E. Alluvial Spc.14</t>
  </si>
  <si>
    <t>elijahcookemail@gmail.com</t>
  </si>
  <si>
    <t>Elijah Cook</t>
  </si>
  <si>
    <t># PO Box 299</t>
  </si>
  <si>
    <t>wildhoneyjo@gmail.com</t>
  </si>
  <si>
    <t>horsecrazy4ever99@gmail.com</t>
  </si>
  <si>
    <t>Geiger</t>
  </si>
  <si>
    <t>Emma Geiger</t>
  </si>
  <si>
    <t>203 Long Lake Road</t>
  </si>
  <si>
    <t>lora.edelman@4rhuskies.org</t>
  </si>
  <si>
    <t>edelmanlora@gmail.com</t>
  </si>
  <si>
    <t>Lora</t>
  </si>
  <si>
    <t>Edelman</t>
  </si>
  <si>
    <t>Lora Edelman</t>
  </si>
  <si>
    <t>704 Road 12</t>
  </si>
  <si>
    <t>haleyjhancock@bellsouth.net</t>
  </si>
  <si>
    <t>Haley Hancock</t>
  </si>
  <si>
    <t>1371 Nicholson Rd.</t>
  </si>
  <si>
    <t>caragan11@gmail.com</t>
  </si>
  <si>
    <t>Caragan11@gmail.com</t>
  </si>
  <si>
    <t>Caragan</t>
  </si>
  <si>
    <t>Treola</t>
  </si>
  <si>
    <t>Caragan Treola</t>
  </si>
  <si>
    <t>50 Clark Mill Rd</t>
  </si>
  <si>
    <t>lmwstamps@yahoo.com</t>
  </si>
  <si>
    <t>1john215shasta@gmail.com</t>
  </si>
  <si>
    <t>Elliana</t>
  </si>
  <si>
    <t>Elliana Williams</t>
  </si>
  <si>
    <t>4699 Shoal Creek Road</t>
  </si>
  <si>
    <t>wintersjb.75@gmail.com</t>
  </si>
  <si>
    <t>Benitah</t>
  </si>
  <si>
    <t>Benitah Winters</t>
  </si>
  <si>
    <t>1630 Sharon Lane</t>
  </si>
  <si>
    <t>lauraefry98@gmail.com</t>
  </si>
  <si>
    <t>Laura Fry</t>
  </si>
  <si>
    <t>4212 Old Washington Hwy</t>
  </si>
  <si>
    <t>mareshah.04@gmail.com</t>
  </si>
  <si>
    <t>Mareshah</t>
  </si>
  <si>
    <t>Mareshah Winters</t>
  </si>
  <si>
    <t>sublimetastic20@gmail.com</t>
  </si>
  <si>
    <t>Grace Weiland</t>
  </si>
  <si>
    <t>kkohler@abileneschools.org</t>
  </si>
  <si>
    <t>indianscout15@gmail.com</t>
  </si>
  <si>
    <t>Luke Kohler</t>
  </si>
  <si>
    <t>mikhailsample@gmail.com</t>
  </si>
  <si>
    <t>Mikhail</t>
  </si>
  <si>
    <t>Mikhail Sample</t>
  </si>
  <si>
    <t>1002 19th St</t>
  </si>
  <si>
    <t>moore.madison99@gmail.com</t>
  </si>
  <si>
    <t>Madison Moore</t>
  </si>
  <si>
    <t>12300 Afton Place</t>
  </si>
  <si>
    <t>vheldman358@gmail.com</t>
  </si>
  <si>
    <t>spheldman@gmail.com</t>
  </si>
  <si>
    <t>Samuel Heldman</t>
  </si>
  <si>
    <t>2050 Phinney Murphy Road</t>
  </si>
  <si>
    <t>ssharp61@gmail.com</t>
  </si>
  <si>
    <t>Josephsharp00@gmail.com</t>
  </si>
  <si>
    <t>Joseph Sharp</t>
  </si>
  <si>
    <t>608 Ash Street</t>
  </si>
  <si>
    <t>livia.dues@gmail.com</t>
  </si>
  <si>
    <t>Olivia Duesenberg</t>
  </si>
  <si>
    <t>scottandtracee@suddenlink.net</t>
  </si>
  <si>
    <t>garlandspore@gmail.com</t>
  </si>
  <si>
    <t>Spore</t>
  </si>
  <si>
    <t>Garland Spore</t>
  </si>
  <si>
    <t>4601 14th Street</t>
  </si>
  <si>
    <t>Aleeamagras@gmail.com</t>
  </si>
  <si>
    <t>Aleea</t>
  </si>
  <si>
    <t>Aleea Magras</t>
  </si>
  <si>
    <t>Millerhome6@att.net</t>
  </si>
  <si>
    <t>abigailjanemiller@icoud.com</t>
  </si>
  <si>
    <t>Abby Miller</t>
  </si>
  <si>
    <t>kccapfam@gmail.com</t>
  </si>
  <si>
    <t>jcrazekid@aol.com</t>
  </si>
  <si>
    <t>Caplinger</t>
  </si>
  <si>
    <t>Jacob Caplinger</t>
  </si>
  <si>
    <t>207 Chateau Ct</t>
  </si>
  <si>
    <t>benjaminryanmiller@gmail.com</t>
  </si>
  <si>
    <t>Benjamin Miller</t>
  </si>
  <si>
    <t>3306 43rd St.</t>
  </si>
  <si>
    <t>camlang14@hotmail.com</t>
  </si>
  <si>
    <t>Langemeier</t>
  </si>
  <si>
    <t>Cameron Langemeier</t>
  </si>
  <si>
    <t>113 Timbercove</t>
  </si>
  <si>
    <t>skating4him@gmail.com</t>
  </si>
  <si>
    <t>Alissa</t>
  </si>
  <si>
    <t>Hiramine</t>
  </si>
  <si>
    <t>Alissa Hiramine</t>
  </si>
  <si>
    <t>16182 Timber Meadow Dr.</t>
  </si>
  <si>
    <t>survey@cornerstonels.net</t>
  </si>
  <si>
    <t>mulukenpvatt17@gmail.com</t>
  </si>
  <si>
    <t>Muluken</t>
  </si>
  <si>
    <t>Pavatt</t>
  </si>
  <si>
    <t>Muluken Pavatt</t>
  </si>
  <si>
    <t>26 happy hills road</t>
  </si>
  <si>
    <t>conway</t>
  </si>
  <si>
    <t>thecains2@cox.net</t>
  </si>
  <si>
    <t>jacobandgeckos@gmail.com</t>
  </si>
  <si>
    <t>Jacob Cain</t>
  </si>
  <si>
    <t>1917 Via Pimpollo</t>
  </si>
  <si>
    <t>jennababe4@gmail.com</t>
  </si>
  <si>
    <t>Jenna Harvey</t>
  </si>
  <si>
    <t>808 south P road</t>
  </si>
  <si>
    <t>deryl_n@mortonautomatic.com</t>
  </si>
  <si>
    <t>tynafziger@gmail.com</t>
  </si>
  <si>
    <t>Nafziger</t>
  </si>
  <si>
    <t>Tyler Nafziger</t>
  </si>
  <si>
    <t>11034 Benson Rd</t>
  </si>
  <si>
    <t>aprildoliva@gmail.com</t>
  </si>
  <si>
    <t>Macie.oliva@gmail.com</t>
  </si>
  <si>
    <t>Oliva</t>
  </si>
  <si>
    <t>Macie Oliva</t>
  </si>
  <si>
    <t>7704 Horizon St.</t>
  </si>
  <si>
    <t>caynsmith@gmail.com</t>
  </si>
  <si>
    <t>Caylie</t>
  </si>
  <si>
    <t>Caylie Smith</t>
  </si>
  <si>
    <t>2332 Golden Blossom Ct.</t>
  </si>
  <si>
    <t>ylazmy@yahoo.com</t>
  </si>
  <si>
    <t>yotham</t>
  </si>
  <si>
    <t>Ghaly</t>
  </si>
  <si>
    <t>yotham Ghaly</t>
  </si>
  <si>
    <t>940 W Duarte Rd Apt #25</t>
  </si>
  <si>
    <t>mason579ak@gmail.com</t>
  </si>
  <si>
    <t>Mason Rowe</t>
  </si>
  <si>
    <t>eliana.antoinette.z@gmail.com</t>
  </si>
  <si>
    <t>Zebro</t>
  </si>
  <si>
    <t>Eliana Zebro</t>
  </si>
  <si>
    <t>4 Drake Road</t>
  </si>
  <si>
    <t>brooks.steve@gmail.com</t>
  </si>
  <si>
    <t>jaredtb2@gmail.com</t>
  </si>
  <si>
    <t>Jared Brooks</t>
  </si>
  <si>
    <t>pine55412@yahoo.com</t>
  </si>
  <si>
    <t>Natasha Chernyavsky</t>
  </si>
  <si>
    <t>7650 28th st se</t>
  </si>
  <si>
    <t>buffalo</t>
  </si>
  <si>
    <t>jchleung7@gmail.com</t>
  </si>
  <si>
    <t>Jonathan Leung</t>
  </si>
  <si>
    <t>Flat 11, 21/F, Block D, Villa Lotto</t>
  </si>
  <si>
    <t>18 Broadwood Road</t>
  </si>
  <si>
    <t>gnicole98.gk@gmail.com</t>
  </si>
  <si>
    <t>Grace Klaassen</t>
  </si>
  <si>
    <t>ahobbitstale523@gmail.com</t>
  </si>
  <si>
    <t>wbcap1984@gmail.com</t>
  </si>
  <si>
    <t>Bischel</t>
  </si>
  <si>
    <t>William Bischel</t>
  </si>
  <si>
    <t>19185 102nd Street</t>
  </si>
  <si>
    <t>stillewateren23@yahoo.com</t>
  </si>
  <si>
    <t>Stillewateren23@ yahoo.com</t>
  </si>
  <si>
    <t>David Twomey</t>
  </si>
  <si>
    <t>4103 E 115 th street</t>
  </si>
  <si>
    <t>kenton.greg@gmail.com</t>
  </si>
  <si>
    <t>Gregory Kenton</t>
  </si>
  <si>
    <t>4032 Trailcrest Dr</t>
  </si>
  <si>
    <t>eexucheng@gmail.com</t>
  </si>
  <si>
    <t>anna.yixue.cheng@gmail.com</t>
  </si>
  <si>
    <t>Yixue</t>
  </si>
  <si>
    <t>Yixue Cheng</t>
  </si>
  <si>
    <t>2429 S Chestnut Place</t>
  </si>
  <si>
    <t>rdmfiredo@yahoo.com</t>
  </si>
  <si>
    <t>Richelle</t>
  </si>
  <si>
    <t>Richelle Miller</t>
  </si>
  <si>
    <t>jolieviolet95@gmail.com</t>
  </si>
  <si>
    <t>Beeson</t>
  </si>
  <si>
    <t>Angela Beeson</t>
  </si>
  <si>
    <t>5760 S. 103rd East</t>
  </si>
  <si>
    <t>trswanson93@gmail.com</t>
  </si>
  <si>
    <t>eksfeline@gmail.com</t>
  </si>
  <si>
    <t>Emma Swanson</t>
  </si>
  <si>
    <t>2715 N 189th St</t>
  </si>
  <si>
    <t>hollerjaime@yahoo.com</t>
  </si>
  <si>
    <t>Jaime Holler</t>
  </si>
  <si>
    <t>abbydaughteroftheking@gmail.com</t>
  </si>
  <si>
    <t>Abby Evans</t>
  </si>
  <si>
    <t>3665 Springville Rd</t>
  </si>
  <si>
    <t>Springville</t>
  </si>
  <si>
    <t>laura.emad@yahoo.com</t>
  </si>
  <si>
    <t>Farid</t>
  </si>
  <si>
    <t>Laura Farid</t>
  </si>
  <si>
    <t>175 Hopewell Road</t>
  </si>
  <si>
    <t>Oakville</t>
  </si>
  <si>
    <t>L6H5Y9</t>
  </si>
  <si>
    <t>catherineforchrist@gmail.com</t>
  </si>
  <si>
    <t>Catherine Smith</t>
  </si>
  <si>
    <t>2113 4th Ave N</t>
  </si>
  <si>
    <t>christy@pondfamily.net</t>
  </si>
  <si>
    <t>emma@pondfamily.net</t>
  </si>
  <si>
    <t>Pond</t>
  </si>
  <si>
    <t>Emma Pond</t>
  </si>
  <si>
    <t>20085 Flint Lane</t>
  </si>
  <si>
    <t>bmclendon7@gmail.com</t>
  </si>
  <si>
    <t>Storington Avenue</t>
  </si>
  <si>
    <t>anderson.kerry@icloud.com</t>
  </si>
  <si>
    <t>anderson.avery18@gmail.com</t>
  </si>
  <si>
    <t>Avery Anderson</t>
  </si>
  <si>
    <t>461 River Way Drive</t>
  </si>
  <si>
    <t>casurvance@sabrenation.org</t>
  </si>
  <si>
    <t>Survance</t>
  </si>
  <si>
    <t>Clayton Survance</t>
  </si>
  <si>
    <t>9 Venetian Ct.</t>
  </si>
  <si>
    <t>cmgreer@sabrenation.org</t>
  </si>
  <si>
    <t>Greerchloe02@gmail.com</t>
  </si>
  <si>
    <t>Chloe Greer</t>
  </si>
  <si>
    <t>christopher.clayman@gmail.com</t>
  </si>
  <si>
    <t>jmanwilhelm@gmail.com</t>
  </si>
  <si>
    <t>Jonathon Wilhelm</t>
  </si>
  <si>
    <t>1303 Sewell St. S</t>
  </si>
  <si>
    <t>Rainelle</t>
  </si>
  <si>
    <t>afetting@outlook.com</t>
  </si>
  <si>
    <t>Andrew Fetting</t>
  </si>
  <si>
    <t>1425 E Butterfield Pl</t>
  </si>
  <si>
    <t>rejoyce4@mac.com</t>
  </si>
  <si>
    <t>Mccalldevan@gmail.com</t>
  </si>
  <si>
    <t>Devan</t>
  </si>
  <si>
    <t>Devan McCall</t>
  </si>
  <si>
    <t>5521 Tripp Way</t>
  </si>
  <si>
    <t>julieg44@me.com</t>
  </si>
  <si>
    <t>gillereb@lansingchristianschool.org</t>
  </si>
  <si>
    <t>Rebecca Gillespie</t>
  </si>
  <si>
    <t>2373 Kings Cross North</t>
  </si>
  <si>
    <t>East Lansing</t>
  </si>
  <si>
    <t>jltweedy4@aol.com</t>
  </si>
  <si>
    <t>dntweedy12@gmail.com</t>
  </si>
  <si>
    <t>Tweedy</t>
  </si>
  <si>
    <t>David Tweedy</t>
  </si>
  <si>
    <t>10292 Cedaridge Court</t>
  </si>
  <si>
    <t>Mcroyhome@yahoo.com</t>
  </si>
  <si>
    <t>hannahmcroy22@yahoo.com</t>
  </si>
  <si>
    <t>McRoy</t>
  </si>
  <si>
    <t>Hannah McRoy</t>
  </si>
  <si>
    <t>1456 Templeton Hill Rd</t>
  </si>
  <si>
    <t>Templeton</t>
  </si>
  <si>
    <t>donnamcgeeloehr@yahoo.com</t>
  </si>
  <si>
    <t>lexie.loehr@yahoo.com</t>
  </si>
  <si>
    <t>Loehr</t>
  </si>
  <si>
    <t>Alexandra Loehr</t>
  </si>
  <si>
    <t>6214 Zell Miller Path NW</t>
  </si>
  <si>
    <t>thefiorefamily@gmail.com</t>
  </si>
  <si>
    <t>BenGFiore@gmail.com</t>
  </si>
  <si>
    <t>Fiore</t>
  </si>
  <si>
    <t>Benjamin Fiore</t>
  </si>
  <si>
    <t>85 Muirfield Dr</t>
  </si>
  <si>
    <t>adamsuggs6@gmail.com</t>
  </si>
  <si>
    <t>Suggs</t>
  </si>
  <si>
    <t>Adam Suggs</t>
  </si>
  <si>
    <t>11 Linda Court</t>
  </si>
  <si>
    <t>graceloehr@gmail.com</t>
  </si>
  <si>
    <t>Grace Loehr</t>
  </si>
  <si>
    <t>lewm24@gmail.com</t>
  </si>
  <si>
    <t>markwmclamb@gmail.com</t>
  </si>
  <si>
    <t>McLamb</t>
  </si>
  <si>
    <t>Mark McLamb</t>
  </si>
  <si>
    <t>301 Copperfield Lane</t>
  </si>
  <si>
    <t>leectruax@gmail.com</t>
  </si>
  <si>
    <t>fullyalive1114@gmail.com</t>
  </si>
  <si>
    <t>Truax</t>
  </si>
  <si>
    <t>Bethany Truax</t>
  </si>
  <si>
    <t>DAYTON</t>
  </si>
  <si>
    <t>cabeclan@dnet.net</t>
  </si>
  <si>
    <t>davidcabe@dnet.net</t>
  </si>
  <si>
    <t>Cabe</t>
  </si>
  <si>
    <t>David Cabe</t>
  </si>
  <si>
    <t>58 Running Deer Road</t>
  </si>
  <si>
    <t>thatmendenhallguy@gmail.com</t>
  </si>
  <si>
    <t>Mendenhall</t>
  </si>
  <si>
    <t>Douglas Mendenhall</t>
  </si>
  <si>
    <t>5165 Harff Rd</t>
  </si>
  <si>
    <t>andreacottrell0@gmail.com</t>
  </si>
  <si>
    <t>Andreacottrell0@gmail.com</t>
  </si>
  <si>
    <t>Andrea Cottrell</t>
  </si>
  <si>
    <t>4 stony brook dr.</t>
  </si>
  <si>
    <t>jenmccready@netzero.net</t>
  </si>
  <si>
    <t>Jenna McCready</t>
  </si>
  <si>
    <t>PO Box 899</t>
  </si>
  <si>
    <t>12865 HG Trueman Rd.</t>
  </si>
  <si>
    <t>Lusby</t>
  </si>
  <si>
    <t>wendiedwards9@gmail.com</t>
  </si>
  <si>
    <t>alizajaneruns@gmail.com</t>
  </si>
  <si>
    <t>Aliza</t>
  </si>
  <si>
    <t>Aliza Edwards</t>
  </si>
  <si>
    <t>4617 Buena Vista Drive</t>
  </si>
  <si>
    <t>amyschaap@yahoo.com</t>
  </si>
  <si>
    <t>kendra_schaap@yahoo.com</t>
  </si>
  <si>
    <t>Kendra</t>
  </si>
  <si>
    <t>Schaap</t>
  </si>
  <si>
    <t>Kendra Schaap</t>
  </si>
  <si>
    <t>206 S 11th St</t>
  </si>
  <si>
    <t>Beresford</t>
  </si>
  <si>
    <t>behagood28@live.com</t>
  </si>
  <si>
    <t>Hagood</t>
  </si>
  <si>
    <t>Bailey Hagood</t>
  </si>
  <si>
    <t>3305 43rd St.</t>
  </si>
  <si>
    <t>mccreadyjc@gmail.com</t>
  </si>
  <si>
    <t>Grace McCready</t>
  </si>
  <si>
    <t>tristenmae@gmail.com</t>
  </si>
  <si>
    <t>Tristen Mae</t>
  </si>
  <si>
    <t>McHugh</t>
  </si>
  <si>
    <t>Tristen Mae McHugh</t>
  </si>
  <si>
    <t>1314 S Reisner Street</t>
  </si>
  <si>
    <t>eweg41@gmail.com</t>
  </si>
  <si>
    <t>Wegmann</t>
  </si>
  <si>
    <t>Thomas Wegmann</t>
  </si>
  <si>
    <t>8021 Bull Rapids</t>
  </si>
  <si>
    <t>Woodburn</t>
  </si>
  <si>
    <t>ntheis@delawarefamilies.org</t>
  </si>
  <si>
    <t>noah.theis@dchs.ws</t>
  </si>
  <si>
    <t>Theis</t>
  </si>
  <si>
    <t>Christopher Theis</t>
  </si>
  <si>
    <t>60 Rivers End Drive</t>
  </si>
  <si>
    <t>Seaford</t>
  </si>
  <si>
    <t>meredith.adeline@gmail.com</t>
  </si>
  <si>
    <t>Netzley</t>
  </si>
  <si>
    <t>Meredith Netzley</t>
  </si>
  <si>
    <t>721 Elk Cove Ct</t>
  </si>
  <si>
    <t>Crdgreanead@yahoo.com</t>
  </si>
  <si>
    <t>crdgreanead@yahoo.com</t>
  </si>
  <si>
    <t>Greanead</t>
  </si>
  <si>
    <t>Christian Greanead</t>
  </si>
  <si>
    <t>6509 Hawkeye Rd</t>
  </si>
  <si>
    <t>Krum</t>
  </si>
  <si>
    <t>elijahkellison@gmail.com</t>
  </si>
  <si>
    <t>Elijah Ellison</t>
  </si>
  <si>
    <t>Goldenview Ct</t>
  </si>
  <si>
    <t>kayegun@gmail.com</t>
  </si>
  <si>
    <t>gunlocked16@gmail.com</t>
  </si>
  <si>
    <t>gunlock</t>
  </si>
  <si>
    <t>daniel gunlock</t>
  </si>
  <si>
    <t>238 strait ln</t>
  </si>
  <si>
    <t>hickory creek</t>
  </si>
  <si>
    <t>paigecamryn@aol.com</t>
  </si>
  <si>
    <t>Paige Amstutz</t>
  </si>
  <si>
    <t>stacey.mckee70@gmail.com</t>
  </si>
  <si>
    <t>hayden.mckee98@gmail.com</t>
  </si>
  <si>
    <t>Hayden McKee</t>
  </si>
  <si>
    <t>1231 Reese Lane</t>
  </si>
  <si>
    <t>Azle</t>
  </si>
  <si>
    <t>Sedwards01@bellsouth.net</t>
  </si>
  <si>
    <t>David Edwards</t>
  </si>
  <si>
    <t>2463 oak park dr</t>
  </si>
  <si>
    <t>amyramzy@gmail.com</t>
  </si>
  <si>
    <t>Ramzy</t>
  </si>
  <si>
    <t>Amy Ramzy</t>
  </si>
  <si>
    <t>244 Hickory Cir</t>
  </si>
  <si>
    <t>L6H 4V2</t>
  </si>
  <si>
    <t>EvanSoward99@outlook.com</t>
  </si>
  <si>
    <t>Soward</t>
  </si>
  <si>
    <t>Evan Soward</t>
  </si>
  <si>
    <t>810 Red Oak Ln.</t>
  </si>
  <si>
    <t>matthewghaly@yahoo.com</t>
  </si>
  <si>
    <t>Matthew Ghaly</t>
  </si>
  <si>
    <t>940 w duarte rd, apt 25</t>
  </si>
  <si>
    <t>2583 NW Timbercreek Cir</t>
  </si>
  <si>
    <t>lorisafford@comcast.net</t>
  </si>
  <si>
    <t>lydiasafford@gmail.com</t>
  </si>
  <si>
    <t>Safford</t>
  </si>
  <si>
    <t>Lydia Safford</t>
  </si>
  <si>
    <t>49 Old Gage Hill Road</t>
  </si>
  <si>
    <t>Eliz.ballet@yahoo.com</t>
  </si>
  <si>
    <t>Elizabeth Duncan</t>
  </si>
  <si>
    <t>landingpartyof4@gmail.com</t>
  </si>
  <si>
    <t>Jared Jones</t>
  </si>
  <si>
    <t>9 Sotheby Place</t>
  </si>
  <si>
    <t>Gurley</t>
  </si>
  <si>
    <t>dmetri7@gmail.com</t>
  </si>
  <si>
    <t>Metri</t>
  </si>
  <si>
    <t>Daniel Metri</t>
  </si>
  <si>
    <t>5166 Seagreen Ct</t>
  </si>
  <si>
    <t>gmitchel@uta.edu</t>
  </si>
  <si>
    <t>rebecca.mitchell@pantego.com</t>
  </si>
  <si>
    <t>Rebecca Mitchell</t>
  </si>
  <si>
    <t>809 Arthur Dr.</t>
  </si>
  <si>
    <t>s99newton@yahoo.com</t>
  </si>
  <si>
    <t>Samantha Newton</t>
  </si>
  <si>
    <t>1202 W. King St.</t>
  </si>
  <si>
    <t>Smethport</t>
  </si>
  <si>
    <t>natedog0723@gmail.com</t>
  </si>
  <si>
    <t>Oakley</t>
  </si>
  <si>
    <t>Nathan Oakley</t>
  </si>
  <si>
    <t>703 Braden Drive</t>
  </si>
  <si>
    <t>paula.huizenga@gmail.com</t>
  </si>
  <si>
    <t>Calebhuizenga25@gmail.com</t>
  </si>
  <si>
    <t>HUIZENGA</t>
  </si>
  <si>
    <t>Caleb HUIZENGA</t>
  </si>
  <si>
    <t>509 N GRAND</t>
  </si>
  <si>
    <t>PIERRE</t>
  </si>
  <si>
    <t>mooresleep@att.net</t>
  </si>
  <si>
    <t>mgmoore28@gmail.com</t>
  </si>
  <si>
    <t>Michal Moore</t>
  </si>
  <si>
    <t>7713 Sagefield Dr</t>
  </si>
  <si>
    <t>jrwilhelm129@gmail.com</t>
  </si>
  <si>
    <t>Jacquelyn Wilhelm</t>
  </si>
  <si>
    <t>212 W G st</t>
  </si>
  <si>
    <t>Elmwood</t>
  </si>
  <si>
    <t>begeman@sbtc.net</t>
  </si>
  <si>
    <t>Trevor Begeman</t>
  </si>
  <si>
    <t>robincrow@cvchristian.org</t>
  </si>
  <si>
    <t>lukecrow010@gmail.com</t>
  </si>
  <si>
    <t>Luke Crow</t>
  </si>
  <si>
    <t>401 37th St. NE</t>
  </si>
  <si>
    <t>tmill5@yahoo.com</t>
  </si>
  <si>
    <t>2424 New Market Depot Rd</t>
  </si>
  <si>
    <t>casthall@att.net</t>
  </si>
  <si>
    <t>atablackbeltmike@gmail.com</t>
  </si>
  <si>
    <t>Michael Hall</t>
  </si>
  <si>
    <t>2520 Mohler Dr. NW</t>
  </si>
  <si>
    <t>merohabashy1998@gmail.com</t>
  </si>
  <si>
    <t>merohabashy1998@gmal.com</t>
  </si>
  <si>
    <t>Amira</t>
  </si>
  <si>
    <t>Amira Habashy</t>
  </si>
  <si>
    <t>471 w. duarte rd.</t>
  </si>
  <si>
    <t>freesfamily@gmail.com</t>
  </si>
  <si>
    <t>CharityGrace01@gmail.com</t>
  </si>
  <si>
    <t>Frees</t>
  </si>
  <si>
    <t>Charity Frees</t>
  </si>
  <si>
    <t>305 Hodgens Dr.</t>
  </si>
  <si>
    <t>raymondkoch99@gmail.com</t>
  </si>
  <si>
    <t>Raymond Koch</t>
  </si>
  <si>
    <t>andycrow210@gmail.com</t>
  </si>
  <si>
    <t>Anderson Crow</t>
  </si>
  <si>
    <t>loganmas99@Gmail.com</t>
  </si>
  <si>
    <t>Masella</t>
  </si>
  <si>
    <t>Logan Masella</t>
  </si>
  <si>
    <t>208 High Point Dr.</t>
  </si>
  <si>
    <t>femesare@yahoo.com</t>
  </si>
  <si>
    <t>imagineengine3481@yahoo.com</t>
  </si>
  <si>
    <t>Sarah Joe</t>
  </si>
  <si>
    <t>2856 Aloma Lake Run</t>
  </si>
  <si>
    <t>kdowns1996@gmail.com</t>
  </si>
  <si>
    <t>c2downs@icloud.com</t>
  </si>
  <si>
    <t>Christian Downs</t>
  </si>
  <si>
    <t>2128 NE Parvin RD</t>
  </si>
  <si>
    <t>tnbamabailey@gmail.com</t>
  </si>
  <si>
    <t>Messina</t>
  </si>
  <si>
    <t>john Messina</t>
  </si>
  <si>
    <t>112 Sundance Way</t>
  </si>
  <si>
    <t>cranbrookdancer@gmail.com</t>
  </si>
  <si>
    <t>Erin Hawkins</t>
  </si>
  <si>
    <t>4672 Magrath Dr.</t>
  </si>
  <si>
    <t>jkim070783@gmail.com</t>
  </si>
  <si>
    <t>James Kim</t>
  </si>
  <si>
    <t>7 Cedar Street</t>
  </si>
  <si>
    <t>jw3.minnesotavikes22@yahoo.com</t>
  </si>
  <si>
    <t>Joshua Winters</t>
  </si>
  <si>
    <t>3343 Falcon Dr NE</t>
  </si>
  <si>
    <t>rkoetitz@gmail.com</t>
  </si>
  <si>
    <t>lexi.koetitz@gmail.com</t>
  </si>
  <si>
    <t>Koetitz</t>
  </si>
  <si>
    <t>Alexis Koetitz</t>
  </si>
  <si>
    <t>946 W. 7325 S.</t>
  </si>
  <si>
    <t>ctodom@gmail.com</t>
  </si>
  <si>
    <t>efactoro@gmail.com</t>
  </si>
  <si>
    <t>Odom</t>
  </si>
  <si>
    <t>Ellen Odom</t>
  </si>
  <si>
    <t>2730 Buffalo Trail</t>
  </si>
  <si>
    <t>aaronasd13@gmail.com</t>
  </si>
  <si>
    <t>Aaron Metcalf</t>
  </si>
  <si>
    <t>84245 561st. Ave.</t>
  </si>
  <si>
    <t>dhlindley@netzero.com</t>
  </si>
  <si>
    <t>patrickhrlindley@gmail.com</t>
  </si>
  <si>
    <t>Lindley</t>
  </si>
  <si>
    <t>Patrick Lindley</t>
  </si>
  <si>
    <t>1640 weslow court</t>
  </si>
  <si>
    <t>scott.cherise@juno.com</t>
  </si>
  <si>
    <t>Asa</t>
  </si>
  <si>
    <t>Langenberg</t>
  </si>
  <si>
    <t>Asa Langenberg</t>
  </si>
  <si>
    <t>#5 Crestview Lakes Est</t>
  </si>
  <si>
    <t>davidcaronstein@gmail.com</t>
  </si>
  <si>
    <t>zeviaronstein@gmail.com</t>
  </si>
  <si>
    <t>Zebulun</t>
  </si>
  <si>
    <t>Aronstein</t>
  </si>
  <si>
    <t>Zebulun Aronstein</t>
  </si>
  <si>
    <t>16620 SW 130th St.</t>
  </si>
  <si>
    <t>Mattkeithc@gmail.com</t>
  </si>
  <si>
    <t>Matthew Crone</t>
  </si>
  <si>
    <t>P.O. BOX 338</t>
  </si>
  <si>
    <t>goingelectric@gmail.com</t>
  </si>
  <si>
    <t>downey.luke27@svvsd.org</t>
  </si>
  <si>
    <t>Luke Downey</t>
  </si>
  <si>
    <t>1229 Milner Lane</t>
  </si>
  <si>
    <t>dalow19@gmail.com</t>
  </si>
  <si>
    <t>Daniel Low</t>
  </si>
  <si>
    <t>1530 Hunters Field Lane</t>
  </si>
  <si>
    <t>elevenhalls@comcast.net</t>
  </si>
  <si>
    <t>jonathangary99@gmail.com</t>
  </si>
  <si>
    <t>Jonathan Hall</t>
  </si>
  <si>
    <t>5112 Prescott Drive</t>
  </si>
  <si>
    <t>stemberger333@gmail.com</t>
  </si>
  <si>
    <t>joestem2001@gmail.com</t>
  </si>
  <si>
    <t>Stemberger</t>
  </si>
  <si>
    <t>Thomas Stemberger</t>
  </si>
  <si>
    <t>4565 Saint Brides Court</t>
  </si>
  <si>
    <t>ken@russo6.com</t>
  </si>
  <si>
    <t>caleb@russo6.com</t>
  </si>
  <si>
    <t>Russo</t>
  </si>
  <si>
    <t>Caleb Russo</t>
  </si>
  <si>
    <t>595 Orchard Dr</t>
  </si>
  <si>
    <t>youagain2000@gmail.com</t>
  </si>
  <si>
    <t>Zaki</t>
  </si>
  <si>
    <t>Melody Zaki</t>
  </si>
  <si>
    <t>10823 Beechwood Dr.</t>
  </si>
  <si>
    <t>Alta Loma</t>
  </si>
  <si>
    <t>dolphindreamer2001@gmail.com</t>
  </si>
  <si>
    <t>DeLillo</t>
  </si>
  <si>
    <t>Grace DeLillo</t>
  </si>
  <si>
    <t>1015 Nicklaus Dr SE</t>
  </si>
  <si>
    <t>kenandlil@hotmail.com</t>
  </si>
  <si>
    <t>refreshingly.bethany@outlook.com</t>
  </si>
  <si>
    <t>Bethany Friedmann</t>
  </si>
  <si>
    <t>1186 Remsen Ave</t>
  </si>
  <si>
    <t>jessedj3@gmail.com</t>
  </si>
  <si>
    <t>DeJager</t>
  </si>
  <si>
    <t>Jesse DeJager</t>
  </si>
  <si>
    <t>56 Tranquility Lane</t>
  </si>
  <si>
    <t>bakerfam123@gmail.com</t>
  </si>
  <si>
    <t>alainarl99@gmail.com</t>
  </si>
  <si>
    <t>Lowrance</t>
  </si>
  <si>
    <t>Alaina Lowrance</t>
  </si>
  <si>
    <t>123 Mockingbird Rd</t>
  </si>
  <si>
    <t>woodzoo6@yahoo.com</t>
  </si>
  <si>
    <t>rebawood8@yahoo.com</t>
  </si>
  <si>
    <t>Rebekah Wood</t>
  </si>
  <si>
    <t>14300 7 Mile Post Road</t>
  </si>
  <si>
    <t>werhis6@gmail.com</t>
  </si>
  <si>
    <t>bookwormboy16@gmail.com</t>
  </si>
  <si>
    <t>Josiah Barker</t>
  </si>
  <si>
    <t>342 Stoneridge Ct</t>
  </si>
  <si>
    <t>Davidmgreen98@gmail.com</t>
  </si>
  <si>
    <t>David Green</t>
  </si>
  <si>
    <t>hviernes@yahoo.com</t>
  </si>
  <si>
    <t>viernesfamilytx@yahoo.com</t>
  </si>
  <si>
    <t>Viernes</t>
  </si>
  <si>
    <t>Tyrone Viernes</t>
  </si>
  <si>
    <t>67 Baker Avenue</t>
  </si>
  <si>
    <t>San Marcos</t>
  </si>
  <si>
    <t>purplewatermelons11@gmail.com</t>
  </si>
  <si>
    <t>dwronyx@gmail.com</t>
  </si>
  <si>
    <t>Rossodivita</t>
  </si>
  <si>
    <t>Derek Rossodivita</t>
  </si>
  <si>
    <t>6341 Dorchester St</t>
  </si>
  <si>
    <t>julieanshasi@hotmail.com</t>
  </si>
  <si>
    <t>zach.anshasi@llwarriors.org</t>
  </si>
  <si>
    <t>Anshasi</t>
  </si>
  <si>
    <t>Zach Anshasi</t>
  </si>
  <si>
    <t>5924 Glade Street</t>
  </si>
  <si>
    <t>belacw1999@gmail.com</t>
  </si>
  <si>
    <t>Caleb Wood</t>
  </si>
  <si>
    <t>14300 Seven Mile Post Road</t>
  </si>
  <si>
    <t>copie4@aol.com</t>
  </si>
  <si>
    <t>kcopenhaver2027@lcu.edu</t>
  </si>
  <si>
    <t>Copenhaver</t>
  </si>
  <si>
    <t>Kendra Copenhaver</t>
  </si>
  <si>
    <t>5415 74th Street</t>
  </si>
  <si>
    <t>a29stone@gmail.com</t>
  </si>
  <si>
    <t>Alexander Stone</t>
  </si>
  <si>
    <t>7007 High Point LN</t>
  </si>
  <si>
    <t>Springdale Road</t>
  </si>
  <si>
    <t>pr31galbls@yahoo.com</t>
  </si>
  <si>
    <t>sprinks_16@yahoo.com</t>
  </si>
  <si>
    <t>Joshua Sprinkle</t>
  </si>
  <si>
    <t>3524 Austin St.</t>
  </si>
  <si>
    <t>sarah@johnsonhomeandland.com</t>
  </si>
  <si>
    <t>lilsis2426@gmail.com</t>
  </si>
  <si>
    <t>363 N Division</t>
  </si>
  <si>
    <t>P.O Box 673</t>
  </si>
  <si>
    <t>danielwintill@gmail.com</t>
  </si>
  <si>
    <t>Wintill</t>
  </si>
  <si>
    <t>Daniel Wintill</t>
  </si>
  <si>
    <t>8017 Treasure Tree Ct</t>
  </si>
  <si>
    <t>vickigarrison59@gmail.com</t>
  </si>
  <si>
    <t>hannahjoy116@gmail.com</t>
  </si>
  <si>
    <t>Hannah Garrison</t>
  </si>
  <si>
    <t>Green Valley Cir</t>
  </si>
  <si>
    <t>jan@haralsonfamily.com</t>
  </si>
  <si>
    <t>lmethvin@wisc.edu</t>
  </si>
  <si>
    <t>Methvin</t>
  </si>
  <si>
    <t>Lane Methvin</t>
  </si>
  <si>
    <t>508 Cascade Street</t>
  </si>
  <si>
    <t>inmans1019@gmail.com</t>
  </si>
  <si>
    <t>jackinman97@gmail.com</t>
  </si>
  <si>
    <t>Robert Inman</t>
  </si>
  <si>
    <t>2812 Foxxwood Drive</t>
  </si>
  <si>
    <t>sppagonis@aol.com</t>
  </si>
  <si>
    <t>Pagonis</t>
  </si>
  <si>
    <t>Elias Pagonis</t>
  </si>
  <si>
    <t>102 Mulberry Ave</t>
  </si>
  <si>
    <t>smithereen4@yahoo.com</t>
  </si>
  <si>
    <t>golfsmith16@yahoo.com</t>
  </si>
  <si>
    <t>16 Robertridge Ct</t>
  </si>
  <si>
    <t>St. Charles</t>
  </si>
  <si>
    <t>sing4himbrym97@me.com</t>
  </si>
  <si>
    <t>Bryanna</t>
  </si>
  <si>
    <t>Bryanna Maxwell</t>
  </si>
  <si>
    <t>5274 Durant Rd.</t>
  </si>
  <si>
    <t>teampryor@gmail.com</t>
  </si>
  <si>
    <t>bpryor81@gmail.com</t>
  </si>
  <si>
    <t>Billy Pryor</t>
  </si>
  <si>
    <t>352 Ashton Court</t>
  </si>
  <si>
    <t>dpryor9@yahoo.com</t>
  </si>
  <si>
    <t>David Pryor</t>
  </si>
  <si>
    <t>marcijef@gvsu.edu</t>
  </si>
  <si>
    <t>carlseli@mail.gvsu.edu</t>
  </si>
  <si>
    <t>Elizabeth Carlson</t>
  </si>
  <si>
    <t>6094 Baldwin Street</t>
  </si>
  <si>
    <t>joelpresley@mac.com</t>
  </si>
  <si>
    <t>Presley</t>
  </si>
  <si>
    <t>Thomas Presley</t>
  </si>
  <si>
    <t>180 Arrowhead Lake Rd</t>
  </si>
  <si>
    <t>ascottusa@gmail.com</t>
  </si>
  <si>
    <t>viennagloria@gmail.com</t>
  </si>
  <si>
    <t>Vienna Scott</t>
  </si>
  <si>
    <t>50 Long Hill Rd</t>
  </si>
  <si>
    <t>Hollis</t>
  </si>
  <si>
    <t>alijamesm4@yahoo.com</t>
  </si>
  <si>
    <t>josiemorez@gmail.com</t>
  </si>
  <si>
    <t>Moretz</t>
  </si>
  <si>
    <t>Josie Moretz</t>
  </si>
  <si>
    <t>213 Moretz Hollow Road</t>
  </si>
  <si>
    <t>Zionville</t>
  </si>
  <si>
    <t>HKohl@ec.rr.com</t>
  </si>
  <si>
    <t>Marcus Kohl</t>
  </si>
  <si>
    <t>1181Brougham Drive</t>
  </si>
  <si>
    <t>klanejones@gmail.com</t>
  </si>
  <si>
    <t>sydneylane221b@gmail.com</t>
  </si>
  <si>
    <t>Sydney Jones</t>
  </si>
  <si>
    <t>4464 Cypress Cove</t>
  </si>
  <si>
    <t>pltraver20@gmail.com</t>
  </si>
  <si>
    <t>ryangtraver@lionmail.sagu.edu</t>
  </si>
  <si>
    <t>Traver</t>
  </si>
  <si>
    <t>Ryan Traver</t>
  </si>
  <si>
    <t>PO Box 415</t>
  </si>
  <si>
    <t>lkelingos@charter.net</t>
  </si>
  <si>
    <t>michael.kelingos@asburyseminary.edu</t>
  </si>
  <si>
    <t>Kelingos</t>
  </si>
  <si>
    <t>Michael Kelingos</t>
  </si>
  <si>
    <t>2620 Manor Dr</t>
  </si>
  <si>
    <t>stephjankov@gmail.com</t>
  </si>
  <si>
    <t>mccoy.stephanie@student.shelbyk12.org</t>
  </si>
  <si>
    <t>Stoner</t>
  </si>
  <si>
    <t>Jessica Stoner</t>
  </si>
  <si>
    <t>43 N Gamble St</t>
  </si>
  <si>
    <t>bihl.grace@student.shelbyk12.org</t>
  </si>
  <si>
    <t>Bihl</t>
  </si>
  <si>
    <t>Grace Bihl</t>
  </si>
  <si>
    <t>97 Devonshire Ct</t>
  </si>
  <si>
    <t>kwilmot@atcjet.net</t>
  </si>
  <si>
    <t>karsenklooz@gmail.com</t>
  </si>
  <si>
    <t>Karsen</t>
  </si>
  <si>
    <t>Klooz</t>
  </si>
  <si>
    <t>Karsen Klooz</t>
  </si>
  <si>
    <t>112 8th St</t>
  </si>
  <si>
    <t>shelz1@yahoo.com</t>
  </si>
  <si>
    <t>Quinn Montgomery</t>
  </si>
  <si>
    <t>hlad.emma@student.shelbyk12.org</t>
  </si>
  <si>
    <t>Emma Hlad</t>
  </si>
  <si>
    <t>2687 Springmill Rd</t>
  </si>
  <si>
    <t>dknalepka@gmail.com</t>
  </si>
  <si>
    <t>lovereading96@gmail.com</t>
  </si>
  <si>
    <t>Nalepka</t>
  </si>
  <si>
    <t>Grace Nalepka</t>
  </si>
  <si>
    <t>104 Lakewood Dr.</t>
  </si>
  <si>
    <t>Oakwood Hills</t>
  </si>
  <si>
    <t>segbasket07@gmail.com</t>
  </si>
  <si>
    <t>Gravett</t>
  </si>
  <si>
    <t>Sarah Gravett</t>
  </si>
  <si>
    <t>1804 Timesville Rd</t>
  </si>
  <si>
    <t>magster7@sbcglobal.net</t>
  </si>
  <si>
    <t>Maria Ana</t>
  </si>
  <si>
    <t>Garzon</t>
  </si>
  <si>
    <t>Maria Ana Garzon</t>
  </si>
  <si>
    <t>joyfulajn@gmail.com</t>
  </si>
  <si>
    <t>Amanda Nalepka</t>
  </si>
  <si>
    <t>kippi@bahamabucks.com</t>
  </si>
  <si>
    <t>jett@bahamabucks.com</t>
  </si>
  <si>
    <t>Keelan</t>
  </si>
  <si>
    <t>Keelan Buchanan</t>
  </si>
  <si>
    <t>7006 87th Street</t>
  </si>
  <si>
    <t>thehanscolorado@gmail.com</t>
  </si>
  <si>
    <t>3.14karah@gmail.com</t>
  </si>
  <si>
    <t>Karah</t>
  </si>
  <si>
    <t>Han</t>
  </si>
  <si>
    <t>Karah Han</t>
  </si>
  <si>
    <t>3085 Inspiration Drive</t>
  </si>
  <si>
    <t>bethanybraun28@gmail.com</t>
  </si>
  <si>
    <t>Braun</t>
  </si>
  <si>
    <t>Bethany Braun</t>
  </si>
  <si>
    <t>11092 Freedom Blvd.</t>
  </si>
  <si>
    <t>w.josephine99@gmail.com</t>
  </si>
  <si>
    <t>Josephine Wu</t>
  </si>
  <si>
    <t>7015 20th AVE</t>
  </si>
  <si>
    <t>willyjaybob@gmail.com</t>
  </si>
  <si>
    <t>Ethan Williams</t>
  </si>
  <si>
    <t>7245 Ponderosa Pines Pl</t>
  </si>
  <si>
    <t>a.griffith18@yahoo.com</t>
  </si>
  <si>
    <t>Allyana</t>
  </si>
  <si>
    <t>Allyana Griffith</t>
  </si>
  <si>
    <t>1320 23rd st W</t>
  </si>
  <si>
    <t>shelby.ramares@gmail.com</t>
  </si>
  <si>
    <t>Ramares</t>
  </si>
  <si>
    <t>Shelby Ramares</t>
  </si>
  <si>
    <t>1528 Braden Circle</t>
  </si>
  <si>
    <t>spiderboop@aol.com</t>
  </si>
  <si>
    <t>lesphantom98@aol.com</t>
  </si>
  <si>
    <t>Sultan</t>
  </si>
  <si>
    <t>Julie Sultan</t>
  </si>
  <si>
    <t>394 Peaslake Ct</t>
  </si>
  <si>
    <t>Rolesville</t>
  </si>
  <si>
    <t>amfroemming@gmail.com</t>
  </si>
  <si>
    <t>elsiefroemming@gmail.com</t>
  </si>
  <si>
    <t>Froemming</t>
  </si>
  <si>
    <t>Elsie Froemming</t>
  </si>
  <si>
    <t>57215 375th Street</t>
  </si>
  <si>
    <t>Eden Valley</t>
  </si>
  <si>
    <t>brendanwilkinson30@gmail.com</t>
  </si>
  <si>
    <t>6675 S. Sullivan Pl.</t>
  </si>
  <si>
    <t>carolinerodes@gmail.com</t>
  </si>
  <si>
    <t>Rodes</t>
  </si>
  <si>
    <t>Caroline Rodes</t>
  </si>
  <si>
    <t>5541 south whitesel church rd</t>
  </si>
  <si>
    <t>rayraybarky@gmail.com</t>
  </si>
  <si>
    <t>Ragen</t>
  </si>
  <si>
    <t>Barkenhagen</t>
  </si>
  <si>
    <t>Ragen Barkenhagen</t>
  </si>
  <si>
    <t>2500 Hover Dr</t>
  </si>
  <si>
    <t>luciwhorton@yahoo.com</t>
  </si>
  <si>
    <t>elisewhorton@gmail.com</t>
  </si>
  <si>
    <t>Whorton</t>
  </si>
  <si>
    <t>Elise Whorton</t>
  </si>
  <si>
    <t>312 Oak Ridge Road</t>
  </si>
  <si>
    <t>fairwaybob1@hotmail.com</t>
  </si>
  <si>
    <t>Conner Burke</t>
  </si>
  <si>
    <t>1743 County Rd. 5710</t>
  </si>
  <si>
    <t>Willow Springs</t>
  </si>
  <si>
    <t>davenportjlk@gmail.com</t>
  </si>
  <si>
    <t>ak.davenport29@gmail.com</t>
  </si>
  <si>
    <t>Anna Davenport</t>
  </si>
  <si>
    <t>hallclan13@yahoo.com</t>
  </si>
  <si>
    <t>Libbythe7th@gmail.com</t>
  </si>
  <si>
    <t>Elizabeth Hall</t>
  </si>
  <si>
    <t>900 East 9th Street</t>
  </si>
  <si>
    <t>Bonham</t>
  </si>
  <si>
    <t>rwats64@yahoo.com</t>
  </si>
  <si>
    <t>ian4theiam@yahoo.com</t>
  </si>
  <si>
    <t>Ian Watson</t>
  </si>
  <si>
    <t>11709 Olde Coach Dr.</t>
  </si>
  <si>
    <t>areysen@gmail.com</t>
  </si>
  <si>
    <t>Andrew Reysen</t>
  </si>
  <si>
    <t>3919 Casaba</t>
  </si>
  <si>
    <t>eowynofrohan28@gmail.com</t>
  </si>
  <si>
    <t>Twait</t>
  </si>
  <si>
    <t>Mikaela Twait</t>
  </si>
  <si>
    <t>1200 N. McDermott Rd.</t>
  </si>
  <si>
    <t>roisinaine26@gmail.com</t>
  </si>
  <si>
    <t>Shawna Tyrrell</t>
  </si>
  <si>
    <t>2901 S Coors Dr.</t>
  </si>
  <si>
    <t>mwfulton95@gmail.com</t>
  </si>
  <si>
    <t>Matthew Fulton</t>
  </si>
  <si>
    <t>304 Low Bridge Rd.</t>
  </si>
  <si>
    <t>Forest City</t>
  </si>
  <si>
    <t>kamio.w8@gmail.com</t>
  </si>
  <si>
    <t>Kameryn Wilson</t>
  </si>
  <si>
    <t>7607 Stampede Dr</t>
  </si>
  <si>
    <t>chessncello91@gmail.com</t>
  </si>
  <si>
    <t>Bryce Coin</t>
  </si>
  <si>
    <t>dsstillwell@q.com</t>
  </si>
  <si>
    <t>derek.dman19@gmail.com</t>
  </si>
  <si>
    <t>Stillwell</t>
  </si>
  <si>
    <t>Derek Stillwell</t>
  </si>
  <si>
    <t>11297 W Crestline Pl</t>
  </si>
  <si>
    <t>andbldg5@gmail.com</t>
  </si>
  <si>
    <t>kyleanderson995@gmail.com</t>
  </si>
  <si>
    <t>Kyle Anderson</t>
  </si>
  <si>
    <t>3640 Crooked Branch St</t>
  </si>
  <si>
    <t>Shingle Springs</t>
  </si>
  <si>
    <t>blstucky@cox.net</t>
  </si>
  <si>
    <t>Stucky</t>
  </si>
  <si>
    <t>Hannah Stucky</t>
  </si>
  <si>
    <t>1129 Wedgewood</t>
  </si>
  <si>
    <t>Pl</t>
  </si>
  <si>
    <t>jfaulkner809@gmail.com</t>
  </si>
  <si>
    <t>brookef809@gmail.com</t>
  </si>
  <si>
    <t>Brooke Faulkner</t>
  </si>
  <si>
    <t>809 Noe Rd.</t>
  </si>
  <si>
    <t>patrickjfmalone@gmail.com</t>
  </si>
  <si>
    <t>omalonemusic@gmail.com</t>
  </si>
  <si>
    <t>Olvia</t>
  </si>
  <si>
    <t>Olvia Malone</t>
  </si>
  <si>
    <t>18624 Chickadee Lane</t>
  </si>
  <si>
    <t>tayporter11@yahoo.com</t>
  </si>
  <si>
    <t>Jontay</t>
  </si>
  <si>
    <t>Jontay Porter</t>
  </si>
  <si>
    <t>11002 Riviera Pl NE</t>
  </si>
  <si>
    <t>charitylfulton@gmail.com</t>
  </si>
  <si>
    <t>Charity Fulton</t>
  </si>
  <si>
    <t>ladyhawke122@gmail.com</t>
  </si>
  <si>
    <t>Natalie Brown</t>
  </si>
  <si>
    <t>11151 Riverview Drive</t>
  </si>
  <si>
    <t>Grand Blanc</t>
  </si>
  <si>
    <t>yelyak.e@gmail.com</t>
  </si>
  <si>
    <t>Kayley Evans</t>
  </si>
  <si>
    <t>42 Dyers Cove Rd</t>
  </si>
  <si>
    <t>shaunnaespinosa@yahoo.com</t>
  </si>
  <si>
    <t>aidanespinosa3@gmail.com</t>
  </si>
  <si>
    <t>Espinosa</t>
  </si>
  <si>
    <t>Aidan Espinosa</t>
  </si>
  <si>
    <t>23910 Francisco Way</t>
  </si>
  <si>
    <t>jhbartsch@gmail.com</t>
  </si>
  <si>
    <t>faith.helene23@gmail.com</t>
  </si>
  <si>
    <t>Faith Purdy</t>
  </si>
  <si>
    <t>1028 E. 900 N.</t>
  </si>
  <si>
    <t>Odgden</t>
  </si>
  <si>
    <t>mtb91714@gmail.com</t>
  </si>
  <si>
    <t>Madison Brown</t>
  </si>
  <si>
    <t>minjourney@hotmail.com</t>
  </si>
  <si>
    <t>cynicsthoughts@gmail.com</t>
  </si>
  <si>
    <t>Paul Kim</t>
  </si>
  <si>
    <t>13863 Carmel Valley Road, Apt 105</t>
  </si>
  <si>
    <t>jason.martin@cortland.edu</t>
  </si>
  <si>
    <t>Jason Martin</t>
  </si>
  <si>
    <t>3809 Payne Rd.</t>
  </si>
  <si>
    <t>Turin</t>
  </si>
  <si>
    <t>stephherr1998@yahoo.com</t>
  </si>
  <si>
    <t>Herrera</t>
  </si>
  <si>
    <t>Hannah Herrera</t>
  </si>
  <si>
    <t>jillandeddie@hotmail.com</t>
  </si>
  <si>
    <t>biggcane@yahoo.com</t>
  </si>
  <si>
    <t>Bywaters</t>
  </si>
  <si>
    <t>Emily Bywaters</t>
  </si>
  <si>
    <t>273 Poor Creek Lane</t>
  </si>
  <si>
    <t>Beatrice</t>
  </si>
  <si>
    <t>Beatrice Thrush</t>
  </si>
  <si>
    <t>188 rainey rd</t>
  </si>
  <si>
    <t>wingchunhaley@epbfi.com</t>
  </si>
  <si>
    <t>907 Trotter Lane</t>
  </si>
  <si>
    <t>cvhanson@hotmail.com</t>
  </si>
  <si>
    <t>Hannah Hanson</t>
  </si>
  <si>
    <t>817 Labarge Court</t>
  </si>
  <si>
    <t>Ovenell.nick@gmail.com</t>
  </si>
  <si>
    <t>Ovenell.Nick@gmail.com</t>
  </si>
  <si>
    <t>Ovenell</t>
  </si>
  <si>
    <t>Nick Ovenell</t>
  </si>
  <si>
    <t>Idlewylde Ct</t>
  </si>
  <si>
    <t>kwberge2@illinois.edu</t>
  </si>
  <si>
    <t>Keith Berger</t>
  </si>
  <si>
    <t>236 West Glade rd</t>
  </si>
  <si>
    <t>Palatine</t>
  </si>
  <si>
    <t>swenson.lukas1@gmail.com</t>
  </si>
  <si>
    <t>Lukas Swenson</t>
  </si>
  <si>
    <t>PO BOX 209</t>
  </si>
  <si>
    <t>10958 70th St SW</t>
  </si>
  <si>
    <t>raquelwarrenfamily@gmail.com</t>
  </si>
  <si>
    <t>Cole Warren</t>
  </si>
  <si>
    <t>1103 Holly Hill Drive</t>
  </si>
  <si>
    <t>shadowwanderer@gmail.com</t>
  </si>
  <si>
    <t>shadowwanderer38@gmail.com</t>
  </si>
  <si>
    <t>904 NE 20th St</t>
  </si>
  <si>
    <t>nnittayee@hotmail.com</t>
  </si>
  <si>
    <t>kyee@hanalani.org</t>
  </si>
  <si>
    <t>Kainoa</t>
  </si>
  <si>
    <t>Yee</t>
  </si>
  <si>
    <t>Kainoa Yee</t>
  </si>
  <si>
    <t>92-1126 Kupanaha Place</t>
  </si>
  <si>
    <t>Kapolei</t>
  </si>
  <si>
    <t>schurterjosiah@gmail.com</t>
  </si>
  <si>
    <t>Josiah Schurter</t>
  </si>
  <si>
    <t>1020 Arlington Ct</t>
  </si>
  <si>
    <t>btwood@mtu.edu</t>
  </si>
  <si>
    <t>Benjamin Wood</t>
  </si>
  <si>
    <t>21897 Peepsock Rd</t>
  </si>
  <si>
    <t>lisarowe@leehillrowe.com</t>
  </si>
  <si>
    <t>krowe1999@gmail.com</t>
  </si>
  <si>
    <t>Kaitlyn Rowe</t>
  </si>
  <si>
    <t>24 Moon River Drive</t>
  </si>
  <si>
    <t>stbourg1@gmail.com</t>
  </si>
  <si>
    <t>Stephanie Bourg</t>
  </si>
  <si>
    <t>26205 W. Arbor Ln.</t>
  </si>
  <si>
    <t>nate.l.carmack@gmail.com</t>
  </si>
  <si>
    <t>Nathan Carmack</t>
  </si>
  <si>
    <t>198 Stagecoach Trail</t>
  </si>
  <si>
    <t>elizabethk@pobox.com</t>
  </si>
  <si>
    <t>4410 Ruttand Park Lane</t>
  </si>
  <si>
    <t>sophiebourg32@gmail.com</t>
  </si>
  <si>
    <t>Sophie Bourg</t>
  </si>
  <si>
    <t>26205 W Arbor Ln</t>
  </si>
  <si>
    <t>jesusfreak3892@yahoo.com</t>
  </si>
  <si>
    <t>mhellmann13@gmail.com</t>
  </si>
  <si>
    <t>Hellmann</t>
  </si>
  <si>
    <t>Michael Hellmann</t>
  </si>
  <si>
    <t>801 York Rd.</t>
  </si>
  <si>
    <t>makaelabuol@gmail.com</t>
  </si>
  <si>
    <t>Makaela</t>
  </si>
  <si>
    <t>Buol</t>
  </si>
  <si>
    <t>Makaela Buol</t>
  </si>
  <si>
    <t>2775 Heather View Circle</t>
  </si>
  <si>
    <t>rps59504@yahoo.com</t>
  </si>
  <si>
    <t>emilye.sarnecki@icloud.com</t>
  </si>
  <si>
    <t>Sarnecki</t>
  </si>
  <si>
    <t>Emily Sarnecki</t>
  </si>
  <si>
    <t>18240 Melrose dr</t>
  </si>
  <si>
    <t>lfmw@carolina.rr.com</t>
  </si>
  <si>
    <t>MatthewJones@carolina.rr.com</t>
  </si>
  <si>
    <t>Matthew Jones</t>
  </si>
  <si>
    <t>895 Barger Road</t>
  </si>
  <si>
    <t>morganash2015@gmail.com</t>
  </si>
  <si>
    <t>Ash</t>
  </si>
  <si>
    <t>Morgan Ash</t>
  </si>
  <si>
    <t>722 W Harris St.</t>
  </si>
  <si>
    <t>White City</t>
  </si>
  <si>
    <t>lauramb1994@gmail.com</t>
  </si>
  <si>
    <t>jsbennett1998@gmail.com</t>
  </si>
  <si>
    <t>Joshua Bennett</t>
  </si>
  <si>
    <t>6011 Pleasant Lane</t>
  </si>
  <si>
    <t>WilliamJones@carolina.rr.com</t>
  </si>
  <si>
    <t>William Jones</t>
  </si>
  <si>
    <t>allison.grace98@gmail.com</t>
  </si>
  <si>
    <t>Allison Clark</t>
  </si>
  <si>
    <t>404 Doubletrace Lane</t>
  </si>
  <si>
    <t>kp_mac@netzero.com</t>
  </si>
  <si>
    <t>smileyk1999@yahoo.com</t>
  </si>
  <si>
    <t>Katelyn McLaughlin</t>
  </si>
  <si>
    <t>6327 W IRonwood Dr</t>
  </si>
  <si>
    <t>ee515jahnke@hotmail.com</t>
  </si>
  <si>
    <t>Jahnke</t>
  </si>
  <si>
    <t>Emily Jahnke</t>
  </si>
  <si>
    <t>903 4th avenue</t>
  </si>
  <si>
    <t>michelle@hcf.cc</t>
  </si>
  <si>
    <t>tommydawson336@gmail.com</t>
  </si>
  <si>
    <t>Tommy</t>
  </si>
  <si>
    <t>Tommy Dawson</t>
  </si>
  <si>
    <t>191 S. Amberwood St.</t>
  </si>
  <si>
    <t>Sarah_j_porter@earthlink.net</t>
  </si>
  <si>
    <t>Sarah Porter</t>
  </si>
  <si>
    <t>kalonzo213@gmail.com</t>
  </si>
  <si>
    <t>Alonzo</t>
  </si>
  <si>
    <t>Kevin Alonzo</t>
  </si>
  <si>
    <t>3107 W Walnut Hill</t>
  </si>
  <si>
    <t>Irving</t>
  </si>
  <si>
    <t>piercesidney@gmail.com</t>
  </si>
  <si>
    <t>Sidney Pierce</t>
  </si>
  <si>
    <t>229 E. Tennant Circle</t>
  </si>
  <si>
    <t>ammatlock99@gmail.com</t>
  </si>
  <si>
    <t>Aaron Matlock</t>
  </si>
  <si>
    <t>5863 Catlin Lane</t>
  </si>
  <si>
    <t>Noblesville</t>
  </si>
  <si>
    <t>teamlucas143@icloud.com</t>
  </si>
  <si>
    <t>Grace.kierstie@icloud.com</t>
  </si>
  <si>
    <t>Kiersten Lucas</t>
  </si>
  <si>
    <t>4445 West Keating Circle</t>
  </si>
  <si>
    <t>victoriainternet@gmail.com</t>
  </si>
  <si>
    <t>Victoria Price</t>
  </si>
  <si>
    <t>Woodridge Cicle</t>
  </si>
  <si>
    <t>larren.pruett@yahoo.com</t>
  </si>
  <si>
    <t>Larren</t>
  </si>
  <si>
    <t>Pruett</t>
  </si>
  <si>
    <t>Larren Pruett</t>
  </si>
  <si>
    <t>11874 Catrakee Dr.</t>
  </si>
  <si>
    <t>collegeprep2020@gmail.com</t>
  </si>
  <si>
    <t>violinlvr99@gmail.com</t>
  </si>
  <si>
    <t>Morgan Francis</t>
  </si>
  <si>
    <t>555 Landau Street</t>
  </si>
  <si>
    <t>erin@christcenter.cc</t>
  </si>
  <si>
    <t>xtrememtnbiking@outlook.com</t>
  </si>
  <si>
    <t>Saurer</t>
  </si>
  <si>
    <t>Eric Saurer</t>
  </si>
  <si>
    <t>6912 Lavina Drive</t>
  </si>
  <si>
    <t>jpbaron663@gmail.com</t>
  </si>
  <si>
    <t>Baron</t>
  </si>
  <si>
    <t>Katie Baron</t>
  </si>
  <si>
    <t>663 Trumbull Ln</t>
  </si>
  <si>
    <t>sterrence99@gmail.com</t>
  </si>
  <si>
    <t>Michaela Amend</t>
  </si>
  <si>
    <t>6695 Sheller Rd</t>
  </si>
  <si>
    <t>robinkrogman@msn.com</t>
  </si>
  <si>
    <t>j.m.krogman10@gmail.com</t>
  </si>
  <si>
    <t>Jayden Krogman</t>
  </si>
  <si>
    <t>2402 2nd St. SW</t>
  </si>
  <si>
    <t>sbrown@tvcseagles.com</t>
  </si>
  <si>
    <t>Spencer Brown</t>
  </si>
  <si>
    <t>424 South Overland Trail</t>
  </si>
  <si>
    <t>bonavistagrove23@gmail.com</t>
  </si>
  <si>
    <t>Chamberlain</t>
  </si>
  <si>
    <t>Christine Chamberlain</t>
  </si>
  <si>
    <t>20969 County Road 50</t>
  </si>
  <si>
    <t>Corcoran</t>
  </si>
  <si>
    <t>john-m_martin@ntm.org</t>
  </si>
  <si>
    <t>chadmartin8144@gmail.com</t>
  </si>
  <si>
    <t>Chad Martin</t>
  </si>
  <si>
    <t>3772 W Dunwoody St</t>
  </si>
  <si>
    <t>clankraft@hotmail.com</t>
  </si>
  <si>
    <t>isaiah.kraft00@gmail.com</t>
  </si>
  <si>
    <t>Kraft</t>
  </si>
  <si>
    <t>Isaiah Kraft</t>
  </si>
  <si>
    <t>160 MARACAL WAY</t>
  </si>
  <si>
    <t>PUNTA GORDA</t>
  </si>
  <si>
    <t>jk4hahaha@gmail.com</t>
  </si>
  <si>
    <t>koivuboy@gmail.com</t>
  </si>
  <si>
    <t>Koivu</t>
  </si>
  <si>
    <t>Harrison Koivu</t>
  </si>
  <si>
    <t>10150 City Walk Dr</t>
  </si>
  <si>
    <t>#218</t>
  </si>
  <si>
    <t>woodbury</t>
  </si>
  <si>
    <t>goldylocks170@gmail.com</t>
  </si>
  <si>
    <t>Rachael Stevens</t>
  </si>
  <si>
    <t>mninorbez@gmail.com</t>
  </si>
  <si>
    <t>Naomi Zebro</t>
  </si>
  <si>
    <t>335jlo@gmail.com</t>
  </si>
  <si>
    <t>Jordan Lowery</t>
  </si>
  <si>
    <t>4nigelT8@gmail.com</t>
  </si>
  <si>
    <t>4nigelt8@gmail.com</t>
  </si>
  <si>
    <t>Nigel</t>
  </si>
  <si>
    <t>Nigel Tate</t>
  </si>
  <si>
    <t>17379 Woodland Dr</t>
  </si>
  <si>
    <t>dherr373@gmail.com</t>
  </si>
  <si>
    <t>lherrfootball@gmail.com</t>
  </si>
  <si>
    <t>Levi Herr</t>
  </si>
  <si>
    <t>373 Parkland Dr</t>
  </si>
  <si>
    <t>cedar rapids</t>
  </si>
  <si>
    <t>sue.nielsen.ccx@gmail.com</t>
  </si>
  <si>
    <t>austin.nielsen29@gmail.com</t>
  </si>
  <si>
    <t>Nielsen</t>
  </si>
  <si>
    <t>Austin Nielsen</t>
  </si>
  <si>
    <t>95 Luxton Ave</t>
  </si>
  <si>
    <t>R2W 0L8</t>
  </si>
  <si>
    <t>christinamoyer@gmail.com</t>
  </si>
  <si>
    <t>ajm5552828@gmail.com</t>
  </si>
  <si>
    <t>Alison Moyer</t>
  </si>
  <si>
    <t>148 Diamond Drive</t>
  </si>
  <si>
    <t>melodyanderic@hotmail.com</t>
  </si>
  <si>
    <t>jazzyjubilee2011@hotmail.com</t>
  </si>
  <si>
    <t>Castrellon</t>
  </si>
  <si>
    <t>Jubilee Castrellon</t>
  </si>
  <si>
    <t>10717 Dreher Rd.</t>
  </si>
  <si>
    <t>tradunn@att.net</t>
  </si>
  <si>
    <t>wjjdlive@gmail.com</t>
  </si>
  <si>
    <t>William Dunn</t>
  </si>
  <si>
    <t>712 Cheairs Circle</t>
  </si>
  <si>
    <t>sonya.lucia@comcast.net</t>
  </si>
  <si>
    <t>zachary.lucia@comcast.net</t>
  </si>
  <si>
    <t>Lucia</t>
  </si>
  <si>
    <t>Zach Lucia</t>
  </si>
  <si>
    <t>1170 Dolan Drive</t>
  </si>
  <si>
    <t>annabellecastrellon@gmail.com</t>
  </si>
  <si>
    <t>Annabelle Castrellon</t>
  </si>
  <si>
    <t>10717 Dreher Rd</t>
  </si>
  <si>
    <t>amaforty25@gmail.com</t>
  </si>
  <si>
    <t>880 Chamberlin trl</t>
  </si>
  <si>
    <t>raegansroberts@ymail.com</t>
  </si>
  <si>
    <t>Raegan Roberts</t>
  </si>
  <si>
    <t>2538 Laurelwood Lane</t>
  </si>
  <si>
    <t>ourlufamily@gmail.com</t>
  </si>
  <si>
    <t>ernielu1012@gmail.com</t>
  </si>
  <si>
    <t>Ernie</t>
  </si>
  <si>
    <t>Ernie Lu</t>
  </si>
  <si>
    <t>PO Box 1201</t>
  </si>
  <si>
    <t>mikeamyglz@gmail.com</t>
  </si>
  <si>
    <t>mrg4771@gmail.com</t>
  </si>
  <si>
    <t>Galdamez</t>
  </si>
  <si>
    <t>Michael Galdamez</t>
  </si>
  <si>
    <t>208 Silvermill Court</t>
  </si>
  <si>
    <t>zhenryjr@md.metrocast.net</t>
  </si>
  <si>
    <t>sbland32@gmail.com</t>
  </si>
  <si>
    <t>Benjamin Henry</t>
  </si>
  <si>
    <t>44259 Jamies Way</t>
  </si>
  <si>
    <t>jhg4771@gmail.com</t>
  </si>
  <si>
    <t>John Galdamez</t>
  </si>
  <si>
    <t>Stephanie Beal</t>
  </si>
  <si>
    <t>josh22@isaiah432.com</t>
  </si>
  <si>
    <t>Joshua Arnold</t>
  </si>
  <si>
    <t>12501 Coral Reef Cir</t>
  </si>
  <si>
    <t>isaac.winnes@gmail.com</t>
  </si>
  <si>
    <t>Winnes</t>
  </si>
  <si>
    <t>Isaac Winnes</t>
  </si>
  <si>
    <t>5337 37th Ave S</t>
  </si>
  <si>
    <t>ccestnick@gmail.com</t>
  </si>
  <si>
    <t>win@cestnick.ca</t>
  </si>
  <si>
    <t>Cestnick</t>
  </si>
  <si>
    <t>Winston Cestnick</t>
  </si>
  <si>
    <t>2004 Highview Drive</t>
  </si>
  <si>
    <t>L7P0P3</t>
  </si>
  <si>
    <t>crabtreeengland@gmail.com</t>
  </si>
  <si>
    <t>Caleb Chance</t>
  </si>
  <si>
    <t>orebankers@yahoo.com</t>
  </si>
  <si>
    <t>ladyvol819@yahoo.com</t>
  </si>
  <si>
    <t>Ramey</t>
  </si>
  <si>
    <t>Allison Ramey</t>
  </si>
  <si>
    <t>444 Sierra Drive</t>
  </si>
  <si>
    <t>Kingsport</t>
  </si>
  <si>
    <t>george.corbin@gmail.com</t>
  </si>
  <si>
    <t>nathancorbin00@gmail.com</t>
  </si>
  <si>
    <t>Nathan Corbin</t>
  </si>
  <si>
    <t>8123 Prospect Pt</t>
  </si>
  <si>
    <t>abbeywilliams.me@gmail.com</t>
  </si>
  <si>
    <t>Abbey Williams</t>
  </si>
  <si>
    <t>3662 Cooper Memorial Dr.</t>
  </si>
  <si>
    <t>Amylynnsch@me.com</t>
  </si>
  <si>
    <t>tim@b-fearless.com</t>
  </si>
  <si>
    <t>Timothy Schlabach</t>
  </si>
  <si>
    <t>5845 Township Road 351</t>
  </si>
  <si>
    <t>Millersburg</t>
  </si>
  <si>
    <t>woodsjoe27@gmail.com</t>
  </si>
  <si>
    <t>3404 Racquet Dr</t>
  </si>
  <si>
    <t>cmdandgle@aol.com</t>
  </si>
  <si>
    <t>Charles 'Michael'</t>
  </si>
  <si>
    <t>Charles 'Michael' Davis</t>
  </si>
  <si>
    <t>cymorrison@bellsouth.net</t>
  </si>
  <si>
    <t>wehttam@bellsouth.net</t>
  </si>
  <si>
    <t>Matthew Morrison</t>
  </si>
  <si>
    <t>8808 Willow Crest Drive</t>
  </si>
  <si>
    <t>jgriffes1@gmail.com</t>
  </si>
  <si>
    <t>alexgriffes@gmail.com</t>
  </si>
  <si>
    <t>Griffes</t>
  </si>
  <si>
    <t>Alexander Griffes</t>
  </si>
  <si>
    <t>3 Wallace Drive</t>
  </si>
  <si>
    <t>wposse8@aol.com</t>
  </si>
  <si>
    <t>Dalton.wirges@outlook.com</t>
  </si>
  <si>
    <t>Wirges</t>
  </si>
  <si>
    <t>Dalton Wirges</t>
  </si>
  <si>
    <t>24310 Howard Circle</t>
  </si>
  <si>
    <t>steve_bradley@baylor.edu</t>
  </si>
  <si>
    <t>Caroline Bradley</t>
  </si>
  <si>
    <t>gregashlie@gmail.com</t>
  </si>
  <si>
    <t>clayelizabeth00@gmail.com</t>
  </si>
  <si>
    <t>Elizabeth Clay</t>
  </si>
  <si>
    <t>19755 Easter Ferry Road</t>
  </si>
  <si>
    <t>rconnolly1998@yahoo.com</t>
  </si>
  <si>
    <t>summersunshine1998@gmail.com</t>
  </si>
  <si>
    <t>Summer Connolly</t>
  </si>
  <si>
    <t>32851 Dupont St.</t>
  </si>
  <si>
    <t>Temecula</t>
  </si>
  <si>
    <t>smithfamilyx4@comcast.net</t>
  </si>
  <si>
    <t>Logan Smith</t>
  </si>
  <si>
    <t>691 Hardin Rd</t>
  </si>
  <si>
    <t>savannahroyston@yahoo.com</t>
  </si>
  <si>
    <t>Savannah Royston</t>
  </si>
  <si>
    <t>361 Yoakley Rd.</t>
  </si>
  <si>
    <t>Blountville</t>
  </si>
  <si>
    <t>judi@telus.net</t>
  </si>
  <si>
    <t>zurivankevich@hotmail.com</t>
  </si>
  <si>
    <t>Zuri</t>
  </si>
  <si>
    <t>Vankevich</t>
  </si>
  <si>
    <t>Zuri Vankevich</t>
  </si>
  <si>
    <t>20821 43rd Avenue</t>
  </si>
  <si>
    <t>langley</t>
  </si>
  <si>
    <t>bc</t>
  </si>
  <si>
    <t>V3A 9A8</t>
  </si>
  <si>
    <t>marrathome@yahoo.com</t>
  </si>
  <si>
    <t>Matthewmarr99@yahoo.com</t>
  </si>
  <si>
    <t>Matthew Marr</t>
  </si>
  <si>
    <t>3623 McMinnville Hwy.</t>
  </si>
  <si>
    <t>todd@bamafamily.net</t>
  </si>
  <si>
    <t>cocoloco@bamafamily.net</t>
  </si>
  <si>
    <t>Willoughby</t>
  </si>
  <si>
    <t>Colby Willoughby</t>
  </si>
  <si>
    <t>101 Conch Circle</t>
  </si>
  <si>
    <t>hannah.m.whitaker@gmail.com</t>
  </si>
  <si>
    <t>Hannah Whitaker</t>
  </si>
  <si>
    <t>1140 Tanbark Road</t>
  </si>
  <si>
    <t>97jenna.rose@gmail.com</t>
  </si>
  <si>
    <t>Willenbring</t>
  </si>
  <si>
    <t>Jenna Willenbring</t>
  </si>
  <si>
    <t>2461 Southview ct.</t>
  </si>
  <si>
    <t>kevinelaine.king@gmail.com</t>
  </si>
  <si>
    <t>amanda.king1019@gmail.com</t>
  </si>
  <si>
    <t>Amanda King</t>
  </si>
  <si>
    <t>Robins Ln</t>
  </si>
  <si>
    <t>sammyvankevich@hotmail.com</t>
  </si>
  <si>
    <t>Sam Vankevich</t>
  </si>
  <si>
    <t>BC</t>
  </si>
  <si>
    <t>ashleycoates@mchsi.com</t>
  </si>
  <si>
    <t>Coates</t>
  </si>
  <si>
    <t>Andersen Coates</t>
  </si>
  <si>
    <t>sjbayse@yahoo.com</t>
  </si>
  <si>
    <t>24263 V Avenue</t>
  </si>
  <si>
    <t>leeming@live.ca</t>
  </si>
  <si>
    <t>Leeming</t>
  </si>
  <si>
    <t>Josiah Leeming</t>
  </si>
  <si>
    <t>383 Weese Rd., R.R. #1</t>
  </si>
  <si>
    <t>Shannonville</t>
  </si>
  <si>
    <t>K0K 3A0</t>
  </si>
  <si>
    <t>sallyroth@bellsouth.net</t>
  </si>
  <si>
    <t>sarahsroth96@gmail.com</t>
  </si>
  <si>
    <t>Sarah Roth</t>
  </si>
  <si>
    <t>21 Wylly Avenue</t>
  </si>
  <si>
    <t>tampabaybar0915@gmail.com</t>
  </si>
  <si>
    <t>Michaelsmoore.mail@gmail.com</t>
  </si>
  <si>
    <t>Michael Moore</t>
  </si>
  <si>
    <t>509 s 52nd st</t>
  </si>
  <si>
    <t>debra.sepulveda@gmail.com</t>
  </si>
  <si>
    <t>spssepulveda@gmail.com</t>
  </si>
  <si>
    <t>Sepulveda</t>
  </si>
  <si>
    <t>Stephen Sepulveda</t>
  </si>
  <si>
    <t>5 Waterview Rd.</t>
  </si>
  <si>
    <t>mark.heflin@athletesinaction.org</t>
  </si>
  <si>
    <t>mh311415@ohio.edu</t>
  </si>
  <si>
    <t>Heflin</t>
  </si>
  <si>
    <t>Mark Heflin</t>
  </si>
  <si>
    <t>7191 Beechwood Drive</t>
  </si>
  <si>
    <t>loloalvarez31@gmail.com</t>
  </si>
  <si>
    <t>alvarezaaron2235@gmail.com</t>
  </si>
  <si>
    <t>Aaron Alvarez</t>
  </si>
  <si>
    <t>10809 Walden Pond</t>
  </si>
  <si>
    <t>Isaacdelljohnson@gmail.com</t>
  </si>
  <si>
    <t>1023 CR286</t>
  </si>
  <si>
    <t>katiecatherine@gmail.com</t>
  </si>
  <si>
    <t>Katie Johnson</t>
  </si>
  <si>
    <t>rckilgore99@gmail.com</t>
  </si>
  <si>
    <t>Rhett</t>
  </si>
  <si>
    <t>Rhett Kilgore</t>
  </si>
  <si>
    <t>11525 Conifer Ridge Dr</t>
  </si>
  <si>
    <t>jmmmj5@gmail.com</t>
  </si>
  <si>
    <t>megangrable333@gmail.com</t>
  </si>
  <si>
    <t>Grable</t>
  </si>
  <si>
    <t>Megan Grable</t>
  </si>
  <si>
    <t>6208 26th ST W</t>
  </si>
  <si>
    <t>Bradenton</t>
  </si>
  <si>
    <t>jlong77700@gmail.com</t>
  </si>
  <si>
    <t>jtmcgowen@sbcglobal.net</t>
  </si>
  <si>
    <t>Tallymac@sbcglobal.net</t>
  </si>
  <si>
    <t>Tally</t>
  </si>
  <si>
    <t>McGowen</t>
  </si>
  <si>
    <t>Tally McGowen</t>
  </si>
  <si>
    <t>267 Sunbury Dr</t>
  </si>
  <si>
    <t>tenkidsrunning@gmail.com</t>
  </si>
  <si>
    <t>Joseph Wilson</t>
  </si>
  <si>
    <t>caryntaylor0801@gmail.com</t>
  </si>
  <si>
    <t>Caryn</t>
  </si>
  <si>
    <t>Caryn Taylor</t>
  </si>
  <si>
    <t>dave@dsiedenburg.com</t>
  </si>
  <si>
    <t>siedenburge@uwplatt.edu</t>
  </si>
  <si>
    <t>Eric Siedenburg</t>
  </si>
  <si>
    <t>8130 Heather Bow Court</t>
  </si>
  <si>
    <t>gbensinger99@gmail.com</t>
  </si>
  <si>
    <t>Agustus</t>
  </si>
  <si>
    <t>Bensinger</t>
  </si>
  <si>
    <t>Agustus Bensinger</t>
  </si>
  <si>
    <t>707 W. Adams Drive</t>
  </si>
  <si>
    <t>evageneva@icloud.com</t>
  </si>
  <si>
    <t>Ducanis</t>
  </si>
  <si>
    <t>Eva Ducanis</t>
  </si>
  <si>
    <t>5949 SW 54th Ct.</t>
  </si>
  <si>
    <t>tharrispersonal@hotmail.com</t>
  </si>
  <si>
    <t>eharrispersonal@hotmail.com</t>
  </si>
  <si>
    <t>Ethan Harris</t>
  </si>
  <si>
    <t>29115 Olinda Trail</t>
  </si>
  <si>
    <t>kris_belcher@msn.com</t>
  </si>
  <si>
    <t>Sarahlbelcher@msn.com</t>
  </si>
  <si>
    <t>Sarah Belcher</t>
  </si>
  <si>
    <t>9040 Clapham Court</t>
  </si>
  <si>
    <t>nicolemnewton01@gmail.com</t>
  </si>
  <si>
    <t>Wanya</t>
  </si>
  <si>
    <t>Wanya Newton</t>
  </si>
  <si>
    <t>3201 Monroe Hwy</t>
  </si>
  <si>
    <t>Bogart</t>
  </si>
  <si>
    <t>melissa.yeomans@hotmail.com</t>
  </si>
  <si>
    <t>Geronimosuits@gmail.com</t>
  </si>
  <si>
    <t>yeomans</t>
  </si>
  <si>
    <t>Kaitlin yeomans</t>
  </si>
  <si>
    <t>Kirk Dr. SE</t>
  </si>
  <si>
    <t>josherin@comcast.net</t>
  </si>
  <si>
    <t>mjohnston0318@gmail.com</t>
  </si>
  <si>
    <t>Mackenzie Johnston</t>
  </si>
  <si>
    <t>7501 S. Logan Dr.</t>
  </si>
  <si>
    <t>millar.rand@gmail.com</t>
  </si>
  <si>
    <t>millar.dwight@gmail.com</t>
  </si>
  <si>
    <t>Dwight Millar</t>
  </si>
  <si>
    <t>43 Trofello Lane</t>
  </si>
  <si>
    <t>Aliso Viejo</t>
  </si>
  <si>
    <t>doug9845@gmail.com</t>
  </si>
  <si>
    <t>Douglas Millar</t>
  </si>
  <si>
    <t>gregpoarch@gmail.com</t>
  </si>
  <si>
    <t>leeannpoarch15@gmail.com</t>
  </si>
  <si>
    <t>Poarch</t>
  </si>
  <si>
    <t>LeeAnn Poarch</t>
  </si>
  <si>
    <t>317 morningside dr.</t>
  </si>
  <si>
    <t>marigoldcccc@gmail.com</t>
  </si>
  <si>
    <t>shadowgamerxt101@gmail.com</t>
  </si>
  <si>
    <t>Zachary Gray</t>
  </si>
  <si>
    <t>4329 Hwy 15</t>
  </si>
  <si>
    <t>tinapaulisch@yahoo.com</t>
  </si>
  <si>
    <t>aarontheminer@yahoo.com</t>
  </si>
  <si>
    <t>Paulisch</t>
  </si>
  <si>
    <t>Aaron Paulisch</t>
  </si>
  <si>
    <t>2574 Gooney Manor Loop</t>
  </si>
  <si>
    <t>dudeandallie@gmail.com</t>
  </si>
  <si>
    <t>cannon.buford@cck12.net</t>
  </si>
  <si>
    <t>Cannon Buford</t>
  </si>
  <si>
    <t>331 Lincoln</t>
  </si>
  <si>
    <t>Ordway</t>
  </si>
  <si>
    <t>skricken@nucleus.com</t>
  </si>
  <si>
    <t>thenightfox03@gmail.com</t>
  </si>
  <si>
    <t>Kricken</t>
  </si>
  <si>
    <t>Rachael Kricken</t>
  </si>
  <si>
    <t>246 Rocky Ridge Court</t>
  </si>
  <si>
    <t>T3G 4S8</t>
  </si>
  <si>
    <t>jasonkeithhackbarth@gmail.com</t>
  </si>
  <si>
    <t>jason</t>
  </si>
  <si>
    <t>hackbarth</t>
  </si>
  <si>
    <t>jason hackbarth</t>
  </si>
  <si>
    <t>bend</t>
  </si>
  <si>
    <t>christina.rmb@gmail.com</t>
  </si>
  <si>
    <t>Christina Beck</t>
  </si>
  <si>
    <t>8626 Baypointe Dr.</t>
  </si>
  <si>
    <t>Avon</t>
  </si>
  <si>
    <t>brittonpeel@rittermail.com</t>
  </si>
  <si>
    <t>Britton</t>
  </si>
  <si>
    <t>Britton Peel</t>
  </si>
  <si>
    <t>alisabernard74@gmail.com</t>
  </si>
  <si>
    <t>andrew_bernard@bellsouth.net</t>
  </si>
  <si>
    <t>Andrew Bernard</t>
  </si>
  <si>
    <t>12301 Dusty Field Rd</t>
  </si>
  <si>
    <t>thattiemannguy@gmail.com</t>
  </si>
  <si>
    <t>tiemann</t>
  </si>
  <si>
    <t>michael tiemann</t>
  </si>
  <si>
    <t>34482 742nd Ave.</t>
  </si>
  <si>
    <t>south haven</t>
  </si>
  <si>
    <t>jlorence@ADFlegal.org</t>
  </si>
  <si>
    <t>Brent Lorence</t>
  </si>
  <si>
    <t>jjwjsh@hotmail.com</t>
  </si>
  <si>
    <t>onejames49@gmail.com</t>
  </si>
  <si>
    <t>seunghoon</t>
  </si>
  <si>
    <t>seunghoon jeong</t>
  </si>
  <si>
    <t>19631 runnymede st</t>
  </si>
  <si>
    <t>reseda</t>
  </si>
  <si>
    <t>tallredboots@hotmail.com</t>
  </si>
  <si>
    <t>psalm1263@outlook.com</t>
  </si>
  <si>
    <t>Matthew Snodgrass</t>
  </si>
  <si>
    <t>4109 N Glenn Rd</t>
  </si>
  <si>
    <t>firejt50@yahoo.com</t>
  </si>
  <si>
    <t>racheladele2001@icloud.com</t>
  </si>
  <si>
    <t>Rachel Trammell</t>
  </si>
  <si>
    <t>6509 Madonna Ave</t>
  </si>
  <si>
    <t>pattersoncash98@gmail.com</t>
  </si>
  <si>
    <t>Patterson Cash</t>
  </si>
  <si>
    <t>3004 Creekside Way</t>
  </si>
  <si>
    <t>jaw2eggs@yahoo.com</t>
  </si>
  <si>
    <t>yerfdog1823@gmail.com</t>
  </si>
  <si>
    <t>Godfrey</t>
  </si>
  <si>
    <t>Sutherland</t>
  </si>
  <si>
    <t>Godfrey Sutherland</t>
  </si>
  <si>
    <t>3695 Highway 22</t>
  </si>
  <si>
    <t>ian43023@gmail.com</t>
  </si>
  <si>
    <t>Ian Sutherland</t>
  </si>
  <si>
    <t>Leclear</t>
  </si>
  <si>
    <t>Lacey Leclear</t>
  </si>
  <si>
    <t>1116 Webster  Ave.</t>
  </si>
  <si>
    <t>peterjs719@gmail.com</t>
  </si>
  <si>
    <t>Peter Stephenson</t>
  </si>
  <si>
    <t>15 Green Trees Rd.</t>
  </si>
  <si>
    <t>arronvinson@rocketmail.com</t>
  </si>
  <si>
    <t>Arron</t>
  </si>
  <si>
    <t>Arron Vinson</t>
  </si>
  <si>
    <t>3332 Dorothy</t>
  </si>
  <si>
    <t>kailahnf17@gmail.com</t>
  </si>
  <si>
    <t>Kayla Williamson</t>
  </si>
  <si>
    <t>107 kirkside Dr</t>
  </si>
  <si>
    <t>Mickeyjd@msn.com</t>
  </si>
  <si>
    <t>brycedalrymple6@gmail.com</t>
  </si>
  <si>
    <t>Dalrymple</t>
  </si>
  <si>
    <t>Bryce Dalrymple</t>
  </si>
  <si>
    <t>14395 Black Forest road</t>
  </si>
  <si>
    <t>andrea@andreashirey.com</t>
  </si>
  <si>
    <t>lulabelle998@gmail.com</t>
  </si>
  <si>
    <t>Shirey</t>
  </si>
  <si>
    <t>Emma Shirey</t>
  </si>
  <si>
    <t>110 Carrsbrook Ct.</t>
  </si>
  <si>
    <t>jkpstrem@gmail.com</t>
  </si>
  <si>
    <t>remiger.payton@cleveland.k12.mn.us</t>
  </si>
  <si>
    <t>Remiger</t>
  </si>
  <si>
    <t>Payton Remiger</t>
  </si>
  <si>
    <t>20352 490th St.</t>
  </si>
  <si>
    <t>drmyers65@yahoo.com</t>
  </si>
  <si>
    <t>reecemyers@rocketmail.com</t>
  </si>
  <si>
    <t>Reece Myers</t>
  </si>
  <si>
    <t>1749 Chapman Ct</t>
  </si>
  <si>
    <t>Reubenshalstrom@gmail.com</t>
  </si>
  <si>
    <t>Reuben</t>
  </si>
  <si>
    <t>Reuben Sahlstrom</t>
  </si>
  <si>
    <t>17585 Aspen Ave</t>
  </si>
  <si>
    <t>laurena@christchapelbc.org</t>
  </si>
  <si>
    <t>cadecrow00@yahoo.com</t>
  </si>
  <si>
    <t>Cade Crow</t>
  </si>
  <si>
    <t>5331 Byers Ave</t>
  </si>
  <si>
    <t>ecgrabill@gmail.com</t>
  </si>
  <si>
    <t>Elyse Grabill</t>
  </si>
  <si>
    <t>6309 Turret Dr</t>
  </si>
  <si>
    <t>kentdbreed@gmail.com</t>
  </si>
  <si>
    <t>Breedlove</t>
  </si>
  <si>
    <t>Kent Breedlove</t>
  </si>
  <si>
    <t>313 N Bailey Ave</t>
  </si>
  <si>
    <t>hmackensie15@gmail.com</t>
  </si>
  <si>
    <t>Remigio</t>
  </si>
  <si>
    <t>Hannah Remigio</t>
  </si>
  <si>
    <t>105 Langley Ct</t>
  </si>
  <si>
    <t>mcclard44@sbcglobal.net</t>
  </si>
  <si>
    <t>McClard</t>
  </si>
  <si>
    <t>Caleb McClard</t>
  </si>
  <si>
    <t>3835 Winslow Dr</t>
  </si>
  <si>
    <t>hjmcclard@yahoo.com</t>
  </si>
  <si>
    <t>Hannah McClard</t>
  </si>
  <si>
    <t>averitaowens@gmail.com</t>
  </si>
  <si>
    <t>Avery Owens</t>
  </si>
  <si>
    <t>4668 Pine Grove Ln</t>
  </si>
  <si>
    <t>brycemcdonald86@gmail.com</t>
  </si>
  <si>
    <t>Bryce McDonald</t>
  </si>
  <si>
    <t>4015 Hildring Dr E</t>
  </si>
  <si>
    <t>ryan.amberger@sbcglobal.net</t>
  </si>
  <si>
    <t>Amberger</t>
  </si>
  <si>
    <t>Ryan Amberger</t>
  </si>
  <si>
    <t>1200 Rio Grande Dr</t>
  </si>
  <si>
    <t>smccarty2018@yahoo.com</t>
  </si>
  <si>
    <t>Stephen McCarty</t>
  </si>
  <si>
    <t>11840 River View Way</t>
  </si>
  <si>
    <t>mjtrate8675309@gmail.com</t>
  </si>
  <si>
    <t>Moira</t>
  </si>
  <si>
    <t>Trate</t>
  </si>
  <si>
    <t>Moira Trate</t>
  </si>
  <si>
    <t>1227 Black Gap Rd</t>
  </si>
  <si>
    <t>Trentbarron99@gmail.com</t>
  </si>
  <si>
    <t>Trent Baron</t>
  </si>
  <si>
    <t>411 Meadow Hill Road</t>
  </si>
  <si>
    <t>danberm15@gmail.com</t>
  </si>
  <si>
    <t>Berman</t>
  </si>
  <si>
    <t>Daniel Berman</t>
  </si>
  <si>
    <t>409 Sterling Dr</t>
  </si>
  <si>
    <t>travel.gods.world@gmail.com</t>
  </si>
  <si>
    <t>Travel.gods.world@gmail.com</t>
  </si>
  <si>
    <t>Alison Louis</t>
  </si>
  <si>
    <t>405 Paint Brush CV</t>
  </si>
  <si>
    <t>heatherfrommack@netscape.net</t>
  </si>
  <si>
    <t>ianfrommack@gmail.com</t>
  </si>
  <si>
    <t>Frommack</t>
  </si>
  <si>
    <t>Ian Frommack</t>
  </si>
  <si>
    <t>2311 Laurel Grove</t>
  </si>
  <si>
    <t>zqc15a@acu.edu</t>
  </si>
  <si>
    <t>marleywithers357@gmail.com</t>
  </si>
  <si>
    <t>Christine Case</t>
  </si>
  <si>
    <t>60133 Hawsey Circle Unit 1</t>
  </si>
  <si>
    <t>Fort Hood</t>
  </si>
  <si>
    <t>mnkeating85@gmail.com</t>
  </si>
  <si>
    <t>kaykeating98@gmail.com</t>
  </si>
  <si>
    <t>Kaylee Keating</t>
  </si>
  <si>
    <t>grahamm@christchapelbc.org</t>
  </si>
  <si>
    <t>Mcmillan</t>
  </si>
  <si>
    <t>Graham Mcmillan</t>
  </si>
  <si>
    <t>4521 Donnelly Ave</t>
  </si>
  <si>
    <t>jennifergordonsanders@yahoo.com</t>
  </si>
  <si>
    <t>dakotakylewilkinson@gmail.com</t>
  </si>
  <si>
    <t>Dakota Wilkinson</t>
  </si>
  <si>
    <t>130 Meadow Pond Lane</t>
  </si>
  <si>
    <t>oldworldhomesoftx@sbcglobal.net</t>
  </si>
  <si>
    <t>seth24car@sbcglobal.net</t>
  </si>
  <si>
    <t>Morehead</t>
  </si>
  <si>
    <t>William Morehead</t>
  </si>
  <si>
    <t>3004 Willing Ave</t>
  </si>
  <si>
    <t>kmstaub@aol.com</t>
  </si>
  <si>
    <t>Kmstaub@aol.com</t>
  </si>
  <si>
    <t>Staub</t>
  </si>
  <si>
    <t>Kate Staub</t>
  </si>
  <si>
    <t>439/16 Soi 21 Koolpuntville 7</t>
  </si>
  <si>
    <t>A. Muang, T. Nongkwai</t>
  </si>
  <si>
    <t>Chiang Mai</t>
  </si>
  <si>
    <t>Thailand</t>
  </si>
  <si>
    <t>mollyrhamm@gmail.com</t>
  </si>
  <si>
    <t>Hamm</t>
  </si>
  <si>
    <t>Molly Hamm</t>
  </si>
  <si>
    <t>8916 Cairn Ridge Drive</t>
  </si>
  <si>
    <t>sgharris@me.com</t>
  </si>
  <si>
    <t>jaydenaharris@me.com</t>
  </si>
  <si>
    <t>Jayden Harris</t>
  </si>
  <si>
    <t>Rua de Nhazonia, 75</t>
  </si>
  <si>
    <t>Inhambane</t>
  </si>
  <si>
    <t>Mozambique</t>
  </si>
  <si>
    <t>lizzie.mooney7@gmail.com</t>
  </si>
  <si>
    <t>Mooney</t>
  </si>
  <si>
    <t>Elizabeth Mooney</t>
  </si>
  <si>
    <t>1686 Bethel Road SE</t>
  </si>
  <si>
    <t>Brookhaven</t>
  </si>
  <si>
    <t>audreygrace9975@gmail.com</t>
  </si>
  <si>
    <t>Audrey Myers</t>
  </si>
  <si>
    <t>1321 Fairfax S</t>
  </si>
  <si>
    <t>brookeewittmer@gmail.com</t>
  </si>
  <si>
    <t>Brooke Wittmer</t>
  </si>
  <si>
    <t>sgharris@mac.com</t>
  </si>
  <si>
    <t>mariahlharris@me.com</t>
  </si>
  <si>
    <t>Mariah Harris</t>
  </si>
  <si>
    <t>mipavell@att.net</t>
  </si>
  <si>
    <t>wpavell@me.com</t>
  </si>
  <si>
    <t>Pavell</t>
  </si>
  <si>
    <t>Whitney Pavell</t>
  </si>
  <si>
    <t>3801 Summercrest Dr</t>
  </si>
  <si>
    <t>jwoodward9@outlook.com</t>
  </si>
  <si>
    <t>addisonwoodward@me.com</t>
  </si>
  <si>
    <t>Addison Woodward</t>
  </si>
  <si>
    <t>104 Thistlewood Ln.</t>
  </si>
  <si>
    <t>creationtestifies@gmail.com</t>
  </si>
  <si>
    <t>sqhadley601@gmail.com</t>
  </si>
  <si>
    <t>Samuel Hadley</t>
  </si>
  <si>
    <t>3055 Abbott Ln</t>
  </si>
  <si>
    <t>arallen1221@gmail.com</t>
  </si>
  <si>
    <t>Asrielle</t>
  </si>
  <si>
    <t>Asrielle Allen</t>
  </si>
  <si>
    <t>8911 28th St. Ct.</t>
  </si>
  <si>
    <t>drvsosa@gmail.com</t>
  </si>
  <si>
    <t>Ryan.k.cox7@gmail.com</t>
  </si>
  <si>
    <t>Ryan Cox</t>
  </si>
  <si>
    <t>931 East Main</t>
  </si>
  <si>
    <t>emilyrbrown59@gmail.com</t>
  </si>
  <si>
    <t>4095 Graces Lane</t>
  </si>
  <si>
    <t>firerivas@gmail.com</t>
  </si>
  <si>
    <t>Rivaskatelynn99@gmail.com</t>
  </si>
  <si>
    <t>Katelynn</t>
  </si>
  <si>
    <t>Rivas</t>
  </si>
  <si>
    <t>Katelynn Rivas</t>
  </si>
  <si>
    <t>206 E. Cherry Hill Ct</t>
  </si>
  <si>
    <t>bsiever17935@GMAIL.COM</t>
  </si>
  <si>
    <t>tyosiever@gmail.com</t>
  </si>
  <si>
    <t>Siever</t>
  </si>
  <si>
    <t>Ty Siever</t>
  </si>
  <si>
    <t>1087 little swan creek rd</t>
  </si>
  <si>
    <t>hohenwald</t>
  </si>
  <si>
    <t>grace03px2018@sasstudent.org</t>
  </si>
  <si>
    <t>Rylie Evans</t>
  </si>
  <si>
    <t>55 Jinfeng Rd</t>
  </si>
  <si>
    <t>Huacao Zhen, Minhang Qu</t>
  </si>
  <si>
    <t>schmidtmail2025@yahoo.com</t>
  </si>
  <si>
    <t>Schmittyman12@gmail.com</t>
  </si>
  <si>
    <t>Isaiah Schmidt</t>
  </si>
  <si>
    <t>dlfred@iowatelecom.net</t>
  </si>
  <si>
    <t>sfredrickson99@gmail.com</t>
  </si>
  <si>
    <t>Samuel Fredrickson</t>
  </si>
  <si>
    <t>2148 Idaho Drive</t>
  </si>
  <si>
    <t>zacharylamb96@gmail.com</t>
  </si>
  <si>
    <t>Zachary Lamb</t>
  </si>
  <si>
    <t>522 E. Pekin Rd.</t>
  </si>
  <si>
    <t>klsterling71@yahoo.com</t>
  </si>
  <si>
    <t>pbsterling00@gmail.com</t>
  </si>
  <si>
    <t>Pearson Sterling</t>
  </si>
  <si>
    <t>374 Sage Lane</t>
  </si>
  <si>
    <t>sllumsdaine@gmail.com</t>
  </si>
  <si>
    <t>tlumsdaine@gmail.com</t>
  </si>
  <si>
    <t>Lumsdaine</t>
  </si>
  <si>
    <t>Timothy Lumsdaine</t>
  </si>
  <si>
    <t>1173 Oak Haven Rd.</t>
  </si>
  <si>
    <t>akgolfballs@gmail.com</t>
  </si>
  <si>
    <t>Wynn McKinnis</t>
  </si>
  <si>
    <t>6vandyks@gmail.com</t>
  </si>
  <si>
    <t>vandywn@gmail.com</t>
  </si>
  <si>
    <t>Willem</t>
  </si>
  <si>
    <t>Van Dyk</t>
  </si>
  <si>
    <t>Willem Van Dyk</t>
  </si>
  <si>
    <t>2915 Roche Dr S</t>
  </si>
  <si>
    <t>thewhisperingwoods@shaw.ca</t>
  </si>
  <si>
    <t>Thewhisperingwoods@shaw.ca</t>
  </si>
  <si>
    <t>Sarah Wood</t>
  </si>
  <si>
    <t>64 Midvalley Crescent SE</t>
  </si>
  <si>
    <t>annabelleria@t-online.de</t>
  </si>
  <si>
    <t>Annabelle Schmidt</t>
  </si>
  <si>
    <t>Siemensstrasse 14a</t>
  </si>
  <si>
    <t>Giessen</t>
  </si>
  <si>
    <t>babygeo@swbell.net</t>
  </si>
  <si>
    <t>Geo.mitchell@yahoo.com</t>
  </si>
  <si>
    <t>Georvarsey</t>
  </si>
  <si>
    <t>Mitchell II</t>
  </si>
  <si>
    <t>Georvarsey Mitchell II</t>
  </si>
  <si>
    <t>3709 S County Road 1096</t>
  </si>
  <si>
    <t>eavery@farmersagent.com</t>
  </si>
  <si>
    <t>Austin Avery</t>
  </si>
  <si>
    <t>PO Box 906</t>
  </si>
  <si>
    <t>info@horizonelp.org</t>
  </si>
  <si>
    <t>noemivalenzuela227@yahoo.com</t>
  </si>
  <si>
    <t>Noemi</t>
  </si>
  <si>
    <t>Noemi Valenzuela</t>
  </si>
  <si>
    <t>510 Shafer Rd.</t>
  </si>
  <si>
    <t>mandomeza232@gmail.com</t>
  </si>
  <si>
    <t>Meza</t>
  </si>
  <si>
    <t>Armando Meza</t>
  </si>
  <si>
    <t>PO Box 2322</t>
  </si>
  <si>
    <t>jalopy29@yahoo.com</t>
  </si>
  <si>
    <t>Ashlynn</t>
  </si>
  <si>
    <t>Ashlynn Riser</t>
  </si>
  <si>
    <t>132 Bearclaw Cir.</t>
  </si>
  <si>
    <t>mymksource@gmail.com</t>
  </si>
  <si>
    <t>Neff</t>
  </si>
  <si>
    <t>David Neff</t>
  </si>
  <si>
    <t>2933 San Marcos Dr</t>
  </si>
  <si>
    <t>joygermz@yahoo.com</t>
  </si>
  <si>
    <t>ninjasharkco@gmail.com</t>
  </si>
  <si>
    <t>Kelly McAdams</t>
  </si>
  <si>
    <t>16043 E. 98th Way</t>
  </si>
  <si>
    <t>Commerce City</t>
  </si>
  <si>
    <t>jonathon.f77@gmail.com</t>
  </si>
  <si>
    <t>Jonathon Flores</t>
  </si>
  <si>
    <t>4823 ric dr</t>
  </si>
  <si>
    <t>Merimcc@gmailc.om</t>
  </si>
  <si>
    <t>Littlevolkster@live.com</t>
  </si>
  <si>
    <t>Volk</t>
  </si>
  <si>
    <t>Angel Volk</t>
  </si>
  <si>
    <t>2997 Hebron Lane</t>
  </si>
  <si>
    <t>Stockton</t>
  </si>
  <si>
    <t>abbypphillips@gmail.com</t>
  </si>
  <si>
    <t>Abigail Phillips</t>
  </si>
  <si>
    <t>420 West Shandon Avenue</t>
  </si>
  <si>
    <t>chica799@gmail.com</t>
  </si>
  <si>
    <t>Heidi Whaley</t>
  </si>
  <si>
    <t>500 Laurel Avenue</t>
  </si>
  <si>
    <t>heidi.gilstrap@yahoo.com</t>
  </si>
  <si>
    <t>Bryce Blackwell</t>
  </si>
  <si>
    <t>5754 Fall Creek Dr</t>
  </si>
  <si>
    <t>Haltom City</t>
  </si>
  <si>
    <t>davidp.ames@yahoo.com</t>
  </si>
  <si>
    <t>stephen@d4c.biz</t>
  </si>
  <si>
    <t>Stephen Thornton</t>
  </si>
  <si>
    <t>101 Harrogate Springs Rd</t>
  </si>
  <si>
    <t>Wetumpka</t>
  </si>
  <si>
    <t>jlavergne2nd@yahoo.com</t>
  </si>
  <si>
    <t>LaVergne</t>
  </si>
  <si>
    <t>Jason LaVergne</t>
  </si>
  <si>
    <t>304 Bobby Harper Road</t>
  </si>
  <si>
    <t>Sugartown</t>
  </si>
  <si>
    <t>ericsmith-summit@papersoft.com</t>
  </si>
  <si>
    <t>Eric Smith</t>
  </si>
  <si>
    <t>1817 Smoketree Ln</t>
  </si>
  <si>
    <t>gabrielle.guarino27@gmail.com</t>
  </si>
  <si>
    <t>Guarino</t>
  </si>
  <si>
    <t>Gabrielle Guarino</t>
  </si>
  <si>
    <t>12647 Sagewood Dr</t>
  </si>
  <si>
    <t>mmkwan@earthlink.net</t>
  </si>
  <si>
    <t>kkwan13@yahoo.com</t>
  </si>
  <si>
    <t>Kwan</t>
  </si>
  <si>
    <t>Kaylee Kwan</t>
  </si>
  <si>
    <t>10807 Loma de Alma Drive</t>
  </si>
  <si>
    <t>kristenz317@icloud.com</t>
  </si>
  <si>
    <t>Kristen Tatum</t>
  </si>
  <si>
    <t>1408 Woodridge Dr</t>
  </si>
  <si>
    <t>pepperoni_99@yahoo.com</t>
  </si>
  <si>
    <t>itskcw@gmail.com</t>
  </si>
  <si>
    <t>Kyle Wong</t>
  </si>
  <si>
    <t>937 South Bernardo Ave.</t>
  </si>
  <si>
    <t>ttmde@msn.com</t>
  </si>
  <si>
    <t>mavrickchandler@hotmail.com</t>
  </si>
  <si>
    <t>Mavrick</t>
  </si>
  <si>
    <t>Mavrick Chandler</t>
  </si>
  <si>
    <t>16849 E Caley Circle</t>
  </si>
  <si>
    <t>richter.s@sbcglobal.net</t>
  </si>
  <si>
    <t>waid_jonathan@yahoo.com</t>
  </si>
  <si>
    <t>Waid</t>
  </si>
  <si>
    <t>Jonathan Waid</t>
  </si>
  <si>
    <t>73 Elkmont Way</t>
  </si>
  <si>
    <t>Whitney Meintjes</t>
  </si>
  <si>
    <t>1760 Old Annetta Rd.</t>
  </si>
  <si>
    <t>tanyalady6@yahoo.com</t>
  </si>
  <si>
    <t>Titus Schmidt</t>
  </si>
  <si>
    <t>PO Box 493</t>
  </si>
  <si>
    <t>312 1st St.</t>
  </si>
  <si>
    <t>Shelton</t>
  </si>
  <si>
    <t>hxkayanja@gmail.com</t>
  </si>
  <si>
    <t>Imkayanja@icloud.com</t>
  </si>
  <si>
    <t>Kayanja</t>
  </si>
  <si>
    <t>Ian Kayanja</t>
  </si>
  <si>
    <t>40 Royal Birkdale</t>
  </si>
  <si>
    <t>kdinzer@yahoo.com</t>
  </si>
  <si>
    <t>zacharyinzer@gmail.com</t>
  </si>
  <si>
    <t>Inzer</t>
  </si>
  <si>
    <t>Zachary Inzer</t>
  </si>
  <si>
    <t>6911 Maple Creek Ln</t>
  </si>
  <si>
    <t>sarah@johnsonhomenandland.com</t>
  </si>
  <si>
    <t>summer.johnson1999@gmail.com</t>
  </si>
  <si>
    <t>P.O. Box  673</t>
  </si>
  <si>
    <t>rtjrbmel@yahoo.com</t>
  </si>
  <si>
    <t>bradleyknowlton@icloud.com</t>
  </si>
  <si>
    <t>Bradley Knowlton</t>
  </si>
  <si>
    <t>Johnson Lake Rd</t>
  </si>
  <si>
    <t>beckyalley1@msn.com</t>
  </si>
  <si>
    <t>sunflower-12@msn.com</t>
  </si>
  <si>
    <t>Alley</t>
  </si>
  <si>
    <t>Sarah Alley</t>
  </si>
  <si>
    <t>1037 W. 12th St.</t>
  </si>
  <si>
    <t>t74boyd@hotmail.com</t>
  </si>
  <si>
    <t>Trevbgf@hotmail.com</t>
  </si>
  <si>
    <t>Trevor Boyd</t>
  </si>
  <si>
    <t>255 Gifford Ln.</t>
  </si>
  <si>
    <t>Hohenwald</t>
  </si>
  <si>
    <t>Heidmeister.leigh@gmail.com</t>
  </si>
  <si>
    <t>Heidi Mitchell</t>
  </si>
  <si>
    <t>4705 Georgina Dr</t>
  </si>
  <si>
    <t>lbgoode5@gmail.com</t>
  </si>
  <si>
    <t>josimongoode@gmail.com</t>
  </si>
  <si>
    <t>Goode</t>
  </si>
  <si>
    <t>Josiah Goode</t>
  </si>
  <si>
    <t>1550 West Blue Lane</t>
  </si>
  <si>
    <t>cjgoode27@gmail.com</t>
  </si>
  <si>
    <t>Caroline Goode</t>
  </si>
  <si>
    <t>Susanna.toyra@gmail.com</t>
  </si>
  <si>
    <t>Susanna Toyra</t>
  </si>
  <si>
    <t>2035 Crestview Ct</t>
  </si>
  <si>
    <t>wevemanyblessings@yahoo.com</t>
  </si>
  <si>
    <t>711wanship@gmail.com</t>
  </si>
  <si>
    <t>Colton Bennett</t>
  </si>
  <si>
    <t>4333 Brandywine Rd</t>
  </si>
  <si>
    <t>12chocolatefrogs@gmail.com</t>
  </si>
  <si>
    <t>Emma Brown</t>
  </si>
  <si>
    <t>52 Maurice Lane</t>
  </si>
  <si>
    <t>Hatboro</t>
  </si>
  <si>
    <t>fionali68@hotmail.com</t>
  </si>
  <si>
    <t>Anthonylkong@gmail.com</t>
  </si>
  <si>
    <t>Kong</t>
  </si>
  <si>
    <t>Anthony Kong</t>
  </si>
  <si>
    <t>5109 spinnaker point</t>
  </si>
  <si>
    <t>nrjordan99@gmail.com</t>
  </si>
  <si>
    <t>njordan99@gmail.com</t>
  </si>
  <si>
    <t>Neal Jordan</t>
  </si>
  <si>
    <t>254 Ashworth Rd.</t>
  </si>
  <si>
    <t>khill35@yahoo.com</t>
  </si>
  <si>
    <t>nelsonl03@icloud.com</t>
  </si>
  <si>
    <t>Nelson Hill</t>
  </si>
  <si>
    <t>14020 Brookstone Ct.</t>
  </si>
  <si>
    <t>appletcm@gmail.com</t>
  </si>
  <si>
    <t>john.teoh@iccinc.org</t>
  </si>
  <si>
    <t>JOHN</t>
  </si>
  <si>
    <t>TEOH</t>
  </si>
  <si>
    <t>JOHN TEOH</t>
  </si>
  <si>
    <t>BLK 457 CHOA CHU KANG AVE 4 #13-185</t>
  </si>
  <si>
    <t>SINGAPORE</t>
  </si>
  <si>
    <t>smithti9@aol.com</t>
  </si>
  <si>
    <t>kaiserjack1717@aol.com</t>
  </si>
  <si>
    <t>Jackson Smith</t>
  </si>
  <si>
    <t>4040 N 100 E</t>
  </si>
  <si>
    <t>North Ogden</t>
  </si>
  <si>
    <t>sweetswede@bellsouth.net</t>
  </si>
  <si>
    <t>thecygordian@gmail.com</t>
  </si>
  <si>
    <t>Broderick</t>
  </si>
  <si>
    <t>Broderick Gordon</t>
  </si>
  <si>
    <t>401 Playgorund Rd</t>
  </si>
  <si>
    <t>riverafamily10@netzero.net</t>
  </si>
  <si>
    <t>Riverafamily10@netzero.net</t>
  </si>
  <si>
    <t>Krystal</t>
  </si>
  <si>
    <t>Krystal Rivera</t>
  </si>
  <si>
    <t>13930 w 69th North</t>
  </si>
  <si>
    <t>Colwich</t>
  </si>
  <si>
    <t>Benette</t>
  </si>
  <si>
    <t>Benette Rivera</t>
  </si>
  <si>
    <t>Loudine</t>
  </si>
  <si>
    <t>Loudine Rivera</t>
  </si>
  <si>
    <t>13930 w 69th north</t>
  </si>
  <si>
    <t>romward@sbcglobal.net</t>
  </si>
  <si>
    <t>Lydia Ward</t>
  </si>
  <si>
    <t>2320 W. Greenleaf Ave</t>
  </si>
  <si>
    <t>socic@aol.com</t>
  </si>
  <si>
    <t>lizzy_myers@aol.com</t>
  </si>
  <si>
    <t>Elizabeth Myers</t>
  </si>
  <si>
    <t>7015 Minnegan Rd.</t>
  </si>
  <si>
    <t>bevmcan@yahoo.com</t>
  </si>
  <si>
    <t>rebeccacanfield421@gmail.com</t>
  </si>
  <si>
    <t>Rebecca Canfield</t>
  </si>
  <si>
    <t>madelynrvk@gmail.com</t>
  </si>
  <si>
    <t>Van Kooten</t>
  </si>
  <si>
    <t>Madelyn Van Kooten</t>
  </si>
  <si>
    <t>7531 Terry Court</t>
  </si>
  <si>
    <t>Soapietoes@gmail.com</t>
  </si>
  <si>
    <t>Olivia Hsin</t>
  </si>
  <si>
    <t>10035 Brisbane lane</t>
  </si>
  <si>
    <t>mcain12@yahoo.com</t>
  </si>
  <si>
    <t>Vulturetwo7@gmail.com</t>
  </si>
  <si>
    <t>Daniel Cain</t>
  </si>
  <si>
    <t>10219 Niagara Falls Pl</t>
  </si>
  <si>
    <t>sueauston@cox.net</t>
  </si>
  <si>
    <t>jlaxcb@gmail.com</t>
  </si>
  <si>
    <t>Jackson Miller</t>
  </si>
  <si>
    <t>4423 Random Ct</t>
  </si>
  <si>
    <t>sjj_lopez@yahoo.com</t>
  </si>
  <si>
    <t>silo222x@gmail.com</t>
  </si>
  <si>
    <t>Josiah Lopez</t>
  </si>
  <si>
    <t>3200 69th Ave</t>
  </si>
  <si>
    <t>josh.hoffmaster@yahoo.com</t>
  </si>
  <si>
    <t>Hoffmaster</t>
  </si>
  <si>
    <t>Joshua Hoffmaster</t>
  </si>
  <si>
    <t>1160 Gasman Rd.</t>
  </si>
  <si>
    <t>jsprangel@gmail.com</t>
  </si>
  <si>
    <t>sosprangel@hotmail.com</t>
  </si>
  <si>
    <t>Sprangel</t>
  </si>
  <si>
    <t>Sydney Sprangel</t>
  </si>
  <si>
    <t>35 Loyola Drive</t>
  </si>
  <si>
    <t>sally.a.landrum@gmail.com</t>
  </si>
  <si>
    <t>Sarah Landrum</t>
  </si>
  <si>
    <t>5932 Deck House Rd</t>
  </si>
  <si>
    <t>wganderson@netzero.net</t>
  </si>
  <si>
    <t>cda28811@email.vccs.edu</t>
  </si>
  <si>
    <t>Chase Anderson</t>
  </si>
  <si>
    <t>hmclean12@gmail.com</t>
  </si>
  <si>
    <t>Hunter McLean</t>
  </si>
  <si>
    <t>4133 Inwood Rd</t>
  </si>
  <si>
    <t>annamilam13@gmail.com</t>
  </si>
  <si>
    <t>Anna Milam</t>
  </si>
  <si>
    <t>521 Parker Oaks Ln</t>
  </si>
  <si>
    <t>ampratho@gmail.com</t>
  </si>
  <si>
    <t>Pratho</t>
  </si>
  <si>
    <t>Avery Pratho</t>
  </si>
  <si>
    <t>111 Stonehurst Ct.</t>
  </si>
  <si>
    <t>marilynpillow99@gmail.com</t>
  </si>
  <si>
    <t>Marilyn</t>
  </si>
  <si>
    <t>Pillow</t>
  </si>
  <si>
    <t>Marilyn Pillow</t>
  </si>
  <si>
    <t>125 Arrendono Way</t>
  </si>
  <si>
    <t>kristinf@christchapelbc.org</t>
  </si>
  <si>
    <t>Faciane</t>
  </si>
  <si>
    <t>Kristin Faciane</t>
  </si>
  <si>
    <t>3241 Greene Ave</t>
  </si>
  <si>
    <t>willy7889@gmail.com</t>
  </si>
  <si>
    <t>William Myers</t>
  </si>
  <si>
    <t>chelsea15@dysinger.net</t>
  </si>
  <si>
    <t>melody@dysinger.net</t>
  </si>
  <si>
    <t>Dysinger</t>
  </si>
  <si>
    <t>Melody Dysinger</t>
  </si>
  <si>
    <t>43095 SE Kleinsmith Rd.</t>
  </si>
  <si>
    <t>uriahjames@hotmail.com</t>
  </si>
  <si>
    <t>underGodsguidance@gmail.com</t>
  </si>
  <si>
    <t>Mclain</t>
  </si>
  <si>
    <t>Broad</t>
  </si>
  <si>
    <t>Mclain Broad</t>
  </si>
  <si>
    <t>41747 North Rabbit Brush Trail</t>
  </si>
  <si>
    <t>San Tan Valley</t>
  </si>
  <si>
    <t>MPIOTROWSKI67@GMAIL.COM</t>
  </si>
  <si>
    <t>crystal97princess@gmail.com</t>
  </si>
  <si>
    <t>Piotrowski</t>
  </si>
  <si>
    <t>Crystal Piotrowski</t>
  </si>
  <si>
    <t>42895 Yosemite Springs Dr</t>
  </si>
  <si>
    <t>Coarsegold</t>
  </si>
  <si>
    <t>kurtcarme@gmail.com</t>
  </si>
  <si>
    <t>carolinagirl0316@gmail.com</t>
  </si>
  <si>
    <t>Rachel Johnson</t>
  </si>
  <si>
    <t>125 Pineway Rd</t>
  </si>
  <si>
    <t>dwtoehead@yahoo.com</t>
  </si>
  <si>
    <t>Toastdone@yahoo.com</t>
  </si>
  <si>
    <t>Riley Wendt</t>
  </si>
  <si>
    <t>7978 218th ave</t>
  </si>
  <si>
    <t>Martelle</t>
  </si>
  <si>
    <t>dainsbergfam@ymail.com</t>
  </si>
  <si>
    <t>johnathandainsberg@gmail.com</t>
  </si>
  <si>
    <t>Dainsberg</t>
  </si>
  <si>
    <t>Johnathan Dainsberg</t>
  </si>
  <si>
    <t>29263 Meadow Circle</t>
  </si>
  <si>
    <t>Laporte</t>
  </si>
  <si>
    <t>traetrousdale@gmail.com</t>
  </si>
  <si>
    <t>Trousdale</t>
  </si>
  <si>
    <t>Bobby Trousdale</t>
  </si>
  <si>
    <t>503 N 8th Street</t>
  </si>
  <si>
    <t>plinkfile@yahoo.com</t>
  </si>
  <si>
    <t>K6.02214x1023@gmail.com</t>
  </si>
  <si>
    <t>Keenan Carmody</t>
  </si>
  <si>
    <t>3421 Shasta Drive NE</t>
  </si>
  <si>
    <t>delilahfranco4@gmail.com</t>
  </si>
  <si>
    <t>delilah</t>
  </si>
  <si>
    <t>franco</t>
  </si>
  <si>
    <t>delilah franco</t>
  </si>
  <si>
    <t>1224 Powell lane</t>
  </si>
  <si>
    <t>PO box 1899</t>
  </si>
  <si>
    <t>fabens</t>
  </si>
  <si>
    <t>jacedasher@gmail.com</t>
  </si>
  <si>
    <t>Jacedasher@gmail.com</t>
  </si>
  <si>
    <t>Jace</t>
  </si>
  <si>
    <t>Dasher</t>
  </si>
  <si>
    <t>Jace Dasher</t>
  </si>
  <si>
    <t>1296 S Winterhaven Dr.</t>
  </si>
  <si>
    <t>busymom-8@sbcglobal.net</t>
  </si>
  <si>
    <t>st.moneybags@gmail.com</t>
  </si>
  <si>
    <t>Samuel Austin</t>
  </si>
  <si>
    <t>8408 N. Star Way</t>
  </si>
  <si>
    <t>Orangevale</t>
  </si>
  <si>
    <t>dwuehler63@gmail.com</t>
  </si>
  <si>
    <t>cpwuehler@gmail.com</t>
  </si>
  <si>
    <t>Wuehler</t>
  </si>
  <si>
    <t>Caleb Wuehler</t>
  </si>
  <si>
    <t>614 Mountain Ave,</t>
  </si>
  <si>
    <t>jacque_kng@yahoo.com</t>
  </si>
  <si>
    <t>aleah.king@aol.com</t>
  </si>
  <si>
    <t>Aleah</t>
  </si>
  <si>
    <t>Aleah King</t>
  </si>
  <si>
    <t>173 Citrus Tree Ln</t>
  </si>
  <si>
    <t>jemandsuetu@comcast.net</t>
  </si>
  <si>
    <t>tamikaflower@comcast.net</t>
  </si>
  <si>
    <t>Kaylynn Tu</t>
  </si>
  <si>
    <t>4853 South Ceylon Court</t>
  </si>
  <si>
    <t>evelynamoskalets@gmail.com</t>
  </si>
  <si>
    <t>Evelyn Moskalets</t>
  </si>
  <si>
    <t>625 N. Hobson Ave</t>
  </si>
  <si>
    <t>williamjmanning22@gmail.com</t>
  </si>
  <si>
    <t>tubalm1@yahoo.com</t>
  </si>
  <si>
    <t>Aaron Manning</t>
  </si>
  <si>
    <t>2213 Holliwell Valley Court</t>
  </si>
  <si>
    <t>Winterset</t>
  </si>
  <si>
    <t>beckykean@comcast.net</t>
  </si>
  <si>
    <t>rheagankean@comcast.net</t>
  </si>
  <si>
    <t>Rheagan</t>
  </si>
  <si>
    <t>Rheagan Kean</t>
  </si>
  <si>
    <t>316 Yorkshire Lane</t>
  </si>
  <si>
    <t>marsrose516@gmail.com</t>
  </si>
  <si>
    <t>Havener</t>
  </si>
  <si>
    <t>Marissa Havener</t>
  </si>
  <si>
    <t>4003 Pyracantha Dr</t>
  </si>
  <si>
    <t>mapala8@uwmail.com</t>
  </si>
  <si>
    <t>Latham</t>
  </si>
  <si>
    <t>Andria Latham</t>
  </si>
  <si>
    <t>4720 Tin Top Rd</t>
  </si>
  <si>
    <t>19nbenefield@oakridgeowls.net</t>
  </si>
  <si>
    <t>Benefield</t>
  </si>
  <si>
    <t>Natalie Benefield</t>
  </si>
  <si>
    <t>8800 Creede Trl</t>
  </si>
  <si>
    <t>12Trek13@gmail.com</t>
  </si>
  <si>
    <t>Frye III</t>
  </si>
  <si>
    <t>John Frye III</t>
  </si>
  <si>
    <t>lynnsey.peterson56@gmail.com</t>
  </si>
  <si>
    <t>jdpscouts@gmail.com</t>
  </si>
  <si>
    <t>Justin Peterson</t>
  </si>
  <si>
    <t>8629 Candleflower Cir.</t>
  </si>
  <si>
    <t>prios01@sbcglobal.net</t>
  </si>
  <si>
    <t>Eliannarios90@gmail.com</t>
  </si>
  <si>
    <t>Rios</t>
  </si>
  <si>
    <t>Elianna Rios</t>
  </si>
  <si>
    <t>11483 Napolske Ct.</t>
  </si>
  <si>
    <t>mo.yeager@gmail.com</t>
  </si>
  <si>
    <t>Moise</t>
  </si>
  <si>
    <t>Moise Yeager</t>
  </si>
  <si>
    <t>2048 Burr Oak Avenue</t>
  </si>
  <si>
    <t>Macao</t>
  </si>
  <si>
    <t>joshallenhn@gmail.com</t>
  </si>
  <si>
    <t>8394 W Bowling Green Ln NW</t>
  </si>
  <si>
    <t>slsteiger@hotmail.com</t>
  </si>
  <si>
    <t>lilbucket15@yahoo.com</t>
  </si>
  <si>
    <t>Steiger</t>
  </si>
  <si>
    <t>Hannah Steiger</t>
  </si>
  <si>
    <t>1557 Driftwood Lane</t>
  </si>
  <si>
    <t>jonesrestoration@gmail.com</t>
  </si>
  <si>
    <t>ianbenjman@gmail.com</t>
  </si>
  <si>
    <t>373 Brothers Ave.</t>
  </si>
  <si>
    <t>jacobjones5724@gmail.com</t>
  </si>
  <si>
    <t>Jacob Jones</t>
  </si>
  <si>
    <t>373 Brothers Avenue</t>
  </si>
  <si>
    <t>pete.johnson72@yahoo.com</t>
  </si>
  <si>
    <t>Maithe</t>
  </si>
  <si>
    <t>Maithe Leon</t>
  </si>
  <si>
    <t>3784 Stone Hill Dr</t>
  </si>
  <si>
    <t>katie.mcmanigal@gmail.com</t>
  </si>
  <si>
    <t>McManigal</t>
  </si>
  <si>
    <t>Kaitlyn McManigal</t>
  </si>
  <si>
    <t>5032 Hampton Ct</t>
  </si>
  <si>
    <t>debraboyajian@gmail.com</t>
  </si>
  <si>
    <t>lauraboyajian22@gmail.com</t>
  </si>
  <si>
    <t>Laura Boyajian</t>
  </si>
  <si>
    <t>107 Fostertown Rd</t>
  </si>
  <si>
    <t>we2r1wells@gmail.com</t>
  </si>
  <si>
    <t>joewells99@gmail.com</t>
  </si>
  <si>
    <t>Joe Wells</t>
  </si>
  <si>
    <t>1017 Sunset Place</t>
  </si>
  <si>
    <t>matt.savard@sbcglobal.net</t>
  </si>
  <si>
    <t>calebsav5@gmail.com</t>
  </si>
  <si>
    <t>Savard</t>
  </si>
  <si>
    <t>Caleb Savard</t>
  </si>
  <si>
    <t>7919 Colton St.</t>
  </si>
  <si>
    <t>Ventura</t>
  </si>
  <si>
    <t>kmstacey5@gmail.com</t>
  </si>
  <si>
    <t>Stacey</t>
  </si>
  <si>
    <t>Kathleen Stacey</t>
  </si>
  <si>
    <t>292160 Township Road 262A</t>
  </si>
  <si>
    <t>Rocky View County</t>
  </si>
  <si>
    <t>T4A0N2</t>
  </si>
  <si>
    <t>jessi.rush@calvary.edu</t>
  </si>
  <si>
    <t>Jessi</t>
  </si>
  <si>
    <t>Jessi Rush</t>
  </si>
  <si>
    <t>5130 SW Pelican Pt.</t>
  </si>
  <si>
    <t>sirbrickslot120@gmail.com</t>
  </si>
  <si>
    <t>philip.pouchak@gmail.com</t>
  </si>
  <si>
    <t>Pouchak</t>
  </si>
  <si>
    <t>Philip Pouchak</t>
  </si>
  <si>
    <t>2808 Murray Ave.</t>
  </si>
  <si>
    <t>St Anthony</t>
  </si>
  <si>
    <t>makenagiles10@yahoo.com</t>
  </si>
  <si>
    <t>Makena</t>
  </si>
  <si>
    <t>Makena Giles</t>
  </si>
  <si>
    <t>135 county road 723</t>
  </si>
  <si>
    <t>athens</t>
  </si>
  <si>
    <t>loissolet@dirtanddivinity.com</t>
  </si>
  <si>
    <t>Nhsolet@gmail.com</t>
  </si>
  <si>
    <t>Noah Solet</t>
  </si>
  <si>
    <t>PO Box 4237</t>
  </si>
  <si>
    <t>Houma</t>
  </si>
  <si>
    <t>andy_esther@hotmail.com</t>
  </si>
  <si>
    <t>Charlierich.us@gmail.com</t>
  </si>
  <si>
    <t>Charles Richardson</t>
  </si>
  <si>
    <t>10 Country Road</t>
  </si>
  <si>
    <t>jo.chill@comcast.net</t>
  </si>
  <si>
    <t>Churchill</t>
  </si>
  <si>
    <t>Sophia Churchill</t>
  </si>
  <si>
    <t>2731 Greendale Drive</t>
  </si>
  <si>
    <t>ian.chill378@gmail.com</t>
  </si>
  <si>
    <t>Ian Churchill</t>
  </si>
  <si>
    <t>landon.family.email@gmail.com</t>
  </si>
  <si>
    <t>trip.landon@gmail.com</t>
  </si>
  <si>
    <t>Landon III</t>
  </si>
  <si>
    <t>John Landon III</t>
  </si>
  <si>
    <t>304 W. 9th Avenue</t>
  </si>
  <si>
    <t>fjames@expensereduction.com</t>
  </si>
  <si>
    <t>rebecca.james12@gmail.com</t>
  </si>
  <si>
    <t>Rebecca James</t>
  </si>
  <si>
    <t>11445 Rebecca Creek Rd</t>
  </si>
  <si>
    <t>valeriekayanja@gmail.com</t>
  </si>
  <si>
    <t>Valerie Kayanja</t>
  </si>
  <si>
    <t>brice.martin@4statetrucks.com</t>
  </si>
  <si>
    <t>austin.martin1408@yahoo.com</t>
  </si>
  <si>
    <t>Austin Martin</t>
  </si>
  <si>
    <t>68802 East 60 Road</t>
  </si>
  <si>
    <t>Quapaw</t>
  </si>
  <si>
    <t>mallory.h.sweet@gmail.com</t>
  </si>
  <si>
    <t>Sweet</t>
  </si>
  <si>
    <t>Mallory Sweet</t>
  </si>
  <si>
    <t>485 Shadowood Court</t>
  </si>
  <si>
    <t>threehasshe@yahoo.com</t>
  </si>
  <si>
    <t>flyfisher0301@gmail.com</t>
  </si>
  <si>
    <t>Joel Pearson</t>
  </si>
  <si>
    <t>5724 Michelle Lane</t>
  </si>
  <si>
    <t>marykarenbakos@gmail.com</t>
  </si>
  <si>
    <t>maddiegyrlco@gmail.com</t>
  </si>
  <si>
    <t>Bakos</t>
  </si>
  <si>
    <t>Madison Bakos</t>
  </si>
  <si>
    <t>10740 Meadowbrook Drive</t>
  </si>
  <si>
    <t>Parma Heights</t>
  </si>
  <si>
    <t>zlttlbear@gmail.com</t>
  </si>
  <si>
    <t>Lau</t>
  </si>
  <si>
    <t>Garrison Lau</t>
  </si>
  <si>
    <t>5720 SW 191st Ave</t>
  </si>
  <si>
    <t>acgreig@me.com</t>
  </si>
  <si>
    <t>Ashley-Cate</t>
  </si>
  <si>
    <t>Greig</t>
  </si>
  <si>
    <t>Ashley-Cate Greig</t>
  </si>
  <si>
    <t>2902 Rivergrove Ct</t>
  </si>
  <si>
    <t>katnewton56@gmail.com</t>
  </si>
  <si>
    <t>capitalk156@gmail.com</t>
  </si>
  <si>
    <t>Kathryn Newton</t>
  </si>
  <si>
    <t>428 Ridge Dr.</t>
  </si>
  <si>
    <t>emmbynum@gmail.com</t>
  </si>
  <si>
    <t>Bynum</t>
  </si>
  <si>
    <t>Emma Bynum</t>
  </si>
  <si>
    <t>22613 Cr 2138</t>
  </si>
  <si>
    <t>Troup</t>
  </si>
  <si>
    <t>me2nd@rocketmail.com</t>
  </si>
  <si>
    <t>abrickbulder@yahoo.com</t>
  </si>
  <si>
    <t>Nehemiah Ding</t>
  </si>
  <si>
    <t>3804 Maycraft Court</t>
  </si>
  <si>
    <t>ragoplen@msn.com</t>
  </si>
  <si>
    <t>purplecosmols@gmail.com</t>
  </si>
  <si>
    <t>Lydia Smith</t>
  </si>
  <si>
    <t>13853 W. 68th Ave.</t>
  </si>
  <si>
    <t>dragonboy829@gmail.com</t>
  </si>
  <si>
    <t>Alfred</t>
  </si>
  <si>
    <t>Alfred Benz</t>
  </si>
  <si>
    <t>1304 Granada lane</t>
  </si>
  <si>
    <t>brady12398@gmail.com</t>
  </si>
  <si>
    <t>Brady Larson</t>
  </si>
  <si>
    <t>8282 Countryside blvd</t>
  </si>
  <si>
    <t>billyandkimburch@gmail.com</t>
  </si>
  <si>
    <t>garrettburch3@gmail.com</t>
  </si>
  <si>
    <t>Burch</t>
  </si>
  <si>
    <t>Garrett Burch</t>
  </si>
  <si>
    <t>617 Peck Road</t>
  </si>
  <si>
    <t>Downingtown</t>
  </si>
  <si>
    <t>herringad@yahoo.com</t>
  </si>
  <si>
    <t>Danielle Herring</t>
  </si>
  <si>
    <t>110 carrigan rd</t>
  </si>
  <si>
    <t>gaciedwards98@gmail.com</t>
  </si>
  <si>
    <t>Grace Edwards</t>
  </si>
  <si>
    <t>keswick@truevine.net</t>
  </si>
  <si>
    <t>rosecrown@truevine.net</t>
  </si>
  <si>
    <t>Keswick</t>
  </si>
  <si>
    <t>Heidi Keswick</t>
  </si>
  <si>
    <t>10304 Morris Road</t>
  </si>
  <si>
    <t>elliehaddad6@gmail.com</t>
  </si>
  <si>
    <t>daveyhaddad@yahoo.com</t>
  </si>
  <si>
    <t>Haddad</t>
  </si>
  <si>
    <t>David Haddad</t>
  </si>
  <si>
    <t>14780 Pristine Drive</t>
  </si>
  <si>
    <t>ruth@newheightschurch.com</t>
  </si>
  <si>
    <t>nrepstei@uark.edu</t>
  </si>
  <si>
    <t>4827 W Plymouth Rock Place</t>
  </si>
  <si>
    <t>middlewittel@gmail.com</t>
  </si>
  <si>
    <t>Middlewittel@gmail.com</t>
  </si>
  <si>
    <t>Wittel</t>
  </si>
  <si>
    <t>Rachel Wittel</t>
  </si>
  <si>
    <t>138 Hillside Ave</t>
  </si>
  <si>
    <t>Bridgewater</t>
  </si>
  <si>
    <t>palmerdjp@hotmail.com</t>
  </si>
  <si>
    <t>David Palmer</t>
  </si>
  <si>
    <t>709 San Juan Ave.</t>
  </si>
  <si>
    <t>La Junta</t>
  </si>
  <si>
    <t>corinnejoy@comcast.net</t>
  </si>
  <si>
    <t>ckenny2017@fau.edu</t>
  </si>
  <si>
    <t>Corinne</t>
  </si>
  <si>
    <t>Kenny</t>
  </si>
  <si>
    <t>Corinne Kenny</t>
  </si>
  <si>
    <t>530 Jaeger Dr</t>
  </si>
  <si>
    <t>Delray Beach</t>
  </si>
  <si>
    <t>titanabutkevits@gmail.com</t>
  </si>
  <si>
    <t>Tatiana</t>
  </si>
  <si>
    <t>Butkevits</t>
  </si>
  <si>
    <t>Tatiana Butkevits</t>
  </si>
  <si>
    <t>748 NE Orchid Bay Drive</t>
  </si>
  <si>
    <t>ceches98@gmail.com</t>
  </si>
  <si>
    <t>Cara Chesney</t>
  </si>
  <si>
    <t>2636 Collingwood Dr.</t>
  </si>
  <si>
    <t>gladysjene@cfl.rr.com</t>
  </si>
  <si>
    <t>andrewgregory27@cfl.rr.com</t>
  </si>
  <si>
    <t>Andrew Gregory</t>
  </si>
  <si>
    <t>140 Garfield Rd.</t>
  </si>
  <si>
    <t>mistmarcus@icloud.com</t>
  </si>
  <si>
    <t>Charlseyjmarcus01@gmail.com</t>
  </si>
  <si>
    <t>Charlsey</t>
  </si>
  <si>
    <t>Charlsey Marcus</t>
  </si>
  <si>
    <t>226 Tarawa St.</t>
  </si>
  <si>
    <t>al.c.pug@gmail.com</t>
  </si>
  <si>
    <t>al.c.pug@gamil.com</t>
  </si>
  <si>
    <t>Alexandra Pugh</t>
  </si>
  <si>
    <t>7240 Sugarwood Drive</t>
  </si>
  <si>
    <t>soyon1998@yahoo.com</t>
  </si>
  <si>
    <t>James Barber</t>
  </si>
  <si>
    <t>2737 Peacock road</t>
  </si>
  <si>
    <t>rileyb009@comcast.net</t>
  </si>
  <si>
    <t>kennisb00@outlook.com</t>
  </si>
  <si>
    <t>Kennis</t>
  </si>
  <si>
    <t>Bench</t>
  </si>
  <si>
    <t>Kennis Bench</t>
  </si>
  <si>
    <t>1911 Brazos Crossing Dr</t>
  </si>
  <si>
    <t>hansenbiz@comcast.net</t>
  </si>
  <si>
    <t>chansenn15@gmail.com</t>
  </si>
  <si>
    <t>Christine Hansen</t>
  </si>
  <si>
    <t>16426 SE Newport Way</t>
  </si>
  <si>
    <t>acschmidt1565@gmail.com</t>
  </si>
  <si>
    <t>annacschmidt97@gmail.com</t>
  </si>
  <si>
    <t>5819 E 78th Pl</t>
  </si>
  <si>
    <t>y2018jamwaa@yarmouthschools.org</t>
  </si>
  <si>
    <t>Waaler</t>
  </si>
  <si>
    <t>James Waaler</t>
  </si>
  <si>
    <t>65 West Elm St.</t>
  </si>
  <si>
    <t>andrew.warner99@yahoo.com</t>
  </si>
  <si>
    <t>George Warner</t>
  </si>
  <si>
    <t>800 Sierra ln</t>
  </si>
  <si>
    <t>dulce.valenza@xerox.com</t>
  </si>
  <si>
    <t>JohnCarlo.valenza@Gmail.com</t>
  </si>
  <si>
    <t>Valenza</t>
  </si>
  <si>
    <t>John Valenza</t>
  </si>
  <si>
    <t>10559 Brookdale Rd</t>
  </si>
  <si>
    <t>troy.reynolds@sanofi.com</t>
  </si>
  <si>
    <t>Jackson Reynolds</t>
  </si>
  <si>
    <t>5903 Meadowsweet Lane</t>
  </si>
  <si>
    <t>classiclandscapesinc@yahoo.com</t>
  </si>
  <si>
    <t>katienwilliams3@gmail.com</t>
  </si>
  <si>
    <t>Katie Williams</t>
  </si>
  <si>
    <t>81 Riverbank Rd.</t>
  </si>
  <si>
    <t>patricia.savage@gmail.com</t>
  </si>
  <si>
    <t>ethansavage@gmail.com</t>
  </si>
  <si>
    <t>Ethan Savage</t>
  </si>
  <si>
    <t>4025 REATTA LANE</t>
  </si>
  <si>
    <t>COLLEGE STATION</t>
  </si>
  <si>
    <t>rowell_kendra@yahoo.com</t>
  </si>
  <si>
    <t>Rowell_kendra@yahoo.com</t>
  </si>
  <si>
    <t>Kendra Rowell</t>
  </si>
  <si>
    <t>55 Winchester Circle</t>
  </si>
  <si>
    <t>stephanie.creech@wellmont.org</t>
  </si>
  <si>
    <t>hunterbcreech99@gmail.com</t>
  </si>
  <si>
    <t>Hunter Creech</t>
  </si>
  <si>
    <t>7285 Stagecoach</t>
  </si>
  <si>
    <t>taytayfinfin@gmail.com</t>
  </si>
  <si>
    <t>Finley</t>
  </si>
  <si>
    <t>Taylor Finley</t>
  </si>
  <si>
    <t>1902 Basswood Court</t>
  </si>
  <si>
    <t>lizmerritt12345@gmail.com</t>
  </si>
  <si>
    <t>Lizmerritt12345@gmail.com</t>
  </si>
  <si>
    <t>Merritt</t>
  </si>
  <si>
    <t>Elizabeth Merritt</t>
  </si>
  <si>
    <t>3864 Brighton Creek Circle</t>
  </si>
  <si>
    <t>farmerjlg2@gmail.com</t>
  </si>
  <si>
    <t>Goodpaster</t>
  </si>
  <si>
    <t>Joshua Goodpaster</t>
  </si>
  <si>
    <t>1975 Thrasher Pike</t>
  </si>
  <si>
    <t>gaineskristi@aol.com</t>
  </si>
  <si>
    <t>Bradenrcox@gmail.com</t>
  </si>
  <si>
    <t>Braden Cox</t>
  </si>
  <si>
    <t>128 Hebron Church Rd</t>
  </si>
  <si>
    <t>dare2live11@gmail.com</t>
  </si>
  <si>
    <t>dare12live11@gmail.com</t>
  </si>
  <si>
    <t>Kittle</t>
  </si>
  <si>
    <t>Hannah Kittle</t>
  </si>
  <si>
    <t>5851 Pleasant Hill Road</t>
  </si>
  <si>
    <t>kent.pavey@gmail.com</t>
  </si>
  <si>
    <t>Kent.pavey@gmail.com</t>
  </si>
  <si>
    <t>Pavey</t>
  </si>
  <si>
    <t>Kent Pavey</t>
  </si>
  <si>
    <t>1374 Diamond Rim Drive</t>
  </si>
  <si>
    <t>lawnita7@gmail.com</t>
  </si>
  <si>
    <t>Cmadd99@yahoo.com</t>
  </si>
  <si>
    <t>Maddalena</t>
  </si>
  <si>
    <t>Collin Maddalena</t>
  </si>
  <si>
    <t>182 Maplemere Dr.</t>
  </si>
  <si>
    <t>noah8426@gmail.com</t>
  </si>
  <si>
    <t>8426 Samra Drive</t>
  </si>
  <si>
    <t>nsabl0325@gmail.com</t>
  </si>
  <si>
    <t>Anna-Belle</t>
  </si>
  <si>
    <t>McCormick</t>
  </si>
  <si>
    <t>Anna-Belle McCormick</t>
  </si>
  <si>
    <t>625 Hwy 170</t>
  </si>
  <si>
    <t>cecemj1101@gmail.com</t>
  </si>
  <si>
    <t>Cecile</t>
  </si>
  <si>
    <t>Cecile Jennings</t>
  </si>
  <si>
    <t>945 Heather Dr.</t>
  </si>
  <si>
    <t>northwisc@cox.net</t>
  </si>
  <si>
    <t>ees1512@yahoo.com</t>
  </si>
  <si>
    <t>Schulz</t>
  </si>
  <si>
    <t>Emily Schulz</t>
  </si>
  <si>
    <t>7858 E. Posada Ave</t>
  </si>
  <si>
    <t>pcehutson@gmail.com</t>
  </si>
  <si>
    <t>Hutson</t>
  </si>
  <si>
    <t>Elizabeth Hutson</t>
  </si>
  <si>
    <t>annie.edgar98@gmail.com</t>
  </si>
  <si>
    <t>Anna Edgar</t>
  </si>
  <si>
    <t>104 South Main</t>
  </si>
  <si>
    <t>Kingsley</t>
  </si>
  <si>
    <t>schweizer7662@gmail.com</t>
  </si>
  <si>
    <t>lenalinhuijin@gmail.com</t>
  </si>
  <si>
    <t>LinHui</t>
  </si>
  <si>
    <t>Jin</t>
  </si>
  <si>
    <t>LinHui Jin</t>
  </si>
  <si>
    <t>712 Grandview Ave.</t>
  </si>
  <si>
    <t>keenankfletcher@gmail.com</t>
  </si>
  <si>
    <t>18ifletcher@gmail.com</t>
  </si>
  <si>
    <t>fletcher</t>
  </si>
  <si>
    <t>ian fletcher</t>
  </si>
  <si>
    <t>607 flag creek drive</t>
  </si>
  <si>
    <t>llano</t>
  </si>
  <si>
    <t>kimberly.jepsen@michelin.com</t>
  </si>
  <si>
    <t>jepsen316@gmail.com</t>
  </si>
  <si>
    <t>Jepsen</t>
  </si>
  <si>
    <t>Noelle Jepsen</t>
  </si>
  <si>
    <t>2114 Stonebriar Road</t>
  </si>
  <si>
    <t>heyjen@mac.com</t>
  </si>
  <si>
    <t>heylaurend@gmail.com</t>
  </si>
  <si>
    <t>lauren</t>
  </si>
  <si>
    <t>dammarell</t>
  </si>
  <si>
    <t>lauren dammarell</t>
  </si>
  <si>
    <t>165 king arthurs knoll</t>
  </si>
  <si>
    <t>monument</t>
  </si>
  <si>
    <t>heysarah44@gmail.com</t>
  </si>
  <si>
    <t>Dammarell</t>
  </si>
  <si>
    <t>Sarah Dammarell</t>
  </si>
  <si>
    <t>wlr1817@yahoo.com</t>
  </si>
  <si>
    <t>rasberry515@gmail.com</t>
  </si>
  <si>
    <t>Rasberry</t>
  </si>
  <si>
    <t>Rachel Rasberry</t>
  </si>
  <si>
    <t>5267 Jameswood Lane</t>
  </si>
  <si>
    <t>abillimek586@sbcglobal.net</t>
  </si>
  <si>
    <t>Billimek</t>
  </si>
  <si>
    <t>Andy Billimek</t>
  </si>
  <si>
    <t>9132 Longmont Dr</t>
  </si>
  <si>
    <t>shannonkathleenkopp@gmail.com</t>
  </si>
  <si>
    <t>alliegracekopp@gmail.com</t>
  </si>
  <si>
    <t>Allie</t>
  </si>
  <si>
    <t>Kopp</t>
  </si>
  <si>
    <t>Allie Kopp</t>
  </si>
  <si>
    <t>13580 Wide Acres Rd</t>
  </si>
  <si>
    <t>shastadaisies@msn.com</t>
  </si>
  <si>
    <t>ethanbyers2000@live.com</t>
  </si>
  <si>
    <t>Byers</t>
  </si>
  <si>
    <t>Ethan Byers</t>
  </si>
  <si>
    <t>2105 66th st</t>
  </si>
  <si>
    <t>mkong@pacbell.net</t>
  </si>
  <si>
    <t>ethan.j.kong@gmail.com</t>
  </si>
  <si>
    <t>Ethan Kong</t>
  </si>
  <si>
    <t>2719 Garona Dr</t>
  </si>
  <si>
    <t>Alto Boquete</t>
  </si>
  <si>
    <t>Boquete</t>
  </si>
  <si>
    <t>ChiriquÔøΩ</t>
  </si>
  <si>
    <t>Panama</t>
  </si>
  <si>
    <t>masters93@frontier.com</t>
  </si>
  <si>
    <t>masterscody11@gmail.com</t>
  </si>
  <si>
    <t>Cody Masters</t>
  </si>
  <si>
    <t>20338 E 950 North Rd</t>
  </si>
  <si>
    <t>horsepianogirl@yahoo.com</t>
  </si>
  <si>
    <t>Taylor Berge</t>
  </si>
  <si>
    <t>157 Morris Rd</t>
  </si>
  <si>
    <t>Wahiawa</t>
  </si>
  <si>
    <t>the.bestul.family@gmail.com</t>
  </si>
  <si>
    <t>brycetheoutdoorsman@gmail.com</t>
  </si>
  <si>
    <t>D. Bryce</t>
  </si>
  <si>
    <t>Bestul</t>
  </si>
  <si>
    <t>D. Bryce Bestul</t>
  </si>
  <si>
    <t>4812 Cook Rd</t>
  </si>
  <si>
    <t>LaFayette</t>
  </si>
  <si>
    <t>kelly@olatheeyecare.com</t>
  </si>
  <si>
    <t>Brinckman</t>
  </si>
  <si>
    <t>Kelly Brinckman</t>
  </si>
  <si>
    <t>3005 SW Quail Creek Dr.</t>
  </si>
  <si>
    <t>dlhodgesmail@gmail.com</t>
  </si>
  <si>
    <t>JHAJI51@GMAIL.COM</t>
  </si>
  <si>
    <t>6600 N Eagle Ridge Drive</t>
  </si>
  <si>
    <t>mattncari@centurylink.net</t>
  </si>
  <si>
    <t>3d.dropthebass@gmail.com</t>
  </si>
  <si>
    <t>Colton Pettit</t>
  </si>
  <si>
    <t>PO Box 23360</t>
  </si>
  <si>
    <t>15081 Holloway Ln.</t>
  </si>
  <si>
    <t>Glade Park</t>
  </si>
  <si>
    <t>erinjaa@yahoo.com</t>
  </si>
  <si>
    <t>drakejaa@gmail.com</t>
  </si>
  <si>
    <t>Jaatinen</t>
  </si>
  <si>
    <t>Drake Jaatinen</t>
  </si>
  <si>
    <t>411 Hugel Ave</t>
  </si>
  <si>
    <t>L4R 1V2</t>
  </si>
  <si>
    <t>njenkins@fvs.org</t>
  </si>
  <si>
    <t>Njenkins@fvs.edu</t>
  </si>
  <si>
    <t>Nicholas Jenkins</t>
  </si>
  <si>
    <t>1829 Wood Avenue</t>
  </si>
  <si>
    <t>docwise2@gmail.com</t>
  </si>
  <si>
    <t>rusty.hannah8@outlook.com</t>
  </si>
  <si>
    <t>Hannah Wise</t>
  </si>
  <si>
    <t>449 Paige Pt Bluff</t>
  </si>
  <si>
    <t>mandjdewey5@att.net</t>
  </si>
  <si>
    <t>jpdewey@att.net</t>
  </si>
  <si>
    <t>Dewey</t>
  </si>
  <si>
    <t>Joseph Dewey</t>
  </si>
  <si>
    <t>2353 N Parkridge Ct</t>
  </si>
  <si>
    <t>kenpatrice88@gmail.com</t>
  </si>
  <si>
    <t>Naomisorenson35@gmail.com</t>
  </si>
  <si>
    <t>Sorenson</t>
  </si>
  <si>
    <t>Naomi Sorenson</t>
  </si>
  <si>
    <t>103 Dartford Drive</t>
  </si>
  <si>
    <t>ja_yarrow@sbcglobal.net</t>
  </si>
  <si>
    <t>yarrowjosh@yahoo.com</t>
  </si>
  <si>
    <t>Yarrow</t>
  </si>
  <si>
    <t>Josh Yarrow</t>
  </si>
  <si>
    <t>2536 N. Wheatridge</t>
  </si>
  <si>
    <t>pwells@guestsupply.com</t>
  </si>
  <si>
    <t>musicandsimplicity@gmail.com</t>
  </si>
  <si>
    <t>Dylan Wells</t>
  </si>
  <si>
    <t>711 Stillwater Drive</t>
  </si>
  <si>
    <t>chloegolbuff@gmail.com</t>
  </si>
  <si>
    <t>Golbuff</t>
  </si>
  <si>
    <t>Chloe Golbuff</t>
  </si>
  <si>
    <t>3651 Olive Street</t>
  </si>
  <si>
    <t>Santa Ynez</t>
  </si>
  <si>
    <t>tennisprude@yahoo.com</t>
  </si>
  <si>
    <t>Prude</t>
  </si>
  <si>
    <t>Titus Prude</t>
  </si>
  <si>
    <t>4245 Contest Road</t>
  </si>
  <si>
    <t>Paducah</t>
  </si>
  <si>
    <t>clahermlvesbks@gmail.com</t>
  </si>
  <si>
    <t>Claire Herman</t>
  </si>
  <si>
    <t>pbkoskinen@gmail.com</t>
  </si>
  <si>
    <t>dakotadog210@gmail.com</t>
  </si>
  <si>
    <t>Koskinen</t>
  </si>
  <si>
    <t>Seth Koskinen</t>
  </si>
  <si>
    <t>21333 Hwy 169</t>
  </si>
  <si>
    <t>Grand Rapid</t>
  </si>
  <si>
    <t>kayleeannhicks@gmail.com</t>
  </si>
  <si>
    <t>Kaylee Hicks</t>
  </si>
  <si>
    <t>115 Mizar Place</t>
  </si>
  <si>
    <t>Lompoc</t>
  </si>
  <si>
    <t>CAdancer8@gmail.com</t>
  </si>
  <si>
    <t>Michelle Jepsen</t>
  </si>
  <si>
    <t>canyontr@icloud.com</t>
  </si>
  <si>
    <t>cammie.carpenter.13@gmail.com</t>
  </si>
  <si>
    <t>Cammie</t>
  </si>
  <si>
    <t>Cammie Carpenter</t>
  </si>
  <si>
    <t>553 FM 293</t>
  </si>
  <si>
    <t>Panhandle</t>
  </si>
  <si>
    <t>bsj21okc@yahoo.com</t>
  </si>
  <si>
    <t>grant17j@yahoo.com</t>
  </si>
  <si>
    <t>Grant Johnson</t>
  </si>
  <si>
    <t>4419 Trails End St NE</t>
  </si>
  <si>
    <t>Donald.Leslie.Halling@gmail.com</t>
  </si>
  <si>
    <t>Spencercommando@gmail.com</t>
  </si>
  <si>
    <t>Halling</t>
  </si>
  <si>
    <t>Spencer Halling</t>
  </si>
  <si>
    <t>2181 Bay Pointe Drive</t>
  </si>
  <si>
    <t>roangie_92@yahoo.com</t>
  </si>
  <si>
    <t>zachperezr@gmail.com</t>
  </si>
  <si>
    <t>Zachariah Ramirez</t>
  </si>
  <si>
    <t>208 Ridgeview Ct.</t>
  </si>
  <si>
    <t>mpremail14@gmail.com</t>
  </si>
  <si>
    <t>Magdalena</t>
  </si>
  <si>
    <t>Magdalena Ramirez</t>
  </si>
  <si>
    <t>eiszler@comcast.net</t>
  </si>
  <si>
    <t>jiszler6@gmail.com</t>
  </si>
  <si>
    <t>Iszler</t>
  </si>
  <si>
    <t>Jackson Iszler</t>
  </si>
  <si>
    <t>5100 Madison St.</t>
  </si>
  <si>
    <t>gigivilla2@gmail.com</t>
  </si>
  <si>
    <t>aveunalliv.yoj@gmail.com</t>
  </si>
  <si>
    <t>Kharlajoy</t>
  </si>
  <si>
    <t>Kharlajoy Villanueva</t>
  </si>
  <si>
    <t>13855 SE 156th Street</t>
  </si>
  <si>
    <t>frmalizz@gmail.com</t>
  </si>
  <si>
    <t>nmmjoshua1.9@icloud.com</t>
  </si>
  <si>
    <t>Malizzo</t>
  </si>
  <si>
    <t>Noah Malizzo</t>
  </si>
  <si>
    <t>2 Oakhill Dr.</t>
  </si>
  <si>
    <t>William Clark</t>
  </si>
  <si>
    <t>magsomega@gmail.com</t>
  </si>
  <si>
    <t>Margaret Hewitt</t>
  </si>
  <si>
    <t>23768 Scott Ridge Terrace</t>
  </si>
  <si>
    <t>ruthie74@yahoo.com</t>
  </si>
  <si>
    <t>garettmran@yahoo.com</t>
  </si>
  <si>
    <t>Garett</t>
  </si>
  <si>
    <t>Ranson</t>
  </si>
  <si>
    <t>Garett Ranson</t>
  </si>
  <si>
    <t>4217 Coal River Road</t>
  </si>
  <si>
    <t>Alum Creek</t>
  </si>
  <si>
    <t>godseysteve@gmail.com</t>
  </si>
  <si>
    <t>Godsey</t>
  </si>
  <si>
    <t>Micah Godsey</t>
  </si>
  <si>
    <t>2430 14th Ave</t>
  </si>
  <si>
    <t>calebghubb@aol.com</t>
  </si>
  <si>
    <t>Hubbard</t>
  </si>
  <si>
    <t>Caleb Hubbard</t>
  </si>
  <si>
    <t>339 Sharon Dr</t>
  </si>
  <si>
    <t>bswallace@pie.midco.net</t>
  </si>
  <si>
    <t>Kala</t>
  </si>
  <si>
    <t>Kala Wallace</t>
  </si>
  <si>
    <t>700 N. Taylor</t>
  </si>
  <si>
    <t>nina8426@gmail.com</t>
  </si>
  <si>
    <t>Nina Kim</t>
  </si>
  <si>
    <t>joshknox68@yahoo.com</t>
  </si>
  <si>
    <t>Joshua Knox</t>
  </si>
  <si>
    <t>10425 Forest Meadow Dr.</t>
  </si>
  <si>
    <t>sspillers@frii.com</t>
  </si>
  <si>
    <t>ehspill@gmail.com</t>
  </si>
  <si>
    <t>Spillers</t>
  </si>
  <si>
    <t>Ethan Spillers</t>
  </si>
  <si>
    <t>1530 Northfield Rd.</t>
  </si>
  <si>
    <t>juliferrell@gmail.com</t>
  </si>
  <si>
    <t>molly.frl@gmail.com</t>
  </si>
  <si>
    <t>Ferrell</t>
  </si>
  <si>
    <t>Molly Ferrell</t>
  </si>
  <si>
    <t>7120 Middle Rd.</t>
  </si>
  <si>
    <t>Middletown</t>
  </si>
  <si>
    <t>billpamkids@gmail.com</t>
  </si>
  <si>
    <t>swimrunnick@gmail.com</t>
  </si>
  <si>
    <t>Nicholas Duncan</t>
  </si>
  <si>
    <t>1115 Orchid Drive</t>
  </si>
  <si>
    <t>Natalie Duncan</t>
  </si>
  <si>
    <t>benjamin.cowen123@gmail.com</t>
  </si>
  <si>
    <t>Benjamin Cowen</t>
  </si>
  <si>
    <t>6251 Lake Alturas Ave</t>
  </si>
  <si>
    <t>bretnicholson@onelifechurch.org</t>
  </si>
  <si>
    <t>isaac.nicholson@evsck12.com</t>
  </si>
  <si>
    <t>Isaac Nicholson</t>
  </si>
  <si>
    <t>425 S. Hebron</t>
  </si>
  <si>
    <t>thomas.freeman@ge.com</t>
  </si>
  <si>
    <t>twfree34@gmail.com</t>
  </si>
  <si>
    <t>Thomas Freeman</t>
  </si>
  <si>
    <t>124 Arcadia Park Drive</t>
  </si>
  <si>
    <t>ben.j.lentz@gmail.com</t>
  </si>
  <si>
    <t>s.lentz.sophie@gmail.com</t>
  </si>
  <si>
    <t>Sophia Lentz</t>
  </si>
  <si>
    <t>2749 E Winchcomb Dr</t>
  </si>
  <si>
    <t>klinnartz@gmail.com</t>
  </si>
  <si>
    <t>Linnartz</t>
  </si>
  <si>
    <t>Katie Linnartz</t>
  </si>
  <si>
    <t>4304 Sarita Dr.</t>
  </si>
  <si>
    <t>conradmorse38@gmail.com</t>
  </si>
  <si>
    <t>thechadmorse@gmail.com</t>
  </si>
  <si>
    <t>Morse</t>
  </si>
  <si>
    <t>Chad Morse</t>
  </si>
  <si>
    <t>811 White Oak Circle</t>
  </si>
  <si>
    <t>zdmngibbs@gmail.com</t>
  </si>
  <si>
    <t>noahgibbygibbs374@gmail.com</t>
  </si>
  <si>
    <t>Noah Gibbs</t>
  </si>
  <si>
    <t>3445 Willow Run Ct</t>
  </si>
  <si>
    <t>danjosiah@yahoo.com</t>
  </si>
  <si>
    <t>Danjosiah@yahoo.com</t>
  </si>
  <si>
    <t>Isaiah Murray</t>
  </si>
  <si>
    <t>2580 Northridge Ln NE</t>
  </si>
  <si>
    <t>traceyshore@yahoo.com</t>
  </si>
  <si>
    <t>Shore</t>
  </si>
  <si>
    <t>Andrew Shore</t>
  </si>
  <si>
    <t>19791 Woodview Drive</t>
  </si>
  <si>
    <t>Clinton Twp</t>
  </si>
  <si>
    <t>Jewlficm@gmail.com</t>
  </si>
  <si>
    <t>Westphalen</t>
  </si>
  <si>
    <t>Amber Westphalen</t>
  </si>
  <si>
    <t>203 Whithorn Lane</t>
  </si>
  <si>
    <t>greystone2000@gmail.com</t>
  </si>
  <si>
    <t>Graham Stewart</t>
  </si>
  <si>
    <t>3015 Parkwood Trail</t>
  </si>
  <si>
    <t>macraughton@gmail.com</t>
  </si>
  <si>
    <t>Gerald</t>
  </si>
  <si>
    <t>Raughton</t>
  </si>
  <si>
    <t>Gerald Raughton</t>
  </si>
  <si>
    <t>3222 Cruiser Drive</t>
  </si>
  <si>
    <t>Tunnel Hill</t>
  </si>
  <si>
    <t>ajsdelta@gmail.com</t>
  </si>
  <si>
    <t>Alexander Scott</t>
  </si>
  <si>
    <t>732 Ellwood ave</t>
  </si>
  <si>
    <t>Dekalb</t>
  </si>
  <si>
    <t>dohrmann1@juno.com</t>
  </si>
  <si>
    <t>abigaildohrmann@gmail.com</t>
  </si>
  <si>
    <t>Dohrmann</t>
  </si>
  <si>
    <t>Abigail Dohrmann</t>
  </si>
  <si>
    <t>354 Turkey Creek Rd</t>
  </si>
  <si>
    <t>sarahrkeller12@outlook.com</t>
  </si>
  <si>
    <t>Sarah Keller</t>
  </si>
  <si>
    <t>139 Red Grouse Drive</t>
  </si>
  <si>
    <t>Lenoir City</t>
  </si>
  <si>
    <t>Philippians2v13@juno.com</t>
  </si>
  <si>
    <t>kpkundert@juno.com</t>
  </si>
  <si>
    <t>Kalvin</t>
  </si>
  <si>
    <t>Kundert</t>
  </si>
  <si>
    <t>Kalvin Kundert</t>
  </si>
  <si>
    <t>2395 W Calle Celeste Dr</t>
  </si>
  <si>
    <t>Rialto</t>
  </si>
  <si>
    <t>patricktlee@yahoo.com</t>
  </si>
  <si>
    <t>Patrick Lee</t>
  </si>
  <si>
    <t>3014 Claremont Heights Drive</t>
  </si>
  <si>
    <t>hgriffin1019@gmail.com</t>
  </si>
  <si>
    <t>Hannah Griffin</t>
  </si>
  <si>
    <t>429 Faith Rae Blvd.</t>
  </si>
  <si>
    <t>renner.scott@gmail.com</t>
  </si>
  <si>
    <t>mollyrenner11@gmail.com</t>
  </si>
  <si>
    <t>Zajen</t>
  </si>
  <si>
    <t>McArton</t>
  </si>
  <si>
    <t>Zajen McArton</t>
  </si>
  <si>
    <t>1280 211th Ave NW</t>
  </si>
  <si>
    <t>Oak Grove</t>
  </si>
  <si>
    <t>jackieblee@gmail.com</t>
  </si>
  <si>
    <t>Jackie Lee</t>
  </si>
  <si>
    <t>Blueszoomatthew@gmail.com</t>
  </si>
  <si>
    <t>Bluethman</t>
  </si>
  <si>
    <t>Matthew Bluethman</t>
  </si>
  <si>
    <t>12407 Holly Ave</t>
  </si>
  <si>
    <t>incahootsloft@hotmail.com</t>
  </si>
  <si>
    <t>josiahfaughn@gmail.com</t>
  </si>
  <si>
    <t>faughn</t>
  </si>
  <si>
    <t>josiah faughn</t>
  </si>
  <si>
    <t>15996 paul ct</t>
  </si>
  <si>
    <t>chino hills</t>
  </si>
  <si>
    <t>cali.a.barba@gmail.com</t>
  </si>
  <si>
    <t>Calista</t>
  </si>
  <si>
    <t>Barba</t>
  </si>
  <si>
    <t>Calista Barba</t>
  </si>
  <si>
    <t>15316 Pine Ln</t>
  </si>
  <si>
    <t>brookemcd@bellsouth.net</t>
  </si>
  <si>
    <t>Brooke McDonald</t>
  </si>
  <si>
    <t>6916 Woodvale Lane</t>
  </si>
  <si>
    <t>ablevins71900@outlook.com</t>
  </si>
  <si>
    <t>Anna-Marie</t>
  </si>
  <si>
    <t>Anna-Marie Blevins</t>
  </si>
  <si>
    <t>abby.pantle99@gmail.com</t>
  </si>
  <si>
    <t>Pantle</t>
  </si>
  <si>
    <t>Abigail Pantle</t>
  </si>
  <si>
    <t>1250 Popes Valley Drive</t>
  </si>
  <si>
    <t>Steelernutt@gmail.com</t>
  </si>
  <si>
    <t>Daron</t>
  </si>
  <si>
    <t>McNutt</t>
  </si>
  <si>
    <t>Daron McNutt</t>
  </si>
  <si>
    <t>155 magic mountain road</t>
  </si>
  <si>
    <t>sweazyjess@gmail.com</t>
  </si>
  <si>
    <t>Jess</t>
  </si>
  <si>
    <t>Sweazy</t>
  </si>
  <si>
    <t>Jess Sweazy</t>
  </si>
  <si>
    <t>8031 Basswood Ct.</t>
  </si>
  <si>
    <t>mnthompson@fsnb.net</t>
  </si>
  <si>
    <t>ethan.thompson312@topper.wku.edu</t>
  </si>
  <si>
    <t>1133 Freedom School Road</t>
  </si>
  <si>
    <t>meganchiles@yahoo.com</t>
  </si>
  <si>
    <t>Chiles</t>
  </si>
  <si>
    <t>David Chiles</t>
  </si>
  <si>
    <t>Lisa.Reed@charter.net</t>
  </si>
  <si>
    <t>Lisa Reed</t>
  </si>
  <si>
    <t>822 Coosa County Road 78</t>
  </si>
  <si>
    <t>carolynleerocks@gmail.com</t>
  </si>
  <si>
    <t>Carolyn Lee</t>
  </si>
  <si>
    <t>18416 Vantage Pointe Drive</t>
  </si>
  <si>
    <t>Rowland Heights</t>
  </si>
  <si>
    <t>karissacallis@gmail.com</t>
  </si>
  <si>
    <t>rsk96521@gmail.com</t>
  </si>
  <si>
    <t>Karissa Callis</t>
  </si>
  <si>
    <t>gandlbecker@netzero.com</t>
  </si>
  <si>
    <t>clare@rancho3m.com</t>
  </si>
  <si>
    <t>Clare</t>
  </si>
  <si>
    <t>Clare Becker</t>
  </si>
  <si>
    <t>PO Box 3660</t>
  </si>
  <si>
    <t>pdlamb6@yahoo.com</t>
  </si>
  <si>
    <t>karinicole98@gmail.com</t>
  </si>
  <si>
    <t>Karina Lambert</t>
  </si>
  <si>
    <t>522 S. Edmonds Ln.</t>
  </si>
  <si>
    <t>Ste. #103</t>
  </si>
  <si>
    <t>sarah.collins97@hotmail.com</t>
  </si>
  <si>
    <t>Sarah Collins</t>
  </si>
  <si>
    <t>394 Hwy 273</t>
  </si>
  <si>
    <t>Fordyce</t>
  </si>
  <si>
    <t>brnevar@gmail.com</t>
  </si>
  <si>
    <t>Nevar</t>
  </si>
  <si>
    <t>Brent Nevar</t>
  </si>
  <si>
    <t>2526 Wythe Close</t>
  </si>
  <si>
    <t>s.emily101599@gmail.com</t>
  </si>
  <si>
    <t>peluso9991@gmail.com</t>
  </si>
  <si>
    <t>Peluso</t>
  </si>
  <si>
    <t>John Peluso</t>
  </si>
  <si>
    <t>41 sand hill Rd</t>
  </si>
  <si>
    <t>finebunch@msn.com</t>
  </si>
  <si>
    <t>savannah.dale99@gmail.com</t>
  </si>
  <si>
    <t>Savannah Fine</t>
  </si>
  <si>
    <t>31896 CR 17/21</t>
  </si>
  <si>
    <t>kalosventures@gmail.com</t>
  </si>
  <si>
    <t>David Fine</t>
  </si>
  <si>
    <t>ajhagj2@gmail.com</t>
  </si>
  <si>
    <t>hannahthenhaus@gmail.com</t>
  </si>
  <si>
    <t>Thenhaus</t>
  </si>
  <si>
    <t>Hannah Thenhaus</t>
  </si>
  <si>
    <t>494 Garland Street</t>
  </si>
  <si>
    <t>ecc12.13@gmail.com</t>
  </si>
  <si>
    <t>klubj.10@gmail.com</t>
  </si>
  <si>
    <t>Dotten</t>
  </si>
  <si>
    <t>Caleb Dotten</t>
  </si>
  <si>
    <t>11827 W Coal Mine Dr</t>
  </si>
  <si>
    <t>kole99@yahoo.com</t>
  </si>
  <si>
    <t>Travis Vickers</t>
  </si>
  <si>
    <t>615 Golden Hills Rd</t>
  </si>
  <si>
    <t>wpfranks@comcast.net</t>
  </si>
  <si>
    <t>Franks</t>
  </si>
  <si>
    <t>Jonah Franks</t>
  </si>
  <si>
    <t>5262 Granny White Trace</t>
  </si>
  <si>
    <t>HOYEDWIN@GMAIL.COM</t>
  </si>
  <si>
    <t>johnhoy8@gmail.com</t>
  </si>
  <si>
    <t>John Hoy</t>
  </si>
  <si>
    <t>Blk 709 #03-183 Pasir Ris Drive 10</t>
  </si>
  <si>
    <t>amosbecki@yahoo.com</t>
  </si>
  <si>
    <t>wrongagain16@gmail.com</t>
  </si>
  <si>
    <t>Neighbors</t>
  </si>
  <si>
    <t>Douglas Neighbors</t>
  </si>
  <si>
    <t>P.O. Box 186</t>
  </si>
  <si>
    <t>Carbonado</t>
  </si>
  <si>
    <t>cherokeelass@gmail.com</t>
  </si>
  <si>
    <t>MACHmail15@gmail.com</t>
  </si>
  <si>
    <t>Maerin</t>
  </si>
  <si>
    <t>Maerin Hodge</t>
  </si>
  <si>
    <t>9180 Pinewood Drive</t>
  </si>
  <si>
    <t>csplum1@yahoo.com</t>
  </si>
  <si>
    <t>joelpinto98@yahoo.com</t>
  </si>
  <si>
    <t>Soderling</t>
  </si>
  <si>
    <t>Peter Soderling</t>
  </si>
  <si>
    <t>6034 Millbrook Street</t>
  </si>
  <si>
    <t>tbjbjl@gmail.com</t>
  </si>
  <si>
    <t>Leannrenae64@gmail.com</t>
  </si>
  <si>
    <t>Leann</t>
  </si>
  <si>
    <t>Ringenberg</t>
  </si>
  <si>
    <t>Leann Ringenberg</t>
  </si>
  <si>
    <t>1230 Waterworks Road</t>
  </si>
  <si>
    <t>kflamm00@gmail.com</t>
  </si>
  <si>
    <t>Kellen Flamm</t>
  </si>
  <si>
    <t>retrospinclub@gmail.com</t>
  </si>
  <si>
    <t>Tarin</t>
  </si>
  <si>
    <t>Tarin Flamm</t>
  </si>
  <si>
    <t>Kelli@KelliCalabrese.com</t>
  </si>
  <si>
    <t>NickJCalabrese1@gmail.com</t>
  </si>
  <si>
    <t>Calabrese</t>
  </si>
  <si>
    <t>Nicholas Calabrese</t>
  </si>
  <si>
    <t>8708 Doral Court West</t>
  </si>
  <si>
    <t>cindygeders@gmail.com</t>
  </si>
  <si>
    <t>rgeders@gmail.com</t>
  </si>
  <si>
    <t>Geders</t>
  </si>
  <si>
    <t>Rachel Geders</t>
  </si>
  <si>
    <t>33 Stoneridge Drive</t>
  </si>
  <si>
    <t>lrittmeyer14@gmail.com</t>
  </si>
  <si>
    <t>Rittmeyer</t>
  </si>
  <si>
    <t>Lydia Rittmeyer</t>
  </si>
  <si>
    <t>5510 Kelley road</t>
  </si>
  <si>
    <t>whiteheadisai@d323.org</t>
  </si>
  <si>
    <t>Isaiah Whitehead</t>
  </si>
  <si>
    <t>7962 Kelana Drive</t>
  </si>
  <si>
    <t>terrirwhite@gmail.com</t>
  </si>
  <si>
    <t>matthew22399@gmail.com</t>
  </si>
  <si>
    <t>Matthew White</t>
  </si>
  <si>
    <t>PO Box 89</t>
  </si>
  <si>
    <t>New Ellenton</t>
  </si>
  <si>
    <t>sbcunningham@outlook.com</t>
  </si>
  <si>
    <t>Sarah Cunningham</t>
  </si>
  <si>
    <t>420 Wuthering Heights Dr.</t>
  </si>
  <si>
    <t>reecebell01@yahoo.com</t>
  </si>
  <si>
    <t>Reece Bell</t>
  </si>
  <si>
    <t>1437 Melanie Trail</t>
  </si>
  <si>
    <t>Moorestampin4u@gmail.com</t>
  </si>
  <si>
    <t>mooredance23@yahoo.com</t>
  </si>
  <si>
    <t>Alejandra</t>
  </si>
  <si>
    <t>Alejandra Moore</t>
  </si>
  <si>
    <t>400 S First St</t>
  </si>
  <si>
    <t>Malta</t>
  </si>
  <si>
    <t>dave@dixoncon.com</t>
  </si>
  <si>
    <t>JOSHUA</t>
  </si>
  <si>
    <t>JOSHUA DIXON</t>
  </si>
  <si>
    <t>mtball14@gmail.com</t>
  </si>
  <si>
    <t>Matthew Ball</t>
  </si>
  <si>
    <t>14 Heather Ct</t>
  </si>
  <si>
    <t>lancmdc@bellsouth.net</t>
  </si>
  <si>
    <t>jactwelve@yahoo.com</t>
  </si>
  <si>
    <t>Cuomo</t>
  </si>
  <si>
    <t>Joseph Cuomo</t>
  </si>
  <si>
    <t>1026 Sugar Pike Way</t>
  </si>
  <si>
    <t>oharafamilyinva@gmail.com</t>
  </si>
  <si>
    <t>jonowo00@gmail.com</t>
  </si>
  <si>
    <t>O'Hara</t>
  </si>
  <si>
    <t>Jonathan O'Hara</t>
  </si>
  <si>
    <t>830 Parshall Road</t>
  </si>
  <si>
    <t>kathywayinsc@gmail.com</t>
  </si>
  <si>
    <t>zannah.way@gmail.com</t>
  </si>
  <si>
    <t>Suzannah Way</t>
  </si>
  <si>
    <t>205 Pine Links Dr.</t>
  </si>
  <si>
    <t>tsaint14@yahoo.com</t>
  </si>
  <si>
    <t>St.John</t>
  </si>
  <si>
    <t>Trevor St.John</t>
  </si>
  <si>
    <t>1033 S. 13th Street</t>
  </si>
  <si>
    <t>LaFollette</t>
  </si>
  <si>
    <t>sammooney601@gmail.com</t>
  </si>
  <si>
    <t>Joshua Mooney</t>
  </si>
  <si>
    <t>jen.cart94@gmail.com</t>
  </si>
  <si>
    <t>sienna.cart@gmail.com</t>
  </si>
  <si>
    <t>Cartier</t>
  </si>
  <si>
    <t>Sienna Cartier</t>
  </si>
  <si>
    <t>800 Charleston Dr.</t>
  </si>
  <si>
    <t>xpflumm@aol.com</t>
  </si>
  <si>
    <t>Pflumm</t>
  </si>
  <si>
    <t>Ian Pflumm</t>
  </si>
  <si>
    <t>Erich-Kaestner-Weg 2</t>
  </si>
  <si>
    <t>Gomaringen</t>
  </si>
  <si>
    <t>pcharrier@comcast.net</t>
  </si>
  <si>
    <t>cjcharrier@comcast.net</t>
  </si>
  <si>
    <t>Charrier</t>
  </si>
  <si>
    <t>Christian Charrier</t>
  </si>
  <si>
    <t>5008 Bon Aire Drive</t>
  </si>
  <si>
    <t>cbcharrier@comcast.net</t>
  </si>
  <si>
    <t>Canaan</t>
  </si>
  <si>
    <t>Canaan Charrier</t>
  </si>
  <si>
    <t>5008 Bon Aire Dr</t>
  </si>
  <si>
    <t>kimchoisnet@gmail.com</t>
  </si>
  <si>
    <t>katherinechoisnet@gmail.com</t>
  </si>
  <si>
    <t>Choisnet</t>
  </si>
  <si>
    <t>Katherine Choisnet</t>
  </si>
  <si>
    <t>10436 S. Erie Avenue</t>
  </si>
  <si>
    <t>deniseagron@gmail.com</t>
  </si>
  <si>
    <t>trustinginmybff@gmail.com</t>
  </si>
  <si>
    <t>Jillian Smith</t>
  </si>
  <si>
    <t>South Oak Canyon Rd</t>
  </si>
  <si>
    <t>familywellness1@gmail.com</t>
  </si>
  <si>
    <t>iwalk4gold@gmail.com</t>
  </si>
  <si>
    <t>Cionelo</t>
  </si>
  <si>
    <t>Nehemiah Cionelo</t>
  </si>
  <si>
    <t>6725 Lamar Avenue NW</t>
  </si>
  <si>
    <t>ddstrings@msn.com</t>
  </si>
  <si>
    <t>faith.dude.C@gmail.com</t>
  </si>
  <si>
    <t>Claire Christian</t>
  </si>
  <si>
    <t>4765 W Princeton Ave</t>
  </si>
  <si>
    <t>denver</t>
  </si>
  <si>
    <t>marisal0899@hotmail.com</t>
  </si>
  <si>
    <t>Pesina</t>
  </si>
  <si>
    <t>Marisa Pesina</t>
  </si>
  <si>
    <t>paulraessv@gmail.com</t>
  </si>
  <si>
    <t>smiller@apps.bearspawschool.com</t>
  </si>
  <si>
    <t>Satai</t>
  </si>
  <si>
    <t>Satai Miller</t>
  </si>
  <si>
    <t>PO 63006</t>
  </si>
  <si>
    <t>Stadium PO</t>
  </si>
  <si>
    <t>T2N 4S5</t>
  </si>
  <si>
    <t>kennesondl@gmail.com</t>
  </si>
  <si>
    <t>Kenneson</t>
  </si>
  <si>
    <t>Amy Kenneson</t>
  </si>
  <si>
    <t>3190 5th st</t>
  </si>
  <si>
    <t>dblphil413@yahoo.com</t>
  </si>
  <si>
    <t>Lowden</t>
  </si>
  <si>
    <t>Danae Lowden</t>
  </si>
  <si>
    <t>6856 NW 14th street</t>
  </si>
  <si>
    <t>femora99@yahoo.ca</t>
  </si>
  <si>
    <t>Oluwafemi</t>
  </si>
  <si>
    <t>Segun-Ige</t>
  </si>
  <si>
    <t>Oluwafemi Segun-Ige</t>
  </si>
  <si>
    <t>802 Evanston Manor NW</t>
  </si>
  <si>
    <t>T3P 0R9</t>
  </si>
  <si>
    <t>wendy@echiarelli.com</t>
  </si>
  <si>
    <t>grumpdonut@icloud.com</t>
  </si>
  <si>
    <t>Chiarelli</t>
  </si>
  <si>
    <t>Camden Chiarelli</t>
  </si>
  <si>
    <t>440 Asbury Rd NE</t>
  </si>
  <si>
    <t>zarya.johnson@gmail.com</t>
  </si>
  <si>
    <t>Zarya</t>
  </si>
  <si>
    <t>Zarya Johnson</t>
  </si>
  <si>
    <t>207 N. Livingston Rd.</t>
  </si>
  <si>
    <t>Ridgeland</t>
  </si>
  <si>
    <t>emma.bea28@gmail.com</t>
  </si>
  <si>
    <t>Emma.bea28@gmail.com</t>
  </si>
  <si>
    <t>Shepard</t>
  </si>
  <si>
    <t>Emma Shepard</t>
  </si>
  <si>
    <t>9931 Clyde Place</t>
  </si>
  <si>
    <t>elash72@gmail.com</t>
  </si>
  <si>
    <t>dimauro.conner99@gmail.com</t>
  </si>
  <si>
    <t>DiMauro</t>
  </si>
  <si>
    <t>Conner DiMauro</t>
  </si>
  <si>
    <t>1711 Adams Street</t>
  </si>
  <si>
    <t>dalamb97@yahoo.com</t>
  </si>
  <si>
    <t>thejoshlamb13@gmail.com</t>
  </si>
  <si>
    <t>Joshua Lambert</t>
  </si>
  <si>
    <t>1107 SAINT JOSEPH ST STE 707</t>
  </si>
  <si>
    <t>elliewht@gmail.com</t>
  </si>
  <si>
    <t>23486 Almira st.</t>
  </si>
  <si>
    <t>peterwings@bellsouth.net</t>
  </si>
  <si>
    <t>Davidmerriam99@gmail.com</t>
  </si>
  <si>
    <t>David Merriam</t>
  </si>
  <si>
    <t>2890 Pine Street</t>
  </si>
  <si>
    <t>Duluth</t>
  </si>
  <si>
    <t>will.white2000@gmail.com</t>
  </si>
  <si>
    <t>Will White</t>
  </si>
  <si>
    <t>dcapshaw@aol.com</t>
  </si>
  <si>
    <t>noahwashpac@gmail.com</t>
  </si>
  <si>
    <t>Capshaw</t>
  </si>
  <si>
    <t>Noah Capshaw</t>
  </si>
  <si>
    <t>1901 Country Brook Dr</t>
  </si>
  <si>
    <t>dykstra.jeff6@gmail.com</t>
  </si>
  <si>
    <t>Jeffrey Dykstra</t>
  </si>
  <si>
    <t>6540 85th Pl</t>
  </si>
  <si>
    <t>Crown Point</t>
  </si>
  <si>
    <t>momlovesten@gmail.com</t>
  </si>
  <si>
    <t>oscully9@gmail.com</t>
  </si>
  <si>
    <t>Olivia Scully</t>
  </si>
  <si>
    <t>2856 Carleton West Rd.</t>
  </si>
  <si>
    <t>Hannah Scully</t>
  </si>
  <si>
    <t>imikayla@yahoo.com</t>
  </si>
  <si>
    <t>Mikayla Hammrich</t>
  </si>
  <si>
    <t>257 Gold Street</t>
  </si>
  <si>
    <t>10L</t>
  </si>
  <si>
    <t>zallen@wellesley.edu</t>
  </si>
  <si>
    <t>Zoe Allen</t>
  </si>
  <si>
    <t>20 Montcrest Drive</t>
  </si>
  <si>
    <t>Mountain Brook</t>
  </si>
  <si>
    <t>950white.james@gmail.com</t>
  </si>
  <si>
    <t>jami.white24@gmail.com</t>
  </si>
  <si>
    <t>Jami</t>
  </si>
  <si>
    <t>Jami White</t>
  </si>
  <si>
    <t>950 w 12th</t>
  </si>
  <si>
    <t>lexington</t>
  </si>
  <si>
    <t>mattandcinda@gmail.com</t>
  </si>
  <si>
    <t>graciesourpatch@gmail.com</t>
  </si>
  <si>
    <t>Wotila</t>
  </si>
  <si>
    <t>Grace Wotila</t>
  </si>
  <si>
    <t>1612 Edinborough Ct.</t>
  </si>
  <si>
    <t>thestrackmans@msn.com</t>
  </si>
  <si>
    <t>Christopher.Strackman@gmail.com</t>
  </si>
  <si>
    <t>Strackman</t>
  </si>
  <si>
    <t>Christopher Strackman</t>
  </si>
  <si>
    <t>6316 Beach Front Road</t>
  </si>
  <si>
    <t>Apt B</t>
  </si>
  <si>
    <t>Arverne</t>
  </si>
  <si>
    <t>ruralsuccess@yahoo.com</t>
  </si>
  <si>
    <t>Reichard</t>
  </si>
  <si>
    <t>Zoey Reichard</t>
  </si>
  <si>
    <t>5164 Oak Creek Trail</t>
  </si>
  <si>
    <t>dbgaines@madisontelco.com</t>
  </si>
  <si>
    <t>Gaines</t>
  </si>
  <si>
    <t>Kaylee Gaines</t>
  </si>
  <si>
    <t>8611 Wieseman Road</t>
  </si>
  <si>
    <t>tory.d.wilson@gmail.com</t>
  </si>
  <si>
    <t>Tory</t>
  </si>
  <si>
    <t>Tory Wilson</t>
  </si>
  <si>
    <t>1036 N Grand Mesa Dr</t>
  </si>
  <si>
    <t>beth@realmilkpaint.com</t>
  </si>
  <si>
    <t>1087 Little Swan Creek Rd</t>
  </si>
  <si>
    <t>ksikes@payh.org</t>
  </si>
  <si>
    <t>Duffett</t>
  </si>
  <si>
    <t>Andrew Duffett</t>
  </si>
  <si>
    <t>hilhamlib@yahoo.com</t>
  </si>
  <si>
    <t>tangj54@yahoo.com</t>
  </si>
  <si>
    <t>Wegscheid</t>
  </si>
  <si>
    <t>Libby Wegscheid</t>
  </si>
  <si>
    <t>5810 Montgomery Road</t>
  </si>
  <si>
    <t>rere.marie16@gmail.com</t>
  </si>
  <si>
    <t>Acham</t>
  </si>
  <si>
    <t>Rachel Acham</t>
  </si>
  <si>
    <t>301 W31st</t>
  </si>
  <si>
    <t>jameslites1@gmail.com</t>
  </si>
  <si>
    <t>Jameslites1@gmail.com</t>
  </si>
  <si>
    <t>Lites</t>
  </si>
  <si>
    <t>James Lites</t>
  </si>
  <si>
    <t>2575 McCracken Lane</t>
  </si>
  <si>
    <t>hsmomsmith@gmail.com</t>
  </si>
  <si>
    <t>immaxsmith@gmail.com</t>
  </si>
  <si>
    <t>Maxwell Smith</t>
  </si>
  <si>
    <t>13 Timbergreen Cir</t>
  </si>
  <si>
    <t>engle9@att.net</t>
  </si>
  <si>
    <t>maryjoann0@gmail.com</t>
  </si>
  <si>
    <t>Engle</t>
  </si>
  <si>
    <t>Mary Engle</t>
  </si>
  <si>
    <t>Barlum Drive</t>
  </si>
  <si>
    <t>Indianpolis</t>
  </si>
  <si>
    <t>ChederaStrackman@gmail.com</t>
  </si>
  <si>
    <t>Chedera</t>
  </si>
  <si>
    <t>Chedera Strackman</t>
  </si>
  <si>
    <t>45705 Stagecoach rd</t>
  </si>
  <si>
    <t>thesonisoutthere@gmail.com</t>
  </si>
  <si>
    <t>Kleinkauf</t>
  </si>
  <si>
    <t>Hannah Kleinkauf</t>
  </si>
  <si>
    <t>1918 N. Lariat Rd</t>
  </si>
  <si>
    <t>ehatcher@bellsouth.net</t>
  </si>
  <si>
    <t>minioreo21@outlook.com</t>
  </si>
  <si>
    <t>Hatcher</t>
  </si>
  <si>
    <t>Isaac Hatcher</t>
  </si>
  <si>
    <t>470 Golden Horn Road</t>
  </si>
  <si>
    <t>gwalker113.law@gmail.com</t>
  </si>
  <si>
    <t>Grace Walker</t>
  </si>
  <si>
    <t>ckmears93@gmail.com</t>
  </si>
  <si>
    <t>bethanygrace678@gmail.com</t>
  </si>
  <si>
    <t>Mears</t>
  </si>
  <si>
    <t>Bethany Mears</t>
  </si>
  <si>
    <t>1412 Snyder Store Rd</t>
  </si>
  <si>
    <t>Wingate</t>
  </si>
  <si>
    <t>horsebabe1228@yahoo.com</t>
  </si>
  <si>
    <t>Julianna Curry</t>
  </si>
  <si>
    <t>2025 W Ashley Drive</t>
  </si>
  <si>
    <t>aleren95@gmail.com</t>
  </si>
  <si>
    <t>Kristen Braun</t>
  </si>
  <si>
    <t>900 Creston Road</t>
  </si>
  <si>
    <t>happymama72@gmail.com</t>
  </si>
  <si>
    <t>sdelorme98@gmail.com</t>
  </si>
  <si>
    <t>DeLorme</t>
  </si>
  <si>
    <t>Samuel DeLorme</t>
  </si>
  <si>
    <t>240 Melvin Smith Rd</t>
  </si>
  <si>
    <t>Hallsville</t>
  </si>
  <si>
    <t>christopher.rojano@bcs448.org</t>
  </si>
  <si>
    <t>Rojano</t>
  </si>
  <si>
    <t>Christopher Rojano</t>
  </si>
  <si>
    <t>77 vansiclen ave</t>
  </si>
  <si>
    <t>brooklyn</t>
  </si>
  <si>
    <t>grisenti@charter.net</t>
  </si>
  <si>
    <t>hjgrisenti2@gmai.com</t>
  </si>
  <si>
    <t>Grisenti</t>
  </si>
  <si>
    <t>Hannah Grisenti</t>
  </si>
  <si>
    <t>429 Rodefer Hollow Rd.</t>
  </si>
  <si>
    <t>Sophia Scully</t>
  </si>
  <si>
    <t>georgiannamartin.sc@gmail.com</t>
  </si>
  <si>
    <t>Annabethmartin2001@gmail.com</t>
  </si>
  <si>
    <t>781 LC Drive</t>
  </si>
  <si>
    <t>Laurens</t>
  </si>
  <si>
    <t>wheeler.brianna4@gmail.com</t>
  </si>
  <si>
    <t>Brianna Wheeler</t>
  </si>
  <si>
    <t>6028 S Swadley Way</t>
  </si>
  <si>
    <t>talai4jc@gmail.com</t>
  </si>
  <si>
    <t>Tristan Lyons</t>
  </si>
  <si>
    <t>5245 Fawn Ridge Way</t>
  </si>
  <si>
    <t>brianatucker2772@yahoo.com</t>
  </si>
  <si>
    <t>brianatucker2772@gmail.com</t>
  </si>
  <si>
    <t>Briana Tucker</t>
  </si>
  <si>
    <t>22188 AL-HWY 24</t>
  </si>
  <si>
    <t>Trinity</t>
  </si>
  <si>
    <t>pjmzwood@yahoo.com</t>
  </si>
  <si>
    <t>777zwood@gmail.com</t>
  </si>
  <si>
    <t>Zebedee</t>
  </si>
  <si>
    <t>Zebedee Wood</t>
  </si>
  <si>
    <t>cmccoy03@gmail.com</t>
  </si>
  <si>
    <t>mccoyjustin3@gmail.com</t>
  </si>
  <si>
    <t>Justin McCoy</t>
  </si>
  <si>
    <t>9705 22nd Ave.</t>
  </si>
  <si>
    <t>Adelphi</t>
  </si>
  <si>
    <t>dcoy61@gmail.com</t>
  </si>
  <si>
    <t>Derek McCoy</t>
  </si>
  <si>
    <t>Storch Ct.</t>
  </si>
  <si>
    <t>2sing4ever@gmail.com</t>
  </si>
  <si>
    <t>Seatondasher@gmail.com</t>
  </si>
  <si>
    <t>Seaton</t>
  </si>
  <si>
    <t>Seaton Dasher</t>
  </si>
  <si>
    <t>3806 Northwood Dr. NW</t>
  </si>
  <si>
    <t>pkcerny@outlook.com</t>
  </si>
  <si>
    <t>cernylydia@gmail.com</t>
  </si>
  <si>
    <t>Cerny</t>
  </si>
  <si>
    <t>Lydia Cerny</t>
  </si>
  <si>
    <t>3870 Lake Juliette Dr</t>
  </si>
  <si>
    <t>myarus@aol.com</t>
  </si>
  <si>
    <t>ashleysmartt3015@gmail.com</t>
  </si>
  <si>
    <t>Smartt</t>
  </si>
  <si>
    <t>Ashley Smartt</t>
  </si>
  <si>
    <t>840 Bear Creek Trail</t>
  </si>
  <si>
    <t>katiejoy2000@att.net</t>
  </si>
  <si>
    <t>Kathryn Gibson</t>
  </si>
  <si>
    <t>8377 W 130th St</t>
  </si>
  <si>
    <t>North Royalton</t>
  </si>
  <si>
    <t>garstunkel@bellsouth.net</t>
  </si>
  <si>
    <t>rstunkel97@gmail.com</t>
  </si>
  <si>
    <t>Raymond Stunkel</t>
  </si>
  <si>
    <t>347 Starling Dr.</t>
  </si>
  <si>
    <t>stuartburns1066@gmail.com</t>
  </si>
  <si>
    <t>kount7@yahoo.com</t>
  </si>
  <si>
    <t>William Burns</t>
  </si>
  <si>
    <t>10017 Blue Coat Dr</t>
  </si>
  <si>
    <t>lilahlovessarge@gmail.com</t>
  </si>
  <si>
    <t>Lilah</t>
  </si>
  <si>
    <t>Lilah Kleinkauf</t>
  </si>
  <si>
    <t>1918 N Lariat Rd</t>
  </si>
  <si>
    <t>elizabethmjohnson50@gmail.com</t>
  </si>
  <si>
    <t>Elizabeth Johnson</t>
  </si>
  <si>
    <t>106 Lee Ct</t>
  </si>
  <si>
    <t>kroekerann@gmail.com</t>
  </si>
  <si>
    <t>danielskroeker@gmail.com</t>
  </si>
  <si>
    <t>Kroeker</t>
  </si>
  <si>
    <t>Daniel Kroeker</t>
  </si>
  <si>
    <t>15225 Dan Patch Ct.</t>
  </si>
  <si>
    <t>madijosmom@yahoo.com</t>
  </si>
  <si>
    <t>biocreeps@gmail.com</t>
  </si>
  <si>
    <t>Matthew Moody</t>
  </si>
  <si>
    <t>2069 Duke Dr.</t>
  </si>
  <si>
    <t>kaile.short@lindsey.edu</t>
  </si>
  <si>
    <t>Kaile.short@lindsey.edu</t>
  </si>
  <si>
    <t>Kaile</t>
  </si>
  <si>
    <t>Kaile Short</t>
  </si>
  <si>
    <t>560 Bull lane</t>
  </si>
  <si>
    <t>Perryville</t>
  </si>
  <si>
    <t>hoosierspond@gmail.com</t>
  </si>
  <si>
    <t>Spond</t>
  </si>
  <si>
    <t>Charles Spond</t>
  </si>
  <si>
    <t>471 Turner Loop</t>
  </si>
  <si>
    <t>Fort Campbell</t>
  </si>
  <si>
    <t>Ron@KilroysWorkshop.com</t>
  </si>
  <si>
    <t>Jessica@Hardman.email</t>
  </si>
  <si>
    <t>Hardman</t>
  </si>
  <si>
    <t>Jessica Hardman</t>
  </si>
  <si>
    <t>7840 Bullet Rd.</t>
  </si>
  <si>
    <t>sethhallatexan@gmail.com</t>
  </si>
  <si>
    <t>Seth Hall</t>
  </si>
  <si>
    <t>201 1st S St</t>
  </si>
  <si>
    <t>HofHomeschool@gmail.com</t>
  </si>
  <si>
    <t>Hof</t>
  </si>
  <si>
    <t>Anton Hof</t>
  </si>
  <si>
    <t>Austin Walters</t>
  </si>
  <si>
    <t>ipayne18@icloud.com</t>
  </si>
  <si>
    <t>Ian Payne</t>
  </si>
  <si>
    <t>643 N Fairacres Rd</t>
  </si>
  <si>
    <t>starr@marriage101.net</t>
  </si>
  <si>
    <t>khaleacalooy@icloud.com</t>
  </si>
  <si>
    <t>6619 Laurelhill Drive</t>
  </si>
  <si>
    <t>qunlimitedmrussell@gmail.com</t>
  </si>
  <si>
    <t>rjrson42@gmail.com</t>
  </si>
  <si>
    <t>Ripkin</t>
  </si>
  <si>
    <t>Ripkin Russell</t>
  </si>
  <si>
    <t>7411 Hamilton Run Dr</t>
  </si>
  <si>
    <t>noahj3.16@gmail.com</t>
  </si>
  <si>
    <t>Noah Justice</t>
  </si>
  <si>
    <t>3411 S 15th St</t>
  </si>
  <si>
    <t>Ridgefield</t>
  </si>
  <si>
    <t>mariellehersey@numail.org</t>
  </si>
  <si>
    <t>rylenhersey@gmail.com</t>
  </si>
  <si>
    <t>Rylen</t>
  </si>
  <si>
    <t>Hersey</t>
  </si>
  <si>
    <t>Rylen Hersey</t>
  </si>
  <si>
    <t>340 Barrington Farms Pkwy</t>
  </si>
  <si>
    <t>faithkenzie@gmail.com</t>
  </si>
  <si>
    <t>Faithkenzie@gmail.com</t>
  </si>
  <si>
    <t>Faith Patterson</t>
  </si>
  <si>
    <t>2442 SW Danbury ln</t>
  </si>
  <si>
    <t>Palm city</t>
  </si>
  <si>
    <t>jnoriega232@gmail.com</t>
  </si>
  <si>
    <t>Alex Noriega</t>
  </si>
  <si>
    <t>melindamcateer@gmail.com</t>
  </si>
  <si>
    <t>McAteer</t>
  </si>
  <si>
    <t>Melinda McAteer</t>
  </si>
  <si>
    <t>4415 Thermal Lane</t>
  </si>
  <si>
    <t>Justinlee357@icloud.com</t>
  </si>
  <si>
    <t>Justin lee</t>
  </si>
  <si>
    <t>1407 1/2 salsbury ave</t>
  </si>
  <si>
    <t>andersonrs4@sbcglobal.net</t>
  </si>
  <si>
    <t>williamg.anderson1@yahoo.com</t>
  </si>
  <si>
    <t>6 E English</t>
  </si>
  <si>
    <t>Eastborough</t>
  </si>
  <si>
    <t>noahjepsen12@gmail.com</t>
  </si>
  <si>
    <t>Noah Jepsen</t>
  </si>
  <si>
    <t>elishacoleman99@gmail.com</t>
  </si>
  <si>
    <t>Elisha Coleman</t>
  </si>
  <si>
    <t>3800 Drew Ave S</t>
  </si>
  <si>
    <t>sarahsknitknots@gmail.com</t>
  </si>
  <si>
    <t>Kempf</t>
  </si>
  <si>
    <t>Sarah Kempf</t>
  </si>
  <si>
    <t>346 Empire RD</t>
  </si>
  <si>
    <t>sanfordcamryn@yahoo.com</t>
  </si>
  <si>
    <t>Camryn Sanford</t>
  </si>
  <si>
    <t>70 Private Rd 4330</t>
  </si>
  <si>
    <t>clairecoleman21@gmail.com</t>
  </si>
  <si>
    <t>Claire Coleman</t>
  </si>
  <si>
    <t>imtkr0078@hotmail.com</t>
  </si>
  <si>
    <t>tristonrosario@gmail.com</t>
  </si>
  <si>
    <t>Rosario</t>
  </si>
  <si>
    <t>Triston Rosario</t>
  </si>
  <si>
    <t>5615 Duncanville Rd</t>
  </si>
  <si>
    <t>madores@yahoo.com</t>
  </si>
  <si>
    <t>rachelmadorable97@gmail.com</t>
  </si>
  <si>
    <t>Madore</t>
  </si>
  <si>
    <t>Rachel Madore</t>
  </si>
  <si>
    <t>7664 W Sands Dr</t>
  </si>
  <si>
    <t>susankyner@gmail.com</t>
  </si>
  <si>
    <t>rkyner91@gmail.com</t>
  </si>
  <si>
    <t>Kyner</t>
  </si>
  <si>
    <t>Rebekah Kyner</t>
  </si>
  <si>
    <t>3570 Pony Tracks Drive</t>
  </si>
  <si>
    <t>pennielee@att.net</t>
  </si>
  <si>
    <t>garrett.smith343@gmail.com</t>
  </si>
  <si>
    <t>Garrett Smith</t>
  </si>
  <si>
    <t>15 Surry Ct</t>
  </si>
  <si>
    <t>kgracemadore@gmail.com</t>
  </si>
  <si>
    <t>Kayla Madore</t>
  </si>
  <si>
    <t>madilantrip@gmail.com</t>
  </si>
  <si>
    <t>Blythelife@sbcglobal.net</t>
  </si>
  <si>
    <t>Lantrip</t>
  </si>
  <si>
    <t>Madelyn Lantrip</t>
  </si>
  <si>
    <t>9503 Rolling Oaks Dr</t>
  </si>
  <si>
    <t>naharrop12@gmail.com</t>
  </si>
  <si>
    <t>scottglazener40@gmail.com</t>
  </si>
  <si>
    <t>Glazener</t>
  </si>
  <si>
    <t>James Glazener</t>
  </si>
  <si>
    <t>17100 FM 463</t>
  </si>
  <si>
    <t>luke.riley.97@gmail.com</t>
  </si>
  <si>
    <t>Luke Riley</t>
  </si>
  <si>
    <t>417 Spring Garden Drive</t>
  </si>
  <si>
    <t>marywiland@gmail.com</t>
  </si>
  <si>
    <t>jennywiland@gmail.com</t>
  </si>
  <si>
    <t>Wiland</t>
  </si>
  <si>
    <t>Jennifer Wiland</t>
  </si>
  <si>
    <t>4401 Lori Lynn Lane</t>
  </si>
  <si>
    <t>jl_guitar_guy@live.com</t>
  </si>
  <si>
    <t>Justin Lites</t>
  </si>
  <si>
    <t>micekmelissa@gmail.com</t>
  </si>
  <si>
    <t>Micek</t>
  </si>
  <si>
    <t>Melissa Micek</t>
  </si>
  <si>
    <t>91 Starfire Court</t>
  </si>
  <si>
    <t>Jenny Wiland</t>
  </si>
  <si>
    <t>dadlyingninja@gmail.com</t>
  </si>
  <si>
    <t>Caleb Vaught</t>
  </si>
  <si>
    <t>13738 Locust St</t>
  </si>
  <si>
    <t>sarah.mcnamara@wise-agency.com</t>
  </si>
  <si>
    <t>Piere</t>
  </si>
  <si>
    <t>Noah Piere</t>
  </si>
  <si>
    <t>509 Kassel Drive</t>
  </si>
  <si>
    <t>Chaska</t>
  </si>
  <si>
    <t>amyjoes@gmail.com</t>
  </si>
  <si>
    <t>ezzybroadway@gmail.com</t>
  </si>
  <si>
    <t>Pleune</t>
  </si>
  <si>
    <t>Esther Pleune</t>
  </si>
  <si>
    <t>West Olive</t>
  </si>
  <si>
    <t>susan.j.schulz@schulz-clan.com</t>
  </si>
  <si>
    <t>gabe@schulz-clan.com</t>
  </si>
  <si>
    <t>Gabriel Schulz</t>
  </si>
  <si>
    <t>2501 Thorndyke Ave W</t>
  </si>
  <si>
    <t>#102</t>
  </si>
  <si>
    <t>jany@pswm.net</t>
  </si>
  <si>
    <t>evanthayer00@gmail.com</t>
  </si>
  <si>
    <t>Thayer</t>
  </si>
  <si>
    <t>Evan Thayer</t>
  </si>
  <si>
    <t>12901 172nd Avenue SE</t>
  </si>
  <si>
    <t>forhisglorylms@gmail.com</t>
  </si>
  <si>
    <t>Lynnea</t>
  </si>
  <si>
    <t>Skeate</t>
  </si>
  <si>
    <t>Lynnea Skeate</t>
  </si>
  <si>
    <t>1805 Cherry Lane</t>
  </si>
  <si>
    <t>coloradorina@gmail.com</t>
  </si>
  <si>
    <t>Karina Lites</t>
  </si>
  <si>
    <t>gmzeglen@gmail.com</t>
  </si>
  <si>
    <t>Zeglen</t>
  </si>
  <si>
    <t>Garrett Zeglen</t>
  </si>
  <si>
    <t>17399  700th ave</t>
  </si>
  <si>
    <t>Dassel</t>
  </si>
  <si>
    <t>avrie96@gmail.com</t>
  </si>
  <si>
    <t>Avrie</t>
  </si>
  <si>
    <t>Avrie Roberts</t>
  </si>
  <si>
    <t>1315 China Grove Dr.</t>
  </si>
  <si>
    <t>davidmeyers5152@gmail.com</t>
  </si>
  <si>
    <t>matthewmeyers99@hotmail.com</t>
  </si>
  <si>
    <t>Meyers</t>
  </si>
  <si>
    <t>Matthew Meyers</t>
  </si>
  <si>
    <t>5515 Shore Trail NE</t>
  </si>
  <si>
    <t>itsklw@yahoo.com</t>
  </si>
  <si>
    <t>dan.stine@cox.net</t>
  </si>
  <si>
    <t>tubaguy1@cox.net</t>
  </si>
  <si>
    <t>Stine</t>
  </si>
  <si>
    <t>Diego Stine</t>
  </si>
  <si>
    <t>1932 Lord Fairfax Rd.</t>
  </si>
  <si>
    <t>sheaglenn98@gmail.com</t>
  </si>
  <si>
    <t>Shea</t>
  </si>
  <si>
    <t>Shea Glenn</t>
  </si>
  <si>
    <t>24245 Wilderness Oak</t>
  </si>
  <si>
    <t># 903</t>
  </si>
  <si>
    <t>rachelglenn10@gmail.com</t>
  </si>
  <si>
    <t>Rachel Glenn</t>
  </si>
  <si>
    <t>24818 Birdie Ridge</t>
  </si>
  <si>
    <t>larry.wilkes@yahoo.com</t>
  </si>
  <si>
    <t>elise.ruth44@gmail.com</t>
  </si>
  <si>
    <t>Elise Wilkes</t>
  </si>
  <si>
    <t>2309 N Nevada Ave</t>
  </si>
  <si>
    <t>carlieandersen@gmail.com</t>
  </si>
  <si>
    <t>Carlie Andersen</t>
  </si>
  <si>
    <t>tschwtzr@gmail.com</t>
  </si>
  <si>
    <t>4catwhisper@gmail.com</t>
  </si>
  <si>
    <t>Constance Schweitzer</t>
  </si>
  <si>
    <t>6 Seda Place</t>
  </si>
  <si>
    <t>mnwormgoor@gmail.com</t>
  </si>
  <si>
    <t>Wormgoor</t>
  </si>
  <si>
    <t>Marissa Wormgoor</t>
  </si>
  <si>
    <t>507 W 2nd St</t>
  </si>
  <si>
    <t>shasta.den@gmail.com</t>
  </si>
  <si>
    <t>ed1cali@yahoo.com</t>
  </si>
  <si>
    <t>Dennler</t>
  </si>
  <si>
    <t>Erika Dennler</t>
  </si>
  <si>
    <t>6600 S Meridian Rd</t>
  </si>
  <si>
    <t>Lovelock</t>
  </si>
  <si>
    <t>lykinsfam@comcast.net</t>
  </si>
  <si>
    <t>Lykins</t>
  </si>
  <si>
    <t>Noah Lykins</t>
  </si>
  <si>
    <t>Bfournet@hbk.com</t>
  </si>
  <si>
    <t>Caleb.Fournet@gmail.com</t>
  </si>
  <si>
    <t>Fournet</t>
  </si>
  <si>
    <t>Caleb Fournet</t>
  </si>
  <si>
    <t>7814 Stanford Avenue</t>
  </si>
  <si>
    <t>kdenney27@gmail.com</t>
  </si>
  <si>
    <t>Kerstin Denney</t>
  </si>
  <si>
    <t xml:space="preserve">1220 N. Lake Sybelia Dr. </t>
  </si>
  <si>
    <t xml:space="preserve">Maitland </t>
  </si>
  <si>
    <t>tjchamberlain@student.ysu.edu</t>
  </si>
  <si>
    <t>Timothy Chamberlain</t>
  </si>
  <si>
    <t>mcfrauen88@gmail.com</t>
  </si>
  <si>
    <t>Anna Frauenheim</t>
  </si>
  <si>
    <t>davismihelich@hotmail.com</t>
  </si>
  <si>
    <t>DAVIS</t>
  </si>
  <si>
    <t>MIHELICH</t>
  </si>
  <si>
    <t>DAVIS MIHELICH</t>
  </si>
  <si>
    <t>17041 WEST BIG LAKE BLVD</t>
  </si>
  <si>
    <t>sidejong99@gmail.com</t>
  </si>
  <si>
    <t>Si</t>
  </si>
  <si>
    <t>DeJong</t>
  </si>
  <si>
    <t>Si DeJong</t>
  </si>
  <si>
    <t>17037 WEST BIG LAKE BLVD</t>
  </si>
  <si>
    <t>ekitten33@gmail.com</t>
  </si>
  <si>
    <t>Elliot Kitten</t>
  </si>
  <si>
    <t>15218 cr 2100</t>
  </si>
  <si>
    <t>cawaggener@gmail.com</t>
  </si>
  <si>
    <t>faithmomentss@gmail.com</t>
  </si>
  <si>
    <t>Waggener</t>
  </si>
  <si>
    <t>Faith Waggener</t>
  </si>
  <si>
    <t>3046 Autumn Gold Ln</t>
  </si>
  <si>
    <t>tamiofr@yahoo.fr</t>
  </si>
  <si>
    <t>Silas Ogren</t>
  </si>
  <si>
    <t>strothenkejj@gmail.com</t>
  </si>
  <si>
    <t>Strothenke</t>
  </si>
  <si>
    <t>Ethan Strothenke</t>
  </si>
  <si>
    <t>1958 Porcupine Lane</t>
  </si>
  <si>
    <t>aarmour@twca.net</t>
  </si>
  <si>
    <t>Abigail Armour</t>
  </si>
  <si>
    <t>111 Lily Landry</t>
  </si>
  <si>
    <t>donnaclyde47@yahoo.com</t>
  </si>
  <si>
    <t>Owen Clyde</t>
  </si>
  <si>
    <t>elizabeth.g.flavin@gmail.com</t>
  </si>
  <si>
    <t>Elizabeth Flavin</t>
  </si>
  <si>
    <t>Nathan Parkyn</t>
  </si>
  <si>
    <t>Andrew Parkyn</t>
  </si>
  <si>
    <t>allisauer99@gmail.com</t>
  </si>
  <si>
    <t>Alli</t>
  </si>
  <si>
    <t>Alli Sauer</t>
  </si>
  <si>
    <t>2554 Keel Drive</t>
  </si>
  <si>
    <t>graceispoured@me.com</t>
  </si>
  <si>
    <t xml:space="preserve">Knight </t>
  </si>
  <si>
    <t xml:space="preserve">Mackenzie Knight </t>
  </si>
  <si>
    <t>10512 78th Ave NW</t>
  </si>
  <si>
    <t>Gig Harbor</t>
  </si>
  <si>
    <t>Hitchler@gmail.com</t>
  </si>
  <si>
    <t>20wilhit@baxter.k12.ia.us</t>
  </si>
  <si>
    <t>Hitchler</t>
  </si>
  <si>
    <t>Will Hitchler</t>
  </si>
  <si>
    <t>5508 n 75 ave w</t>
  </si>
  <si>
    <t>baxter</t>
  </si>
  <si>
    <t>momto4intx@verizon.net</t>
  </si>
  <si>
    <t>mdc317@verizon.net</t>
  </si>
  <si>
    <t>Cornell</t>
  </si>
  <si>
    <t>Matthew Cornell</t>
  </si>
  <si>
    <t>230 Malibu Dr.</t>
  </si>
  <si>
    <t>Highland Village</t>
  </si>
  <si>
    <t>rickanna92@hotmail.com</t>
  </si>
  <si>
    <t>brantd7@gmail.com</t>
  </si>
  <si>
    <t>Brant Dabill</t>
  </si>
  <si>
    <t>14269 Cottage Grove Dr</t>
  </si>
  <si>
    <t>haitianseedtime@yahoo.com</t>
  </si>
  <si>
    <t>winzepau@gmail.com</t>
  </si>
  <si>
    <t>Winzenried</t>
  </si>
  <si>
    <t>Paul Winzenried</t>
  </si>
  <si>
    <t>777 N Silver Springs Rd</t>
  </si>
  <si>
    <t>Apt 612</t>
  </si>
  <si>
    <t>sarwinze@gmail.com</t>
  </si>
  <si>
    <t>Sarah Winzenried</t>
  </si>
  <si>
    <t>401 S Kokomo Ave</t>
  </si>
  <si>
    <t>julieperron83@yahoo.com</t>
  </si>
  <si>
    <t>Gperron360@yahoo.com</t>
  </si>
  <si>
    <t>Perron</t>
  </si>
  <si>
    <t>Grace Perron</t>
  </si>
  <si>
    <t>7740 Kiana Dr</t>
  </si>
  <si>
    <t>garjon1347@yahoo.com</t>
  </si>
  <si>
    <t>Garrett Jones</t>
  </si>
  <si>
    <t>304 W 33rd St</t>
  </si>
  <si>
    <t>jordanlee10237@gmail.com</t>
  </si>
  <si>
    <t>Jordan Lee</t>
  </si>
  <si>
    <t>9559 Stoneglen Drive</t>
  </si>
  <si>
    <t>graceonstrings@gmail.com</t>
  </si>
  <si>
    <t>Yimsubenla</t>
  </si>
  <si>
    <t>Yimsubenla Imchen</t>
  </si>
  <si>
    <t>txbrowns@gmail.com</t>
  </si>
  <si>
    <t>txlittlelady16@gmail.com</t>
  </si>
  <si>
    <t>Rachel Brown</t>
  </si>
  <si>
    <t>206 Goodson Way</t>
  </si>
  <si>
    <t>drsmhart@yahoo.com</t>
  </si>
  <si>
    <t>maddison2911@gmail.com</t>
  </si>
  <si>
    <t>Madison Hart</t>
  </si>
  <si>
    <t>710 S. Manila Rd.</t>
  </si>
  <si>
    <t>rachelshugartbrown@gmail.com</t>
  </si>
  <si>
    <t>Frances Brown</t>
  </si>
  <si>
    <t>2665 Gilbert Street</t>
  </si>
  <si>
    <t>julierhd@gmail.com</t>
  </si>
  <si>
    <t>ansleyrd@gmail.com</t>
  </si>
  <si>
    <t>Drenner</t>
  </si>
  <si>
    <t>Ansley Drenner</t>
  </si>
  <si>
    <t>1404 Rockcliff Rd</t>
  </si>
  <si>
    <t>kmariperrigan@hotmail.com</t>
  </si>
  <si>
    <t xml:space="preserve">Katherine </t>
  </si>
  <si>
    <t>Perrigan</t>
  </si>
  <si>
    <t>Katherine  Perrigan</t>
  </si>
  <si>
    <t>621 North 18th Street</t>
  </si>
  <si>
    <t>lkroth22@gmail.com</t>
  </si>
  <si>
    <t>bjroth99@gmail.com</t>
  </si>
  <si>
    <t>Britta Roth</t>
  </si>
  <si>
    <t>18719 376th St.</t>
  </si>
  <si>
    <t>Philip Roth</t>
  </si>
  <si>
    <t>Analise</t>
  </si>
  <si>
    <t>Analise Roth</t>
  </si>
  <si>
    <t>hdumas@uco.edu</t>
  </si>
  <si>
    <t>andrewhawk3000@gmail.com</t>
  </si>
  <si>
    <t>Andrew Hawkins</t>
  </si>
  <si>
    <t>kimsabwa@gmail.com</t>
  </si>
  <si>
    <t>dat81403@gmail.com</t>
  </si>
  <si>
    <t>236 S. 3rd St.</t>
  </si>
  <si>
    <t>#270</t>
  </si>
  <si>
    <t>soncpr@gmail.com</t>
  </si>
  <si>
    <t>tituslreyes12@gmail.com</t>
  </si>
  <si>
    <t>Titus Reyes</t>
  </si>
  <si>
    <t>1551 Brookfield Road</t>
  </si>
  <si>
    <t>Newtown</t>
  </si>
  <si>
    <t>sloanhome@verizon.net</t>
  </si>
  <si>
    <t>jjsloan84@gmail.com</t>
  </si>
  <si>
    <t>Joshua Sloan</t>
  </si>
  <si>
    <t>97 Valley View Way</t>
  </si>
  <si>
    <t>cirquemom@1791.com</t>
  </si>
  <si>
    <t>cirque_girl19@yahoo.com</t>
  </si>
  <si>
    <t>Whisner</t>
  </si>
  <si>
    <t>Kaitlyn Whisner</t>
  </si>
  <si>
    <t>10041 Bluff Street</t>
  </si>
  <si>
    <t>Banning</t>
  </si>
  <si>
    <t>bkstrickland@msn.com</t>
  </si>
  <si>
    <t>Brennan Strickland</t>
  </si>
  <si>
    <t>13125 Highline Drive</t>
  </si>
  <si>
    <t>jmorganent@gmail.com</t>
  </si>
  <si>
    <t>mkelsey2015@gmail.com</t>
  </si>
  <si>
    <t>Kelsey Morgan</t>
  </si>
  <si>
    <t>269 Cobblestone Lndg</t>
  </si>
  <si>
    <t>kalaangela@gmail.com</t>
  </si>
  <si>
    <t>paige.aubree@gmail.com</t>
  </si>
  <si>
    <t>Paige Anderson</t>
  </si>
  <si>
    <t>815 Greystone Pl.</t>
  </si>
  <si>
    <t>hollyarmour@gmail.com</t>
  </si>
  <si>
    <t>Colin Armour</t>
  </si>
  <si>
    <t>3375 New Haven Circle</t>
  </si>
  <si>
    <t>zcrazee@comcast.net</t>
  </si>
  <si>
    <t>zmailman14@gmail.com</t>
  </si>
  <si>
    <t>Zdravecky</t>
  </si>
  <si>
    <t>Liam Zdravecky</t>
  </si>
  <si>
    <t>1340 Woodmont Way</t>
  </si>
  <si>
    <t>koornneefL@asme.org</t>
  </si>
  <si>
    <t>valentineoo@live.com</t>
  </si>
  <si>
    <t>Jessie Koornneef</t>
  </si>
  <si>
    <t>jnlcollegebound@gmail.com</t>
  </si>
  <si>
    <t>jen.kuntze116@gmail.com</t>
  </si>
  <si>
    <t>JennaFaye</t>
  </si>
  <si>
    <t>Kuntze</t>
  </si>
  <si>
    <t>JennaFaye Kuntze</t>
  </si>
  <si>
    <t>223 Hickman Street</t>
  </si>
  <si>
    <t>qgbritt@gmail.com</t>
  </si>
  <si>
    <t>Quinn Brittain</t>
  </si>
  <si>
    <t>2338 Hathaway Rd.</t>
  </si>
  <si>
    <t>kaylenerunnergirl@gmail.com</t>
  </si>
  <si>
    <t>Alec Mathews</t>
  </si>
  <si>
    <t>808 Woodcliff Dr.</t>
  </si>
  <si>
    <t>Taylor Mathews</t>
  </si>
  <si>
    <t>jarrett.tribe@comcast.net</t>
  </si>
  <si>
    <t>lukecurtisjarrett@gmail.com</t>
  </si>
  <si>
    <t>Luke Jarrett</t>
  </si>
  <si>
    <t>lauraevansdragons@gmail.com</t>
  </si>
  <si>
    <t>Laura Evans</t>
  </si>
  <si>
    <t>613 17th St. N.</t>
  </si>
  <si>
    <t>sandy77@mydfn.net</t>
  </si>
  <si>
    <t>djoconnor99@gmail.com</t>
  </si>
  <si>
    <t>OConnor</t>
  </si>
  <si>
    <t>Derek OConnor</t>
  </si>
  <si>
    <t>1444 Upper Camas Rd</t>
  </si>
  <si>
    <t>PO Box 107</t>
  </si>
  <si>
    <t>philip.scott67@yahoo.com</t>
  </si>
  <si>
    <t>Philip Scott</t>
  </si>
  <si>
    <t>3924 Ranch Estates Drive</t>
  </si>
  <si>
    <t>dinaharper@yahoo.com</t>
  </si>
  <si>
    <t>Josie Harper</t>
  </si>
  <si>
    <t>4577 Hwy 258 South</t>
  </si>
  <si>
    <t>broncofans1@cox.net</t>
  </si>
  <si>
    <t>Schafer</t>
  </si>
  <si>
    <t>Hannah Schafer</t>
  </si>
  <si>
    <t>kristinakangas64@gmail.com</t>
  </si>
  <si>
    <t>Kristina Kangas</t>
  </si>
  <si>
    <t>13016 W. 78th St.</t>
  </si>
  <si>
    <t>kdyeroto@gmail.com</t>
  </si>
  <si>
    <t>Chrisd3310@gmail.com</t>
  </si>
  <si>
    <t>Dyer</t>
  </si>
  <si>
    <t>Christopher Dyer</t>
  </si>
  <si>
    <t>10212 creek meadow drive</t>
  </si>
  <si>
    <t>terry_pankratz1@yahoo.com</t>
  </si>
  <si>
    <t>chloeeepankratz@gmail.com</t>
  </si>
  <si>
    <t>Chloe Pankratz</t>
  </si>
  <si>
    <t>donna.dowling@k12.sd.us</t>
  </si>
  <si>
    <t>JD3407@k12.sd.us</t>
  </si>
  <si>
    <t>Justin Dowling</t>
  </si>
  <si>
    <t>amy.elliott@me.com</t>
  </si>
  <si>
    <t>elliottkat00@gmail.com</t>
  </si>
  <si>
    <t>Katherine Elliott</t>
  </si>
  <si>
    <t>ccsmco@croyle.net</t>
  </si>
  <si>
    <t>mcsmco@croyle.net</t>
  </si>
  <si>
    <t>Maria Croyle</t>
  </si>
  <si>
    <t>PO BOX 279</t>
  </si>
  <si>
    <t>susanamann@hotmail.com</t>
  </si>
  <si>
    <t>rschnitker@cox.net</t>
  </si>
  <si>
    <t>Schnitker</t>
  </si>
  <si>
    <t>Molly Schnitker</t>
  </si>
  <si>
    <t>948 Simms Avenue</t>
  </si>
  <si>
    <t>jghardiejr@gmail.com</t>
  </si>
  <si>
    <t>Gunter Hardie</t>
  </si>
  <si>
    <t>karen@davidsoncrew.com</t>
  </si>
  <si>
    <t>kendra@davidsoncrew.com</t>
  </si>
  <si>
    <t>Kendra Davidson</t>
  </si>
  <si>
    <t>1351 Tilton Drive</t>
  </si>
  <si>
    <t>moriahhaley34@gmail.com</t>
  </si>
  <si>
    <t>924 West Kathy Ct</t>
  </si>
  <si>
    <t>stobens@gmail.com</t>
  </si>
  <si>
    <t>rachel.tobens@gmail.com</t>
  </si>
  <si>
    <t>Rachel Tobens</t>
  </si>
  <si>
    <t>312 Stewart Street</t>
  </si>
  <si>
    <t>rpruett@dentonbible.org</t>
  </si>
  <si>
    <t>chloebug.pruett@att.net</t>
  </si>
  <si>
    <t>Chloe Pruett</t>
  </si>
  <si>
    <t>607 Sherry Ln</t>
  </si>
  <si>
    <t>Krugerville</t>
  </si>
  <si>
    <t>knlgaylor7@mac.com</t>
  </si>
  <si>
    <t>amichaelg99@gmail.com</t>
  </si>
  <si>
    <t>Austin Gaylor</t>
  </si>
  <si>
    <t>roush16@comcast.net</t>
  </si>
  <si>
    <t>joshuaholsapple@comcast.net</t>
  </si>
  <si>
    <t>Joshua Holsapple</t>
  </si>
  <si>
    <t>26815 Cobble Meadow Ct</t>
  </si>
  <si>
    <t>stephenholsapple@comcast.net</t>
  </si>
  <si>
    <t>jefnmo@yahoo.com</t>
  </si>
  <si>
    <t>alewisbird@gmail.com</t>
  </si>
  <si>
    <t>Abigail Lewis</t>
  </si>
  <si>
    <t>zlewisman1999@gmail.com</t>
  </si>
  <si>
    <t>Zachary Lewis</t>
  </si>
  <si>
    <t>christianed@cbcpierre.org</t>
  </si>
  <si>
    <t>morganoedekoven@yahoo.com</t>
  </si>
  <si>
    <t>Oedekoven</t>
  </si>
  <si>
    <t>Morgan Oedekoven</t>
  </si>
  <si>
    <t>2011 Vista Loop</t>
  </si>
  <si>
    <t>figuresk8erari@gmail.com</t>
  </si>
  <si>
    <t>19683 HWY 1804</t>
  </si>
  <si>
    <t>kris0119@pie.midco.net</t>
  </si>
  <si>
    <t>isaacarthurb@gmail.com</t>
  </si>
  <si>
    <t>Isaac Buchholtz</t>
  </si>
  <si>
    <t>snakropp98@yahoo.com</t>
  </si>
  <si>
    <t>Kropp</t>
  </si>
  <si>
    <t>Thomas Kropp</t>
  </si>
  <si>
    <t>2008 Coyote St</t>
  </si>
  <si>
    <t>ejscofield@me.com</t>
  </si>
  <si>
    <t>Hudson Scofield</t>
  </si>
  <si>
    <t>20 Polo Circle</t>
  </si>
  <si>
    <t>lonnypearson@cox.net</t>
  </si>
  <si>
    <t>drup.blackdoves@gmail.com</t>
  </si>
  <si>
    <t>Dru</t>
  </si>
  <si>
    <t>Dru Pearson</t>
  </si>
  <si>
    <t>2004 Bella Vista Drive</t>
  </si>
  <si>
    <t>3jjonesfamily@gmail.com</t>
  </si>
  <si>
    <t>Patricia Jones</t>
  </si>
  <si>
    <t>1052 Riviera Drive</t>
  </si>
  <si>
    <t>Calera</t>
  </si>
  <si>
    <t>frankjaime@comcast.net</t>
  </si>
  <si>
    <t>Jacob Jaime</t>
  </si>
  <si>
    <t>12508 Royal Winslow PL NE</t>
  </si>
  <si>
    <t>jessjones@bellsouth.net</t>
  </si>
  <si>
    <t>Jessica Jones</t>
  </si>
  <si>
    <t>mwgraber@sbcglobal.net</t>
  </si>
  <si>
    <t>jtgraber@sbcglobal.net</t>
  </si>
  <si>
    <t>Graber</t>
  </si>
  <si>
    <t>Jonathan Graber</t>
  </si>
  <si>
    <t>721 Bristol Ct</t>
  </si>
  <si>
    <t xml:space="preserve">Collin </t>
  </si>
  <si>
    <t>Collin  Graber</t>
  </si>
  <si>
    <t>721 bristol ct</t>
  </si>
  <si>
    <t>tnmwasson@gmail.com</t>
  </si>
  <si>
    <t>j.wasson99@gmail.com</t>
  </si>
  <si>
    <t>Wasson</t>
  </si>
  <si>
    <t>Julia Wasson</t>
  </si>
  <si>
    <t>1403 shady rest lane</t>
  </si>
  <si>
    <t>samigortmaker@gmail.com</t>
  </si>
  <si>
    <t>1610 Hilltop Dr.</t>
  </si>
  <si>
    <t>barb.hoekstra@dordt.edu</t>
  </si>
  <si>
    <t>zhoekstra18@unity.pvt.k12.ia.us</t>
  </si>
  <si>
    <t>Zoe Hoekstra</t>
  </si>
  <si>
    <t>Beatboxing2000@gmail.com</t>
  </si>
  <si>
    <t>Claire Hirschman</t>
  </si>
  <si>
    <t>167 W Main Street</t>
  </si>
  <si>
    <t>beachgirlster@gmail.com</t>
  </si>
  <si>
    <t>jaketschultz@gmail.com</t>
  </si>
  <si>
    <t>Jake Schultz</t>
  </si>
  <si>
    <t>4816 14th St N</t>
  </si>
  <si>
    <t>sarahannekimberlin@gmail.com</t>
  </si>
  <si>
    <t>Kimberlin</t>
  </si>
  <si>
    <t>Sarah Kimberlin</t>
  </si>
  <si>
    <t>HC 60 Box 221</t>
  </si>
  <si>
    <t>Lorialsdorf@gmail.com</t>
  </si>
  <si>
    <t>Emilyralsdorf@gmail.com</t>
  </si>
  <si>
    <t>Alsdorf</t>
  </si>
  <si>
    <t>Emily Alsdorf</t>
  </si>
  <si>
    <t>8186 Trap Club Rd.</t>
  </si>
  <si>
    <t>bdavidnichols@gmail.com</t>
  </si>
  <si>
    <t>Christian Nichols</t>
  </si>
  <si>
    <t>6215 Fox branch</t>
  </si>
  <si>
    <t>stevenmartens7@yahoo.com</t>
  </si>
  <si>
    <t xml:space="preserve">Kimberly </t>
  </si>
  <si>
    <t>Kimberly  Martens</t>
  </si>
  <si>
    <t>6706 Mill Springs Ct</t>
  </si>
  <si>
    <t>Jdnortham@yahoo.com</t>
  </si>
  <si>
    <t>Audreyn503@Yahoo.com</t>
  </si>
  <si>
    <t>Audrey Northam</t>
  </si>
  <si>
    <t>3313 Wycliff Ave</t>
  </si>
  <si>
    <t>ron@thebaltzers.com</t>
  </si>
  <si>
    <t>lukas@thebaltzers.com</t>
  </si>
  <si>
    <t>Baltzer</t>
  </si>
  <si>
    <t>Lukas Baltzer</t>
  </si>
  <si>
    <t>6926 Grand Prairie Dr</t>
  </si>
  <si>
    <t>lakecharlevoix@yahoo.com</t>
  </si>
  <si>
    <t>Moes</t>
  </si>
  <si>
    <t>Sterling Moes</t>
  </si>
  <si>
    <t>15326 Bonasse Ct Unit 703</t>
  </si>
  <si>
    <t>tristen.vandeveer@gmail.com</t>
  </si>
  <si>
    <t>Tristen</t>
  </si>
  <si>
    <t>Van De Veer</t>
  </si>
  <si>
    <t>Tristen Van De Veer</t>
  </si>
  <si>
    <t>5479 Lions Gate Lane</t>
  </si>
  <si>
    <t>ms2horselover@gmail.com</t>
  </si>
  <si>
    <t>Madaline</t>
  </si>
  <si>
    <t>Madaline Sifford</t>
  </si>
  <si>
    <t>P.O. Box 164</t>
  </si>
  <si>
    <t>dawn@meyerdanabraces.com</t>
  </si>
  <si>
    <t>cartermeyer67@gmail.com</t>
  </si>
  <si>
    <t>Carter Meyer</t>
  </si>
  <si>
    <t>4161 Penrose Place</t>
  </si>
  <si>
    <t>lukekampmeyer@gmail.com</t>
  </si>
  <si>
    <t>Luke Meyer</t>
  </si>
  <si>
    <t>ragsdill@icloud.com</t>
  </si>
  <si>
    <t>lukeragsdill31@gmail.com</t>
  </si>
  <si>
    <t>Ragsdill</t>
  </si>
  <si>
    <t>Luke Ragsdill</t>
  </si>
  <si>
    <t>404 Nash</t>
  </si>
  <si>
    <t>azellig@yahoo.com</t>
  </si>
  <si>
    <t>Ellianna</t>
  </si>
  <si>
    <t>Ellianna Loy</t>
  </si>
  <si>
    <t>annaghirsch@gmail.com</t>
  </si>
  <si>
    <t>anna Hirschman</t>
  </si>
  <si>
    <t>9291 fredonia stockton rd</t>
  </si>
  <si>
    <t>catherinegkennedy18@gmail.com</t>
  </si>
  <si>
    <t>Catherine Kennedy</t>
  </si>
  <si>
    <t>2975 Chili Avenue</t>
  </si>
  <si>
    <t>volchic@live.com</t>
  </si>
  <si>
    <t>jkwayman14@gmail.com</t>
  </si>
  <si>
    <t>Wayman</t>
  </si>
  <si>
    <t>Jackson Wayman</t>
  </si>
  <si>
    <t>173 Winding Glen Drive, NW</t>
  </si>
  <si>
    <t>cbish112@gmail.com</t>
  </si>
  <si>
    <t>17329 Wirt Street</t>
  </si>
  <si>
    <t>tykebischof@gmail.com</t>
  </si>
  <si>
    <t>Tyke</t>
  </si>
  <si>
    <t>Tyke Bischof</t>
  </si>
  <si>
    <t>paclaudel@gmail.com</t>
  </si>
  <si>
    <t>sodelacoustic@gmail.com</t>
  </si>
  <si>
    <t>Sophia Delgado</t>
  </si>
  <si>
    <t>rebeccadelgado316@gmail.com</t>
  </si>
  <si>
    <t>michaelohana6@gmail.com</t>
  </si>
  <si>
    <t>hawaiikoa@yahoo.com</t>
  </si>
  <si>
    <t>James Michael</t>
  </si>
  <si>
    <t>7902 Watervalley Road</t>
  </si>
  <si>
    <t>amandapaulo122@gmail.com</t>
  </si>
  <si>
    <t>Amanda Paulo</t>
  </si>
  <si>
    <t>22010 Meandering Springs Dr</t>
  </si>
  <si>
    <t>royandnancy@gmail.com</t>
  </si>
  <si>
    <t>Nathanael Costa</t>
  </si>
  <si>
    <t>ndibongo@alum.mit.edu</t>
  </si>
  <si>
    <t>danielndibongo@outlook.com</t>
  </si>
  <si>
    <t>Ndibongo</t>
  </si>
  <si>
    <t>Daniel Ndibongo</t>
  </si>
  <si>
    <t>10020 Academy Knolls</t>
  </si>
  <si>
    <t>kaylabeethe@gmail.com</t>
  </si>
  <si>
    <t>wade.vincent2016@gmail.com</t>
  </si>
  <si>
    <t>Wade Vincent</t>
  </si>
  <si>
    <t>81349 Rd. 444</t>
  </si>
  <si>
    <t>savannahbeethe@gmail.com</t>
  </si>
  <si>
    <t>Beethe</t>
  </si>
  <si>
    <t>Savannah Beethe</t>
  </si>
  <si>
    <t xml:space="preserve">105 S 18th Street </t>
  </si>
  <si>
    <t>mrtnfamily8@gmail.com</t>
  </si>
  <si>
    <t>thirdof6mrtns@gmail.com</t>
  </si>
  <si>
    <t>Martha Merten</t>
  </si>
  <si>
    <t>PO Box 74</t>
  </si>
  <si>
    <t>taylorjaydelowe@gmail.com</t>
  </si>
  <si>
    <t>Taylor Lowe</t>
  </si>
  <si>
    <t>1510 38th St. S.</t>
  </si>
  <si>
    <t>dbsmartbuilderarch@gmail.com</t>
  </si>
  <si>
    <t>Cheung</t>
  </si>
  <si>
    <t>Nathan Cheung</t>
  </si>
  <si>
    <t>Flat C</t>
  </si>
  <si>
    <t>9 Middle Lane</t>
  </si>
  <si>
    <t>marit@summit.org</t>
  </si>
  <si>
    <t>Marit</t>
  </si>
  <si>
    <t>Marit Byron</t>
  </si>
  <si>
    <t>RachelJdahlen@gmail.com</t>
  </si>
  <si>
    <t>Jdahlen54@gmail.com</t>
  </si>
  <si>
    <t>Dahlen</t>
  </si>
  <si>
    <t>Joy Dahlen</t>
  </si>
  <si>
    <t>8577 Brasher Rd.</t>
  </si>
  <si>
    <t>Pinson</t>
  </si>
  <si>
    <t>Katiecatherinejohnson@gmail.com</t>
  </si>
  <si>
    <t>Catherine Johnson</t>
  </si>
  <si>
    <t>3410 palm beach drive</t>
  </si>
  <si>
    <t>rolandpeeters@hotmail.com</t>
  </si>
  <si>
    <t>Belinda</t>
  </si>
  <si>
    <t>Veerkamp</t>
  </si>
  <si>
    <t>Belinda Veerkamp</t>
  </si>
  <si>
    <t>Bosruiterlei 10</t>
  </si>
  <si>
    <t>Kapellen</t>
  </si>
  <si>
    <t>Belgium</t>
  </si>
  <si>
    <t>laurenpadron@att.net</t>
  </si>
  <si>
    <t>Lauren Padron</t>
  </si>
  <si>
    <t>3902 NE 20th Cir.</t>
  </si>
  <si>
    <t>xmanbogaertab@gmail.com</t>
  </si>
  <si>
    <t>Bogaert</t>
  </si>
  <si>
    <t>Alexander Bogaert</t>
  </si>
  <si>
    <t>314 Wildcat St. NW</t>
  </si>
  <si>
    <t>Drayden@graceselah.com</t>
  </si>
  <si>
    <t>Drayden</t>
  </si>
  <si>
    <t>Drayden Rogers</t>
  </si>
  <si>
    <t>10028 Calava Court</t>
  </si>
  <si>
    <t>vburk1@gmail.com</t>
  </si>
  <si>
    <t>katelyn@theburkfamily.com</t>
  </si>
  <si>
    <t>Burk</t>
  </si>
  <si>
    <t>Katelyn Burk</t>
  </si>
  <si>
    <t>5474 Plumstead Drive</t>
  </si>
  <si>
    <t>kayla@theburkfamily.com</t>
  </si>
  <si>
    <t>Mikaela Burk</t>
  </si>
  <si>
    <t>naomimilam@gmail.com</t>
  </si>
  <si>
    <t>Adeline Milam</t>
  </si>
  <si>
    <t>1009 Stone Brook Lane</t>
  </si>
  <si>
    <t>Bremen</t>
  </si>
  <si>
    <t>ethanmilam13@gmail.com</t>
  </si>
  <si>
    <t>Ethan Milam</t>
  </si>
  <si>
    <t>jcratcliff@q.com</t>
  </si>
  <si>
    <t>aleah12rat@gmail.com</t>
  </si>
  <si>
    <t>Aleah Ratcliff</t>
  </si>
  <si>
    <t>15052 E. Utah Pl.</t>
  </si>
  <si>
    <t>dougcindyt@msn.com</t>
  </si>
  <si>
    <t>Teuscher</t>
  </si>
  <si>
    <t>Matthew Teuscher</t>
  </si>
  <si>
    <t xml:space="preserve">9442 Robinson Road </t>
  </si>
  <si>
    <t>Kuna</t>
  </si>
  <si>
    <t>mitzibyard@gmail.com</t>
  </si>
  <si>
    <t>tingtingbrom@yahoo.com</t>
  </si>
  <si>
    <t>Hannah Byard</t>
  </si>
  <si>
    <t>c3vencill@yahoo.com</t>
  </si>
  <si>
    <t>bryantvencill@yahoo.com</t>
  </si>
  <si>
    <t>Bryant Vencill</t>
  </si>
  <si>
    <t>Leah Vencill</t>
  </si>
  <si>
    <t>melinda.getzeal@gmail.com</t>
  </si>
  <si>
    <t>318 N 16th St</t>
  </si>
  <si>
    <t>toni.thomason@gmail.com</t>
  </si>
  <si>
    <t>gabriellethomason@gmail.com</t>
  </si>
  <si>
    <t>Gabrielle Thomason</t>
  </si>
  <si>
    <t>8427 Stone Village Ln</t>
  </si>
  <si>
    <t>engerclan@earthlink.net</t>
  </si>
  <si>
    <t>engerjulia@gmail.com</t>
  </si>
  <si>
    <t>Enger</t>
  </si>
  <si>
    <t>Julia Enger</t>
  </si>
  <si>
    <t>8416 Old Exchange Drive</t>
  </si>
  <si>
    <t>shanawalker99@gmail.com</t>
  </si>
  <si>
    <t>Shana</t>
  </si>
  <si>
    <t>Shana Walker</t>
  </si>
  <si>
    <t>167 Hillcrest Circle</t>
  </si>
  <si>
    <t>loriloohoo99@yahoo.com</t>
  </si>
  <si>
    <t>Lori Jeffries</t>
  </si>
  <si>
    <t>mikaelawidup@gmail.com</t>
  </si>
  <si>
    <t>Mikaela Widup</t>
  </si>
  <si>
    <t>robin@dscottgibsonlaw.com</t>
  </si>
  <si>
    <t>annagrace10th@gmail.com</t>
  </si>
  <si>
    <t>Anna Grace Gibson</t>
  </si>
  <si>
    <t>7 Canebrake Blvd</t>
  </si>
  <si>
    <t>bjmunger@threeriver.net</t>
  </si>
  <si>
    <t>Kylin</t>
  </si>
  <si>
    <t>Kylin Munger</t>
  </si>
  <si>
    <t>90374 439th Ave</t>
  </si>
  <si>
    <t>aconnell.bacon@gmail.com</t>
  </si>
  <si>
    <t>Ashley Connell</t>
  </si>
  <si>
    <t>89848 State Hwy 137</t>
  </si>
  <si>
    <t>editor@greeleygazette.com</t>
  </si>
  <si>
    <t>pirateradioman@gmail.com</t>
  </si>
  <si>
    <t>Mackenzi</t>
  </si>
  <si>
    <t>Mackenzi Reese</t>
  </si>
  <si>
    <t>becky@franzfoods.com</t>
  </si>
  <si>
    <t>bethmitchell24601@gmail.com</t>
  </si>
  <si>
    <t>Beth</t>
  </si>
  <si>
    <t>Beth Mitchell</t>
  </si>
  <si>
    <t>11903 State Route 17</t>
  </si>
  <si>
    <t>ritchies@consolidated.net</t>
  </si>
  <si>
    <t>Ritchie</t>
  </si>
  <si>
    <t>Josiah Ritchie</t>
  </si>
  <si>
    <t>403 east Bissell st</t>
  </si>
  <si>
    <t>Tower Hill</t>
  </si>
  <si>
    <t>idalee5@gmail.com</t>
  </si>
  <si>
    <t>tanabecks@yahoo.com</t>
  </si>
  <si>
    <t>Tana</t>
  </si>
  <si>
    <t>Tana Beckman</t>
  </si>
  <si>
    <t>patty@marshallmonroemagic.com</t>
  </si>
  <si>
    <t>hannah@mixonium.com</t>
  </si>
  <si>
    <t>Hannah Monroe</t>
  </si>
  <si>
    <t>PO Box 1089</t>
  </si>
  <si>
    <t>djfauth@intl-connect.com</t>
  </si>
  <si>
    <t>cortanaseyebrows@gmail.com</t>
  </si>
  <si>
    <t>Katrina Fauth</t>
  </si>
  <si>
    <t>1551 40th Ave Ct</t>
  </si>
  <si>
    <t>elliott.jolayne@gmail.com</t>
  </si>
  <si>
    <t>elliott.riley@me.com</t>
  </si>
  <si>
    <t>Riley Elliott</t>
  </si>
  <si>
    <t>555 Rivergate Ste., B2-246</t>
  </si>
  <si>
    <t>amo.rachelle@gmail.com</t>
  </si>
  <si>
    <t>amo.brayden@gmail.com</t>
  </si>
  <si>
    <t>Amo</t>
  </si>
  <si>
    <t>Brayden Amo</t>
  </si>
  <si>
    <t>165 Acco Drive</t>
  </si>
  <si>
    <t>Ogdensburg</t>
  </si>
  <si>
    <t>amo.blake@gmail.com</t>
  </si>
  <si>
    <t>Blake Amo</t>
  </si>
  <si>
    <t>therutland4@gmail.com</t>
  </si>
  <si>
    <t>shilohrut@gmail.com</t>
  </si>
  <si>
    <t>Rutland</t>
  </si>
  <si>
    <t>Megan Rutland</t>
  </si>
  <si>
    <t>9461 Hibiscus Drive</t>
  </si>
  <si>
    <t>scottheidy@gmail.com</t>
  </si>
  <si>
    <t>jensyn1999@gmail.com</t>
  </si>
  <si>
    <t>Jensyn</t>
  </si>
  <si>
    <t>Heidy</t>
  </si>
  <si>
    <t>Jensyn Heidy</t>
  </si>
  <si>
    <t>3303 Quail Run</t>
  </si>
  <si>
    <t>bethbenson6@yahoo.com</t>
  </si>
  <si>
    <t>calebbenson9@gmail.com</t>
  </si>
  <si>
    <t>Caleb Benson</t>
  </si>
  <si>
    <t>6684 Monterey Pine Loop</t>
  </si>
  <si>
    <t>ratherbeinparis@gmail.com</t>
  </si>
  <si>
    <t>Larson.KatherineAnne@gmail.com</t>
  </si>
  <si>
    <t>2058 Paradise Ridge Court</t>
  </si>
  <si>
    <t>lvandyke4@gmail.com</t>
  </si>
  <si>
    <t>audreyannav@gmail.com</t>
  </si>
  <si>
    <t>Audrey VanDyke</t>
  </si>
  <si>
    <t>1809 Pyrenees Street</t>
  </si>
  <si>
    <t>weezycraig@yahoo.com</t>
  </si>
  <si>
    <t>Aubrey Craig</t>
  </si>
  <si>
    <t>3748 County Road 7140</t>
  </si>
  <si>
    <t>gwynethgrace4@gmail.com</t>
  </si>
  <si>
    <t>shanec1013@gmail.com</t>
  </si>
  <si>
    <t>Rinner</t>
  </si>
  <si>
    <t>Shane Rinner</t>
  </si>
  <si>
    <t>1109 North Creek Dr.</t>
  </si>
  <si>
    <t>danicac1013@gmail.com</t>
  </si>
  <si>
    <t>danica</t>
  </si>
  <si>
    <t>rinner</t>
  </si>
  <si>
    <t>danica rinner</t>
  </si>
  <si>
    <t xml:space="preserve">1109 North Creek dr </t>
  </si>
  <si>
    <t>francesca.n.churchill@gmail.com</t>
  </si>
  <si>
    <t>Francesca Churchill</t>
  </si>
  <si>
    <t>2051 Biscayne Dr.</t>
  </si>
  <si>
    <t>madikoukos@gmail.com</t>
  </si>
  <si>
    <t>Koukos</t>
  </si>
  <si>
    <t>Madison Koukos</t>
  </si>
  <si>
    <t>10 Meadowlake Dr.</t>
  </si>
  <si>
    <t>Caleb Schmitt</t>
  </si>
  <si>
    <t>aubrey.schmitt99@gmail.com</t>
  </si>
  <si>
    <t>Aubrey Schmitt</t>
  </si>
  <si>
    <t>Lexiebarber27@gmail.com</t>
  </si>
  <si>
    <t>lexiebarber27@gmail.com</t>
  </si>
  <si>
    <t>Alexis Barber</t>
  </si>
  <si>
    <t>2928 State Route AB</t>
  </si>
  <si>
    <t>audra@moyerranch.com</t>
  </si>
  <si>
    <t>nathan@moyerranch.com</t>
  </si>
  <si>
    <t>Nathan Moyer</t>
  </si>
  <si>
    <t>43251 E Iliff Trail</t>
  </si>
  <si>
    <t>chriswinberry@sbcglobal.net</t>
  </si>
  <si>
    <t>Winberry</t>
  </si>
  <si>
    <t>Katherine Winberry</t>
  </si>
  <si>
    <t>386 CR 713</t>
  </si>
  <si>
    <t>ridermeyergirl@gmail.com</t>
  </si>
  <si>
    <t>ameyer1313@gmail.com</t>
  </si>
  <si>
    <t>Ashlyn Meyer</t>
  </si>
  <si>
    <t>6580 Nile Circle</t>
  </si>
  <si>
    <t>mandthe5cs@earthlink.net</t>
  </si>
  <si>
    <t>collin3.1415@gmail.com</t>
  </si>
  <si>
    <t>Collin McDonald</t>
  </si>
  <si>
    <t>1809 27th Ave NW</t>
  </si>
  <si>
    <t>zachmumma@gmail.com</t>
  </si>
  <si>
    <t>Zach Mumma</t>
  </si>
  <si>
    <t>StaffordStafford</t>
  </si>
  <si>
    <t>firstminot@yahoo.com</t>
  </si>
  <si>
    <t>matthewhinkel@yahoo.com</t>
  </si>
  <si>
    <t>Matthew Hinkel</t>
  </si>
  <si>
    <t>LaurenP@christchapelbc.org</t>
  </si>
  <si>
    <t>Aidan Hayes</t>
  </si>
  <si>
    <t>3701 Birchman Ave.</t>
  </si>
  <si>
    <t>Humphreys</t>
  </si>
  <si>
    <t>Ben Humphreys</t>
  </si>
  <si>
    <t>kaylynwilson@gmail.com</t>
  </si>
  <si>
    <t>ryan.e.wilson.00@gmail.com</t>
  </si>
  <si>
    <t>Ryan Wilson</t>
  </si>
  <si>
    <t>11258 W 27th Ave</t>
  </si>
  <si>
    <t>keithc5777@gmail.com</t>
  </si>
  <si>
    <t>Mitchel</t>
  </si>
  <si>
    <t>Mitchel Coker</t>
  </si>
  <si>
    <t>PO Box 825</t>
  </si>
  <si>
    <t>1011 Lake Drive East</t>
  </si>
  <si>
    <t>cdrburkholder@gmail.com</t>
  </si>
  <si>
    <t>cliveastic@yahoo.com</t>
  </si>
  <si>
    <t>Burkholder</t>
  </si>
  <si>
    <t>Grant Burkholder</t>
  </si>
  <si>
    <t>4546 Roxbury Dr</t>
  </si>
  <si>
    <t>the5campbells@gmail.com</t>
  </si>
  <si>
    <t>foster.shea@yahoo.com</t>
  </si>
  <si>
    <t>Lily Foster</t>
  </si>
  <si>
    <t>1118 Jefferson Dr West</t>
  </si>
  <si>
    <t>yancyrcampbell@gmail.com</t>
  </si>
  <si>
    <t>Yancy</t>
  </si>
  <si>
    <t>Yancy Campbell</t>
  </si>
  <si>
    <t>monnayassa@hotmail.com</t>
  </si>
  <si>
    <t>steven</t>
  </si>
  <si>
    <t>yassa</t>
  </si>
  <si>
    <t>steven yassa</t>
  </si>
  <si>
    <t>9865 Eaglet Way</t>
  </si>
  <si>
    <t>benrus01@icloud.com</t>
  </si>
  <si>
    <t>leighhale100@att.net</t>
  </si>
  <si>
    <t>willhale100@gmail.com</t>
  </si>
  <si>
    <t>William Hale</t>
  </si>
  <si>
    <t>9829 Makiposa Lane</t>
  </si>
  <si>
    <t>scott.rauth@icloud.com</t>
  </si>
  <si>
    <t>benrauthkc@gmail.com</t>
  </si>
  <si>
    <t>Benjamin T</t>
  </si>
  <si>
    <t>Rauth</t>
  </si>
  <si>
    <t>Benjamin T Rauth</t>
  </si>
  <si>
    <t>3120 Karnes Blvd.</t>
  </si>
  <si>
    <t>jerritchhart@gmail.com</t>
  </si>
  <si>
    <t>James Ritchhart</t>
  </si>
  <si>
    <t>10901 64th St.</t>
  </si>
  <si>
    <t>ginnypatterson@gmail.com</t>
  </si>
  <si>
    <t>bppatterson0916@gmail.com</t>
  </si>
  <si>
    <t>Brandon Patterson</t>
  </si>
  <si>
    <t xml:space="preserve">5517 78th Street </t>
  </si>
  <si>
    <t>chris_gardner@live.com</t>
  </si>
  <si>
    <t>Christopher Gardner</t>
  </si>
  <si>
    <t>8200 Maurice Street</t>
  </si>
  <si>
    <t>Shreveport</t>
  </si>
  <si>
    <t>fingel@frontier.com</t>
  </si>
  <si>
    <t>cfingel@gmail.com</t>
  </si>
  <si>
    <t>Caleb Fingel</t>
  </si>
  <si>
    <t>156 Ponder Point Dr</t>
  </si>
  <si>
    <t>goldkeyhi@gmail.com</t>
  </si>
  <si>
    <t>drew.miller176@gmail.com</t>
  </si>
  <si>
    <t>Drew Miller</t>
  </si>
  <si>
    <t>ltwommbptyol@cox.net</t>
  </si>
  <si>
    <t>katetbug98@gmail.com</t>
  </si>
  <si>
    <t xml:space="preserve">Katie </t>
  </si>
  <si>
    <t>Bleyl</t>
  </si>
  <si>
    <t>Katie  Bleyl</t>
  </si>
  <si>
    <t>5 Timber Wood Ln.</t>
  </si>
  <si>
    <t>Matthew Shelton</t>
  </si>
  <si>
    <t>scbjcole@gmail.com</t>
  </si>
  <si>
    <t>ccole1316@gmail.com</t>
  </si>
  <si>
    <t>Christiana Cole</t>
  </si>
  <si>
    <t>1022 Wyndham Drive</t>
  </si>
  <si>
    <t>kuehns@att.net</t>
  </si>
  <si>
    <t>danielwg76@boerneisd.net</t>
  </si>
  <si>
    <t>Gormley</t>
  </si>
  <si>
    <t>Daniel Gormley</t>
  </si>
  <si>
    <t>139 Lilly Creek</t>
  </si>
  <si>
    <t>emarieraines@gmail.com</t>
  </si>
  <si>
    <t>Raines</t>
  </si>
  <si>
    <t>Emma Raines</t>
  </si>
  <si>
    <t>225 Lakeview Dr</t>
  </si>
  <si>
    <t>Grapeland</t>
  </si>
  <si>
    <t>jkline@acscorporate.com</t>
  </si>
  <si>
    <t>Ryan Kline</t>
  </si>
  <si>
    <t>davehalldadof3@gmail.com</t>
  </si>
  <si>
    <t>Nicholas Hall</t>
  </si>
  <si>
    <t>PO Box 990</t>
  </si>
  <si>
    <t>Unionville</t>
  </si>
  <si>
    <t>bradandtonia@gmail.com</t>
  </si>
  <si>
    <t>Arend</t>
  </si>
  <si>
    <t>Darge</t>
  </si>
  <si>
    <t>Arend Darge</t>
  </si>
  <si>
    <t>2225 Chenowith Court</t>
  </si>
  <si>
    <t>RockfordRockford</t>
  </si>
  <si>
    <t>sjcrawford317@gmail.com</t>
  </si>
  <si>
    <t>multicolorededge@gmail.com</t>
  </si>
  <si>
    <t>Matthew Crawford</t>
  </si>
  <si>
    <t>312 Woodward Rd</t>
  </si>
  <si>
    <t>Rose Valley</t>
  </si>
  <si>
    <t>fboettcher04@live.com</t>
  </si>
  <si>
    <t>Marissa Boettcher</t>
  </si>
  <si>
    <t>5068 W Shorewood Drive</t>
  </si>
  <si>
    <t>Dunkirk</t>
  </si>
  <si>
    <t>daniel2sarna@gmail.com</t>
  </si>
  <si>
    <t>Sarna</t>
  </si>
  <si>
    <t>Daniel Sarna</t>
  </si>
  <si>
    <t>277 North Bay Dr</t>
  </si>
  <si>
    <t>Tmgjpg@gmail.com</t>
  </si>
  <si>
    <t>tmgjpg@gmail.com</t>
  </si>
  <si>
    <t>Goodin</t>
  </si>
  <si>
    <t>Ashley Goodin</t>
  </si>
  <si>
    <t>PO Box 99</t>
  </si>
  <si>
    <t>graceannerussell@gmail.com</t>
  </si>
  <si>
    <t>Grace Russell</t>
  </si>
  <si>
    <t>Smorales2@cox.net</t>
  </si>
  <si>
    <t>Jay Morales</t>
  </si>
  <si>
    <t>1305 E Fairbrook St</t>
  </si>
  <si>
    <t>alyakattack46@gmail.com</t>
  </si>
  <si>
    <t>Wester</t>
  </si>
  <si>
    <t>Kayla Wester</t>
  </si>
  <si>
    <t>8442 Rich Rd</t>
  </si>
  <si>
    <t>charlieherndon@gmail.com</t>
  </si>
  <si>
    <t>Laura Herndon</t>
  </si>
  <si>
    <t>tracysmiller@cox.net</t>
  </si>
  <si>
    <t>Ryan Miller</t>
  </si>
  <si>
    <t>paul_elizabeth@comcast.net</t>
  </si>
  <si>
    <t>hhannahbear@gmail.com</t>
  </si>
  <si>
    <t>Hannah Paul</t>
  </si>
  <si>
    <t>111 Etowah Drive SE</t>
  </si>
  <si>
    <t>ssanderson1127@gmail.com</t>
  </si>
  <si>
    <t>Skye</t>
  </si>
  <si>
    <t>Sanderson</t>
  </si>
  <si>
    <t>Skye Sanderson</t>
  </si>
  <si>
    <t>1309 East Brown St.</t>
  </si>
  <si>
    <t>Llano</t>
  </si>
  <si>
    <t>aaboreden@gmail.com</t>
  </si>
  <si>
    <t>Ashley-Anna</t>
  </si>
  <si>
    <t>Aboreden</t>
  </si>
  <si>
    <t>Ashley-Anna Aboreden</t>
  </si>
  <si>
    <t>8700 SW 181 Terrace</t>
  </si>
  <si>
    <t>kharlee1@gmail.com</t>
  </si>
  <si>
    <t>Bateman</t>
  </si>
  <si>
    <t>Ethan Bateman</t>
  </si>
  <si>
    <t>3605 Immel Dr.</t>
  </si>
  <si>
    <t>Rayann</t>
  </si>
  <si>
    <t>Johanson</t>
  </si>
  <si>
    <t>Rayann Johanson</t>
  </si>
  <si>
    <t>Lydia Simmons</t>
  </si>
  <si>
    <t>tstowe@embarqmail.com</t>
  </si>
  <si>
    <t>Stowe</t>
  </si>
  <si>
    <t>Faith Stowe</t>
  </si>
  <si>
    <t>robinshattler@gmail.com</t>
  </si>
  <si>
    <t>Robin</t>
  </si>
  <si>
    <t>Robin Shattler</t>
  </si>
  <si>
    <t>dmsdistefano@hotmail.com</t>
  </si>
  <si>
    <t>m.distefano1@icloud.com</t>
  </si>
  <si>
    <t>Marco</t>
  </si>
  <si>
    <t>Distefano</t>
  </si>
  <si>
    <t>Marco Distefano</t>
  </si>
  <si>
    <t>65 Carriage House Lane</t>
  </si>
  <si>
    <t>Wrentham</t>
  </si>
  <si>
    <t>kswanson@md.metrocast.net</t>
  </si>
  <si>
    <t>dane24swanson@icloud.com</t>
  </si>
  <si>
    <t>Dane Swanson</t>
  </si>
  <si>
    <t>12303 High Stakes Drive</t>
  </si>
  <si>
    <t>Reisterstown</t>
  </si>
  <si>
    <t>trr2236@verizon.net</t>
  </si>
  <si>
    <t>zakryan@verizon.net</t>
  </si>
  <si>
    <t>Zak</t>
  </si>
  <si>
    <t>Zak Ryan</t>
  </si>
  <si>
    <t>95 Park St</t>
  </si>
  <si>
    <t>Landry Edwards</t>
  </si>
  <si>
    <t>rick@forestecology.com</t>
  </si>
  <si>
    <t>elijah@forestecology.com</t>
  </si>
  <si>
    <t>Elijah Maiers</t>
  </si>
  <si>
    <t>Gage Scott</t>
  </si>
  <si>
    <t>Violinofme789@gmail.com</t>
  </si>
  <si>
    <t>Pagurko</t>
  </si>
  <si>
    <t>Elias Pagurko</t>
  </si>
  <si>
    <t xml:space="preserve">2828 St. Helens Dr. </t>
  </si>
  <si>
    <t xml:space="preserve">Kimball </t>
  </si>
  <si>
    <t>Clint Pagurko</t>
  </si>
  <si>
    <t>elichasefowler@gmail.com</t>
  </si>
  <si>
    <t>Eli Fowler</t>
  </si>
  <si>
    <t>rockinllcafe@gmail.com</t>
  </si>
  <si>
    <t>josigroves774@gmail.com</t>
  </si>
  <si>
    <t>josi</t>
  </si>
  <si>
    <t>groves</t>
  </si>
  <si>
    <t>josi groves</t>
  </si>
  <si>
    <t>32471  Road KK</t>
  </si>
  <si>
    <t>Carolinebradley11@gmail.com</t>
  </si>
  <si>
    <t>carolinebradley11@gmail.com</t>
  </si>
  <si>
    <t>125 Oriental Road</t>
  </si>
  <si>
    <t>Waco</t>
  </si>
  <si>
    <t>as3951@k12.sd.us</t>
  </si>
  <si>
    <t>Amber Sargent</t>
  </si>
  <si>
    <t>217 N Taylor Ave</t>
  </si>
  <si>
    <t>crist6314@hotmail.com</t>
  </si>
  <si>
    <t>Allison Crist</t>
  </si>
  <si>
    <t>drchris9@gmail.com</t>
  </si>
  <si>
    <t>mjcallender.ac@gmail.com</t>
  </si>
  <si>
    <t>Amanda Callender</t>
  </si>
  <si>
    <t>Kqhipps@yahoo.com</t>
  </si>
  <si>
    <t>Hipps</t>
  </si>
  <si>
    <t>Abby Hipps</t>
  </si>
  <si>
    <t>jjmjrobinson@yahoo.com</t>
  </si>
  <si>
    <t>Makenna</t>
  </si>
  <si>
    <t>Makenna Robinson</t>
  </si>
  <si>
    <t>595 Carswell Dr</t>
  </si>
  <si>
    <t>Nebo</t>
  </si>
  <si>
    <t>awesomergrays@gmail.com</t>
  </si>
  <si>
    <t>juju.balleting@gmail.com</t>
  </si>
  <si>
    <t>9850 S. Flower Ct.</t>
  </si>
  <si>
    <t>mikerika97@yahoo.com_OLD</t>
  </si>
  <si>
    <t>mikerika97@yahoo.com</t>
  </si>
  <si>
    <t>Rennick</t>
  </si>
  <si>
    <t>Monika Rennick</t>
  </si>
  <si>
    <t>685 Rt 3</t>
  </si>
  <si>
    <t>New Brunswick</t>
  </si>
  <si>
    <t>E6K 2T1</t>
  </si>
  <si>
    <t>jcl_goal@yahoo.com</t>
  </si>
  <si>
    <t>cortesh51@yahoo.com</t>
  </si>
  <si>
    <t>Hannah Cortes</t>
  </si>
  <si>
    <t>7056 Dorval Rd</t>
  </si>
  <si>
    <t>dgweaverfamily@gmail.com</t>
  </si>
  <si>
    <t>April Weaver</t>
  </si>
  <si>
    <t>115 Wexford Ridge Road</t>
  </si>
  <si>
    <t>Ruckersville</t>
  </si>
  <si>
    <t>Amy Weaver</t>
  </si>
  <si>
    <t>cnf1991@gmail.com</t>
  </si>
  <si>
    <t>micahc2000@gmail.com</t>
  </si>
  <si>
    <t>Micah Fernando</t>
  </si>
  <si>
    <t>jolari@flash.net</t>
  </si>
  <si>
    <t>skyrocker87@flash.net</t>
  </si>
  <si>
    <t>Benjamin Olari</t>
  </si>
  <si>
    <t>2812 Woodbury Blvd</t>
  </si>
  <si>
    <t>MARLA.B@COX.NET</t>
  </si>
  <si>
    <t>kayla.b@cox.net</t>
  </si>
  <si>
    <t>Kayla Bender</t>
  </si>
  <si>
    <t>8219 S. 68th E Ave</t>
  </si>
  <si>
    <t>h_pair@comcast.net</t>
  </si>
  <si>
    <t>carter_pair@comcast.net</t>
  </si>
  <si>
    <t>Carter Pair</t>
  </si>
  <si>
    <t>dmprez@ptd.net</t>
  </si>
  <si>
    <t>Preziosi</t>
  </si>
  <si>
    <t>Daniel Preziosi</t>
  </si>
  <si>
    <t>14 Royal Drive</t>
  </si>
  <si>
    <t>apott@pottfamily.net</t>
  </si>
  <si>
    <t>brennan@pottfamily.net</t>
  </si>
  <si>
    <t xml:space="preserve">Brennan </t>
  </si>
  <si>
    <t>Pott</t>
  </si>
  <si>
    <t>Brennan  Pott</t>
  </si>
  <si>
    <t>6455 Salk Rd</t>
  </si>
  <si>
    <t>luchslynx00@gmail.com</t>
  </si>
  <si>
    <t>Cameron Hoffman</t>
  </si>
  <si>
    <t>2722 Foxhill Dr</t>
  </si>
  <si>
    <t>bethhill@starpower.net</t>
  </si>
  <si>
    <t>superduckboy@gmail.com</t>
  </si>
  <si>
    <t>W Ethan</t>
  </si>
  <si>
    <t>W Ethan Hill</t>
  </si>
  <si>
    <t>w8coachinggal@gmail.com</t>
  </si>
  <si>
    <t>swardranch@yahoo.com</t>
  </si>
  <si>
    <t>Kassidy</t>
  </si>
  <si>
    <t>Kassidy Ward</t>
  </si>
  <si>
    <t>2868 Buffalo Trl.</t>
  </si>
  <si>
    <t>Flagstaff</t>
  </si>
  <si>
    <t>Dustin.Teschke@gmail.com</t>
  </si>
  <si>
    <t>teschke.jasmine@gmail.com</t>
  </si>
  <si>
    <t>Teschke</t>
  </si>
  <si>
    <t>Jasmine Teschke</t>
  </si>
  <si>
    <t>14 Winding Way</t>
  </si>
  <si>
    <t>Kitchener</t>
  </si>
  <si>
    <t>N2N1M1</t>
  </si>
  <si>
    <t>sennfam@hotmail.com</t>
  </si>
  <si>
    <t>emmamooring@outlook.com</t>
  </si>
  <si>
    <t>Mooring</t>
  </si>
  <si>
    <t>Emma Mooring</t>
  </si>
  <si>
    <t>130 Deanna Dr</t>
  </si>
  <si>
    <t>remjjm@gmail.com</t>
  </si>
  <si>
    <t>graham.dewing1@gmail.com</t>
  </si>
  <si>
    <t>dewing</t>
  </si>
  <si>
    <t>graham dewing</t>
  </si>
  <si>
    <t xml:space="preserve">689 lovet hill Rd. Rome PA </t>
  </si>
  <si>
    <t>elliana.dewing@gmail.com</t>
  </si>
  <si>
    <t>Elliana Dewing</t>
  </si>
  <si>
    <t xml:space="preserve">689 Lovet Hill Rd. </t>
  </si>
  <si>
    <t>jmp88keys@gmail.com</t>
  </si>
  <si>
    <t>Petrin</t>
  </si>
  <si>
    <t>Derek Petrin</t>
  </si>
  <si>
    <t>29 ASCOT DR</t>
  </si>
  <si>
    <t>LONG VALLEY</t>
  </si>
  <si>
    <t>07853-3660</t>
  </si>
  <si>
    <t>Mark Petrin</t>
  </si>
  <si>
    <t>sherikwilcox@yahoo.com</t>
  </si>
  <si>
    <t>artyjaw@gmail.com</t>
  </si>
  <si>
    <t>Jeri</t>
  </si>
  <si>
    <t>Jeri Wilcox</t>
  </si>
  <si>
    <t>cathi.abbott@gmail.com</t>
  </si>
  <si>
    <t>Luna.salbbit@gmail.com</t>
  </si>
  <si>
    <t>Kirsten Abbott</t>
  </si>
  <si>
    <t>14082 W Amherst Ct</t>
  </si>
  <si>
    <t>stewardgroup@gmail.com</t>
  </si>
  <si>
    <t>benjaminasteward@gmail.com</t>
  </si>
  <si>
    <t>Benjamin Steward</t>
  </si>
  <si>
    <t>242 TRAIL RIDGE RD</t>
  </si>
  <si>
    <t>50014-3531</t>
  </si>
  <si>
    <t>plbuford@verizon.net</t>
  </si>
  <si>
    <t>nathan.k.buford@gmail.com</t>
  </si>
  <si>
    <t>Nathan Buford</t>
  </si>
  <si>
    <t>2505 Timber Trail</t>
  </si>
  <si>
    <t>rjbudelman@live.com</t>
  </si>
  <si>
    <t>bonnie.budelman@gmail.com</t>
  </si>
  <si>
    <t>puddleglumsfamily@gmail.com</t>
  </si>
  <si>
    <t>Korban</t>
  </si>
  <si>
    <t>Cryder</t>
  </si>
  <si>
    <t>Korban Cryder</t>
  </si>
  <si>
    <t>22641 Knik Vista St</t>
  </si>
  <si>
    <t>gerrywood9663@gmail.com</t>
  </si>
  <si>
    <t>naomom528@gmail.com</t>
  </si>
  <si>
    <t>Fossa</t>
  </si>
  <si>
    <t>Naomi Fossa</t>
  </si>
  <si>
    <t>224 E Moorestown Rd</t>
  </si>
  <si>
    <t>Wind Gap</t>
  </si>
  <si>
    <t>jana.conn@conngroup.com</t>
  </si>
  <si>
    <t>carolyn.conn@conngroup.com</t>
  </si>
  <si>
    <t>Conn</t>
  </si>
  <si>
    <t>Carolyn Conn</t>
  </si>
  <si>
    <t>25559 Decker Prairie Rosehl</t>
  </si>
  <si>
    <t>drware77@gmail.com</t>
  </si>
  <si>
    <t>sware9165@gmail.com</t>
  </si>
  <si>
    <t>Sage Ware</t>
  </si>
  <si>
    <t>501 N. 5th St.</t>
  </si>
  <si>
    <t>lkinchen@onehopeunited.org</t>
  </si>
  <si>
    <t>kinchenkatelyn0930@gmail.com</t>
  </si>
  <si>
    <t>Katelyn Kinchen</t>
  </si>
  <si>
    <t>1351 Ponce De Leon Street</t>
  </si>
  <si>
    <t>iansandberg.ics@gmail.com</t>
  </si>
  <si>
    <t>Ian Sandberg</t>
  </si>
  <si>
    <t>1722 Ave B</t>
  </si>
  <si>
    <t>halvorson76@gmail.com</t>
  </si>
  <si>
    <t>Benjamin Halvorson</t>
  </si>
  <si>
    <t>9404 170th Street</t>
  </si>
  <si>
    <t>Glencoe</t>
  </si>
  <si>
    <t>Cameron Yates</t>
  </si>
  <si>
    <t>Wyss</t>
  </si>
  <si>
    <t>Madison Wyss</t>
  </si>
  <si>
    <t>abundantlife360@gmail.com</t>
  </si>
  <si>
    <t>39745 N lost legend dr</t>
  </si>
  <si>
    <t>Angelina DePiazza</t>
  </si>
  <si>
    <t>jawall1101@gmail.com</t>
  </si>
  <si>
    <t>Alex Wall</t>
  </si>
  <si>
    <t>3625 Hyde Park Avenue</t>
  </si>
  <si>
    <t>suss@mesh.net</t>
  </si>
  <si>
    <t>jacksonsuss7@gmail.com</t>
  </si>
  <si>
    <t>Suss</t>
  </si>
  <si>
    <t>Jackson Suss</t>
  </si>
  <si>
    <t>890 N Bend Rd</t>
  </si>
  <si>
    <t>deonj_21@yahoo.com</t>
  </si>
  <si>
    <t>Bayley</t>
  </si>
  <si>
    <t>Bayley Gonzales</t>
  </si>
  <si>
    <t>301 Rolling Hills Dr.</t>
  </si>
  <si>
    <t>daprinz@bellsouth.net</t>
  </si>
  <si>
    <t>debbyprinz99@gmail.com</t>
  </si>
  <si>
    <t>Debby</t>
  </si>
  <si>
    <t>Debby Prinz</t>
  </si>
  <si>
    <t>Marianne</t>
  </si>
  <si>
    <t>Terry</t>
  </si>
  <si>
    <t>Marianne Terry</t>
  </si>
  <si>
    <t>katierehmann@hotmail.com</t>
  </si>
  <si>
    <t>isabelcrehmann@hotmail.com</t>
  </si>
  <si>
    <t>Isabel Rehmann</t>
  </si>
  <si>
    <t>Eli Rehmann</t>
  </si>
  <si>
    <t>Kaelee</t>
  </si>
  <si>
    <t>Shero</t>
  </si>
  <si>
    <t>Kaelee Shero</t>
  </si>
  <si>
    <t>graceandtruthrus@gmail.com</t>
  </si>
  <si>
    <t>Havre</t>
  </si>
  <si>
    <t>Ryan Havre</t>
  </si>
  <si>
    <t>2731 Abedul St.</t>
  </si>
  <si>
    <t>ronjill_95@msn.com</t>
  </si>
  <si>
    <t>eph512godsgirl@gmail.com</t>
  </si>
  <si>
    <t>Juliana Sanchez</t>
  </si>
  <si>
    <t>kerc002@gmail.com</t>
  </si>
  <si>
    <t>Kerc002@gmail.com</t>
  </si>
  <si>
    <t>Kassia</t>
  </si>
  <si>
    <t>Kassia Rosales</t>
  </si>
  <si>
    <t>4801 NE Zac Lentz Pkwy. #2003</t>
  </si>
  <si>
    <t>cbgools@yahoo.com</t>
  </si>
  <si>
    <t>Goolsby</t>
  </si>
  <si>
    <t>Cassandra Goolsby</t>
  </si>
  <si>
    <t>3909 Zilda Way</t>
  </si>
  <si>
    <t>nate.ardle@cru.org</t>
  </si>
  <si>
    <t>andrewardle@gmail.com</t>
  </si>
  <si>
    <t>Ardle</t>
  </si>
  <si>
    <t>Andrew Ardle</t>
  </si>
  <si>
    <t>717 N Haines Cir</t>
  </si>
  <si>
    <t>douglasb63@yahoo.com</t>
  </si>
  <si>
    <t>Jack Douglas</t>
  </si>
  <si>
    <t>wesson.chris@gmail.com</t>
  </si>
  <si>
    <t>TEST-Aiden</t>
  </si>
  <si>
    <t>Wesson</t>
  </si>
  <si>
    <t>TEST-Aiden Wesson</t>
  </si>
  <si>
    <t>Test</t>
  </si>
  <si>
    <t>Test Byron</t>
  </si>
  <si>
    <t>Test 2</t>
  </si>
  <si>
    <t>Test 2 Byron</t>
  </si>
  <si>
    <t>Test 3</t>
  </si>
  <si>
    <t>Test 3 Byron</t>
  </si>
  <si>
    <t>cusvat@cookinletalaska.org</t>
  </si>
  <si>
    <t>Chanelle</t>
  </si>
  <si>
    <t>Usvat</t>
  </si>
  <si>
    <t>Chanelle Usvat</t>
  </si>
  <si>
    <t>36872 Bradford Road</t>
  </si>
  <si>
    <t>bdelon@cookinletalaska.org</t>
  </si>
  <si>
    <t>Breona</t>
  </si>
  <si>
    <t>Delon</t>
  </si>
  <si>
    <t>Breona Delon</t>
  </si>
  <si>
    <t>47490 St. Andrews St</t>
  </si>
  <si>
    <t>shollers@cookinletalaska.org</t>
  </si>
  <si>
    <t>Hollers</t>
  </si>
  <si>
    <t>Sarah Hollers</t>
  </si>
  <si>
    <t>48254 Prarie Lane</t>
  </si>
  <si>
    <t>grace.youlden@cru.org</t>
  </si>
  <si>
    <t>Blueeyeddreamer10@gmail.com</t>
  </si>
  <si>
    <t>Youlden</t>
  </si>
  <si>
    <t>Olivia Youlden</t>
  </si>
  <si>
    <t>3921 4th St S</t>
  </si>
  <si>
    <t>Moorhead</t>
  </si>
  <si>
    <t>christine.mathews@cru.org</t>
  </si>
  <si>
    <t>mandijmathews@gmail.com</t>
  </si>
  <si>
    <t>Amanda Mathews</t>
  </si>
  <si>
    <t>9045 Oak Commons Way</t>
  </si>
  <si>
    <t>samanthaarayy@gmail.com</t>
  </si>
  <si>
    <t>Scholte</t>
  </si>
  <si>
    <t>Samantha Scholte</t>
  </si>
  <si>
    <t>3715 W. Church Rd.</t>
  </si>
  <si>
    <t>kitchenconcerto@gmail.com</t>
  </si>
  <si>
    <t>Brynna</t>
  </si>
  <si>
    <t>Norenberg</t>
  </si>
  <si>
    <t>Brynna Norenberg</t>
  </si>
  <si>
    <t>500 Coventry Rd</t>
  </si>
  <si>
    <t>Hoyt Lakes</t>
  </si>
  <si>
    <t>cavett9@icloud.com</t>
  </si>
  <si>
    <t>rcrenae21@icloud.com</t>
  </si>
  <si>
    <t>Rachel Cavett</t>
  </si>
  <si>
    <t>160 Buck St</t>
  </si>
  <si>
    <t>campbells@campbellnetwork.net</t>
  </si>
  <si>
    <t>lydia@campbellnetwork.net</t>
  </si>
  <si>
    <t>Lydia Campbell</t>
  </si>
  <si>
    <t>2801 Wade Hampton Boulevard #104</t>
  </si>
  <si>
    <t>janderson@cookinletalaska.org</t>
  </si>
  <si>
    <t>James Anderson</t>
  </si>
  <si>
    <t>P.O. Box 1388</t>
  </si>
  <si>
    <t>bransonguest@gmail.com</t>
  </si>
  <si>
    <t>Branson Guest</t>
  </si>
  <si>
    <t>225 Whittlin Way</t>
  </si>
  <si>
    <t>abigailduhon@gmail.com</t>
  </si>
  <si>
    <t>Abigail Duhon</t>
  </si>
  <si>
    <t>livieanne00@gmail.com</t>
  </si>
  <si>
    <t>Ellivia</t>
  </si>
  <si>
    <t>Ellivia Shamburg</t>
  </si>
  <si>
    <t>7 Chatham Street</t>
  </si>
  <si>
    <t>gracegraham17@outlook.com</t>
  </si>
  <si>
    <t>Grace Graham</t>
  </si>
  <si>
    <t>37033 Birchwood St.</t>
  </si>
  <si>
    <t>jvervalin@q.com</t>
  </si>
  <si>
    <t>makingwealth1@gmail.com</t>
  </si>
  <si>
    <t>Brent Vervalin</t>
  </si>
  <si>
    <t>ahuiskes1@gmail.com</t>
  </si>
  <si>
    <t>helen.huiskes@gmail.com</t>
  </si>
  <si>
    <t>Huiskes</t>
  </si>
  <si>
    <t>Helen Huiskes</t>
  </si>
  <si>
    <t>16339 NW Graf</t>
  </si>
  <si>
    <t>livin_in_grace@hotmail.com</t>
  </si>
  <si>
    <t>gracelizabeth2319@gmail.com</t>
  </si>
  <si>
    <t>Baack</t>
  </si>
  <si>
    <t>Grace Baack</t>
  </si>
  <si>
    <t>1626 Nightingale ln.</t>
  </si>
  <si>
    <t>grantdlykins@gmail.com</t>
  </si>
  <si>
    <t>Grant Lykins</t>
  </si>
  <si>
    <t>4785 Stillwell Drive</t>
  </si>
  <si>
    <t>ted.ferry.rhdj@statefarm.com</t>
  </si>
  <si>
    <t>ferryjosie@gmail.com</t>
  </si>
  <si>
    <t>Josephine Ferry</t>
  </si>
  <si>
    <t>355 Hoyt St SE</t>
  </si>
  <si>
    <t>mckennabogus@gmail.com</t>
  </si>
  <si>
    <t>McKenna Bogus</t>
  </si>
  <si>
    <t>47341 806th Road</t>
  </si>
  <si>
    <t>47341 806th RD</t>
  </si>
  <si>
    <t>bhammond@cookinletalaska.org</t>
  </si>
  <si>
    <t>Brianna Hammond</t>
  </si>
  <si>
    <t>41125 Sutherlin</t>
  </si>
  <si>
    <t>tom@creelpump.com</t>
  </si>
  <si>
    <t>bricecreel13@gmail.com</t>
  </si>
  <si>
    <t>Brice</t>
  </si>
  <si>
    <t>Creel</t>
  </si>
  <si>
    <t>Brice Creel</t>
  </si>
  <si>
    <t>111 Lakeview Street</t>
  </si>
  <si>
    <t>sandra_hawkins@yahoo.com</t>
  </si>
  <si>
    <t>poppyhawkins@icloud.com</t>
  </si>
  <si>
    <t>Poppy</t>
  </si>
  <si>
    <t>Poppy Hawkins</t>
  </si>
  <si>
    <t>The Beach House</t>
  </si>
  <si>
    <t>4 Strand Way</t>
  </si>
  <si>
    <t>Bognor Regis</t>
  </si>
  <si>
    <t>West Sussex</t>
  </si>
  <si>
    <t>PO22 7LH</t>
  </si>
  <si>
    <t>szhowell2000@gmail.com</t>
  </si>
  <si>
    <t>Sierra Howell</t>
  </si>
  <si>
    <t>1192 Constitution Drive</t>
  </si>
  <si>
    <t>carhailey@hotmail.com</t>
  </si>
  <si>
    <t>Faith Hailey</t>
  </si>
  <si>
    <t>4375 Blaine Rodad</t>
  </si>
  <si>
    <t>New Plymouth</t>
  </si>
  <si>
    <t>melmcleod@bellsouth.net</t>
  </si>
  <si>
    <t>Lana</t>
  </si>
  <si>
    <t>Lana McLeod</t>
  </si>
  <si>
    <t>scott.gendron@mnk.com</t>
  </si>
  <si>
    <t>Gendron</t>
  </si>
  <si>
    <t>Ashley Gendron</t>
  </si>
  <si>
    <t>7637 Frontier Drive</t>
  </si>
  <si>
    <t>blwakeman@gmail.com</t>
  </si>
  <si>
    <t>sjwakeman21@gmail.com</t>
  </si>
  <si>
    <t>Wakeman</t>
  </si>
  <si>
    <t>Savannah Wakeman</t>
  </si>
  <si>
    <t>20345 Stewart Rd.</t>
  </si>
  <si>
    <t>thehammersammer01@gmail.com</t>
  </si>
  <si>
    <t>Samuel LeMaster</t>
  </si>
  <si>
    <t>cecelittle@icloud.com</t>
  </si>
  <si>
    <t>CeCe</t>
  </si>
  <si>
    <t>CeCe Little</t>
  </si>
  <si>
    <t>5012 Arden Ave. S.</t>
  </si>
  <si>
    <t>mel.o.shing@gmail.com</t>
  </si>
  <si>
    <t>imhman10@gmail.com</t>
  </si>
  <si>
    <t>Harrison Shingler</t>
  </si>
  <si>
    <t>5257 W Frier Dr</t>
  </si>
  <si>
    <t>meyerstx@att.net</t>
  </si>
  <si>
    <t>chjmeyers@gmail.com</t>
  </si>
  <si>
    <t>Christopher Meyers</t>
  </si>
  <si>
    <t>6200 Overbrook Lane</t>
  </si>
  <si>
    <t>valentino.esposito@gmail.com</t>
  </si>
  <si>
    <t>Valentino</t>
  </si>
  <si>
    <t>Valentino Esposito</t>
  </si>
  <si>
    <t>joshua.tharp@gmail.com</t>
  </si>
  <si>
    <t>elizabeth.tharp5@gmail.com</t>
  </si>
  <si>
    <t>Tharp</t>
  </si>
  <si>
    <t>Elizabeth Tharp</t>
  </si>
  <si>
    <t>940 Cameron Ct.</t>
  </si>
  <si>
    <t>morewittyC@juno.com</t>
  </si>
  <si>
    <t>crafty.birdgirl@gmail.com</t>
  </si>
  <si>
    <t>Whittemore</t>
  </si>
  <si>
    <t>Ruth Whittemore</t>
  </si>
  <si>
    <t>11720 Jackson Trail West</t>
  </si>
  <si>
    <t>Spotsylvania</t>
  </si>
  <si>
    <t>onlocation@pobox.com</t>
  </si>
  <si>
    <t>legomasterzak@gmail.com</t>
  </si>
  <si>
    <t>Zak Scott</t>
  </si>
  <si>
    <t>8095 S Zephyr Way</t>
  </si>
  <si>
    <t>dh@ywc-us.com</t>
  </si>
  <si>
    <t>Mason Hinckley</t>
  </si>
  <si>
    <t>5522 Vista Meadow</t>
  </si>
  <si>
    <t>maddiehebert20@gmail.com</t>
  </si>
  <si>
    <t>Madeleine Hebert</t>
  </si>
  <si>
    <t>855 Snow Hill Rd</t>
  </si>
  <si>
    <t>Oakdale</t>
  </si>
  <si>
    <t>moonharborcraftsmen2005@gmail.com</t>
  </si>
  <si>
    <t>rosestitches@gmail.com</t>
  </si>
  <si>
    <t>Joshua Rose</t>
  </si>
  <si>
    <t>abby@rfauth.com</t>
  </si>
  <si>
    <t>Abigail Fauth</t>
  </si>
  <si>
    <t>buholoco@sbcglobal.net</t>
  </si>
  <si>
    <t>sangerhausen</t>
  </si>
  <si>
    <t>michael sangerhausen</t>
  </si>
  <si>
    <t>14401 coyote trail dr.</t>
  </si>
  <si>
    <t>el paso</t>
  </si>
  <si>
    <t>jamesbradleyaucoin@gmail.com</t>
  </si>
  <si>
    <t>alexanderbradleyaucoin@yahoo.com</t>
  </si>
  <si>
    <t>Alexander Aucoin</t>
  </si>
  <si>
    <t>4364 Oxford Avenue</t>
  </si>
  <si>
    <t>perdonada777@sbcglobal.net</t>
  </si>
  <si>
    <t>christian sangerhausen</t>
  </si>
  <si>
    <t>wacoshipley@hotmail.com</t>
  </si>
  <si>
    <t>coleshipley73@gmail.com</t>
  </si>
  <si>
    <t>Shipley</t>
  </si>
  <si>
    <t>Cole Shipley</t>
  </si>
  <si>
    <t>4638 Tupello St.</t>
  </si>
  <si>
    <t>mmljarom@netzero.net</t>
  </si>
  <si>
    <t>sandiflora0@gmail.com</t>
  </si>
  <si>
    <t>Arkenau</t>
  </si>
  <si>
    <t>Alessandra Arkenau</t>
  </si>
  <si>
    <t>296 Dawson Farm Lane</t>
  </si>
  <si>
    <t>Berkeley Springs</t>
  </si>
  <si>
    <t>drew@montanastar.net</t>
  </si>
  <si>
    <t>firstoftheclan@gmail.com</t>
  </si>
  <si>
    <t>Starnes</t>
  </si>
  <si>
    <t>Isabel Starnes</t>
  </si>
  <si>
    <t>12418 Exbury</t>
  </si>
  <si>
    <t>naomi.dysinger@gmail.com</t>
  </si>
  <si>
    <t>Naomi Dysinger</t>
  </si>
  <si>
    <t>kent929@bellsouth.net</t>
  </si>
  <si>
    <t>Kent Morris</t>
  </si>
  <si>
    <t>979 Thompson Road</t>
  </si>
  <si>
    <t>Twom1012@gmail.com</t>
  </si>
  <si>
    <t>Trenton Womble</t>
  </si>
  <si>
    <t>7112 Rowland Av.e</t>
  </si>
  <si>
    <t>kevinl@ptd.net</t>
  </si>
  <si>
    <t>colelownsbery@gmail.com</t>
  </si>
  <si>
    <t>Lownsbery</t>
  </si>
  <si>
    <t>Cole Lownsbery</t>
  </si>
  <si>
    <t>102 Swarthmore Drive</t>
  </si>
  <si>
    <t>wrightdesign@yahoo.com</t>
  </si>
  <si>
    <t>mrfinnwright@gmail.com</t>
  </si>
  <si>
    <t>Phineas</t>
  </si>
  <si>
    <t>Phineas Wright</t>
  </si>
  <si>
    <t>4246 Blue Major Dr</t>
  </si>
  <si>
    <t>sunshinegirl@indy.rr.com</t>
  </si>
  <si>
    <t>Geneva Hanagan</t>
  </si>
  <si>
    <t>4963 HIllcrest Court</t>
  </si>
  <si>
    <t>nc10999@yahoo.com</t>
  </si>
  <si>
    <t>Kcmanutd10@gmail.com</t>
  </si>
  <si>
    <t>Keegan Cassidy</t>
  </si>
  <si>
    <t>25 Old Indian Head Road</t>
  </si>
  <si>
    <t>Commack</t>
  </si>
  <si>
    <t>ecampo1@binghamton.edu</t>
  </si>
  <si>
    <t>Emanuel</t>
  </si>
  <si>
    <t>Campo</t>
  </si>
  <si>
    <t>Emanuel Campo</t>
  </si>
  <si>
    <t>9 Hardwick Drive</t>
  </si>
  <si>
    <t>South Huntington</t>
  </si>
  <si>
    <t>sallyrhoffman@gmail.com</t>
  </si>
  <si>
    <t>Sally Hoffman</t>
  </si>
  <si>
    <t>260 Poteat Place</t>
  </si>
  <si>
    <t>terryschneid@hotmail.com</t>
  </si>
  <si>
    <t>julia.schneider.vienna@gmail.com</t>
  </si>
  <si>
    <t>Julia Schneider</t>
  </si>
  <si>
    <t>4601 Oakdale Dr</t>
  </si>
  <si>
    <t>thirdflame@outlook.com</t>
  </si>
  <si>
    <t>Brian Cardinale</t>
  </si>
  <si>
    <t>bskmgratwick@gmail.com</t>
  </si>
  <si>
    <t>kara.gratwick@gmail.com</t>
  </si>
  <si>
    <t>Gratwick</t>
  </si>
  <si>
    <t>Kara Gratwick</t>
  </si>
  <si>
    <t>8525 N Harrison CT</t>
  </si>
  <si>
    <t>freddymansour10@gmail.com</t>
  </si>
  <si>
    <t>Freddy</t>
  </si>
  <si>
    <t>Mansour</t>
  </si>
  <si>
    <t>Freddy Mansour</t>
  </si>
  <si>
    <t>356 Neponset St</t>
  </si>
  <si>
    <t>Apt. H</t>
  </si>
  <si>
    <t>bethanydeitz@gmail.com</t>
  </si>
  <si>
    <t>brandon</t>
  </si>
  <si>
    <t>darnall</t>
  </si>
  <si>
    <t>brandon darnall</t>
  </si>
  <si>
    <t>110 nightbird way</t>
  </si>
  <si>
    <t>stephens city</t>
  </si>
  <si>
    <t>malones@malonepeople.net</t>
  </si>
  <si>
    <t>lydia@malonepeople.net</t>
  </si>
  <si>
    <t>Lydia Malone</t>
  </si>
  <si>
    <t>3429 18th St.</t>
  </si>
  <si>
    <t>mwraggio@gmail.com</t>
  </si>
  <si>
    <t>rachel@raggios.com</t>
  </si>
  <si>
    <t>Raggio</t>
  </si>
  <si>
    <t>Rachel Raggio</t>
  </si>
  <si>
    <t>7617 Frontier Drive</t>
  </si>
  <si>
    <t>kal4scout@gmail.com</t>
  </si>
  <si>
    <t>Kenneth Lane</t>
  </si>
  <si>
    <t>trey_jeanne_griffin@yahoo.com</t>
  </si>
  <si>
    <t>laura.griffin16@yahoo.com</t>
  </si>
  <si>
    <t>Laura Griffin</t>
  </si>
  <si>
    <t>19854 County Road 324</t>
  </si>
  <si>
    <t>coletteandkirk@gmail.com</t>
  </si>
  <si>
    <t>Coletteandkirk@gmail.com</t>
  </si>
  <si>
    <t>Walker Steele</t>
  </si>
  <si>
    <t>5116 Cordoniz St NW</t>
  </si>
  <si>
    <t>Matsumoto</t>
  </si>
  <si>
    <t>Gabriel Matsumoto</t>
  </si>
  <si>
    <t>Houellemont</t>
  </si>
  <si>
    <t>Christian Houellemont</t>
  </si>
  <si>
    <t>64 Miguel A Monclus</t>
  </si>
  <si>
    <t>Res Shaddai II Apto 301</t>
  </si>
  <si>
    <t>Santo Domngo</t>
  </si>
  <si>
    <t>fitzharrisfamily@frontier.com</t>
  </si>
  <si>
    <t>fitzharriskeenan@gmail.com</t>
  </si>
  <si>
    <t>Fitzharris</t>
  </si>
  <si>
    <t>Keenan Fitzharris</t>
  </si>
  <si>
    <t>8531 Castle Creek Drive</t>
  </si>
  <si>
    <t>hannah.jo.mcclurg@gmail.com</t>
  </si>
  <si>
    <t>Hannah McClurg</t>
  </si>
  <si>
    <t>Selman</t>
  </si>
  <si>
    <t>Lorena Selman</t>
  </si>
  <si>
    <t>Res. Shaddai II Apt 301</t>
  </si>
  <si>
    <t>Ernesto</t>
  </si>
  <si>
    <t>Raful</t>
  </si>
  <si>
    <t>Ernesto Raful</t>
  </si>
  <si>
    <t>hangdude@indy.rr.com</t>
  </si>
  <si>
    <t>Isaac Hanagan</t>
  </si>
  <si>
    <t>4963 Hillcrest Court</t>
  </si>
  <si>
    <t>Vilalta</t>
  </si>
  <si>
    <t>Abraham Vilalta</t>
  </si>
  <si>
    <t>Dume</t>
  </si>
  <si>
    <t>Manuel Dume</t>
  </si>
  <si>
    <t>Res. Shaddai Apt 301</t>
  </si>
  <si>
    <t>cestrella31@hotmail.com</t>
  </si>
  <si>
    <t>Deborah Fermin</t>
  </si>
  <si>
    <t>64 Miguel Angel Moncl√∫s</t>
  </si>
  <si>
    <t>plarson4703@comcast.net</t>
  </si>
  <si>
    <t>jljade5@gmail.com</t>
  </si>
  <si>
    <t>Juliana Larson</t>
  </si>
  <si>
    <t>4703 Middle Road</t>
  </si>
  <si>
    <t>Ana</t>
  </si>
  <si>
    <t>Borrell</t>
  </si>
  <si>
    <t>Ana Borrell</t>
  </si>
  <si>
    <t>Res. Shaddai II Apto 301</t>
  </si>
  <si>
    <t>Jose Daniel</t>
  </si>
  <si>
    <t>Hasbun</t>
  </si>
  <si>
    <t>Jose Daniel Hasbun</t>
  </si>
  <si>
    <t>mark.prewitt@comcast.net</t>
  </si>
  <si>
    <t>Chloe Prewitt</t>
  </si>
  <si>
    <t>10961 Independence Dr</t>
  </si>
  <si>
    <t>graciedwards98@gmail.com</t>
  </si>
  <si>
    <t>1709 Hayshed rd</t>
  </si>
  <si>
    <t>charlotte</t>
  </si>
  <si>
    <t>mark.graves0@gmail.com</t>
  </si>
  <si>
    <t>jake.graves0@gmail.com</t>
  </si>
  <si>
    <t>Jake Graves</t>
  </si>
  <si>
    <t>7244 Sawyer Pike</t>
  </si>
  <si>
    <t>lrasbey@gmail.com</t>
  </si>
  <si>
    <t>Lrasbey@gmail.com</t>
  </si>
  <si>
    <t>Lukas Rasberry</t>
  </si>
  <si>
    <t>1899 Chatham Place</t>
  </si>
  <si>
    <t>KathyIke@aol.com</t>
  </si>
  <si>
    <t>KelseyIke2000@gmail.com</t>
  </si>
  <si>
    <t>Eichelberger</t>
  </si>
  <si>
    <t>Kelsey Eichelberger</t>
  </si>
  <si>
    <t>9621 Sycamore Glen Trail</t>
  </si>
  <si>
    <t>kimpossiblesimpson@gmail.com</t>
  </si>
  <si>
    <t>michellesimpson622@gmail.com</t>
  </si>
  <si>
    <t>Michelle Simpson</t>
  </si>
  <si>
    <t>10106 Fox Cove Road</t>
  </si>
  <si>
    <t>dhkvale@gmail.com</t>
  </si>
  <si>
    <t>sambomizmo@gmail.com</t>
  </si>
  <si>
    <t>Kvale</t>
  </si>
  <si>
    <t>Samuel Kvale</t>
  </si>
  <si>
    <t>317 Circle Dr SW</t>
  </si>
  <si>
    <t>raedcardenas@gmail.com</t>
  </si>
  <si>
    <t>elijahscardenas@gmail.com</t>
  </si>
  <si>
    <t>Elijah Cardenas</t>
  </si>
  <si>
    <t>1720 Cedar Elm Drive</t>
  </si>
  <si>
    <t>Mirandaklane15@gmail.com</t>
  </si>
  <si>
    <t>Miranda Lane</t>
  </si>
  <si>
    <t>kndeberg@gmail.com</t>
  </si>
  <si>
    <t>sarahdeberg@gmail.com</t>
  </si>
  <si>
    <t>DeBerg</t>
  </si>
  <si>
    <t>Sarah DeBerg</t>
  </si>
  <si>
    <t>921 N 3rd St</t>
  </si>
  <si>
    <t>jalynncsmith@hotmail.com</t>
  </si>
  <si>
    <t>faithkammeronsmith@gmail.com</t>
  </si>
  <si>
    <t>Faith Smith</t>
  </si>
  <si>
    <t>2719 Crest Ridge Drive</t>
  </si>
  <si>
    <t>annikabarron222@gmail.com</t>
  </si>
  <si>
    <t>Annika Barron</t>
  </si>
  <si>
    <t>805 E Elm St</t>
  </si>
  <si>
    <t>viannycha@gmail.com</t>
  </si>
  <si>
    <t>Vianny</t>
  </si>
  <si>
    <t>Vianny Chavez</t>
  </si>
  <si>
    <t>12253 6th street</t>
  </si>
  <si>
    <t>jaidy_chavez@yahoo.com</t>
  </si>
  <si>
    <t>Jaidy</t>
  </si>
  <si>
    <t>Jaidy Chavez</t>
  </si>
  <si>
    <t>bebemiqui@hotmail.com</t>
  </si>
  <si>
    <t>daughterbolt@gmail.com</t>
  </si>
  <si>
    <t>Ruth Bolt</t>
  </si>
  <si>
    <t>11660 w. 73rd Pl.</t>
  </si>
  <si>
    <t>florinfaur@yahoo.com</t>
  </si>
  <si>
    <t>paulafaur@gmail.com</t>
  </si>
  <si>
    <t>Paula Faur</t>
  </si>
  <si>
    <t>49 Birdsong Cv</t>
  </si>
  <si>
    <t>lauren@thefoxden.org</t>
  </si>
  <si>
    <t>Lauren Fox</t>
  </si>
  <si>
    <t>gfarris1@carolina.rr.com</t>
  </si>
  <si>
    <t>Farrwil11674@gastonchristian.org</t>
  </si>
  <si>
    <t>Farris</t>
  </si>
  <si>
    <t>William Farris</t>
  </si>
  <si>
    <t>905 Toncin Ave</t>
  </si>
  <si>
    <t>Bessemer City</t>
  </si>
  <si>
    <t>kevint500@gmail.com</t>
  </si>
  <si>
    <t>tugwbet12686@gastonchristian.org</t>
  </si>
  <si>
    <t>Tugwell</t>
  </si>
  <si>
    <t>Bethany Tugwell</t>
  </si>
  <si>
    <t>4820 Bright Road</t>
  </si>
  <si>
    <t>stephenquincy00@gmail.com</t>
  </si>
  <si>
    <t>Stephen Johnston</t>
  </si>
  <si>
    <t>lojomcgovern@gmail.com</t>
  </si>
  <si>
    <t>addyjotharp@gmail.com</t>
  </si>
  <si>
    <t>Adriana Tharp</t>
  </si>
  <si>
    <t>16105 Woolwine Road</t>
  </si>
  <si>
    <t>wegeln@carolina.rr.com</t>
  </si>
  <si>
    <t>Egeln</t>
  </si>
  <si>
    <t>Molly Egeln</t>
  </si>
  <si>
    <t>myhban2bz@yahoo.com</t>
  </si>
  <si>
    <t>lorenzo102899@gmail.com</t>
  </si>
  <si>
    <t>Lorenzo</t>
  </si>
  <si>
    <t>Lorenzo Smith</t>
  </si>
  <si>
    <t>2141 Aiken Way</t>
  </si>
  <si>
    <t>El Dorado Hills</t>
  </si>
  <si>
    <t>emmargrothaus@gmail.com</t>
  </si>
  <si>
    <t>EmmaRose</t>
  </si>
  <si>
    <t>Grothaus</t>
  </si>
  <si>
    <t>EmmaRose Grothaus</t>
  </si>
  <si>
    <t>8049 Nob Hill Rd.</t>
  </si>
  <si>
    <t>Rachel Becker</t>
  </si>
  <si>
    <t>sb07677@georgiasouthern.edu</t>
  </si>
  <si>
    <t>Serge</t>
  </si>
  <si>
    <t>Belemkoagba</t>
  </si>
  <si>
    <t>Serge Belemkoagba</t>
  </si>
  <si>
    <t>223 B Vista Circle</t>
  </si>
  <si>
    <t>Statesboro</t>
  </si>
  <si>
    <t>sallystaub7@gmail.com</t>
  </si>
  <si>
    <t>calerstaub7@gmail.com</t>
  </si>
  <si>
    <t>Caler</t>
  </si>
  <si>
    <t>Caler Staub</t>
  </si>
  <si>
    <t>3870 Rose Place</t>
  </si>
  <si>
    <t>Southside</t>
  </si>
  <si>
    <t>llbblb@aol.com</t>
  </si>
  <si>
    <t>105 Michael cove</t>
  </si>
  <si>
    <t>riewe1@suddenlink.net</t>
  </si>
  <si>
    <t>Kyndalkr1@gmail.com</t>
  </si>
  <si>
    <t>Kyndal</t>
  </si>
  <si>
    <t>Riewe</t>
  </si>
  <si>
    <t>Kyndal Riewe</t>
  </si>
  <si>
    <t>6026 - 78th Street</t>
  </si>
  <si>
    <t>bigbrooftheclan@yahoo.com</t>
  </si>
  <si>
    <t>Hudson Starnes</t>
  </si>
  <si>
    <t>12418 Exbury Ct.</t>
  </si>
  <si>
    <t>sarajogan@hotmail.com</t>
  </si>
  <si>
    <t>Ogan</t>
  </si>
  <si>
    <t>Ethan Ogan</t>
  </si>
  <si>
    <t>tjnorthwoods@gmail.com</t>
  </si>
  <si>
    <t>Catherine Wood</t>
  </si>
  <si>
    <t>mikismehaha@yahoo.com</t>
  </si>
  <si>
    <t>Mazur</t>
  </si>
  <si>
    <t>Mikayla Mazur</t>
  </si>
  <si>
    <t>1211 Falls Road</t>
  </si>
  <si>
    <t>Chittenango</t>
  </si>
  <si>
    <t>ryanversluis@wightman.ca</t>
  </si>
  <si>
    <t>Versluis</t>
  </si>
  <si>
    <t>Anna Versluis</t>
  </si>
  <si>
    <t>anna@hinkle.me</t>
  </si>
  <si>
    <t>Anna Hinkle</t>
  </si>
  <si>
    <t>41 Springfield Dr.</t>
  </si>
  <si>
    <t>corbin.jones.2000@gmail.com</t>
  </si>
  <si>
    <t>Corbin Jones</t>
  </si>
  <si>
    <t>117 Washington St</t>
  </si>
  <si>
    <t>marshall_smith@bellsouth.net</t>
  </si>
  <si>
    <t>Marshall Smith</t>
  </si>
  <si>
    <t>j.dawson00@yahoo.com</t>
  </si>
  <si>
    <t>rachel.riede@gmail.com</t>
  </si>
  <si>
    <t>Riede</t>
  </si>
  <si>
    <t>Rachel Riede</t>
  </si>
  <si>
    <t>6509 N. 106 St.</t>
  </si>
  <si>
    <t>sydkiff@live.com</t>
  </si>
  <si>
    <t>Kiffmeyer</t>
  </si>
  <si>
    <t>Sydney Kiffmeyer</t>
  </si>
  <si>
    <t>5616 Holiday Rd</t>
  </si>
  <si>
    <t>princesslauren.margaret@gmail.com</t>
  </si>
  <si>
    <t>Kess</t>
  </si>
  <si>
    <t>Lauren Kess</t>
  </si>
  <si>
    <t>6878 Sunningdale Dr</t>
  </si>
  <si>
    <t>gilmariepagan@gmail.com</t>
  </si>
  <si>
    <t>rickyvpagan@gmail.com</t>
  </si>
  <si>
    <t>Ricardo</t>
  </si>
  <si>
    <t>Vazquez</t>
  </si>
  <si>
    <t>Ricardo Vazquez</t>
  </si>
  <si>
    <t>7549 Annemase</t>
  </si>
  <si>
    <t>Jacob Noyes</t>
  </si>
  <si>
    <t>671B Cold Spring Road</t>
  </si>
  <si>
    <t>ritajakers@hotmail.com</t>
  </si>
  <si>
    <t>Anna Mitchell</t>
  </si>
  <si>
    <t>449 Providence Drive</t>
  </si>
  <si>
    <t>Po box 650</t>
  </si>
  <si>
    <t>Haysi</t>
  </si>
  <si>
    <t>cliffdjones1@gmail.com</t>
  </si>
  <si>
    <t>Cliff</t>
  </si>
  <si>
    <t>Cliff Jones</t>
  </si>
  <si>
    <t>345 Tiimber Drive</t>
  </si>
  <si>
    <t>weg41@gmail.com</t>
  </si>
  <si>
    <t>8021 Bull Rapids Road</t>
  </si>
  <si>
    <t>williamjkneen@gmail.com</t>
  </si>
  <si>
    <t>william</t>
  </si>
  <si>
    <t>william kneen</t>
  </si>
  <si>
    <t>9901 indgo tr</t>
  </si>
  <si>
    <t>pdlundgren44@gmail.com</t>
  </si>
  <si>
    <t>ldlundgren1@gmail.com</t>
  </si>
  <si>
    <t>Lundgren</t>
  </si>
  <si>
    <t>Levi Lundgren</t>
  </si>
  <si>
    <t>2700 150th Ave SE</t>
  </si>
  <si>
    <t>Lake Lillian</t>
  </si>
  <si>
    <t>pamsdunlop@gmail.com</t>
  </si>
  <si>
    <t>charity_dunlop@icloud.com</t>
  </si>
  <si>
    <t>Charity Dunlop</t>
  </si>
  <si>
    <t>totolj@att.net</t>
  </si>
  <si>
    <t>abirose2k@gmail.com</t>
  </si>
  <si>
    <t>Toto</t>
  </si>
  <si>
    <t>Abigail Toto</t>
  </si>
  <si>
    <t>2407 W. Easy Street</t>
  </si>
  <si>
    <t>jbrown18@mcstangs.org</t>
  </si>
  <si>
    <t>Josh Brown</t>
  </si>
  <si>
    <t>2401 Texland Circle</t>
  </si>
  <si>
    <t>annakangas16@gmail.com</t>
  </si>
  <si>
    <t>Anna Kangas</t>
  </si>
  <si>
    <t>nolanpaul23@gmail.com</t>
  </si>
  <si>
    <t>Nolan Paul</t>
  </si>
  <si>
    <t>2611 Pine Ridge Ct</t>
  </si>
  <si>
    <t>poetministry@gmail.com</t>
  </si>
  <si>
    <t>Katherine Kubick</t>
  </si>
  <si>
    <t>christian@dykson.com</t>
  </si>
  <si>
    <t>Christian Dykson</t>
  </si>
  <si>
    <t>rachel.milan97@gmal.com</t>
  </si>
  <si>
    <t>rachel.milan97@gmail.com</t>
  </si>
  <si>
    <t>Rachel Milan</t>
  </si>
  <si>
    <t>1512 HWY 54-W Lot 12-A</t>
  </si>
  <si>
    <t>rdhchina2016@gmail.com</t>
  </si>
  <si>
    <t>bandrbarr@tctelco.net</t>
  </si>
  <si>
    <t>Rebekah Hutchinson</t>
  </si>
  <si>
    <t>1418 KS HWY 149</t>
  </si>
  <si>
    <t>carla.allinder@gmail.com</t>
  </si>
  <si>
    <t>caitlinallinder@gmail.com</t>
  </si>
  <si>
    <t>Caitlin Allinder</t>
  </si>
  <si>
    <t>rtand@live.com</t>
  </si>
  <si>
    <t>Ryan Anderson</t>
  </si>
  <si>
    <t>ka.johnson5@comcast.net</t>
  </si>
  <si>
    <t>annasophia0207@gmail.com</t>
  </si>
  <si>
    <t>Anna Johnson</t>
  </si>
  <si>
    <t>2752 Bordeaux Dr.</t>
  </si>
  <si>
    <t>j2baskin@comcast.net</t>
  </si>
  <si>
    <t>r3dancergirl@comcast.net</t>
  </si>
  <si>
    <t>Rachel Baskin</t>
  </si>
  <si>
    <t>908 Lance King Court</t>
  </si>
  <si>
    <t>La Vergne</t>
  </si>
  <si>
    <t>Kiersten Hart</t>
  </si>
  <si>
    <t>Tisdale</t>
  </si>
  <si>
    <t>Anna Tisdale</t>
  </si>
  <si>
    <t>atpulver98@gmail.com</t>
  </si>
  <si>
    <t>Pulver</t>
  </si>
  <si>
    <t>Austin Pulver</t>
  </si>
  <si>
    <t>4691 s State rd 109</t>
  </si>
  <si>
    <t>Albion</t>
  </si>
  <si>
    <t>allisongerber@hotmail.com</t>
  </si>
  <si>
    <t>Gerber</t>
  </si>
  <si>
    <t>Allison Gerber</t>
  </si>
  <si>
    <t>2296 Flowering Crab Dr E</t>
  </si>
  <si>
    <t>mamasitathorn@gmail.com</t>
  </si>
  <si>
    <t>sdthorn02@gmail.com</t>
  </si>
  <si>
    <t>Spencer Thorn</t>
  </si>
  <si>
    <t>7033 Monroeville Road</t>
  </si>
  <si>
    <t>jrayne62@bellsouth.net</t>
  </si>
  <si>
    <t>rayncar1202515@gastonchristian.org</t>
  </si>
  <si>
    <t>Rayne</t>
  </si>
  <si>
    <t>Carley Rayne</t>
  </si>
  <si>
    <t>1485 Freedom Ct</t>
  </si>
  <si>
    <t>Gastonia</t>
  </si>
  <si>
    <t>quintintlapek@gmail.com</t>
  </si>
  <si>
    <t>Quin</t>
  </si>
  <si>
    <t>Quin Tlapek</t>
  </si>
  <si>
    <t>9987 Stockton Ln.</t>
  </si>
  <si>
    <t>kylaruge@yahoo.com</t>
  </si>
  <si>
    <t>Kylaruge@yahoo.com</t>
  </si>
  <si>
    <t>Kyla</t>
  </si>
  <si>
    <t>Ruge</t>
  </si>
  <si>
    <t>Kyla Ruge</t>
  </si>
  <si>
    <t>8602 w 64th way</t>
  </si>
  <si>
    <t>angiealita@sbcglobal.net</t>
  </si>
  <si>
    <t>ajalita3@gmail.com</t>
  </si>
  <si>
    <t>Alita</t>
  </si>
  <si>
    <t>Alex Alita</t>
  </si>
  <si>
    <t>1667 Ferncliff Blvd</t>
  </si>
  <si>
    <t>od4jesus@gmail.com</t>
  </si>
  <si>
    <t>aliyafaithrua@gmail.com</t>
  </si>
  <si>
    <t>Aliya</t>
  </si>
  <si>
    <t>Rua</t>
  </si>
  <si>
    <t>Aliya Rua</t>
  </si>
  <si>
    <t>3872 Arthur Ave N</t>
  </si>
  <si>
    <t>kpottala@hotmail.com</t>
  </si>
  <si>
    <t>nicolepottala@gmail.com</t>
  </si>
  <si>
    <t>Pottala</t>
  </si>
  <si>
    <t>Nicole Pottala</t>
  </si>
  <si>
    <t>2025 Worthington Ln</t>
  </si>
  <si>
    <t>bethanyverhey@gmail.com</t>
  </si>
  <si>
    <t>Verhey</t>
  </si>
  <si>
    <t>Bethany Verhey</t>
  </si>
  <si>
    <t>PO Box 2264</t>
  </si>
  <si>
    <t>julio.quirino@aimint.org</t>
  </si>
  <si>
    <t>Quirino</t>
  </si>
  <si>
    <t>Samuel Quirino</t>
  </si>
  <si>
    <t>Ngumo Central</t>
  </si>
  <si>
    <t>Nairobi</t>
  </si>
  <si>
    <t>Kenya</t>
  </si>
  <si>
    <t>lukyschrm@bellsouth.net</t>
  </si>
  <si>
    <t>michaeljluchtefeld@gmail.com</t>
  </si>
  <si>
    <t>Luchtefeld</t>
  </si>
  <si>
    <t>Michael Luchtefeld</t>
  </si>
  <si>
    <t>2588 Walnut Grove Rd</t>
  </si>
  <si>
    <t>rachaelostone@gmail.com</t>
  </si>
  <si>
    <t>Rachael Stone</t>
  </si>
  <si>
    <t>markensinco@gmail.com</t>
  </si>
  <si>
    <t>jaredmarken@gmail.com</t>
  </si>
  <si>
    <t>Marken</t>
  </si>
  <si>
    <t>Jared Marken</t>
  </si>
  <si>
    <t>710 Trumpeters Court West</t>
  </si>
  <si>
    <t>rykerlutjens@gmail.com</t>
  </si>
  <si>
    <t>Lutjens</t>
  </si>
  <si>
    <t>Ryker Lutjens</t>
  </si>
  <si>
    <t>12906 Rockbridge Circle</t>
  </si>
  <si>
    <t>danjillianvick@gmail.com</t>
  </si>
  <si>
    <t>Caleb Vick</t>
  </si>
  <si>
    <t>9138 Common St Sw</t>
  </si>
  <si>
    <t>jasmincvick@gmail.com</t>
  </si>
  <si>
    <t>Jasmincvick@gmail.com</t>
  </si>
  <si>
    <t>Jasmin Vick</t>
  </si>
  <si>
    <t>kim.bertsch@gmail.com</t>
  </si>
  <si>
    <t>abby.vb41@gmail.com</t>
  </si>
  <si>
    <t>Abigail Bertsch</t>
  </si>
  <si>
    <t>mhardick123@yahoo.com</t>
  </si>
  <si>
    <t>Hardick</t>
  </si>
  <si>
    <t>Madison Hardick</t>
  </si>
  <si>
    <t>1860 Old Annetta Road</t>
  </si>
  <si>
    <t>2Micah15@gmail.com</t>
  </si>
  <si>
    <t>Micah Farrand</t>
  </si>
  <si>
    <t>7735 Chase Lake Rd.</t>
  </si>
  <si>
    <t>baggins135@comcast.net</t>
  </si>
  <si>
    <t>badwolf8199@gmail.com</t>
  </si>
  <si>
    <t>Hannah Weaver</t>
  </si>
  <si>
    <t>2309 Engle Road</t>
  </si>
  <si>
    <t>ejuntti@yahoo.com</t>
  </si>
  <si>
    <t>Jari</t>
  </si>
  <si>
    <t>Juntti</t>
  </si>
  <si>
    <t>Jari Juntti</t>
  </si>
  <si>
    <t>19961 2nd Street</t>
  </si>
  <si>
    <t>john@johnklassen.net</t>
  </si>
  <si>
    <t>sam@johnklassen.net</t>
  </si>
  <si>
    <t>Klassen</t>
  </si>
  <si>
    <t>Samuel Klassen</t>
  </si>
  <si>
    <t>38 Chestnut Bay</t>
  </si>
  <si>
    <t>R6W 1H3</t>
  </si>
  <si>
    <t>tracymiche21@gmail.com</t>
  </si>
  <si>
    <t>Nash Carter</t>
  </si>
  <si>
    <t>dk98hollow@gmail.com</t>
  </si>
  <si>
    <t>flyngstargzr@gmail.com</t>
  </si>
  <si>
    <t>Hollowell</t>
  </si>
  <si>
    <t>Hannah Hollowell</t>
  </si>
  <si>
    <t>1128 Seminole Street</t>
  </si>
  <si>
    <t>jaybiddy@gmail.com</t>
  </si>
  <si>
    <t>Biddy</t>
  </si>
  <si>
    <t>Jasper Biddy</t>
  </si>
  <si>
    <t>warrencari77@gmail.com</t>
  </si>
  <si>
    <t>anicanwinters@yahoo.com</t>
  </si>
  <si>
    <t>Winter Warren</t>
  </si>
  <si>
    <t>oolivia.mccrackin@gmail.com</t>
  </si>
  <si>
    <t>McCrackin</t>
  </si>
  <si>
    <t>Olivia McCrackin</t>
  </si>
  <si>
    <t>21261 Uintah RD</t>
  </si>
  <si>
    <t>Ethan Hill</t>
  </si>
  <si>
    <t>isaac.vadr6@gmail.com</t>
  </si>
  <si>
    <t>Vader</t>
  </si>
  <si>
    <t>Isaac Vader</t>
  </si>
  <si>
    <t>25076 Q50 Rd</t>
  </si>
  <si>
    <t>tamarabonacquisti@gmail.com</t>
  </si>
  <si>
    <t>Christian.bonacquisti@gmail.com</t>
  </si>
  <si>
    <t>Christian Bonacquisti</t>
  </si>
  <si>
    <t>3349 Carbineer Dr</t>
  </si>
  <si>
    <t>jbedens2@gmail.com</t>
  </si>
  <si>
    <t>Edens</t>
  </si>
  <si>
    <t>Jonathan Edens</t>
  </si>
  <si>
    <t>235 Upper Vowell Mtn. Ln.</t>
  </si>
  <si>
    <t>Rocky Top</t>
  </si>
  <si>
    <t>jlbelch3@gmail.com</t>
  </si>
  <si>
    <t>Jared Belcher</t>
  </si>
  <si>
    <t>9040 Clapham ct</t>
  </si>
  <si>
    <t>Colorado spprings</t>
  </si>
  <si>
    <t>andreahryszczuk@gmail.com</t>
  </si>
  <si>
    <t>katehrys@gmail.com</t>
  </si>
  <si>
    <t>Hryszczuk</t>
  </si>
  <si>
    <t>Kate Hryszczuk</t>
  </si>
  <si>
    <t>10112 Wentworth Pl.</t>
  </si>
  <si>
    <t>Lindsey Warren</t>
  </si>
  <si>
    <t>elizabethrmacgowan@gmail.com</t>
  </si>
  <si>
    <t>Macgowan</t>
  </si>
  <si>
    <t>Elizabeth Macgowan</t>
  </si>
  <si>
    <t>15865 SW 65 Terrace</t>
  </si>
  <si>
    <t>arhunter17@gmail.com</t>
  </si>
  <si>
    <t>Aurora Hunter</t>
  </si>
  <si>
    <t>5061 s Hannah Heather Pl</t>
  </si>
  <si>
    <t>lauraluscohowell@gmail.com</t>
  </si>
  <si>
    <t>Absie2000@icloud.com</t>
  </si>
  <si>
    <t>Abigail Howell</t>
  </si>
  <si>
    <t>1414 Birdie Dr</t>
  </si>
  <si>
    <t>juliehofer@charter.net</t>
  </si>
  <si>
    <t>Caleb Hofer</t>
  </si>
  <si>
    <t>4606 Parklane Drive</t>
  </si>
  <si>
    <t>whitneyasay2@gmail.com</t>
  </si>
  <si>
    <t>raeasay222@gmail.com</t>
  </si>
  <si>
    <t>Raechel</t>
  </si>
  <si>
    <t>Asay</t>
  </si>
  <si>
    <t>Raechel Asay</t>
  </si>
  <si>
    <t>215 FM 115</t>
  </si>
  <si>
    <t>Tubbs</t>
  </si>
  <si>
    <t>Sydney Tubbs</t>
  </si>
  <si>
    <t>Rachel Yates</t>
  </si>
  <si>
    <t>joshua@greenfam.org</t>
  </si>
  <si>
    <t>Joshua Green</t>
  </si>
  <si>
    <t>19026 Piney Way Dr</t>
  </si>
  <si>
    <t>runninpatriots@hillsshoes.com</t>
  </si>
  <si>
    <t>peapod295@gmail.com</t>
  </si>
  <si>
    <t>Krissa</t>
  </si>
  <si>
    <t>Krissa Hill</t>
  </si>
  <si>
    <t>532 Peakview Rd.</t>
  </si>
  <si>
    <t>allyd004@gmail.com</t>
  </si>
  <si>
    <t>Bales</t>
  </si>
  <si>
    <t>Allyson Bales</t>
  </si>
  <si>
    <t>3140 North Eagle Lane</t>
  </si>
  <si>
    <t>sue.j.davidson@gmail.com</t>
  </si>
  <si>
    <t>jasonc@gctel.com</t>
  </si>
  <si>
    <t>11125 County Rd 8 NW</t>
  </si>
  <si>
    <t>Garfield</t>
  </si>
  <si>
    <t>brianfaith@roadrunner.com</t>
  </si>
  <si>
    <t>romanjackkson@gmail.com</t>
  </si>
  <si>
    <t>Roman</t>
  </si>
  <si>
    <t>Roman Jackson</t>
  </si>
  <si>
    <t>7014 Shay Court</t>
  </si>
  <si>
    <t>corriebarnett4@gmail.com</t>
  </si>
  <si>
    <t>Corrie Barnett</t>
  </si>
  <si>
    <t>19015 Barnett Dr</t>
  </si>
  <si>
    <t>Hannah_poppe@icloud.com</t>
  </si>
  <si>
    <t>hannah_poppe@icloud.com</t>
  </si>
  <si>
    <t>Poppe</t>
  </si>
  <si>
    <t>Hannah Poppe</t>
  </si>
  <si>
    <t>1146 Dallas Street</t>
  </si>
  <si>
    <t>Chetek</t>
  </si>
  <si>
    <t>giovanni020702@gmail.com</t>
  </si>
  <si>
    <t>Giovanni</t>
  </si>
  <si>
    <t>Giovanni Smith</t>
  </si>
  <si>
    <t>lois@presserpac.com</t>
  </si>
  <si>
    <t>Kyeast478@gmail.com</t>
  </si>
  <si>
    <t>Kylie</t>
  </si>
  <si>
    <t>Yeast</t>
  </si>
  <si>
    <t>Kylie Yeast</t>
  </si>
  <si>
    <t>620 Hazel Street</t>
  </si>
  <si>
    <t>elliemaldonado88@gmail.com</t>
  </si>
  <si>
    <t>Eliezer</t>
  </si>
  <si>
    <t>Eliezer Maldonado</t>
  </si>
  <si>
    <t>20719 Sunshine Lane</t>
  </si>
  <si>
    <t>abbyethel@gmail.com</t>
  </si>
  <si>
    <t>Abigail Wallace</t>
  </si>
  <si>
    <t>4013 echo ridge place</t>
  </si>
  <si>
    <t>midlothian</t>
  </si>
  <si>
    <t>chefphin@gmail.com</t>
  </si>
  <si>
    <t>Phinehas</t>
  </si>
  <si>
    <t>Phinehas Wallace</t>
  </si>
  <si>
    <t>dlstromn@gmail.com</t>
  </si>
  <si>
    <t>dlstrom@gmail.com</t>
  </si>
  <si>
    <t>Strom</t>
  </si>
  <si>
    <t>Cody Strom</t>
  </si>
  <si>
    <t>24891 95th Street NW</t>
  </si>
  <si>
    <t>Sunburg</t>
  </si>
  <si>
    <t>juliagoetzman@gmail.com</t>
  </si>
  <si>
    <t>Julia Goetzman</t>
  </si>
  <si>
    <t>11999 62nd St NE</t>
  </si>
  <si>
    <t>acatan@gmail.com</t>
  </si>
  <si>
    <t>Reedverb@gmail.com</t>
  </si>
  <si>
    <t>Reed Baker</t>
  </si>
  <si>
    <t>1346 Jane Eyre</t>
  </si>
  <si>
    <t>Mcgwirehill@gmail.com</t>
  </si>
  <si>
    <t>McGwire</t>
  </si>
  <si>
    <t>McGwire Hill</t>
  </si>
  <si>
    <t>7301 Ridgemont Dr</t>
  </si>
  <si>
    <t>jmagaines@gmail.com</t>
  </si>
  <si>
    <t>Julia Gaines</t>
  </si>
  <si>
    <t>1426 E. Mineral Rd.</t>
  </si>
  <si>
    <t>judithgibson131@gmail.com</t>
  </si>
  <si>
    <t>jardgibson@gmail.com</t>
  </si>
  <si>
    <t>Jared Gibson</t>
  </si>
  <si>
    <t>County Road 156</t>
  </si>
  <si>
    <t>obinna147@gmail.com</t>
  </si>
  <si>
    <t>Obinna</t>
  </si>
  <si>
    <t>Obinna Ikeonu</t>
  </si>
  <si>
    <t>2619 Niagara Parkway</t>
  </si>
  <si>
    <t>Fort Erie</t>
  </si>
  <si>
    <t>Emily.b.roller@gmail.com</t>
  </si>
  <si>
    <t>Emily Roller</t>
  </si>
  <si>
    <t>14137 Spring Creek ct</t>
  </si>
  <si>
    <t>Libertyville</t>
  </si>
  <si>
    <t>angiekaye1998@gmail.com</t>
  </si>
  <si>
    <t>Novotny</t>
  </si>
  <si>
    <t>Angela Novotny</t>
  </si>
  <si>
    <t>26034 Wooded Acres</t>
  </si>
  <si>
    <t>rosedancer1023@gmail.com</t>
  </si>
  <si>
    <t>gajit2.828@gmail.com</t>
  </si>
  <si>
    <t>Garrett Johnson</t>
  </si>
  <si>
    <t>251 Via Oro Verde</t>
  </si>
  <si>
    <t>mayosinva@gmail.com</t>
  </si>
  <si>
    <t>bj2020mayo@gmail.com</t>
  </si>
  <si>
    <t>Brandon Mayo</t>
  </si>
  <si>
    <t>201 Craigs Run Ct</t>
  </si>
  <si>
    <t>mistybritain@yahoo.com</t>
  </si>
  <si>
    <t>Maceybritain@yahoo.com</t>
  </si>
  <si>
    <t>Britain</t>
  </si>
  <si>
    <t>Macey Britain</t>
  </si>
  <si>
    <t>3793 CR 3323</t>
  </si>
  <si>
    <t>jreid@willmarccs.org</t>
  </si>
  <si>
    <t>greg20reid@gmail.com</t>
  </si>
  <si>
    <t>Gregory Reid</t>
  </si>
  <si>
    <t>6654 161st AVE NE</t>
  </si>
  <si>
    <t>rebekahah23@aol.com</t>
  </si>
  <si>
    <t>5872 FM 3080</t>
  </si>
  <si>
    <t>denisse@colegiobtel.com.do</t>
  </si>
  <si>
    <t>Eduardo</t>
  </si>
  <si>
    <t>Melo</t>
  </si>
  <si>
    <t>Eduardo Melo</t>
  </si>
  <si>
    <t>denisse@coelgiobetel.com.do</t>
  </si>
  <si>
    <t>Carlo</t>
  </si>
  <si>
    <t>Godoy</t>
  </si>
  <si>
    <t>Carlo Godoy</t>
  </si>
  <si>
    <t>FL.</t>
  </si>
  <si>
    <t>sadiefeez@icloud.com</t>
  </si>
  <si>
    <t>Sadie Feezel</t>
  </si>
  <si>
    <t>2096 North Lake Drive</t>
  </si>
  <si>
    <t>bghaley@gmail.com</t>
  </si>
  <si>
    <t>Violinbunny11@gmail.com</t>
  </si>
  <si>
    <t>Siera Haley</t>
  </si>
  <si>
    <t>104 Mill St.</t>
  </si>
  <si>
    <t>rosephaedra5@gmail.com</t>
  </si>
  <si>
    <t>Phaedra</t>
  </si>
  <si>
    <t>Phaedra Reppermund</t>
  </si>
  <si>
    <t>kaden32@att.net</t>
  </si>
  <si>
    <t>Kaden</t>
  </si>
  <si>
    <t>Kaden Gokmen</t>
  </si>
  <si>
    <t>advocareminnesota@gmail.com</t>
  </si>
  <si>
    <t>415 Linden Ave SE</t>
  </si>
  <si>
    <t>brindamourkeli@gmail.com</t>
  </si>
  <si>
    <t>benbrindamour@gmail.com</t>
  </si>
  <si>
    <t>Brindamour</t>
  </si>
  <si>
    <t>Benjamin Brindamour</t>
  </si>
  <si>
    <t>7418 N 140th Ave.</t>
  </si>
  <si>
    <t>sarshaw97@gmail.com</t>
  </si>
  <si>
    <t>Sarah Shaw</t>
  </si>
  <si>
    <t>3213 Archdale Rd</t>
  </si>
  <si>
    <t>TEST-Chloe</t>
  </si>
  <si>
    <t>TEST-Chloe Wesson</t>
  </si>
  <si>
    <t>mdglatte@gmail.com</t>
  </si>
  <si>
    <t>jon8than1126@gmail.com</t>
  </si>
  <si>
    <t>Glaser</t>
  </si>
  <si>
    <t>Jonathan Glaser</t>
  </si>
  <si>
    <t>23857 Eagle Bend Ln</t>
  </si>
  <si>
    <t>motoole6861@hotmail.com</t>
  </si>
  <si>
    <t>rotoole2232@gmail.com</t>
  </si>
  <si>
    <t>OToole</t>
  </si>
  <si>
    <t>Raegan OToole</t>
  </si>
  <si>
    <t>2459 CTY Rd 9 NE</t>
  </si>
  <si>
    <t>sylvia_gonzales@hotmail.com</t>
  </si>
  <si>
    <t>clforty40.01@gmail.com</t>
  </si>
  <si>
    <t>Cameron Gonzales</t>
  </si>
  <si>
    <t>jamied@prinsco.com</t>
  </si>
  <si>
    <t>duininckelsie@gmail.com</t>
  </si>
  <si>
    <t>Duininck</t>
  </si>
  <si>
    <t>Elsie Duininck</t>
  </si>
  <si>
    <t>12280 indian beach road</t>
  </si>
  <si>
    <t>spicer</t>
  </si>
  <si>
    <t>Garrett Green</t>
  </si>
  <si>
    <t>wamsleymia@yahoo.com</t>
  </si>
  <si>
    <t>Mia Wamsley</t>
  </si>
  <si>
    <t>Redrider530@yahoo.com</t>
  </si>
  <si>
    <t>Shealy</t>
  </si>
  <si>
    <t>Donald Shealy</t>
  </si>
  <si>
    <t>108 Sawgrass Point</t>
  </si>
  <si>
    <t>rjk23@bex.net</t>
  </si>
  <si>
    <t>Rachel Keiser</t>
  </si>
  <si>
    <t>kyrgyzstanna@gmail.com</t>
  </si>
  <si>
    <t>Sundblad</t>
  </si>
  <si>
    <t>Anna Sundblad</t>
  </si>
  <si>
    <t>875 Swanson Ave SE</t>
  </si>
  <si>
    <t>rklutes@rogers.com</t>
  </si>
  <si>
    <t>jaydenalitle@gmail.com</t>
  </si>
  <si>
    <t>Lutes</t>
  </si>
  <si>
    <t>Jayden Lutes</t>
  </si>
  <si>
    <t>39 Basswood Crt</t>
  </si>
  <si>
    <t>Moncton</t>
  </si>
  <si>
    <t>libby-riley@earthlink.net</t>
  </si>
  <si>
    <t>rilepar12436@gastonchristian.org</t>
  </si>
  <si>
    <t>Parker Riley</t>
  </si>
  <si>
    <t>2625 Golden Bell Drive</t>
  </si>
  <si>
    <t>kim.sherwin.96@gmail.com</t>
  </si>
  <si>
    <t>megannsherwin@gmail.com</t>
  </si>
  <si>
    <t>Sherwin</t>
  </si>
  <si>
    <t>Megan Sherwin</t>
  </si>
  <si>
    <t>Celeste</t>
  </si>
  <si>
    <t>14worldtraveler@gmail.com</t>
  </si>
  <si>
    <t>Pflughoeft</t>
  </si>
  <si>
    <t>Aspen Pflughoeft</t>
  </si>
  <si>
    <t>9809 Garman Road</t>
  </si>
  <si>
    <t>caseynoelking@gmail.com</t>
  </si>
  <si>
    <t>Casey King</t>
  </si>
  <si>
    <t>8600 Surry Cir</t>
  </si>
  <si>
    <t>troycejaa@gmail.com</t>
  </si>
  <si>
    <t>Troyce</t>
  </si>
  <si>
    <t>Troyce Jaatinen</t>
  </si>
  <si>
    <t>411 Hugel ave</t>
  </si>
  <si>
    <t>L4R1V2</t>
  </si>
  <si>
    <t>mason.carpenter@kansaschristian.edu</t>
  </si>
  <si>
    <t>Mason Carpenter</t>
  </si>
  <si>
    <t>6601 W 74th St</t>
  </si>
  <si>
    <t>saxnate@gmail.com</t>
  </si>
  <si>
    <t>rosieyk@icloud.com</t>
  </si>
  <si>
    <t>Klinger</t>
  </si>
  <si>
    <t>Rose Klinger</t>
  </si>
  <si>
    <t>0S444 Kirk Ave</t>
  </si>
  <si>
    <t>tinacliff0@gmail.com</t>
  </si>
  <si>
    <t>trinclifford@gmail.com</t>
  </si>
  <si>
    <t>Clifford</t>
  </si>
  <si>
    <t>Trinity Clifford</t>
  </si>
  <si>
    <t>210 Cedar Lane</t>
  </si>
  <si>
    <t>Nicholasville</t>
  </si>
  <si>
    <t>elliotjaxson2@aol.com</t>
  </si>
  <si>
    <t>Elliotjaxson2@gmail.com</t>
  </si>
  <si>
    <t>Elliot Jackson</t>
  </si>
  <si>
    <t>102 Randy st</t>
  </si>
  <si>
    <t>Gun Barrel City</t>
  </si>
  <si>
    <t>evanette11@gmail.com</t>
  </si>
  <si>
    <t>Eva Grossi</t>
  </si>
  <si>
    <t>818 Jairus</t>
  </si>
  <si>
    <t>samshankar@gmail.com</t>
  </si>
  <si>
    <t>joash.casey@gmail.com</t>
  </si>
  <si>
    <t>Joash</t>
  </si>
  <si>
    <t>Shankar</t>
  </si>
  <si>
    <t>Joash Shankar</t>
  </si>
  <si>
    <t>19 Pell Avenue</t>
  </si>
  <si>
    <t>Nashua</t>
  </si>
  <si>
    <t>Grawlyons@gmail.com</t>
  </si>
  <si>
    <t>Graham Lyons</t>
  </si>
  <si>
    <t>9175 Melbourne Dr</t>
  </si>
  <si>
    <t>Lydia Barton</t>
  </si>
  <si>
    <t>nathanlock2000@gmail.com</t>
  </si>
  <si>
    <t>Nathan Lock</t>
  </si>
  <si>
    <t>2739 E Thunderhill Pl.</t>
  </si>
  <si>
    <t>amanda.susman@gmail.com</t>
  </si>
  <si>
    <t>Amanda Susman</t>
  </si>
  <si>
    <t>sfoster@outreach.com</t>
  </si>
  <si>
    <t>haleyefoster@gmail.com</t>
  </si>
  <si>
    <t>Haley Foster</t>
  </si>
  <si>
    <t>13392 Clinet Dr.</t>
  </si>
  <si>
    <t>tanishanorman77@gmail.com</t>
  </si>
  <si>
    <t>Tanisha</t>
  </si>
  <si>
    <t>Tanisha Norman</t>
  </si>
  <si>
    <t>andrew@databaseguy.com</t>
  </si>
  <si>
    <t>Andrew Leonard</t>
  </si>
  <si>
    <t>sbothwell@cox.net</t>
  </si>
  <si>
    <t>pbothwell@cox.net</t>
  </si>
  <si>
    <t>Praise</t>
  </si>
  <si>
    <t>Bothwell</t>
  </si>
  <si>
    <t>Praise Bothwell</t>
  </si>
  <si>
    <t>12021 South 203rd Street</t>
  </si>
  <si>
    <t>godlovesace@gmail.com</t>
  </si>
  <si>
    <t>Kaden Broad</t>
  </si>
  <si>
    <t>41747 N Rabbit Brush Trl</t>
  </si>
  <si>
    <t>mpantrod@me.com</t>
  </si>
  <si>
    <t>alimrod827@gmail.com</t>
  </si>
  <si>
    <t>Alicia Rodriguez</t>
  </si>
  <si>
    <t>12304 Newt Ct</t>
  </si>
  <si>
    <t>New Port Rich</t>
  </si>
  <si>
    <t>vanessanpeters@gmail.com</t>
  </si>
  <si>
    <t>indogracegirl@gmail.com</t>
  </si>
  <si>
    <t>Hannah Peters</t>
  </si>
  <si>
    <t>40 Plantation Rd.</t>
  </si>
  <si>
    <t>Whitehouse Station</t>
  </si>
  <si>
    <t>tlandco@hotmail.com</t>
  </si>
  <si>
    <t>Mcsbretticus@yahoo.com</t>
  </si>
  <si>
    <t>James Thomason</t>
  </si>
  <si>
    <t>2800 FM2401</t>
  </si>
  <si>
    <t>heyitsemg21@gmail.com</t>
  </si>
  <si>
    <t>heyitsmeg21@gmail.com</t>
  </si>
  <si>
    <t>Meagan</t>
  </si>
  <si>
    <t>Meagan Thomason</t>
  </si>
  <si>
    <t>2800 FM 2401</t>
  </si>
  <si>
    <t>brianna.tippey1234@gmail.com</t>
  </si>
  <si>
    <t>Brianna Tippey</t>
  </si>
  <si>
    <t>snowbaerrn@aol.com</t>
  </si>
  <si>
    <t>alexanderMB2014@gmail.com</t>
  </si>
  <si>
    <t>Alexander Baer</t>
  </si>
  <si>
    <t>23 Chelsea Lane</t>
  </si>
  <si>
    <t>Carlisle</t>
  </si>
  <si>
    <t>Lily Allison</t>
  </si>
  <si>
    <t>4010 Brookline Drive</t>
  </si>
  <si>
    <t>grace.gilliland.ak@gmail.com</t>
  </si>
  <si>
    <t>Grace Gilliland</t>
  </si>
  <si>
    <t>17913B Pioneer Dr.</t>
  </si>
  <si>
    <t>rlaurenr9@gmail.com</t>
  </si>
  <si>
    <t>rlaurenr99@gmail.com</t>
  </si>
  <si>
    <t>Rachel Rodgers</t>
  </si>
  <si>
    <t>8913 Magnolia Vale Dr.</t>
  </si>
  <si>
    <t>KPVerstegen@sbcglobal.net</t>
  </si>
  <si>
    <t>noteak2000@new.rr.com</t>
  </si>
  <si>
    <t>Verstegen</t>
  </si>
  <si>
    <t>Keaton Verstegen</t>
  </si>
  <si>
    <t>42 Golden Wheat Ln</t>
  </si>
  <si>
    <t>Wrightstown</t>
  </si>
  <si>
    <t>catherine@themcelroys.net</t>
  </si>
  <si>
    <t>McElroy</t>
  </si>
  <si>
    <t>Catherine McElroy</t>
  </si>
  <si>
    <t>5905 Whispering Lakes Drive</t>
  </si>
  <si>
    <t>akcw15@gmail.com</t>
  </si>
  <si>
    <t>Clarissa Williams</t>
  </si>
  <si>
    <t>Maddie Snow</t>
  </si>
  <si>
    <t>Fort Wworth</t>
  </si>
  <si>
    <t>housefullofnoise@msn.com</t>
  </si>
  <si>
    <t>Henryy90@gmail.com</t>
  </si>
  <si>
    <t>Henry Young</t>
  </si>
  <si>
    <t>1190 fawnwood Rd</t>
  </si>
  <si>
    <t>makeupmommamk@gmail.com</t>
  </si>
  <si>
    <t>lilsmoore2001@gmail.com</t>
  </si>
  <si>
    <t>Katherine Moore</t>
  </si>
  <si>
    <t>9130 Wilderidge Lane</t>
  </si>
  <si>
    <t>audreymarie411@yahoo.com</t>
  </si>
  <si>
    <t>Audrey Pedersen</t>
  </si>
  <si>
    <t>3835 A street</t>
  </si>
  <si>
    <t>cindymulder9752@hotmail.com</t>
  </si>
  <si>
    <t>aemulder12@gmail.com</t>
  </si>
  <si>
    <t>Abigail Mulder</t>
  </si>
  <si>
    <t>5333 Hwy 71 NE</t>
  </si>
  <si>
    <t>ntmulders@gmail.com</t>
  </si>
  <si>
    <t>Noah Mulder</t>
  </si>
  <si>
    <t>gaylewv12@yahoo.com</t>
  </si>
  <si>
    <t>lincolnveitenheimer@yahoo.com</t>
  </si>
  <si>
    <t>Veitenheimer</t>
  </si>
  <si>
    <t>Lincoln Veitenheimer</t>
  </si>
  <si>
    <t>5517 Seabury Dr.</t>
  </si>
  <si>
    <t>twintronics@yahoo.com</t>
  </si>
  <si>
    <t>flygirlgrace@gmail.com</t>
  </si>
  <si>
    <t>Lindgren</t>
  </si>
  <si>
    <t>Grace Lindgren</t>
  </si>
  <si>
    <t>1212 Grace Ave. SW</t>
  </si>
  <si>
    <t>ed6007@sbcglobal.net</t>
  </si>
  <si>
    <t>Draper</t>
  </si>
  <si>
    <t>Nathaniel Draper</t>
  </si>
  <si>
    <t>11515 Douglas Ave</t>
  </si>
  <si>
    <t>lionsgoalie5@gmail.com</t>
  </si>
  <si>
    <t>Patrick Moore</t>
  </si>
  <si>
    <t>rachdboss@hotmail.com</t>
  </si>
  <si>
    <t>hadoorenbos@gpsne.org</t>
  </si>
  <si>
    <t>Doorenbos</t>
  </si>
  <si>
    <t>Hannah Doorenbos</t>
  </si>
  <si>
    <t>611 Patrick Circle</t>
  </si>
  <si>
    <t>lori@ouracc.org</t>
  </si>
  <si>
    <t>adamarnold15@gmail.com</t>
  </si>
  <si>
    <t>Adam Arnold</t>
  </si>
  <si>
    <t>255 Timber Hollow St.</t>
  </si>
  <si>
    <t>katiearnold122@yahoo.com</t>
  </si>
  <si>
    <t>Katie Arnold</t>
  </si>
  <si>
    <t>hansangela99@gmail.com</t>
  </si>
  <si>
    <t>colbylarsen01@gmail.com</t>
  </si>
  <si>
    <t>Hans Larsen</t>
  </si>
  <si>
    <t>1435 Lone Scout Lookout</t>
  </si>
  <si>
    <t>basork18@usd397.com</t>
  </si>
  <si>
    <t>Katrina Basore</t>
  </si>
  <si>
    <t>staceyc8530@gmail.com</t>
  </si>
  <si>
    <t>Evan.chaney54@gmail.com</t>
  </si>
  <si>
    <t>Evan Chaney</t>
  </si>
  <si>
    <t>9510 highland rd</t>
  </si>
  <si>
    <t>Baton rouge</t>
  </si>
  <si>
    <t>madelynneg.hicks@gmail.com</t>
  </si>
  <si>
    <t>Madelynne</t>
  </si>
  <si>
    <t>Madelynne Hicks</t>
  </si>
  <si>
    <t>19465 County Highway 8</t>
  </si>
  <si>
    <t>traywickmc@bellsouth.net</t>
  </si>
  <si>
    <t>Trayels12681@gadtonchristian.org</t>
  </si>
  <si>
    <t>Traywick</t>
  </si>
  <si>
    <t>Elsa Traywick</t>
  </si>
  <si>
    <t>5308 Millstone Court</t>
  </si>
  <si>
    <t>torijo@earthlink.net</t>
  </si>
  <si>
    <t>goliathstone4@gmail.com</t>
  </si>
  <si>
    <t>David Ryan</t>
  </si>
  <si>
    <t>5300 Rockford Dr</t>
  </si>
  <si>
    <t>andrewmcgee05@yahoo.com</t>
  </si>
  <si>
    <t>Andrew McGee</t>
  </si>
  <si>
    <t>2636 Cimmaron Ave</t>
  </si>
  <si>
    <t>Sprigdale</t>
  </si>
  <si>
    <t>hannahmcgee05@yahoo.com</t>
  </si>
  <si>
    <t>Hannah McGee</t>
  </si>
  <si>
    <t>2636 Cimmaron Avenue</t>
  </si>
  <si>
    <t>arsanchez2019@gmail.com</t>
  </si>
  <si>
    <t>Adriana Sanchez</t>
  </si>
  <si>
    <t>4540 FM 66</t>
  </si>
  <si>
    <t>annamlumpkin@gmail.com</t>
  </si>
  <si>
    <t>Lumpkin</t>
  </si>
  <si>
    <t>Anna Lumpkin</t>
  </si>
  <si>
    <t>1650 Kemble Court</t>
  </si>
  <si>
    <t>scandahovian@gmail.com</t>
  </si>
  <si>
    <t>2017blackdog@gmail.com</t>
  </si>
  <si>
    <t>Kirsten Stewart</t>
  </si>
  <si>
    <t>11204 88th Street</t>
  </si>
  <si>
    <t>Pleasant Prairie</t>
  </si>
  <si>
    <t>songbirds04@hotmail.com</t>
  </si>
  <si>
    <t>karategirl_19@hotmail.com</t>
  </si>
  <si>
    <t>Frontin</t>
  </si>
  <si>
    <t>Emma Frontin</t>
  </si>
  <si>
    <t>4870 Santiago Way</t>
  </si>
  <si>
    <t>ksorbo@me.com</t>
  </si>
  <si>
    <t>biwasorbo@gmail.com</t>
  </si>
  <si>
    <t>Sorbo</t>
  </si>
  <si>
    <t>Braeden Sorbo</t>
  </si>
  <si>
    <t>3835-R East Thousand Oaks Blvd</t>
  </si>
  <si>
    <t>#356</t>
  </si>
  <si>
    <t>Angelina Yeager</t>
  </si>
  <si>
    <t>greggful@gmail.com</t>
  </si>
  <si>
    <t>happie.gingy@gmail.com</t>
  </si>
  <si>
    <t>Cameron Fuller</t>
  </si>
  <si>
    <t>2068.2 Cochise Ln</t>
  </si>
  <si>
    <t>themasterfromgallifry@gmail.com</t>
  </si>
  <si>
    <t>Joshua Baker</t>
  </si>
  <si>
    <t>1240 Hills Circle</t>
  </si>
  <si>
    <t>dananddonnaboles@aol.com</t>
  </si>
  <si>
    <t>andy.selob@aol.com</t>
  </si>
  <si>
    <t>Boles</t>
  </si>
  <si>
    <t>Andrew Boles</t>
  </si>
  <si>
    <t>151 Pecan Lake Drive</t>
  </si>
  <si>
    <t>Sdavis2342@gmail.com</t>
  </si>
  <si>
    <t>Sarah Davis</t>
  </si>
  <si>
    <t>moorheadoldest@gmail.com</t>
  </si>
  <si>
    <t>Moorheadoldest@gmail.com</t>
  </si>
  <si>
    <t>Andrew Moorhead</t>
  </si>
  <si>
    <t>2906 Aurora Ln</t>
  </si>
  <si>
    <t>misty.hull@gmail.com</t>
  </si>
  <si>
    <t>makenzie.makenzie@gmail.com</t>
  </si>
  <si>
    <t>Makenzie Hull</t>
  </si>
  <si>
    <t>4255 Bays Water Drive</t>
  </si>
  <si>
    <t>scottschwinn@mac.com</t>
  </si>
  <si>
    <t>autumnacting@gmail.com</t>
  </si>
  <si>
    <t>Schwinn</t>
  </si>
  <si>
    <t>Autumn Schwinn</t>
  </si>
  <si>
    <t>15824 Elizabeth Cir East</t>
  </si>
  <si>
    <t>Glaziernolan04@gmail.com</t>
  </si>
  <si>
    <t>Nolan Glazier</t>
  </si>
  <si>
    <t>robinf@lobo.net</t>
  </si>
  <si>
    <t>Jesse Field</t>
  </si>
  <si>
    <t>3204 Calle de Laura NW</t>
  </si>
  <si>
    <t>nathan99james@gmail.com</t>
  </si>
  <si>
    <t>Nathan Schmidt</t>
  </si>
  <si>
    <t>jakedanielgreer@gmail.com</t>
  </si>
  <si>
    <t>Jakedanielgreer@gmail.com</t>
  </si>
  <si>
    <t>3308 Providence</t>
  </si>
  <si>
    <t>Micah Field</t>
  </si>
  <si>
    <t>Sabrina Chapman</t>
  </si>
  <si>
    <t>jamescmorrison00@gmail.com</t>
  </si>
  <si>
    <t>James Morrison</t>
  </si>
  <si>
    <t>907 Westview Lane</t>
  </si>
  <si>
    <t>lexibien16@gmail.com</t>
  </si>
  <si>
    <t>Lexibien16@gmail.com</t>
  </si>
  <si>
    <t>Bien</t>
  </si>
  <si>
    <t>Alexis Bien</t>
  </si>
  <si>
    <t>P.O. Box 643</t>
  </si>
  <si>
    <t>Many Farms</t>
  </si>
  <si>
    <t>sminks23@gmail.com</t>
  </si>
  <si>
    <t>tminks3@gmail.com</t>
  </si>
  <si>
    <t>Tal</t>
  </si>
  <si>
    <t>Minks</t>
  </si>
  <si>
    <t>Tal Minks</t>
  </si>
  <si>
    <t>6501 Steeplechase Drive</t>
  </si>
  <si>
    <t>loverstreet@eplus.net</t>
  </si>
  <si>
    <t>vaiden.logan@yahoo.com</t>
  </si>
  <si>
    <t>William Logan</t>
  </si>
  <si>
    <t>812 Wrenwood</t>
  </si>
  <si>
    <t>Bowling Green</t>
  </si>
  <si>
    <t>jacobcervantes8@gmail.com</t>
  </si>
  <si>
    <t>Jacob Cervantes</t>
  </si>
  <si>
    <t>400 Kenyon Ave</t>
  </si>
  <si>
    <t>kylejbest20@gmail.com</t>
  </si>
  <si>
    <t>Kyle Best</t>
  </si>
  <si>
    <t>alexvlaisavich@comcast.net</t>
  </si>
  <si>
    <t>Vlaisavich</t>
  </si>
  <si>
    <t>Alexander Vlaisavich</t>
  </si>
  <si>
    <t>14036 Chelsea Dr</t>
  </si>
  <si>
    <t>goalrobbr@gmail.com</t>
  </si>
  <si>
    <t>Rempfer</t>
  </si>
  <si>
    <t>Adam Rempfer</t>
  </si>
  <si>
    <t>78 10th Concession</t>
  </si>
  <si>
    <t>Seguin</t>
  </si>
  <si>
    <t>Ont.</t>
  </si>
  <si>
    <t>P2A 2W8</t>
  </si>
  <si>
    <t>colleenmerck@icloud.com</t>
  </si>
  <si>
    <t>Merck</t>
  </si>
  <si>
    <t>Colleen Merck</t>
  </si>
  <si>
    <t>p.o. box 2266</t>
  </si>
  <si>
    <t>Red Lodge</t>
  </si>
  <si>
    <t>sheppenstein@gmail.com</t>
  </si>
  <si>
    <t>jonathanchristensen123@gmail.com</t>
  </si>
  <si>
    <t>Jonathan Christensen</t>
  </si>
  <si>
    <t>600 E. Fremont Place</t>
  </si>
  <si>
    <t>annettemanley@hotmail.com</t>
  </si>
  <si>
    <t>abagail</t>
  </si>
  <si>
    <t>manley</t>
  </si>
  <si>
    <t>abagail manley</t>
  </si>
  <si>
    <t>farmad@yahoo.com</t>
  </si>
  <si>
    <t>megan.twinprairies@gmail.com</t>
  </si>
  <si>
    <t>Skibinski</t>
  </si>
  <si>
    <t>Megan Skibinski</t>
  </si>
  <si>
    <t>80445 South Ave.</t>
  </si>
  <si>
    <t>daberry6@att.net</t>
  </si>
  <si>
    <t>crbspurs@gmail.com</t>
  </si>
  <si>
    <t>Chandler Berry</t>
  </si>
  <si>
    <t>2910 Northtown Place</t>
  </si>
  <si>
    <t>Midlnad</t>
  </si>
  <si>
    <t>margaretsweeney00@gmail.com</t>
  </si>
  <si>
    <t>Margaret Sweeney</t>
  </si>
  <si>
    <t>peggy_schoening@hotmail.com</t>
  </si>
  <si>
    <t>brandonschoening@hotmail.com</t>
  </si>
  <si>
    <t>Schoening</t>
  </si>
  <si>
    <t>Brandon Schoening</t>
  </si>
  <si>
    <t>23326 Briar Leaf Ave</t>
  </si>
  <si>
    <t>cbhwrd@att.net</t>
  </si>
  <si>
    <t>mhwrd16@yahoo.com</t>
  </si>
  <si>
    <t>Megan Howard</t>
  </si>
  <si>
    <t>209 Misty Mesa Trail</t>
  </si>
  <si>
    <t>bjmccool5@hotmail.com</t>
  </si>
  <si>
    <t>gooednathan@gmail.com</t>
  </si>
  <si>
    <t>Nathan McCool</t>
  </si>
  <si>
    <t>50 Kenzie Dr.</t>
  </si>
  <si>
    <t>smnason@yahoo.com</t>
  </si>
  <si>
    <t>sammynason@outlook.com</t>
  </si>
  <si>
    <t>Samuel Nason</t>
  </si>
  <si>
    <t>5226 Harpers Farm Road</t>
  </si>
  <si>
    <t>hsimaui1@aol.com</t>
  </si>
  <si>
    <t>jessicapriest@kiheicharter.org</t>
  </si>
  <si>
    <t>Priest</t>
  </si>
  <si>
    <t>Jessica Priest</t>
  </si>
  <si>
    <t>1600 N Alaniu Pl</t>
  </si>
  <si>
    <t>P.O. Box 1983</t>
  </si>
  <si>
    <t>Kihei</t>
  </si>
  <si>
    <t>inhishandsseven@gmail.com</t>
  </si>
  <si>
    <t>hippophile95@gmail.com</t>
  </si>
  <si>
    <t>Kristin Allen</t>
  </si>
  <si>
    <t>PO Box 331</t>
  </si>
  <si>
    <t>Goodwell</t>
  </si>
  <si>
    <t>Onthepath737@gmail.com</t>
  </si>
  <si>
    <t>Lauran</t>
  </si>
  <si>
    <t>Lauran Allen</t>
  </si>
  <si>
    <t>10512 Turkey Run Drive</t>
  </si>
  <si>
    <t>mariah.hurst@gmail.com</t>
  </si>
  <si>
    <t>Mariah Hurst</t>
  </si>
  <si>
    <t>Irpavi Calle 2</t>
  </si>
  <si>
    <t>Edificio Don Miguel 1a</t>
  </si>
  <si>
    <t>mindy@casteeltribe.com</t>
  </si>
  <si>
    <t>rosercasteel@gmail.com</t>
  </si>
  <si>
    <t>Rosemary</t>
  </si>
  <si>
    <t>Casteel</t>
  </si>
  <si>
    <t>Rosemary Casteel</t>
  </si>
  <si>
    <t>13033  Bond St</t>
  </si>
  <si>
    <t>maggiebaldwin5292@yahoo.com</t>
  </si>
  <si>
    <t>Maggiebaldwin5292@yahoo.com</t>
  </si>
  <si>
    <t>Maggie Baldwin</t>
  </si>
  <si>
    <t>136 Taylor Trace</t>
  </si>
  <si>
    <t>sethdanielh13@hotmail.com</t>
  </si>
  <si>
    <t>Havens</t>
  </si>
  <si>
    <t>Seth Havens</t>
  </si>
  <si>
    <t>27458 Hwy. 71</t>
  </si>
  <si>
    <t>Rocky Ford</t>
  </si>
  <si>
    <t>taterflygirl@yahoo.com</t>
  </si>
  <si>
    <t>Tatiana Murphy</t>
  </si>
  <si>
    <t>edgars2U@aol.com</t>
  </si>
  <si>
    <t>kedgar3432@gmail.com</t>
  </si>
  <si>
    <t>Luke Edgar</t>
  </si>
  <si>
    <t>104 S Main</t>
  </si>
  <si>
    <t>bergdalldeals@gmail.com</t>
  </si>
  <si>
    <t>kykeeb@gmail.com</t>
  </si>
  <si>
    <t>Bergdall</t>
  </si>
  <si>
    <t>Kylie Bergdall</t>
  </si>
  <si>
    <t>12907 S Widmer St</t>
  </si>
  <si>
    <t>wldance4him@gmail.com</t>
  </si>
  <si>
    <t>delldimention@gmail.com</t>
  </si>
  <si>
    <t>Micah Olson</t>
  </si>
  <si>
    <t>504 N. Marquette Ave.</t>
  </si>
  <si>
    <t>dresden@comcast.net</t>
  </si>
  <si>
    <t>Brunner</t>
  </si>
  <si>
    <t>Walker Brunner</t>
  </si>
  <si>
    <t>thewalsh6@verizon.net</t>
  </si>
  <si>
    <t>sydgwalsh15@gmail.com</t>
  </si>
  <si>
    <t>Sydney Walsh</t>
  </si>
  <si>
    <t>9702 W Park Village Drive</t>
  </si>
  <si>
    <t>suefio8@gmail.com</t>
  </si>
  <si>
    <t>livikatefio@gmail.com</t>
  </si>
  <si>
    <t>Fiorino</t>
  </si>
  <si>
    <t>Olivia Fiorino</t>
  </si>
  <si>
    <t>2008 Catalina Drive</t>
  </si>
  <si>
    <t>hoghunter15welch@aol.com</t>
  </si>
  <si>
    <t>isaac welch</t>
  </si>
  <si>
    <t>4813 cooper rd</t>
  </si>
  <si>
    <t>plant city</t>
  </si>
  <si>
    <t>backdoc@socket.net</t>
  </si>
  <si>
    <t>littlebearlou@gmail.com</t>
  </si>
  <si>
    <t>Schierling</t>
  </si>
  <si>
    <t>Michaela Schierling</t>
  </si>
  <si>
    <t>1207 Woodruff St</t>
  </si>
  <si>
    <t>Sarah Newman</t>
  </si>
  <si>
    <t>10529 SW 30th ST</t>
  </si>
  <si>
    <t>ndaniel455@gmail.com</t>
  </si>
  <si>
    <t>Nathan Daniel</t>
  </si>
  <si>
    <t>7220 Big Valley Ct</t>
  </si>
  <si>
    <t>Jason.shaw@almex.com</t>
  </si>
  <si>
    <t>Jasonchristophershaw98@gmail.com</t>
  </si>
  <si>
    <t>Jason Shaw</t>
  </si>
  <si>
    <t>second road east</t>
  </si>
  <si>
    <t>Stoney Creek</t>
  </si>
  <si>
    <t>l8j2x9</t>
  </si>
  <si>
    <t>HSchrom11@gmail.com</t>
  </si>
  <si>
    <t>Hannah Schrom</t>
  </si>
  <si>
    <t>914 Hannah Drive</t>
  </si>
  <si>
    <t>ottet@valleschools.org</t>
  </si>
  <si>
    <t>Thomas Otte</t>
  </si>
  <si>
    <t>St Mary</t>
  </si>
  <si>
    <t>hannahcrosby01@gmail.com</t>
  </si>
  <si>
    <t>Crosby</t>
  </si>
  <si>
    <t>Hannah Crosby</t>
  </si>
  <si>
    <t>65 County Line Rd.</t>
  </si>
  <si>
    <t>Harwinton</t>
  </si>
  <si>
    <t>turkenraizer@gmail.com</t>
  </si>
  <si>
    <t>McJunkin</t>
  </si>
  <si>
    <t>David McJunkin</t>
  </si>
  <si>
    <t>7090 252nd Road</t>
  </si>
  <si>
    <t>blakeyroth@gmail.com</t>
  </si>
  <si>
    <t>Blake Roth</t>
  </si>
  <si>
    <t>102 chardmore ct</t>
  </si>
  <si>
    <t>simpsonville</t>
  </si>
  <si>
    <t>jdq537@gmail.com</t>
  </si>
  <si>
    <t>Quarnstrom</t>
  </si>
  <si>
    <t>Joel Quarnstrom</t>
  </si>
  <si>
    <t>5121 W 76th St</t>
  </si>
  <si>
    <t>jcobaugh@gmail.com</t>
  </si>
  <si>
    <t>Cobaugh</t>
  </si>
  <si>
    <t>Joshua Cobaugh</t>
  </si>
  <si>
    <t>27122 E Ontario Pl</t>
  </si>
  <si>
    <t>turkeybluff@c-i-service.com</t>
  </si>
  <si>
    <t>Ina</t>
  </si>
  <si>
    <t>Rosgaard</t>
  </si>
  <si>
    <t>Ina Rosgaard</t>
  </si>
  <si>
    <t>tfreet@twca.net</t>
  </si>
  <si>
    <t>Freet</t>
  </si>
  <si>
    <t>Thomas Freet</t>
  </si>
  <si>
    <t>26 Bough Leaf Place</t>
  </si>
  <si>
    <t>hayley.macdonald98@gmail.com</t>
  </si>
  <si>
    <t>Hayley MacDonald</t>
  </si>
  <si>
    <t>1124 landsburn circle</t>
  </si>
  <si>
    <t>ggpeterson246@gmail.com</t>
  </si>
  <si>
    <t>Gabrielle Peterson</t>
  </si>
  <si>
    <t>8620 Candleflower Cir.</t>
  </si>
  <si>
    <t>danielchancock@gmail.com</t>
  </si>
  <si>
    <t>Daniel Hancock</t>
  </si>
  <si>
    <t>15953 Millwood Drive</t>
  </si>
  <si>
    <t>kimmadigan3@gmail.com</t>
  </si>
  <si>
    <t>sdmadigan13@gmail.com</t>
  </si>
  <si>
    <t>Sean Madigan</t>
  </si>
  <si>
    <t>rss1313@outlook.com</t>
  </si>
  <si>
    <t>Richard Smith</t>
  </si>
  <si>
    <t>182 W Poplar Ave</t>
  </si>
  <si>
    <t>bubblingbrooke2000@gmail.com</t>
  </si>
  <si>
    <t>McKenzie Showalter</t>
  </si>
  <si>
    <t>Scotts Ford Road</t>
  </si>
  <si>
    <t>jlklbrush@gmail.com</t>
  </si>
  <si>
    <t>kaitlynleigh811@gmail.com</t>
  </si>
  <si>
    <t>Kaitlyn Brush</t>
  </si>
  <si>
    <t>509 Pine Top Road</t>
  </si>
  <si>
    <t>Fort Defiance</t>
  </si>
  <si>
    <t>eliwicker7@icloud.com</t>
  </si>
  <si>
    <t>Eli Wicker</t>
  </si>
  <si>
    <t>rndteam@bellsouth.net</t>
  </si>
  <si>
    <t>Belkjn@my.gvltec.edu</t>
  </si>
  <si>
    <t>Belk</t>
  </si>
  <si>
    <t>Jennifer Belk</t>
  </si>
  <si>
    <t>216 Melbourne Lane</t>
  </si>
  <si>
    <t>Katherine Clark</t>
  </si>
  <si>
    <t>watsonrebs@gmail.com</t>
  </si>
  <si>
    <t>alliecat.awe@gmail.com</t>
  </si>
  <si>
    <t>Allie Watson</t>
  </si>
  <si>
    <t>14195 Wolf Run Blvd</t>
  </si>
  <si>
    <t>Gulfport</t>
  </si>
  <si>
    <t>thompsemily1@gmail.com</t>
  </si>
  <si>
    <t>Emily Thompson</t>
  </si>
  <si>
    <t>N13540 county line Rd</t>
  </si>
  <si>
    <t>Minong</t>
  </si>
  <si>
    <t>smkylie123@gmail.com</t>
  </si>
  <si>
    <t>Kylie Thompson</t>
  </si>
  <si>
    <t>N13540 County Line Rd</t>
  </si>
  <si>
    <t>butler.sethbob2@gmail.com</t>
  </si>
  <si>
    <t>butler.seth7@gmail.com</t>
  </si>
  <si>
    <t>Seth Butler</t>
  </si>
  <si>
    <t>jessiemweiss@yahoo.com</t>
  </si>
  <si>
    <t>Jessiemweiss@yahoo.com</t>
  </si>
  <si>
    <t>Jessica Weiss</t>
  </si>
  <si>
    <t>2724 Kashmiri</t>
  </si>
  <si>
    <t>Mchenry</t>
  </si>
  <si>
    <t>mmsundertx@gmail.com</t>
  </si>
  <si>
    <t>raesundie@gmail.com</t>
  </si>
  <si>
    <t>Sundermeyer</t>
  </si>
  <si>
    <t>Raegan Sundermeyer</t>
  </si>
  <si>
    <t>4100 Silver creek rd</t>
  </si>
  <si>
    <t>princessbride_19@outlook.com</t>
  </si>
  <si>
    <t>1726 Colorado Ave</t>
  </si>
  <si>
    <t>Black Eagle</t>
  </si>
  <si>
    <t>zanewilliams26@gmail.com</t>
  </si>
  <si>
    <t>jakewilliams1400@gmail.com</t>
  </si>
  <si>
    <t>Jacob Williams</t>
  </si>
  <si>
    <t>9 Aspen Creek Dr</t>
  </si>
  <si>
    <t>nokomisgirl@gmail.com</t>
  </si>
  <si>
    <t>Fitzgibbons</t>
  </si>
  <si>
    <t>Abigail Fitzgibbons</t>
  </si>
  <si>
    <t>5121 Woodlawn Blvd</t>
  </si>
  <si>
    <t>alyssaks99@yahoo.com</t>
  </si>
  <si>
    <t>Alyssa Smith</t>
  </si>
  <si>
    <t>1207 Lori Ellen Court</t>
  </si>
  <si>
    <t>ctp625@gmail.com</t>
  </si>
  <si>
    <t>Christian Peterson</t>
  </si>
  <si>
    <t>cathy@e3professionaltrainers.com</t>
  </si>
  <si>
    <t>carleytcs1@gmail.com</t>
  </si>
  <si>
    <t>Carley Anderson</t>
  </si>
  <si>
    <t>5013 92nd St</t>
  </si>
  <si>
    <t>hugmonster015@gmail.com</t>
  </si>
  <si>
    <t>Justin Swanson</t>
  </si>
  <si>
    <t>4305 Oregon Ave N</t>
  </si>
  <si>
    <t>Apt 412</t>
  </si>
  <si>
    <t>New Hope</t>
  </si>
  <si>
    <t>mjm3g2@gmail.com</t>
  </si>
  <si>
    <t>Joseph Grable</t>
  </si>
  <si>
    <t>kahnsklan@sbcglobal.net</t>
  </si>
  <si>
    <t>petrified99@sbcglobal.net</t>
  </si>
  <si>
    <t>Grisanti</t>
  </si>
  <si>
    <t>Peter Grisanti</t>
  </si>
  <si>
    <t>7030 E 40th Cir N</t>
  </si>
  <si>
    <t>Miller6@me.com</t>
  </si>
  <si>
    <t>abigailjanemiller@icloud.com</t>
  </si>
  <si>
    <t>jdb6093@yahoo.com</t>
  </si>
  <si>
    <t>Anna Baer</t>
  </si>
  <si>
    <t>patcowan54@gmail.com</t>
  </si>
  <si>
    <t>stephen.p.cowan@gmail.com</t>
  </si>
  <si>
    <t>Cowan</t>
  </si>
  <si>
    <t>Stephen Cowan</t>
  </si>
  <si>
    <t>7110 NW 21st Street</t>
  </si>
  <si>
    <t>bgarrettcpa@gmail.com</t>
  </si>
  <si>
    <t>blpreston2015@gmail.com</t>
  </si>
  <si>
    <t>Brandon Preston</t>
  </si>
  <si>
    <t>josephbsorrells@gmail.com</t>
  </si>
  <si>
    <t>Joseph Sorrells</t>
  </si>
  <si>
    <t>garydiehl@gmail.com</t>
  </si>
  <si>
    <t>grossmic000@isd482.org</t>
  </si>
  <si>
    <t>Michael Gross</t>
  </si>
  <si>
    <t>11203 Harvest Road</t>
  </si>
  <si>
    <t>Little Falls</t>
  </si>
  <si>
    <t>gunnuttjoe@gmail.com</t>
  </si>
  <si>
    <t>Joseph Primer</t>
  </si>
  <si>
    <t>jamesbprimer@gmail.com</t>
  </si>
  <si>
    <t>James Primer</t>
  </si>
  <si>
    <t>jojo505168@gmail.com</t>
  </si>
  <si>
    <t>joanna</t>
  </si>
  <si>
    <t>joanna dodson</t>
  </si>
  <si>
    <t>mys.kathrien@gmail.com</t>
  </si>
  <si>
    <t>Kathrien</t>
  </si>
  <si>
    <t>Mys</t>
  </si>
  <si>
    <t>Kathrien Mys</t>
  </si>
  <si>
    <t>23311 Oak Cliff Bend</t>
  </si>
  <si>
    <t>wesflynn@yahoo.com</t>
  </si>
  <si>
    <t>gabbynicolef@gmail.com</t>
  </si>
  <si>
    <t>Flynn</t>
  </si>
  <si>
    <t>Gabriella Flynn</t>
  </si>
  <si>
    <t>1227 Farnsworth Dr.</t>
  </si>
  <si>
    <t>rnjpowell@gmail.com</t>
  </si>
  <si>
    <t>marykp26@gmail.com</t>
  </si>
  <si>
    <t>Mary Powell</t>
  </si>
  <si>
    <t>231 Seaton Avenue</t>
  </si>
  <si>
    <t>rfraserthree@gmail.com</t>
  </si>
  <si>
    <t>godisastounding@gmail.com</t>
  </si>
  <si>
    <t>Drake Fraser</t>
  </si>
  <si>
    <t>12546 90th Place North</t>
  </si>
  <si>
    <t>davidkouma@aol.com</t>
  </si>
  <si>
    <t>golden.sapphire13@gmail.com</t>
  </si>
  <si>
    <t>Kouma</t>
  </si>
  <si>
    <t>Natasha Kouma</t>
  </si>
  <si>
    <t>7640 Spring Glade Rd.</t>
  </si>
  <si>
    <t>hagens5@msn.com</t>
  </si>
  <si>
    <t>kkhagen4@gmail.com</t>
  </si>
  <si>
    <t>Kayla Hagen</t>
  </si>
  <si>
    <t>1628 Southwest Country Club Place</t>
  </si>
  <si>
    <t>Corvallis</t>
  </si>
  <si>
    <t>simplilily@windstream.net</t>
  </si>
  <si>
    <t>Shubert</t>
  </si>
  <si>
    <t>Lily Shubert</t>
  </si>
  <si>
    <t>576 Betty Fogger LN</t>
  </si>
  <si>
    <t>kingers7@yahoo.com</t>
  </si>
  <si>
    <t>Derivinity@gmail.com</t>
  </si>
  <si>
    <t>Hunter King</t>
  </si>
  <si>
    <t>9813 W Maya Way</t>
  </si>
  <si>
    <t>michael.rohrssen@gmail.com</t>
  </si>
  <si>
    <t>Michael Rohrssen</t>
  </si>
  <si>
    <t>4525 Troy Mills Rd.</t>
  </si>
  <si>
    <t>crossroadsranch1@gmail.com</t>
  </si>
  <si>
    <t>Bowes</t>
  </si>
  <si>
    <t>Kyle Bowes</t>
  </si>
  <si>
    <t>142 Elk Ridge Rd</t>
  </si>
  <si>
    <t>Mossyrock</t>
  </si>
  <si>
    <t>ofashian@gmail.com</t>
  </si>
  <si>
    <t>Olivia Fashian</t>
  </si>
  <si>
    <t>688 Hills-Miller Rd.</t>
  </si>
  <si>
    <t>melaniehawk@yahoo.com</t>
  </si>
  <si>
    <t>josiahpowers01@gmail.com</t>
  </si>
  <si>
    <t>Andrew Hawk</t>
  </si>
  <si>
    <t>1629 Severn Run Court</t>
  </si>
  <si>
    <t>Severn</t>
  </si>
  <si>
    <t>elenanachbar@gmail.com</t>
  </si>
  <si>
    <t>Nachbar</t>
  </si>
  <si>
    <t>Elena Nachbar</t>
  </si>
  <si>
    <t>Talitha DuPaul</t>
  </si>
  <si>
    <t>craig@manners.com.au</t>
  </si>
  <si>
    <t>joshua@manners.com.au</t>
  </si>
  <si>
    <t>Manners</t>
  </si>
  <si>
    <t>Joshua Manners</t>
  </si>
  <si>
    <t>69 Ferndale Rd</t>
  </si>
  <si>
    <t>Upper Ferntree Gully</t>
  </si>
  <si>
    <t>VIC</t>
  </si>
  <si>
    <t>adam@castleview.org</t>
  </si>
  <si>
    <t>connerc184@icloud.com</t>
  </si>
  <si>
    <t>Conner Case</t>
  </si>
  <si>
    <t>8783 Randall Drive</t>
  </si>
  <si>
    <t>Nioudnivlaguerre@gmail.com</t>
  </si>
  <si>
    <t>Nioudniv</t>
  </si>
  <si>
    <t>Laguerre</t>
  </si>
  <si>
    <t>Nioudniv Laguerre</t>
  </si>
  <si>
    <t>7334 Sedgwick way</t>
  </si>
  <si>
    <t>jhulahoop@gmail.com</t>
  </si>
  <si>
    <t>haileyzimmerman810@gmail.com</t>
  </si>
  <si>
    <t>Hailey Zimmerman</t>
  </si>
  <si>
    <t>403 E. 6th St</t>
  </si>
  <si>
    <t>kaelynm276@gmail.com</t>
  </si>
  <si>
    <t>Kaelyn</t>
  </si>
  <si>
    <t>Matsos</t>
  </si>
  <si>
    <t>Kaelyn Matsos</t>
  </si>
  <si>
    <t>13363 Longtin</t>
  </si>
  <si>
    <t>Southgate</t>
  </si>
  <si>
    <t>hradloff@comcast.net</t>
  </si>
  <si>
    <t>Copilot@comcast.net</t>
  </si>
  <si>
    <t>Radloff</t>
  </si>
  <si>
    <t>Harold Radloff</t>
  </si>
  <si>
    <t>17 Eastside Loop</t>
  </si>
  <si>
    <t>gayle@beamingwellnessmedia.com</t>
  </si>
  <si>
    <t>maggiebellemartin@yahoo.com</t>
  </si>
  <si>
    <t>Maggie Martin</t>
  </si>
  <si>
    <t>22 Robin Trail</t>
  </si>
  <si>
    <t>landonday42@gmail.com</t>
  </si>
  <si>
    <t>Landonday42@gmail.com</t>
  </si>
  <si>
    <t>609 east county road 135</t>
  </si>
  <si>
    <t>gafashian@gmail.com</t>
  </si>
  <si>
    <t>Grace Fashian</t>
  </si>
  <si>
    <t>520gymnast@gmail.com</t>
  </si>
  <si>
    <t>Abigail Kenniv</t>
  </si>
  <si>
    <t>we3wood@reagan.com</t>
  </si>
  <si>
    <t>mrtwig@reagan.com</t>
  </si>
  <si>
    <t>15716 Magnolia Park</t>
  </si>
  <si>
    <t>cfaithwix@gmail.com</t>
  </si>
  <si>
    <t>channing</t>
  </si>
  <si>
    <t>wicks</t>
  </si>
  <si>
    <t>channing wicks</t>
  </si>
  <si>
    <t>4609 101 st</t>
  </si>
  <si>
    <t>hdeherrera14@gmail.com</t>
  </si>
  <si>
    <t>DeHerrera</t>
  </si>
  <si>
    <t>Hannah DeHerrera</t>
  </si>
  <si>
    <t>6925 Barrimore Drive</t>
  </si>
  <si>
    <t>arctic.fox.hj@gmail.com</t>
  </si>
  <si>
    <t>Hannah Jarvis</t>
  </si>
  <si>
    <t>marthagcurtis00@gmail.com</t>
  </si>
  <si>
    <t>Martha Curtis</t>
  </si>
  <si>
    <t>jgehman@charter.net</t>
  </si>
  <si>
    <t>Gehman</t>
  </si>
  <si>
    <t>Joseph Gehman</t>
  </si>
  <si>
    <t>100 Amy Lynn Ct</t>
  </si>
  <si>
    <t>goldalane@yahoo.com</t>
  </si>
  <si>
    <t>goldalane@gmail.com</t>
  </si>
  <si>
    <t>Golda</t>
  </si>
  <si>
    <t>Golda Peters</t>
  </si>
  <si>
    <t>3508-93rd street</t>
  </si>
  <si>
    <t>danlitz98@yahoo.com</t>
  </si>
  <si>
    <t>Daniel Litz</t>
  </si>
  <si>
    <t>efashian@gmail.com</t>
  </si>
  <si>
    <t>Elizabeth Fashian</t>
  </si>
  <si>
    <t>tf3home@gmail.com</t>
  </si>
  <si>
    <t>erin00.flannery@gmail.com</t>
  </si>
  <si>
    <t>FLANNERY</t>
  </si>
  <si>
    <t>Erin FLANNERY</t>
  </si>
  <si>
    <t>207 Penry Rd.</t>
  </si>
  <si>
    <t>livingonvacation@gmail.com</t>
  </si>
  <si>
    <t>kpaigeschneider@gmail.com</t>
  </si>
  <si>
    <t>Kimberly Schneider</t>
  </si>
  <si>
    <t>11410 Trafalgar Ave</t>
  </si>
  <si>
    <t>sydneydejager2000@gmail.com</t>
  </si>
  <si>
    <t>Sydney DeJager</t>
  </si>
  <si>
    <t>ltaylor@css.org</t>
  </si>
  <si>
    <t>315 Hidden Creek Dr.</t>
  </si>
  <si>
    <t>marcushague@live.com</t>
  </si>
  <si>
    <t>Marcus Hague</t>
  </si>
  <si>
    <t>1805 Cromwood Road</t>
  </si>
  <si>
    <t>jareddupaul@gmail.com</t>
  </si>
  <si>
    <t>Jared DuPaul</t>
  </si>
  <si>
    <t>mamahuddle@yahoo.com</t>
  </si>
  <si>
    <t>mason_mvtx@hotmail.com</t>
  </si>
  <si>
    <t>Huddleston</t>
  </si>
  <si>
    <t>Mason Huddleston</t>
  </si>
  <si>
    <t>208 Turner St</t>
  </si>
  <si>
    <t>bmaifeld@gmail.com</t>
  </si>
  <si>
    <t>saramaifeld@gmail.com</t>
  </si>
  <si>
    <t>Maifeld</t>
  </si>
  <si>
    <t>Sara Maifeld</t>
  </si>
  <si>
    <t>47042 258th st</t>
  </si>
  <si>
    <t>sioux falls</t>
  </si>
  <si>
    <t>mcrplbg@msn.com</t>
  </si>
  <si>
    <t>thedhero@gmail.com</t>
  </si>
  <si>
    <t>Casey Newton</t>
  </si>
  <si>
    <t>4739 Azucena Rd</t>
  </si>
  <si>
    <t>Woodland Hills</t>
  </si>
  <si>
    <t>kountitehoun@gmail.com</t>
  </si>
  <si>
    <t>riley.murdock7@gmail.com</t>
  </si>
  <si>
    <t>Murdock</t>
  </si>
  <si>
    <t>Thomas Murdock</t>
  </si>
  <si>
    <t>PO Box 982</t>
  </si>
  <si>
    <t>240 S. Maybell Ave.</t>
  </si>
  <si>
    <t>Pinedale</t>
  </si>
  <si>
    <t>macy.tapp@gmail.com</t>
  </si>
  <si>
    <t>Tapp</t>
  </si>
  <si>
    <t>Macy Tapp</t>
  </si>
  <si>
    <t>4105 68th Street</t>
  </si>
  <si>
    <t>hippiegirlz@outlook.com</t>
  </si>
  <si>
    <t>Elora Dover</t>
  </si>
  <si>
    <t>1625 7th ave n</t>
  </si>
  <si>
    <t>sondraziegler@gmail.com</t>
  </si>
  <si>
    <t>abigailziegler8@gmail.com</t>
  </si>
  <si>
    <t>Abigail Ziegler</t>
  </si>
  <si>
    <t>4704 118th Street</t>
  </si>
  <si>
    <t>radwombat60@gmail.com</t>
  </si>
  <si>
    <t>elijahpdavis@gmail.com</t>
  </si>
  <si>
    <t>Elijah Davis</t>
  </si>
  <si>
    <t>7805 Summer Glen Dr</t>
  </si>
  <si>
    <t>nick.morla.2016@gmail.com</t>
  </si>
  <si>
    <t>Morla Hopkinson</t>
  </si>
  <si>
    <t>Nicolas Morla Hopkinson</t>
  </si>
  <si>
    <t>3 Quo Vadis Place, Red Beach</t>
  </si>
  <si>
    <t>ninjabis1@gmail.com</t>
  </si>
  <si>
    <t>Joshua Smith</t>
  </si>
  <si>
    <t>st_hmy@yahoo.com</t>
  </si>
  <si>
    <t>dtpingpong@gmail.com</t>
  </si>
  <si>
    <t>Teh</t>
  </si>
  <si>
    <t>Deborah Teh</t>
  </si>
  <si>
    <t>47 Kelvi Hart Drive</t>
  </si>
  <si>
    <t>Dannemora</t>
  </si>
  <si>
    <t>spanglers1995@gmail.com</t>
  </si>
  <si>
    <t>LukeJSpangler@gmail.com</t>
  </si>
  <si>
    <t>Spangler</t>
  </si>
  <si>
    <t>Luke Spangler</t>
  </si>
  <si>
    <t>20720 Edgerton Rd</t>
  </si>
  <si>
    <t>Tessa Johnson</t>
  </si>
  <si>
    <t>sarahwithanh@gmail.com</t>
  </si>
  <si>
    <t>Sarah Posey</t>
  </si>
  <si>
    <t>20110 Centreville-Constantine Rd.</t>
  </si>
  <si>
    <t>schlatter.transport@gmail.com</t>
  </si>
  <si>
    <t>Schlatter</t>
  </si>
  <si>
    <t>Justin Schlatter</t>
  </si>
  <si>
    <t>18532 Notestine Rd</t>
  </si>
  <si>
    <t>katelyn.strickland01@gmail.com</t>
  </si>
  <si>
    <t>Katelyn Strickland</t>
  </si>
  <si>
    <t>sphillipps@icloud.com</t>
  </si>
  <si>
    <t>ajpoppy@icloud.com</t>
  </si>
  <si>
    <t>Phillipps</t>
  </si>
  <si>
    <t>Abigail Phillipps</t>
  </si>
  <si>
    <t>1004 Brookdale Road East</t>
  </si>
  <si>
    <t>njbagunter@gmail.com</t>
  </si>
  <si>
    <t>btgunter01@gmail.com</t>
  </si>
  <si>
    <t>Bryce Gunter</t>
  </si>
  <si>
    <t>822 Ruff Davis Rd.</t>
  </si>
  <si>
    <t>Roxboo</t>
  </si>
  <si>
    <t>lcrank41@gmail.com</t>
  </si>
  <si>
    <t>Crank</t>
  </si>
  <si>
    <t>Liam Crank</t>
  </si>
  <si>
    <t>12156 Autumn Winds Ln</t>
  </si>
  <si>
    <t>casenmol@gmail.com</t>
  </si>
  <si>
    <t>Casen</t>
  </si>
  <si>
    <t>Casen Molstad</t>
  </si>
  <si>
    <t>jonathanallen087@gmail.com</t>
  </si>
  <si>
    <t>Jonathan Allen</t>
  </si>
  <si>
    <t>athomas@mariettacommunitychurch.org</t>
  </si>
  <si>
    <t>ellieh4255@gmail.com</t>
  </si>
  <si>
    <t>Elise Hall</t>
  </si>
  <si>
    <t>541 Hardage Trace</t>
  </si>
  <si>
    <t>busymouse@yahoo.com</t>
  </si>
  <si>
    <t>Skootercat@yahoo.com</t>
  </si>
  <si>
    <t>Lynch</t>
  </si>
  <si>
    <t>Catherine Lynch</t>
  </si>
  <si>
    <t>103 Ballenger Ave</t>
  </si>
  <si>
    <t>mountaineermich@frontiernet.net</t>
  </si>
  <si>
    <t>madscientistgru@gmail.com</t>
  </si>
  <si>
    <t>39 Fairfax Pines Drive</t>
  </si>
  <si>
    <t>Reedsville</t>
  </si>
  <si>
    <t>melissa.sodonis@gmail.com</t>
  </si>
  <si>
    <t>marius.sodonis@att.net</t>
  </si>
  <si>
    <t>Marius</t>
  </si>
  <si>
    <t>Sodonis</t>
  </si>
  <si>
    <t>Marius Sodonis</t>
  </si>
  <si>
    <t>736 Sedgley Drive</t>
  </si>
  <si>
    <t>075definition6@gmail.com</t>
  </si>
  <si>
    <t>Jesse Allen</t>
  </si>
  <si>
    <t>aaron2paul@aol.com</t>
  </si>
  <si>
    <t>Aaron Paulukaitis</t>
  </si>
  <si>
    <t>fhaines44@gmail.com</t>
  </si>
  <si>
    <t>Freddy Haines</t>
  </si>
  <si>
    <t>405 E. 15th St.</t>
  </si>
  <si>
    <t>Hays</t>
  </si>
  <si>
    <t>britneyting82@gmail.com</t>
  </si>
  <si>
    <t>Britney</t>
  </si>
  <si>
    <t>Ting</t>
  </si>
  <si>
    <t>Britney Ting</t>
  </si>
  <si>
    <t>4445 Fairway Dr.</t>
  </si>
  <si>
    <t>ellelsmith@yahoo.com</t>
  </si>
  <si>
    <t>ellelasmith@yahoo.com</t>
  </si>
  <si>
    <t>Ellƒì</t>
  </si>
  <si>
    <t>Ellƒì Smith</t>
  </si>
  <si>
    <t>307 N. 36th Ave</t>
  </si>
  <si>
    <t>Christian Perez</t>
  </si>
  <si>
    <t>wgkeith@sbcglobal.net</t>
  </si>
  <si>
    <t>William Keith</t>
  </si>
  <si>
    <t>1050 Windfaire Place</t>
  </si>
  <si>
    <t>holdfast@usa.net</t>
  </si>
  <si>
    <t>Madeline Brown</t>
  </si>
  <si>
    <t>pinkpanther4good@gmail.com</t>
  </si>
  <si>
    <t>Pinkpanther4good@gmai.com</t>
  </si>
  <si>
    <t>150 Richardson rd</t>
  </si>
  <si>
    <t>kellip1@juno.com</t>
  </si>
  <si>
    <t>Recicar</t>
  </si>
  <si>
    <t>Micah Recicar</t>
  </si>
  <si>
    <t>ttmcdermott@charter.net</t>
  </si>
  <si>
    <t>jhmcdermott@sabrenation.org</t>
  </si>
  <si>
    <t>McDermott</t>
  </si>
  <si>
    <t>John McDermott</t>
  </si>
  <si>
    <t>2 Lismore Court</t>
  </si>
  <si>
    <t>tombaumgarten@hotmail.com</t>
  </si>
  <si>
    <t>mebaumgarten@sabrenation.org</t>
  </si>
  <si>
    <t>Baumgarten</t>
  </si>
  <si>
    <t>Mary Baumgarten</t>
  </si>
  <si>
    <t>115 Ridgeland Drive</t>
  </si>
  <si>
    <t>cyadon@guynielson.com</t>
  </si>
  <si>
    <t>Gsyadon99@gmail.com</t>
  </si>
  <si>
    <t>Yadon</t>
  </si>
  <si>
    <t>Garrett Yadon</t>
  </si>
  <si>
    <t>755 N Arthur Ave</t>
  </si>
  <si>
    <t>Pocatello</t>
  </si>
  <si>
    <t>Cameron Yadon</t>
  </si>
  <si>
    <t>oaklawn@embarqmail.com</t>
  </si>
  <si>
    <t>striker6001@gmail.com</t>
  </si>
  <si>
    <t>Timothy Johnson</t>
  </si>
  <si>
    <t>12376 State Route F</t>
  </si>
  <si>
    <t>villanueva391@bellsouth.net</t>
  </si>
  <si>
    <t>vvillanueva2424@gmail.com</t>
  </si>
  <si>
    <t>Victoria Villanueva</t>
  </si>
  <si>
    <t>1508 SW 23 Street</t>
  </si>
  <si>
    <t>revarattan@aol.com</t>
  </si>
  <si>
    <t>Swingaling00@gmail.com</t>
  </si>
  <si>
    <t>Rattan</t>
  </si>
  <si>
    <t>Ryan Rattan</t>
  </si>
  <si>
    <t>PO Box 1735</t>
  </si>
  <si>
    <t>corycrew@netscape.com</t>
  </si>
  <si>
    <t>Jodie</t>
  </si>
  <si>
    <t>Jodie Cory</t>
  </si>
  <si>
    <t>6541 Comanche Ave.</t>
  </si>
  <si>
    <t>Winnetka</t>
  </si>
  <si>
    <t>mountaingrannie@gmail.com</t>
  </si>
  <si>
    <t>Jewel@xalnix.com</t>
  </si>
  <si>
    <t>Jewel Potter</t>
  </si>
  <si>
    <t>5223 Huston Court</t>
  </si>
  <si>
    <t>annashoe13@gmail.com</t>
  </si>
  <si>
    <t>Anna Shoemaker</t>
  </si>
  <si>
    <t>3205 Oak Manor Dr.</t>
  </si>
  <si>
    <t>ryandkris@me.com</t>
  </si>
  <si>
    <t>flip4legos@icloud.com</t>
  </si>
  <si>
    <t>Durso</t>
  </si>
  <si>
    <t>Reese Durso</t>
  </si>
  <si>
    <t>2009 Viper Dr</t>
  </si>
  <si>
    <t>chaddenham@yahoo.com</t>
  </si>
  <si>
    <t>marianaas.015@gmail.com</t>
  </si>
  <si>
    <t>Mariana</t>
  </si>
  <si>
    <t>Haddenham</t>
  </si>
  <si>
    <t>Mariana Haddenham</t>
  </si>
  <si>
    <t>5805 Revelstoke Drive</t>
  </si>
  <si>
    <t>claunchgamebirds@gmail.com</t>
  </si>
  <si>
    <t>Claunchgamebirds@gmail.com</t>
  </si>
  <si>
    <t>Claunch</t>
  </si>
  <si>
    <t>Craig Claunch</t>
  </si>
  <si>
    <t>19482 Surface Creek rd</t>
  </si>
  <si>
    <t>piper2018@gmail.com</t>
  </si>
  <si>
    <t>Piper2018@gmail.com</t>
  </si>
  <si>
    <t>Baylee Piper</t>
  </si>
  <si>
    <t>19482 Surface Creek Rd</t>
  </si>
  <si>
    <t>gutierrez.ozzy@icloud.com</t>
  </si>
  <si>
    <t>Gutierrez.ozzy@icloud.com</t>
  </si>
  <si>
    <t>Ben Gutierrez</t>
  </si>
  <si>
    <t>sabower@lpstudent.org</t>
  </si>
  <si>
    <t>saydajaycee@gmail.com</t>
  </si>
  <si>
    <t>Sayda</t>
  </si>
  <si>
    <t>Bower</t>
  </si>
  <si>
    <t>Sayda Bower</t>
  </si>
  <si>
    <t>1620 Gillieron Rd</t>
  </si>
  <si>
    <t>elizabeth.kirsch18@gmail.com</t>
  </si>
  <si>
    <t>Kirsch</t>
  </si>
  <si>
    <t>Elizabeth Kirsch</t>
  </si>
  <si>
    <t>6821 Mapleton Drive</t>
  </si>
  <si>
    <t>Benjamin5th@gmail.com</t>
  </si>
  <si>
    <t>Benjamin Schaap</t>
  </si>
  <si>
    <t>PO box 218</t>
  </si>
  <si>
    <t>Tontitown</t>
  </si>
  <si>
    <t>EzFarnsworth@lpstudent.org</t>
  </si>
  <si>
    <t>Farnsworth</t>
  </si>
  <si>
    <t>Ezekiel Farnsworth</t>
  </si>
  <si>
    <t>115 East Jefferson</t>
  </si>
  <si>
    <t>xanderrespress@gmail.com</t>
  </si>
  <si>
    <t>Respress</t>
  </si>
  <si>
    <t>Timothy Respress</t>
  </si>
  <si>
    <t>1525 Lambeau Avenue</t>
  </si>
  <si>
    <t>Zpresson314@gmail.com</t>
  </si>
  <si>
    <t>Zachary Winterstein</t>
  </si>
  <si>
    <t>lizzyk33@gmail.com</t>
  </si>
  <si>
    <t>kirschner.eliza@gmail.com</t>
  </si>
  <si>
    <t>Kirschner</t>
  </si>
  <si>
    <t>Elizabeth Kirschner</t>
  </si>
  <si>
    <t>3705 29th Avenue</t>
  </si>
  <si>
    <t>lisaroska@gmail.com</t>
  </si>
  <si>
    <t>julianna6roska@gmail.com</t>
  </si>
  <si>
    <t>Roska</t>
  </si>
  <si>
    <t>Julianna Roska</t>
  </si>
  <si>
    <t>101 Hope Town Court</t>
  </si>
  <si>
    <t>Cedar Point</t>
  </si>
  <si>
    <t>matt.esser@ymail.com</t>
  </si>
  <si>
    <t>zachesser71@gmail.com</t>
  </si>
  <si>
    <t>Esser</t>
  </si>
  <si>
    <t>Zach Esser</t>
  </si>
  <si>
    <t>111 Trinity Way</t>
  </si>
  <si>
    <t>biztothemo@gmail.com</t>
  </si>
  <si>
    <t>Biztothemo@gmail.com</t>
  </si>
  <si>
    <t>Isabella Moore</t>
  </si>
  <si>
    <t>10545 W Sundance Mtn</t>
  </si>
  <si>
    <t>dominic.e.esposito@gmail.com</t>
  </si>
  <si>
    <t>Dominic Esposito</t>
  </si>
  <si>
    <t>6770 Stephan CT</t>
  </si>
  <si>
    <t>thev5s@aol.com</t>
  </si>
  <si>
    <t>electricray0219@aol.com</t>
  </si>
  <si>
    <t>Talon</t>
  </si>
  <si>
    <t>Talon Vaccaro</t>
  </si>
  <si>
    <t>155 May Place</t>
  </si>
  <si>
    <t>Massapequa Park</t>
  </si>
  <si>
    <t>lahill@lpstudent.org</t>
  </si>
  <si>
    <t>Lauren Hill</t>
  </si>
  <si>
    <t>4087 County Road 45</t>
  </si>
  <si>
    <t>bishkekem@gmail.com</t>
  </si>
  <si>
    <t>Emily Sundblad</t>
  </si>
  <si>
    <t>nukejes1111@gmail.com</t>
  </si>
  <si>
    <t>Jared Sergio</t>
  </si>
  <si>
    <t>1552 Country Club dr.</t>
  </si>
  <si>
    <t>danielnelson30@hotmail.com</t>
  </si>
  <si>
    <t>Daniel Nelson</t>
  </si>
  <si>
    <t>539 W 3rd St</t>
  </si>
  <si>
    <t>lyndsey.welch@my.uu.edu</t>
  </si>
  <si>
    <t>Lyndsey.welch@my.uu.edu</t>
  </si>
  <si>
    <t>Lyndsey Welch</t>
  </si>
  <si>
    <t>PO BOX 786</t>
  </si>
  <si>
    <t>abingalls01@gmail.com</t>
  </si>
  <si>
    <t>Abigail Ingalls</t>
  </si>
  <si>
    <t>jelena.gonzalez@gmail.com</t>
  </si>
  <si>
    <t>Julia Gonzalez</t>
  </si>
  <si>
    <t>P.O. Box 68</t>
  </si>
  <si>
    <t>Stroudsburg</t>
  </si>
  <si>
    <t>mloveing@lifeaction.org</t>
  </si>
  <si>
    <t>Crista</t>
  </si>
  <si>
    <t>Crista Loveing</t>
  </si>
  <si>
    <t>2225 Portage Rd</t>
  </si>
  <si>
    <t>katie.thompson717@gmail.com</t>
  </si>
  <si>
    <t>Katie Thompson</t>
  </si>
  <si>
    <t>18626 King Road</t>
  </si>
  <si>
    <t>wtwyatt5@gmail.com</t>
  </si>
  <si>
    <t>anwyatt18@gmail.com</t>
  </si>
  <si>
    <t>Austin Wyatt</t>
  </si>
  <si>
    <t>206 Mountain Brook Drive</t>
  </si>
  <si>
    <t>ajmhappy@comcast.net</t>
  </si>
  <si>
    <t>Angela Martin</t>
  </si>
  <si>
    <t>236 Blue Mountain Road</t>
  </si>
  <si>
    <t>jmead0124@gmail.com</t>
  </si>
  <si>
    <t>Joseph Mead</t>
  </si>
  <si>
    <t>616 Fulton St W.</t>
  </si>
  <si>
    <t>Apt 516-4</t>
  </si>
  <si>
    <t>gabbertk2@go.lisd.net</t>
  </si>
  <si>
    <t>Karissa Gabbert</t>
  </si>
  <si>
    <t>2017 Ring Teal Lane</t>
  </si>
  <si>
    <t>isaacnoe039@gmail.com</t>
  </si>
  <si>
    <t>Isaac Noe</t>
  </si>
  <si>
    <t>17380 Fieldcrest Ave.</t>
  </si>
  <si>
    <t>dcallendine@gmail.com</t>
  </si>
  <si>
    <t>dccallendine2000@live.com</t>
  </si>
  <si>
    <t>David Jr.</t>
  </si>
  <si>
    <t>Callendine</t>
  </si>
  <si>
    <t>David Jr. Callendine</t>
  </si>
  <si>
    <t>1316 Hookridge Dr.</t>
  </si>
  <si>
    <t>kumarkev@gmail.com</t>
  </si>
  <si>
    <t>nalini_hannah@yahoo.com</t>
  </si>
  <si>
    <t>Nalini</t>
  </si>
  <si>
    <t>Venugopal</t>
  </si>
  <si>
    <t>Nalini Venugopal</t>
  </si>
  <si>
    <t>602 East 90th Terr</t>
  </si>
  <si>
    <t>ptcanady@gmail.com</t>
  </si>
  <si>
    <t>hmaccanady@gmail.com</t>
  </si>
  <si>
    <t>Canady</t>
  </si>
  <si>
    <t>Hannah Canady</t>
  </si>
  <si>
    <t>209 S. Wilkinson Drive</t>
  </si>
  <si>
    <t>St. Pauls</t>
  </si>
  <si>
    <t>bkladd@comcast.net</t>
  </si>
  <si>
    <t>caralynladd@yahoo.com</t>
  </si>
  <si>
    <t>Caralyn</t>
  </si>
  <si>
    <t>Ladd</t>
  </si>
  <si>
    <t>Caralyn Ladd</t>
  </si>
  <si>
    <t>3614 Crosshaven Ct.</t>
  </si>
  <si>
    <t>marianna.leman@gmail.com</t>
  </si>
  <si>
    <t>justmax12496@gmail.com</t>
  </si>
  <si>
    <t>Justice Leman</t>
  </si>
  <si>
    <t>PO Box 235</t>
  </si>
  <si>
    <t>Windham</t>
  </si>
  <si>
    <t>Isemeldaanaiya@gmail.con</t>
  </si>
  <si>
    <t>3349 Carbineer dr.</t>
  </si>
  <si>
    <t>llscott1022@gmail.com</t>
  </si>
  <si>
    <t>gennascott00@gmail.com</t>
  </si>
  <si>
    <t>Genna</t>
  </si>
  <si>
    <t>Genna Scott</t>
  </si>
  <si>
    <t>laffinwGod@yahoo.com</t>
  </si>
  <si>
    <t>plumbersboy@gmail.com</t>
  </si>
  <si>
    <t>Charles Laffin</t>
  </si>
  <si>
    <t>PO Box 102</t>
  </si>
  <si>
    <t>Clinton Corners</t>
  </si>
  <si>
    <t>hannahfrick28@gmail.com</t>
  </si>
  <si>
    <t>Frick</t>
  </si>
  <si>
    <t>Hannah Frick</t>
  </si>
  <si>
    <t>P.O. 20834</t>
  </si>
  <si>
    <t>aconrad88@icloud.com</t>
  </si>
  <si>
    <t>Ashley Conrad</t>
  </si>
  <si>
    <t>7158 Cannon Ball Circle</t>
  </si>
  <si>
    <t>Bay Minette</t>
  </si>
  <si>
    <t>Dawnvanasse@gmail.com</t>
  </si>
  <si>
    <t>Abbievanasse@gmail.com</t>
  </si>
  <si>
    <t>Emma Vanasse</t>
  </si>
  <si>
    <t>jlkchess@yahoo.com</t>
  </si>
  <si>
    <t>Kareck</t>
  </si>
  <si>
    <t>Josiah Kareck</t>
  </si>
  <si>
    <t>104 Chetopa Court</t>
  </si>
  <si>
    <t>Antioch</t>
  </si>
  <si>
    <t>claire4gatas@gmail.com</t>
  </si>
  <si>
    <t>Claire Jones</t>
  </si>
  <si>
    <t>373 Brothers Ave</t>
  </si>
  <si>
    <t>joseph@goodmonday.com</t>
  </si>
  <si>
    <t>eunicetan03@gmail.com</t>
  </si>
  <si>
    <t>Eunice Tan</t>
  </si>
  <si>
    <t>30 Jalan Anggerik Aranda 31/5</t>
  </si>
  <si>
    <t>Kota Kemuning</t>
  </si>
  <si>
    <t>Shah Alam</t>
  </si>
  <si>
    <t>Selangor</t>
  </si>
  <si>
    <t>awiggins86301@gmail.com</t>
  </si>
  <si>
    <t>19mwiggins@gmail.com</t>
  </si>
  <si>
    <t>Wiggins</t>
  </si>
  <si>
    <t>Matthew Wiggins</t>
  </si>
  <si>
    <t>528 Ferncastle Drive</t>
  </si>
  <si>
    <t>denisesaenz@hotmail.com</t>
  </si>
  <si>
    <t>Denisesaenz@hotmail.com</t>
  </si>
  <si>
    <t>Alexia Taylor</t>
  </si>
  <si>
    <t>7016 s mission springs dr</t>
  </si>
  <si>
    <t>jmzick@gmail.com</t>
  </si>
  <si>
    <t>leyna.m.zick@gmail.com</t>
  </si>
  <si>
    <t>ALAINA</t>
  </si>
  <si>
    <t>ZICK</t>
  </si>
  <si>
    <t>ALAINA ZICK</t>
  </si>
  <si>
    <t>AINSLEY COURT</t>
  </si>
  <si>
    <t>SAN DIEGO</t>
  </si>
  <si>
    <t>annaezick@gmail.com</t>
  </si>
  <si>
    <t>Zick</t>
  </si>
  <si>
    <t>Anna Zick</t>
  </si>
  <si>
    <t>8285 Ainsley Court</t>
  </si>
  <si>
    <t>choongming@yahoo.com</t>
  </si>
  <si>
    <t>ranenchan@gmail.com</t>
  </si>
  <si>
    <t>Ranen</t>
  </si>
  <si>
    <t>Ranen Chan</t>
  </si>
  <si>
    <t>31, Jalan Setia Damai U13/14A</t>
  </si>
  <si>
    <t>Setia Alam</t>
  </si>
  <si>
    <t>sarah.glo@yahoo.com</t>
  </si>
  <si>
    <t>Sarah Glogowski</t>
  </si>
  <si>
    <t>Glogowski</t>
  </si>
  <si>
    <t>Sarah Glogowski Glogowski</t>
  </si>
  <si>
    <t>5110 Higcrest Road</t>
  </si>
  <si>
    <t>jakevanorder99@gmail.com</t>
  </si>
  <si>
    <t>Van Order</t>
  </si>
  <si>
    <t>Jacob Van Order</t>
  </si>
  <si>
    <t>2550 NW Grandview Dr</t>
  </si>
  <si>
    <t>west.driggers@gmail.com</t>
  </si>
  <si>
    <t>Josiah Driggers</t>
  </si>
  <si>
    <t>nili70@hotmail.com</t>
  </si>
  <si>
    <t>jsun6001@gmail.com</t>
  </si>
  <si>
    <t>Jerry Sun</t>
  </si>
  <si>
    <t>12258 Mountain Haze Rd. NE</t>
  </si>
  <si>
    <t>tehjosiah@gmail.com</t>
  </si>
  <si>
    <t>Josiah Teh</t>
  </si>
  <si>
    <t>47 Kelvin Hart Drive</t>
  </si>
  <si>
    <t>stephjoneskc@gmail.com</t>
  </si>
  <si>
    <t>Lindsjones27@gmail.com</t>
  </si>
  <si>
    <t>Lindsey Jones</t>
  </si>
  <si>
    <t>300 N 17th St</t>
  </si>
  <si>
    <t>studentministry@cfdowningtown.com</t>
  </si>
  <si>
    <t>Somers</t>
  </si>
  <si>
    <t>Olivia Somers</t>
  </si>
  <si>
    <t>1799 E Kings Hwy</t>
  </si>
  <si>
    <t>Coatesville</t>
  </si>
  <si>
    <t>fadysamuelmichael@gmail.com</t>
  </si>
  <si>
    <t>Fady Michael</t>
  </si>
  <si>
    <t>1936 clarkia st</t>
  </si>
  <si>
    <t>simi valley</t>
  </si>
  <si>
    <t>jude.pachiorka@brentwood.ca</t>
  </si>
  <si>
    <t>Jude</t>
  </si>
  <si>
    <t>Jude Pachiorka</t>
  </si>
  <si>
    <t>wolffllc@paulbunyan.net</t>
  </si>
  <si>
    <t>awolff2330@gmail.com</t>
  </si>
  <si>
    <t>Avery Wolff</t>
  </si>
  <si>
    <t>24896 590th Avenue</t>
  </si>
  <si>
    <t>cadewags@sbcglobal.net</t>
  </si>
  <si>
    <t>Cade Wagner</t>
  </si>
  <si>
    <t>timstacks@yahoo.com</t>
  </si>
  <si>
    <t>alliestacks13@yahoo.com</t>
  </si>
  <si>
    <t>Stacks</t>
  </si>
  <si>
    <t>Allie Stacks</t>
  </si>
  <si>
    <t>210 Nicaragua St.</t>
  </si>
  <si>
    <t>urbeautiful32@yahoo.com</t>
  </si>
  <si>
    <t>Doty</t>
  </si>
  <si>
    <t>Brooke Doty</t>
  </si>
  <si>
    <t>705 Wyoming St.</t>
  </si>
  <si>
    <t>karleyd95@gmail.com</t>
  </si>
  <si>
    <t>Karley</t>
  </si>
  <si>
    <t>Karley Doty</t>
  </si>
  <si>
    <t>nicknlorrainer5@yahoo.com</t>
  </si>
  <si>
    <t>Faith Estrada</t>
  </si>
  <si>
    <t>Chaise Drive</t>
  </si>
  <si>
    <t>ralphjeni3128@gmail.com</t>
  </si>
  <si>
    <t>brother_ferret@yahoo.com</t>
  </si>
  <si>
    <t>lake marion drive</t>
  </si>
  <si>
    <t>altamonte springs</t>
  </si>
  <si>
    <t>eandsaw@gmail.com</t>
  </si>
  <si>
    <t>eandsaw2@gmail.com</t>
  </si>
  <si>
    <t>McGonagill</t>
  </si>
  <si>
    <t>Ethan McGonagill</t>
  </si>
  <si>
    <t>26 County Road 275</t>
  </si>
  <si>
    <t>krisr@centurylink.net</t>
  </si>
  <si>
    <t>Mika</t>
  </si>
  <si>
    <t>Reichert</t>
  </si>
  <si>
    <t>Mika Reichert</t>
  </si>
  <si>
    <t>WOLFGANG.GUSTAF@GMAIL.COM</t>
  </si>
  <si>
    <t>Wolfgang</t>
  </si>
  <si>
    <t>Wolfgang Hoffman</t>
  </si>
  <si>
    <t>7697 S REED AVENUE</t>
  </si>
  <si>
    <t>REEDLEY</t>
  </si>
  <si>
    <t>cherylpearly@yahoo.com</t>
  </si>
  <si>
    <t>Maddy.schneider@gmail.com</t>
  </si>
  <si>
    <t>Madison Schneider</t>
  </si>
  <si>
    <t>43 Andover Road</t>
  </si>
  <si>
    <t>Glenmoore</t>
  </si>
  <si>
    <t>ei.adolphus@gmail.com</t>
  </si>
  <si>
    <t>Adolphus</t>
  </si>
  <si>
    <t>Patrick Adolphus</t>
  </si>
  <si>
    <t>197 Ridge Rd</t>
  </si>
  <si>
    <t>Revere</t>
  </si>
  <si>
    <t>jay.t.smith@me.com</t>
  </si>
  <si>
    <t>smithrc15@gmail.com</t>
  </si>
  <si>
    <t>Rachel Smith</t>
  </si>
  <si>
    <t>43441 Laidlow St.</t>
  </si>
  <si>
    <t>Chantilly</t>
  </si>
  <si>
    <t>nrlillie01@gmail.com</t>
  </si>
  <si>
    <t>Naomi Lillie</t>
  </si>
  <si>
    <t>peggwid@gmail.com</t>
  </si>
  <si>
    <t>Stroble</t>
  </si>
  <si>
    <t>Alaina Stroble</t>
  </si>
  <si>
    <t>2834 E. Serendipity Circle</t>
  </si>
  <si>
    <t>mmonseth@gmail.com</t>
  </si>
  <si>
    <t>Matthew Monseth</t>
  </si>
  <si>
    <t>zakrra777@gmail.com</t>
  </si>
  <si>
    <t>Zachary Guerra</t>
  </si>
  <si>
    <t>lebrahem6291@csu.fullerton.edu</t>
  </si>
  <si>
    <t>Lebrahem6291@csu.fullerton.edu</t>
  </si>
  <si>
    <t>Ledea</t>
  </si>
  <si>
    <t>Ebrahem</t>
  </si>
  <si>
    <t>Ledea Ebrahem</t>
  </si>
  <si>
    <t>7353 ellena west unit 126</t>
  </si>
  <si>
    <t>26thbookman@gmail.com</t>
  </si>
  <si>
    <t>Jacob Harmon</t>
  </si>
  <si>
    <t>99samanthaz@gmail.com</t>
  </si>
  <si>
    <t>Samantha Zimmerman</t>
  </si>
  <si>
    <t>403 E. 6th Street</t>
  </si>
  <si>
    <t>houston8899@gmail.com</t>
  </si>
  <si>
    <t>hbk31719@gmail.com</t>
  </si>
  <si>
    <t>Emma Houston</t>
  </si>
  <si>
    <t>4122 Hedgehill Ln.</t>
  </si>
  <si>
    <t>weovrhlt@gmail.com</t>
  </si>
  <si>
    <t>Rachael Overholt</t>
  </si>
  <si>
    <t>5660 FM 450 N.</t>
  </si>
  <si>
    <t>aundreawaltz@yahoo.com</t>
  </si>
  <si>
    <t>j.i.waltz@gmail.com</t>
  </si>
  <si>
    <t>Waltz</t>
  </si>
  <si>
    <t>Justin Waltz</t>
  </si>
  <si>
    <t>10615 E Spring Creek Rd</t>
  </si>
  <si>
    <t>teecionelo@gmail.com</t>
  </si>
  <si>
    <t>Tabitha Cionelo</t>
  </si>
  <si>
    <t>Madalynn.scheffel@gmail.com</t>
  </si>
  <si>
    <t>Madalynn</t>
  </si>
  <si>
    <t>Madalynn Scheffel</t>
  </si>
  <si>
    <t>ncpac6@gmail.com</t>
  </si>
  <si>
    <t>Pacifici</t>
  </si>
  <si>
    <t>Noah Pacifici</t>
  </si>
  <si>
    <t>892 Spruce Hill Ct.</t>
  </si>
  <si>
    <t>swicfw@gmail.com</t>
  </si>
  <si>
    <t>Swicegood</t>
  </si>
  <si>
    <t>Faith Swicegood</t>
  </si>
  <si>
    <t>722 Chelton Lane</t>
  </si>
  <si>
    <t>Fort Mill</t>
  </si>
  <si>
    <t>mklvnsln@dordt.edu</t>
  </si>
  <si>
    <t>Van Soelen</t>
  </si>
  <si>
    <t>Mikaela Van Soelen</t>
  </si>
  <si>
    <t>1101 7th St NE</t>
  </si>
  <si>
    <t>Rebekah D'Anna</t>
  </si>
  <si>
    <t>rywesbell@gmail.com</t>
  </si>
  <si>
    <t>Ryan Bell</t>
  </si>
  <si>
    <t>1003 County Road 361</t>
  </si>
  <si>
    <t>dawson.strevett@gmail.com</t>
  </si>
  <si>
    <t>Dawson Strevett</t>
  </si>
  <si>
    <t>16078 Spencer Road West</t>
  </si>
  <si>
    <t>h2ox4@comcast.net</t>
  </si>
  <si>
    <t>samuelwaters@comcast.net</t>
  </si>
  <si>
    <t>Sam Waters</t>
  </si>
  <si>
    <t>3986 Pioneer Creek Dr</t>
  </si>
  <si>
    <t>sawyer.georgie@yahoo.com</t>
  </si>
  <si>
    <t>Georgie</t>
  </si>
  <si>
    <t>Georgie Sawyer</t>
  </si>
  <si>
    <t>220 Essex Drive</t>
  </si>
  <si>
    <t>mightyquin10@gmail.com</t>
  </si>
  <si>
    <t>Quin Waters</t>
  </si>
  <si>
    <t>loganullman@hotmail.com</t>
  </si>
  <si>
    <t>Ullman</t>
  </si>
  <si>
    <t>Logan Ullman</t>
  </si>
  <si>
    <t>349 dakota</t>
  </si>
  <si>
    <t>San Dimas</t>
  </si>
  <si>
    <t>maimohsen1998@gmail.com</t>
  </si>
  <si>
    <t>Mai</t>
  </si>
  <si>
    <t>Abuseif</t>
  </si>
  <si>
    <t>Mai Abuseif</t>
  </si>
  <si>
    <t>17630 3/4 Virginia Ave</t>
  </si>
  <si>
    <t>singingfurhim@gmail.com</t>
  </si>
  <si>
    <t>Lena Pacifici</t>
  </si>
  <si>
    <t>892 Spruce Hill Court</t>
  </si>
  <si>
    <t>partinpeople@gmail.com</t>
  </si>
  <si>
    <t>Laura Partin</t>
  </si>
  <si>
    <t>drjojoann@live.com</t>
  </si>
  <si>
    <t>donniecouch6@gmail.com</t>
  </si>
  <si>
    <t>Donnie</t>
  </si>
  <si>
    <t>Donnie Couch</t>
  </si>
  <si>
    <t>6 Calle De Suenos</t>
  </si>
  <si>
    <t>Alamogordo</t>
  </si>
  <si>
    <t>morfamily5@comcast.net</t>
  </si>
  <si>
    <t>Dylmor1@gmail.com</t>
  </si>
  <si>
    <t>Dylan Morgan</t>
  </si>
  <si>
    <t>212 springwood drive</t>
  </si>
  <si>
    <t>Bear</t>
  </si>
  <si>
    <t>fedeloumie@gmail.com</t>
  </si>
  <si>
    <t>Fedeloumie</t>
  </si>
  <si>
    <t>Fedeloumie Brownlee</t>
  </si>
  <si>
    <t>jbbug10@gmail.com</t>
  </si>
  <si>
    <t>Jenna Brown</t>
  </si>
  <si>
    <t>176 Sams Dr</t>
  </si>
  <si>
    <t>email@ChrisMacCloud.com</t>
  </si>
  <si>
    <t>MacCloud</t>
  </si>
  <si>
    <t>Hanna MacCloud</t>
  </si>
  <si>
    <t>6845 Holeman Ave</t>
  </si>
  <si>
    <t>ncallendine@gmail.com</t>
  </si>
  <si>
    <t>Natalia Callendine</t>
  </si>
  <si>
    <t>1316 Hookridge Dr</t>
  </si>
  <si>
    <t>jamsbc@gmail.com</t>
  </si>
  <si>
    <t>hoyanjam@gmail.com</t>
  </si>
  <si>
    <t>14 Campamento</t>
  </si>
  <si>
    <t>adam.kuyt@gmail.com</t>
  </si>
  <si>
    <t>holly.kuyt@gmail.com</t>
  </si>
  <si>
    <t>Holly Kuyt</t>
  </si>
  <si>
    <t>2333 Barn Swallow Drive</t>
  </si>
  <si>
    <t>allyson.m.bloom@gmail.com</t>
  </si>
  <si>
    <t>Allyson Bloom</t>
  </si>
  <si>
    <t>12222 E. Villanova Dr.</t>
  </si>
  <si>
    <t>Micahhudson99@gmail.com</t>
  </si>
  <si>
    <t>Micah Hudson</t>
  </si>
  <si>
    <t>matthewchudson01@gmail.com</t>
  </si>
  <si>
    <t>Matthew Hudson</t>
  </si>
  <si>
    <t>5321 Hickory Hill Drive</t>
  </si>
  <si>
    <t>stevensn2131@gmail.com</t>
  </si>
  <si>
    <t>Norah</t>
  </si>
  <si>
    <t>Norah Stevens</t>
  </si>
  <si>
    <t>downing_connor@yahoo.com</t>
  </si>
  <si>
    <t>Downing_Connor@yahoo.com</t>
  </si>
  <si>
    <t>Downing</t>
  </si>
  <si>
    <t>Connor Downing</t>
  </si>
  <si>
    <t>Riverview Drive</t>
  </si>
  <si>
    <t>tracygwood@gmail.com</t>
  </si>
  <si>
    <t>kawood1999@gmail.com</t>
  </si>
  <si>
    <t>Andrew Wood</t>
  </si>
  <si>
    <t>23 Vista Point Drive</t>
  </si>
  <si>
    <t>mogilly1992@gmail.com</t>
  </si>
  <si>
    <t>danielleobregon24@gmail.com</t>
  </si>
  <si>
    <t>Obregon</t>
  </si>
  <si>
    <t>Danielle Obregon</t>
  </si>
  <si>
    <t>2663 Vista Laguna Terrace</t>
  </si>
  <si>
    <t>Pasadena</t>
  </si>
  <si>
    <t>dbtdds@aol.com</t>
  </si>
  <si>
    <t>sethompsonj@gmail.com</t>
  </si>
  <si>
    <t>larrylhenderson@yahoo.com</t>
  </si>
  <si>
    <t>nhenderson938@gmail.com</t>
  </si>
  <si>
    <t>Noah Henderson</t>
  </si>
  <si>
    <t>755 Michigan Avenue</t>
  </si>
  <si>
    <t>Pigeon</t>
  </si>
  <si>
    <t>waltz.devin@gmail.com</t>
  </si>
  <si>
    <t>Devin Waltz</t>
  </si>
  <si>
    <t>don@scottbrownproperties.net</t>
  </si>
  <si>
    <t>Michaelmanningt@gmail.com</t>
  </si>
  <si>
    <t>Michael Manning</t>
  </si>
  <si>
    <t>329 Whispering Trails Street</t>
  </si>
  <si>
    <t>RagsdaleCT@gmail.com</t>
  </si>
  <si>
    <t>RagsdaleDG@gmail.com</t>
  </si>
  <si>
    <t>Ragsdale</t>
  </si>
  <si>
    <t>Daniel Ragsdale</t>
  </si>
  <si>
    <t>2901 Stradford Lane</t>
  </si>
  <si>
    <t>chucksouder68@gmail.com</t>
  </si>
  <si>
    <t>kssouder@westliberty.edu</t>
  </si>
  <si>
    <t>Souder</t>
  </si>
  <si>
    <t>Kendall Souder</t>
  </si>
  <si>
    <t>1522 N Limestone Dr</t>
  </si>
  <si>
    <t>Ellettsville</t>
  </si>
  <si>
    <t>zoukevin1@gmail.com</t>
  </si>
  <si>
    <t>Zoukevin1@gmail.com</t>
  </si>
  <si>
    <t>kevin</t>
  </si>
  <si>
    <t>zou</t>
  </si>
  <si>
    <t>kevin zou</t>
  </si>
  <si>
    <t>100A Dinsmore Street</t>
  </si>
  <si>
    <t>purplecloth95@gmail.com</t>
  </si>
  <si>
    <t>Serven</t>
  </si>
  <si>
    <t>Lydia Serven</t>
  </si>
  <si>
    <t>8728 Fenton Drive</t>
  </si>
  <si>
    <t>ben.xia@ossm.edu</t>
  </si>
  <si>
    <t>Xia</t>
  </si>
  <si>
    <t>Benjamin Xia</t>
  </si>
  <si>
    <t>4221 Kensal Rise Place</t>
  </si>
  <si>
    <t>emily.sue.wedel@gmail.com</t>
  </si>
  <si>
    <t>Emily Wedel</t>
  </si>
  <si>
    <t>bethanydressen@gmail.com</t>
  </si>
  <si>
    <t>behtanydressen@gmail.com</t>
  </si>
  <si>
    <t>Dressen</t>
  </si>
  <si>
    <t>Bethany Dressen</t>
  </si>
  <si>
    <t>844 Entrata Way</t>
  </si>
  <si>
    <t>claireroise@gmail.com</t>
  </si>
  <si>
    <t>ingridroise@Gmail.com</t>
  </si>
  <si>
    <t>Ingrid</t>
  </si>
  <si>
    <t>Roise</t>
  </si>
  <si>
    <t>Ingrid Roise</t>
  </si>
  <si>
    <t>1121 Virginia Ave</t>
  </si>
  <si>
    <t>crhagedorn@gmail.com</t>
  </si>
  <si>
    <t>evert116@gmail.com</t>
  </si>
  <si>
    <t>knoxevert@gmail.com</t>
  </si>
  <si>
    <t>Knox Evert</t>
  </si>
  <si>
    <t>flowersbyfaith@aol.com</t>
  </si>
  <si>
    <t>Kremer</t>
  </si>
  <si>
    <t>Faith Kremer</t>
  </si>
  <si>
    <t>405 State street</t>
  </si>
  <si>
    <t>snlopez8182@gmail.com</t>
  </si>
  <si>
    <t>Stephanie Lopez</t>
  </si>
  <si>
    <t>82100 Bay Parkway</t>
  </si>
  <si>
    <t>Apt C21</t>
  </si>
  <si>
    <t>trevor.poage@yahoo.com</t>
  </si>
  <si>
    <t>Trevor Poage</t>
  </si>
  <si>
    <t>3401 SW Alameda Dr</t>
  </si>
  <si>
    <t>fu_juan@hotmail.com</t>
  </si>
  <si>
    <t>jeffrey.liu@ossm.edu</t>
  </si>
  <si>
    <t>Liu</t>
  </si>
  <si>
    <t>Jeffrey Liu</t>
  </si>
  <si>
    <t>1920 Guilford Ct</t>
  </si>
  <si>
    <t>lauren.vanarsdale@gmail.com</t>
  </si>
  <si>
    <t>VanArsdale</t>
  </si>
  <si>
    <t>Lauren VanArsdale</t>
  </si>
  <si>
    <t>507 Howard Road</t>
  </si>
  <si>
    <t>sherienglishhome@gmail.com</t>
  </si>
  <si>
    <t>elijahe898@gmail.com</t>
  </si>
  <si>
    <t>Elijah English</t>
  </si>
  <si>
    <t>10765 Rickreall Rd</t>
  </si>
  <si>
    <t>carlafugle@gmail.com</t>
  </si>
  <si>
    <t>Fuglestad</t>
  </si>
  <si>
    <t>Hallie Fuglestad</t>
  </si>
  <si>
    <t>8841 Dallas Lane N</t>
  </si>
  <si>
    <t>Jamcqueen1017@gmail.com</t>
  </si>
  <si>
    <t>scestnick@gmail.com</t>
  </si>
  <si>
    <t>Sarah Cestnick</t>
  </si>
  <si>
    <t>hannah.vanarsdale@gmail.com</t>
  </si>
  <si>
    <t>Hannah VanArsdale</t>
  </si>
  <si>
    <t>tshues@nethtc.net</t>
  </si>
  <si>
    <t>nickhues7@outlook.com</t>
  </si>
  <si>
    <t>Huesman</t>
  </si>
  <si>
    <t>Nicholas Huesman</t>
  </si>
  <si>
    <t>811 Pine Street</t>
  </si>
  <si>
    <t>Sheldon</t>
  </si>
  <si>
    <t>ward.jacque@gmail.com</t>
  </si>
  <si>
    <t>dward9304@gmail.com</t>
  </si>
  <si>
    <t>Daniel Ward</t>
  </si>
  <si>
    <t>9304 Clearwater St NW</t>
  </si>
  <si>
    <t>laurenromerosanders@gmail.com</t>
  </si>
  <si>
    <t>Lauren Sanders</t>
  </si>
  <si>
    <t>2287 Chestnut bluffs ave</t>
  </si>
  <si>
    <t>cardinal4christ@icloud.com</t>
  </si>
  <si>
    <t>Arielle Leake</t>
  </si>
  <si>
    <t>PO Box 15796</t>
  </si>
  <si>
    <t>truc316@icloud.com</t>
  </si>
  <si>
    <t>19gkaufmanfuller@salpointe.org</t>
  </si>
  <si>
    <t>Kaufman-Fuller</t>
  </si>
  <si>
    <t>Grace Kaufman-Fuller</t>
  </si>
  <si>
    <t>10456 E Bridgeport Street</t>
  </si>
  <si>
    <t>Nathancstout@yahoo.com</t>
  </si>
  <si>
    <t>Nathan Stout</t>
  </si>
  <si>
    <t>161 Grigg Rd.</t>
  </si>
  <si>
    <t>backyarddesignscr@gmail.com</t>
  </si>
  <si>
    <t>wnachazel01@gmail.com</t>
  </si>
  <si>
    <t>Nachazel</t>
  </si>
  <si>
    <t>Will Nachazel</t>
  </si>
  <si>
    <t>903 Jacolyn Dr  NW</t>
  </si>
  <si>
    <t>jleake1969@outlook.com</t>
  </si>
  <si>
    <t>joshualeake99@icloud.com</t>
  </si>
  <si>
    <t>Joshua Leake</t>
  </si>
  <si>
    <t>136 Grantham Place</t>
  </si>
  <si>
    <t>New Bern</t>
  </si>
  <si>
    <t>lowellmezcpa@hotmail.com</t>
  </si>
  <si>
    <t>Josiah Meznarich</t>
  </si>
  <si>
    <t>PO Box 1595</t>
  </si>
  <si>
    <t>mzrebecca@hotmail.com</t>
  </si>
  <si>
    <t>Rebecca Lee</t>
  </si>
  <si>
    <t>2151 west 9th st</t>
  </si>
  <si>
    <t>thompsonrachel052@gmail.com</t>
  </si>
  <si>
    <t>18626 King road</t>
  </si>
  <si>
    <t>kristin.garratt@yahoo.com</t>
  </si>
  <si>
    <t>hadassahpurim@gmail.com</t>
  </si>
  <si>
    <t>Taimah</t>
  </si>
  <si>
    <t>Garratt</t>
  </si>
  <si>
    <t>Taimah Garratt</t>
  </si>
  <si>
    <t>730 Old Harriman Hwy</t>
  </si>
  <si>
    <t>Oliver Springs</t>
  </si>
  <si>
    <t>davidcedenf@gmail.com</t>
  </si>
  <si>
    <t>David Edenfield</t>
  </si>
  <si>
    <t>114 Beaulieu Farm Bend</t>
  </si>
  <si>
    <t>flamingartichoke@yahoo.com</t>
  </si>
  <si>
    <t>Travis Bush</t>
  </si>
  <si>
    <t>292 Ferguson Rd</t>
  </si>
  <si>
    <t>josiahl01@icloud.com</t>
  </si>
  <si>
    <t>Josiah Leake</t>
  </si>
  <si>
    <t>136 Grantham Pl</t>
  </si>
  <si>
    <t>rosin7@gmail.com</t>
  </si>
  <si>
    <t>rosingrace@gmail.com</t>
  </si>
  <si>
    <t>Rosin</t>
  </si>
  <si>
    <t>Grace Rosin</t>
  </si>
  <si>
    <t>9427 Buchanan St</t>
  </si>
  <si>
    <t>sogregj@comcast.net</t>
  </si>
  <si>
    <t>katyaj@comcast.net</t>
  </si>
  <si>
    <t>Ekaterina</t>
  </si>
  <si>
    <t>Jaramillo</t>
  </si>
  <si>
    <t>Ekaterina Jaramillo</t>
  </si>
  <si>
    <t>1532 Lookout Springs Dr.</t>
  </si>
  <si>
    <t>sarahbethmeigs@gmail.com</t>
  </si>
  <si>
    <t>SarahBethMeigs@gmail.com</t>
  </si>
  <si>
    <t>Meigs</t>
  </si>
  <si>
    <t>Sarah Meigs</t>
  </si>
  <si>
    <t>9714 W 56th Ter</t>
  </si>
  <si>
    <t>trunner.way@gmail.com</t>
  </si>
  <si>
    <t>Tabitha Way</t>
  </si>
  <si>
    <t>205 Pine Links Dr</t>
  </si>
  <si>
    <t>csmccarty@gmail.com</t>
  </si>
  <si>
    <t>Caleb McCarty</t>
  </si>
  <si>
    <t>752 WEST HILL DR</t>
  </si>
  <si>
    <t>jbryan@eastwest.org</t>
  </si>
  <si>
    <t>jwbryan4@gmail.com</t>
  </si>
  <si>
    <t>J Bryan</t>
  </si>
  <si>
    <t>8130 Holliday Rd</t>
  </si>
  <si>
    <t>mckenzieiszler@gmail.com</t>
  </si>
  <si>
    <t>McKenzie Iszler</t>
  </si>
  <si>
    <t>cmrstar@cinci.rr.com</t>
  </si>
  <si>
    <t>Christina Russell</t>
  </si>
  <si>
    <t>6532 Hawk Ct</t>
  </si>
  <si>
    <t>Hayden.phillips36@gmail.com</t>
  </si>
  <si>
    <t>Hayden Phillips</t>
  </si>
  <si>
    <t>4843 AL Highway 144</t>
  </si>
  <si>
    <t>conardem1@msn.com</t>
  </si>
  <si>
    <t>fromcarazedinnm@gmail.com</t>
  </si>
  <si>
    <t>Cisneros</t>
  </si>
  <si>
    <t>Alan Cisneros</t>
  </si>
  <si>
    <t>6524 Lamy St NW</t>
  </si>
  <si>
    <t>Keaghnkirkman@gmail.com</t>
  </si>
  <si>
    <t>Keaghn</t>
  </si>
  <si>
    <t>Keaghn Kirkman</t>
  </si>
  <si>
    <t>myartist@comcast.net</t>
  </si>
  <si>
    <t>809 George St</t>
  </si>
  <si>
    <t>Coraopolis</t>
  </si>
  <si>
    <t>dancingismarvelous@gmail.com</t>
  </si>
  <si>
    <t>Kyri√©</t>
  </si>
  <si>
    <t>Laudermilch</t>
  </si>
  <si>
    <t>Kyri√© Laudermilch</t>
  </si>
  <si>
    <t>514 Jennings Road</t>
  </si>
  <si>
    <t>Wyalusing</t>
  </si>
  <si>
    <t>theonlyepicookiez@gmail.com</t>
  </si>
  <si>
    <t>sk8te.daniel@gmail.com</t>
  </si>
  <si>
    <t>Daniel Salazar</t>
  </si>
  <si>
    <t>4936 North Poinsettia Avenue</t>
  </si>
  <si>
    <t>arwood5@charter.net</t>
  </si>
  <si>
    <t>Arwood</t>
  </si>
  <si>
    <t>Abbey Arwood</t>
  </si>
  <si>
    <t>7780 Wells Road</t>
  </si>
  <si>
    <t>mabryans@gmail.com</t>
  </si>
  <si>
    <t>jwbryans@gmail.com</t>
  </si>
  <si>
    <t>Bryans</t>
  </si>
  <si>
    <t>Jacob Bryans</t>
  </si>
  <si>
    <t>6138 Yorkshire</t>
  </si>
  <si>
    <t>kathinkg@comcast.net</t>
  </si>
  <si>
    <t>rebecca.rlg@comcast.net</t>
  </si>
  <si>
    <t>Gelzer</t>
  </si>
  <si>
    <t>Rebecca Gelzer</t>
  </si>
  <si>
    <t>2000 172nd Ave. NE</t>
  </si>
  <si>
    <t>craigpage777@gmail.com</t>
  </si>
  <si>
    <t>Sarah Page</t>
  </si>
  <si>
    <t>1184 Adirondack Ct</t>
  </si>
  <si>
    <t>markthancock@gmail.com</t>
  </si>
  <si>
    <t>Logan Hancock</t>
  </si>
  <si>
    <t>90 Kermit Watson Blvd</t>
  </si>
  <si>
    <t>amandavestal1@gmail.com</t>
  </si>
  <si>
    <t>mariaevestal@icloud.com</t>
  </si>
  <si>
    <t>Vestal</t>
  </si>
  <si>
    <t>Maria Vestal</t>
  </si>
  <si>
    <t>111 Wild Berry Lane</t>
  </si>
  <si>
    <t>sevn6@yahoo.com</t>
  </si>
  <si>
    <t>rikcoluv@gmail.com</t>
  </si>
  <si>
    <t>Lia Chapman</t>
  </si>
  <si>
    <t>502 Waco Way</t>
  </si>
  <si>
    <t>Poplar Grove</t>
  </si>
  <si>
    <t>rhodes.caitlin@yahoo.com</t>
  </si>
  <si>
    <t>Rhodes.caitlin@yahoo.com</t>
  </si>
  <si>
    <t>Caitlin Rhodes</t>
  </si>
  <si>
    <t>2300 Larry Street</t>
  </si>
  <si>
    <t>lizzie.isin@gmail.com</t>
  </si>
  <si>
    <t>roselanitovalin@gmail.com</t>
  </si>
  <si>
    <t>Roselani</t>
  </si>
  <si>
    <t>Tovalin</t>
  </si>
  <si>
    <t>Roselani Tovalin</t>
  </si>
  <si>
    <t>19287 Foxtail Ln</t>
  </si>
  <si>
    <t>twills199@gmail.com</t>
  </si>
  <si>
    <t>Twills199@gmail.com</t>
  </si>
  <si>
    <t>Taylor Wilson</t>
  </si>
  <si>
    <t>51 Racal Ct</t>
  </si>
  <si>
    <t>2a</t>
  </si>
  <si>
    <t>d.j.hale2014@gmail.com</t>
  </si>
  <si>
    <t>M.hale53099@gmail.com</t>
  </si>
  <si>
    <t>Matthew Hale</t>
  </si>
  <si>
    <t>104 Schoolview Lane</t>
  </si>
  <si>
    <t>ndewing22@gmail.com</t>
  </si>
  <si>
    <t>mdewing99@gmail.com</t>
  </si>
  <si>
    <t>Mikayla Dewing</t>
  </si>
  <si>
    <t>2653 Little Meadows Rd</t>
  </si>
  <si>
    <t>Warren Center</t>
  </si>
  <si>
    <t>slidedog23@gmail.com</t>
  </si>
  <si>
    <t>Abigail Cook</t>
  </si>
  <si>
    <t>sabrina@acts-tours.com</t>
  </si>
  <si>
    <t>godgirl22@icloud.com</t>
  </si>
  <si>
    <t>361 Overlook View Drive</t>
  </si>
  <si>
    <t>Front Royal</t>
  </si>
  <si>
    <t>wayne@ranchlandchurch.com</t>
  </si>
  <si>
    <t>ztynes88@gmail.com</t>
  </si>
  <si>
    <t>Zackary</t>
  </si>
  <si>
    <t>Tynes</t>
  </si>
  <si>
    <t>Zackary Tynes</t>
  </si>
  <si>
    <t>11530 Caminito La Bar</t>
  </si>
  <si>
    <t>Apt 128</t>
  </si>
  <si>
    <t>kerriolso@gmail.com</t>
  </si>
  <si>
    <t>zmanolson14@gmail.com</t>
  </si>
  <si>
    <t>Zachary Olson</t>
  </si>
  <si>
    <t>5815 Cotner Road</t>
  </si>
  <si>
    <t>msskids3@aol.com</t>
  </si>
  <si>
    <t>brunettemaggy@gmail.com</t>
  </si>
  <si>
    <t>Margaret Suarez</t>
  </si>
  <si>
    <t>10440 SW 44 Terrace</t>
  </si>
  <si>
    <t>jjshook5@verizon.net</t>
  </si>
  <si>
    <t>tkdshook@gmail.com</t>
  </si>
  <si>
    <t>Shook</t>
  </si>
  <si>
    <t>Trenton Shook</t>
  </si>
  <si>
    <t>1350 State Route 97</t>
  </si>
  <si>
    <t>Sykesville</t>
  </si>
  <si>
    <t>emghedman@gmail.com</t>
  </si>
  <si>
    <t>Emily Hedman</t>
  </si>
  <si>
    <t>alfredo.palmer@allchem.com</t>
  </si>
  <si>
    <t>noahlovestng@gmail.com</t>
  </si>
  <si>
    <t>Noah Palmer</t>
  </si>
  <si>
    <t>4029 SW 298th Street</t>
  </si>
  <si>
    <t>bethbrenneman4@gmail.com</t>
  </si>
  <si>
    <t>brennemanderek@gmail.com</t>
  </si>
  <si>
    <t>Brenneman</t>
  </si>
  <si>
    <t>Derek Brenneman</t>
  </si>
  <si>
    <t>5 Lanesboro Rd.</t>
  </si>
  <si>
    <t>Kfaulkner809@gmail.com</t>
  </si>
  <si>
    <t>Kaley</t>
  </si>
  <si>
    <t>Kaley Faulkner</t>
  </si>
  <si>
    <t>809 Noe Road</t>
  </si>
  <si>
    <t>absmidd@gmail.com</t>
  </si>
  <si>
    <t>Abigail Middleton</t>
  </si>
  <si>
    <t>jk@arcmachine.com</t>
  </si>
  <si>
    <t>kkostbadelee@gmail.com</t>
  </si>
  <si>
    <t>Kostbade</t>
  </si>
  <si>
    <t>Kendra Kostbade</t>
  </si>
  <si>
    <t>2101 Locust Drive</t>
  </si>
  <si>
    <t>stezah777@hotmail.com</t>
  </si>
  <si>
    <t>Annaeffierae@gmail.com</t>
  </si>
  <si>
    <t>Anna Douglas</t>
  </si>
  <si>
    <t>7654 Ashland ct</t>
  </si>
  <si>
    <t>marisacoloney@gmail.com</t>
  </si>
  <si>
    <t>Coloney</t>
  </si>
  <si>
    <t>Marisa Coloney</t>
  </si>
  <si>
    <t>7730 Aralia Way</t>
  </si>
  <si>
    <t>H</t>
  </si>
  <si>
    <t>H Valenzuela</t>
  </si>
  <si>
    <t>franklinjeremy6@gmail.com</t>
  </si>
  <si>
    <t>Franklinjeremy6@gmail.com</t>
  </si>
  <si>
    <t>Jeremy Franklin</t>
  </si>
  <si>
    <t>7434 E Eli Dr.</t>
  </si>
  <si>
    <t>grantcuster18@gmail.com</t>
  </si>
  <si>
    <t>Grant Custer</t>
  </si>
  <si>
    <t>sklshoup@gmail.com</t>
  </si>
  <si>
    <t>Shoup</t>
  </si>
  <si>
    <t>Sarah Shoup</t>
  </si>
  <si>
    <t>3204 S Pioneer St</t>
  </si>
  <si>
    <t>csh2008@cox.net</t>
  </si>
  <si>
    <t>Conrad Huber</t>
  </si>
  <si>
    <t>33855 Zarzito Dr.</t>
  </si>
  <si>
    <t>roblesfamof5@gmail.com</t>
  </si>
  <si>
    <t>maeymarier00@gmail.com</t>
  </si>
  <si>
    <t>Robles</t>
  </si>
  <si>
    <t>Macey Robles</t>
  </si>
  <si>
    <t>15369 Feldspar Dr.</t>
  </si>
  <si>
    <t>Chino HIlls</t>
  </si>
  <si>
    <t>sscorral141@gmail.com</t>
  </si>
  <si>
    <t>josephmarquez545@gmail.com</t>
  </si>
  <si>
    <t>Marquez</t>
  </si>
  <si>
    <t>Augustine Marquez</t>
  </si>
  <si>
    <t>14731 Sun View</t>
  </si>
  <si>
    <t>Horizon</t>
  </si>
  <si>
    <t>thegormanfamily@me.com</t>
  </si>
  <si>
    <t>gormannoahski@gmail.com</t>
  </si>
  <si>
    <t>Gorman</t>
  </si>
  <si>
    <t>Noah Gorman</t>
  </si>
  <si>
    <t>250 Buckeye place</t>
  </si>
  <si>
    <t>pagosa springs</t>
  </si>
  <si>
    <t>jenkeithley@gmail.com</t>
  </si>
  <si>
    <t>keithley3824@s.peoriachristian.org</t>
  </si>
  <si>
    <t>Keithley</t>
  </si>
  <si>
    <t>Kathryn Keithley</t>
  </si>
  <si>
    <t>324 N. Lakeshore Dr.</t>
  </si>
  <si>
    <t>Hanna City</t>
  </si>
  <si>
    <t>Jessica Vest</t>
  </si>
  <si>
    <t>flakjaket1995@gmail.com</t>
  </si>
  <si>
    <t>Tohme</t>
  </si>
  <si>
    <t>Jacob Tohme</t>
  </si>
  <si>
    <t>9890 Riverside Drive</t>
  </si>
  <si>
    <t>pat_kelly_butler@hotmail.com</t>
  </si>
  <si>
    <t>chief1ryan@gmail.com</t>
  </si>
  <si>
    <t>Ryan Butler</t>
  </si>
  <si>
    <t>707 Deer Clover Way</t>
  </si>
  <si>
    <t>sctlapek@gmail.com</t>
  </si>
  <si>
    <t>Sean Tlapek</t>
  </si>
  <si>
    <t>9987 Stockton Lane</t>
  </si>
  <si>
    <t>kariheckler@gmail.com</t>
  </si>
  <si>
    <t>spencerheckler@gmail.com</t>
  </si>
  <si>
    <t>Heckler</t>
  </si>
  <si>
    <t>Spencer Heckler</t>
  </si>
  <si>
    <t>832 N Rockford Ave</t>
  </si>
  <si>
    <t>haase@comporium.net</t>
  </si>
  <si>
    <t>2haase.ricky@gmail.com</t>
  </si>
  <si>
    <t>Haase</t>
  </si>
  <si>
    <t>Richard Haase</t>
  </si>
  <si>
    <t>11230 McFalls Drive</t>
  </si>
  <si>
    <t>don@westmichiganbeef.com</t>
  </si>
  <si>
    <t>bobbyvb@sbcglobal.net</t>
  </si>
  <si>
    <t>Robert Vander Boon</t>
  </si>
  <si>
    <t>shakti.perlta@gmail.com</t>
  </si>
  <si>
    <t>Shakti.Peralta@gmail.com</t>
  </si>
  <si>
    <t>Shakti</t>
  </si>
  <si>
    <t>Shakti Peralta</t>
  </si>
  <si>
    <t>737 Klondike Ave</t>
  </si>
  <si>
    <t>matthewtski@yahoo.com</t>
  </si>
  <si>
    <t>Matthew Tomaszewski</t>
  </si>
  <si>
    <t>darcykae@yahoo.com</t>
  </si>
  <si>
    <t>Jazmyn</t>
  </si>
  <si>
    <t>Grindel</t>
  </si>
  <si>
    <t>Jazmyn Grindel</t>
  </si>
  <si>
    <t>P.O. Box 581</t>
  </si>
  <si>
    <t>Jesusfinatic@gmail.com</t>
  </si>
  <si>
    <t>Trenton Kelly</t>
  </si>
  <si>
    <t>341 paint pony tr N</t>
  </si>
  <si>
    <t>rex.armstrong@att.net</t>
  </si>
  <si>
    <t>nicholas.armstrong116@gmail.com</t>
  </si>
  <si>
    <t>Nicholas Armstrong</t>
  </si>
  <si>
    <t>8815 Cherry Spring Drive</t>
  </si>
  <si>
    <t>makana@mtaonline.net</t>
  </si>
  <si>
    <t>Kenneth Hoffman</t>
  </si>
  <si>
    <t>1480 S. Vermillion Dr.</t>
  </si>
  <si>
    <t>drewdoclimb@gmail.com</t>
  </si>
  <si>
    <t>McIlhany</t>
  </si>
  <si>
    <t>Andrew McIlhany</t>
  </si>
  <si>
    <t>7755 Fargo Dr</t>
  </si>
  <si>
    <t>andersonandcompany@ca.rr.com</t>
  </si>
  <si>
    <t>forever.heloves@gmail.com</t>
  </si>
  <si>
    <t>Jazlyn</t>
  </si>
  <si>
    <t>Jazlyn Anderson</t>
  </si>
  <si>
    <t>433 S. Farber Avenue</t>
  </si>
  <si>
    <t>luvdonna@verizon.net</t>
  </si>
  <si>
    <t>alialeavitt@gmail.com</t>
  </si>
  <si>
    <t>Alia</t>
  </si>
  <si>
    <t>Leavitt</t>
  </si>
  <si>
    <t>Alia Leavitt</t>
  </si>
  <si>
    <t>148 N. Castilian Avenue</t>
  </si>
  <si>
    <t>rflanders99@gmail.com</t>
  </si>
  <si>
    <t>Flanders</t>
  </si>
  <si>
    <t>Rebekah Flanders</t>
  </si>
  <si>
    <t>3668 Southwoood Dr.</t>
  </si>
  <si>
    <t>john.ibrahim2510@gmail.com</t>
  </si>
  <si>
    <t>John Ibrahim</t>
  </si>
  <si>
    <t>7353 Ellena West</t>
  </si>
  <si>
    <t>Unit 126</t>
  </si>
  <si>
    <t>cherish.kirsch@gmail.com</t>
  </si>
  <si>
    <t>Cosette.kirsch@gmail.com</t>
  </si>
  <si>
    <t>Cosette</t>
  </si>
  <si>
    <t>Cosette Kirsch</t>
  </si>
  <si>
    <t>9520 Colebrook St.</t>
  </si>
  <si>
    <t>hurrykat@gmail.com</t>
  </si>
  <si>
    <t>Hannah Wilkes</t>
  </si>
  <si>
    <t>thebridget500@gmail.com</t>
  </si>
  <si>
    <t>Bridget Cain</t>
  </si>
  <si>
    <t>hoefling5@aol.com</t>
  </si>
  <si>
    <t>jessicahoefling00@gmail.com</t>
  </si>
  <si>
    <t>Hoefling</t>
  </si>
  <si>
    <t>Jessica Hoefling</t>
  </si>
  <si>
    <t>13865 Foothill Avenue</t>
  </si>
  <si>
    <t>San Martin</t>
  </si>
  <si>
    <t>jeristrawberry@gmail.com</t>
  </si>
  <si>
    <t>Jeri Franklin</t>
  </si>
  <si>
    <t>keelcompton45@gmail.com</t>
  </si>
  <si>
    <t>Keel</t>
  </si>
  <si>
    <t>Keel Compton</t>
  </si>
  <si>
    <t>249 Freyer Dr</t>
  </si>
  <si>
    <t>flandersfamily87@sbcglobal.net</t>
  </si>
  <si>
    <t>racheljoy616@gmail.com</t>
  </si>
  <si>
    <t>Rachel Flanders</t>
  </si>
  <si>
    <t>3668 Southwood Drive</t>
  </si>
  <si>
    <t>dvett99@gmail.com</t>
  </si>
  <si>
    <t>Vetter</t>
  </si>
  <si>
    <t>Dalton Vetter</t>
  </si>
  <si>
    <t>11420 S. 216th St.</t>
  </si>
  <si>
    <t>lucjackson.2000@gmail.com</t>
  </si>
  <si>
    <t>Luc</t>
  </si>
  <si>
    <t>Luc Jackson</t>
  </si>
  <si>
    <t>560 Royal Oak Drive</t>
  </si>
  <si>
    <t>kdextreme@yahoo.com</t>
  </si>
  <si>
    <t>sophiadufour@gmail.com</t>
  </si>
  <si>
    <t>Sophia Dufour</t>
  </si>
  <si>
    <t>110 North Dr</t>
  </si>
  <si>
    <t>COVINGTON</t>
  </si>
  <si>
    <t>amberlifrancis01@gmail.com</t>
  </si>
  <si>
    <t>Amberli</t>
  </si>
  <si>
    <t>Amberli Francis</t>
  </si>
  <si>
    <t>P.O. Box 1165</t>
  </si>
  <si>
    <t>d_gmanion@msn.com</t>
  </si>
  <si>
    <t>jdman2415@gmail.com</t>
  </si>
  <si>
    <t>Manion</t>
  </si>
  <si>
    <t>Joshua Manion</t>
  </si>
  <si>
    <t>9519 Geisler Road</t>
  </si>
  <si>
    <t>bibluver@msn.com</t>
  </si>
  <si>
    <t>Sprott</t>
  </si>
  <si>
    <t>Andrew Sprott</t>
  </si>
  <si>
    <t>10315 Raulerson Ranch Rd</t>
  </si>
  <si>
    <t xml:space="preserve"> </t>
  </si>
  <si>
    <t>jdavis2@windstream.net</t>
  </si>
  <si>
    <t>hdavis10@windstream.net</t>
  </si>
  <si>
    <t>Hunter Davis</t>
  </si>
  <si>
    <t>605 N. Oakland Ave</t>
  </si>
  <si>
    <t>hjeltealysia100@gmail.com</t>
  </si>
  <si>
    <t>Alysia</t>
  </si>
  <si>
    <t>Alysia Hjelte</t>
  </si>
  <si>
    <t>4024 Williford Way</t>
  </si>
  <si>
    <t>chrisbazoo@gmail.com</t>
  </si>
  <si>
    <t>Chrisbazoo@gmail.com</t>
  </si>
  <si>
    <t>Christopher Williams</t>
  </si>
  <si>
    <t>265 Lisa Ln</t>
  </si>
  <si>
    <t>floridahartmans4@yahoo.com</t>
  </si>
  <si>
    <t>Chase Hartman</t>
  </si>
  <si>
    <t>283 Willow Winds Pkwy</t>
  </si>
  <si>
    <t>gretaliubo1@gmail.com</t>
  </si>
  <si>
    <t>judewatkins00@gmail.com</t>
  </si>
  <si>
    <t>Jude Watkins</t>
  </si>
  <si>
    <t>5010 Cahaba Valley Trace</t>
  </si>
  <si>
    <t>trippawatkins@gmail.com</t>
  </si>
  <si>
    <t>Tripp</t>
  </si>
  <si>
    <t>Tripp Watkins</t>
  </si>
  <si>
    <t>Chris Robertson</t>
  </si>
  <si>
    <t>retrieverfan@outlook.com</t>
  </si>
  <si>
    <t>Koster</t>
  </si>
  <si>
    <t>Christina Koster</t>
  </si>
  <si>
    <t>fazqett@sbcglobal.net</t>
  </si>
  <si>
    <t>rphipps@davis.k12.ok.us</t>
  </si>
  <si>
    <t>Rachelle Phipps</t>
  </si>
  <si>
    <t>509 East Freeman Ave</t>
  </si>
  <si>
    <t>Austin Gould</t>
  </si>
  <si>
    <t>3701 Birchman Ave</t>
  </si>
  <si>
    <t>lehancock@liberty.edu</t>
  </si>
  <si>
    <t>Luke Hancock</t>
  </si>
  <si>
    <t>90 Kermit Watson</t>
  </si>
  <si>
    <t>cbscoggins898@gmail.com</t>
  </si>
  <si>
    <t>805 E Garfield</t>
  </si>
  <si>
    <t>ruth.engling@yahoo.com</t>
  </si>
  <si>
    <t>Ruth Engling</t>
  </si>
  <si>
    <t>1878 NW 550th Rd</t>
  </si>
  <si>
    <t>Kingsville</t>
  </si>
  <si>
    <t>horsecrazyfiddler@gmail.com</t>
  </si>
  <si>
    <t>Leah Sawyer</t>
  </si>
  <si>
    <t>111 S Lamar St.</t>
  </si>
  <si>
    <t>chris.gaulding@yahoo.com</t>
  </si>
  <si>
    <t>songheart99@gmail.com</t>
  </si>
  <si>
    <t>Gaulding</t>
  </si>
  <si>
    <t>Lauren Gaulding</t>
  </si>
  <si>
    <t>3607 Liles Ln</t>
  </si>
  <si>
    <t>vandewalker1@comcast.net</t>
  </si>
  <si>
    <t>lexivandewalker1@comcast.net</t>
  </si>
  <si>
    <t>VanDeWalker</t>
  </si>
  <si>
    <t>Alexandria VanDeWalker</t>
  </si>
  <si>
    <t>10288 Song SparrowLane</t>
  </si>
  <si>
    <t>sutherlandgabriella@gmail.com</t>
  </si>
  <si>
    <t>Gabriella Sutherland</t>
  </si>
  <si>
    <t>devargas@flash.net</t>
  </si>
  <si>
    <t>bradenkdev@gmail.com</t>
  </si>
  <si>
    <t>DeVargas</t>
  </si>
  <si>
    <t>Braden DeVargas</t>
  </si>
  <si>
    <t>2312 Harrison Ave</t>
  </si>
  <si>
    <t>seanhixson33@gmail.com</t>
  </si>
  <si>
    <t>Sean Hixson</t>
  </si>
  <si>
    <t>2671 50th Ave.</t>
  </si>
  <si>
    <t>jessica.smith83839@gmail.com</t>
  </si>
  <si>
    <t>Jessica Smith</t>
  </si>
  <si>
    <t>10015 Green Tree Rd</t>
  </si>
  <si>
    <t>priyamessersmith@yahoo.com</t>
  </si>
  <si>
    <t>Priya</t>
  </si>
  <si>
    <t>Messersmith</t>
  </si>
  <si>
    <t>Priya Messersmith</t>
  </si>
  <si>
    <t>404 Glenbrook Dr</t>
  </si>
  <si>
    <t>Kennedale</t>
  </si>
  <si>
    <t>abbiowen1028@gmail.com</t>
  </si>
  <si>
    <t>Abbiowen@gmail.com</t>
  </si>
  <si>
    <t>Abbigail</t>
  </si>
  <si>
    <t>Abbigail Owen</t>
  </si>
  <si>
    <t>17800 Star Gazer</t>
  </si>
  <si>
    <t>lacasamoore2@gmail.com</t>
  </si>
  <si>
    <t>Samuel Moore</t>
  </si>
  <si>
    <t>CMR 467 Box 1967</t>
  </si>
  <si>
    <t>ericlmullins@gmail.com</t>
  </si>
  <si>
    <t>amullins2098@gmail.com</t>
  </si>
  <si>
    <t>Mullins</t>
  </si>
  <si>
    <t>Austin Mullins</t>
  </si>
  <si>
    <t>1579 County Road E</t>
  </si>
  <si>
    <t>seidecimbura@gmail.com</t>
  </si>
  <si>
    <t>Seide</t>
  </si>
  <si>
    <t>Cimbura</t>
  </si>
  <si>
    <t>Seide Cimbura</t>
  </si>
  <si>
    <t>9461 S. Hackberry Ln.</t>
  </si>
  <si>
    <t>michellespetic@gmail.com</t>
  </si>
  <si>
    <t>goobismaloobis@gmail.com</t>
  </si>
  <si>
    <t>Spetic</t>
  </si>
  <si>
    <t>Gabriella Spetic</t>
  </si>
  <si>
    <t>61318 Nawadaha Way</t>
  </si>
  <si>
    <t>aaron.boehm5150@gmail.com</t>
  </si>
  <si>
    <t>Aaron Boehm</t>
  </si>
  <si>
    <t>danielckeith@icloud.com</t>
  </si>
  <si>
    <t>396 Live Oak Dr</t>
  </si>
  <si>
    <t>SarahMariaKeith@gmail.com</t>
  </si>
  <si>
    <t>LaurennP@christchapelbc.org</t>
  </si>
  <si>
    <t>Pierson</t>
  </si>
  <si>
    <t>Pierson Davis</t>
  </si>
  <si>
    <t>hope_ann@juno.com</t>
  </si>
  <si>
    <t>Buggy444@gmail.com</t>
  </si>
  <si>
    <t>Alexander Floyd</t>
  </si>
  <si>
    <t>786 Rosemore Court</t>
  </si>
  <si>
    <t>Salt lake city</t>
  </si>
  <si>
    <t>jaazaniah99@gmail.com</t>
  </si>
  <si>
    <t>Jaazaniah</t>
  </si>
  <si>
    <t>Cofer</t>
  </si>
  <si>
    <t>Jaazaniah Cofer</t>
  </si>
  <si>
    <t>5440 South Perry Street</t>
  </si>
  <si>
    <t>andrewjkeith@icloud.com</t>
  </si>
  <si>
    <t>396 Live Oak Dr.</t>
  </si>
  <si>
    <t>nmparsley@yahoo.com</t>
  </si>
  <si>
    <t>livyparsley@gmail.com</t>
  </si>
  <si>
    <t>Parsley</t>
  </si>
  <si>
    <t>Olivia Parsley</t>
  </si>
  <si>
    <t>6134 52nd Street South</t>
  </si>
  <si>
    <t>b.oregon.farm@gmail.com</t>
  </si>
  <si>
    <t>Becca Earl</t>
  </si>
  <si>
    <t>91634 earls ln</t>
  </si>
  <si>
    <t>snookfisher201@gmail.com</t>
  </si>
  <si>
    <t>Tommy Parsley</t>
  </si>
  <si>
    <t>emmert.will@gmail.com</t>
  </si>
  <si>
    <t>William Emmert</t>
  </si>
  <si>
    <t>47451 state highway m-26</t>
  </si>
  <si>
    <t>hollinj@comcast.net</t>
  </si>
  <si>
    <t>jhollin@hotmail.com</t>
  </si>
  <si>
    <t>Hollinrake</t>
  </si>
  <si>
    <t>John Hollinrake</t>
  </si>
  <si>
    <t>1048 NW Innis Arden Drive</t>
  </si>
  <si>
    <t>lauren.herbert@verizon.net</t>
  </si>
  <si>
    <t>angie.bangie@verizon.net</t>
  </si>
  <si>
    <t>Herbert</t>
  </si>
  <si>
    <t>Angela Herbert</t>
  </si>
  <si>
    <t>6131 Yorkshire Rd.</t>
  </si>
  <si>
    <t>jennparsley@gmail.com</t>
  </si>
  <si>
    <t>ajparsley00@gmail.com</t>
  </si>
  <si>
    <t>Amy Parsley</t>
  </si>
  <si>
    <t>3710 Paynes Mill Rd</t>
  </si>
  <si>
    <t>Versailles</t>
  </si>
  <si>
    <t>lilyanimegwu@hotmail.com</t>
  </si>
  <si>
    <t>Ufearo</t>
  </si>
  <si>
    <t>Daniel Ufearo</t>
  </si>
  <si>
    <t>1002 Evening Star court</t>
  </si>
  <si>
    <t>Sarah Ufearo</t>
  </si>
  <si>
    <t>1002 Evening Star Court</t>
  </si>
  <si>
    <t>bill.brodine@gmail.com</t>
  </si>
  <si>
    <t>rebeccabrodine@gmail.com</t>
  </si>
  <si>
    <t>Brodine</t>
  </si>
  <si>
    <t>Rebecca Brodine</t>
  </si>
  <si>
    <t>9975 Hemlock Dr.</t>
  </si>
  <si>
    <t>jackiejquiz@gmail.com</t>
  </si>
  <si>
    <t>Jaclyn Quisenberry</t>
  </si>
  <si>
    <t>912 Aubree Ln</t>
  </si>
  <si>
    <t>jessicadouglas2040@sbcglobal.net</t>
  </si>
  <si>
    <t>quinnethdouglas@gmail.com</t>
  </si>
  <si>
    <t>Quinneth</t>
  </si>
  <si>
    <t>Quinneth Douglas</t>
  </si>
  <si>
    <t>1106 Green Valley Lane</t>
  </si>
  <si>
    <t>almahallworth@hotmail.com</t>
  </si>
  <si>
    <t>Hallworth</t>
  </si>
  <si>
    <t>Danielle Hallworth</t>
  </si>
  <si>
    <t>2846 SW 37th Court</t>
  </si>
  <si>
    <t>chloerae111@gmail.com</t>
  </si>
  <si>
    <t>Pfeiffer</t>
  </si>
  <si>
    <t>Chloe Pfeiffer</t>
  </si>
  <si>
    <t>2121 Patchen Lake Lane</t>
  </si>
  <si>
    <t>abigailkp.fit98@gmail.com</t>
  </si>
  <si>
    <t>Abigail Pfeiffer</t>
  </si>
  <si>
    <t>jonmom4ky@gmail.com</t>
  </si>
  <si>
    <t>trueblueukwildcat@gmail.com</t>
  </si>
  <si>
    <t>Naomi Pfeiffer</t>
  </si>
  <si>
    <t>20pascan@marion-isd.org</t>
  </si>
  <si>
    <t>Scanlon</t>
  </si>
  <si>
    <t>Paul Scanlon</t>
  </si>
  <si>
    <t>mikef@sunpumper.com</t>
  </si>
  <si>
    <t>Fourqurean</t>
  </si>
  <si>
    <t>Jonathan Fourqurean</t>
  </si>
  <si>
    <t>4800 Rustic Trail</t>
  </si>
  <si>
    <t>davidaschaller@gmail.com</t>
  </si>
  <si>
    <t>maxschaller2020@gmail.com</t>
  </si>
  <si>
    <t>Schaller</t>
  </si>
  <si>
    <t>Maxwell Schaller</t>
  </si>
  <si>
    <t>645 S Cullen Ave</t>
  </si>
  <si>
    <t>JoshSwanson@me.com</t>
  </si>
  <si>
    <t>Joshua Swanson</t>
  </si>
  <si>
    <t>ksanders1859@gmail.com</t>
  </si>
  <si>
    <t>kristie.w@centralchristianschools.com</t>
  </si>
  <si>
    <t>Wiseman</t>
  </si>
  <si>
    <t>Kristie Wiseman</t>
  </si>
  <si>
    <t>5146 SE Thomas Rd</t>
  </si>
  <si>
    <t>jacob20413@gmail.com</t>
  </si>
  <si>
    <t>Jacob Hoefling</t>
  </si>
  <si>
    <t>sookneo@gmail.com</t>
  </si>
  <si>
    <t>seanlim2@gmail.com</t>
  </si>
  <si>
    <t>Sean Lim</t>
  </si>
  <si>
    <t>Block 453, Choa Chu Kang Avenue 4, #08-123</t>
  </si>
  <si>
    <t>limtzeqi@gmail.com</t>
  </si>
  <si>
    <t>Rachel Tze Qi</t>
  </si>
  <si>
    <t>Rachel Tze Qi Lim</t>
  </si>
  <si>
    <t>basketbetsyl@yahoo.com</t>
  </si>
  <si>
    <t>Maddycakes1099@gmail.com</t>
  </si>
  <si>
    <t>Lessig</t>
  </si>
  <si>
    <t>Madeline Lessig</t>
  </si>
  <si>
    <t>1051 Twp. Rd. 2156</t>
  </si>
  <si>
    <t>David Lessig</t>
  </si>
  <si>
    <t>1051 Twp. Rd.</t>
  </si>
  <si>
    <t>jhalverson75@gmail.com</t>
  </si>
  <si>
    <t>ekhalverson@gmail.com</t>
  </si>
  <si>
    <t>Emma Halverson</t>
  </si>
  <si>
    <t>300 Hickory Stick Street</t>
  </si>
  <si>
    <t>johnawhittington@gmail.com</t>
  </si>
  <si>
    <t>Ejwhittington1@gmail.com</t>
  </si>
  <si>
    <t>Whittington</t>
  </si>
  <si>
    <t>Ethan Whittington</t>
  </si>
  <si>
    <t>11801 Marblehead Drive</t>
  </si>
  <si>
    <t>walker5josh@gmail.com_OLD</t>
  </si>
  <si>
    <t>walker5josh@gmail.com</t>
  </si>
  <si>
    <t>Josh Walker</t>
  </si>
  <si>
    <t>1279 Castle Hills Pl</t>
  </si>
  <si>
    <t>bbedard315@gmail.com</t>
  </si>
  <si>
    <t>eizzil117@gmail.com</t>
  </si>
  <si>
    <t>Elizabeth Bedard</t>
  </si>
  <si>
    <t>teamlamb7@gmail.com</t>
  </si>
  <si>
    <t>grantlamb73@gmail.com</t>
  </si>
  <si>
    <t>Grant Lamb</t>
  </si>
  <si>
    <t>2504 Willowdale Drive</t>
  </si>
  <si>
    <t>patty.sheets@NAturenates.com</t>
  </si>
  <si>
    <t>haddon.sheets@icloud.com</t>
  </si>
  <si>
    <t>Haddon</t>
  </si>
  <si>
    <t>Haddon Sheets</t>
  </si>
  <si>
    <t>10740 BIg Horn Trail</t>
  </si>
  <si>
    <t>kathleenmselje@gmail.com</t>
  </si>
  <si>
    <t>seljeclaire@gmail.com</t>
  </si>
  <si>
    <t>Selje</t>
  </si>
  <si>
    <t>Claire Selje</t>
  </si>
  <si>
    <t>5017 Abbott Ave. S</t>
  </si>
  <si>
    <t>8mightyellisons@gmail.com</t>
  </si>
  <si>
    <t>je28tsc@gmail.com</t>
  </si>
  <si>
    <t>Jackson Ellison</t>
  </si>
  <si>
    <t>9524 Wexcroft Dr.</t>
  </si>
  <si>
    <t>psalm148.3astronaut@gmail.com</t>
  </si>
  <si>
    <t>Sarah.adams0598@gmail.com</t>
  </si>
  <si>
    <t>Sarah Adams</t>
  </si>
  <si>
    <t>PO Box 1202</t>
  </si>
  <si>
    <t>haywardJack6@gmail.com</t>
  </si>
  <si>
    <t>Hayward</t>
  </si>
  <si>
    <t>Jack Hayward</t>
  </si>
  <si>
    <t>minoux57@mac.com</t>
  </si>
  <si>
    <t>olympics08@icloud.com</t>
  </si>
  <si>
    <t>Benjamin Ward</t>
  </si>
  <si>
    <t>7530 Airport Rd</t>
  </si>
  <si>
    <t>gillentinemichael@gmail.com</t>
  </si>
  <si>
    <t>Gillentine Jr.</t>
  </si>
  <si>
    <t>Michael Gillentine Jr.</t>
  </si>
  <si>
    <t>5518 N FM 56 #44</t>
  </si>
  <si>
    <t>breedlj@hotmail.com</t>
  </si>
  <si>
    <t>William Breedlove</t>
  </si>
  <si>
    <t>michaelvon@gmail.com</t>
  </si>
  <si>
    <t>austin@thehulens.com</t>
  </si>
  <si>
    <t>Hulen</t>
  </si>
  <si>
    <t>Austin Hulen</t>
  </si>
  <si>
    <t>508 Vespasian Circle</t>
  </si>
  <si>
    <t>kylewalker994@gmail.com</t>
  </si>
  <si>
    <t>Kyle Walker</t>
  </si>
  <si>
    <t>425 Alder Street</t>
  </si>
  <si>
    <t>Penticton</t>
  </si>
  <si>
    <t>British Columbia</t>
  </si>
  <si>
    <t>V2A 4C5</t>
  </si>
  <si>
    <t>morg8910@bears.unco.edu</t>
  </si>
  <si>
    <t>3812 Partridge Ct.</t>
  </si>
  <si>
    <t>gdejager4@gmail.com</t>
  </si>
  <si>
    <t>bdejager7@gmail.com</t>
  </si>
  <si>
    <t>Brandt</t>
  </si>
  <si>
    <t>Brandt DeJager</t>
  </si>
  <si>
    <t>9332 Prairie View Drive</t>
  </si>
  <si>
    <t>d5decker20@gmail.com</t>
  </si>
  <si>
    <t>Daniel Decker</t>
  </si>
  <si>
    <t>5810 Green Meadows Lane</t>
  </si>
  <si>
    <t>patty.smith2012@comcast.net</t>
  </si>
  <si>
    <t>Elijahsmith207@yahoo.com</t>
  </si>
  <si>
    <t>Elijah Smith</t>
  </si>
  <si>
    <t>674 Mt. Lebanon Rd.</t>
  </si>
  <si>
    <t>jessicawoodard05@gmail.com</t>
  </si>
  <si>
    <t>josewoodard99@gmail.com</t>
  </si>
  <si>
    <t>Jose</t>
  </si>
  <si>
    <t>Woodard</t>
  </si>
  <si>
    <t>Jose Woodard</t>
  </si>
  <si>
    <t>1300 Seminole St</t>
  </si>
  <si>
    <t>abigailbergquist@gmail.com</t>
  </si>
  <si>
    <t>Bergquist</t>
  </si>
  <si>
    <t>Abigail Bergquist</t>
  </si>
  <si>
    <t>1022 Walker School Rd</t>
  </si>
  <si>
    <t>pdclaton@gmail.com</t>
  </si>
  <si>
    <t>breanna.claton@gmail.com</t>
  </si>
  <si>
    <t>Breanna Claton</t>
  </si>
  <si>
    <t>19510 Marfak Drive</t>
  </si>
  <si>
    <t>cole1claton@gmail.com</t>
  </si>
  <si>
    <t>handleyjoy@gmail.com</t>
  </si>
  <si>
    <t>Handley</t>
  </si>
  <si>
    <t>Joy Handley</t>
  </si>
  <si>
    <t>260 Rock Spring Rd</t>
  </si>
  <si>
    <t>Owens Cross Roads</t>
  </si>
  <si>
    <t>thegabigurl@gmail.com</t>
  </si>
  <si>
    <t>Mirabella</t>
  </si>
  <si>
    <t>Gabrielle Mirabella</t>
  </si>
  <si>
    <t>2340 Jenkins Road</t>
  </si>
  <si>
    <t>kylegimple@gmail.com</t>
  </si>
  <si>
    <t>Gimple</t>
  </si>
  <si>
    <t>Kyle Gimple</t>
  </si>
  <si>
    <t>164 Paddock Way</t>
  </si>
  <si>
    <t>bobtrina5@gmail.com</t>
  </si>
  <si>
    <t>kailyntachick2012@gmail.com</t>
  </si>
  <si>
    <t>Kailyn</t>
  </si>
  <si>
    <t>Kailyn Tachick</t>
  </si>
  <si>
    <t>carlandtracie@bruce-family.org</t>
  </si>
  <si>
    <t>bamboo4est2000@gmail.com</t>
  </si>
  <si>
    <t>Atiana</t>
  </si>
  <si>
    <t>Atiana Bruce</t>
  </si>
  <si>
    <t>5333 Walnut Hill Lane</t>
  </si>
  <si>
    <t>raymond9293@att.net</t>
  </si>
  <si>
    <t>goober82000@gmail.com</t>
  </si>
  <si>
    <t>David Raymond</t>
  </si>
  <si>
    <t>1047 E Bunker Hill Trail</t>
  </si>
  <si>
    <t>craig.stefan2@gmail.com</t>
  </si>
  <si>
    <t>smsbama33@gmail.com</t>
  </si>
  <si>
    <t>Stefan</t>
  </si>
  <si>
    <t>Sara Stefan</t>
  </si>
  <si>
    <t>159 Palomino Drive</t>
  </si>
  <si>
    <t>garrettsutton272@gmail.com</t>
  </si>
  <si>
    <t>Garrett Sutton</t>
  </si>
  <si>
    <t>15425 Avanti Drive</t>
  </si>
  <si>
    <t>temifayigaa@gmail.com</t>
  </si>
  <si>
    <t>Temiloluwa</t>
  </si>
  <si>
    <t>Temiloluwa Fayiga</t>
  </si>
  <si>
    <t>14850 Roselawn Ln</t>
  </si>
  <si>
    <t>chens4Him@yahoo.com</t>
  </si>
  <si>
    <t>elisabethchen22@gmail.com</t>
  </si>
  <si>
    <t>Elisabeth Chen</t>
  </si>
  <si>
    <t>calebedwards1@hotmail.com</t>
  </si>
  <si>
    <t>17 Kreg Lane</t>
  </si>
  <si>
    <t>ivymarieadkisson20@gmail.com</t>
  </si>
  <si>
    <t>Ivy-Marie</t>
  </si>
  <si>
    <t>Adkisson</t>
  </si>
  <si>
    <t>Ivy-Marie Adkisson</t>
  </si>
  <si>
    <t>655 Glenn Baker Rd.</t>
  </si>
  <si>
    <t>bkedwink@gmail.com</t>
  </si>
  <si>
    <t>darrenvpv@gmail.com</t>
  </si>
  <si>
    <t>Darren Winkler</t>
  </si>
  <si>
    <t>3103 Summit Court</t>
  </si>
  <si>
    <t>clarab2000@hotmail.com</t>
  </si>
  <si>
    <t>Boctor</t>
  </si>
  <si>
    <t>Clara Boctor</t>
  </si>
  <si>
    <t>198 Alison Cres</t>
  </si>
  <si>
    <t>L6L 0C7</t>
  </si>
  <si>
    <t>erikahixson@gmail.com</t>
  </si>
  <si>
    <t>Miahannahh@gmail.com</t>
  </si>
  <si>
    <t>Epley</t>
  </si>
  <si>
    <t>Mia Epley</t>
  </si>
  <si>
    <t>895 Race St</t>
  </si>
  <si>
    <t>Sunbury</t>
  </si>
  <si>
    <t>barbie@thefurbers.com</t>
  </si>
  <si>
    <t>s.bryn.furber@gmail.com</t>
  </si>
  <si>
    <t>Furber</t>
  </si>
  <si>
    <t>Samantha Furber</t>
  </si>
  <si>
    <t>11007 Crawford Circle</t>
  </si>
  <si>
    <t>encourageoneanother@gmail.com</t>
  </si>
  <si>
    <t>jaclark5@gtcc.edu</t>
  </si>
  <si>
    <t>1476 Cantwell Ct</t>
  </si>
  <si>
    <t>changeiscoming1415@gmail.com</t>
  </si>
  <si>
    <t>bblc2001@gmail.com</t>
  </si>
  <si>
    <t>Peyton Benz</t>
  </si>
  <si>
    <t>ascchead@gmail.com</t>
  </si>
  <si>
    <t>calliebug@gmail.com</t>
  </si>
  <si>
    <t>Head</t>
  </si>
  <si>
    <t>Callie Head</t>
  </si>
  <si>
    <t>4343 Alysheba Lane</t>
  </si>
  <si>
    <t>emboyles@msn.com</t>
  </si>
  <si>
    <t>autumnboyles11@gmail.com</t>
  </si>
  <si>
    <t>Boyles</t>
  </si>
  <si>
    <t>Autumn Boyles</t>
  </si>
  <si>
    <t>1604 Stella Dr</t>
  </si>
  <si>
    <t>bethbaskets-web@yahoo.com</t>
  </si>
  <si>
    <t>jdavis@aoths.net</t>
  </si>
  <si>
    <t>4280 N. Sierra de Luna Place</t>
  </si>
  <si>
    <t>smplsugr@gmail.com</t>
  </si>
  <si>
    <t>casedickey@gmail.com</t>
  </si>
  <si>
    <t>Case Dickey</t>
  </si>
  <si>
    <t>6913 114th St.</t>
  </si>
  <si>
    <t>cate.e.price20@gmail.com</t>
  </si>
  <si>
    <t>Cate Price</t>
  </si>
  <si>
    <t>6150 Drexel Road</t>
  </si>
  <si>
    <t>Danielle Herrera</t>
  </si>
  <si>
    <t>loripasculli@yahoo.com</t>
  </si>
  <si>
    <t>zachpasculli@gmail.com</t>
  </si>
  <si>
    <t>pasculli</t>
  </si>
  <si>
    <t>zachary pasculli</t>
  </si>
  <si>
    <t>4562 N. Burt Place</t>
  </si>
  <si>
    <t>eagle</t>
  </si>
  <si>
    <t>camrynn.stewart@gmail.com</t>
  </si>
  <si>
    <t>Camrynn</t>
  </si>
  <si>
    <t>Camrynn Stewart</t>
  </si>
  <si>
    <t>4934 Scarlett Oak Drive</t>
  </si>
  <si>
    <t>suethayer4life@gmail.com</t>
  </si>
  <si>
    <t>kevinthayerweddingfilms@gmail.com</t>
  </si>
  <si>
    <t>Kevin Thayer</t>
  </si>
  <si>
    <t>702 Lakeshore Drive</t>
  </si>
  <si>
    <t>theedwards6@gmail.com</t>
  </si>
  <si>
    <t>nathandotedwards@gmail.com</t>
  </si>
  <si>
    <t>Nate Edwards</t>
  </si>
  <si>
    <t>1412 Trinity Ct.</t>
  </si>
  <si>
    <t>chuck@trisdale.net</t>
  </si>
  <si>
    <t>holly@trisdale.net</t>
  </si>
  <si>
    <t>Trisdale</t>
  </si>
  <si>
    <t>Holly Trisdale</t>
  </si>
  <si>
    <t>2561 Hwy 471</t>
  </si>
  <si>
    <t>swynncotton@yahoo.com</t>
  </si>
  <si>
    <t>ainsley.m.cotton@gmail.com</t>
  </si>
  <si>
    <t>Cotton</t>
  </si>
  <si>
    <t>Ainsley Cotton</t>
  </si>
  <si>
    <t>34 Dorado Beach East</t>
  </si>
  <si>
    <t>Dorado</t>
  </si>
  <si>
    <t>alaynajoy.lowe@gmail.com</t>
  </si>
  <si>
    <t>Alayna</t>
  </si>
  <si>
    <t>Alayna Lowe</t>
  </si>
  <si>
    <t>442 west washington blvd.</t>
  </si>
  <si>
    <t>grove city</t>
  </si>
  <si>
    <t>wentley@yahoo.com</t>
  </si>
  <si>
    <t>wentleymaria@gmail.com</t>
  </si>
  <si>
    <t>Wentley</t>
  </si>
  <si>
    <t>Maria Wentley</t>
  </si>
  <si>
    <t>1218 Elsborn Ridge Road</t>
  </si>
  <si>
    <t>awalkercrna@gmail.com</t>
  </si>
  <si>
    <t>nathansyks@gmail.com</t>
  </si>
  <si>
    <t>Sykes</t>
  </si>
  <si>
    <t>Nathan Sykes</t>
  </si>
  <si>
    <t>2122 Fox Rd.</t>
  </si>
  <si>
    <t>Millsap</t>
  </si>
  <si>
    <t>kellybarta@comcast.net</t>
  </si>
  <si>
    <t>jacksonbarta7@gmail.com</t>
  </si>
  <si>
    <t>Barta</t>
  </si>
  <si>
    <t>Jackson Barta</t>
  </si>
  <si>
    <t>1419 Harris</t>
  </si>
  <si>
    <t>Lawrencevill</t>
  </si>
  <si>
    <t>titoasantiago1@gmail.com</t>
  </si>
  <si>
    <t>josiahdsantiago@gmail.com</t>
  </si>
  <si>
    <t>Josiah Santiago</t>
  </si>
  <si>
    <t>1 11th Street</t>
  </si>
  <si>
    <t>Hazlet Twp</t>
  </si>
  <si>
    <t>leahporter205@gmail.com</t>
  </si>
  <si>
    <t>Leah Porter</t>
  </si>
  <si>
    <t>1743 E. Crabtree Rd.</t>
  </si>
  <si>
    <t>syndi.caruvana@gmail.com</t>
  </si>
  <si>
    <t>Synthia</t>
  </si>
  <si>
    <t>Caruvana</t>
  </si>
  <si>
    <t>Synthia Caruvana</t>
  </si>
  <si>
    <t>9 Warwick Place SE</t>
  </si>
  <si>
    <t>stutzfamily@hotmail.com</t>
  </si>
  <si>
    <t>ahitter17@hotmail.com</t>
  </si>
  <si>
    <t>Stutz</t>
  </si>
  <si>
    <t>Abby Stutz</t>
  </si>
  <si>
    <t>5033 Huntington Avenue</t>
  </si>
  <si>
    <t>Apt 5</t>
  </si>
  <si>
    <t>danielleraemc@gmail.com</t>
  </si>
  <si>
    <t>McInturff</t>
  </si>
  <si>
    <t>Danielle McInturff</t>
  </si>
  <si>
    <t>4735 Garcia Blvd</t>
  </si>
  <si>
    <t>suefabisch@gmail.com</t>
  </si>
  <si>
    <t>stevenerrico@gmail.com</t>
  </si>
  <si>
    <t>Errico</t>
  </si>
  <si>
    <t>Steven Errico</t>
  </si>
  <si>
    <t>9809 Sam Donald Rd</t>
  </si>
  <si>
    <t>hattiethomasson@gmail.com</t>
  </si>
  <si>
    <t>Thomasson</t>
  </si>
  <si>
    <t>Hattie Thomasson</t>
  </si>
  <si>
    <t>3658 Mermet Road</t>
  </si>
  <si>
    <t>Belknap</t>
  </si>
  <si>
    <t>brentacred@gmail.com</t>
  </si>
  <si>
    <t>Brently</t>
  </si>
  <si>
    <t>Acred</t>
  </si>
  <si>
    <t>Brently Acred</t>
  </si>
  <si>
    <t>89 Cotton Hill Lane</t>
  </si>
  <si>
    <t>jamesdenneyba@gmail.com</t>
  </si>
  <si>
    <t>James Denney</t>
  </si>
  <si>
    <t>6413 Wildwood Dr</t>
  </si>
  <si>
    <t>ronnieandbecky@msn.com</t>
  </si>
  <si>
    <t>Laramie Moyer</t>
  </si>
  <si>
    <t>202 Lamar Dr.</t>
  </si>
  <si>
    <t>Jennonthego3@gmail.com</t>
  </si>
  <si>
    <t>ClassicBrennon@gmail.com</t>
  </si>
  <si>
    <t>Andrus</t>
  </si>
  <si>
    <t>Brennon Andrus</t>
  </si>
  <si>
    <t>244 Montana Del Lago Dr.</t>
  </si>
  <si>
    <t>catiehope@me.com</t>
  </si>
  <si>
    <t>Catherine Kelemen</t>
  </si>
  <si>
    <t>jim.robinson@hp.com</t>
  </si>
  <si>
    <t>chaserobinson@gmail.com</t>
  </si>
  <si>
    <t>Chase Robinson</t>
  </si>
  <si>
    <t>18423 Falling Oak Way</t>
  </si>
  <si>
    <t>bradley.owen.biz@gmail.com</t>
  </si>
  <si>
    <t>Bradley Owen</t>
  </si>
  <si>
    <t>510 Morning Road</t>
  </si>
  <si>
    <t>Dyersburg</t>
  </si>
  <si>
    <t>josue.delgado.1956@gmail.com</t>
  </si>
  <si>
    <t>Delgadopaul@logos.com</t>
  </si>
  <si>
    <t>Paul Delgado</t>
  </si>
  <si>
    <t>1401 Johnson Street</t>
  </si>
  <si>
    <t>timothydelgado101@gmail.com</t>
  </si>
  <si>
    <t>Timothy Delgado</t>
  </si>
  <si>
    <t>coachontheroad@yahoo.com</t>
  </si>
  <si>
    <t>briencaleb@yahoo.com</t>
  </si>
  <si>
    <t>Brien</t>
  </si>
  <si>
    <t>Caleb Brien</t>
  </si>
  <si>
    <t>2 Chatham Court</t>
  </si>
  <si>
    <t>thedimarcos@gmail.com</t>
  </si>
  <si>
    <t>charlesdimarco39@gmail.com</t>
  </si>
  <si>
    <t>DiMarco</t>
  </si>
  <si>
    <t>Charles DiMarco</t>
  </si>
  <si>
    <t>10268 127th Ave. N.</t>
  </si>
  <si>
    <t>peggyadams22@gmail.com</t>
  </si>
  <si>
    <t>anne.ev.adams@gmail.com</t>
  </si>
  <si>
    <t>Anne Adams</t>
  </si>
  <si>
    <t>1723 Mud Splash Road</t>
  </si>
  <si>
    <t>mclemoreclayton40@gmail.com</t>
  </si>
  <si>
    <t>Clayton McLemore</t>
  </si>
  <si>
    <t>4527 King Springs Rd. SE</t>
  </si>
  <si>
    <t>kmoos@cookinletalaska.org</t>
  </si>
  <si>
    <t>Moos</t>
  </si>
  <si>
    <t>Kenton Moos</t>
  </si>
  <si>
    <t>P.O. Box 1484</t>
  </si>
  <si>
    <t>lauraarmistead@gmail.com</t>
  </si>
  <si>
    <t>Hlarmistead@gmail.com</t>
  </si>
  <si>
    <t>Armistead</t>
  </si>
  <si>
    <t>Hannah Armistead</t>
  </si>
  <si>
    <t>6006 Belle Rive Driv</t>
  </si>
  <si>
    <t>e</t>
  </si>
  <si>
    <t>carli.m24601@gmail.com</t>
  </si>
  <si>
    <t>Moses</t>
  </si>
  <si>
    <t>Carli Moses</t>
  </si>
  <si>
    <t>kymmyers@yahoo.com</t>
  </si>
  <si>
    <t>Wesmyers232@gmail.com</t>
  </si>
  <si>
    <t>Weston Myers</t>
  </si>
  <si>
    <t>4120 Friendly Hope Road</t>
  </si>
  <si>
    <t>mmyers10@samford.edu</t>
  </si>
  <si>
    <t>Matthew Myers</t>
  </si>
  <si>
    <t>peyt.m101@gmail.com</t>
  </si>
  <si>
    <t>Peytyn</t>
  </si>
  <si>
    <t>Peytyn Moses</t>
  </si>
  <si>
    <t>P.O. Box 561</t>
  </si>
  <si>
    <t>mmarie_palmer@hotmail.com</t>
  </si>
  <si>
    <t>iangabrielpalmer@outlook.com</t>
  </si>
  <si>
    <t>Ian Palmer</t>
  </si>
  <si>
    <t>14096 S. 1525 Rd</t>
  </si>
  <si>
    <t>raelen.gloriachristo@gmail.com</t>
  </si>
  <si>
    <t>Raelen</t>
  </si>
  <si>
    <t>VanDuzer</t>
  </si>
  <si>
    <t>Raelen VanDuzer</t>
  </si>
  <si>
    <t>6412 Meandering Creek Drive</t>
  </si>
  <si>
    <t>joyachristine@gmail.com</t>
  </si>
  <si>
    <t>Joya</t>
  </si>
  <si>
    <t>Schrock</t>
  </si>
  <si>
    <t>Joya Schrock</t>
  </si>
  <si>
    <t>3344 300th St.</t>
  </si>
  <si>
    <t>lorendonnayoder@yahoo.com</t>
  </si>
  <si>
    <t>keddyls15@yahoo.com</t>
  </si>
  <si>
    <t>Kedric</t>
  </si>
  <si>
    <t>Kedric Yoder</t>
  </si>
  <si>
    <t>100 Larkspur Drive</t>
  </si>
  <si>
    <t>Quarryville</t>
  </si>
  <si>
    <t>azul.eb8@gmail.com</t>
  </si>
  <si>
    <t>Burnap</t>
  </si>
  <si>
    <t>Emily Burnap</t>
  </si>
  <si>
    <t>523 Prairie Ave.</t>
  </si>
  <si>
    <t>Downers Grove</t>
  </si>
  <si>
    <t>leahgreen99@comcast.net</t>
  </si>
  <si>
    <t>ellipatt620@gmail.com</t>
  </si>
  <si>
    <t>Elli</t>
  </si>
  <si>
    <t>Elli Patterson</t>
  </si>
  <si>
    <t>7748 McLaughlin Rd.</t>
  </si>
  <si>
    <t>fjneven@gmail.com</t>
  </si>
  <si>
    <t>Ruth Neven</t>
  </si>
  <si>
    <t>195 Saber Creek Drive</t>
  </si>
  <si>
    <t>tmslparrish@aol.com</t>
  </si>
  <si>
    <t>lukep110496@gmail.com</t>
  </si>
  <si>
    <t>Parrish</t>
  </si>
  <si>
    <t>Luke Parrish</t>
  </si>
  <si>
    <t>4363 E Misty Woods Street</t>
  </si>
  <si>
    <t>rjverdoorn@gmail.com</t>
  </si>
  <si>
    <t>thomasjohnverdoorn@gmail.com</t>
  </si>
  <si>
    <t>Thomas Verdoorn</t>
  </si>
  <si>
    <t>rgreen@zioneagles.org</t>
  </si>
  <si>
    <t>Ryan Green</t>
  </si>
  <si>
    <t>6506 Breckenridge Cv</t>
  </si>
  <si>
    <t>melissajratliff@yahoo.com</t>
  </si>
  <si>
    <t>abigailjratliff@aol.com</t>
  </si>
  <si>
    <t>Ratliff</t>
  </si>
  <si>
    <t>Abigail Ratliff</t>
  </si>
  <si>
    <t>100 Edgewood Pl</t>
  </si>
  <si>
    <t>rompasca@gmail.com</t>
  </si>
  <si>
    <t>Naum</t>
  </si>
  <si>
    <t>Pasca</t>
  </si>
  <si>
    <t>Naum Pasca</t>
  </si>
  <si>
    <t>105 Lexham Ct.</t>
  </si>
  <si>
    <t>Mufreesboro</t>
  </si>
  <si>
    <t>anoelle99@icloud.com</t>
  </si>
  <si>
    <t>Autumn Steele</t>
  </si>
  <si>
    <t>everett548829@bellsouth.net</t>
  </si>
  <si>
    <t>rachel.lynn.everett@gmail.com</t>
  </si>
  <si>
    <t>Rachel Everett</t>
  </si>
  <si>
    <t>375 West Beaverdam Rd.</t>
  </si>
  <si>
    <t>Centerville</t>
  </si>
  <si>
    <t>ayp2@alfred.edu</t>
  </si>
  <si>
    <t>aypierce@gmail.com</t>
  </si>
  <si>
    <t>Abigail Pierce</t>
  </si>
  <si>
    <t>3479 Cherry Valley Turnpike</t>
  </si>
  <si>
    <t>ajaredeverett@gmail.com</t>
  </si>
  <si>
    <t>Andrew Everett</t>
  </si>
  <si>
    <t>375 West Beaverdam Rd</t>
  </si>
  <si>
    <t>bhousman@hilliard.com</t>
  </si>
  <si>
    <t>allie_housman@icloud.com</t>
  </si>
  <si>
    <t>Housman</t>
  </si>
  <si>
    <t>Allie Housman</t>
  </si>
  <si>
    <t>115 Forest View Cove</t>
  </si>
  <si>
    <t>jess.stainbrook@gmail.com</t>
  </si>
  <si>
    <t>en.syainbrook@gmail.com</t>
  </si>
  <si>
    <t>Stainbrook</t>
  </si>
  <si>
    <t>Ellie Stainbrook</t>
  </si>
  <si>
    <t>1749 Rose Petal Lane</t>
  </si>
  <si>
    <t>karatemom1137@gmail.com</t>
  </si>
  <si>
    <t>emilypolarstar17@gmail.com</t>
  </si>
  <si>
    <t>Robberson</t>
  </si>
  <si>
    <t>Emily Robberson</t>
  </si>
  <si>
    <t>4803 Hackamore Dr S</t>
  </si>
  <si>
    <t>cobraxt17@gmail.com</t>
  </si>
  <si>
    <t>Josiah Robberson</t>
  </si>
  <si>
    <t>adamholbrook20@gmail.com</t>
  </si>
  <si>
    <t>Holbrook</t>
  </si>
  <si>
    <t>Adam Holbrook</t>
  </si>
  <si>
    <t>5591 Marion Johnson Road</t>
  </si>
  <si>
    <t>meredith.hornsby9@gmail.com</t>
  </si>
  <si>
    <t>Hornsby</t>
  </si>
  <si>
    <t>Meredith Hornsby</t>
  </si>
  <si>
    <t>4777 W Cheryl Dr</t>
  </si>
  <si>
    <t>mdekluyver@bearspawschool.com</t>
  </si>
  <si>
    <t>josh.dekluyver1@gmail.com</t>
  </si>
  <si>
    <t>de Kluyver</t>
  </si>
  <si>
    <t>Josh de Kluyver</t>
  </si>
  <si>
    <t>292139 Butte Valley Estates</t>
  </si>
  <si>
    <t>T4A 0N2</t>
  </si>
  <si>
    <t>rpear@comcast.net</t>
  </si>
  <si>
    <t>nelson43@gmail.com</t>
  </si>
  <si>
    <t>Konnor Nelson</t>
  </si>
  <si>
    <t>1110 Se 208th AVE</t>
  </si>
  <si>
    <t>Grehsam</t>
  </si>
  <si>
    <t>swoosh12man@gmail.com</t>
  </si>
  <si>
    <t>Crowder</t>
  </si>
  <si>
    <t>Cade Crowder</t>
  </si>
  <si>
    <t>4623 Oak Ridge Road</t>
  </si>
  <si>
    <t>Morgantown</t>
  </si>
  <si>
    <t>guy@guygronberg.com</t>
  </si>
  <si>
    <t>glori@guygronberg.com</t>
  </si>
  <si>
    <t>Glori</t>
  </si>
  <si>
    <t>Gronberg</t>
  </si>
  <si>
    <t>Glori Gronberg</t>
  </si>
  <si>
    <t>1516 NE Hardage Circle</t>
  </si>
  <si>
    <t>kariliseboyer@gmail.com</t>
  </si>
  <si>
    <t>Kari-Lise</t>
  </si>
  <si>
    <t>Kari-Lise Boyer</t>
  </si>
  <si>
    <t>7339 Norfolk Place</t>
  </si>
  <si>
    <t>annabeth.grover@gmail.com</t>
  </si>
  <si>
    <t>Joanna Grover</t>
  </si>
  <si>
    <t>deeannsummers@ca.rr.com</t>
  </si>
  <si>
    <t>aiden_doyle@icloud.com</t>
  </si>
  <si>
    <t>Doyle</t>
  </si>
  <si>
    <t>Aiden Doyle</t>
  </si>
  <si>
    <t>18692 Dodge Avenue</t>
  </si>
  <si>
    <t>gwencicone@gmail.com</t>
  </si>
  <si>
    <t>mariacicone4@gmail.com</t>
  </si>
  <si>
    <t>Maria Cicone</t>
  </si>
  <si>
    <t>4609 East Joppa Rd</t>
  </si>
  <si>
    <t>ericabyler@gmail.com</t>
  </si>
  <si>
    <t>Byler</t>
  </si>
  <si>
    <t>Erica Byler</t>
  </si>
  <si>
    <t>5302 Verdant Way</t>
  </si>
  <si>
    <t>n1hippogriff@gmail.com</t>
  </si>
  <si>
    <t>Nathanael Bean</t>
  </si>
  <si>
    <t>rosebelle56@gmail.com</t>
  </si>
  <si>
    <t>Elizabeth Hart</t>
  </si>
  <si>
    <t>angela.parks@outlook.com</t>
  </si>
  <si>
    <t>parks.jacob@outlook.com</t>
  </si>
  <si>
    <t>Jacob Parks</t>
  </si>
  <si>
    <t>10016 Brisbane Lane</t>
  </si>
  <si>
    <t>meadows.todd@gmail.com</t>
  </si>
  <si>
    <t>meadows.sydnee@gmail.com</t>
  </si>
  <si>
    <t>Meadows</t>
  </si>
  <si>
    <t>Sydnee Meadows</t>
  </si>
  <si>
    <t>345 Planters Way</t>
  </si>
  <si>
    <t>mkgrippe@gmail.com</t>
  </si>
  <si>
    <t>Grippe</t>
  </si>
  <si>
    <t>Mary Grippe</t>
  </si>
  <si>
    <t>475 Bond Street</t>
  </si>
  <si>
    <t>Science Hill</t>
  </si>
  <si>
    <t>customquilter@hotmail.com</t>
  </si>
  <si>
    <t>mollyclaire602@gmail.com</t>
  </si>
  <si>
    <t>Denmon</t>
  </si>
  <si>
    <t>Molly Denmon</t>
  </si>
  <si>
    <t>5006 Seiler Rd.</t>
  </si>
  <si>
    <t>Dorsey</t>
  </si>
  <si>
    <t>shaege@live.com</t>
  </si>
  <si>
    <t>owlfan2@live.com</t>
  </si>
  <si>
    <t>Haege</t>
  </si>
  <si>
    <t>Alexis Haege</t>
  </si>
  <si>
    <t>1205 Cinnamon Dr.</t>
  </si>
  <si>
    <t>Freeburg</t>
  </si>
  <si>
    <t>thomaswang1912@gmail.com</t>
  </si>
  <si>
    <t>Thomaswang1912@gmail.com</t>
  </si>
  <si>
    <t>Huilong</t>
  </si>
  <si>
    <t>Huilong Wang</t>
  </si>
  <si>
    <t>8545 Via Bella Notte</t>
  </si>
  <si>
    <t>bconklin@metroaviation.com</t>
  </si>
  <si>
    <t>imperialsrule@icloud.com</t>
  </si>
  <si>
    <t>Conklin</t>
  </si>
  <si>
    <t>Samuel Conklin</t>
  </si>
  <si>
    <t>421 SW Blakely Ct</t>
  </si>
  <si>
    <t>lavanclan@gmail.com</t>
  </si>
  <si>
    <t>AlexanderLaVan@icloud.com</t>
  </si>
  <si>
    <t>Alexander LaVan</t>
  </si>
  <si>
    <t>shelbylynne@thewilliscrew.org</t>
  </si>
  <si>
    <t>SHELBY</t>
  </si>
  <si>
    <t>WILLIS</t>
  </si>
  <si>
    <t>SHELBY WILLIS</t>
  </si>
  <si>
    <t>fio@windstream.net</t>
  </si>
  <si>
    <t>natalieclement101@gmail.com</t>
  </si>
  <si>
    <t>Natalie Clement</t>
  </si>
  <si>
    <t>8390 Fields Ford</t>
  </si>
  <si>
    <t>katepeterson46@gmail.com</t>
  </si>
  <si>
    <t>Kate Peterson</t>
  </si>
  <si>
    <t>6330 Steller Circle</t>
  </si>
  <si>
    <t>heathino.lexicon@gmail.com</t>
  </si>
  <si>
    <t>Heathino.lexicon@gmail.com</t>
  </si>
  <si>
    <t>Heather Perry</t>
  </si>
  <si>
    <t>2310 Walden place s</t>
  </si>
  <si>
    <t>Plant city</t>
  </si>
  <si>
    <t>louis7@sbcglobal.net</t>
  </si>
  <si>
    <t>David Louis</t>
  </si>
  <si>
    <t>extbus@gmail.com</t>
  </si>
  <si>
    <t>edwardsjian@gmail.com</t>
  </si>
  <si>
    <t>Ian Edwards</t>
  </si>
  <si>
    <t>3950 Clinton Ave.</t>
  </si>
  <si>
    <t>mswaim3@gmail.com</t>
  </si>
  <si>
    <t>jswaim7@gmail.com</t>
  </si>
  <si>
    <t>Swaim</t>
  </si>
  <si>
    <t>Justine Swaim</t>
  </si>
  <si>
    <t>1117 Brookstone Blvd.</t>
  </si>
  <si>
    <t>jblu220@gmail.com</t>
  </si>
  <si>
    <t>Arn</t>
  </si>
  <si>
    <t>Janelle Arn</t>
  </si>
  <si>
    <t>20 Ballinger Way</t>
  </si>
  <si>
    <t>lanalee4title@yahoo.com</t>
  </si>
  <si>
    <t>ashleyokino22@gmail.com</t>
  </si>
  <si>
    <t>Okino</t>
  </si>
  <si>
    <t>Ashley Okino</t>
  </si>
  <si>
    <t>1 Evensen</t>
  </si>
  <si>
    <t>brimhallsest1992@verizon.net</t>
  </si>
  <si>
    <t>calvin.brimhall@gmail.com</t>
  </si>
  <si>
    <t>Brimhall</t>
  </si>
  <si>
    <t>Calvin Brimhall</t>
  </si>
  <si>
    <t>8776 Lovere Trail</t>
  </si>
  <si>
    <t>siennasail@gmail.com</t>
  </si>
  <si>
    <t>okino88lee@gmail.com</t>
  </si>
  <si>
    <t>Lauren Okino</t>
  </si>
  <si>
    <t>wereafamily@gmail.com</t>
  </si>
  <si>
    <t>michaelefrost99@gmail.com</t>
  </si>
  <si>
    <t>Michael Frost</t>
  </si>
  <si>
    <t>1968 Hwy F36 W</t>
  </si>
  <si>
    <t>jc.harrison6@gmail.com</t>
  </si>
  <si>
    <t>Ben.hh6@gmail.com</t>
  </si>
  <si>
    <t>Ben Harrison</t>
  </si>
  <si>
    <t>pmike@gbctampa.org</t>
  </si>
  <si>
    <t>elliottpgeer@gmail.com</t>
  </si>
  <si>
    <t>Geer</t>
  </si>
  <si>
    <t>Geer Elliott</t>
  </si>
  <si>
    <t>5601 Coolidge Street, Riverview FL, 33578</t>
  </si>
  <si>
    <t>johnson37317@yahoo.com</t>
  </si>
  <si>
    <t>farajhi1910@gmail.com</t>
  </si>
  <si>
    <t>294 Burgertown Rd</t>
  </si>
  <si>
    <t>abbyrollercoaster@gmail.com</t>
  </si>
  <si>
    <t>Abigail Sykes</t>
  </si>
  <si>
    <t>rpmaddox2000@hotmail.com</t>
  </si>
  <si>
    <t>Robert Maddox</t>
  </si>
  <si>
    <t>4805 Costa de Oro Road</t>
  </si>
  <si>
    <t>amivinson@msn.com</t>
  </si>
  <si>
    <t>S.</t>
  </si>
  <si>
    <t>S. Vinson</t>
  </si>
  <si>
    <t>4131 N. Kiva Pl.</t>
  </si>
  <si>
    <t>cfshimmel@gmail.com</t>
  </si>
  <si>
    <t>jared.thomas@rpbluejays.com</t>
  </si>
  <si>
    <t>Jared Thomas</t>
  </si>
  <si>
    <t>613 S Market St</t>
  </si>
  <si>
    <t>Rock Port</t>
  </si>
  <si>
    <t>brettgayler87@gmail.com</t>
  </si>
  <si>
    <t>Gayler</t>
  </si>
  <si>
    <t>Brett Gayler</t>
  </si>
  <si>
    <t>504 S Water ST</t>
  </si>
  <si>
    <t>paulandmichell2815@yahoo.com</t>
  </si>
  <si>
    <t>mpr2535@gmail.com</t>
  </si>
  <si>
    <t>Rowlands</t>
  </si>
  <si>
    <t>Micah Rowlands</t>
  </si>
  <si>
    <t>765 Sedgewood Circle</t>
  </si>
  <si>
    <t>West Melbourne</t>
  </si>
  <si>
    <t>kim.denman@parisssd.org</t>
  </si>
  <si>
    <t>nelson.denman01@gmail.com</t>
  </si>
  <si>
    <t>Denman</t>
  </si>
  <si>
    <t>Michael Denman</t>
  </si>
  <si>
    <t>154 Perry School House Road</t>
  </si>
  <si>
    <t>jen_lew_79@hotmail.com</t>
  </si>
  <si>
    <t>Andreola</t>
  </si>
  <si>
    <t>Christine Andreola</t>
  </si>
  <si>
    <t>mbarr83@aol.com</t>
  </si>
  <si>
    <t>jon.barranca@yahoo.com</t>
  </si>
  <si>
    <t>barranca</t>
  </si>
  <si>
    <t>jonathan barranca</t>
  </si>
  <si>
    <t>211 villanova place</t>
  </si>
  <si>
    <t>matawan</t>
  </si>
  <si>
    <t>lukelarocque@live.com</t>
  </si>
  <si>
    <t>La Rocque</t>
  </si>
  <si>
    <t>Luke La Rocque</t>
  </si>
  <si>
    <t>2017 Infinity Circle</t>
  </si>
  <si>
    <t>Unit 201</t>
  </si>
  <si>
    <t>Paul Roos</t>
  </si>
  <si>
    <t>troyandtracy@gmail.com</t>
  </si>
  <si>
    <t>Brownmegan914@gmail.com</t>
  </si>
  <si>
    <t>Megan Brown</t>
  </si>
  <si>
    <t>17400 Chatham Hills Road</t>
  </si>
  <si>
    <t>rachelbrown98@icloud.com</t>
  </si>
  <si>
    <t>stonestruestory@gmail.com</t>
  </si>
  <si>
    <t>thejeremahestell@gmail.com</t>
  </si>
  <si>
    <t>Estell</t>
  </si>
  <si>
    <t>Jeremiah Estell</t>
  </si>
  <si>
    <t>401 W Franklin St</t>
  </si>
  <si>
    <t>callienbrasher@gmail.com</t>
  </si>
  <si>
    <t>Brasher</t>
  </si>
  <si>
    <t>Callie Brasher</t>
  </si>
  <si>
    <t>890 Davis Road</t>
  </si>
  <si>
    <t>evans.katenba@gmail.com</t>
  </si>
  <si>
    <t>bevans@hillsdale.edu</t>
  </si>
  <si>
    <t>Benjamin Evans</t>
  </si>
  <si>
    <t>9fingereddeath@gmail.com</t>
  </si>
  <si>
    <t>Coronado</t>
  </si>
  <si>
    <t>Noah Coronado</t>
  </si>
  <si>
    <t>4374 Ramona Dr.</t>
  </si>
  <si>
    <t>patanddeb4@bellsouth.net</t>
  </si>
  <si>
    <t>ckeller@student.ccaeagles.org</t>
  </si>
  <si>
    <t>Caleb Keller</t>
  </si>
  <si>
    <t>18791 NW 23 Street</t>
  </si>
  <si>
    <t>camjburgin@gmail.com</t>
  </si>
  <si>
    <t>Cameron Burgin</t>
  </si>
  <si>
    <t>603 Lebanon Street</t>
  </si>
  <si>
    <t>carleighnorton21@gmail.com</t>
  </si>
  <si>
    <t>Carleigh</t>
  </si>
  <si>
    <t>Carleigh Norton</t>
  </si>
  <si>
    <t>121 Briarwood Ct</t>
  </si>
  <si>
    <t>jennifer@driventoeducate.com</t>
  </si>
  <si>
    <t>griffin@driventoeducate.com</t>
  </si>
  <si>
    <t>Griffin Taylor</t>
  </si>
  <si>
    <t>6612 W. Thriveaway Cove</t>
  </si>
  <si>
    <t>panemjib@yahoo.com</t>
  </si>
  <si>
    <t>leicammonochrom@gmail.com</t>
  </si>
  <si>
    <t>Panem</t>
  </si>
  <si>
    <t>Brent Panem</t>
  </si>
  <si>
    <t>10940 Pastel Point</t>
  </si>
  <si>
    <t>goingtocrazy@gmail.com</t>
  </si>
  <si>
    <t>bennett.gabriel18@gmail.com</t>
  </si>
  <si>
    <t>Gabriel Johnson</t>
  </si>
  <si>
    <t>8820 Caton Farm Rd</t>
  </si>
  <si>
    <t>Yorkville</t>
  </si>
  <si>
    <t>vwatson@stromengineering.com</t>
  </si>
  <si>
    <t>vw.silentdream@gmail.com</t>
  </si>
  <si>
    <t>Valen</t>
  </si>
  <si>
    <t>Valen Watson</t>
  </si>
  <si>
    <t>2090 Mainstreet</t>
  </si>
  <si>
    <t>cyx4@frontier.com</t>
  </si>
  <si>
    <t>blake.goins7@gmail.com</t>
  </si>
  <si>
    <t>Andrew Goins</t>
  </si>
  <si>
    <t>3067 Lakeview Drive</t>
  </si>
  <si>
    <t>Metropolis</t>
  </si>
  <si>
    <t>hendrixonarbor@bellsouth.net</t>
  </si>
  <si>
    <t>rigdonh77@gmail.com</t>
  </si>
  <si>
    <t>Rigdon</t>
  </si>
  <si>
    <t>Hendrix</t>
  </si>
  <si>
    <t>Rigdon Hendrix</t>
  </si>
  <si>
    <t>75 Fair Harbor Rd</t>
  </si>
  <si>
    <t>Birmingam</t>
  </si>
  <si>
    <t>cpm@visi.com</t>
  </si>
  <si>
    <t>nathanmorrison@comcast.net</t>
  </si>
  <si>
    <t>Nathan Morrison</t>
  </si>
  <si>
    <t>8724 Wood Cliff Road</t>
  </si>
  <si>
    <t>jrcunic@gmail.com</t>
  </si>
  <si>
    <t>lucascunic2000@gmail.com</t>
  </si>
  <si>
    <t>Cunic</t>
  </si>
  <si>
    <t>Lucas Cunic</t>
  </si>
  <si>
    <t>11623 Yarnell Rd.</t>
  </si>
  <si>
    <t>pennyinbham@yahoo.com</t>
  </si>
  <si>
    <t>malonewesley1302@gmail.com</t>
  </si>
  <si>
    <t>Wesley Malone</t>
  </si>
  <si>
    <t>555 Bristol Lane</t>
  </si>
  <si>
    <t>Homewood</t>
  </si>
  <si>
    <t>jacks510@bellsouth.net</t>
  </si>
  <si>
    <t>dbzsuper318@gmail.com</t>
  </si>
  <si>
    <t>Jackson II</t>
  </si>
  <si>
    <t>Carey Jackson II</t>
  </si>
  <si>
    <t>406 Maple St</t>
  </si>
  <si>
    <t>Whiteville</t>
  </si>
  <si>
    <t>emilysilver430@gmail.com</t>
  </si>
  <si>
    <t>Emilysilver430@gmail.com</t>
  </si>
  <si>
    <t>Emily Silver</t>
  </si>
  <si>
    <t>28188 Lake Cypress dr.</t>
  </si>
  <si>
    <t>Perkinston</t>
  </si>
  <si>
    <t>mrosenbaumtx@gmail.com</t>
  </si>
  <si>
    <t>Rosenbaum</t>
  </si>
  <si>
    <t>Joanna Rosenbaum</t>
  </si>
  <si>
    <t>josh.meznarich@gmail.com</t>
  </si>
  <si>
    <t>Joshua Meznarich</t>
  </si>
  <si>
    <t>1119 1/2 Bleistein Ave</t>
  </si>
  <si>
    <t>ak_plaugher@yahoo.com</t>
  </si>
  <si>
    <t>Abigayle</t>
  </si>
  <si>
    <t>Plaugher</t>
  </si>
  <si>
    <t>Abigayle Plaugher</t>
  </si>
  <si>
    <t>732 old hwy 68</t>
  </si>
  <si>
    <t>Sweetwater</t>
  </si>
  <si>
    <t>erin@eplus.net</t>
  </si>
  <si>
    <t>Grant McLemore</t>
  </si>
  <si>
    <t>15 Cotton Blossom Cove</t>
  </si>
  <si>
    <t>michaelrsmith96@gmail.com</t>
  </si>
  <si>
    <t>96 Pleasant Plains Rd</t>
  </si>
  <si>
    <t>snwl@comcast.net</t>
  </si>
  <si>
    <t>nwlfam@comcast.net</t>
  </si>
  <si>
    <t>Newell, III</t>
  </si>
  <si>
    <t>Samuel Newell, III</t>
  </si>
  <si>
    <t>1792 Pecan Grove Dr</t>
  </si>
  <si>
    <t>edwarddrobison@gmail.com</t>
  </si>
  <si>
    <t>cosmoh50@gmail.com</t>
  </si>
  <si>
    <t>Robison</t>
  </si>
  <si>
    <t>Christopher Robison</t>
  </si>
  <si>
    <t>204 Leven Links</t>
  </si>
  <si>
    <t>maymayb519@gmail.com</t>
  </si>
  <si>
    <t>Maymayb519@gmail.com</t>
  </si>
  <si>
    <t>Magdalene</t>
  </si>
  <si>
    <t>Bollinger</t>
  </si>
  <si>
    <t>Magdalene Bollinger</t>
  </si>
  <si>
    <t>102 Gloryland Lane</t>
  </si>
  <si>
    <t>Jleannedavis@bellsouth.net</t>
  </si>
  <si>
    <t>Joditurtle3@gmail.com</t>
  </si>
  <si>
    <t>Jodi Davis</t>
  </si>
  <si>
    <t>25 Rolling Oaks</t>
  </si>
  <si>
    <t>zacharyqualls@aol.com</t>
  </si>
  <si>
    <t>Qualls</t>
  </si>
  <si>
    <t>Zachary Qualls</t>
  </si>
  <si>
    <t>mondyandsarah@gmail.com</t>
  </si>
  <si>
    <t>Armflo4@gmail.com</t>
  </si>
  <si>
    <t>Mondy</t>
  </si>
  <si>
    <t>Mondy Flores</t>
  </si>
  <si>
    <t>4714 Tannery Ave</t>
  </si>
  <si>
    <t>Lokifountain@hotmail.com</t>
  </si>
  <si>
    <t>Loki</t>
  </si>
  <si>
    <t>Loki Fountain</t>
  </si>
  <si>
    <t>15110 Roundup Dr</t>
  </si>
  <si>
    <t>batreasure@yahoo.com</t>
  </si>
  <si>
    <t>jd.blacksquirrel@yahoo.com</t>
  </si>
  <si>
    <t>Amburgey</t>
  </si>
  <si>
    <t>Jadon Amburgey</t>
  </si>
  <si>
    <t>2334 Zane Pl</t>
  </si>
  <si>
    <t>Kristen.glasser@gmail.com</t>
  </si>
  <si>
    <t>Kaden.glasser@gmail.com</t>
  </si>
  <si>
    <t>Glasser</t>
  </si>
  <si>
    <t>Kaden Glasser</t>
  </si>
  <si>
    <t>5111 Preserve Parkway N</t>
  </si>
  <si>
    <t>Greenwood Village</t>
  </si>
  <si>
    <t>jeanette.benn@hotmail.com</t>
  </si>
  <si>
    <t>dora.benn@outlook.com</t>
  </si>
  <si>
    <t>Dora</t>
  </si>
  <si>
    <t>Benn</t>
  </si>
  <si>
    <t>Dora Benn</t>
  </si>
  <si>
    <t>9 BIDGEE Rd</t>
  </si>
  <si>
    <t>Ryde</t>
  </si>
  <si>
    <t>NSW</t>
  </si>
  <si>
    <t>CheriBoring@Gmail.com</t>
  </si>
  <si>
    <t>EllieBoring@Gmail.com</t>
  </si>
  <si>
    <t>Boring</t>
  </si>
  <si>
    <t>Elliana Boring</t>
  </si>
  <si>
    <t>2235 Fairview Rd</t>
  </si>
  <si>
    <t>Montoursville</t>
  </si>
  <si>
    <t>jshields102000@gmail.com</t>
  </si>
  <si>
    <t>Josiah Shields</t>
  </si>
  <si>
    <t>2400 Arden Road</t>
  </si>
  <si>
    <t>Cinnaminson</t>
  </si>
  <si>
    <t>sg.leonard@icloud.com</t>
  </si>
  <si>
    <t>Sydney Leonard</t>
  </si>
  <si>
    <t>88 Liberty Church Rd</t>
  </si>
  <si>
    <t>amandagilbert@btes.tv</t>
  </si>
  <si>
    <t>Amanda Gilbert</t>
  </si>
  <si>
    <t>549 Pineyn Hill Road</t>
  </si>
  <si>
    <t>sanders1077@yahoo.com</t>
  </si>
  <si>
    <t>hidalgogloria490@gmail.com</t>
  </si>
  <si>
    <t>Hidalgo</t>
  </si>
  <si>
    <t>Gloria Hidalgo</t>
  </si>
  <si>
    <t>2007 Magazine Street</t>
  </si>
  <si>
    <t>corey.harthoorn@gmail.com</t>
  </si>
  <si>
    <t>calebeharthoorn@students.npsne.org</t>
  </si>
  <si>
    <t>Harthoorn</t>
  </si>
  <si>
    <t>Caleb Harthoorn</t>
  </si>
  <si>
    <t>2301 Clark St</t>
  </si>
  <si>
    <t>jchristina033@gmail.com</t>
  </si>
  <si>
    <t>Lillian Mae</t>
  </si>
  <si>
    <t>Lillian Mae Jackson</t>
  </si>
  <si>
    <t>13897 Markin Drive</t>
  </si>
  <si>
    <t>martinjd@alfredstate.edu</t>
  </si>
  <si>
    <t>10293 Keller Rd.</t>
  </si>
  <si>
    <t>rigelzoo@yahoo.com</t>
  </si>
  <si>
    <t>Jesserigel22@gmail.com</t>
  </si>
  <si>
    <t>Rigel</t>
  </si>
  <si>
    <t>Jesse Rigel</t>
  </si>
  <si>
    <t>1925 Natchez Trace Blvd</t>
  </si>
  <si>
    <t>cubfantn@yahoo.com</t>
  </si>
  <si>
    <t>kmrichards11@gmail.com</t>
  </si>
  <si>
    <t>Katie Richards</t>
  </si>
  <si>
    <t>169 Countryview Lane</t>
  </si>
  <si>
    <t>khalteman96@comcast.net</t>
  </si>
  <si>
    <t>Shaltemaniii@gmail.com</t>
  </si>
  <si>
    <t>Halteman, III</t>
  </si>
  <si>
    <t>Denton Halteman, III</t>
  </si>
  <si>
    <t>4694 Beards School Rd</t>
  </si>
  <si>
    <t>Spring Grove</t>
  </si>
  <si>
    <t>olhamada@gmail.com</t>
  </si>
  <si>
    <t>gabriellahamada4@gmail.com</t>
  </si>
  <si>
    <t>Hamada</t>
  </si>
  <si>
    <t>Gabriella Hamada</t>
  </si>
  <si>
    <t>6001 Belle Rive Drive</t>
  </si>
  <si>
    <t>sbrat71@gmail.com</t>
  </si>
  <si>
    <t>mherrell52@hotmail.com</t>
  </si>
  <si>
    <t>Herrell</t>
  </si>
  <si>
    <t>Marissa Herrell</t>
  </si>
  <si>
    <t>406 E Florence Ave</t>
  </si>
  <si>
    <t>dmdunston@comcast.net</t>
  </si>
  <si>
    <t>Jeffreydunston08@gmail.com</t>
  </si>
  <si>
    <t>Dunston</t>
  </si>
  <si>
    <t>Jeffrey Dunston</t>
  </si>
  <si>
    <t>1230 Scarsbrook Court</t>
  </si>
  <si>
    <t>barritts@gmail.com</t>
  </si>
  <si>
    <t>Ebarritt2@gmail.com</t>
  </si>
  <si>
    <t>Barritt</t>
  </si>
  <si>
    <t>Elijah Barritt</t>
  </si>
  <si>
    <t>1951 Thompson Rd</t>
  </si>
  <si>
    <t>Murfeesboro</t>
  </si>
  <si>
    <t>g.l.nak@hotmail.com</t>
  </si>
  <si>
    <t>nakamuraezra@gmail.com</t>
  </si>
  <si>
    <t>Nakamura</t>
  </si>
  <si>
    <t>Ezra Nakamura</t>
  </si>
  <si>
    <t>7250 W Sagemoor Rd</t>
  </si>
  <si>
    <t>nls@online.de</t>
  </si>
  <si>
    <t>Nina Schmidt</t>
  </si>
  <si>
    <t>Neue-Anlage-Strasse 32 B</t>
  </si>
  <si>
    <t>Karlsruhe</t>
  </si>
  <si>
    <t>barhamjl@hotmail.com</t>
  </si>
  <si>
    <t>jbarham3501@k12bcs.org</t>
  </si>
  <si>
    <t>Barham</t>
  </si>
  <si>
    <t>Joanna Barham</t>
  </si>
  <si>
    <t>PO Box 688</t>
  </si>
  <si>
    <t>Black Mountain</t>
  </si>
  <si>
    <t>tobypesik@yahoo.com</t>
  </si>
  <si>
    <t>Tobian</t>
  </si>
  <si>
    <t>Pesik</t>
  </si>
  <si>
    <t>Tobian Pesik</t>
  </si>
  <si>
    <t>Jl. Bangka VIII no. 12B</t>
  </si>
  <si>
    <t>South Jakarta</t>
  </si>
  <si>
    <t>DKI Jakarta</t>
  </si>
  <si>
    <t>Indonesia</t>
  </si>
  <si>
    <t>liveyroyelle21@gmail.com</t>
  </si>
  <si>
    <t>Liveyroyelle21@gmail.com</t>
  </si>
  <si>
    <t>701 Platform RD</t>
  </si>
  <si>
    <t>summit@thecrews.net</t>
  </si>
  <si>
    <t>pilotmatt7777@gmail.com</t>
  </si>
  <si>
    <t>Matthew Crews</t>
  </si>
  <si>
    <t>2024 Sunflower St.</t>
  </si>
  <si>
    <t>robby.stadinger@yahoo.com</t>
  </si>
  <si>
    <t>madelynfaith.44@gmail.com</t>
  </si>
  <si>
    <t>Stadinger</t>
  </si>
  <si>
    <t>Madelyn Stadinger</t>
  </si>
  <si>
    <t>23 Davenport Cove</t>
  </si>
  <si>
    <t>melching.emma@gmail.com</t>
  </si>
  <si>
    <t>Melching</t>
  </si>
  <si>
    <t>Emma Melching</t>
  </si>
  <si>
    <t>BOX 1872</t>
  </si>
  <si>
    <t>Cochrane</t>
  </si>
  <si>
    <t>T4C1B7</t>
  </si>
  <si>
    <t>dianewwebb@gmail.com</t>
  </si>
  <si>
    <t>Laralynswebb@gmail.com</t>
  </si>
  <si>
    <t>Laralyn</t>
  </si>
  <si>
    <t>Laralyn Webb</t>
  </si>
  <si>
    <t>10170 North Main Street</t>
  </si>
  <si>
    <t>0913wburton@gmail.com</t>
  </si>
  <si>
    <t>burtonghannah@hotmail.com</t>
  </si>
  <si>
    <t>Hannah Burton</t>
  </si>
  <si>
    <t>1063 Achiever Circle</t>
  </si>
  <si>
    <t>oliviaherndon@earthlink.net</t>
  </si>
  <si>
    <t>Olivia Herndon</t>
  </si>
  <si>
    <t>107 Long Leaf Lane</t>
  </si>
  <si>
    <t>truesight@rocketmail.com</t>
  </si>
  <si>
    <t>mattpettus7@gmail.com</t>
  </si>
  <si>
    <t>Pettus</t>
  </si>
  <si>
    <t>Matthew Pettus</t>
  </si>
  <si>
    <t>380 Master Ct</t>
  </si>
  <si>
    <t>Hustonville</t>
  </si>
  <si>
    <t>the.pa.clarks@gmail.com</t>
  </si>
  <si>
    <t>animalloverkdc@gmail.com</t>
  </si>
  <si>
    <t>Kayla Clark</t>
  </si>
  <si>
    <t>224 Mountain Rd</t>
  </si>
  <si>
    <t>etb11100@aol.com</t>
  </si>
  <si>
    <t>Emma Boyer</t>
  </si>
  <si>
    <t>754 Sunrise Drive</t>
  </si>
  <si>
    <t>Hughesville</t>
  </si>
  <si>
    <t>thatbrosegirl@gmail.com</t>
  </si>
  <si>
    <t>Brose</t>
  </si>
  <si>
    <t>Breanna Brose</t>
  </si>
  <si>
    <t>20 Linda Lane</t>
  </si>
  <si>
    <t>Ramer</t>
  </si>
  <si>
    <t>david.nameth@gmail.com</t>
  </si>
  <si>
    <t>David.nameth@gmail.com</t>
  </si>
  <si>
    <t>David Nameth</t>
  </si>
  <si>
    <t>5856 rd HH.5</t>
  </si>
  <si>
    <t>sarah.k.sikes@gmail.com</t>
  </si>
  <si>
    <t>anna.g.sikes@gmail.com</t>
  </si>
  <si>
    <t>Sikes</t>
  </si>
  <si>
    <t>Anna Sikes</t>
  </si>
  <si>
    <t>47083 Lyndon Ave</t>
  </si>
  <si>
    <t>bpetersen1974@me.com</t>
  </si>
  <si>
    <t>Aidan Petersen</t>
  </si>
  <si>
    <t>finance@hbc-boise.org</t>
  </si>
  <si>
    <t>kyleasdell@u.boisestate.edu</t>
  </si>
  <si>
    <t>Asdell</t>
  </si>
  <si>
    <t>Kyle Asdell</t>
  </si>
  <si>
    <t>675 S. Browning Ave.</t>
  </si>
  <si>
    <t>cmhs@juno.com</t>
  </si>
  <si>
    <t>HallieP071@gmail.com</t>
  </si>
  <si>
    <t>Hallie Phillips</t>
  </si>
  <si>
    <t>6133 Lovers Ln</t>
  </si>
  <si>
    <t>ndsports2000@gmail.com</t>
  </si>
  <si>
    <t>Nathanael Dean</t>
  </si>
  <si>
    <t>55 Perry Henderson Drive</t>
  </si>
  <si>
    <t>Framingham</t>
  </si>
  <si>
    <t>krwatson@yandex.com</t>
  </si>
  <si>
    <t>breem901@gmail.com</t>
  </si>
  <si>
    <t>Breanna Watson</t>
  </si>
  <si>
    <t>4163 Strawbridge Dr</t>
  </si>
  <si>
    <t>pebtty@gmail.com</t>
  </si>
  <si>
    <t>jonmark.philip.beatty@gmail.com</t>
  </si>
  <si>
    <t>Jonmark</t>
  </si>
  <si>
    <t>Jonmark Beatty</t>
  </si>
  <si>
    <t>garret.symington@yahoo.com</t>
  </si>
  <si>
    <t>Symington</t>
  </si>
  <si>
    <t>Garret Symington</t>
  </si>
  <si>
    <t>546 E. 5th St.</t>
  </si>
  <si>
    <t>Neche</t>
  </si>
  <si>
    <t>suzette_forrester@yahoo.com</t>
  </si>
  <si>
    <t>brittaneys87@gmail.com</t>
  </si>
  <si>
    <t>Brittaney-Ann</t>
  </si>
  <si>
    <t>Brittaney-Ann Simpson</t>
  </si>
  <si>
    <t>3654 Deer Trail</t>
  </si>
  <si>
    <t>carlavictoria62@gmail.com</t>
  </si>
  <si>
    <t>caleb.wison99@gmail.com</t>
  </si>
  <si>
    <t>Caleb Wilson</t>
  </si>
  <si>
    <t>1417 Avondale Court</t>
  </si>
  <si>
    <t>emmakorte00@gmail.com</t>
  </si>
  <si>
    <t>Korte</t>
  </si>
  <si>
    <t>Emma Korte</t>
  </si>
  <si>
    <t>4893 Old Marion Rd.</t>
  </si>
  <si>
    <t>chloenooga@gmail.com</t>
  </si>
  <si>
    <t>Chloe Neel</t>
  </si>
  <si>
    <t>1716 Valley Forge Drive</t>
  </si>
  <si>
    <t>johnhudsonmccarty@gmail.com</t>
  </si>
  <si>
    <t>911jhm@gmail.com</t>
  </si>
  <si>
    <t>HUDSON</t>
  </si>
  <si>
    <t>MCCARTY</t>
  </si>
  <si>
    <t>HUDSON MCCARTY</t>
  </si>
  <si>
    <t>101 WELLINGTON DRIVE</t>
  </si>
  <si>
    <t>JACKSON</t>
  </si>
  <si>
    <t>Jonathan Rosenbaum</t>
  </si>
  <si>
    <t>ranger1427@comcast.net</t>
  </si>
  <si>
    <t>Ryan Simpson</t>
  </si>
  <si>
    <t>breezard@aol.com</t>
  </si>
  <si>
    <t>Edmiston</t>
  </si>
  <si>
    <t>Breanna Edmiston</t>
  </si>
  <si>
    <t>4822 Valley Birch Dr.</t>
  </si>
  <si>
    <t>sminor4477@aol.com</t>
  </si>
  <si>
    <t>gracieminormusic@gmail.com</t>
  </si>
  <si>
    <t>Minor</t>
  </si>
  <si>
    <t>Gracie Minor</t>
  </si>
  <si>
    <t>279 Highway 69</t>
  </si>
  <si>
    <t>sydney.zemke000@gmail.com</t>
  </si>
  <si>
    <t>Sydney.zemke000@gmail.com</t>
  </si>
  <si>
    <t>Zemke</t>
  </si>
  <si>
    <t>Sydney Zemke</t>
  </si>
  <si>
    <t>927 East Wolf Valley Road</t>
  </si>
  <si>
    <t>Heiskell</t>
  </si>
  <si>
    <t>timm.gildernick@gmail.com</t>
  </si>
  <si>
    <t>cgildernick@gmail.com</t>
  </si>
  <si>
    <t>Gildernick</t>
  </si>
  <si>
    <t>Cynthia Gildernick</t>
  </si>
  <si>
    <t>3165 Williams Grant Dr</t>
  </si>
  <si>
    <t>De Pere</t>
  </si>
  <si>
    <t>e3widen@yahoo.com</t>
  </si>
  <si>
    <t>Widen</t>
  </si>
  <si>
    <t>Elaina Widen</t>
  </si>
  <si>
    <t>4268 Arp Central Rd.</t>
  </si>
  <si>
    <t>Ripley</t>
  </si>
  <si>
    <t>friendsramust@yahoo.com</t>
  </si>
  <si>
    <t>mandoplucker@gmail.com</t>
  </si>
  <si>
    <t>Ernie lll</t>
  </si>
  <si>
    <t>Ernie lll Gilbert</t>
  </si>
  <si>
    <t>P.O. box 262</t>
  </si>
  <si>
    <t>steve@accentmusic.com</t>
  </si>
  <si>
    <t>colinharkey@gmail.com</t>
  </si>
  <si>
    <t>Colin Harkey</t>
  </si>
  <si>
    <t>14 Old Line Ct</t>
  </si>
  <si>
    <t>debby_kinney@yahoo.com</t>
  </si>
  <si>
    <t>kinney.camryn2017@gmail.com</t>
  </si>
  <si>
    <t>Camryn Kinney</t>
  </si>
  <si>
    <t>12 Robin Lane</t>
  </si>
  <si>
    <t>zraptor15@gmail.com</t>
  </si>
  <si>
    <t>Zachary Sims</t>
  </si>
  <si>
    <t>8806 10th Place</t>
  </si>
  <si>
    <t>gabrental@hotmail.com</t>
  </si>
  <si>
    <t>cargab9000@hotmail.com</t>
  </si>
  <si>
    <t>Carlus</t>
  </si>
  <si>
    <t>Carlus Gabriel</t>
  </si>
  <si>
    <t>WESTERHALL P.O.</t>
  </si>
  <si>
    <t>WESTRHALL</t>
  </si>
  <si>
    <t>ST DAVIDS</t>
  </si>
  <si>
    <t>GRENADA</t>
  </si>
  <si>
    <t>Grenada</t>
  </si>
  <si>
    <t>alissamcana@gmail.com</t>
  </si>
  <si>
    <t>Alissa Cana</t>
  </si>
  <si>
    <t>20219 Mountaindale Dr.</t>
  </si>
  <si>
    <t>cindyjaggarstidwell@icloud.com</t>
  </si>
  <si>
    <t>laurenelizabeth180@gmail.com</t>
  </si>
  <si>
    <t>Tidwell</t>
  </si>
  <si>
    <t>Lauren Tidwell</t>
  </si>
  <si>
    <t>6930 Lindview Dr.</t>
  </si>
  <si>
    <t>trentjpresley@gmail.com</t>
  </si>
  <si>
    <t>camtpresley@gmail.com</t>
  </si>
  <si>
    <t>Cam</t>
  </si>
  <si>
    <t>Cam Presley</t>
  </si>
  <si>
    <t>183 Stornaway Drive</t>
  </si>
  <si>
    <t>r.benson7@juno.com</t>
  </si>
  <si>
    <t>rachelbnsn7@gmail.com</t>
  </si>
  <si>
    <t>Rachel Benson</t>
  </si>
  <si>
    <t>217 River Trace Dr</t>
  </si>
  <si>
    <t>pastorjlaud@gmail.com</t>
  </si>
  <si>
    <t>kemuellaudermilch@gmail.com</t>
  </si>
  <si>
    <t>Kemuel</t>
  </si>
  <si>
    <t>Kemuel Laudermilch</t>
  </si>
  <si>
    <t>514 Jennings Rd</t>
  </si>
  <si>
    <t>kandc.banks@gmail.com</t>
  </si>
  <si>
    <t>caitlinjoybanks@gmail.com</t>
  </si>
  <si>
    <t>Caitlin Banks</t>
  </si>
  <si>
    <t>17345 Lori Ln</t>
  </si>
  <si>
    <t>Saint Robert</t>
  </si>
  <si>
    <t>johnjared68@gmail.com</t>
  </si>
  <si>
    <t>madisonjared99@gmail.com</t>
  </si>
  <si>
    <t>Madison Jared</t>
  </si>
  <si>
    <t>3565 Baggett Rd</t>
  </si>
  <si>
    <t>youthtimm@yahoo.com</t>
  </si>
  <si>
    <t>saturnvoir@gmail.com</t>
  </si>
  <si>
    <t>509 Loma Prieta Drive</t>
  </si>
  <si>
    <t>sklayman@eplus.net</t>
  </si>
  <si>
    <t>Tyler Layman</t>
  </si>
  <si>
    <t>55 Valleyfield Cove</t>
  </si>
  <si>
    <t>jswersie@yahoo.com</t>
  </si>
  <si>
    <t>Abigail.swersie@gmail.com</t>
  </si>
  <si>
    <t>Swersie</t>
  </si>
  <si>
    <t>Abigail Swersie</t>
  </si>
  <si>
    <t>1623 Monroe Dr</t>
  </si>
  <si>
    <t>ruiz.melissac5@gmail.com</t>
  </si>
  <si>
    <t>cardenas_samantha.ej49@yahoo.com</t>
  </si>
  <si>
    <t>Samantha Cardenas</t>
  </si>
  <si>
    <t>124 S Olive Ave Apt C</t>
  </si>
  <si>
    <t>Rswersie@yahoo.com</t>
  </si>
  <si>
    <t>Rebekah Swersie</t>
  </si>
  <si>
    <t>dawnmartin59@gmail.com</t>
  </si>
  <si>
    <t>haydenmartin37@gmail.com</t>
  </si>
  <si>
    <t>Hayden Martin</t>
  </si>
  <si>
    <t>12731 Highdale St</t>
  </si>
  <si>
    <t>thewoolys@me.com</t>
  </si>
  <si>
    <t>harvwooly@gmail.com</t>
  </si>
  <si>
    <t>Wooldridge</t>
  </si>
  <si>
    <t>Bryce Wooldridge</t>
  </si>
  <si>
    <t>8240 Thrulake Circle SE</t>
  </si>
  <si>
    <t>dsthorne@hotmail.com</t>
  </si>
  <si>
    <t>thorne.gavyn@yahoo.com</t>
  </si>
  <si>
    <t>Gavyn</t>
  </si>
  <si>
    <t>Thorne</t>
  </si>
  <si>
    <t>Gavyn Thorne</t>
  </si>
  <si>
    <t>41 Branching Pine Cove</t>
  </si>
  <si>
    <t>theheppnerfamily@hotmail.com</t>
  </si>
  <si>
    <t>zachariah.heppner@gmail.com</t>
  </si>
  <si>
    <t>Zachariah Heppner</t>
  </si>
  <si>
    <t>30830 630th Avenue</t>
  </si>
  <si>
    <t>Warroad</t>
  </si>
  <si>
    <t>bercalerca01@gmail.com</t>
  </si>
  <si>
    <t>Rebecca Heppner</t>
  </si>
  <si>
    <t>30830 630 Avenue</t>
  </si>
  <si>
    <t>ALVATRON@gmail.com</t>
  </si>
  <si>
    <t>solynnr@gmail.com</t>
  </si>
  <si>
    <t>Sophia Rivera</t>
  </si>
  <si>
    <t>30 Greenbrook Drive</t>
  </si>
  <si>
    <t>lydiaheadrick@bellsouth.net</t>
  </si>
  <si>
    <t>Ethan Headrick</t>
  </si>
  <si>
    <t>52 Winchester Circle</t>
  </si>
  <si>
    <t>gcapistrano125@gmail.com</t>
  </si>
  <si>
    <t>kilikicuhh@gmail.com</t>
  </si>
  <si>
    <t>Capistrano</t>
  </si>
  <si>
    <t>Kristen Capistrano</t>
  </si>
  <si>
    <t>3251 Flintmont Court</t>
  </si>
  <si>
    <t>theknutfam@cox.net</t>
  </si>
  <si>
    <t>tdidy-k@hotmail.com</t>
  </si>
  <si>
    <t>Thomas Knutson</t>
  </si>
  <si>
    <t>4604 N 78th Ave</t>
  </si>
  <si>
    <t>msnasekos@gmail.com</t>
  </si>
  <si>
    <t>Nanasekos@gmail.com</t>
  </si>
  <si>
    <t>Noah Nasekos</t>
  </si>
  <si>
    <t>lebsweb@gmail.com</t>
  </si>
  <si>
    <t>Lauren Burkholder</t>
  </si>
  <si>
    <t>1545 Church Plains Drive</t>
  </si>
  <si>
    <t>mcleodcourtney18@gmail.com</t>
  </si>
  <si>
    <t>Courtney McLeod</t>
  </si>
  <si>
    <t>lesathome@me.com</t>
  </si>
  <si>
    <t>mattu02@icloud.com</t>
  </si>
  <si>
    <t>Matthew Upton</t>
  </si>
  <si>
    <t>60473 Robinette Road</t>
  </si>
  <si>
    <t>Saint Helens</t>
  </si>
  <si>
    <t>eglassburn1001@yahoo.com</t>
  </si>
  <si>
    <t>Sjgglassburn@gmail.com</t>
  </si>
  <si>
    <t>Glassburn</t>
  </si>
  <si>
    <t>Samuel Glassburn</t>
  </si>
  <si>
    <t>1001 S. Hila St.</t>
  </si>
  <si>
    <t>lerarowell@gmail.com</t>
  </si>
  <si>
    <t>Valeria</t>
  </si>
  <si>
    <t>Valeria Rowell</t>
  </si>
  <si>
    <t>101 Danawood Lane</t>
  </si>
  <si>
    <t>rhall603@hotmail.com</t>
  </si>
  <si>
    <t>casimir.hall01@gmail.com</t>
  </si>
  <si>
    <t>Peter Hall</t>
  </si>
  <si>
    <t>2417 Belmont Pl.</t>
  </si>
  <si>
    <t>bethvarblow@advantagecs.com</t>
  </si>
  <si>
    <t>Stacy.Varblow@advantagecs.com</t>
  </si>
  <si>
    <t>Maurer</t>
  </si>
  <si>
    <t>Elizabeth Maurer</t>
  </si>
  <si>
    <t>2082 Walnut Way</t>
  </si>
  <si>
    <t>susanbriggs4@yahoo.com</t>
  </si>
  <si>
    <t>faithbriggs23@gmail.com</t>
  </si>
  <si>
    <t>Faith Briggs</t>
  </si>
  <si>
    <t>14103 Pleasant Hill Road</t>
  </si>
  <si>
    <t>racheltowle101@gmail.com</t>
  </si>
  <si>
    <t>Rachel Towle</t>
  </si>
  <si>
    <t>eandaw3kids@yahoo.com</t>
  </si>
  <si>
    <t>asienameza015@gmail.com</t>
  </si>
  <si>
    <t>Alexandra Meza</t>
  </si>
  <si>
    <t>25 Bennett</t>
  </si>
  <si>
    <t>19ahubbard@salpointe.org</t>
  </si>
  <si>
    <t>Abigail Hubbard</t>
  </si>
  <si>
    <t>3322 n riverbend cir w</t>
  </si>
  <si>
    <t>tucson</t>
  </si>
  <si>
    <t>R.a.ven1319@gmail.com</t>
  </si>
  <si>
    <t>r.a.ven1319@gmail.com</t>
  </si>
  <si>
    <t>Venable</t>
  </si>
  <si>
    <t>Rebecca Venable</t>
  </si>
  <si>
    <t>6760 Spring St</t>
  </si>
  <si>
    <t>mtodd@envirogreen.net</t>
  </si>
  <si>
    <t>atodd2k18@gmail.com</t>
  </si>
  <si>
    <t>Alayna Todd</t>
  </si>
  <si>
    <t>421 Scarbrough Loop</t>
  </si>
  <si>
    <t>Humboldt</t>
  </si>
  <si>
    <t>freefly3d@gmail.com</t>
  </si>
  <si>
    <t>r.wonderwoman@yahoo.com</t>
  </si>
  <si>
    <t>Jordan Metcalf</t>
  </si>
  <si>
    <t>7774 Silver Maple ln</t>
  </si>
  <si>
    <t>rl15edu@gmail.com</t>
  </si>
  <si>
    <t>Ryleigh</t>
  </si>
  <si>
    <t>LaRue</t>
  </si>
  <si>
    <t>Ryleigh LaRue</t>
  </si>
  <si>
    <t>19416 Sangremon Way</t>
  </si>
  <si>
    <t>dhrottmann@gmail.com</t>
  </si>
  <si>
    <t>elizabethrottmann20@gmail.com</t>
  </si>
  <si>
    <t>Rottmann</t>
  </si>
  <si>
    <t>Elizabeth Rottmann</t>
  </si>
  <si>
    <t>211 Dorris Drie</t>
  </si>
  <si>
    <t>jblehrer@reagan.com</t>
  </si>
  <si>
    <t>Lehrer</t>
  </si>
  <si>
    <t>Abigail Lehrer</t>
  </si>
  <si>
    <t>1556 West Castle Mesa Drive</t>
  </si>
  <si>
    <t>Benjamin Lehrer</t>
  </si>
  <si>
    <t>1556 W. Castle Mesa Dr.</t>
  </si>
  <si>
    <t>essink6@gmail.com</t>
  </si>
  <si>
    <t>takethenickchallenge@gmail.com</t>
  </si>
  <si>
    <t>Essink</t>
  </si>
  <si>
    <t>Nick Essink</t>
  </si>
  <si>
    <t>2530 J Street</t>
  </si>
  <si>
    <t>akentevans@gmail.com</t>
  </si>
  <si>
    <t>romans12alex@gmail.com</t>
  </si>
  <si>
    <t>Alex Evans</t>
  </si>
  <si>
    <t>212 Prestwick Place</t>
  </si>
  <si>
    <t>glg11@cox.net</t>
  </si>
  <si>
    <t>hollygitl.garrett@gmail.com</t>
  </si>
  <si>
    <t>Holly Garrett</t>
  </si>
  <si>
    <t>15133 E Verbena Dr</t>
  </si>
  <si>
    <t>Fountain Hills</t>
  </si>
  <si>
    <t>tracypresley@mac.com</t>
  </si>
  <si>
    <t>sophiagpresley@gmail.com</t>
  </si>
  <si>
    <t>Sophia Presley</t>
  </si>
  <si>
    <t>Arrowhead Lake Rd</t>
  </si>
  <si>
    <t>1812 Falls Creek Circle #204</t>
  </si>
  <si>
    <t>jjosufsen@hotmail.com</t>
  </si>
  <si>
    <t>riley.osufsen@outlook.com</t>
  </si>
  <si>
    <t>Osufsen</t>
  </si>
  <si>
    <t>Riley Osufsen</t>
  </si>
  <si>
    <t>115 W 4th Ave N</t>
  </si>
  <si>
    <t>skcrain@epix.net</t>
  </si>
  <si>
    <t>Crain</t>
  </si>
  <si>
    <t>Caleb Crain</t>
  </si>
  <si>
    <t>306 Grange Hall Rd</t>
  </si>
  <si>
    <t>Ulster</t>
  </si>
  <si>
    <t>dakmarra@yahoo.com</t>
  </si>
  <si>
    <t>bmam00@icloud.com</t>
  </si>
  <si>
    <t>Marra</t>
  </si>
  <si>
    <t>Brandon Marra</t>
  </si>
  <si>
    <t>202 Rochdale Rd</t>
  </si>
  <si>
    <t>Poughkeepsie</t>
  </si>
  <si>
    <t>tshepler@homewood.k12.al.us</t>
  </si>
  <si>
    <t>lmshep45@yahoo.com</t>
  </si>
  <si>
    <t>Shepler</t>
  </si>
  <si>
    <t>Haley Shepler</t>
  </si>
  <si>
    <t>2309 Huntington Ridge Road</t>
  </si>
  <si>
    <t>dejovia@gmail.com</t>
  </si>
  <si>
    <t>De‚ÄôJovia</t>
  </si>
  <si>
    <t>De‚ÄôJovia Davis</t>
  </si>
  <si>
    <t>jelton@savcps.com</t>
  </si>
  <si>
    <t>jelton.scps@gmail.com</t>
  </si>
  <si>
    <t>Josie Elton</t>
  </si>
  <si>
    <t>1363 LaVista Circle</t>
  </si>
  <si>
    <t>vu.emily@ymail.com</t>
  </si>
  <si>
    <t>vu</t>
  </si>
  <si>
    <t>Emily vu</t>
  </si>
  <si>
    <t>108 great pine lane</t>
  </si>
  <si>
    <t>pooler</t>
  </si>
  <si>
    <t>mccarthy_mom@yahoo.com</t>
  </si>
  <si>
    <t>19mccm23@student.savcps.com</t>
  </si>
  <si>
    <t>McCarthy</t>
  </si>
  <si>
    <t>Madison McCarthy</t>
  </si>
  <si>
    <t>792 Southbridge Blvd</t>
  </si>
  <si>
    <t>maryrahal@comcast.net</t>
  </si>
  <si>
    <t>alexandra-rahal@comcast.net</t>
  </si>
  <si>
    <t>Rahal</t>
  </si>
  <si>
    <t>Alexandra Rahal</t>
  </si>
  <si>
    <t>1 Bluff Oak Retreat</t>
  </si>
  <si>
    <t>lgrmom@comcast.net</t>
  </si>
  <si>
    <t>baitlynklackard@comcast.net</t>
  </si>
  <si>
    <t>Blackard</t>
  </si>
  <si>
    <t>Kaitlyn Blackard</t>
  </si>
  <si>
    <t>11743 Old Meadow Rd</t>
  </si>
  <si>
    <t>Eads</t>
  </si>
  <si>
    <t>jpfaff@att.net</t>
  </si>
  <si>
    <t>jpfaff00@outlook.com</t>
  </si>
  <si>
    <t>Jason Pfaff</t>
  </si>
  <si>
    <t>407 S. Fieldcrest St.</t>
  </si>
  <si>
    <t>eloopktp@comcast.net</t>
  </si>
  <si>
    <t>kevypoole@gmail.com</t>
  </si>
  <si>
    <t>Poole Jr.</t>
  </si>
  <si>
    <t>Kevin Poole Jr.</t>
  </si>
  <si>
    <t>4960 Twin Gulch Court</t>
  </si>
  <si>
    <t>heidi.szyent@gmail.com</t>
  </si>
  <si>
    <t>Szymanski</t>
  </si>
  <si>
    <t>Sam Szymanski</t>
  </si>
  <si>
    <t>astafford0814@gmail.com</t>
  </si>
  <si>
    <t>Andrew Stafford</t>
  </si>
  <si>
    <t>609 Parkside Cir</t>
  </si>
  <si>
    <t>libbystafford01@gmail.com</t>
  </si>
  <si>
    <t>Elizabeth Stafford</t>
  </si>
  <si>
    <t>willrich199@gmail.com</t>
  </si>
  <si>
    <t>William Richardson</t>
  </si>
  <si>
    <t>20 Stonehaven CR</t>
  </si>
  <si>
    <t>Ryan Shepler</t>
  </si>
  <si>
    <t>matthewmezak@yahoo.com</t>
  </si>
  <si>
    <t>Mezak</t>
  </si>
  <si>
    <t>Matthew Mezak</t>
  </si>
  <si>
    <t>1793 Lombardy</t>
  </si>
  <si>
    <t>cbryant2018@gmail.com</t>
  </si>
  <si>
    <t>Carly Bryant</t>
  </si>
  <si>
    <t>3107 Main Street</t>
  </si>
  <si>
    <t>Bethel Springs</t>
  </si>
  <si>
    <t>thecrawlz2012@gmail.com</t>
  </si>
  <si>
    <t>Colin Crawley</t>
  </si>
  <si>
    <t>rescamilla@yahoo.com</t>
  </si>
  <si>
    <t>Escamilla</t>
  </si>
  <si>
    <t>Ryan Escamilla</t>
  </si>
  <si>
    <t>1549 Zara St.</t>
  </si>
  <si>
    <t>thanhendry@gmail.com</t>
  </si>
  <si>
    <t>Hendry</t>
  </si>
  <si>
    <t>Nathaniel Hendry</t>
  </si>
  <si>
    <t>4200 Brown Gap Rd</t>
  </si>
  <si>
    <t>bcthornborough@gmail.com</t>
  </si>
  <si>
    <t>Bcthornborough@gmail.com</t>
  </si>
  <si>
    <t>Thornborough</t>
  </si>
  <si>
    <t>Benjamin Thornborough</t>
  </si>
  <si>
    <t>120 Harvest Ln</t>
  </si>
  <si>
    <t>tnjand5@gmail.com</t>
  </si>
  <si>
    <t>coconuttie9502@gmail.com</t>
  </si>
  <si>
    <t>Abigail Schmidt</t>
  </si>
  <si>
    <t>8590 N Ridge Rider Trail</t>
  </si>
  <si>
    <t>Prescott Valley</t>
  </si>
  <si>
    <t>maria.cendejas@biola.edu</t>
  </si>
  <si>
    <t>sergiocendejas60@gmail.com</t>
  </si>
  <si>
    <t>Cendejas</t>
  </si>
  <si>
    <t>Sergio Cendejas</t>
  </si>
  <si>
    <t>600 Central Avenue</t>
  </si>
  <si>
    <t>Unit 325</t>
  </si>
  <si>
    <t>robingaspard@gmail.com</t>
  </si>
  <si>
    <t>aclaireg27@gmail.com</t>
  </si>
  <si>
    <t>Aynsley</t>
  </si>
  <si>
    <t>Gaspard</t>
  </si>
  <si>
    <t>Aynsley Gaspard</t>
  </si>
  <si>
    <t>1903 Beechgrove Drive</t>
  </si>
  <si>
    <t>luke0545@gmail.com</t>
  </si>
  <si>
    <t>Luke Walder</t>
  </si>
  <si>
    <t>waterinacorns@gmail.com</t>
  </si>
  <si>
    <t>gideoncobb3@icloud.com</t>
  </si>
  <si>
    <t>Gideon Cobb</t>
  </si>
  <si>
    <t>7600 Dilley Rd.</t>
  </si>
  <si>
    <t>Davisburg</t>
  </si>
  <si>
    <t>victoriashelton04@gmail.com</t>
  </si>
  <si>
    <t>tudorshelton5@icloud.com</t>
  </si>
  <si>
    <t>Tudor</t>
  </si>
  <si>
    <t>Tudor Shelton</t>
  </si>
  <si>
    <t>116 Lake Drive</t>
  </si>
  <si>
    <t>samuelshelton3@icloud.com</t>
  </si>
  <si>
    <t>Samuel Shelton</t>
  </si>
  <si>
    <t>jillc318@gmail.com</t>
  </si>
  <si>
    <t>maemae1211@gmail.com</t>
  </si>
  <si>
    <t>Maegan</t>
  </si>
  <si>
    <t>Maegan Comer</t>
  </si>
  <si>
    <t>10255 Monmouth Lane</t>
  </si>
  <si>
    <t>dawsonray6@yahoo.com</t>
  </si>
  <si>
    <t>Dawson Ray</t>
  </si>
  <si>
    <t>1719 Players Mill Road</t>
  </si>
  <si>
    <t>denise.rejoycin@gmail.com</t>
  </si>
  <si>
    <t>christmasj.cotter@gmail.com</t>
  </si>
  <si>
    <t>Christmas</t>
  </si>
  <si>
    <t>Cotter</t>
  </si>
  <si>
    <t>Christmas Cotter</t>
  </si>
  <si>
    <t>626 Palairet Road</t>
  </si>
  <si>
    <t>charliemae4@gmail.com</t>
  </si>
  <si>
    <t>Matson</t>
  </si>
  <si>
    <t>Charity Matson</t>
  </si>
  <si>
    <t>4539 cross creek rd</t>
  </si>
  <si>
    <t>asheboro</t>
  </si>
  <si>
    <t>shaeffer6@gmail.com</t>
  </si>
  <si>
    <t>kamdyn7@gmail.com</t>
  </si>
  <si>
    <t>Kamdyn</t>
  </si>
  <si>
    <t>Shaeffer</t>
  </si>
  <si>
    <t>Kamdyn Shaeffer</t>
  </si>
  <si>
    <t>15972 Sequan Truck Trail</t>
  </si>
  <si>
    <t>elaman62@gmail.com</t>
  </si>
  <si>
    <t>Laman</t>
  </si>
  <si>
    <t>Emilee Laman</t>
  </si>
  <si>
    <t>3760 Concord Road</t>
  </si>
  <si>
    <t>amandapharmd@yahoo.com</t>
  </si>
  <si>
    <t>aspiringsingerman@gmail.com</t>
  </si>
  <si>
    <t>NICOLAS</t>
  </si>
  <si>
    <t>HARRIS</t>
  </si>
  <si>
    <t>NICOLAS HARRIS</t>
  </si>
  <si>
    <t>231 WEST MAIN</t>
  </si>
  <si>
    <t>HALLS</t>
  </si>
  <si>
    <t>wsdfrisbee@gmail.com</t>
  </si>
  <si>
    <t>William Duncan</t>
  </si>
  <si>
    <t>timandlani@yahoo.com</t>
  </si>
  <si>
    <t>ryanjue425@gmail.com</t>
  </si>
  <si>
    <t>Jue</t>
  </si>
  <si>
    <t>Ryan Jue</t>
  </si>
  <si>
    <t>3273 Calle de debesa</t>
  </si>
  <si>
    <t>Njkhattar@gmail.com</t>
  </si>
  <si>
    <t>englem02@gmail.com</t>
  </si>
  <si>
    <t>Kaitlyn Engle</t>
  </si>
  <si>
    <t>karaboo395@yahoo.com</t>
  </si>
  <si>
    <t>Kara Mezak</t>
  </si>
  <si>
    <t>healthyhome101@aol.com</t>
  </si>
  <si>
    <t>ben.ebanks122@gmail.com</t>
  </si>
  <si>
    <t>Ebanks</t>
  </si>
  <si>
    <t>Benjamin Ebanks</t>
  </si>
  <si>
    <t>13101 SW !6th Street</t>
  </si>
  <si>
    <t>cebanks@gmail.com</t>
  </si>
  <si>
    <t>Caleb Ebanks</t>
  </si>
  <si>
    <t>13101 SW 16 Street</t>
  </si>
  <si>
    <t>nealas17@gcc.edu</t>
  </si>
  <si>
    <t>Abigail Neal</t>
  </si>
  <si>
    <t>6005 Shala Circle</t>
  </si>
  <si>
    <t>Nashport</t>
  </si>
  <si>
    <t>daisyaccola@gmail.com</t>
  </si>
  <si>
    <t>Daisyaccola@gmail.com</t>
  </si>
  <si>
    <t>Daisy</t>
  </si>
  <si>
    <t>Accola</t>
  </si>
  <si>
    <t>Daisy Accola</t>
  </si>
  <si>
    <t>39702 cedarwood dr</t>
  </si>
  <si>
    <t>lseeley@mytcalions.com</t>
  </si>
  <si>
    <t>willseeley15@gmail.com</t>
  </si>
  <si>
    <t>Will Seeley</t>
  </si>
  <si>
    <t>55 Crews Lane</t>
  </si>
  <si>
    <t>kimyunhui@gmail.com</t>
  </si>
  <si>
    <t>Dragonjmk24@gmail.com</t>
  </si>
  <si>
    <t>Jacqueline Kim</t>
  </si>
  <si>
    <t>32605 Timothy Cir</t>
  </si>
  <si>
    <t>dnawells93@yahoo.com</t>
  </si>
  <si>
    <t>txdebategirl@gmail.com</t>
  </si>
  <si>
    <t>Carly Wells</t>
  </si>
  <si>
    <t>220 Livingston Drive</t>
  </si>
  <si>
    <t>Hickory Creek</t>
  </si>
  <si>
    <t>lydiagarrett2@gmail.com</t>
  </si>
  <si>
    <t>garrett</t>
  </si>
  <si>
    <t>Lydia garrett</t>
  </si>
  <si>
    <t>southardjohn97@me.com</t>
  </si>
  <si>
    <t>emma.southard@wascholar.org</t>
  </si>
  <si>
    <t>Emma Southard</t>
  </si>
  <si>
    <t>1108 Lexington St</t>
  </si>
  <si>
    <t>pamela.holm@ymail.com</t>
  </si>
  <si>
    <t>sanyaholm@gmail.com</t>
  </si>
  <si>
    <t>Sanya</t>
  </si>
  <si>
    <t>Sanya Holm</t>
  </si>
  <si>
    <t>3745 Drexel Ct</t>
  </si>
  <si>
    <t>john@jlronning.org</t>
  </si>
  <si>
    <t>jronni2@students.towson.edu</t>
  </si>
  <si>
    <t>Ronning</t>
  </si>
  <si>
    <t>Jonathan Ronning</t>
  </si>
  <si>
    <t>406 Evesham Ave</t>
  </si>
  <si>
    <t>coachvia@hotmail.com</t>
  </si>
  <si>
    <t>mdvia-01@outlook.com</t>
  </si>
  <si>
    <t>Mikayla Via</t>
  </si>
  <si>
    <t>12002 Stonehenge Dr.</t>
  </si>
  <si>
    <t>brian@augcomsol.com</t>
  </si>
  <si>
    <t>Zachariah Curtis</t>
  </si>
  <si>
    <t>8 Lupine Circle</t>
  </si>
  <si>
    <t>NathanielLuceroJ@gmail.com</t>
  </si>
  <si>
    <t>Nathaniel Lucero</t>
  </si>
  <si>
    <t>ethan_good@hotmail.com</t>
  </si>
  <si>
    <t>Ethan Good</t>
  </si>
  <si>
    <t>15117 Ramga Road</t>
  </si>
  <si>
    <t>Wapakoneta</t>
  </si>
  <si>
    <t>tf5@photoartistry.org</t>
  </si>
  <si>
    <t>Alexandra Reynolds</t>
  </si>
  <si>
    <t>35 Los Alamitos</t>
  </si>
  <si>
    <t>dan.douglas@ja.org</t>
  </si>
  <si>
    <t>Charles Douglas</t>
  </si>
  <si>
    <t>2828 Brooks Parkway</t>
  </si>
  <si>
    <t>Owensboro</t>
  </si>
  <si>
    <t>emmamohler@gmail.com</t>
  </si>
  <si>
    <t>Emma Mohler</t>
  </si>
  <si>
    <t>anafarcas@hotmail.com</t>
  </si>
  <si>
    <t>pgavrilovici@chastudents.org</t>
  </si>
  <si>
    <t>Gavrilovici</t>
  </si>
  <si>
    <t>Paul Gavrilovici</t>
  </si>
  <si>
    <t>5010 Fitch Ave</t>
  </si>
  <si>
    <t>Skokie</t>
  </si>
  <si>
    <t>alexgavrilovici@gmail.com</t>
  </si>
  <si>
    <t>Alexanda</t>
  </si>
  <si>
    <t>Alexanda Gavrilovici</t>
  </si>
  <si>
    <t>christopher.sid.kern@gmail.com</t>
  </si>
  <si>
    <t>Christopher.sid.kern@gmail.com</t>
  </si>
  <si>
    <t>Christopher Kern</t>
  </si>
  <si>
    <t>701 Brian ct</t>
  </si>
  <si>
    <t>numb3r24135@gmail.com</t>
  </si>
  <si>
    <t>Kuch</t>
  </si>
  <si>
    <t>Micah Kuch</t>
  </si>
  <si>
    <t>70 Pebble Creek Drive</t>
  </si>
  <si>
    <t>mikelaurabush@aol.com</t>
  </si>
  <si>
    <t>scbush12@gmail.com</t>
  </si>
  <si>
    <t>Stephen Bush</t>
  </si>
  <si>
    <t>285 aslan way</t>
  </si>
  <si>
    <t>pell city</t>
  </si>
  <si>
    <t>kellipeightel@gmail.com</t>
  </si>
  <si>
    <t>nataliepeightel@icloud.com</t>
  </si>
  <si>
    <t>Natalie Grace</t>
  </si>
  <si>
    <t>Peightel</t>
  </si>
  <si>
    <t>Natalie Grace Peightel</t>
  </si>
  <si>
    <t>15614 Farnsworth Ln</t>
  </si>
  <si>
    <t>cristinaventura9@gmail.com</t>
  </si>
  <si>
    <t>calebventura16@gmail.com</t>
  </si>
  <si>
    <t>Caleb Ventura</t>
  </si>
  <si>
    <t>525 Hidden Falls</t>
  </si>
  <si>
    <t>diamonddrips@yahoo.com</t>
  </si>
  <si>
    <t>SMASHBROSAB@yahoo.com</t>
  </si>
  <si>
    <t>Bonilla</t>
  </si>
  <si>
    <t>Andrew Bonilla</t>
  </si>
  <si>
    <t>560 N Division St</t>
  </si>
  <si>
    <t>Braidwood</t>
  </si>
  <si>
    <t>beardlessrain64@gmail.com</t>
  </si>
  <si>
    <t>Lawrence Bonilla</t>
  </si>
  <si>
    <t>esperfamily@gmail.com</t>
  </si>
  <si>
    <t>Hansel</t>
  </si>
  <si>
    <t>Hansel Esper</t>
  </si>
  <si>
    <t>holliebeen@hotmail.com</t>
  </si>
  <si>
    <t>maryannejoy13@gmail.com</t>
  </si>
  <si>
    <t>Mary Anne</t>
  </si>
  <si>
    <t>Swart</t>
  </si>
  <si>
    <t>Mary Anne Swart</t>
  </si>
  <si>
    <t>25805 SW Rogol Dr</t>
  </si>
  <si>
    <t>blessedrjacksons@hotmail.com</t>
  </si>
  <si>
    <t>jacksonhopepdx@gmail.com</t>
  </si>
  <si>
    <t>Hope Jackson</t>
  </si>
  <si>
    <t>14220 SW Bonnie Brae st.</t>
  </si>
  <si>
    <t>lamorris99@comcast.net</t>
  </si>
  <si>
    <t>BMC3193@gmail.com</t>
  </si>
  <si>
    <t>Brendan Morris</t>
  </si>
  <si>
    <t>130 S Cypress Rd</t>
  </si>
  <si>
    <t>Unit 616</t>
  </si>
  <si>
    <t>vozzies@gmail.com</t>
  </si>
  <si>
    <t>Remington</t>
  </si>
  <si>
    <t>Vosburgh</t>
  </si>
  <si>
    <t>Remington Vosburgh</t>
  </si>
  <si>
    <t>2280 E 700 N</t>
  </si>
  <si>
    <t>rritter@mifflinburg.org</t>
  </si>
  <si>
    <t>Ritter</t>
  </si>
  <si>
    <t>Jenna Ritter</t>
  </si>
  <si>
    <t>510 Hilltop Lane</t>
  </si>
  <si>
    <t>Mifflinburg</t>
  </si>
  <si>
    <t>amber.dwyer@yahoo.com</t>
  </si>
  <si>
    <t>dwyer.braden@gmail.com</t>
  </si>
  <si>
    <t>Braden Dwyer</t>
  </si>
  <si>
    <t>2503 Heritage Ridge Dr.</t>
  </si>
  <si>
    <t>dpmaddox@comcast.net</t>
  </si>
  <si>
    <t>eragont66@gmail.com</t>
  </si>
  <si>
    <t>Trenton Maddox</t>
  </si>
  <si>
    <t>4049 Oxford Glen Drive</t>
  </si>
  <si>
    <t>kaeyunsee@gmail.com</t>
  </si>
  <si>
    <t>Matthew Koh</t>
  </si>
  <si>
    <t>11 Parbury Avenue</t>
  </si>
  <si>
    <t>wayneemayo@gmail.com</t>
  </si>
  <si>
    <t>ashleynicolemayo7@gmail.com</t>
  </si>
  <si>
    <t>Ashley Mayo</t>
  </si>
  <si>
    <t>904 Hillcrest Court</t>
  </si>
  <si>
    <t>estherjc@live.com</t>
  </si>
  <si>
    <t>Esther Crouse</t>
  </si>
  <si>
    <t>70 Brand Hollow Road</t>
  </si>
  <si>
    <t>Plattsburgh</t>
  </si>
  <si>
    <t>altixclothing@gmail.com</t>
  </si>
  <si>
    <t>AltixClothing@Gmail.com</t>
  </si>
  <si>
    <t>Ostromecki</t>
  </si>
  <si>
    <t>Kevin Ostromecki</t>
  </si>
  <si>
    <t>2501 Rosenberry Rd.</t>
  </si>
  <si>
    <t>Gilbertsville</t>
  </si>
  <si>
    <t>matthew_6_nineteen@yahoo.com</t>
  </si>
  <si>
    <t>Denslow</t>
  </si>
  <si>
    <t>Emily Denslow</t>
  </si>
  <si>
    <t>P.O. Box 67</t>
  </si>
  <si>
    <t>Ivoryton</t>
  </si>
  <si>
    <t>pennington7255@gmail.com</t>
  </si>
  <si>
    <t>Max Pennington</t>
  </si>
  <si>
    <t>2750 Trail Dairy Circle</t>
  </si>
  <si>
    <t>sebryner@live.com</t>
  </si>
  <si>
    <t>Bryner</t>
  </si>
  <si>
    <t>Sarah Bryner</t>
  </si>
  <si>
    <t>4612 Venice Heights Ave</t>
  </si>
  <si>
    <t>Unit 153</t>
  </si>
  <si>
    <t>Sandusky</t>
  </si>
  <si>
    <t>tracyrrg@gmail.com</t>
  </si>
  <si>
    <t>Grisnh1@gmail.com</t>
  </si>
  <si>
    <t>Grisser</t>
  </si>
  <si>
    <t>Nathan Grisser</t>
  </si>
  <si>
    <t>2310 Terra Trail</t>
  </si>
  <si>
    <t>Grisgm1@gmail.com</t>
  </si>
  <si>
    <t>Gabriel Grisser</t>
  </si>
  <si>
    <t>taylorwkrs@olp.net</t>
  </si>
  <si>
    <t>rotdog308@gmail.com</t>
  </si>
  <si>
    <t>Milroy</t>
  </si>
  <si>
    <t>Nic Milroy</t>
  </si>
  <si>
    <t>18110 S 156 E Ave</t>
  </si>
  <si>
    <t>Bixby</t>
  </si>
  <si>
    <t>phankins@xplornet.ca</t>
  </si>
  <si>
    <t>joeyalvin@outlook.com</t>
  </si>
  <si>
    <t>Hankins</t>
  </si>
  <si>
    <t>Joseph Hankins</t>
  </si>
  <si>
    <t>114, 27054 TWP 364</t>
  </si>
  <si>
    <t>Red Deer County</t>
  </si>
  <si>
    <t>T0M 1R0</t>
  </si>
  <si>
    <t>bestcowie@aol.com</t>
  </si>
  <si>
    <t>Cowie</t>
  </si>
  <si>
    <t>Megan Cowie</t>
  </si>
  <si>
    <t>805 Buckeye Lane</t>
  </si>
  <si>
    <t>javam8@gmail.com</t>
  </si>
  <si>
    <t>Javan</t>
  </si>
  <si>
    <t>Javan Miller</t>
  </si>
  <si>
    <t>7285 E US HWY 50</t>
  </si>
  <si>
    <t>jesse.wood.programmer@gmail.com</t>
  </si>
  <si>
    <t>Jesse Wood</t>
  </si>
  <si>
    <t>viandsanna@gmail.com</t>
  </si>
  <si>
    <t>rviands4114@k12bcs.org</t>
  </si>
  <si>
    <t>Viands</t>
  </si>
  <si>
    <t>Robert Viands</t>
  </si>
  <si>
    <t>34 Littleton Heights Dr</t>
  </si>
  <si>
    <t>Santos</t>
  </si>
  <si>
    <t>Diego Santos</t>
  </si>
  <si>
    <t>isaias.leon@my.uu.edu</t>
  </si>
  <si>
    <t>isaias</t>
  </si>
  <si>
    <t>leon</t>
  </si>
  <si>
    <t>isaias leon</t>
  </si>
  <si>
    <t>727 grayson ln.</t>
  </si>
  <si>
    <t>tabithakeylon@gmail.com</t>
  </si>
  <si>
    <t>Keylon</t>
  </si>
  <si>
    <t>Tabitha Keylon</t>
  </si>
  <si>
    <t>646 Dixon Farm Rd.</t>
  </si>
  <si>
    <t>Walland</t>
  </si>
  <si>
    <t>manda.brown00@gmail.com</t>
  </si>
  <si>
    <t>chowder2267@yahoo.com</t>
  </si>
  <si>
    <t>Joshua Brown</t>
  </si>
  <si>
    <t>812 Charles St.</t>
  </si>
  <si>
    <t>karissaleong@gmail.com</t>
  </si>
  <si>
    <t>ampsleong@gmail.com</t>
  </si>
  <si>
    <t>Leong</t>
  </si>
  <si>
    <t>Anna Leong</t>
  </si>
  <si>
    <t>30 Oak Ridge Rd</t>
  </si>
  <si>
    <t>Basking Ridge</t>
  </si>
  <si>
    <t>danagarberg@icloud.com</t>
  </si>
  <si>
    <t>morgangarberg@icloud.com</t>
  </si>
  <si>
    <t>Garberg</t>
  </si>
  <si>
    <t>Morgan Garberg</t>
  </si>
  <si>
    <t>6993 W 181st Terr</t>
  </si>
  <si>
    <t>diosmeama31@gmail.com</t>
  </si>
  <si>
    <t>Lizarraga</t>
  </si>
  <si>
    <t>Karina Lizarraga</t>
  </si>
  <si>
    <t>22842 Via Santa Rosa</t>
  </si>
  <si>
    <t>leonhardhome@verizon.net</t>
  </si>
  <si>
    <t>abbyleonhard@gmail.com</t>
  </si>
  <si>
    <t>Leonhard</t>
  </si>
  <si>
    <t>Abigail Leonhard</t>
  </si>
  <si>
    <t>226 Timberline LN</t>
  </si>
  <si>
    <t>Southlake</t>
  </si>
  <si>
    <t>tigger2kmy@yahoo.com</t>
  </si>
  <si>
    <t>Hayleighlyoung@yahoo.com</t>
  </si>
  <si>
    <t>Hayleigh Young</t>
  </si>
  <si>
    <t>1341 Parisa Ct</t>
  </si>
  <si>
    <t>kariroy888@gmail.com</t>
  </si>
  <si>
    <t>judro5963@icloud.com</t>
  </si>
  <si>
    <t>Judson</t>
  </si>
  <si>
    <t>Judson Roy</t>
  </si>
  <si>
    <t>901 N. Main Street</t>
  </si>
  <si>
    <t>txus7@mcconnellfmly.com</t>
  </si>
  <si>
    <t>ssttuuffff27@gmail.com</t>
  </si>
  <si>
    <t>Stephen McConnell</t>
  </si>
  <si>
    <t>2229 Prince John Dr</t>
  </si>
  <si>
    <t>tadhgt24@gmail.com</t>
  </si>
  <si>
    <t>Tadhgt24@gmail.com</t>
  </si>
  <si>
    <t>Tadhg</t>
  </si>
  <si>
    <t>Tadhg Thompson</t>
  </si>
  <si>
    <t>26 Kris lane</t>
  </si>
  <si>
    <t>Manitou springs</t>
  </si>
  <si>
    <t>quantumisaac@gmail.com</t>
  </si>
  <si>
    <t>Dorenkamp</t>
  </si>
  <si>
    <t>Isaac Dorenkamp</t>
  </si>
  <si>
    <t>7867 N 155th St</t>
  </si>
  <si>
    <t>minecraftedgb5@gmail.com</t>
  </si>
  <si>
    <t>Joseph McConnell</t>
  </si>
  <si>
    <t>2229 Prince John dr</t>
  </si>
  <si>
    <t>raddudesman@gmail.com</t>
  </si>
  <si>
    <t>Andrew McConnell</t>
  </si>
  <si>
    <t>honeybunnybnb@gmail.com</t>
  </si>
  <si>
    <t>Bridgette Berberich</t>
  </si>
  <si>
    <t>brian@brianwilliamsrealestatesales.com</t>
  </si>
  <si>
    <t>avaewilliams00@gmail.com</t>
  </si>
  <si>
    <t>Ava Williams</t>
  </si>
  <si>
    <t>500 Deerwood LN</t>
  </si>
  <si>
    <t>dale@ihsarch.com</t>
  </si>
  <si>
    <t>alden@ihsarch.com</t>
  </si>
  <si>
    <t>Littlefield</t>
  </si>
  <si>
    <t>Alden Littlefield</t>
  </si>
  <si>
    <t>903 Canyon Oak Cir</t>
  </si>
  <si>
    <t>tavuush@gmail.com</t>
  </si>
  <si>
    <t>Tavish Anderson</t>
  </si>
  <si>
    <t>405 Whispering Winds Trail</t>
  </si>
  <si>
    <t>Fenton</t>
  </si>
  <si>
    <t>jdguerrero95@gmail.com</t>
  </si>
  <si>
    <t>Guerrero</t>
  </si>
  <si>
    <t>Joshua Guerrero</t>
  </si>
  <si>
    <t>P.O. Box</t>
  </si>
  <si>
    <t>Plover</t>
  </si>
  <si>
    <t>abigail.stenzel@wascholar.org</t>
  </si>
  <si>
    <t>stenzel</t>
  </si>
  <si>
    <t>abigail stenzel</t>
  </si>
  <si>
    <t>1n676 woodhall ct</t>
  </si>
  <si>
    <t>winfield</t>
  </si>
  <si>
    <t>rickettsinthailand@gmail.com</t>
  </si>
  <si>
    <t>jammyjazz10@gmail.com</t>
  </si>
  <si>
    <t>Jane Ricketts</t>
  </si>
  <si>
    <t>PO Box 763</t>
  </si>
  <si>
    <t>libertyraebrouillette@gmail.com</t>
  </si>
  <si>
    <t>Brouillette</t>
  </si>
  <si>
    <t>Liberty Brouillette</t>
  </si>
  <si>
    <t>5 Plum Street</t>
  </si>
  <si>
    <t>Annville</t>
  </si>
  <si>
    <t>daniellcook.work@gmail.com</t>
  </si>
  <si>
    <t>Daniel Cook</t>
  </si>
  <si>
    <t>CO Springs</t>
  </si>
  <si>
    <t>Logan Sorrell</t>
  </si>
  <si>
    <t>13341 Atrium Court</t>
  </si>
  <si>
    <t>jeannaps@yahoo.com</t>
  </si>
  <si>
    <t>dorismith2018@gmail.com</t>
  </si>
  <si>
    <t>Dori</t>
  </si>
  <si>
    <t>Dori Smith</t>
  </si>
  <si>
    <t>6429 Alloway. Court</t>
  </si>
  <si>
    <t>wenpj@hotmail.com</t>
  </si>
  <si>
    <t>jpswnek@hotmail.com</t>
  </si>
  <si>
    <t>Wnek</t>
  </si>
  <si>
    <t>James Wnek</t>
  </si>
  <si>
    <t>6328 SW 84th Terrace</t>
  </si>
  <si>
    <t>84245 561st ave</t>
  </si>
  <si>
    <t>norfolk</t>
  </si>
  <si>
    <t>bkhubbard4@msn.com</t>
  </si>
  <si>
    <t>Rachel.hubbard1099@gmail.com</t>
  </si>
  <si>
    <t>Rachel Hubbard</t>
  </si>
  <si>
    <t>41825 Green Tree Road</t>
  </si>
  <si>
    <t>shady.cassis@yahoo.com</t>
  </si>
  <si>
    <t>Cassis</t>
  </si>
  <si>
    <t>Shady Cassis</t>
  </si>
  <si>
    <t>41 Ibn Kotayeba St.</t>
  </si>
  <si>
    <t>Nasr City</t>
  </si>
  <si>
    <t>rodgersdanielle78@gmail.com</t>
  </si>
  <si>
    <t>Danielle Rodgers</t>
  </si>
  <si>
    <t>1575 Kassuba rd</t>
  </si>
  <si>
    <t>rfousek1207@aol.com</t>
  </si>
  <si>
    <t>Fousek</t>
  </si>
  <si>
    <t>Jacob Fousek</t>
  </si>
  <si>
    <t>758 Maple Ridge Lane</t>
  </si>
  <si>
    <t>massmicah5@mail.com</t>
  </si>
  <si>
    <t>Micah Stout</t>
  </si>
  <si>
    <t>russanddiane@cox.net</t>
  </si>
  <si>
    <t>elianaxiaoli@cox.net</t>
  </si>
  <si>
    <t>ELIANA</t>
  </si>
  <si>
    <t>DRAPER</t>
  </si>
  <si>
    <t>ELIANA DRAPER</t>
  </si>
  <si>
    <t>7101 STANCHION LN</t>
  </si>
  <si>
    <t>BURKE</t>
  </si>
  <si>
    <t>makaylalian@cox.net</t>
  </si>
  <si>
    <t>MAKAYLA</t>
  </si>
  <si>
    <t>MAKAYLA DRAPER</t>
  </si>
  <si>
    <t>happyriverdolphins@gmail.com</t>
  </si>
  <si>
    <t>Happyriverdolphins@gmail.com</t>
  </si>
  <si>
    <t>Elise Cole</t>
  </si>
  <si>
    <t>14750 Millhaven Place</t>
  </si>
  <si>
    <t>dawnsgang@gmail.com</t>
  </si>
  <si>
    <t>JordanGrossmannX@gmail.com</t>
  </si>
  <si>
    <t>Grossmann</t>
  </si>
  <si>
    <t>Jordan Grossmann</t>
  </si>
  <si>
    <t>5350 Boydton Plank Ct</t>
  </si>
  <si>
    <t>davidgrossmann99@gmail.com</t>
  </si>
  <si>
    <t>David Grossmann</t>
  </si>
  <si>
    <t>DrJoshGrossmann@gmail.com</t>
  </si>
  <si>
    <t>Joshua Grossmann</t>
  </si>
  <si>
    <t>rporta@comcast.net</t>
  </si>
  <si>
    <t>ceporta@gmail.com</t>
  </si>
  <si>
    <t>Porta</t>
  </si>
  <si>
    <t>Cecilia Porta</t>
  </si>
  <si>
    <t>5719 Summer Ridge Rd NW</t>
  </si>
  <si>
    <t>jking165@icloud.com</t>
  </si>
  <si>
    <t>hannahking.fh.13@gmail.com</t>
  </si>
  <si>
    <t>Hannah King</t>
  </si>
  <si>
    <t>7310 Simms Landing Road</t>
  </si>
  <si>
    <t>Port Tobacco</t>
  </si>
  <si>
    <t>bythyrod@gmail.com</t>
  </si>
  <si>
    <t>thestitchbug626@gmail.com</t>
  </si>
  <si>
    <t>Haley Walker</t>
  </si>
  <si>
    <t>107 Romar Ct.</t>
  </si>
  <si>
    <t>team@twsportswear.com</t>
  </si>
  <si>
    <t>abigailwebb4@gmail.com</t>
  </si>
  <si>
    <t>webb</t>
  </si>
  <si>
    <t>abigail webb</t>
  </si>
  <si>
    <t>15416 Tipton Rd</t>
  </si>
  <si>
    <t>angieyeargan@yeargan.com</t>
  </si>
  <si>
    <t>Yeargan</t>
  </si>
  <si>
    <t>Braxton Yeargan</t>
  </si>
  <si>
    <t>bugguy@rstarmail.com</t>
  </si>
  <si>
    <t>Brady Rice</t>
  </si>
  <si>
    <t>14902 Mountain Rd</t>
  </si>
  <si>
    <t>macncheese@rstarmail.com</t>
  </si>
  <si>
    <t>Dawson Rice</t>
  </si>
  <si>
    <t>14902 Mountain Rd.</t>
  </si>
  <si>
    <t>kevanson7@gmail.com</t>
  </si>
  <si>
    <t>grace.ann9184@gmail.com</t>
  </si>
  <si>
    <t>Evanson</t>
  </si>
  <si>
    <t>Grace Evanson</t>
  </si>
  <si>
    <t>526 highland Blvd</t>
  </si>
  <si>
    <t>brynkinner@gmail.com</t>
  </si>
  <si>
    <t>Bryn</t>
  </si>
  <si>
    <t>Kinner</t>
  </si>
  <si>
    <t>Bryn Kinner</t>
  </si>
  <si>
    <t>501 E 1st Ave</t>
  </si>
  <si>
    <t>Benjamin Brown</t>
  </si>
  <si>
    <t>tctalbott@comcast.net</t>
  </si>
  <si>
    <t>talbottlr@gmail.com</t>
  </si>
  <si>
    <t>Lydia Talbott</t>
  </si>
  <si>
    <t>2053 Wynfield Dr</t>
  </si>
  <si>
    <t>kimroby@gmail.com</t>
  </si>
  <si>
    <t>gaberoby@gmail.com</t>
  </si>
  <si>
    <t>Roby</t>
  </si>
  <si>
    <t>Gabriel Roby</t>
  </si>
  <si>
    <t>Laurel Ave</t>
  </si>
  <si>
    <t>Arcacia</t>
  </si>
  <si>
    <t>sydneydayton17@gmail.com</t>
  </si>
  <si>
    <t>Sydney Hunter</t>
  </si>
  <si>
    <t>110 Fitzgerald St.</t>
  </si>
  <si>
    <t>melsmiracles@gmail.com</t>
  </si>
  <si>
    <t>Kolton.walls@my.uu.edu</t>
  </si>
  <si>
    <t>Kolton</t>
  </si>
  <si>
    <t>Walls</t>
  </si>
  <si>
    <t>Kolton Walls</t>
  </si>
  <si>
    <t>35 Viewmont Cove</t>
  </si>
  <si>
    <t>cbyrd@cbyrdslaw.com</t>
  </si>
  <si>
    <t>chbyrd27@gmail.com</t>
  </si>
  <si>
    <t>Charles Byrd</t>
  </si>
  <si>
    <t>1 Northwood Avenue</t>
  </si>
  <si>
    <t>dnpung@comcast.net</t>
  </si>
  <si>
    <t>ahopepung@gmail.com</t>
  </si>
  <si>
    <t>Pung</t>
  </si>
  <si>
    <t>Abigail Pung</t>
  </si>
  <si>
    <t>21050 NW Mullerleile Rd.</t>
  </si>
  <si>
    <t>ljoypung@gmail.com</t>
  </si>
  <si>
    <t>Lydia Pung</t>
  </si>
  <si>
    <t>rfpung@gmail.com</t>
  </si>
  <si>
    <t>Rachel Pung</t>
  </si>
  <si>
    <t>oliviabell1016@gmail.com</t>
  </si>
  <si>
    <t>Olivia Bell</t>
  </si>
  <si>
    <t>3430 Wilson School Road</t>
  </si>
  <si>
    <t>bkal.martin@gmail.com</t>
  </si>
  <si>
    <t>Bkal.martin@gmail.com</t>
  </si>
  <si>
    <t>68802 E 60 Rd</t>
  </si>
  <si>
    <t>g_mcintyre01@comcast.net</t>
  </si>
  <si>
    <t>imcintyre01@gmail.com</t>
  </si>
  <si>
    <t>Isaac Hunter</t>
  </si>
  <si>
    <t>113 first Manassas place</t>
  </si>
  <si>
    <t>Lilly McIntyre</t>
  </si>
  <si>
    <t>gfalcones13@yahoo.com</t>
  </si>
  <si>
    <t>Gabriela</t>
  </si>
  <si>
    <t>Falcones</t>
  </si>
  <si>
    <t>Gabriela Falcones</t>
  </si>
  <si>
    <t>hdunn0717@msn.com</t>
  </si>
  <si>
    <t>pwhite2u@icloud.com</t>
  </si>
  <si>
    <t>Paige White</t>
  </si>
  <si>
    <t>13604 N. Marble Dr.</t>
  </si>
  <si>
    <t>k.e.bolden@gmail.com</t>
  </si>
  <si>
    <t>Bolden</t>
  </si>
  <si>
    <t>Kaitlyn Bolden</t>
  </si>
  <si>
    <t>607 NW Stanford Lane</t>
  </si>
  <si>
    <t>Port Saint Lucie</t>
  </si>
  <si>
    <t>evey13@gmail.com</t>
  </si>
  <si>
    <t>jameseldeiry@yahoo.com</t>
  </si>
  <si>
    <t>Eldeiry</t>
  </si>
  <si>
    <t>James Eldeiry</t>
  </si>
  <si>
    <t>793 Darby Paoli Rd</t>
  </si>
  <si>
    <t>davidmott7400@gmail.com</t>
  </si>
  <si>
    <t>David Mott</t>
  </si>
  <si>
    <t>84 Ridgewood Cove</t>
  </si>
  <si>
    <t>tessa@allgooddrivers.com</t>
  </si>
  <si>
    <t>Caylorzt@gmail.com</t>
  </si>
  <si>
    <t>Caylor Thomas</t>
  </si>
  <si>
    <t>Po box 1815</t>
  </si>
  <si>
    <t>Twain harte</t>
  </si>
  <si>
    <t>tastar9@gmail.com</t>
  </si>
  <si>
    <t>Tristi</t>
  </si>
  <si>
    <t>Daffron</t>
  </si>
  <si>
    <t>Tristi Daffron</t>
  </si>
  <si>
    <t>5804 Bamboo dr</t>
  </si>
  <si>
    <t>fort pierce</t>
  </si>
  <si>
    <t>jay.tolar@sim.org</t>
  </si>
  <si>
    <t>jake.tolar@gmail.com</t>
  </si>
  <si>
    <t>Tolar</t>
  </si>
  <si>
    <t>Jack Tolar</t>
  </si>
  <si>
    <t>342 Mount Side Way</t>
  </si>
  <si>
    <t>eduardo.pando@snapon.com</t>
  </si>
  <si>
    <t>matthew2pando@gmail.com</t>
  </si>
  <si>
    <t>Pando</t>
  </si>
  <si>
    <t>Matthew Pando</t>
  </si>
  <si>
    <t>2806 academy</t>
  </si>
  <si>
    <t>Dodge city</t>
  </si>
  <si>
    <t>figueroamendy@aol.com</t>
  </si>
  <si>
    <t>Figueroaannam@aol.com</t>
  </si>
  <si>
    <t>Figueroa</t>
  </si>
  <si>
    <t>Anna Figueroa</t>
  </si>
  <si>
    <t>3502 Curtice Farm Dr</t>
  </si>
  <si>
    <t>murphy@focusfamily.org.tw</t>
  </si>
  <si>
    <t>lillianli1103@gmail.com</t>
  </si>
  <si>
    <t>Li</t>
  </si>
  <si>
    <t>Lillian Li</t>
  </si>
  <si>
    <t>3F., NO.20, Ln.56, Zhangxin St., Wenshan Dist., Taipei City 116, Taiwan (R.O.C)</t>
  </si>
  <si>
    <t>Taipei</t>
  </si>
  <si>
    <t>sethbk@icloud.com</t>
  </si>
  <si>
    <t>Seth Keith</t>
  </si>
  <si>
    <t>3450 Hay Creek Rd</t>
  </si>
  <si>
    <t>mrs.ljbr@sbcglobal.net</t>
  </si>
  <si>
    <t>lydiarr@icloud.com</t>
  </si>
  <si>
    <t>Beltran del Rio</t>
  </si>
  <si>
    <t>Lydia Beltran del Rio</t>
  </si>
  <si>
    <t>5638 W Sandalwood Circle</t>
  </si>
  <si>
    <t>Norton Shores</t>
  </si>
  <si>
    <t>naomieotis1@gmail.com</t>
  </si>
  <si>
    <t>3196 Park Overlook Drive</t>
  </si>
  <si>
    <t>Shoreview</t>
  </si>
  <si>
    <t>becca1776b@gmail.com</t>
  </si>
  <si>
    <t>Abbierbe@umich.edu</t>
  </si>
  <si>
    <t>Berringer</t>
  </si>
  <si>
    <t>Abbie Berringer</t>
  </si>
  <si>
    <t>7160 E.Lakeshore Dr</t>
  </si>
  <si>
    <t>Walkerville</t>
  </si>
  <si>
    <t>jasonandheatherp@msn.com</t>
  </si>
  <si>
    <t>jackpattersonone@gmail.com</t>
  </si>
  <si>
    <t>Jack Patterson</t>
  </si>
  <si>
    <t>1305 NE 28th Street</t>
  </si>
  <si>
    <t>standin4life@gmail.com</t>
  </si>
  <si>
    <t>Aubrianne</t>
  </si>
  <si>
    <t>Aubrianne Trout</t>
  </si>
  <si>
    <t>6602 SW Landover Dr</t>
  </si>
  <si>
    <t>chloegirl8@yahoo.com</t>
  </si>
  <si>
    <t>Chloe Weigand</t>
  </si>
  <si>
    <t>Brian Shepherd</t>
  </si>
  <si>
    <t>reido@shaw.ca</t>
  </si>
  <si>
    <t>thane.mcleanwiest@gmail.com</t>
  </si>
  <si>
    <t>Thane</t>
  </si>
  <si>
    <t>McLean Wiest</t>
  </si>
  <si>
    <t>Thane McLean Wiest</t>
  </si>
  <si>
    <t>144 Dalhousie Rd NW</t>
  </si>
  <si>
    <t>T3A2H1</t>
  </si>
  <si>
    <t>swordmaiden4@gmail.com</t>
  </si>
  <si>
    <t>Steffen</t>
  </si>
  <si>
    <t>Hannah Steffen</t>
  </si>
  <si>
    <t>9791 windcrest dr</t>
  </si>
  <si>
    <t>myraandliz@gmail.com</t>
  </si>
  <si>
    <t>Myraandliz@gmail.com</t>
  </si>
  <si>
    <t>Myrabelle</t>
  </si>
  <si>
    <t>Voson</t>
  </si>
  <si>
    <t>Myrabelle Voson</t>
  </si>
  <si>
    <t>11802 Belle Ct</t>
  </si>
  <si>
    <t>Pinehurst</t>
  </si>
  <si>
    <t>estovall72@gmail.com</t>
  </si>
  <si>
    <t>liathebookworm@gmail.com</t>
  </si>
  <si>
    <t>Natalia Stovall</t>
  </si>
  <si>
    <t>170 Manor</t>
  </si>
  <si>
    <t>Beaumont</t>
  </si>
  <si>
    <t>striderfrank@gmail.com</t>
  </si>
  <si>
    <t>Strider</t>
  </si>
  <si>
    <t>Frank</t>
  </si>
  <si>
    <t>Strider Frank</t>
  </si>
  <si>
    <t>7325 Ivy Hill Lane</t>
  </si>
  <si>
    <t>LANETTE.AKASAKI@GMAIL.COM</t>
  </si>
  <si>
    <t>JAKASAKI16@GMAIL.COM</t>
  </si>
  <si>
    <t>JOLENE</t>
  </si>
  <si>
    <t>AKASAKI</t>
  </si>
  <si>
    <t>JOLENE AKASAKI</t>
  </si>
  <si>
    <t>1953 HALEKOA DRIVE</t>
  </si>
  <si>
    <t>HONOLULU</t>
  </si>
  <si>
    <t>lukegilligan48@gmail.com</t>
  </si>
  <si>
    <t>Gilligan</t>
  </si>
  <si>
    <t>Luke Gilligan</t>
  </si>
  <si>
    <t>10873 Brixton Lane</t>
  </si>
  <si>
    <t>jknox029@aol.com</t>
  </si>
  <si>
    <t>Amanda.knox515@gmail.com</t>
  </si>
  <si>
    <t>Amanda Knox</t>
  </si>
  <si>
    <t>roy@smithseed.com</t>
  </si>
  <si>
    <t>randm4@alyrica.net</t>
  </si>
  <si>
    <t>Josiah Branson</t>
  </si>
  <si>
    <t>34265 Powell Hills Loop</t>
  </si>
  <si>
    <t>Shedd</t>
  </si>
  <si>
    <t>we6moores@gmail.com</t>
  </si>
  <si>
    <t>John Moore</t>
  </si>
  <si>
    <t>1287 Fadley Road</t>
  </si>
  <si>
    <t>cfuelling@comcast.net</t>
  </si>
  <si>
    <t>tyfuelling@comcast.net</t>
  </si>
  <si>
    <t>Fuelling</t>
  </si>
  <si>
    <t>Tyler Fuelling</t>
  </si>
  <si>
    <t>8675 Eastway Dr</t>
  </si>
  <si>
    <t>Kelly.Vizzini@fotf.org</t>
  </si>
  <si>
    <t>2900June@gmail.com</t>
  </si>
  <si>
    <t>Vizzini</t>
  </si>
  <si>
    <t>Morgan Vizzini</t>
  </si>
  <si>
    <t>2960 Cortina Drive</t>
  </si>
  <si>
    <t>Colorado Speings</t>
  </si>
  <si>
    <t>caleb@pettibonfamily.com</t>
  </si>
  <si>
    <t>caleb@mindspring.com</t>
  </si>
  <si>
    <t>Caleb Pettibon</t>
  </si>
  <si>
    <t>8003 Old Mill Rd</t>
  </si>
  <si>
    <t>levi.firstborn@gmail.com</t>
  </si>
  <si>
    <t>Thomas Steffen</t>
  </si>
  <si>
    <t>16384 S Abiqua Rd Ne</t>
  </si>
  <si>
    <t>cjaeger12345@gmail.com</t>
  </si>
  <si>
    <t>Jaeger</t>
  </si>
  <si>
    <t>Casey Jaeger</t>
  </si>
  <si>
    <t>5817 Lathrop Pl</t>
  </si>
  <si>
    <t>mccearyj94@gmail.com</t>
  </si>
  <si>
    <t>842 Shoshoni st</t>
  </si>
  <si>
    <t>jdmetcalf2@gmail.com</t>
  </si>
  <si>
    <t>METCALF</t>
  </si>
  <si>
    <t>STEPHEN METCALF</t>
  </si>
  <si>
    <t>84245 561ST AVE</t>
  </si>
  <si>
    <t>NORFOLK</t>
  </si>
  <si>
    <t>rjwiley86@gmail.com</t>
  </si>
  <si>
    <t>Jordan Wiley</t>
  </si>
  <si>
    <t>aggietdh@hotmail.com</t>
  </si>
  <si>
    <t>Swim.hnh@gmail.com</t>
  </si>
  <si>
    <t>Hannah Hickman</t>
  </si>
  <si>
    <t>3315 Clydesdale Drive</t>
  </si>
  <si>
    <t>Jonah Larson</t>
  </si>
  <si>
    <t>fitchej@centurylink.net</t>
  </si>
  <si>
    <t>mfchannel.16@gmail.com</t>
  </si>
  <si>
    <t>Fitch</t>
  </si>
  <si>
    <t>Michael Fitch</t>
  </si>
  <si>
    <t>4614 Pascal Ct</t>
  </si>
  <si>
    <t>speedboylogan@yahoo.com</t>
  </si>
  <si>
    <t>Caleb Logan</t>
  </si>
  <si>
    <t>2143 Smallhouse Rd</t>
  </si>
  <si>
    <t>bgraun@gmail.com</t>
  </si>
  <si>
    <t>Stuttgen</t>
  </si>
  <si>
    <t>Samantha Stuttgen</t>
  </si>
  <si>
    <t>105 S 2nd</t>
  </si>
  <si>
    <t>esther.edelman@yahoo.com</t>
  </si>
  <si>
    <t>nathan.edelman3@gmail.com</t>
  </si>
  <si>
    <t>Nathan Edelman</t>
  </si>
  <si>
    <t>york</t>
  </si>
  <si>
    <t>gfsawyers@yahoo.com</t>
  </si>
  <si>
    <t>svsawyers@yahoo.com</t>
  </si>
  <si>
    <t>Sawyers</t>
  </si>
  <si>
    <t>Sarah Sawyers</t>
  </si>
  <si>
    <t>7719 El Pastel Dr.</t>
  </si>
  <si>
    <t>d.noyes@me.com</t>
  </si>
  <si>
    <t>shmilykate@gmail.com</t>
  </si>
  <si>
    <t>Katelyn Noyes</t>
  </si>
  <si>
    <t>5850 Horseshoe Trail</t>
  </si>
  <si>
    <t>PO Box 289</t>
  </si>
  <si>
    <t>kendallnoyes@gmail.com</t>
  </si>
  <si>
    <t>Kendall Noyes</t>
  </si>
  <si>
    <t>Po Box 289</t>
  </si>
  <si>
    <t>lolod99@yahoo.com</t>
  </si>
  <si>
    <t>Laurel Dusang</t>
  </si>
  <si>
    <t>9730 Red Rugossa Dr</t>
  </si>
  <si>
    <t>Matthewdusang@gmail.com</t>
  </si>
  <si>
    <t>Matthew Dusang</t>
  </si>
  <si>
    <t>tylerbenavides@yahoo.com</t>
  </si>
  <si>
    <t>Benavides</t>
  </si>
  <si>
    <t>Tyler Benavides</t>
  </si>
  <si>
    <t>9723 Red Rugossa Dr</t>
  </si>
  <si>
    <t>ryleemhazel@yahoo.com</t>
  </si>
  <si>
    <t>Rylee</t>
  </si>
  <si>
    <t>Rylee Hazel</t>
  </si>
  <si>
    <t>9723 Red Rugosa</t>
  </si>
  <si>
    <t>anamission2go@yahoo.com</t>
  </si>
  <si>
    <t>mthorpe@conwaychristianschool.net</t>
  </si>
  <si>
    <t>Miguel Thorpe</t>
  </si>
  <si>
    <t>1911 CLIFTON ST</t>
  </si>
  <si>
    <t>tarsenault2014@gmail.com</t>
  </si>
  <si>
    <t>Arsenault</t>
  </si>
  <si>
    <t>Thomas Arsenault</t>
  </si>
  <si>
    <t>5027 Alpha Terrace Lane</t>
  </si>
  <si>
    <t>Knoxille</t>
  </si>
  <si>
    <t>sharon.fogarty@gmail.com</t>
  </si>
  <si>
    <t>Tayleejoy@gmail.com</t>
  </si>
  <si>
    <t>Taylee</t>
  </si>
  <si>
    <t>Fogarty</t>
  </si>
  <si>
    <t>Taylee Fogarty</t>
  </si>
  <si>
    <t>5135 Dusty Lane</t>
  </si>
  <si>
    <t>Man hester</t>
  </si>
  <si>
    <t>rgford1@suddenlink.net</t>
  </si>
  <si>
    <t>cford@tcslubbock.org</t>
  </si>
  <si>
    <t>Allison Ford</t>
  </si>
  <si>
    <t>4111 124th Street</t>
  </si>
  <si>
    <t>kgjmiller@cox.net</t>
  </si>
  <si>
    <t>miller.averi@cox.net</t>
  </si>
  <si>
    <t>Averi</t>
  </si>
  <si>
    <t>Averi Miller</t>
  </si>
  <si>
    <t>3104 E Camelback Rd, #569</t>
  </si>
  <si>
    <t>angelmabe@hotmail.com</t>
  </si>
  <si>
    <t>ejoymabe@gmail.com</t>
  </si>
  <si>
    <t>Mabe</t>
  </si>
  <si>
    <t>Eliana Mabe</t>
  </si>
  <si>
    <t>8430 Ryegrass Trail</t>
  </si>
  <si>
    <t>olsonjdrake@gmail.com</t>
  </si>
  <si>
    <t>Olson Drake</t>
  </si>
  <si>
    <t>213 N Ida</t>
  </si>
  <si>
    <t>timbersdt@live.com</t>
  </si>
  <si>
    <t>jetimber@live.com</t>
  </si>
  <si>
    <t>Timberlake</t>
  </si>
  <si>
    <t>Jonathan Timberlake</t>
  </si>
  <si>
    <t>1107 Willow Oaks Trail</t>
  </si>
  <si>
    <t>kaye.beshears@gmail.com</t>
  </si>
  <si>
    <t>tanner.beshears@gmail.com</t>
  </si>
  <si>
    <t>Beshears</t>
  </si>
  <si>
    <t>Tanner Beshears</t>
  </si>
  <si>
    <t>8239 CR 529</t>
  </si>
  <si>
    <t>bgscroggins@gmail.com</t>
  </si>
  <si>
    <t>joephscroggins@outlook.com</t>
  </si>
  <si>
    <t>Scroggins</t>
  </si>
  <si>
    <t>Joseph Scroggins</t>
  </si>
  <si>
    <t>2116 Grayson</t>
  </si>
  <si>
    <t>ajschlon@gmail.com</t>
  </si>
  <si>
    <t>tentella15@gmail.com</t>
  </si>
  <si>
    <t>Sperduto</t>
  </si>
  <si>
    <t>Isabella Sperduto</t>
  </si>
  <si>
    <t>j4760 Hwy. 227 N</t>
  </si>
  <si>
    <t>Owenton</t>
  </si>
  <si>
    <t>elaineparsley77@gmail.com</t>
  </si>
  <si>
    <t>sadelo017@gmail.com</t>
  </si>
  <si>
    <t>Caleb Parsley</t>
  </si>
  <si>
    <t>1617 Hilltop Lane</t>
  </si>
  <si>
    <t>Jrheyerly97@gmail.com</t>
  </si>
  <si>
    <t>Alyssa Heyerly</t>
  </si>
  <si>
    <t>w-nelson@santel.net</t>
  </si>
  <si>
    <t>Raquel</t>
  </si>
  <si>
    <t>Raquel Nelson</t>
  </si>
  <si>
    <t>38677 197th st</t>
  </si>
  <si>
    <t>Wolsey</t>
  </si>
  <si>
    <t>kgcallaway3@gmail.com</t>
  </si>
  <si>
    <t>Kaitlyn Callaway</t>
  </si>
  <si>
    <t>506 Lemons Gap Rd</t>
  </si>
  <si>
    <t>Tuscola</t>
  </si>
  <si>
    <t>atrain200@gmail.com</t>
  </si>
  <si>
    <t>Adam Thomson</t>
  </si>
  <si>
    <t>mlve@outlook.com</t>
  </si>
  <si>
    <t>Emmett</t>
  </si>
  <si>
    <t>Van Eaton</t>
  </si>
  <si>
    <t>Emmett Van Eaton</t>
  </si>
  <si>
    <t>22431 89th ST NE</t>
  </si>
  <si>
    <t>Granite Falls</t>
  </si>
  <si>
    <t>dufourzachary@gmail.com</t>
  </si>
  <si>
    <t>Zachary Dufour</t>
  </si>
  <si>
    <t>Trevor Beasinger</t>
  </si>
  <si>
    <t>6225 Viewmont st</t>
  </si>
  <si>
    <t>triciapowell@ymail.com</t>
  </si>
  <si>
    <t>anaispowell@ymail.com</t>
  </si>
  <si>
    <t>Anais</t>
  </si>
  <si>
    <t>Anais Powell</t>
  </si>
  <si>
    <t>3217 Cavalry Ridge Ct.</t>
  </si>
  <si>
    <t>janelle.chapman@sbcglobal.net</t>
  </si>
  <si>
    <t>micahchapman11@gmail.com</t>
  </si>
  <si>
    <t>Micah Chapman</t>
  </si>
  <si>
    <t>2017 Country Brook Ln</t>
  </si>
  <si>
    <t>grhester@gmail.com</t>
  </si>
  <si>
    <t>katehester4@gmail.com</t>
  </si>
  <si>
    <t>Katherine Hester</t>
  </si>
  <si>
    <t>4506 Birch Street</t>
  </si>
  <si>
    <t>elidejong@gmail.com</t>
  </si>
  <si>
    <t>Eli DeJong</t>
  </si>
  <si>
    <t>17037 West Big Lake Blvd</t>
  </si>
  <si>
    <t>maren.mihelich@hotmail.com</t>
  </si>
  <si>
    <t>Maren</t>
  </si>
  <si>
    <t>Mihelich</t>
  </si>
  <si>
    <t>Maren Mihelich</t>
  </si>
  <si>
    <t>MOUNT VERNON</t>
  </si>
  <si>
    <t>rochfords@comcast.net</t>
  </si>
  <si>
    <t>andersonrochford@gmail.com</t>
  </si>
  <si>
    <t>Rochford</t>
  </si>
  <si>
    <t>Anderson Rochford</t>
  </si>
  <si>
    <t>1511 N Hickory Ave</t>
  </si>
  <si>
    <t>Arlington Hts</t>
  </si>
  <si>
    <t>eilidhbear1@hotmail.com</t>
  </si>
  <si>
    <t>Eilidh</t>
  </si>
  <si>
    <t>Daugherty</t>
  </si>
  <si>
    <t>Eilidh Daugherty</t>
  </si>
  <si>
    <t>9535 State Route 64</t>
  </si>
  <si>
    <t>edtimber@live.com</t>
  </si>
  <si>
    <t>Elizabeth Timberlake</t>
  </si>
  <si>
    <t>1107 willow oaks trail</t>
  </si>
  <si>
    <t>matthews</t>
  </si>
  <si>
    <t>kmhenderson@westernllc.net</t>
  </si>
  <si>
    <t>Kaden Henderson</t>
  </si>
  <si>
    <t>pammarch@outlook.com</t>
  </si>
  <si>
    <t>Paul Marchitti</t>
  </si>
  <si>
    <t>1063 Misty Trails Ln.</t>
  </si>
  <si>
    <t>justinbull@gmail.com</t>
  </si>
  <si>
    <t>madisonbull@gmail.com</t>
  </si>
  <si>
    <t>Madison Bull</t>
  </si>
  <si>
    <t>12943 Devils Thumb Pl</t>
  </si>
  <si>
    <t>countrygirldl@gmail.com</t>
  </si>
  <si>
    <t>kodiaknova@gmail.com</t>
  </si>
  <si>
    <t>Lirazan</t>
  </si>
  <si>
    <t>Cody Lirazan</t>
  </si>
  <si>
    <t>20414 Orting-Kapowsin Hwy E</t>
  </si>
  <si>
    <t>tylerhilgeman1@gmail.com</t>
  </si>
  <si>
    <t>Hilgeman</t>
  </si>
  <si>
    <t>Tyler Hilgeman</t>
  </si>
  <si>
    <t>Agape Flights DMG 25384</t>
  </si>
  <si>
    <t>100 Airport Avenue</t>
  </si>
  <si>
    <t>zacharyhilgeman@itisforfreedom.com</t>
  </si>
  <si>
    <t>Zachary Hilgeman</t>
  </si>
  <si>
    <t>c/o Agape Flights DMG 25384</t>
  </si>
  <si>
    <t>pkraslawsky@gmail.com</t>
  </si>
  <si>
    <t>kidpreacher73@yahoo.com</t>
  </si>
  <si>
    <t>Kraslawsky</t>
  </si>
  <si>
    <t>Macy Kraslawsky</t>
  </si>
  <si>
    <t>8409 Thornbury Ct</t>
  </si>
  <si>
    <t>Collin_masters@tamu.com</t>
  </si>
  <si>
    <t>Collin Masters</t>
  </si>
  <si>
    <t>sing4thelord@msn.com</t>
  </si>
  <si>
    <t>Justin Inman</t>
  </si>
  <si>
    <t>5196 Chimney Gulch Way</t>
  </si>
  <si>
    <t>irspearson@gmail.com</t>
  </si>
  <si>
    <t>superpig50@icloud.com</t>
  </si>
  <si>
    <t>Stephen Pearson</t>
  </si>
  <si>
    <t>338 Banner Lane</t>
  </si>
  <si>
    <t>rmpearson@me.com</t>
  </si>
  <si>
    <t>Ruth Pearson</t>
  </si>
  <si>
    <t>ms.fit1@live.com</t>
  </si>
  <si>
    <t>atkinson2988@gmail.com</t>
  </si>
  <si>
    <t>Kaden Atkinson</t>
  </si>
  <si>
    <t>18245 Frenchtown Acres</t>
  </si>
  <si>
    <t>stephaniemitchener@icloud.com</t>
  </si>
  <si>
    <t>Josiahshahn@icloud.com</t>
  </si>
  <si>
    <t>Mitchener</t>
  </si>
  <si>
    <t>Josiah Mitchener</t>
  </si>
  <si>
    <t>3641 Durham Street</t>
  </si>
  <si>
    <t>Michelle.Parker@mac.com</t>
  </si>
  <si>
    <t>daniellegparker@mac.com</t>
  </si>
  <si>
    <t>Danielle Parker</t>
  </si>
  <si>
    <t>5550 N 40 Pl</t>
  </si>
  <si>
    <t>cristi.steed@gmail.com</t>
  </si>
  <si>
    <t>leahrfsteed@gmail.com</t>
  </si>
  <si>
    <t>Steed</t>
  </si>
  <si>
    <t>Leah Steed</t>
  </si>
  <si>
    <t>13902 Sage Valley Court</t>
  </si>
  <si>
    <t>Dubuque</t>
  </si>
  <si>
    <t>amonsivaiz@twca.net</t>
  </si>
  <si>
    <t>Monsivaiz</t>
  </si>
  <si>
    <t>Aaron Monsivaiz</t>
  </si>
  <si>
    <t>7615 Kalebs Pond Ct</t>
  </si>
  <si>
    <t>parismomco@gmail.com</t>
  </si>
  <si>
    <t>Gageaparis@gmail.com</t>
  </si>
  <si>
    <t>Gage Paris</t>
  </si>
  <si>
    <t>decoratingdiva2002@gmail.com</t>
  </si>
  <si>
    <t>Margaret Raymond</t>
  </si>
  <si>
    <t>graysonlkirkman@gmail.com</t>
  </si>
  <si>
    <t>Grayson Kirkman</t>
  </si>
  <si>
    <t>sunshynecrew@gmail.com</t>
  </si>
  <si>
    <t>lightningbug2025@gmail.com</t>
  </si>
  <si>
    <t>Coppock</t>
  </si>
  <si>
    <t>Alexia Coppock</t>
  </si>
  <si>
    <t>1370 Meadowlake Way</t>
  </si>
  <si>
    <t>mayofamily777@yahoo.com</t>
  </si>
  <si>
    <t>amayo10@liberty.edu</t>
  </si>
  <si>
    <t>Ava Mayo</t>
  </si>
  <si>
    <t>360 Camp St</t>
  </si>
  <si>
    <t>2817 Westwood Dr. NW</t>
  </si>
  <si>
    <t>broharold@gmail.com</t>
  </si>
  <si>
    <t>Katelyn.best@asbury.edu</t>
  </si>
  <si>
    <t>Katelyn Best</t>
  </si>
  <si>
    <t>124 Longview Court</t>
  </si>
  <si>
    <t>dkwangy@gmail.com</t>
  </si>
  <si>
    <t>tim2000yoon@gmail.com</t>
  </si>
  <si>
    <t>Timothy Yoon</t>
  </si>
  <si>
    <t>950 Red Oak Circle</t>
  </si>
  <si>
    <t>Vernon Hills</t>
  </si>
  <si>
    <t>Jawood52rose@gmail.com</t>
  </si>
  <si>
    <t>Julia Wood</t>
  </si>
  <si>
    <t>awatterson@twca.net</t>
  </si>
  <si>
    <t>Ashley Watterson</t>
  </si>
  <si>
    <t>83 Hollymead Dr</t>
  </si>
  <si>
    <t>hawaiikona1@gmail.com</t>
  </si>
  <si>
    <t>Thomas Michael</t>
  </si>
  <si>
    <t>ijah.wendel@gmail.com</t>
  </si>
  <si>
    <t>Elijah Wendel</t>
  </si>
  <si>
    <t>Avenida Italia 6909</t>
  </si>
  <si>
    <t>Montevideo</t>
  </si>
  <si>
    <t>Uruguay</t>
  </si>
  <si>
    <t>raslberry@gmail.com</t>
  </si>
  <si>
    <t>Lehman</t>
  </si>
  <si>
    <t>Madison Lehman</t>
  </si>
  <si>
    <t>PO Box 36</t>
  </si>
  <si>
    <t>garrettborn9269@q.com</t>
  </si>
  <si>
    <t>Garrett Born</t>
  </si>
  <si>
    <t>9269 William Cody Drive</t>
  </si>
  <si>
    <t>kathy.p2@comcast.net</t>
  </si>
  <si>
    <t>amp2222@reagan.com</t>
  </si>
  <si>
    <t>Aaron Powers</t>
  </si>
  <si>
    <t>11305 W. Glennon Dr.</t>
  </si>
  <si>
    <t>gracehale100@gmail.com</t>
  </si>
  <si>
    <t>Gracelyn Hale</t>
  </si>
  <si>
    <t>Ft Worth</t>
  </si>
  <si>
    <t>kelli.nations@hcahealthcare.com</t>
  </si>
  <si>
    <t>Shenandoah</t>
  </si>
  <si>
    <t>ancalaemberblade@gmail.com</t>
  </si>
  <si>
    <t>Catherine Russell</t>
  </si>
  <si>
    <t>spflieg1@gmail.com</t>
  </si>
  <si>
    <t>hpflieg@gmail.com</t>
  </si>
  <si>
    <t>Pflieger</t>
  </si>
  <si>
    <t>Hailey Pflieger</t>
  </si>
  <si>
    <t>6208 Crooked Stick Drive</t>
  </si>
  <si>
    <t>oboetojoy@gmail.com</t>
  </si>
  <si>
    <t>Ciara</t>
  </si>
  <si>
    <t>Ciara Carr</t>
  </si>
  <si>
    <t>1214 Greendale Rd</t>
  </si>
  <si>
    <t>siberian-missionary@usa.net</t>
  </si>
  <si>
    <t>ishkidoro@gmail.com</t>
  </si>
  <si>
    <t>Mason Rhodes</t>
  </si>
  <si>
    <t>Brestskaya 11-51</t>
  </si>
  <si>
    <t>josephnreysen@gmail.com</t>
  </si>
  <si>
    <t>Joseph Reysen</t>
  </si>
  <si>
    <t>1932 Lord Fairfax Road</t>
  </si>
  <si>
    <t>Tyson's Corner</t>
  </si>
  <si>
    <t>shirlei.slater@gmail.com</t>
  </si>
  <si>
    <t>Shirlei</t>
  </si>
  <si>
    <t>Shirlei Slater</t>
  </si>
  <si>
    <t>6553 Clark Road</t>
  </si>
  <si>
    <t>rebjoiner15@yahoo.com</t>
  </si>
  <si>
    <t>Joiner</t>
  </si>
  <si>
    <t>Rebecca Joiner</t>
  </si>
  <si>
    <t>327 Little Branch Ln.</t>
  </si>
  <si>
    <t>lucynagel1@aol.com</t>
  </si>
  <si>
    <t>Kaylie.nagel@gmail.com</t>
  </si>
  <si>
    <t>Nagel</t>
  </si>
  <si>
    <t>Kaylie Nagel</t>
  </si>
  <si>
    <t>Stiwell</t>
  </si>
  <si>
    <t>cflan1@icloud.com</t>
  </si>
  <si>
    <t>mcf.3@me.com</t>
  </si>
  <si>
    <t>Madelyn Flanigan</t>
  </si>
  <si>
    <t>julshov@gmail.com</t>
  </si>
  <si>
    <t>eliseshovar@gmail.com</t>
  </si>
  <si>
    <t>Shovar</t>
  </si>
  <si>
    <t>Elise Shovar</t>
  </si>
  <si>
    <t>1900 Ranch Trail Road</t>
  </si>
  <si>
    <t>becky.armstrong999@icloud.com</t>
  </si>
  <si>
    <t>daleyarmstrong@gmail.com</t>
  </si>
  <si>
    <t>Robert Armstrong</t>
  </si>
  <si>
    <t>15737 Split Creek Drive</t>
  </si>
  <si>
    <t>bjdsplett@gmail.com</t>
  </si>
  <si>
    <t>datinterweb@gmail.com</t>
  </si>
  <si>
    <t>Splett</t>
  </si>
  <si>
    <t>Ryan Splett</t>
  </si>
  <si>
    <t>Bernardo Quintana 140</t>
  </si>
  <si>
    <t>casa 21</t>
  </si>
  <si>
    <t>mexico city</t>
  </si>
  <si>
    <t>mitchell</t>
  </si>
  <si>
    <t>mitchell Splett</t>
  </si>
  <si>
    <t>mexico</t>
  </si>
  <si>
    <t>schromette4@juno.com</t>
  </si>
  <si>
    <t>Bethany Schrom</t>
  </si>
  <si>
    <t>rachelfryar@yahoo.com</t>
  </si>
  <si>
    <t>kjcatch0905@gmail.com</t>
  </si>
  <si>
    <t>Fryar</t>
  </si>
  <si>
    <t>Kennedy Fryar</t>
  </si>
  <si>
    <t>380 Crowell Ln</t>
  </si>
  <si>
    <t>leahhcampbell13@gmail.com</t>
  </si>
  <si>
    <t>Leah Campbell</t>
  </si>
  <si>
    <t>1213 Annapolis Circle</t>
  </si>
  <si>
    <t>katherynthetford@gmail.com</t>
  </si>
  <si>
    <t>Katheryn Thetford</t>
  </si>
  <si>
    <t>annaweiland02@gmail.com</t>
  </si>
  <si>
    <t>Anna Weiland</t>
  </si>
  <si>
    <t>Davidsking2@gmail.com</t>
  </si>
  <si>
    <t>Nathanieldking2002@gmail.com</t>
  </si>
  <si>
    <t>Nathaniel King</t>
  </si>
  <si>
    <t>9860 Dundee-Azalia Rd</t>
  </si>
  <si>
    <t>Maybee</t>
  </si>
  <si>
    <t>gnesjo@gmail.com</t>
  </si>
  <si>
    <t>Elijah Johnson</t>
  </si>
  <si>
    <t>dkcrandall@cox.net</t>
  </si>
  <si>
    <t>nathanaelcrandall@icloud.com</t>
  </si>
  <si>
    <t>Nathanael Crandall</t>
  </si>
  <si>
    <t>Naomicrandall@icloud.com</t>
  </si>
  <si>
    <t>Naomi Crandall</t>
  </si>
  <si>
    <t>amyconcafe@gmail.com</t>
  </si>
  <si>
    <t>mozothegamer@gmail.com</t>
  </si>
  <si>
    <t>Mozombite</t>
  </si>
  <si>
    <t>Isaiah Mozombite</t>
  </si>
  <si>
    <t>700 Starkey Road</t>
  </si>
  <si>
    <t>#1422</t>
  </si>
  <si>
    <t>jhamenfamily@cox.net</t>
  </si>
  <si>
    <t>jordynhamen@gmail.com</t>
  </si>
  <si>
    <t>Hamen</t>
  </si>
  <si>
    <t>Jordyn Hamen</t>
  </si>
  <si>
    <t>23732 Via la Coruna</t>
  </si>
  <si>
    <t>fan4family@gmail.com</t>
  </si>
  <si>
    <t>johnathancopley@rcsnm.org</t>
  </si>
  <si>
    <t>Johnathan Copley</t>
  </si>
  <si>
    <t>Gallup</t>
  </si>
  <si>
    <t>kjdeneui@gmail.com</t>
  </si>
  <si>
    <t>Kaelin</t>
  </si>
  <si>
    <t>DeNeui</t>
  </si>
  <si>
    <t>Kaelin DeNeui</t>
  </si>
  <si>
    <t>3560 Kirklees rd</t>
  </si>
  <si>
    <t>anaortiz111@hotmail.com</t>
  </si>
  <si>
    <t>Ana Ortiz Chavez</t>
  </si>
  <si>
    <t>strimpels@hotmail.com</t>
  </si>
  <si>
    <t>Soccerannie17@hotmail.com</t>
  </si>
  <si>
    <t>Strimpel</t>
  </si>
  <si>
    <t>Anna Strimpel</t>
  </si>
  <si>
    <t>170 Linden Dr.</t>
  </si>
  <si>
    <t>Painesville</t>
  </si>
  <si>
    <t>alicia.cory6@gmail.com</t>
  </si>
  <si>
    <t>logandcory@gmail.com</t>
  </si>
  <si>
    <t>Logan Cory</t>
  </si>
  <si>
    <t>1888 Summit Dr NE</t>
  </si>
  <si>
    <t>zach@thecrossingchurch.org</t>
  </si>
  <si>
    <t>Zach Anderson</t>
  </si>
  <si>
    <t>1328 Azalea Way</t>
  </si>
  <si>
    <t>chocolateandlobster@gmail.com</t>
  </si>
  <si>
    <t>Wolterstorff</t>
  </si>
  <si>
    <t>Katrina Wolterstorff</t>
  </si>
  <si>
    <t>1175 Swan Loop</t>
  </si>
  <si>
    <t>DuPont</t>
  </si>
  <si>
    <t>m.j.madison@live.com</t>
  </si>
  <si>
    <t>Talyah</t>
  </si>
  <si>
    <t>Talyah Madison</t>
  </si>
  <si>
    <t>3202 Needles Dr</t>
  </si>
  <si>
    <t>thebrachtfamily@gmail.com</t>
  </si>
  <si>
    <t>abracht2010@gmail.com</t>
  </si>
  <si>
    <t>Bracht</t>
  </si>
  <si>
    <t>Andrew Bracht</t>
  </si>
  <si>
    <t>15224 Sun Hills Drive</t>
  </si>
  <si>
    <t>lillyverstegen@gmail.com</t>
  </si>
  <si>
    <t>Lillian Verstegen</t>
  </si>
  <si>
    <t>jenspedersen1964@gmail.com</t>
  </si>
  <si>
    <t>jens@rentth.com</t>
  </si>
  <si>
    <t>Lydia Pedersen</t>
  </si>
  <si>
    <t>5771 Adrienne Court</t>
  </si>
  <si>
    <t>bizyboyz00@outlook.com</t>
  </si>
  <si>
    <t>Kaleb@criss.name</t>
  </si>
  <si>
    <t>Kaleb Criss</t>
  </si>
  <si>
    <t>56133 SE SAIN CREEK RD</t>
  </si>
  <si>
    <t>hdwiyono@yahoo.com</t>
  </si>
  <si>
    <t>jdweagle1@gmail.com</t>
  </si>
  <si>
    <t>Dwiyono</t>
  </si>
  <si>
    <t>Jonathan Dwiyono</t>
  </si>
  <si>
    <t>2111 W. Redwood Dr.</t>
  </si>
  <si>
    <t>boots11955@gmail.com</t>
  </si>
  <si>
    <t>Nicholas Hess</t>
  </si>
  <si>
    <t>1210 Maple St</t>
  </si>
  <si>
    <t>cathy.walker@shaw.ca</t>
  </si>
  <si>
    <t>tinywalka@gmail.com</t>
  </si>
  <si>
    <t>Margaret Walker</t>
  </si>
  <si>
    <t>greinerdk@gmail.com</t>
  </si>
  <si>
    <t>jakeagreiner@gmail.com</t>
  </si>
  <si>
    <t>Jacob Greiner</t>
  </si>
  <si>
    <t>2824 South River Rd</t>
  </si>
  <si>
    <t>Cuero</t>
  </si>
  <si>
    <t>jglenwinkel@hotmail.com</t>
  </si>
  <si>
    <t>auroralynng@gmail.com</t>
  </si>
  <si>
    <t>Glenwinkel</t>
  </si>
  <si>
    <t>Aurora Glenwinkel</t>
  </si>
  <si>
    <t>587 Chip N Dale LN</t>
  </si>
  <si>
    <t>Priest River</t>
  </si>
  <si>
    <t>sfulbright6086@gmail.com</t>
  </si>
  <si>
    <t>Sfulbright6086@gmail.com</t>
  </si>
  <si>
    <t>Sarah Fulbright</t>
  </si>
  <si>
    <t>6086 West NC 10 Hwy</t>
  </si>
  <si>
    <t>kathydmcdaniel@gmail.com</t>
  </si>
  <si>
    <t>seanmcdaniel2000@gmail.com</t>
  </si>
  <si>
    <t>McDaniel</t>
  </si>
  <si>
    <t>Sean McDaniel</t>
  </si>
  <si>
    <t>PO BOx 73277</t>
  </si>
  <si>
    <t>noellejaneh@yahoo.com</t>
  </si>
  <si>
    <t>Noellejaneh@yahoo.com</t>
  </si>
  <si>
    <t>Noelle Hostetler</t>
  </si>
  <si>
    <t>122 Brinegar Way</t>
  </si>
  <si>
    <t>joanpg@outlook.com</t>
  </si>
  <si>
    <t>LingTCosby@outlook.com</t>
  </si>
  <si>
    <t>Cosby</t>
  </si>
  <si>
    <t>Sterling Cosby</t>
  </si>
  <si>
    <t>417 W Mayfield Drive</t>
  </si>
  <si>
    <t>Hipsaghomeschool@yahoo.com</t>
  </si>
  <si>
    <t>shelby.hipsag@gmail.com</t>
  </si>
  <si>
    <t>Hipsag</t>
  </si>
  <si>
    <t>Shelby Hipsag</t>
  </si>
  <si>
    <t>2840 Jameson North #18</t>
  </si>
  <si>
    <t>colleenbrant@gmail.com</t>
  </si>
  <si>
    <t>brodiebrant2019@gmail.com</t>
  </si>
  <si>
    <t>Brodie</t>
  </si>
  <si>
    <t>Brodie Brant</t>
  </si>
  <si>
    <t>PO Box 4278</t>
  </si>
  <si>
    <t>Bridgette Sauter</t>
  </si>
  <si>
    <t>10101 Fairgate Way</t>
  </si>
  <si>
    <t>rkmannan@gmail.com</t>
  </si>
  <si>
    <t>lucymannan19@gmail.com</t>
  </si>
  <si>
    <t>Mannan</t>
  </si>
  <si>
    <t>Lucy Mannan</t>
  </si>
  <si>
    <t>11419 E 19th Ave</t>
  </si>
  <si>
    <t>ozrktrumpet@aol.com</t>
  </si>
  <si>
    <t>juliannepetersen01@gmail.com</t>
  </si>
  <si>
    <t>Julianne Petersen</t>
  </si>
  <si>
    <t>111 Briarcliff Rd</t>
  </si>
  <si>
    <t>anderson.eliyal@gmail.com</t>
  </si>
  <si>
    <t>Eliya</t>
  </si>
  <si>
    <t>Eliya Anderson</t>
  </si>
  <si>
    <t>12248 Lake Valley Dr.</t>
  </si>
  <si>
    <t>macberrypie@gmail.com</t>
  </si>
  <si>
    <t>macberryjam@gmail.com</t>
  </si>
  <si>
    <t>Will MacDonald</t>
  </si>
  <si>
    <t>215 E. 19th Street</t>
  </si>
  <si>
    <t>jmrr90@yahoo.com</t>
  </si>
  <si>
    <t>2C517word@gmail.com</t>
  </si>
  <si>
    <t>Runyan</t>
  </si>
  <si>
    <t>Blake Runyan</t>
  </si>
  <si>
    <t>1988 Champions Circle</t>
  </si>
  <si>
    <t>uh1h@att.net</t>
  </si>
  <si>
    <t>kendall-steele@att.net</t>
  </si>
  <si>
    <t>Kendall Steele</t>
  </si>
  <si>
    <t>3706 Hillrock Drive</t>
  </si>
  <si>
    <t>rondabolling@yahoo.com</t>
  </si>
  <si>
    <t>noelbolling@yahoo.com</t>
  </si>
  <si>
    <t>Noel Bolling</t>
  </si>
  <si>
    <t>dealba.ashley99@gmail.com</t>
  </si>
  <si>
    <t>De Alba</t>
  </si>
  <si>
    <t>Ashley De Alba</t>
  </si>
  <si>
    <t>8300 Delta Dr.</t>
  </si>
  <si>
    <t>apt. B</t>
  </si>
  <si>
    <t>stephenrussell412@gmail.com</t>
  </si>
  <si>
    <t>Stephen Russell</t>
  </si>
  <si>
    <t>27 Lochbury Dr.</t>
  </si>
  <si>
    <t>davidpeel@peellawfirm.com</t>
  </si>
  <si>
    <t>MEGANPEEL@RITTERMAIL.COM</t>
  </si>
  <si>
    <t>MEGAN</t>
  </si>
  <si>
    <t>PEEL</t>
  </si>
  <si>
    <t>MEGAN PEEL</t>
  </si>
  <si>
    <t>7500 OSBORNTOWN ROAD</t>
  </si>
  <si>
    <t>Ggracehodges@gmail.com</t>
  </si>
  <si>
    <t>Grace Hodges</t>
  </si>
  <si>
    <t>Dhodges@medusa.com</t>
  </si>
  <si>
    <t>Rheanna</t>
  </si>
  <si>
    <t>Rheanna Fernandez</t>
  </si>
  <si>
    <t>6600 N Eagle Ridge Dr</t>
  </si>
  <si>
    <t>kiwi71@afomail.net</t>
  </si>
  <si>
    <t>lwhiteman19@mcstangs.org&gt;,</t>
  </si>
  <si>
    <t>Logan Whiteman</t>
  </si>
  <si>
    <t>claire.rvz07@gmail.com</t>
  </si>
  <si>
    <t>Claire Reeves</t>
  </si>
  <si>
    <t>kaedencory@gmail.com</t>
  </si>
  <si>
    <t>Kaeden</t>
  </si>
  <si>
    <t>Kaeden Cory</t>
  </si>
  <si>
    <t>cmhoehner@gmail.com</t>
  </si>
  <si>
    <t>Christina Hoehner</t>
  </si>
  <si>
    <t>9100 Dellwood Dr</t>
  </si>
  <si>
    <t>daisyduke9701@yahoo.com</t>
  </si>
  <si>
    <t>Daisyduke9701@yahoo.com</t>
  </si>
  <si>
    <t>Jade Valentin</t>
  </si>
  <si>
    <t>366 Fleming st</t>
  </si>
  <si>
    <t>Sebastian</t>
  </si>
  <si>
    <t>sam.szyent@gmail.com</t>
  </si>
  <si>
    <t>Samuel Szymanski</t>
  </si>
  <si>
    <t>6824 Orchard Ridge Trail</t>
  </si>
  <si>
    <t>Woodbury</t>
  </si>
  <si>
    <t>sbell177@comcast.net</t>
  </si>
  <si>
    <t>kbell2355@comcast.net</t>
  </si>
  <si>
    <t>Kaitlyn Bell</t>
  </si>
  <si>
    <t>19428 NE Heartwood Ct</t>
  </si>
  <si>
    <t>Bookwmn32@gmail.com</t>
  </si>
  <si>
    <t>samueldouglas10@gmail.com</t>
  </si>
  <si>
    <t>Samuel Douglas</t>
  </si>
  <si>
    <t>16635 Happy Landing Dr</t>
  </si>
  <si>
    <t>Butler.seth7@gmail.com</t>
  </si>
  <si>
    <t>4430 laven way</t>
  </si>
  <si>
    <t>winklermail@sbcglobal.net</t>
  </si>
  <si>
    <t>aewinkler6@gmail.com</t>
  </si>
  <si>
    <t>Annie Winkler</t>
  </si>
  <si>
    <t>8529 N. Harrison Ct.</t>
  </si>
  <si>
    <t>doug@calvarychapelcheyenne.org</t>
  </si>
  <si>
    <t>Stille</t>
  </si>
  <si>
    <t>Douglas Stille</t>
  </si>
  <si>
    <t>8901 US HWY 30</t>
  </si>
  <si>
    <t>tracychung100@gmail.com</t>
  </si>
  <si>
    <t>elijahchung2001@gmail.com</t>
  </si>
  <si>
    <t>Elijah Chung</t>
  </si>
  <si>
    <t>1254 Fairbury Lane</t>
  </si>
  <si>
    <t>cjmoore21@pcalion.org</t>
  </si>
  <si>
    <t>Connor Moore</t>
  </si>
  <si>
    <t>lcmontgomery21@pcalion.org</t>
  </si>
  <si>
    <t>Luke Montgomery</t>
  </si>
  <si>
    <t>jsmontgomery21@pcalion.org</t>
  </si>
  <si>
    <t>Jacob Montgomery</t>
  </si>
  <si>
    <t>ceflmayberry@gmail.com</t>
  </si>
  <si>
    <t>ethan.mayberry@bisdstudent.org</t>
  </si>
  <si>
    <t>Mayberry</t>
  </si>
  <si>
    <t>Ethan Mayberry</t>
  </si>
  <si>
    <t>3608 El Dorado Dr.</t>
  </si>
  <si>
    <t>jthorstman21@pcalion.org</t>
  </si>
  <si>
    <t>Jonathan Horstman</t>
  </si>
  <si>
    <t>patiencedaniels@verizon.net</t>
  </si>
  <si>
    <t>Joshua Daniels</t>
  </si>
  <si>
    <t>6003 Windward Drive</t>
  </si>
  <si>
    <t>Grace Daniels</t>
  </si>
  <si>
    <t>josiahchung2003@gmail.com</t>
  </si>
  <si>
    <t>Josiah Chung</t>
  </si>
  <si>
    <t>slkobernik@att.net</t>
  </si>
  <si>
    <t>jhudson4j@gmail.com</t>
  </si>
  <si>
    <t>Clement Hudson</t>
  </si>
  <si>
    <t>12674 Douglas Ave</t>
  </si>
  <si>
    <t>brigidgriffin2animaljam@gmail.com</t>
  </si>
  <si>
    <t>Erynne</t>
  </si>
  <si>
    <t>Erynne Griffin</t>
  </si>
  <si>
    <t>933 Fulbright Ave</t>
  </si>
  <si>
    <t>charlesr.anderson2000@yahoo.com</t>
  </si>
  <si>
    <t>Charles Anderson</t>
  </si>
  <si>
    <t>6 E English Ave</t>
  </si>
  <si>
    <t>erl616567@gmail.com</t>
  </si>
  <si>
    <t>Eden Lee</t>
  </si>
  <si>
    <t>8767 S Fairall Rf</t>
  </si>
  <si>
    <t>dmarkerr@outlook.com</t>
  </si>
  <si>
    <t>rrnkerr@oulook.com</t>
  </si>
  <si>
    <t>Kerr</t>
  </si>
  <si>
    <t>Ryan Kerr</t>
  </si>
  <si>
    <t>2546 N Greenleaf St</t>
  </si>
  <si>
    <t>gnatalie.clarke@gmail.com</t>
  </si>
  <si>
    <t>Natalie Clarke</t>
  </si>
  <si>
    <t>andyfwells@gmail.com</t>
  </si>
  <si>
    <t>Anderson Wells</t>
  </si>
  <si>
    <t>jeffreywade@bellsouth.net</t>
  </si>
  <si>
    <t>Jpwadeclash@gmail.com</t>
  </si>
  <si>
    <t>Justin Wade</t>
  </si>
  <si>
    <t>8406 E Grace Roach Rd</t>
  </si>
  <si>
    <t>South Fulton</t>
  </si>
  <si>
    <t>tpweimar@me.com</t>
  </si>
  <si>
    <t>Weimar</t>
  </si>
  <si>
    <t>Houston Weimar</t>
  </si>
  <si>
    <t>558 N Longford Ln</t>
  </si>
  <si>
    <t>rogers523@live.com</t>
  </si>
  <si>
    <t>Sophiemrogers@outlook.com</t>
  </si>
  <si>
    <t>Sophie Rogers</t>
  </si>
  <si>
    <t>405 Murrell Street</t>
  </si>
  <si>
    <t>samgpederson@gmail.com</t>
  </si>
  <si>
    <t>Samuel Pederson</t>
  </si>
  <si>
    <t>3326 N Cr 125 W</t>
  </si>
  <si>
    <t>saddleoaksfarm@gmail.com</t>
  </si>
  <si>
    <t>withabookandadog@gmail.com</t>
  </si>
  <si>
    <t>Lydia Burton</t>
  </si>
  <si>
    <t>855 Arnold Road</t>
  </si>
  <si>
    <t>lamcgahey@gmail.com</t>
  </si>
  <si>
    <t>stmcgahey00@gmail.com</t>
  </si>
  <si>
    <t>McGahey</t>
  </si>
  <si>
    <t>Samuel McGahey</t>
  </si>
  <si>
    <t>10770 New Cut Off Rd</t>
  </si>
  <si>
    <t>Bon Aqua</t>
  </si>
  <si>
    <t>zbmcgahey@gmail.com</t>
  </si>
  <si>
    <t>Zachariah McGahey</t>
  </si>
  <si>
    <t>alyssa.alameda@gmail.com</t>
  </si>
  <si>
    <t>Alameda</t>
  </si>
  <si>
    <t>Alyssa Alameda</t>
  </si>
  <si>
    <t>439 Bass Lane</t>
  </si>
  <si>
    <t>blake.alana007@gmail.com</t>
  </si>
  <si>
    <t>Blake.alana007@gmail.com</t>
  </si>
  <si>
    <t>Alana Blake</t>
  </si>
  <si>
    <t>10509 East County Rd 94</t>
  </si>
  <si>
    <t>cmchorsemanship@gmail.com</t>
  </si>
  <si>
    <t>Cowman</t>
  </si>
  <si>
    <t>Carissa Cowman</t>
  </si>
  <si>
    <t>236 72nd Avenue</t>
  </si>
  <si>
    <t>stanleyfamily2@gmail.com</t>
  </si>
  <si>
    <t>kaleb.meiers@gmail.com</t>
  </si>
  <si>
    <t>Meiers</t>
  </si>
  <si>
    <t>Kaleb Meiers</t>
  </si>
  <si>
    <t>39600 Kimberly Dr.</t>
  </si>
  <si>
    <t>tcsmith2u@hotmail.com</t>
  </si>
  <si>
    <t>Josiah Smith</t>
  </si>
  <si>
    <t>6424 SE Knight</t>
  </si>
  <si>
    <t>dabacfa@gmail.com</t>
  </si>
  <si>
    <t>Faith Horbach</t>
  </si>
  <si>
    <t>12707 Saint Clair Dr</t>
  </si>
  <si>
    <t>hisartist4ever@gmail.com</t>
  </si>
  <si>
    <t>Amanda Patton</t>
  </si>
  <si>
    <t>shaver7095@gmail.com</t>
  </si>
  <si>
    <t>jaylieshaver@gmail.com</t>
  </si>
  <si>
    <t>Jaylie</t>
  </si>
  <si>
    <t>Jaylie Shaver</t>
  </si>
  <si>
    <t>P.O. Box 355</t>
  </si>
  <si>
    <t>caedmonhowell@gmail.com</t>
  </si>
  <si>
    <t>Caedmon</t>
  </si>
  <si>
    <t>Caedmon Howell</t>
  </si>
  <si>
    <t>wwjdkjm@gmail.com</t>
  </si>
  <si>
    <t>wwjdkfm@gmail.com</t>
  </si>
  <si>
    <t>Kirsten McGinnis</t>
  </si>
  <si>
    <t>1743 Bayard Ave</t>
  </si>
  <si>
    <t>tatiro18@gmail.com</t>
  </si>
  <si>
    <t>Tatiro18@gmail.com</t>
  </si>
  <si>
    <t>Carballo</t>
  </si>
  <si>
    <t>Gabriel Carballo</t>
  </si>
  <si>
    <t>4527 Lyndenwood Pt</t>
  </si>
  <si>
    <t>Devinhdavis1010@gmail.com</t>
  </si>
  <si>
    <t>Devin Davis</t>
  </si>
  <si>
    <t>303 Suzanne Dejean Dr</t>
  </si>
  <si>
    <t>hali.cheng04@gmail.com</t>
  </si>
  <si>
    <t>hangrace26@gmail.com</t>
  </si>
  <si>
    <t>Han-En</t>
  </si>
  <si>
    <t>Han-En Cheng</t>
  </si>
  <si>
    <t>7844 Academy Trail NE</t>
  </si>
  <si>
    <t>307katz@gmail.com</t>
  </si>
  <si>
    <t>katz270@outlook.com</t>
  </si>
  <si>
    <t>Gabriel Katz</t>
  </si>
  <si>
    <t>Sam Hogan</t>
  </si>
  <si>
    <t>Knuth</t>
  </si>
  <si>
    <t>Katelyn Knuth</t>
  </si>
  <si>
    <t>n8eades@gmail.com</t>
  </si>
  <si>
    <t>Nathaniel Eades</t>
  </si>
  <si>
    <t>4528 Walker Street NE</t>
  </si>
  <si>
    <t>amy_arens@charter.net</t>
  </si>
  <si>
    <t>loucards@charter.net</t>
  </si>
  <si>
    <t>Arens</t>
  </si>
  <si>
    <t>Jonathan Arens</t>
  </si>
  <si>
    <t>6939 Weber Road</t>
  </si>
  <si>
    <t>landers@integrity.com</t>
  </si>
  <si>
    <t>emmiebear60@gmail.com</t>
  </si>
  <si>
    <t>Emerie</t>
  </si>
  <si>
    <t>Emerie Landers</t>
  </si>
  <si>
    <t>dishay3@gmail.com</t>
  </si>
  <si>
    <t>Victoria Shay</t>
  </si>
  <si>
    <t>jrodgers2177@gmail.com</t>
  </si>
  <si>
    <t>Joseph Rodgers</t>
  </si>
  <si>
    <t>2197 Goodwin Rd</t>
  </si>
  <si>
    <t>Hooks</t>
  </si>
  <si>
    <t>campcook@rocketmail.com</t>
  </si>
  <si>
    <t>nickcraftr@gmail.com</t>
  </si>
  <si>
    <t>Smerchansky</t>
  </si>
  <si>
    <t>Nicholas Smerchansky</t>
  </si>
  <si>
    <t>313 clinton St</t>
  </si>
  <si>
    <t>Ravenna</t>
  </si>
  <si>
    <t>tanslucent88@gmail.com</t>
  </si>
  <si>
    <t>Michael Greeb</t>
  </si>
  <si>
    <t>sillynerdylemur@gmail.com</t>
  </si>
  <si>
    <t>Allena</t>
  </si>
  <si>
    <t>Allena Smerchansky</t>
  </si>
  <si>
    <t>313 clinton st</t>
  </si>
  <si>
    <t>ravenna</t>
  </si>
  <si>
    <t>graciaspoint24@gmail.com</t>
  </si>
  <si>
    <t>Gracia</t>
  </si>
  <si>
    <t>Gracia Point</t>
  </si>
  <si>
    <t>417 9th Ave N</t>
  </si>
  <si>
    <t>peter@superbrown.com</t>
  </si>
  <si>
    <t>Peter Brown</t>
  </si>
  <si>
    <t>lcajla@yahoo.com</t>
  </si>
  <si>
    <t>bekahanderson35242@yahoo.com</t>
  </si>
  <si>
    <t>Rebekah Anderson</t>
  </si>
  <si>
    <t>100 Austin Circle</t>
  </si>
  <si>
    <t>Amy Holton</t>
  </si>
  <si>
    <t>Reno</t>
  </si>
  <si>
    <t>ashanderson888@gmail.com</t>
  </si>
  <si>
    <t>Ashley Anderson</t>
  </si>
  <si>
    <t>richabennett@hotmail.com</t>
  </si>
  <si>
    <t>macyabennett@hotmail.com</t>
  </si>
  <si>
    <t>Macy Bennett</t>
  </si>
  <si>
    <t>cheryl.loveday@me.com</t>
  </si>
  <si>
    <t>samissuper@me.com</t>
  </si>
  <si>
    <t>Loveday</t>
  </si>
  <si>
    <t>Samuel Loveday</t>
  </si>
  <si>
    <t>2811 Shadow Canyon Ln</t>
  </si>
  <si>
    <t>shannongrace1030@gmail.com</t>
  </si>
  <si>
    <t>Rantamaki</t>
  </si>
  <si>
    <t>Shannon Rantamaki</t>
  </si>
  <si>
    <t>42115 N Hancock st</t>
  </si>
  <si>
    <t>erinhardin02@gmail.com</t>
  </si>
  <si>
    <t>Erin Hardin</t>
  </si>
  <si>
    <t>2326 40th Ave</t>
  </si>
  <si>
    <t>theworldlytraveler@gmail.com</t>
  </si>
  <si>
    <t>ethanelfeo@gmail.com</t>
  </si>
  <si>
    <t>Ethan Peterson</t>
  </si>
  <si>
    <t>124 Tucker Creek Land</t>
  </si>
  <si>
    <t>Havelock</t>
  </si>
  <si>
    <t>covemol@gmail.com</t>
  </si>
  <si>
    <t>Cove</t>
  </si>
  <si>
    <t>Cove Molstad</t>
  </si>
  <si>
    <t>46847 252nd St</t>
  </si>
  <si>
    <t>mama2themacs@gmail.com</t>
  </si>
  <si>
    <t>Mcnamara</t>
  </si>
  <si>
    <t>Emma Mcnamara</t>
  </si>
  <si>
    <t>jsusud@gmail.com</t>
  </si>
  <si>
    <t>Susud</t>
  </si>
  <si>
    <t>Jacob Susud</t>
  </si>
  <si>
    <t>6815 East Woodland Court</t>
  </si>
  <si>
    <t>Victoria_Thompson1@baylor.edu</t>
  </si>
  <si>
    <t>Victoria Thompson</t>
  </si>
  <si>
    <t>2831 Lost Field Lane</t>
  </si>
  <si>
    <t>djs.joejoy6@gmail.com</t>
  </si>
  <si>
    <t>Daniel Sheffer</t>
  </si>
  <si>
    <t>oliver@burtonfamily.co.nz</t>
  </si>
  <si>
    <t>Oliver Burton</t>
  </si>
  <si>
    <t>jghoffs@baldwin-telecom.net</t>
  </si>
  <si>
    <t>b26j92@yahoo.com</t>
  </si>
  <si>
    <t>Brim</t>
  </si>
  <si>
    <t>Brandon Brim</t>
  </si>
  <si>
    <t>654 Sutherland Dr</t>
  </si>
  <si>
    <t>dankendra@mac.com</t>
  </si>
  <si>
    <t>Dannypearson@me.com</t>
  </si>
  <si>
    <t>Pearson, Jr.</t>
  </si>
  <si>
    <t>Daniel Pearson, Jr.</t>
  </si>
  <si>
    <t>1330 Silver Lake Court</t>
  </si>
  <si>
    <t>benanddasa@gmail.com</t>
  </si>
  <si>
    <t>tagyourit722@gmail.com</t>
  </si>
  <si>
    <t>Emily Williams</t>
  </si>
  <si>
    <t>285 N Eastern Slope Loop</t>
  </si>
  <si>
    <t>lecfpel@gmail.com</t>
  </si>
  <si>
    <t>darya.elayne.p@gmail.com</t>
  </si>
  <si>
    <t>Darya</t>
  </si>
  <si>
    <t>Pelphrey</t>
  </si>
  <si>
    <t>Darya Pelphrey</t>
  </si>
  <si>
    <t>1723 W Madison Drive</t>
  </si>
  <si>
    <t>yohough@gmail.com</t>
  </si>
  <si>
    <t>wyatt.h.hough@gmail.com</t>
  </si>
  <si>
    <t>Hough</t>
  </si>
  <si>
    <t>Wyatt Hough</t>
  </si>
  <si>
    <t>6328 Blackburn Ford Dr.</t>
  </si>
  <si>
    <t>Fairfax Station</t>
  </si>
  <si>
    <t>shan.hough52@gmail.com</t>
  </si>
  <si>
    <t>Shannah</t>
  </si>
  <si>
    <t>Shannah Hough</t>
  </si>
  <si>
    <t>kjwink2@yahoo.com</t>
  </si>
  <si>
    <t>kalwink32@hotmail.com</t>
  </si>
  <si>
    <t>Kaleigh Wink</t>
  </si>
  <si>
    <t>612 230th Ave</t>
  </si>
  <si>
    <t>ella.wilkins0701@gmail.com</t>
  </si>
  <si>
    <t>Ella Wilkins</t>
  </si>
  <si>
    <t>11101 Mahin Ln</t>
  </si>
  <si>
    <t>Yvonne Riehl</t>
  </si>
  <si>
    <t>bendishman@hotmail.com</t>
  </si>
  <si>
    <t>averydishman@hotmail.com</t>
  </si>
  <si>
    <t>Dishman</t>
  </si>
  <si>
    <t>Avery Dishman</t>
  </si>
  <si>
    <t>1595 Beverly Blvd</t>
  </si>
  <si>
    <t>emcparlan@gmail.com</t>
  </si>
  <si>
    <t>Elijah McParlan</t>
  </si>
  <si>
    <t>55174 St Johns Creek Rd</t>
  </si>
  <si>
    <t>davycrockettnjj@gmail.com</t>
  </si>
  <si>
    <t>monte.schell@yahoo.com</t>
  </si>
  <si>
    <t>Monte</t>
  </si>
  <si>
    <t>Schell</t>
  </si>
  <si>
    <t>Monte Schell</t>
  </si>
  <si>
    <t>57 Alder Drive</t>
  </si>
  <si>
    <t>Rosburg</t>
  </si>
  <si>
    <t>lyndastefani@icloud.com</t>
  </si>
  <si>
    <t>Howlcheese534@gmail.com</t>
  </si>
  <si>
    <t>Stefani</t>
  </si>
  <si>
    <t>Martin Stefani</t>
  </si>
  <si>
    <t>176 Firestone Dr</t>
  </si>
  <si>
    <t>Palm Desert</t>
  </si>
  <si>
    <t>cybran1624@gmail.com</t>
  </si>
  <si>
    <t>Simon Jam</t>
  </si>
  <si>
    <t>BlueSkyAdministrations@protonmail.com</t>
  </si>
  <si>
    <t>FAITH</t>
  </si>
  <si>
    <t>GRIMES</t>
  </si>
  <si>
    <t>FAITH GRIMES</t>
  </si>
  <si>
    <t>bennettconnelly@gmail.com</t>
  </si>
  <si>
    <t>Connelly</t>
  </si>
  <si>
    <t>Bennett Connelly</t>
  </si>
  <si>
    <t>jessieswifey1488@gmail.com</t>
  </si>
  <si>
    <t>notfromthisworld2002@gmail.com</t>
  </si>
  <si>
    <t>Stevenray</t>
  </si>
  <si>
    <t>Stevenray Hubbard</t>
  </si>
  <si>
    <t>475 Lebanon road</t>
  </si>
  <si>
    <t>nikolerbeecher@gmail.com</t>
  </si>
  <si>
    <t>Nikolerbeecher@gmail.com</t>
  </si>
  <si>
    <t>Nikole Beecher</t>
  </si>
  <si>
    <t>800 S. 15th St.</t>
  </si>
  <si>
    <t>christyjoanne@charter.net</t>
  </si>
  <si>
    <t>Christy Reed</t>
  </si>
  <si>
    <t>822 coosa county road 78</t>
  </si>
  <si>
    <t>sylacauga</t>
  </si>
  <si>
    <t>horseridergal16@yahoo.com</t>
  </si>
  <si>
    <t>Jolie</t>
  </si>
  <si>
    <t>La Frenier</t>
  </si>
  <si>
    <t>Jolie La Frenier</t>
  </si>
  <si>
    <t>400 China Rose Ct</t>
  </si>
  <si>
    <t>dclade7@gmail.com</t>
  </si>
  <si>
    <t>Danielle Clade</t>
  </si>
  <si>
    <t>smpullen@gmail.com</t>
  </si>
  <si>
    <t>lydiapullen0@gmail.com</t>
  </si>
  <si>
    <t>Pullen</t>
  </si>
  <si>
    <t>Lydia Pullen</t>
  </si>
  <si>
    <t>2000 Old Crawford Road</t>
  </si>
  <si>
    <t>Wake Forest</t>
  </si>
  <si>
    <t>maliaschumie@gmail.com</t>
  </si>
  <si>
    <t>Malia</t>
  </si>
  <si>
    <t>Malia Schumacher</t>
  </si>
  <si>
    <t>yoyomont3@icloud.com</t>
  </si>
  <si>
    <t>Laurel Montague</t>
  </si>
  <si>
    <t>deerbus00@bellsouth.net</t>
  </si>
  <si>
    <t>Pourchot</t>
  </si>
  <si>
    <t>Jon Pourchot</t>
  </si>
  <si>
    <t>718 Poplar Drive</t>
  </si>
  <si>
    <t>deeann@toddmail.us</t>
  </si>
  <si>
    <t>gavin@toddmail.us</t>
  </si>
  <si>
    <t>Gavin Todd</t>
  </si>
  <si>
    <t>811 Buck Point Street</t>
  </si>
  <si>
    <t>myagramm@gmail.com</t>
  </si>
  <si>
    <t>Mya</t>
  </si>
  <si>
    <t>Gramm</t>
  </si>
  <si>
    <t>Mya Gramm</t>
  </si>
  <si>
    <t>18020 E 2900 North Rd</t>
  </si>
  <si>
    <t>davidnix88@gmail.com</t>
  </si>
  <si>
    <t>Evanix14@icloud.com</t>
  </si>
  <si>
    <t>Nix</t>
  </si>
  <si>
    <t>Eva Nix</t>
  </si>
  <si>
    <t>523 Trillium Way</t>
  </si>
  <si>
    <t>pmr001@gmail.com</t>
  </si>
  <si>
    <t>megi.read@gmail.com</t>
  </si>
  <si>
    <t>Megan Read</t>
  </si>
  <si>
    <t>19297 62nd Ave. N.</t>
  </si>
  <si>
    <t>emily.sinesa@gmail.com</t>
  </si>
  <si>
    <t>Emily.sinesa@gmail.com</t>
  </si>
  <si>
    <t>Sines</t>
  </si>
  <si>
    <t>Emily Sines</t>
  </si>
  <si>
    <t>6485 Steck Cove</t>
  </si>
  <si>
    <t>jenjacobsen89@gmail.com</t>
  </si>
  <si>
    <t>olivia@ontherock.com</t>
  </si>
  <si>
    <t>Jacobsen</t>
  </si>
  <si>
    <t>Olivia Jacobsen</t>
  </si>
  <si>
    <t>630 Carved Terrace</t>
  </si>
  <si>
    <t>Lilychanglee7@gmail.com</t>
  </si>
  <si>
    <t>Nathanael Lee</t>
  </si>
  <si>
    <t>benjbrandon01@gmail.com</t>
  </si>
  <si>
    <t>Benjamin Brandon</t>
  </si>
  <si>
    <t>blaktricia@hotmail.com</t>
  </si>
  <si>
    <t>kwasgatt@hotmail.com</t>
  </si>
  <si>
    <t>Katrice</t>
  </si>
  <si>
    <t>Wasgatt</t>
  </si>
  <si>
    <t>Katrice Wasgatt</t>
  </si>
  <si>
    <t>812 Devon Dr</t>
  </si>
  <si>
    <t>kiddfamily101@gmail.com</t>
  </si>
  <si>
    <t>mmkidd01@gmail.com</t>
  </si>
  <si>
    <t>Kidd</t>
  </si>
  <si>
    <t>Madeline Kidd</t>
  </si>
  <si>
    <t>7511 Elk Creek Road</t>
  </si>
  <si>
    <t>Tpthor4@gmail.com</t>
  </si>
  <si>
    <t>phillipstyre@rocketmail.com</t>
  </si>
  <si>
    <t>Tyre</t>
  </si>
  <si>
    <t>Tyre Phillips</t>
  </si>
  <si>
    <t>438 Beverly Hill Blvd.</t>
  </si>
  <si>
    <t>astene97@yahoo.com</t>
  </si>
  <si>
    <t>Stene</t>
  </si>
  <si>
    <t>Andrew Stene</t>
  </si>
  <si>
    <t>2355 Cline Rs.</t>
  </si>
  <si>
    <t>billsteneland@gmail.com</t>
  </si>
  <si>
    <t>Alex Stene</t>
  </si>
  <si>
    <t>2355 Cline Rd.</t>
  </si>
  <si>
    <t>riyayadon@gmail.com</t>
  </si>
  <si>
    <t>cdyadon731@gmail.com</t>
  </si>
  <si>
    <t>755 N Arthur Avenue</t>
  </si>
  <si>
    <t>croberts88@bellsouth.net</t>
  </si>
  <si>
    <t>Lawson</t>
  </si>
  <si>
    <t>Lawson Roberts</t>
  </si>
  <si>
    <t>ransombeard@gmail.com</t>
  </si>
  <si>
    <t>Beard</t>
  </si>
  <si>
    <t>Ransom Beard</t>
  </si>
  <si>
    <t>7165 E. Hopewell Road</t>
  </si>
  <si>
    <t>timalgona@gmail.com</t>
  </si>
  <si>
    <t>reccampbell75@gmail.com</t>
  </si>
  <si>
    <t>Brook Campbell</t>
  </si>
  <si>
    <t>4315 Dempster Ave</t>
  </si>
  <si>
    <t>malinda8cookies@yahoo.com</t>
  </si>
  <si>
    <t>alathia.markwell@gmail.com</t>
  </si>
  <si>
    <t>Alathia</t>
  </si>
  <si>
    <t>Markwell</t>
  </si>
  <si>
    <t>Alathia Markwell</t>
  </si>
  <si>
    <t>PO  Box 702</t>
  </si>
  <si>
    <t>4nelsons@q.com</t>
  </si>
  <si>
    <t>go4goldusa@gmail.com</t>
  </si>
  <si>
    <t>Cassidy Nelson</t>
  </si>
  <si>
    <t>4857 Tarcoola Lane</t>
  </si>
  <si>
    <t>samhsin29@gmail.com</t>
  </si>
  <si>
    <t>Sam Hsin</t>
  </si>
  <si>
    <t>10035 S. Brisbane Ln</t>
  </si>
  <si>
    <t>klw2020@yahoo.com</t>
  </si>
  <si>
    <t>Kathryn White</t>
  </si>
  <si>
    <t>414 Saddle Tree Trail</t>
  </si>
  <si>
    <t>Coppell</t>
  </si>
  <si>
    <t>dagriffin01@gmail.com</t>
  </si>
  <si>
    <t>Daniel Griffin</t>
  </si>
  <si>
    <t>aktangfamily@gmail.com</t>
  </si>
  <si>
    <t>ethanct86@gmail.com</t>
  </si>
  <si>
    <t>Tang</t>
  </si>
  <si>
    <t>Ethan Tang</t>
  </si>
  <si>
    <t>8 Long Meadow Rd</t>
  </si>
  <si>
    <t>Westford</t>
  </si>
  <si>
    <t>iannoelle@yahoo.com</t>
  </si>
  <si>
    <t>edwardmcd02@gmail.com</t>
  </si>
  <si>
    <t>Edward McDonald</t>
  </si>
  <si>
    <t>3579 Louis Ct</t>
  </si>
  <si>
    <t>cessnavet@gmail.com</t>
  </si>
  <si>
    <t>hebhakta@gmail.com</t>
  </si>
  <si>
    <t>Bhakta</t>
  </si>
  <si>
    <t>Hannah Bhakta</t>
  </si>
  <si>
    <t>8401 Swathmore Ct</t>
  </si>
  <si>
    <t>cr93@verizon.net</t>
  </si>
  <si>
    <t>faithful0012@icloud.com</t>
  </si>
  <si>
    <t>Nienstadt</t>
  </si>
  <si>
    <t>Faith Nienstadt</t>
  </si>
  <si>
    <t>1924 Glen Hill Drive</t>
  </si>
  <si>
    <t>farmschoolmom@gmail.com</t>
  </si>
  <si>
    <t>kbarkid01@gmail.com</t>
  </si>
  <si>
    <t>Parker Owen</t>
  </si>
  <si>
    <t>1254 Highway 44</t>
  </si>
  <si>
    <t>Guthrie Center</t>
  </si>
  <si>
    <t>hornetwin1@gmail.com</t>
  </si>
  <si>
    <t>Adren</t>
  </si>
  <si>
    <t>Pearce</t>
  </si>
  <si>
    <t>Adren Pearce</t>
  </si>
  <si>
    <t>261 Jim Bob Scruggs</t>
  </si>
  <si>
    <t>celeste1020@aol.com</t>
  </si>
  <si>
    <t>ijlove909@gmail.com</t>
  </si>
  <si>
    <t>Isabella Johnson</t>
  </si>
  <si>
    <t>909 Sloan St</t>
  </si>
  <si>
    <t>hornetscaleb3@gmail.com</t>
  </si>
  <si>
    <t>Caleb Pearce</t>
  </si>
  <si>
    <t>261 Jim Bob Scruggs Rd</t>
  </si>
  <si>
    <t>macycoach@gmail.com</t>
  </si>
  <si>
    <t>Coccimiglio</t>
  </si>
  <si>
    <t>Macy Coccimiglio</t>
  </si>
  <si>
    <t>21833 N 120th Ave</t>
  </si>
  <si>
    <t>Sun City</t>
  </si>
  <si>
    <t>maryannoda@gmail.com</t>
  </si>
  <si>
    <t>Memeoda@gmail.com</t>
  </si>
  <si>
    <t>Oda</t>
  </si>
  <si>
    <t>Meredith Oda</t>
  </si>
  <si>
    <t>4866 E Calle Chueca</t>
  </si>
  <si>
    <t>Charlie.skinner2019@gmail.com</t>
  </si>
  <si>
    <t>Charlie.Skinner2019@gmail.com</t>
  </si>
  <si>
    <t>Charles Skinner</t>
  </si>
  <si>
    <t>8210 Brentview Court</t>
  </si>
  <si>
    <t>mountainrain@psmail.net</t>
  </si>
  <si>
    <t>Sarah Clark</t>
  </si>
  <si>
    <t>jim@convergeheartland.org</t>
  </si>
  <si>
    <t>caidencapaldo1@gmail.com</t>
  </si>
  <si>
    <t>Caiden</t>
  </si>
  <si>
    <t>Capaldo</t>
  </si>
  <si>
    <t>Caiden Capaldo</t>
  </si>
  <si>
    <t>2507 W. Nicole Drive</t>
  </si>
  <si>
    <t>kinseycapaldo@gmail.com</t>
  </si>
  <si>
    <t>Kinsey Capaldo</t>
  </si>
  <si>
    <t>gregpowell1277@gmail.com</t>
  </si>
  <si>
    <t>Josiah Powell</t>
  </si>
  <si>
    <t>fastbluewater2@yahoo.com</t>
  </si>
  <si>
    <t>fastbluewater3@yahoo.com</t>
  </si>
  <si>
    <t>Anna Calhoon</t>
  </si>
  <si>
    <t>12055 Mountcrest Rd.</t>
  </si>
  <si>
    <t>sgoldstrand@msn.com</t>
  </si>
  <si>
    <t>Annagoldstrand@gmail.com</t>
  </si>
  <si>
    <t>Goldstrand</t>
  </si>
  <si>
    <t>Anna Goldstrand</t>
  </si>
  <si>
    <t>3734 Pete Miller Ave N</t>
  </si>
  <si>
    <t>Ingridgoldstrand@gmail.com</t>
  </si>
  <si>
    <t>Ingrid Goldstrand</t>
  </si>
  <si>
    <t>grace2anne@yahoo.com</t>
  </si>
  <si>
    <t>Grace Ford</t>
  </si>
  <si>
    <t>4440 S. Ridgecrest Dr.</t>
  </si>
  <si>
    <t>Elijah16@outlook.com</t>
  </si>
  <si>
    <t>Elijah Hollenkamp</t>
  </si>
  <si>
    <t>8203 Gleason Rd</t>
  </si>
  <si>
    <t>annas1226@icloud.com</t>
  </si>
  <si>
    <t>Savanna Smucker</t>
  </si>
  <si>
    <t>jodicrowellpj@gmail.com</t>
  </si>
  <si>
    <t>Abbykatecrowell@clps.info</t>
  </si>
  <si>
    <t>Abby Kate</t>
  </si>
  <si>
    <t>Crowell</t>
  </si>
  <si>
    <t>Abby Kate Crowell</t>
  </si>
  <si>
    <t>6001 Wiser Ave</t>
  </si>
  <si>
    <t>rkrrsr@gmail.com</t>
  </si>
  <si>
    <t>resmith287@gmail.com</t>
  </si>
  <si>
    <t>182 W. Poplar Ave.</t>
  </si>
  <si>
    <t>gentryfamily25@msn.com</t>
  </si>
  <si>
    <t>klivg@outlook.com</t>
  </si>
  <si>
    <t>Keara</t>
  </si>
  <si>
    <t>Gentry</t>
  </si>
  <si>
    <t>Keara Gentry</t>
  </si>
  <si>
    <t>8659 E Nora St</t>
  </si>
  <si>
    <t>Mklefsaas@gmail.co</t>
  </si>
  <si>
    <t>megkc28@gmail.com</t>
  </si>
  <si>
    <t>Megan Costello</t>
  </si>
  <si>
    <t>4339 Fairview Rd.</t>
  </si>
  <si>
    <t>smsjoy2@gmail.com</t>
  </si>
  <si>
    <t>thepondhouse@gmail.com</t>
  </si>
  <si>
    <t>romemacy@icloud.com</t>
  </si>
  <si>
    <t>Rome Williams</t>
  </si>
  <si>
    <t>5863 Seamount Dr</t>
  </si>
  <si>
    <t>bendflook@gmail.com</t>
  </si>
  <si>
    <t>Flook</t>
  </si>
  <si>
    <t>Benjamin Flook</t>
  </si>
  <si>
    <t>po box 526</t>
  </si>
  <si>
    <t>jahartco@yahoo.com</t>
  </si>
  <si>
    <t>Brycen</t>
  </si>
  <si>
    <t>Heisey</t>
  </si>
  <si>
    <t>Brycen Heisey</t>
  </si>
  <si>
    <t>keleighbee@gmail.com</t>
  </si>
  <si>
    <t>aebworldmissions@gmail.com</t>
  </si>
  <si>
    <t>Beedle</t>
  </si>
  <si>
    <t>Anna Beedle</t>
  </si>
  <si>
    <t>416 Rainbow Dr.</t>
  </si>
  <si>
    <t>Lakehills</t>
  </si>
  <si>
    <t>texascurlygirly@gmail.com</t>
  </si>
  <si>
    <t>Ruth Beedle</t>
  </si>
  <si>
    <t>miablanks@gmail.com</t>
  </si>
  <si>
    <t>Marian</t>
  </si>
  <si>
    <t>Blanks</t>
  </si>
  <si>
    <t>Marian Blanks</t>
  </si>
  <si>
    <t>18353 Ward Creek Road</t>
  </si>
  <si>
    <t>briarwag.21@gmail.com</t>
  </si>
  <si>
    <t>Briar</t>
  </si>
  <si>
    <t>Briar Wagner</t>
  </si>
  <si>
    <t>hunter.campbell056@gmail.com</t>
  </si>
  <si>
    <t>Hunter Campbell</t>
  </si>
  <si>
    <t>17764 Kiser Creek Rd.</t>
  </si>
  <si>
    <t>nevaehmartinez03@gmail.com</t>
  </si>
  <si>
    <t>Nevaeh</t>
  </si>
  <si>
    <t>Nevaeh Martinez</t>
  </si>
  <si>
    <t>8530 Ellens Way</t>
  </si>
  <si>
    <t>akwilliams400@gmail.com</t>
  </si>
  <si>
    <t>Abigail Williams</t>
  </si>
  <si>
    <t>24274 Mesa View Ln</t>
  </si>
  <si>
    <t>mcjordan99.jm@gmail.com</t>
  </si>
  <si>
    <t>Jordan McMillan</t>
  </si>
  <si>
    <t>3156 Kodi elizabeth st.</t>
  </si>
  <si>
    <t>msy0821@yahoo.com</t>
  </si>
  <si>
    <t>laura.yocum00@gmail.com</t>
  </si>
  <si>
    <t>Yocum</t>
  </si>
  <si>
    <t>Laura Yocum</t>
  </si>
  <si>
    <t>1201 S Maple St</t>
  </si>
  <si>
    <t>abigailfcushman@yahoo.com</t>
  </si>
  <si>
    <t>Abigail Cushman</t>
  </si>
  <si>
    <t>mrswhatisit@gmail.com</t>
  </si>
  <si>
    <t>mannamantis@gmail.com</t>
  </si>
  <si>
    <t>Manna</t>
  </si>
  <si>
    <t>Christina Manna</t>
  </si>
  <si>
    <t>3326 S 91st St</t>
  </si>
  <si>
    <t>akinman00@gmail.com</t>
  </si>
  <si>
    <t>Anna Inman</t>
  </si>
  <si>
    <t>eafam@msn.com</t>
  </si>
  <si>
    <t>adkisonjosh19@gmail.com</t>
  </si>
  <si>
    <t>Adkison</t>
  </si>
  <si>
    <t>Joshua Adkison</t>
  </si>
  <si>
    <t>4393 Iowa St..</t>
  </si>
  <si>
    <t>s4w2000@gmail.com</t>
  </si>
  <si>
    <t>Seth Womble</t>
  </si>
  <si>
    <t>7112 Rowland Avew</t>
  </si>
  <si>
    <t>ndevans2@netscape.net</t>
  </si>
  <si>
    <t>Elijah1029@gmail.com</t>
  </si>
  <si>
    <t>Elijah Evans</t>
  </si>
  <si>
    <t>309 N Washington Ave</t>
  </si>
  <si>
    <t>evans.danita@icloud.com</t>
  </si>
  <si>
    <t>Gracyann</t>
  </si>
  <si>
    <t>Gracyann Evans</t>
  </si>
  <si>
    <t>Smok8886@dayspringchristian.com</t>
  </si>
  <si>
    <t>Smoker</t>
  </si>
  <si>
    <t>Mikayla Smoker</t>
  </si>
  <si>
    <t>202 Lenover Rd</t>
  </si>
  <si>
    <t>Atglen</t>
  </si>
  <si>
    <t>janmallo@frontier.com</t>
  </si>
  <si>
    <t>jbellemallo@gmail.com</t>
  </si>
  <si>
    <t>Mallo</t>
  </si>
  <si>
    <t>Jaclyn Mallo</t>
  </si>
  <si>
    <t>11237 Riverside Drive</t>
  </si>
  <si>
    <t>White Pigeon</t>
  </si>
  <si>
    <t>davisglen00@yahoo.com</t>
  </si>
  <si>
    <t>Davis Ellis</t>
  </si>
  <si>
    <t>1004 Chase Lane</t>
  </si>
  <si>
    <t>brianjessicaswan@msn.com</t>
  </si>
  <si>
    <t>akcalebisrael@gmail.com</t>
  </si>
  <si>
    <t>Caleb Swan</t>
  </si>
  <si>
    <t>5015 E 98th Ave</t>
  </si>
  <si>
    <t>breathingdust27@gmail.com</t>
  </si>
  <si>
    <t>1432 E. Encinas Ave</t>
  </si>
  <si>
    <t>esser.jordy@gmail.com</t>
  </si>
  <si>
    <t>Jordyn Esser</t>
  </si>
  <si>
    <t>wmscottmcc@hotmail.com</t>
  </si>
  <si>
    <t>willmccullough13@gmail.com</t>
  </si>
  <si>
    <t>Will McCullough</t>
  </si>
  <si>
    <t>7428 Fox Hollow Ct</t>
  </si>
  <si>
    <t>7hollands@gmail.com</t>
  </si>
  <si>
    <t>105Homeruns@gmail.com</t>
  </si>
  <si>
    <t>Jared Holland</t>
  </si>
  <si>
    <t>3535 Hollycrest Drive</t>
  </si>
  <si>
    <t>marshall@penntext.com</t>
  </si>
  <si>
    <t>nate@pennwoodpictures.com</t>
  </si>
  <si>
    <t>Lieberman</t>
  </si>
  <si>
    <t>Nathaniel Lieberman</t>
  </si>
  <si>
    <t>Downing Ct.</t>
  </si>
  <si>
    <t>Exton</t>
  </si>
  <si>
    <t>Andrewtd0901@gmail.com</t>
  </si>
  <si>
    <t>Andrew Dixon</t>
  </si>
  <si>
    <t>20085 Mill Creek Lane</t>
  </si>
  <si>
    <t>carinalieberman@gmail.com</t>
  </si>
  <si>
    <t>Carina</t>
  </si>
  <si>
    <t>Carina Lieberman</t>
  </si>
  <si>
    <t>520 Downing Ct.</t>
  </si>
  <si>
    <t>ezekieltheule@gmail.com</t>
  </si>
  <si>
    <t>Ezekiel Theule</t>
  </si>
  <si>
    <t>Corralitos Road</t>
  </si>
  <si>
    <t>kostermr@hotmail.com</t>
  </si>
  <si>
    <t>gokdgo@outlook.com</t>
  </si>
  <si>
    <t>Katherine Koster</t>
  </si>
  <si>
    <t>4060 Rains County Road 1410</t>
  </si>
  <si>
    <t>flyingfortressww2@gmail.com</t>
  </si>
  <si>
    <t>Matthew Koster</t>
  </si>
  <si>
    <t>whr524@gmail.com</t>
  </si>
  <si>
    <t>William Read</t>
  </si>
  <si>
    <t>julestheule@gmail.com</t>
  </si>
  <si>
    <t>Julianne Theule</t>
  </si>
  <si>
    <t>sherlygautama@gmail.com</t>
  </si>
  <si>
    <t>owentheos@gmail.com</t>
  </si>
  <si>
    <t>Theos</t>
  </si>
  <si>
    <t>Jason Theos</t>
  </si>
  <si>
    <t>Jl Sulawesi 181</t>
  </si>
  <si>
    <t>Makassar</t>
  </si>
  <si>
    <t>Sulsel</t>
  </si>
  <si>
    <t>Buildingcolorado@icloud.com</t>
  </si>
  <si>
    <t>katietriplet1xd@gmail.com</t>
  </si>
  <si>
    <t>Katelyn Anderson</t>
  </si>
  <si>
    <t>buildingcolorado@me.com</t>
  </si>
  <si>
    <t>noahtriplet2@gmail.com</t>
  </si>
  <si>
    <t>Noah Anderson</t>
  </si>
  <si>
    <t>frakers.westpokot@gmail.com</t>
  </si>
  <si>
    <t>Fraker</t>
  </si>
  <si>
    <t>David Fraker</t>
  </si>
  <si>
    <t>7841 W Sun Ridge Cir</t>
  </si>
  <si>
    <t>Taylin</t>
  </si>
  <si>
    <t>Taylin Fraker</t>
  </si>
  <si>
    <t>todd@flashsellshomes.com</t>
  </si>
  <si>
    <t>clairetriplet3@gmail.com</t>
  </si>
  <si>
    <t>Claire Anderson</t>
  </si>
  <si>
    <t>890 Dolan Drive</t>
  </si>
  <si>
    <t>lildflower@gmail.com</t>
  </si>
  <si>
    <t>Lily Ronda</t>
  </si>
  <si>
    <t>605 Del Sol Street</t>
  </si>
  <si>
    <t>annieschmidtslo@gmail.com</t>
  </si>
  <si>
    <t>ashley.r.danner@gmail.com</t>
  </si>
  <si>
    <t>Danner</t>
  </si>
  <si>
    <t>Ashley Danner</t>
  </si>
  <si>
    <t>6063 Joan Pl</t>
  </si>
  <si>
    <t>safebyfaith23@gmail.com</t>
  </si>
  <si>
    <t>Griswold</t>
  </si>
  <si>
    <t>Andrew Griswold</t>
  </si>
  <si>
    <t>38857 Cherrystone Ave.</t>
  </si>
  <si>
    <t>Cherry Valley</t>
  </si>
  <si>
    <t>livthalia@gmail.com</t>
  </si>
  <si>
    <t>Livthalia</t>
  </si>
  <si>
    <t>Livthalia Theos</t>
  </si>
  <si>
    <t>robuchida@gmail.com</t>
  </si>
  <si>
    <t>collinuchida@gmail.com</t>
  </si>
  <si>
    <t>Uchida</t>
  </si>
  <si>
    <t>Collin Uchida</t>
  </si>
  <si>
    <t>1896 Stanley Blvd</t>
  </si>
  <si>
    <t>jozmader@gmail.com</t>
  </si>
  <si>
    <t>Josephine Mader</t>
  </si>
  <si>
    <t>2220 Gmeiner Road</t>
  </si>
  <si>
    <t>corinneuchida@gmail.com</t>
  </si>
  <si>
    <t>Corinne Uchida</t>
  </si>
  <si>
    <t>Beccanjarrett@gmail.com</t>
  </si>
  <si>
    <t>Rebecca Jarrett</t>
  </si>
  <si>
    <t>2581 Integrity Ct</t>
  </si>
  <si>
    <t>Reepicheep01@outlook.com</t>
  </si>
  <si>
    <t>Doan</t>
  </si>
  <si>
    <t>Benjamin Doan</t>
  </si>
  <si>
    <t>5020 Haystack Hill Rd</t>
  </si>
  <si>
    <t>chloepeifer@gmail.com</t>
  </si>
  <si>
    <t>Peifer</t>
  </si>
  <si>
    <t>Chloe Peifer</t>
  </si>
  <si>
    <t>melizabethw7@gmail.com</t>
  </si>
  <si>
    <t>Mary Westwood</t>
  </si>
  <si>
    <t>2606 WHittier Place</t>
  </si>
  <si>
    <t>rnw1603@sbcglobal.net</t>
  </si>
  <si>
    <t>newsomkirk@outlook.com</t>
  </si>
  <si>
    <t>Kirklynd</t>
  </si>
  <si>
    <t>Newsom</t>
  </si>
  <si>
    <t>Kirklynd Newsom</t>
  </si>
  <si>
    <t>1911 Hughes</t>
  </si>
  <si>
    <t>witherscarol@gmail.com</t>
  </si>
  <si>
    <t>tyler200112@gmail.com</t>
  </si>
  <si>
    <t>Tyler Withers</t>
  </si>
  <si>
    <t>507 N. 10TH STREET</t>
  </si>
  <si>
    <t>LIVINGSTON</t>
  </si>
  <si>
    <t>geneboom@charter.net</t>
  </si>
  <si>
    <t>Reis</t>
  </si>
  <si>
    <t>Hogoboom</t>
  </si>
  <si>
    <t>Reis Hogoboom</t>
  </si>
  <si>
    <t>3016 Springfield Rd</t>
  </si>
  <si>
    <t>Cross Plains</t>
  </si>
  <si>
    <t>swimpee@gmail.com</t>
  </si>
  <si>
    <t>meghan.kenzie@gmail.com</t>
  </si>
  <si>
    <t>Wimpee</t>
  </si>
  <si>
    <t>Meghan Wimpee</t>
  </si>
  <si>
    <t>101 Lavender Place</t>
  </si>
  <si>
    <t>wfeezel@icloud.com</t>
  </si>
  <si>
    <t>Wilson Feezel</t>
  </si>
  <si>
    <t>halizo@comcast.net</t>
  </si>
  <si>
    <t>Rambousek</t>
  </si>
  <si>
    <t>Christian Rambousek</t>
  </si>
  <si>
    <t>3704 T Circle</t>
  </si>
  <si>
    <t>Washougal</t>
  </si>
  <si>
    <t>stefers75@yahoo.com</t>
  </si>
  <si>
    <t>ltmaughon@gmail.com</t>
  </si>
  <si>
    <t>Maughon</t>
  </si>
  <si>
    <t>Landon Maughon</t>
  </si>
  <si>
    <t>7001 Abington Court</t>
  </si>
  <si>
    <t>kent.hollis@gmail.com</t>
  </si>
  <si>
    <t>nate.hollis1@gmail.com</t>
  </si>
  <si>
    <t>Nathan Hollis</t>
  </si>
  <si>
    <t>2317 Mulberry Ct</t>
  </si>
  <si>
    <t>Champaign</t>
  </si>
  <si>
    <t>e_bourg@aol.com</t>
  </si>
  <si>
    <t>Esther Bourg</t>
  </si>
  <si>
    <t>26205 W Arbor Lane</t>
  </si>
  <si>
    <t>gadawg1989@yahoo.com</t>
  </si>
  <si>
    <t>bpowell3311@gmail.com</t>
  </si>
  <si>
    <t>William Powell</t>
  </si>
  <si>
    <t>3311 Ansley Ct</t>
  </si>
  <si>
    <t>lalasse99@gmail.com</t>
  </si>
  <si>
    <t>josh.lasse@gmail.com</t>
  </si>
  <si>
    <t>Lasse</t>
  </si>
  <si>
    <t>Joshua Lasse</t>
  </si>
  <si>
    <t>PO Box 8293</t>
  </si>
  <si>
    <t>kenzie.meghan@gmail.com</t>
  </si>
  <si>
    <t>Morgan Wimpee</t>
  </si>
  <si>
    <t>ronmossberg@mchsi.com</t>
  </si>
  <si>
    <t>sethmossberg@mchsi.com</t>
  </si>
  <si>
    <t>Mossberg</t>
  </si>
  <si>
    <t>Seth Mossberg</t>
  </si>
  <si>
    <t>91363 Moss Ln</t>
  </si>
  <si>
    <t>Sturgeon Lake</t>
  </si>
  <si>
    <t>servingmyshepherd@gmail.com</t>
  </si>
  <si>
    <t>eshinabarger@cedarville.edu</t>
  </si>
  <si>
    <t>Elizabeth Shinabarger</t>
  </si>
  <si>
    <t>9130 Hillview Drive</t>
  </si>
  <si>
    <t>dssburkyger@hotmail.com</t>
  </si>
  <si>
    <t>zackburky701@gmail.com</t>
  </si>
  <si>
    <t>Burkhardt</t>
  </si>
  <si>
    <t>Zachary Burkhardt</t>
  </si>
  <si>
    <t>4584 Aylesbury Ct.</t>
  </si>
  <si>
    <t>mandmgilmore@msn.com</t>
  </si>
  <si>
    <t>vannangilmore@icloud.com</t>
  </si>
  <si>
    <t>Gilmore</t>
  </si>
  <si>
    <t>Savannah Gilmore</t>
  </si>
  <si>
    <t>1406 Channel Rd</t>
  </si>
  <si>
    <t>juduke@ccagranbury.com</t>
  </si>
  <si>
    <t>Judah Duke</t>
  </si>
  <si>
    <t>1901 Eastview Terrace</t>
  </si>
  <si>
    <t>repink@activebox.net</t>
  </si>
  <si>
    <t>kapinkston1@gmail.com</t>
  </si>
  <si>
    <t>Pinkston</t>
  </si>
  <si>
    <t>Kathryn Pinkston</t>
  </si>
  <si>
    <t>178 Valley Court Blk A Flat 2</t>
  </si>
  <si>
    <t>Triq Il-Wied</t>
  </si>
  <si>
    <t>Mosta</t>
  </si>
  <si>
    <t>MST 2078</t>
  </si>
  <si>
    <t>ste.joy@cox.net</t>
  </si>
  <si>
    <t>Caroline.ra.2001@gmail.com</t>
  </si>
  <si>
    <t>Abels</t>
  </si>
  <si>
    <t>Caroline Abels</t>
  </si>
  <si>
    <t>5027 S. 174th Ave.</t>
  </si>
  <si>
    <t>jgdonttreadonme@icloud.com</t>
  </si>
  <si>
    <t>Jenna Gilmore</t>
  </si>
  <si>
    <t>dktgrace@mac.com</t>
  </si>
  <si>
    <t>tlingrace@icloud.com</t>
  </si>
  <si>
    <t>Timothy Sexton</t>
  </si>
  <si>
    <t>2157 Emery Lane</t>
  </si>
  <si>
    <t>mbufkin@smu.edu</t>
  </si>
  <si>
    <t>thebufkins@sbcglobal.net</t>
  </si>
  <si>
    <t>Bufkin</t>
  </si>
  <si>
    <t>Charles Bufkin</t>
  </si>
  <si>
    <t>4433 Amherst Avenue</t>
  </si>
  <si>
    <t>stoddjohnson@gmail.com</t>
  </si>
  <si>
    <t>parkerjohnson325@gmail.com</t>
  </si>
  <si>
    <t>Parker Johnson</t>
  </si>
  <si>
    <t>Robina@bex.net</t>
  </si>
  <si>
    <t>Keta12342@gmail.com</t>
  </si>
  <si>
    <t>Grunden</t>
  </si>
  <si>
    <t>Hannah Grunden</t>
  </si>
  <si>
    <t>1225 South St</t>
  </si>
  <si>
    <t>icedragonartist@gmail.com</t>
  </si>
  <si>
    <t>Heather Grunden</t>
  </si>
  <si>
    <t>phyllispuetz@gmail.com</t>
  </si>
  <si>
    <t>katebethroth@gmail.com</t>
  </si>
  <si>
    <t>Kate Roth</t>
  </si>
  <si>
    <t>P. O. Box 288</t>
  </si>
  <si>
    <t>baleyann01@gmail.com</t>
  </si>
  <si>
    <t>Baleyann01@gmail.com</t>
  </si>
  <si>
    <t>Baley</t>
  </si>
  <si>
    <t>Baley Field</t>
  </si>
  <si>
    <t>1142 Dudley Rd</t>
  </si>
  <si>
    <t>carolinegbest@gmail.com</t>
  </si>
  <si>
    <t>carolilnegbest@gmail.com</t>
  </si>
  <si>
    <t>Caroline Best</t>
  </si>
  <si>
    <t>4505 Preserve Place</t>
  </si>
  <si>
    <t>7302 East Wilderness Trail</t>
  </si>
  <si>
    <t>jim@sawdustdreams.com</t>
  </si>
  <si>
    <t>kape.matthew@yahoo.com</t>
  </si>
  <si>
    <t>Kape</t>
  </si>
  <si>
    <t>Matthew Kape</t>
  </si>
  <si>
    <t>480 Walnut Grove Rd</t>
  </si>
  <si>
    <t>daveskattum@gmail.com</t>
  </si>
  <si>
    <t>Jordanspam62@gmail.com</t>
  </si>
  <si>
    <t>Skattum</t>
  </si>
  <si>
    <t>Jordan Skattum</t>
  </si>
  <si>
    <t>PO Box 833</t>
  </si>
  <si>
    <t>2jseas@gmail.com</t>
  </si>
  <si>
    <t>jadencates2019@gmail.com</t>
  </si>
  <si>
    <t>Jaden</t>
  </si>
  <si>
    <t>Jaden Cates</t>
  </si>
  <si>
    <t>8826 Jennings Road</t>
  </si>
  <si>
    <t>bill.olinger.x@gmail.com</t>
  </si>
  <si>
    <t>stopmotionkid7@gmail.com</t>
  </si>
  <si>
    <t>O'Linger</t>
  </si>
  <si>
    <t>Liam O'Linger</t>
  </si>
  <si>
    <t>4555 Crestview Drive</t>
  </si>
  <si>
    <t>Sylvania</t>
  </si>
  <si>
    <t>fitchsc@centurylink.net</t>
  </si>
  <si>
    <t>Stephen Fitch</t>
  </si>
  <si>
    <t>4614 Pascal Court</t>
  </si>
  <si>
    <t>lauren070501@yahoo.com</t>
  </si>
  <si>
    <t>laurrenpalmerr@gmail.com</t>
  </si>
  <si>
    <t>Lauren Palmer</t>
  </si>
  <si>
    <t>5325 Los Monteros</t>
  </si>
  <si>
    <t>nikolai.mom@gmail.com</t>
  </si>
  <si>
    <t>benjaminjnikolai@gmail.com</t>
  </si>
  <si>
    <t>Nikolai</t>
  </si>
  <si>
    <t>Benjamin Nikolai</t>
  </si>
  <si>
    <t>28210 Manhattan</t>
  </si>
  <si>
    <t>Saint Clair Shores</t>
  </si>
  <si>
    <t>tmsharon@yahoo.com</t>
  </si>
  <si>
    <t>Kayleesharon15@gmail.com</t>
  </si>
  <si>
    <t>Sharon</t>
  </si>
  <si>
    <t>Kaylee Sharon</t>
  </si>
  <si>
    <t>18023 E. Belleview Pl.</t>
  </si>
  <si>
    <t>wesleybennion@gmail.com</t>
  </si>
  <si>
    <t>allybennion@gmail.com</t>
  </si>
  <si>
    <t>Bennion</t>
  </si>
  <si>
    <t>Ally Bennion</t>
  </si>
  <si>
    <t>108 Rainbow Dr</t>
  </si>
  <si>
    <t>#801</t>
  </si>
  <si>
    <t>Shelby Bennion</t>
  </si>
  <si>
    <t>108 Rainbow Dr.</t>
  </si>
  <si>
    <t>jenniferruthorr@gmail.com</t>
  </si>
  <si>
    <t>rachel.orr@eagles.oc.edu</t>
  </si>
  <si>
    <t>Rachel Orr</t>
  </si>
  <si>
    <t>3832 Deer Valley Dr.</t>
  </si>
  <si>
    <t>ladycarliss@rockymtnoptions.com</t>
  </si>
  <si>
    <t>7470 Hwy 73</t>
  </si>
  <si>
    <t>darrow0612@sbcglobal.net</t>
  </si>
  <si>
    <t>kingboo55@gmail.com</t>
  </si>
  <si>
    <t>Arrowood</t>
  </si>
  <si>
    <t>David Arrowood</t>
  </si>
  <si>
    <t>8928 Twilight Lane</t>
  </si>
  <si>
    <t>trevolly@cox.net</t>
  </si>
  <si>
    <t>t.king.25@icloud.com</t>
  </si>
  <si>
    <t>Trevor King</t>
  </si>
  <si>
    <t>5121 68th St.</t>
  </si>
  <si>
    <t>hking.math@icloud.com</t>
  </si>
  <si>
    <t>Holly King</t>
  </si>
  <si>
    <t>kylie.shea@live.com</t>
  </si>
  <si>
    <t>kylie</t>
  </si>
  <si>
    <t>huggins</t>
  </si>
  <si>
    <t>kylie huggins</t>
  </si>
  <si>
    <t>200 Burnham Rd #411</t>
  </si>
  <si>
    <t>jdonaldsonfamily@gmail.com</t>
  </si>
  <si>
    <t>wwdonaldson01@gmail.com</t>
  </si>
  <si>
    <t>Wesley Donaldson</t>
  </si>
  <si>
    <t>agogo80@gmail.com</t>
  </si>
  <si>
    <t>Gogolakis</t>
  </si>
  <si>
    <t>Anna Gogolakis</t>
  </si>
  <si>
    <t>5330 S. New Haven Ave.</t>
  </si>
  <si>
    <t>nataliekammel@gmail.com</t>
  </si>
  <si>
    <t>Natalie Kammel</t>
  </si>
  <si>
    <t>beccabirdies@gmail.com</t>
  </si>
  <si>
    <t>Rebecca Slater</t>
  </si>
  <si>
    <t>diana.pan.hou@gmail.com</t>
  </si>
  <si>
    <t>harpdudet@gmail.com</t>
  </si>
  <si>
    <t>Hou</t>
  </si>
  <si>
    <t>Rebekah Hou</t>
  </si>
  <si>
    <t>3909 Highwood Place</t>
  </si>
  <si>
    <t>Okemos</t>
  </si>
  <si>
    <t>christinacorwin4@gmail.com</t>
  </si>
  <si>
    <t>ccorwin44@gmail.com</t>
  </si>
  <si>
    <t>Corwin</t>
  </si>
  <si>
    <t>Connor Corwin</t>
  </si>
  <si>
    <t>4606 Angus Drive</t>
  </si>
  <si>
    <t>phippsfamily6@aol.com</t>
  </si>
  <si>
    <t>jarenphipps26@gmail.com</t>
  </si>
  <si>
    <t>Jaren</t>
  </si>
  <si>
    <t>Jaren Phipps</t>
  </si>
  <si>
    <t>1031 Ridglea Drive</t>
  </si>
  <si>
    <t>brenda.k.duke@bellsouth.net</t>
  </si>
  <si>
    <t>Colby.duke@bellsouth.net</t>
  </si>
  <si>
    <t>Colbly</t>
  </si>
  <si>
    <t>Colbly Duke</t>
  </si>
  <si>
    <t>831 Cove Springs Dr.</t>
  </si>
  <si>
    <t>tk@tkgehring.com</t>
  </si>
  <si>
    <t>gehringmc@gmail.com</t>
  </si>
  <si>
    <t>Gehring</t>
  </si>
  <si>
    <t>Micah Gehring</t>
  </si>
  <si>
    <t>124 Ramlen Ct.</t>
  </si>
  <si>
    <t>savannah.michelle03@yahoo.com</t>
  </si>
  <si>
    <t>Purvance</t>
  </si>
  <si>
    <t>Savannah Purvance</t>
  </si>
  <si>
    <t>P.O. Box 5591</t>
  </si>
  <si>
    <t>145 Granite Springs Dr.</t>
  </si>
  <si>
    <t>Stateline</t>
  </si>
  <si>
    <t>jshirey@jkshirey.us</t>
  </si>
  <si>
    <t>willrus02@gmail.com</t>
  </si>
  <si>
    <t>William Shirey</t>
  </si>
  <si>
    <t>110 Carrsbrook Court</t>
  </si>
  <si>
    <t>Pure19heart@gmail.com</t>
  </si>
  <si>
    <t>Morgan Landry</t>
  </si>
  <si>
    <t>wehedquist7@gmail.com</t>
  </si>
  <si>
    <t>godsgirlglory@hotmail.com</t>
  </si>
  <si>
    <t>Glory</t>
  </si>
  <si>
    <t>Hedquist</t>
  </si>
  <si>
    <t>Glory Hedquist</t>
  </si>
  <si>
    <t>264 Helms Dr</t>
  </si>
  <si>
    <t>Seymour</t>
  </si>
  <si>
    <t>mcnancy123@yahoo.com</t>
  </si>
  <si>
    <t>McNeil</t>
  </si>
  <si>
    <t>Grace McNeil</t>
  </si>
  <si>
    <t>3302-53rd</t>
  </si>
  <si>
    <t>tpurvance@yahoo.com</t>
  </si>
  <si>
    <t>Thomas Purvance</t>
  </si>
  <si>
    <t>PO Box 5591</t>
  </si>
  <si>
    <t>145 Granite Springs Drive</t>
  </si>
  <si>
    <t>mamacoov@gmail.com</t>
  </si>
  <si>
    <t>Liliana.coovrey@gmail.com</t>
  </si>
  <si>
    <t>Liliana</t>
  </si>
  <si>
    <t>Coovrey</t>
  </si>
  <si>
    <t>Liliana Coovrey</t>
  </si>
  <si>
    <t>7641 Marble Ridge Dr</t>
  </si>
  <si>
    <t>laneylouwho72@gmail.com</t>
  </si>
  <si>
    <t>delaneyuehling@gmail.com</t>
  </si>
  <si>
    <t>Uehling</t>
  </si>
  <si>
    <t>Delaney Uehling</t>
  </si>
  <si>
    <t>5575 Sample Way</t>
  </si>
  <si>
    <t>jjfolkers@olivet.edu</t>
  </si>
  <si>
    <t>connie@cskomra.com</t>
  </si>
  <si>
    <t>cmskomra@gmail.com</t>
  </si>
  <si>
    <t>Skomra</t>
  </si>
  <si>
    <t>Christopher Skomra</t>
  </si>
  <si>
    <t>6579 Scioto Chase Blvd</t>
  </si>
  <si>
    <t>jim.shirley.coleman@gmail.com</t>
  </si>
  <si>
    <t>abcoleman@augusta.edu</t>
  </si>
  <si>
    <t>Abram Coleman</t>
  </si>
  <si>
    <t>210 Blue Ridge Court</t>
  </si>
  <si>
    <t>fightashane@gmail.com</t>
  </si>
  <si>
    <t>Felis</t>
  </si>
  <si>
    <t>Shane Felis</t>
  </si>
  <si>
    <t>54765 Avendia Diaz</t>
  </si>
  <si>
    <t>La Quinta</t>
  </si>
  <si>
    <t>leslee.davis@biola.edu</t>
  </si>
  <si>
    <t>clayton.d.davis@gmail.com</t>
  </si>
  <si>
    <t>Clayton Davis</t>
  </si>
  <si>
    <t>116 Cherrybark Dr.</t>
  </si>
  <si>
    <t>jamielinn@embarqmail.com</t>
  </si>
  <si>
    <t>11601 Cartwright Tr</t>
  </si>
  <si>
    <t>kimrea1@msn.com</t>
  </si>
  <si>
    <t>schampr@outlook.com</t>
  </si>
  <si>
    <t>Ronelle</t>
  </si>
  <si>
    <t>Schamp</t>
  </si>
  <si>
    <t>Ronelle Schamp</t>
  </si>
  <si>
    <t>6591 Ponderosa Dr</t>
  </si>
  <si>
    <t>agserven@gmail.com</t>
  </si>
  <si>
    <t>Andrew Serven</t>
  </si>
  <si>
    <t>489 Call Dr</t>
  </si>
  <si>
    <t>Austin TX</t>
  </si>
  <si>
    <t>macsforless@yahoo.com</t>
  </si>
  <si>
    <t>keiththelegokid@gmail.com</t>
  </si>
  <si>
    <t>Scott Brannon</t>
  </si>
  <si>
    <t>315 Quail Run Dr.</t>
  </si>
  <si>
    <t>Brandenburg</t>
  </si>
  <si>
    <t>nike.tom78@gmail.com</t>
  </si>
  <si>
    <t>Nicolette Thompson</t>
  </si>
  <si>
    <t>25W015 Geneva Road</t>
  </si>
  <si>
    <t>jesseschamp180@gmail.com</t>
  </si>
  <si>
    <t>Jesse Schamp</t>
  </si>
  <si>
    <t>frank.devenuto@hotmail.com</t>
  </si>
  <si>
    <t>afkilman01@gmail.com</t>
  </si>
  <si>
    <t>Kilman</t>
  </si>
  <si>
    <t>Abigail Kilman</t>
  </si>
  <si>
    <t>204 County Road 2403</t>
  </si>
  <si>
    <t>beck7@mail.usf.edu</t>
  </si>
  <si>
    <t>Grace Beck</t>
  </si>
  <si>
    <t>11506 silver fox lane</t>
  </si>
  <si>
    <t>abraham.fowler@gmail.com</t>
  </si>
  <si>
    <t>ernest.k.fowler@gmail.com</t>
  </si>
  <si>
    <t>Ernest Fowler</t>
  </si>
  <si>
    <t>10003 Rose Pine Ln</t>
  </si>
  <si>
    <t>markjh97@gmail.com</t>
  </si>
  <si>
    <t>kylejhr828@gmail.com</t>
  </si>
  <si>
    <t>Henning</t>
  </si>
  <si>
    <t>Kyle Henning</t>
  </si>
  <si>
    <t>703 Kenwood Ave.</t>
  </si>
  <si>
    <t>the7seays@yahoo.com</t>
  </si>
  <si>
    <t>Giraffebf@gmail.com</t>
  </si>
  <si>
    <t>Bethany Seay</t>
  </si>
  <si>
    <t>7680 Lark Bunting ct</t>
  </si>
  <si>
    <t>christineglundberg@gmail.com</t>
  </si>
  <si>
    <t>Lundberg</t>
  </si>
  <si>
    <t>Christine Lundberg</t>
  </si>
  <si>
    <t>rodmartinez@comcast.net</t>
  </si>
  <si>
    <t>bricemartinez@comcast.net</t>
  </si>
  <si>
    <t>Brice Martinez</t>
  </si>
  <si>
    <t>10663 E Maplewood Dr</t>
  </si>
  <si>
    <t>terri@winkfamily.us</t>
  </si>
  <si>
    <t>tuckerwinkleman@gmail.com</t>
  </si>
  <si>
    <t>Winkleman</t>
  </si>
  <si>
    <t>Tucker Winkleman</t>
  </si>
  <si>
    <t>4711 Meadowthorn Ct</t>
  </si>
  <si>
    <t>wendifg@mac.com</t>
  </si>
  <si>
    <t>Bennetgreenofficial@gmail.com</t>
  </si>
  <si>
    <t>Bennet</t>
  </si>
  <si>
    <t>Bennet Green</t>
  </si>
  <si>
    <t>2319 Blanchard Drive</t>
  </si>
  <si>
    <t>braydental@gmail.com</t>
  </si>
  <si>
    <t>bryson.w.bray@gmail.com</t>
  </si>
  <si>
    <t>Bray</t>
  </si>
  <si>
    <t>Bryson Bray</t>
  </si>
  <si>
    <t>18246 110th Ave. NE</t>
  </si>
  <si>
    <t>PO Box 402</t>
  </si>
  <si>
    <t>Thief River Falls</t>
  </si>
  <si>
    <t>lovelyjordans@gmail.com</t>
  </si>
  <si>
    <t>patriot.jordan@yahoo.com</t>
  </si>
  <si>
    <t>Dominik</t>
  </si>
  <si>
    <t>Dominik Jordan</t>
  </si>
  <si>
    <t>115 Balch Springs Circle</t>
  </si>
  <si>
    <t>19getzs@trico.k12.in.us</t>
  </si>
  <si>
    <t>Sam Getz</t>
  </si>
  <si>
    <t>2008 s 1100 w</t>
  </si>
  <si>
    <t>mmartin2700@att.net</t>
  </si>
  <si>
    <t>pdm02@att.net</t>
  </si>
  <si>
    <t>Paige Martin</t>
  </si>
  <si>
    <t>2102 Deeanna Ln</t>
  </si>
  <si>
    <t>emmaulrichs@gmail.com</t>
  </si>
  <si>
    <t>Emma Ulrichs</t>
  </si>
  <si>
    <t>2620 Lake Elmo Ddr</t>
  </si>
  <si>
    <t>cjbrett@tds.net</t>
  </si>
  <si>
    <t>d9brett@gmail.com</t>
  </si>
  <si>
    <t>Dionna</t>
  </si>
  <si>
    <t>Dionna Brett</t>
  </si>
  <si>
    <t>554 Tracy Road</t>
  </si>
  <si>
    <t>Afton</t>
  </si>
  <si>
    <t>mariagarza883@gmail.com</t>
  </si>
  <si>
    <t>cabrera</t>
  </si>
  <si>
    <t>Maria cabrera</t>
  </si>
  <si>
    <t>Citilcun 239</t>
  </si>
  <si>
    <t>cdmx</t>
  </si>
  <si>
    <t>df</t>
  </si>
  <si>
    <t>Davis Thomason</t>
  </si>
  <si>
    <t>Lcd4god@gmail.com</t>
  </si>
  <si>
    <t>Landon Davis</t>
  </si>
  <si>
    <t>mrscowden@me.com</t>
  </si>
  <si>
    <t>Claragracecowden@icloud.com</t>
  </si>
  <si>
    <t>Clara Grace</t>
  </si>
  <si>
    <t>Clara Grace Cowden</t>
  </si>
  <si>
    <t>5601 Hero Drive</t>
  </si>
  <si>
    <t>Marileecowden@icloud.com</t>
  </si>
  <si>
    <t>Marilee Cowden</t>
  </si>
  <si>
    <t>cherylr1122@gmail.com</t>
  </si>
  <si>
    <t>Emma Coccimiglio</t>
  </si>
  <si>
    <t>21833 N. 120th Ave.</t>
  </si>
  <si>
    <t>davetinasyd@msn.com</t>
  </si>
  <si>
    <t>Stanfield</t>
  </si>
  <si>
    <t>Sydney Stanfield</t>
  </si>
  <si>
    <t>9120 Sky King Drive</t>
  </si>
  <si>
    <t>adamandkellypeterson@gmail.com</t>
  </si>
  <si>
    <t>jonah88x5@gmail.com</t>
  </si>
  <si>
    <t>Jonah Peterson</t>
  </si>
  <si>
    <t>6819 Antique Cedar Lane</t>
  </si>
  <si>
    <t>sumner2401@gmail.com</t>
  </si>
  <si>
    <t>Sumner Peterson</t>
  </si>
  <si>
    <t>4jveriranch@gmail.com</t>
  </si>
  <si>
    <t>Verissimo</t>
  </si>
  <si>
    <t>Jenna Verissimo</t>
  </si>
  <si>
    <t>2233 S. Tarryall Way</t>
  </si>
  <si>
    <t>madisonmullins1901@gmail.com</t>
  </si>
  <si>
    <t>Madison Mullins</t>
  </si>
  <si>
    <t>1579 CR 2008 E</t>
  </si>
  <si>
    <t>kurtisk01@gmail.com</t>
  </si>
  <si>
    <t>Kurtis</t>
  </si>
  <si>
    <t>Kurtis Kytta</t>
  </si>
  <si>
    <t>40568 Channel view lane</t>
  </si>
  <si>
    <t>sjmcc66@gmail.com</t>
  </si>
  <si>
    <t>Clif.mccleskey@gmail.com</t>
  </si>
  <si>
    <t>Genatta</t>
  </si>
  <si>
    <t>Mccleskey</t>
  </si>
  <si>
    <t>Genatta Mccleskey</t>
  </si>
  <si>
    <t>2214 Culver Dr.</t>
  </si>
  <si>
    <t>krislmiddleton23@gmail.com</t>
  </si>
  <si>
    <t>Kristen Middleton</t>
  </si>
  <si>
    <t>3516 77th Dr.</t>
  </si>
  <si>
    <t>pierce@allenfam.us</t>
  </si>
  <si>
    <t>Amanda@allenfam.us</t>
  </si>
  <si>
    <t>Henry Allen</t>
  </si>
  <si>
    <t>445 Leslie Lane</t>
  </si>
  <si>
    <t>lr.saltlight@gmail.com</t>
  </si>
  <si>
    <t>Lr.saltlight@gmail.com</t>
  </si>
  <si>
    <t>Romaguera</t>
  </si>
  <si>
    <t>Lauren Romaguera</t>
  </si>
  <si>
    <t>5621 E Voltaire Ave</t>
  </si>
  <si>
    <t>kshirey61@gmail.com</t>
  </si>
  <si>
    <t>nathanshirey2019@gmail.com</t>
  </si>
  <si>
    <t>Nathan Shirey</t>
  </si>
  <si>
    <t>4305 CR 1037</t>
  </si>
  <si>
    <t>barb@hillshealth.net</t>
  </si>
  <si>
    <t>montenegro.emilia@yahoo.com</t>
  </si>
  <si>
    <t>Montenegro</t>
  </si>
  <si>
    <t>Emilia Montenegro</t>
  </si>
  <si>
    <t>1449 Chase Lane</t>
  </si>
  <si>
    <t>jlpowell000@gmail.com</t>
  </si>
  <si>
    <t>John Powell</t>
  </si>
  <si>
    <t>1036 Liberty Park Drive</t>
  </si>
  <si>
    <t>dawnbauermn@gmail.com</t>
  </si>
  <si>
    <t>mr.ian.bauer@gamil.com</t>
  </si>
  <si>
    <t>Ian Bauer</t>
  </si>
  <si>
    <t>10333 108th Ave.</t>
  </si>
  <si>
    <t>Pavey.brenna@gmail.com</t>
  </si>
  <si>
    <t>pavey.brenna@gmail.com</t>
  </si>
  <si>
    <t>Brenna Pavey</t>
  </si>
  <si>
    <t>witherow00@gmail.com</t>
  </si>
  <si>
    <t>naw2702@gmail.com</t>
  </si>
  <si>
    <t>Witherow</t>
  </si>
  <si>
    <t>Nichole Witherow</t>
  </si>
  <si>
    <t>12325 Maad Dasch Dr</t>
  </si>
  <si>
    <t>Dresden</t>
  </si>
  <si>
    <t>nathanbradfield@gmail.com</t>
  </si>
  <si>
    <t>alexander.m.bradfield@gmail.com</t>
  </si>
  <si>
    <t>Bradfield</t>
  </si>
  <si>
    <t>Alex Bradfield</t>
  </si>
  <si>
    <t>702 Chesapeake Drive</t>
  </si>
  <si>
    <t>annierosemurray@gmail.com</t>
  </si>
  <si>
    <t>Anna Murray</t>
  </si>
  <si>
    <t>5800 Westmont Drive</t>
  </si>
  <si>
    <t>nmccombs413@gmail.com</t>
  </si>
  <si>
    <t>Nathanael McCombs</t>
  </si>
  <si>
    <t>5375 Rockingham Drive</t>
  </si>
  <si>
    <t>ruthacassis@live.com</t>
  </si>
  <si>
    <t>jrcassis220@gmail.com</t>
  </si>
  <si>
    <t>Jonathan Cassis</t>
  </si>
  <si>
    <t>4502 69th Ave Ct W</t>
  </si>
  <si>
    <t>jovigirl24@yahoo.com</t>
  </si>
  <si>
    <t>ethanl@berkeley.edu</t>
  </si>
  <si>
    <t>24 Asilomar Rd</t>
  </si>
  <si>
    <t>mckinneykri1@gmail.com</t>
  </si>
  <si>
    <t>1409 Peaceway Dr.</t>
  </si>
  <si>
    <t>bonairchiropractic@gmail.com</t>
  </si>
  <si>
    <t>beauaconstricta@gmail.com</t>
  </si>
  <si>
    <t>Pollock</t>
  </si>
  <si>
    <t>Samuel Pollock</t>
  </si>
  <si>
    <t>2350 Loch Braemar Drive</t>
  </si>
  <si>
    <t>N Chesterfield</t>
  </si>
  <si>
    <t>annahmckinney@gmail.com</t>
  </si>
  <si>
    <t>Anna McKinney</t>
  </si>
  <si>
    <t>rickandmichelle@yahoo.com</t>
  </si>
  <si>
    <t>weatherbyrose@icloud.com</t>
  </si>
  <si>
    <t>Weatherby</t>
  </si>
  <si>
    <t>Waldrop-Kelly</t>
  </si>
  <si>
    <t>Weatherby Waldrop-Kelly</t>
  </si>
  <si>
    <t>5003 Forestglade Blvd</t>
  </si>
  <si>
    <t>nasonrj@gmail.com</t>
  </si>
  <si>
    <t>Rebecca Nason</t>
  </si>
  <si>
    <t>rgriggins@gmail.com</t>
  </si>
  <si>
    <t>shaegrace01@gmail.com</t>
  </si>
  <si>
    <t>Shaelee</t>
  </si>
  <si>
    <t>Shaelee Riggins</t>
  </si>
  <si>
    <t>8350 Holliday Road</t>
  </si>
  <si>
    <t>brenda.litteral@yahoo.com</t>
  </si>
  <si>
    <t>adam.l.litteral@gmail.com</t>
  </si>
  <si>
    <t>Litteral</t>
  </si>
  <si>
    <t>Adam Litteral</t>
  </si>
  <si>
    <t>8820 Iris Ct</t>
  </si>
  <si>
    <t>carmacklily@gmail.com</t>
  </si>
  <si>
    <t>Lily Carmack</t>
  </si>
  <si>
    <t>2315 Gates Rd</t>
  </si>
  <si>
    <t>Halls</t>
  </si>
  <si>
    <t>bralyneil@hotmail.com</t>
  </si>
  <si>
    <t>Braly</t>
  </si>
  <si>
    <t>Neil Braly</t>
  </si>
  <si>
    <t>4308 Merrill Ct.</t>
  </si>
  <si>
    <t>larcoms@comcast.net</t>
  </si>
  <si>
    <t>Sydneylarcom@gmail.com</t>
  </si>
  <si>
    <t>Larcom</t>
  </si>
  <si>
    <t>Sydney Larcom</t>
  </si>
  <si>
    <t>2754 SW Mulligan Pl.</t>
  </si>
  <si>
    <t>williamgdorman@gmail.com</t>
  </si>
  <si>
    <t>William Dorman</t>
  </si>
  <si>
    <t>1626 center valley road</t>
  </si>
  <si>
    <t>emilia.maxine.smith@gmail.com</t>
  </si>
  <si>
    <t>Emilia Smith</t>
  </si>
  <si>
    <t>nieshalla@gmail.com</t>
  </si>
  <si>
    <t>clairenieshalla@gmail.com</t>
  </si>
  <si>
    <t>Nieshalla</t>
  </si>
  <si>
    <t>Claire Nieshalla</t>
  </si>
  <si>
    <t>9301 E 180 S</t>
  </si>
  <si>
    <t>elisabethnieshalla@gmail.com</t>
  </si>
  <si>
    <t>Elisabeth Nieshalla</t>
  </si>
  <si>
    <t>mom2mykiddos@gmail.com</t>
  </si>
  <si>
    <t>Kjersten.sunderland@gmail.com</t>
  </si>
  <si>
    <t>Kjersten</t>
  </si>
  <si>
    <t>Sunderland</t>
  </si>
  <si>
    <t>Kjersten Sunderland</t>
  </si>
  <si>
    <t>529 Avenue B</t>
  </si>
  <si>
    <t>7lelabear@gmail.com</t>
  </si>
  <si>
    <t>Lela</t>
  </si>
  <si>
    <t>Lela Weems</t>
  </si>
  <si>
    <t>6340 Barrel Race Drive</t>
  </si>
  <si>
    <t>izzielynn@gmail.com</t>
  </si>
  <si>
    <t>Isabelle Slater</t>
  </si>
  <si>
    <t>6553 Clark Rd</t>
  </si>
  <si>
    <t>littleric7@yahoo.com</t>
  </si>
  <si>
    <t>annelisemadisons@yahoo.com</t>
  </si>
  <si>
    <t>Annelise Stanton</t>
  </si>
  <si>
    <t>5588 Pepperidge Road</t>
  </si>
  <si>
    <t>New Franklin</t>
  </si>
  <si>
    <t>greta.barthelemy@gmail.com</t>
  </si>
  <si>
    <t>ryanb0303@gmail.com</t>
  </si>
  <si>
    <t>Barthelemy</t>
  </si>
  <si>
    <t>Ryan Barthelemy</t>
  </si>
  <si>
    <t>100 Evergreen Cir</t>
  </si>
  <si>
    <t>Dillsburg</t>
  </si>
  <si>
    <t>dellersandsons@verizon.net</t>
  </si>
  <si>
    <t>cabob256@gmail.com</t>
  </si>
  <si>
    <t>Deller</t>
  </si>
  <si>
    <t>Caleb Deller</t>
  </si>
  <si>
    <t>4 Elicker Road</t>
  </si>
  <si>
    <t>blackburnhome@msn.com</t>
  </si>
  <si>
    <t>callielovesbooks@gmail.com</t>
  </si>
  <si>
    <t>Callie Blackburn</t>
  </si>
  <si>
    <t>1245 Glennview Drive</t>
  </si>
  <si>
    <t>luke.chaffin2002@gmail.com</t>
  </si>
  <si>
    <t>Luke Chaffin</t>
  </si>
  <si>
    <t>mariahmartin98@gmail.com</t>
  </si>
  <si>
    <t>26 Woods Lane</t>
  </si>
  <si>
    <t>Newmanstown</t>
  </si>
  <si>
    <t>hannahrosemartin99@gmail.com</t>
  </si>
  <si>
    <t>Hannah Martin</t>
  </si>
  <si>
    <t>454 Mountain Rd</t>
  </si>
  <si>
    <t>loribaca12@gmail.com</t>
  </si>
  <si>
    <t>Lori Baca</t>
  </si>
  <si>
    <t>1011 Blackhawk</t>
  </si>
  <si>
    <t>PO Box 1263</t>
  </si>
  <si>
    <t>Bayard</t>
  </si>
  <si>
    <t>kmatychuk11@gmail.com</t>
  </si>
  <si>
    <t>lilymatychuk@gmail.com</t>
  </si>
  <si>
    <t>Lily Matychuk</t>
  </si>
  <si>
    <t>4815 S. 161st. Circle</t>
  </si>
  <si>
    <t>David Thrush</t>
  </si>
  <si>
    <t>rosethach7@gmail.com</t>
  </si>
  <si>
    <t>Thach</t>
  </si>
  <si>
    <t>Rose Thach</t>
  </si>
  <si>
    <t>3542 Jonathan Noble Way</t>
  </si>
  <si>
    <t>rsteiner@dejazzd.com</t>
  </si>
  <si>
    <t>adalynrose2000@gmail.com</t>
  </si>
  <si>
    <t>Adalyn</t>
  </si>
  <si>
    <t>Adalyn Steiner</t>
  </si>
  <si>
    <t>2140 Kramer Mill Road</t>
  </si>
  <si>
    <t>jjcoffman@yahoo.com</t>
  </si>
  <si>
    <t>Jarod Coffman</t>
  </si>
  <si>
    <t>accounts@reneegotcher.com</t>
  </si>
  <si>
    <t>ag23blue@icloud.com</t>
  </si>
  <si>
    <t>Gotcher</t>
  </si>
  <si>
    <t>Audrey Gotcher</t>
  </si>
  <si>
    <t>5349 E Manchester Dr</t>
  </si>
  <si>
    <t>sarah@thejobes.com</t>
  </si>
  <si>
    <t>Sarah Jobe</t>
  </si>
  <si>
    <t>varoths@aol.com</t>
  </si>
  <si>
    <t>jack.roth&amp;@gmail.com</t>
  </si>
  <si>
    <t>Jonathan Roth</t>
  </si>
  <si>
    <t>12244 Sherborne Street</t>
  </si>
  <si>
    <t>etlaws@gmail.com</t>
  </si>
  <si>
    <t>Ethan Lawson</t>
  </si>
  <si>
    <t>8642 Mahogany Court</t>
  </si>
  <si>
    <t>mpsears@me.com</t>
  </si>
  <si>
    <t>imsears@me.com</t>
  </si>
  <si>
    <t>Ian Sears</t>
  </si>
  <si>
    <t>4730 King Richard Rd.</t>
  </si>
  <si>
    <t>William_Lowdermilk@outlook.com</t>
  </si>
  <si>
    <t>Lowdermilk</t>
  </si>
  <si>
    <t>William Lowdermilk</t>
  </si>
  <si>
    <t>5328 Denver Drive</t>
  </si>
  <si>
    <t>dnaasher@yahoo.com</t>
  </si>
  <si>
    <t>hannaheasher@gmail.com</t>
  </si>
  <si>
    <t>Hannah Asher</t>
  </si>
  <si>
    <t>414 Morningside Ln</t>
  </si>
  <si>
    <t>abigailsasher@gmail.com</t>
  </si>
  <si>
    <t>Abigail Asher</t>
  </si>
  <si>
    <t>kristine@dasSchneiderHaus.com</t>
  </si>
  <si>
    <t>LollyPopLiz@dasSchneiderHaus.com</t>
  </si>
  <si>
    <t>Elisabeth Schneider</t>
  </si>
  <si>
    <t>20350 Silver Horn Lane</t>
  </si>
  <si>
    <t>crkraus@gmail.com</t>
  </si>
  <si>
    <t>sean@shalompark.com</t>
  </si>
  <si>
    <t>Kraus</t>
  </si>
  <si>
    <t>Sean Kraus</t>
  </si>
  <si>
    <t>3806 Upper Lake Circle</t>
  </si>
  <si>
    <t>anna.gibson.huston@gmail.com</t>
  </si>
  <si>
    <t>andyru.studentchrist90@gmail.com</t>
  </si>
  <si>
    <t>Andrew Huston</t>
  </si>
  <si>
    <t>14626 FM 2964</t>
  </si>
  <si>
    <t>jecbutler@gmail.com</t>
  </si>
  <si>
    <t>Mattbutler117@gmail.com</t>
  </si>
  <si>
    <t>Matt Butler</t>
  </si>
  <si>
    <t>11165 N Camino de Oeste</t>
  </si>
  <si>
    <t>megrotin99@gmail.com</t>
  </si>
  <si>
    <t>martin</t>
  </si>
  <si>
    <t>megan martin</t>
  </si>
  <si>
    <t>215 Balliet rd</t>
  </si>
  <si>
    <t>Muncy</t>
  </si>
  <si>
    <t>xxthereal100xx@gmail.com</t>
  </si>
  <si>
    <t>Noah Hunt</t>
  </si>
  <si>
    <t>swimmer-girl@bellsouth.net</t>
  </si>
  <si>
    <t>Christley</t>
  </si>
  <si>
    <t>Jaime Christley</t>
  </si>
  <si>
    <t>1215 Bond Court</t>
  </si>
  <si>
    <t>matthewrdena@gmail.com</t>
  </si>
  <si>
    <t>Matthew Dena</t>
  </si>
  <si>
    <t>1509 Trafalgar Rd.</t>
  </si>
  <si>
    <t>tracibolden@gmail.com</t>
  </si>
  <si>
    <t>h.k.bolden@gmail.com</t>
  </si>
  <si>
    <t>Hannah Bolden</t>
  </si>
  <si>
    <t>amybrown0707@gmail.com</t>
  </si>
  <si>
    <t>toridancer2002@gmail.com</t>
  </si>
  <si>
    <t>Victoria Brown</t>
  </si>
  <si>
    <t>2417 SE Watercrest st</t>
  </si>
  <si>
    <t>harold.blanton@nscorp.com</t>
  </si>
  <si>
    <t>mlb884@msstate.edu</t>
  </si>
  <si>
    <t>Mandalin</t>
  </si>
  <si>
    <t>Blanton</t>
  </si>
  <si>
    <t>Mandalin Blanton</t>
  </si>
  <si>
    <t>457 South Lake Dr</t>
  </si>
  <si>
    <t>Biblenerd2001@gmail.com</t>
  </si>
  <si>
    <t>Gabriel Ward</t>
  </si>
  <si>
    <t>ejgs2019@gmail.com</t>
  </si>
  <si>
    <t>Strother</t>
  </si>
  <si>
    <t>Eliza Strother</t>
  </si>
  <si>
    <t>1938 Portview Drive</t>
  </si>
  <si>
    <t>dbeinetti@gmail.com</t>
  </si>
  <si>
    <t>Gbeinetti@gmail.com</t>
  </si>
  <si>
    <t>Beinetti</t>
  </si>
  <si>
    <t>George Beinetti</t>
  </si>
  <si>
    <t>160 Plains Road</t>
  </si>
  <si>
    <t>judynlsn@gmail.com</t>
  </si>
  <si>
    <t>Bnilsen22@gmail.com</t>
  </si>
  <si>
    <t>Nilsen</t>
  </si>
  <si>
    <t>Barrett Nilsen</t>
  </si>
  <si>
    <t>408 Gettysburg</t>
  </si>
  <si>
    <t>jilladuarte@gmail.com</t>
  </si>
  <si>
    <t>cecelialduarte@gmail.com</t>
  </si>
  <si>
    <t>Cecelia</t>
  </si>
  <si>
    <t>Cecelia Duarte</t>
  </si>
  <si>
    <t>25421 Old Trabuco Road</t>
  </si>
  <si>
    <t>oxyyeshua@cox.net</t>
  </si>
  <si>
    <t>josiahcromwick@gmail.com</t>
  </si>
  <si>
    <t>Cromwick</t>
  </si>
  <si>
    <t>Josiah Cromwick</t>
  </si>
  <si>
    <t>8621 Blissville Ave.</t>
  </si>
  <si>
    <t>sarah138butler@gmail.com</t>
  </si>
  <si>
    <t>Sarah Butler</t>
  </si>
  <si>
    <t>tanaricke@gmail.com</t>
  </si>
  <si>
    <t>jrblacksmith2020@gmail.com</t>
  </si>
  <si>
    <t>Ricke</t>
  </si>
  <si>
    <t>Jordan Ricke</t>
  </si>
  <si>
    <t>6366 SW 60th Ave</t>
  </si>
  <si>
    <t>Kingman</t>
  </si>
  <si>
    <t>mojhofe@gmail.com</t>
  </si>
  <si>
    <t>Morris Hofer</t>
  </si>
  <si>
    <t>801 S Main St</t>
  </si>
  <si>
    <t>edmisten.laura@gmail.com</t>
  </si>
  <si>
    <t>ashlynedmisten@gmail.com</t>
  </si>
  <si>
    <t>Edmisten</t>
  </si>
  <si>
    <t>Ashlyn Edmisten</t>
  </si>
  <si>
    <t>596 Sorrento Knolls Dr.</t>
  </si>
  <si>
    <t>Blowing Rock</t>
  </si>
  <si>
    <t>lilyzeglen@gmail.com</t>
  </si>
  <si>
    <t>Lily Zeglen</t>
  </si>
  <si>
    <t>17399 700th Ave</t>
  </si>
  <si>
    <t>bystcj@hotmail.com</t>
  </si>
  <si>
    <t>Bystroff</t>
  </si>
  <si>
    <t>Calvert Bystroff</t>
  </si>
  <si>
    <t>1301 Collins Rd</t>
  </si>
  <si>
    <t>christywatson671@gmail.com</t>
  </si>
  <si>
    <t>tatewatson25@gmail.com</t>
  </si>
  <si>
    <t>Tate Watson</t>
  </si>
  <si>
    <t>11712 CR 239</t>
  </si>
  <si>
    <t>lippj01@gmail.com</t>
  </si>
  <si>
    <t>elipp2020@gmail.com</t>
  </si>
  <si>
    <t>Lipp</t>
  </si>
  <si>
    <t>Elizabeth Lipp</t>
  </si>
  <si>
    <t>86413 573 ave</t>
  </si>
  <si>
    <t>ddaudette@aol.com</t>
  </si>
  <si>
    <t>o_audette@aol.com</t>
  </si>
  <si>
    <t>Audette</t>
  </si>
  <si>
    <t>Olivia Audette</t>
  </si>
  <si>
    <t>3474 Blue Jay Pass</t>
  </si>
  <si>
    <t>jesse.jasso02@icloud.com</t>
  </si>
  <si>
    <t>Jasso</t>
  </si>
  <si>
    <t>Jesse Jasso</t>
  </si>
  <si>
    <t>P.O. Box 750</t>
  </si>
  <si>
    <t>brogle1002@gmail.com</t>
  </si>
  <si>
    <t>Ogle</t>
  </si>
  <si>
    <t>Brian Ogle</t>
  </si>
  <si>
    <t>7525 Dry Creek Ln.</t>
  </si>
  <si>
    <t>timfus@gmail.com</t>
  </si>
  <si>
    <t>kaylafus@icloud.com</t>
  </si>
  <si>
    <t>Fus</t>
  </si>
  <si>
    <t>Kayla Fus</t>
  </si>
  <si>
    <t>346 Wildwood Rd</t>
  </si>
  <si>
    <t>sproutfus@icloud.com</t>
  </si>
  <si>
    <t>Kelli Fus</t>
  </si>
  <si>
    <t>reclancy02@gmail.com</t>
  </si>
  <si>
    <t>Rachel Clancy</t>
  </si>
  <si>
    <t>3465 North Pines Way</t>
  </si>
  <si>
    <t>Suite 104</t>
  </si>
  <si>
    <t>joemartin1293@gmail.com</t>
  </si>
  <si>
    <t>a.martin101200@gmail.com</t>
  </si>
  <si>
    <t>Aaron Martin</t>
  </si>
  <si>
    <t>300 E.Lois</t>
  </si>
  <si>
    <t>wbruceanderson@gmail.com</t>
  </si>
  <si>
    <t>nateLAnderson@Icloud.com</t>
  </si>
  <si>
    <t>Nathan Anderson</t>
  </si>
  <si>
    <t>1417 East Butterfield PL</t>
  </si>
  <si>
    <t>elindigrin@gmail.com</t>
  </si>
  <si>
    <t>drlindigrin@gmail.com</t>
  </si>
  <si>
    <t>Lindigrin</t>
  </si>
  <si>
    <t>David Lindigrin</t>
  </si>
  <si>
    <t>105 Colony Place</t>
  </si>
  <si>
    <t>angelablycker@icloud.com</t>
  </si>
  <si>
    <t>Zanthon15@gmail.com</t>
  </si>
  <si>
    <t>Blycker</t>
  </si>
  <si>
    <t>Larsen Blycker</t>
  </si>
  <si>
    <t>Instituto LingÔøΩÔøΩstico de Verano NiÔøΩos HÔøΩroes #22  Apdo. #4 Mitla, Oaxaca  MÔøΩxico? C.P. 70430</t>
  </si>
  <si>
    <t>San Pablo de Mitla</t>
  </si>
  <si>
    <t>krogerkm@icloud.com</t>
  </si>
  <si>
    <t>Kate Kroger</t>
  </si>
  <si>
    <t>124 Bristol Street</t>
  </si>
  <si>
    <t>ae31501@gmail.com</t>
  </si>
  <si>
    <t>Anna Fenton</t>
  </si>
  <si>
    <t>14 Penny Lane</t>
  </si>
  <si>
    <t>Bowdoin</t>
  </si>
  <si>
    <t>jaketroilo@hotmail.com</t>
  </si>
  <si>
    <t>alextroilo4469@gmail.com</t>
  </si>
  <si>
    <t>Troilo</t>
  </si>
  <si>
    <t>Alexandra Troilo</t>
  </si>
  <si>
    <t>1030 Custer Lane</t>
  </si>
  <si>
    <t>thompsonmj16@gmail.com</t>
  </si>
  <si>
    <t>Micah Thompson</t>
  </si>
  <si>
    <t>1621 Fairway Ridge Drive</t>
  </si>
  <si>
    <t>ksbrockmeier@gmail.com</t>
  </si>
  <si>
    <t>lbrockmeier18@gmail.com</t>
  </si>
  <si>
    <t>Brockmeier</t>
  </si>
  <si>
    <t>Lauren Brockmeier</t>
  </si>
  <si>
    <t>7121 South 155th Street</t>
  </si>
  <si>
    <t>jmyose@live.com</t>
  </si>
  <si>
    <t>Myose</t>
  </si>
  <si>
    <t>James Myose</t>
  </si>
  <si>
    <t>4897 N. Farmstead Ct.</t>
  </si>
  <si>
    <t>cphwatson@gmail.com</t>
  </si>
  <si>
    <t>Cameron Watson</t>
  </si>
  <si>
    <t>21 B East Shady Lane</t>
  </si>
  <si>
    <t>eliannasandberg@gmail.com</t>
  </si>
  <si>
    <t>Eliannasandberg@gmail.com</t>
  </si>
  <si>
    <t>Elianna Sandberg</t>
  </si>
  <si>
    <t>70599 RD 353</t>
  </si>
  <si>
    <t>stocktoncrew@att.net</t>
  </si>
  <si>
    <t>ella.stockton@yahoo.com</t>
  </si>
  <si>
    <t>Ella Stockton</t>
  </si>
  <si>
    <t>23411 Powder Mill Dr</t>
  </si>
  <si>
    <t>hodgfam@comcast.net</t>
  </si>
  <si>
    <t>gods_grace@comcast.net</t>
  </si>
  <si>
    <t>Hodgdon</t>
  </si>
  <si>
    <t>Grace Hodgdon</t>
  </si>
  <si>
    <t>23526 Powder Mill Drive</t>
  </si>
  <si>
    <t>Michelegute@gmail.com</t>
  </si>
  <si>
    <t>gute.lauren2019@gmail.com</t>
  </si>
  <si>
    <t>Gute</t>
  </si>
  <si>
    <t>Lauren Gute</t>
  </si>
  <si>
    <t>112 Porch Light Drive</t>
  </si>
  <si>
    <t>Huxley</t>
  </si>
  <si>
    <t>hacker_family@cox.net</t>
  </si>
  <si>
    <t>boanerges0103@gmail.com</t>
  </si>
  <si>
    <t>Hacker</t>
  </si>
  <si>
    <t>Benaiah Hacker</t>
  </si>
  <si>
    <t>827 West A Avenue</t>
  </si>
  <si>
    <t>emilyhurley14@gmail.com</t>
  </si>
  <si>
    <t>Emily Hurley</t>
  </si>
  <si>
    <t>bennyferree@gmail.com</t>
  </si>
  <si>
    <t>Benjamin Ferree</t>
  </si>
  <si>
    <t>745 Avalon Avenue</t>
  </si>
  <si>
    <t>aslans@1791.com</t>
  </si>
  <si>
    <t>calendar4christ@reagan.com</t>
  </si>
  <si>
    <t>Kaylen</t>
  </si>
  <si>
    <t>Kallander</t>
  </si>
  <si>
    <t>Kaylen Kallander</t>
  </si>
  <si>
    <t>P.O.Box 771071</t>
  </si>
  <si>
    <t>Lauren.aprile1@gmail.com</t>
  </si>
  <si>
    <t>Lauren Aprile</t>
  </si>
  <si>
    <t>annagrace15@hushmail.com</t>
  </si>
  <si>
    <t>Weyenberg</t>
  </si>
  <si>
    <t>Anna Weyenberg</t>
  </si>
  <si>
    <t>5861 Baxter Well Rd</t>
  </si>
  <si>
    <t>casmikathie@gmail.com</t>
  </si>
  <si>
    <t>oskarellwood@gmail.com</t>
  </si>
  <si>
    <t>Oskar</t>
  </si>
  <si>
    <t>Oskar Arnold</t>
  </si>
  <si>
    <t>126 tower Ridge Road</t>
  </si>
  <si>
    <t>Cartersville</t>
  </si>
  <si>
    <t>susiegray84@gmail.com</t>
  </si>
  <si>
    <t>josiahgr17@gmail.com</t>
  </si>
  <si>
    <t>Aaron Gray</t>
  </si>
  <si>
    <t>3981 South 132nd Ave.</t>
  </si>
  <si>
    <t>sarahygray@gmail.com</t>
  </si>
  <si>
    <t>Sarah Gray</t>
  </si>
  <si>
    <t>garretth106@gmail.com</t>
  </si>
  <si>
    <t>Garrett Helwig</t>
  </si>
  <si>
    <t>jawesomecurls@gmail.com</t>
  </si>
  <si>
    <t>Jason Allshouse</t>
  </si>
  <si>
    <t>718 Selle Road</t>
  </si>
  <si>
    <t>shark4158@naver.com</t>
  </si>
  <si>
    <t>Baek</t>
  </si>
  <si>
    <t>SeungKyun</t>
  </si>
  <si>
    <t>Baek SeungKyun</t>
  </si>
  <si>
    <t>Supuran-gil  19-30/ 1703-401</t>
  </si>
  <si>
    <t>Jonamdong</t>
  </si>
  <si>
    <t>Siheungsi</t>
  </si>
  <si>
    <t>cherad@yahoo.com</t>
  </si>
  <si>
    <t>18888 2375 rd</t>
  </si>
  <si>
    <t>dkvamme@sbcglobal.net</t>
  </si>
  <si>
    <t>nlkvamme@gmail.com</t>
  </si>
  <si>
    <t>Kvamme</t>
  </si>
  <si>
    <t>Nathan Kvamme</t>
  </si>
  <si>
    <t>116 Spreading Oak Drive</t>
  </si>
  <si>
    <t>obybeautylj@hanmail.net</t>
  </si>
  <si>
    <t>thetaphilia09@gmail.com</t>
  </si>
  <si>
    <t>choe</t>
  </si>
  <si>
    <t>Jessica choe</t>
  </si>
  <si>
    <t>1 elm street</t>
  </si>
  <si>
    <t>byfield</t>
  </si>
  <si>
    <t>gloridorscht@gmail.com</t>
  </si>
  <si>
    <t>Glori Dorscht</t>
  </si>
  <si>
    <t>oliviastein18@gmail.com</t>
  </si>
  <si>
    <t>Olivia Stein</t>
  </si>
  <si>
    <t>odomnation@gmail.com</t>
  </si>
  <si>
    <t>Kersten</t>
  </si>
  <si>
    <t>Kersten Odom</t>
  </si>
  <si>
    <t>3728 Shearwater Ln.</t>
  </si>
  <si>
    <t>apocketfullofposeys@gmail.com</t>
  </si>
  <si>
    <t>j2d2photo@yahoo.com</t>
  </si>
  <si>
    <t>tyler110102@gmail.com</t>
  </si>
  <si>
    <t>Tyler Constance</t>
  </si>
  <si>
    <t>111 Greenhills Terr SE</t>
  </si>
  <si>
    <t>trainandy1@gmail.com</t>
  </si>
  <si>
    <t>Andrew Muterspaugh</t>
  </si>
  <si>
    <t>2873 Amy Vale Ct</t>
  </si>
  <si>
    <t>caeley@crbproductions.ca</t>
  </si>
  <si>
    <t>Caeley</t>
  </si>
  <si>
    <t>Caeley Buss</t>
  </si>
  <si>
    <t>Calgery</t>
  </si>
  <si>
    <t>lukerasper35@gmail.com</t>
  </si>
  <si>
    <t>Rasper</t>
  </si>
  <si>
    <t>Luke Rasper</t>
  </si>
  <si>
    <t>247 Sky View st.</t>
  </si>
  <si>
    <t>Petoskey</t>
  </si>
  <si>
    <t>Noah.lyle.924@icloud.com</t>
  </si>
  <si>
    <t>noah.lyle.924@icloud.com</t>
  </si>
  <si>
    <t>Lyle</t>
  </si>
  <si>
    <t>Noah Lyle</t>
  </si>
  <si>
    <t>360 Chateau Jon Dr</t>
  </si>
  <si>
    <t>Denham Spring</t>
  </si>
  <si>
    <t>chshstti95@gmail.com</t>
  </si>
  <si>
    <t>tikih03@gmail.com</t>
  </si>
  <si>
    <t>Tiegan</t>
  </si>
  <si>
    <t>Halwass</t>
  </si>
  <si>
    <t>Tiegan Halwass</t>
  </si>
  <si>
    <t>24 Cardiff Place NW</t>
  </si>
  <si>
    <t>T2K1S3</t>
  </si>
  <si>
    <t>warnermatthew78@gmail.com</t>
  </si>
  <si>
    <t>Matthew Warner</t>
  </si>
  <si>
    <t>gcgrothe@hotmail.com</t>
  </si>
  <si>
    <t>hmgrothe4@gmail.com</t>
  </si>
  <si>
    <t>Grothe</t>
  </si>
  <si>
    <t>Hannah Grothe</t>
  </si>
  <si>
    <t>4306 Kilbourne Drive</t>
  </si>
  <si>
    <t>mrdavis95@gmail.com</t>
  </si>
  <si>
    <t>Madi</t>
  </si>
  <si>
    <t>Madi Davis</t>
  </si>
  <si>
    <t>964 Mountain View Dr.</t>
  </si>
  <si>
    <t>timonheidema@gmail.com</t>
  </si>
  <si>
    <t>Timon</t>
  </si>
  <si>
    <t>Heidema</t>
  </si>
  <si>
    <t>Timon Heidema</t>
  </si>
  <si>
    <t>katelyn8797@gmail.com</t>
  </si>
  <si>
    <t>Katelyn Joyce</t>
  </si>
  <si>
    <t>1267 Crestridge rd</t>
  </si>
  <si>
    <t>samuelcgard@gmail.com</t>
  </si>
  <si>
    <t>Samuel Gard</t>
  </si>
  <si>
    <t>laurenardle@gmail.com</t>
  </si>
  <si>
    <t>Lauren Ardle</t>
  </si>
  <si>
    <t>cmamissallie@gmail.com</t>
  </si>
  <si>
    <t>iluv1945@gmail.com</t>
  </si>
  <si>
    <t>Allie Knutson</t>
  </si>
  <si>
    <t>1721 10th St SW</t>
  </si>
  <si>
    <t>Justin Wilhelm</t>
  </si>
  <si>
    <t>joeandamysowers@gmail.com</t>
  </si>
  <si>
    <t>Dbs2808@email.vccs.edu</t>
  </si>
  <si>
    <t>Sowers</t>
  </si>
  <si>
    <t>Daniel Sowers</t>
  </si>
  <si>
    <t>111 Eddys Lane</t>
  </si>
  <si>
    <t>lawlessfam4@gmail.com</t>
  </si>
  <si>
    <t>alyssalawless2222@gmail.com</t>
  </si>
  <si>
    <t>Lawless</t>
  </si>
  <si>
    <t>Alyssa Lawless</t>
  </si>
  <si>
    <t>PO Box 84386</t>
  </si>
  <si>
    <t>arussell1519@gmail.com</t>
  </si>
  <si>
    <t>Abigail Russell</t>
  </si>
  <si>
    <t>15257 Brandon Drive</t>
  </si>
  <si>
    <t>Ponchatoula</t>
  </si>
  <si>
    <t>Nicholas Maurer</t>
  </si>
  <si>
    <t>b-b-3@hotmail.com</t>
  </si>
  <si>
    <t>Belle</t>
  </si>
  <si>
    <t>Belle Balkan</t>
  </si>
  <si>
    <t>3752 N Morning Dove Cir.</t>
  </si>
  <si>
    <t>mdwjmiller@gmail.com</t>
  </si>
  <si>
    <t>superwami9@gmail.com</t>
  </si>
  <si>
    <t>Warren Miller</t>
  </si>
  <si>
    <t>19970 Cold Spring Road</t>
  </si>
  <si>
    <t>Timberville</t>
  </si>
  <si>
    <t>shortshift6mt@gmail.com</t>
  </si>
  <si>
    <t>Coreysullivan2001@gmail.com</t>
  </si>
  <si>
    <t>Corey Sullivan</t>
  </si>
  <si>
    <t>1063 river avenue</t>
  </si>
  <si>
    <t>indmlewis@gmail.com</t>
  </si>
  <si>
    <t>caleb555lewis@gmail.com</t>
  </si>
  <si>
    <t>Caleb Lewis</t>
  </si>
  <si>
    <t>1035 Aviator Court</t>
  </si>
  <si>
    <t>tripleckranch@msn.com</t>
  </si>
  <si>
    <t>Kidwell</t>
  </si>
  <si>
    <t>Camden Kidwell</t>
  </si>
  <si>
    <t>ashleyengle147@gmail.com</t>
  </si>
  <si>
    <t>Ashley Engle</t>
  </si>
  <si>
    <t>3275 Placid View Dr</t>
  </si>
  <si>
    <t>jbboriack@gmail.com</t>
  </si>
  <si>
    <t>Josiah Boriack</t>
  </si>
  <si>
    <t>22909 Kobs Rd</t>
  </si>
  <si>
    <t>juliesnellgrove@gmail.com</t>
  </si>
  <si>
    <t>jjsnellgrove@gmail.com</t>
  </si>
  <si>
    <t>Snellgrove</t>
  </si>
  <si>
    <t>Joshua Snellgrove</t>
  </si>
  <si>
    <t>1410 Borger</t>
  </si>
  <si>
    <t>setsetmail@gmail.com</t>
  </si>
  <si>
    <t>Emma Johnson</t>
  </si>
  <si>
    <t>1809 Rangeview Rd.</t>
  </si>
  <si>
    <t>kew.chasingdreams@yahoo.com</t>
  </si>
  <si>
    <t>brierw1@gmail.com</t>
  </si>
  <si>
    <t>Brier</t>
  </si>
  <si>
    <t>Brier Ward</t>
  </si>
  <si>
    <t>1012 Old Olive Rd</t>
  </si>
  <si>
    <t>rsanders1224@gmail.com</t>
  </si>
  <si>
    <t>Jonathan Sanders</t>
  </si>
  <si>
    <t>811 NW C Street</t>
  </si>
  <si>
    <t>ksjsanders1997@gmail.com</t>
  </si>
  <si>
    <t>Kiran Sarah</t>
  </si>
  <si>
    <t>Kiran Sarah Sanders</t>
  </si>
  <si>
    <t>2303 SE St. Andrews Blvd</t>
  </si>
  <si>
    <t>Apt. #22</t>
  </si>
  <si>
    <t>suttonplumbing@aol.com</t>
  </si>
  <si>
    <t>Flyerplanes@aol.com</t>
  </si>
  <si>
    <t>Aidan Sutton</t>
  </si>
  <si>
    <t>85 Raleigh LaGrange Drive</t>
  </si>
  <si>
    <t>Emmaluw.36@gmail.com</t>
  </si>
  <si>
    <t>Emma Williams</t>
  </si>
  <si>
    <t>8730 Arbor Park Ct</t>
  </si>
  <si>
    <t>andrewgoddard01@yahoo.com</t>
  </si>
  <si>
    <t>Andrew Goddard</t>
  </si>
  <si>
    <t>327 Davis st</t>
  </si>
  <si>
    <t>northborough</t>
  </si>
  <si>
    <t>a.e.andersen20@gmail.com</t>
  </si>
  <si>
    <t>Anne Andersen</t>
  </si>
  <si>
    <t>18208 Baldwin Court</t>
  </si>
  <si>
    <t>Lester Prairie</t>
  </si>
  <si>
    <t>bthkep@gmail.com</t>
  </si>
  <si>
    <t>Sarahakep@gmail.com</t>
  </si>
  <si>
    <t>Sarah Kepner</t>
  </si>
  <si>
    <t>6023 E Walton</t>
  </si>
  <si>
    <t>Lydkep@gmail.com</t>
  </si>
  <si>
    <t>Lydia Kepner</t>
  </si>
  <si>
    <t>6023 E Walton Road</t>
  </si>
  <si>
    <t>negaardco@comcast.net</t>
  </si>
  <si>
    <t>Negaard</t>
  </si>
  <si>
    <t>Amy Negaard</t>
  </si>
  <si>
    <t>9448 Cairngorm Way</t>
  </si>
  <si>
    <t>rncpa@comcast.net</t>
  </si>
  <si>
    <t>Nicholas Negaard</t>
  </si>
  <si>
    <t>tettias@comcast.net</t>
  </si>
  <si>
    <t>Julianna Negaard</t>
  </si>
  <si>
    <t>noahbgulliver@gmail.com</t>
  </si>
  <si>
    <t>Noah Gulliver</t>
  </si>
  <si>
    <t>2800 Summer Swan Dr.</t>
  </si>
  <si>
    <t>kploeser@gmail.com</t>
  </si>
  <si>
    <t>Jacob Ploeser</t>
  </si>
  <si>
    <t>stace_tafoya@yahoo.com</t>
  </si>
  <si>
    <t>caroline.tafoya@gmail.com</t>
  </si>
  <si>
    <t>Caroline Tafoya</t>
  </si>
  <si>
    <t>315 Leyden St</t>
  </si>
  <si>
    <t>dlwilliams4848@yahoo.com</t>
  </si>
  <si>
    <t>awesomegeyser17@gmail.com</t>
  </si>
  <si>
    <t>Malachi Williams</t>
  </si>
  <si>
    <t>6025 Aspen</t>
  </si>
  <si>
    <t>jaimeecee@gmail.com</t>
  </si>
  <si>
    <t>samtheriddle1@gmail.com</t>
  </si>
  <si>
    <t>Riddle</t>
  </si>
  <si>
    <t>Samuel Riddle</t>
  </si>
  <si>
    <t>10838 King St.</t>
  </si>
  <si>
    <t>Jmwhittington1@gmail.com</t>
  </si>
  <si>
    <t>Joshua Whittington</t>
  </si>
  <si>
    <t>livymae17@gmail.com</t>
  </si>
  <si>
    <t>Olivia Engel</t>
  </si>
  <si>
    <t>Willileusink@gmail.com</t>
  </si>
  <si>
    <t>kathryne.huizinga@gmail.com</t>
  </si>
  <si>
    <t>Kathryne</t>
  </si>
  <si>
    <t>Kathryne Huizinga</t>
  </si>
  <si>
    <t>14423 McQueen Rd</t>
  </si>
  <si>
    <t>jwkoskinen@gmail.com</t>
  </si>
  <si>
    <t>Josiah Koskinen</t>
  </si>
  <si>
    <t>amarisanne@gmail.com</t>
  </si>
  <si>
    <t>Amaris Leusink</t>
  </si>
  <si>
    <t>10840 - 148 Street, NW</t>
  </si>
  <si>
    <t>T5N3H5</t>
  </si>
  <si>
    <t>evan@seedroff.com</t>
  </si>
  <si>
    <t>Evan Seedroff</t>
  </si>
  <si>
    <t>lukespalding05@gmail.com</t>
  </si>
  <si>
    <t>Spalding</t>
  </si>
  <si>
    <t>Luke Spalding</t>
  </si>
  <si>
    <t>1040 Farfields Dr</t>
  </si>
  <si>
    <t>tdfaaron@gmail.com</t>
  </si>
  <si>
    <t>hanselmorell@gmail.com</t>
  </si>
  <si>
    <t>Morell</t>
  </si>
  <si>
    <t>Hansel Morell</t>
  </si>
  <si>
    <t>2831 Gaywinds Ct</t>
  </si>
  <si>
    <t>mexaem@gmail.com</t>
  </si>
  <si>
    <t>Aubrey McLean</t>
  </si>
  <si>
    <t>14623 Avenue of the Rushes</t>
  </si>
  <si>
    <t>darran.waters@btinternet.com</t>
  </si>
  <si>
    <t>Joelwatersh2o@gmail.com</t>
  </si>
  <si>
    <t>Joel Waters</t>
  </si>
  <si>
    <t>73 St Benedict Crescent</t>
  </si>
  <si>
    <t>Cardiff</t>
  </si>
  <si>
    <t>CF14 4DP</t>
  </si>
  <si>
    <t>david.petersen@tutanota.com</t>
  </si>
  <si>
    <t>David Petersen</t>
  </si>
  <si>
    <t>jeremy@cbcl.org</t>
  </si>
  <si>
    <t>jack.hc.lazzell@gmail.com</t>
  </si>
  <si>
    <t>Lazzell</t>
  </si>
  <si>
    <t>Jack Lazzell</t>
  </si>
  <si>
    <t>443 Old Farm Lane</t>
  </si>
  <si>
    <t>Lapeer</t>
  </si>
  <si>
    <t>gloriacassady@gmail.com</t>
  </si>
  <si>
    <t>cassfam7@yahoo.com</t>
  </si>
  <si>
    <t>Cassady</t>
  </si>
  <si>
    <t>Joel Cassady</t>
  </si>
  <si>
    <t>915 Bay Circle</t>
  </si>
  <si>
    <t>druandjoy@gmail.com</t>
  </si>
  <si>
    <t>gracie2194@gmail.com</t>
  </si>
  <si>
    <t>Shiner</t>
  </si>
  <si>
    <t>Sydni Shiner</t>
  </si>
  <si>
    <t>8009 W 102nd Terrace</t>
  </si>
  <si>
    <t>annalicious299@gmail.com</t>
  </si>
  <si>
    <t>Bottoms</t>
  </si>
  <si>
    <t>Anna Bottoms</t>
  </si>
  <si>
    <t>123 Sandpiper Ln</t>
  </si>
  <si>
    <t>Stonewall</t>
  </si>
  <si>
    <t>rockmama14@gmail.com</t>
  </si>
  <si>
    <t>aliah.isaac16@gmail.com</t>
  </si>
  <si>
    <t>Aliah</t>
  </si>
  <si>
    <t>Aliah Isaac</t>
  </si>
  <si>
    <t>1282 Oldfield St.</t>
  </si>
  <si>
    <t>curry.marsha@gmail.com</t>
  </si>
  <si>
    <t>lee4.curry4@gmail.com</t>
  </si>
  <si>
    <t>Lee Curry</t>
  </si>
  <si>
    <t>18706 Tamer View Court</t>
  </si>
  <si>
    <t>kyberspam@gmail.com</t>
  </si>
  <si>
    <t>Alexander Yanov</t>
  </si>
  <si>
    <t>1125 College Blvd N</t>
  </si>
  <si>
    <t>Lynn Haven</t>
  </si>
  <si>
    <t>elisabeth.jackel@gmail.com</t>
  </si>
  <si>
    <t>Elisabeth Jackel</t>
  </si>
  <si>
    <t>kari@theharveys.org</t>
  </si>
  <si>
    <t>ana@theharveys.org</t>
  </si>
  <si>
    <t>Anabelle</t>
  </si>
  <si>
    <t>Anabelle Harvey</t>
  </si>
  <si>
    <t>15208 Lions Passage</t>
  </si>
  <si>
    <t>HHN1323@comcast.net</t>
  </si>
  <si>
    <t>Howard Newman</t>
  </si>
  <si>
    <t>melissa@melissayeomans.org</t>
  </si>
  <si>
    <t>livy.k@hotmail.com</t>
  </si>
  <si>
    <t>Yeomans</t>
  </si>
  <si>
    <t>Olivia Yeomans</t>
  </si>
  <si>
    <t>1026 Kirk SE</t>
  </si>
  <si>
    <t>emily.allons.y@gmail.com</t>
  </si>
  <si>
    <t>Emily Sadler</t>
  </si>
  <si>
    <t>hannahgkipper@gmail.com</t>
  </si>
  <si>
    <t>Kipper</t>
  </si>
  <si>
    <t>Hannah Kipper</t>
  </si>
  <si>
    <t>4203 Mesa View Ct.</t>
  </si>
  <si>
    <t>danibarney619@gmail.com</t>
  </si>
  <si>
    <t>madibarney2019@gmail.com</t>
  </si>
  <si>
    <t>Barney</t>
  </si>
  <si>
    <t>Madison Barney</t>
  </si>
  <si>
    <t>5845 Kappa Street</t>
  </si>
  <si>
    <t>stephanierbramble@gmail.com</t>
  </si>
  <si>
    <t>Bramble</t>
  </si>
  <si>
    <t>Stephanie Bramble</t>
  </si>
  <si>
    <t>1771 Lake Forest Circle</t>
  </si>
  <si>
    <t>lgmcneill0105@gmail.com</t>
  </si>
  <si>
    <t>McNeill</t>
  </si>
  <si>
    <t>Liam McNeill</t>
  </si>
  <si>
    <t>1502 Lake Forest Circle</t>
  </si>
  <si>
    <t>shuldab@icloud.com</t>
  </si>
  <si>
    <t>Shuldab@icloud.com</t>
  </si>
  <si>
    <t>Shulda</t>
  </si>
  <si>
    <t>Brayden Shulda</t>
  </si>
  <si>
    <t>57Dutton Dr</t>
  </si>
  <si>
    <t>NickAlexGuest@gmail.com</t>
  </si>
  <si>
    <t>Nicholas Guest</t>
  </si>
  <si>
    <t>joyfullivingdistributor@yahoo.com</t>
  </si>
  <si>
    <t>Abiebell99@gmail.com</t>
  </si>
  <si>
    <t>Abigail Bell</t>
  </si>
  <si>
    <t>1601 Kelly Rd</t>
  </si>
  <si>
    <t>rjbell97@gmail.com</t>
  </si>
  <si>
    <t>Rebekah Bell</t>
  </si>
  <si>
    <t>Kelly Rd</t>
  </si>
  <si>
    <t>jfleck94@gmail.com</t>
  </si>
  <si>
    <t>fleck.faith@yahoo.com</t>
  </si>
  <si>
    <t>Fleck</t>
  </si>
  <si>
    <t>Faith Fleck</t>
  </si>
  <si>
    <t>2577 S 775 E</t>
  </si>
  <si>
    <t>danaberger@live.com</t>
  </si>
  <si>
    <t>annelise.berger@live.com</t>
  </si>
  <si>
    <t>Annelise Berger</t>
  </si>
  <si>
    <t>2603 Corral Road</t>
  </si>
  <si>
    <t>bergkland@gmail.com</t>
  </si>
  <si>
    <t>egosumvespasian@gmail.com</t>
  </si>
  <si>
    <t>Gideon Bergman</t>
  </si>
  <si>
    <t>1104 NW 2nd Avenue</t>
  </si>
  <si>
    <t>bpetak70@gmail.com</t>
  </si>
  <si>
    <t>josiahpetak1@gmail.com</t>
  </si>
  <si>
    <t>Petak</t>
  </si>
  <si>
    <t>Josiah Petak</t>
  </si>
  <si>
    <t>15634 Lacuna Drive</t>
  </si>
  <si>
    <t>camckee@dteworld.com</t>
  </si>
  <si>
    <t>lmckee@dteworld.com</t>
  </si>
  <si>
    <t>Lilah McKee</t>
  </si>
  <si>
    <t>PO Box 52</t>
  </si>
  <si>
    <t>Savery</t>
  </si>
  <si>
    <t>zombielollipop15@gmail.com</t>
  </si>
  <si>
    <t>Harvell</t>
  </si>
  <si>
    <t>Lindsey Harvell</t>
  </si>
  <si>
    <t>jkschippert@msn.com</t>
  </si>
  <si>
    <t>alayna.schippert@gmail.com</t>
  </si>
  <si>
    <t>Schippert</t>
  </si>
  <si>
    <t>Alayna Schippert</t>
  </si>
  <si>
    <t>1505 Tamarack CC TRL</t>
  </si>
  <si>
    <t>joshuareeves2000@gmail.com</t>
  </si>
  <si>
    <t>Joshua Reeves</t>
  </si>
  <si>
    <t>1894 E. Scorpio Place</t>
  </si>
  <si>
    <t>moscowlou@gmail.com</t>
  </si>
  <si>
    <t>Marina</t>
  </si>
  <si>
    <t>Warbington</t>
  </si>
  <si>
    <t>Marina Warbington</t>
  </si>
  <si>
    <t>28359 Gamble Rd</t>
  </si>
  <si>
    <t>cneath@yardmedia.com</t>
  </si>
  <si>
    <t>danjorn@gmail.com</t>
  </si>
  <si>
    <t>Neath</t>
  </si>
  <si>
    <t>Daniel Neath</t>
  </si>
  <si>
    <t>2473 Tahoe Circle</t>
  </si>
  <si>
    <t>001angelaanderson@gmail.com</t>
  </si>
  <si>
    <t>Laanderson513315@gmail.com</t>
  </si>
  <si>
    <t>Laine Anderson</t>
  </si>
  <si>
    <t>1816 Wickham Dr</t>
  </si>
  <si>
    <t>Burleson</t>
  </si>
  <si>
    <t>mfuhr64@hotmail.com</t>
  </si>
  <si>
    <t>bfuhr626@gmail.com</t>
  </si>
  <si>
    <t>Fuhr</t>
  </si>
  <si>
    <t>Brendon Fuhr</t>
  </si>
  <si>
    <t>3014 Meadow Lane</t>
  </si>
  <si>
    <t>Spearfish</t>
  </si>
  <si>
    <t>jaidynn_nicole@yahoo.com</t>
  </si>
  <si>
    <t>Jaidynn</t>
  </si>
  <si>
    <t>Ewer</t>
  </si>
  <si>
    <t>Jaidynn Ewer</t>
  </si>
  <si>
    <t>36715 157th Ave</t>
  </si>
  <si>
    <t>tabithapendleton@hotmail.com</t>
  </si>
  <si>
    <t>caryspendleton03@gmail.com</t>
  </si>
  <si>
    <t>Carys</t>
  </si>
  <si>
    <t>Carys Pendleton</t>
  </si>
  <si>
    <t>5508 Copperridge Ct</t>
  </si>
  <si>
    <t>jenvaughan32@gmail.com</t>
  </si>
  <si>
    <t>alexandrialighthouse32@gmail.com</t>
  </si>
  <si>
    <t>Vaughan</t>
  </si>
  <si>
    <t>Alexandria Vaughan</t>
  </si>
  <si>
    <t>4933 S. Dillon St.</t>
  </si>
  <si>
    <t>rob.morton@cox.net</t>
  </si>
  <si>
    <t>emmers2002@me.com</t>
  </si>
  <si>
    <t>Emily Morton</t>
  </si>
  <si>
    <t>420 Williams Road</t>
  </si>
  <si>
    <t>Peacebugs7@gmail.com</t>
  </si>
  <si>
    <t>Katherine Beinetti</t>
  </si>
  <si>
    <t>4jlcc@comcast.net</t>
  </si>
  <si>
    <t>Collinf2001@gmail.com</t>
  </si>
  <si>
    <t>Fiorentini</t>
  </si>
  <si>
    <t>Collin Fiorentini</t>
  </si>
  <si>
    <t>1305 Redwood Lane</t>
  </si>
  <si>
    <t>jneller@gmail.com</t>
  </si>
  <si>
    <t>taylor.neller@gmail.com</t>
  </si>
  <si>
    <t>Neller</t>
  </si>
  <si>
    <t>Taylor Neller</t>
  </si>
  <si>
    <t>475 Hilltown Road</t>
  </si>
  <si>
    <t>Gettysburg</t>
  </si>
  <si>
    <t>lauradmcdonald@yahoo.com</t>
  </si>
  <si>
    <t>stilesmcdonald@gmail.com</t>
  </si>
  <si>
    <t>Trusten</t>
  </si>
  <si>
    <t>Trusten McDonald</t>
  </si>
  <si>
    <t>12250 E Hwy 25</t>
  </si>
  <si>
    <t>Ocklawaha</t>
  </si>
  <si>
    <t>abchew4@gmail.com</t>
  </si>
  <si>
    <t>Chew</t>
  </si>
  <si>
    <t>Ariel Chew</t>
  </si>
  <si>
    <t>130 Arlington Drive</t>
  </si>
  <si>
    <t>dduke199@gmail.com</t>
  </si>
  <si>
    <t>Daniel Duke</t>
  </si>
  <si>
    <t>199 Duke Hollow Rd.</t>
  </si>
  <si>
    <t>mhoroho@hotmail.com</t>
  </si>
  <si>
    <t>horoholydia@yahoo.com</t>
  </si>
  <si>
    <t>Horoho</t>
  </si>
  <si>
    <t>Lydia Horoho</t>
  </si>
  <si>
    <t>1907 Crossman Dr</t>
  </si>
  <si>
    <t>roller4971@yahoo.com</t>
  </si>
  <si>
    <t>Veronica</t>
  </si>
  <si>
    <t>Veronica Erickson</t>
  </si>
  <si>
    <t>22200 Chaparral Ln</t>
  </si>
  <si>
    <t>lizzy111213@gmail.com</t>
  </si>
  <si>
    <t>Elizabeth Young</t>
  </si>
  <si>
    <t>7508 Iridium Ct</t>
  </si>
  <si>
    <t>sylspivey@att.net</t>
  </si>
  <si>
    <t>Ethan.spivey07@gmail.com</t>
  </si>
  <si>
    <t>Spivey</t>
  </si>
  <si>
    <t>Ethan Spivey</t>
  </si>
  <si>
    <t>339 Bernard Avenue</t>
  </si>
  <si>
    <t>rcalvert100@gmail.com</t>
  </si>
  <si>
    <t>ccalvert13331@gmail.com</t>
  </si>
  <si>
    <t>Courtney Calvert</t>
  </si>
  <si>
    <t>74 West Shore Dr</t>
  </si>
  <si>
    <t>yanezdavid@seattleu.edu</t>
  </si>
  <si>
    <t>YaÒez</t>
  </si>
  <si>
    <t>David YaÒez</t>
  </si>
  <si>
    <t>193 Caseta Way</t>
  </si>
  <si>
    <t>4desks@gmail.com</t>
  </si>
  <si>
    <t>Ian Davenport</t>
  </si>
  <si>
    <t>9060 Rutledge Dr.</t>
  </si>
  <si>
    <t>Jess.taylor2000@yahoo.com</t>
  </si>
  <si>
    <t>jess.taylor2000@yahoo.com</t>
  </si>
  <si>
    <t>Shutt</t>
  </si>
  <si>
    <t>Jessica Shutt</t>
  </si>
  <si>
    <t>4133 Sunset Trail N</t>
  </si>
  <si>
    <t>reh.trustgod@gmail.com</t>
  </si>
  <si>
    <t>daharvey2021@foothillsschool.net</t>
  </si>
  <si>
    <t>Daniel Harvey</t>
  </si>
  <si>
    <t>1577 Griffith Rd</t>
  </si>
  <si>
    <t>D</t>
  </si>
  <si>
    <t>Ramona</t>
  </si>
  <si>
    <t>cassandracolorado@gmail.com</t>
  </si>
  <si>
    <t>e007colorado@gmail.com</t>
  </si>
  <si>
    <t>Ethan Colorado</t>
  </si>
  <si>
    <t>211 Gordon Court</t>
  </si>
  <si>
    <t>lizzieloudaley@gmail.com</t>
  </si>
  <si>
    <t>Daley</t>
  </si>
  <si>
    <t>Elizabeth Daley</t>
  </si>
  <si>
    <t>6527 Courtwood dr</t>
  </si>
  <si>
    <t>sheridannicolewood@gmail.com</t>
  </si>
  <si>
    <t>Sheridan Wood</t>
  </si>
  <si>
    <t>5305 CR 7340</t>
  </si>
  <si>
    <t>tonya@davisseptic.comcastbiz.net</t>
  </si>
  <si>
    <t>Colby.Rector@marionstudents.net</t>
  </si>
  <si>
    <t>Colby Rector</t>
  </si>
  <si>
    <t>28 Juniper Trail</t>
  </si>
  <si>
    <t>enosmom@gmail.com</t>
  </si>
  <si>
    <t>trentenos73@gmail.com</t>
  </si>
  <si>
    <t>Enos</t>
  </si>
  <si>
    <t>Trent Enos</t>
  </si>
  <si>
    <t>17450 Herring Road</t>
  </si>
  <si>
    <t>jesther96@msn.com</t>
  </si>
  <si>
    <t>Brenna Petersen</t>
  </si>
  <si>
    <t>2012 Whitney Lane</t>
  </si>
  <si>
    <t>spk01@zoominternet.net</t>
  </si>
  <si>
    <t>Sean Kennedy</t>
  </si>
  <si>
    <t>212 Emerson Dr</t>
  </si>
  <si>
    <t>adkpropertiesllc@gmail.com</t>
  </si>
  <si>
    <t>caitlinbowling11@gmail.com</t>
  </si>
  <si>
    <t>Bowling</t>
  </si>
  <si>
    <t>Caitlin Bowling</t>
  </si>
  <si>
    <t>4101 Coury Lane</t>
  </si>
  <si>
    <t>lemming010303@gmail.com</t>
  </si>
  <si>
    <t>Besedina</t>
  </si>
  <si>
    <t>Maria Besedina</t>
  </si>
  <si>
    <t>aforster@westshorefree.org</t>
  </si>
  <si>
    <t>ej4thelord@gmail.com</t>
  </si>
  <si>
    <t>Schreiber</t>
  </si>
  <si>
    <t>Elijah Schreiber</t>
  </si>
  <si>
    <t>147 S York Rd</t>
  </si>
  <si>
    <t>20lockwoodj@masdstudent.org</t>
  </si>
  <si>
    <t>James Lockwood</t>
  </si>
  <si>
    <t>931 Herman Ave</t>
  </si>
  <si>
    <t>annika@stockbauerfamily.com</t>
  </si>
  <si>
    <t>Annika Stockbauer</t>
  </si>
  <si>
    <t>2234 Canterbury Dr</t>
  </si>
  <si>
    <t>381 County Rd 18</t>
  </si>
  <si>
    <t>rayramk9@yahoo.com</t>
  </si>
  <si>
    <t>x-manlaker@hotmail.com</t>
  </si>
  <si>
    <t>Xavier</t>
  </si>
  <si>
    <t>Xavier Ramirez</t>
  </si>
  <si>
    <t>1312 ECR 128</t>
  </si>
  <si>
    <t>mikestover@me.com</t>
  </si>
  <si>
    <t>noahpotus2040@yahoo.com</t>
  </si>
  <si>
    <t>Noah Lowe</t>
  </si>
  <si>
    <t>202 Brierwood Ln</t>
  </si>
  <si>
    <t>Beaver</t>
  </si>
  <si>
    <t>amberkcollins@yahoo.com</t>
  </si>
  <si>
    <t>pinkzebra900@gmail.com</t>
  </si>
  <si>
    <t>Mckayla</t>
  </si>
  <si>
    <t>Mckayla Collins</t>
  </si>
  <si>
    <t>8701 granbury hwy</t>
  </si>
  <si>
    <t>tim_holm@yahoo.com</t>
  </si>
  <si>
    <t>bradenholm@gmail.com</t>
  </si>
  <si>
    <t>Braden Holm</t>
  </si>
  <si>
    <t>terrythompson271@gmail.com</t>
  </si>
  <si>
    <t>Terry Thompson</t>
  </si>
  <si>
    <t>550 North Green Ridge</t>
  </si>
  <si>
    <t>idrumforhim@gmail.com</t>
  </si>
  <si>
    <t>Mackey</t>
  </si>
  <si>
    <t>Christopher Mackey</t>
  </si>
  <si>
    <t>420 Hickory Ridge</t>
  </si>
  <si>
    <t>therewillbeaday831@gmail.com</t>
  </si>
  <si>
    <t>Saige</t>
  </si>
  <si>
    <t>Saige Louria</t>
  </si>
  <si>
    <t>olenkashwill@gmail.com</t>
  </si>
  <si>
    <t>Olenka</t>
  </si>
  <si>
    <t>Olenka Ashwill</t>
  </si>
  <si>
    <t>11306 Michigan Dr</t>
  </si>
  <si>
    <t>saylorgrace14@gmail.com</t>
  </si>
  <si>
    <t>Saylor Miller</t>
  </si>
  <si>
    <t>103 Logan Berry Circle</t>
  </si>
  <si>
    <t>thethompsons@rittermail.com</t>
  </si>
  <si>
    <t>jacobthompson22102@gmail.com</t>
  </si>
  <si>
    <t>8451 Powder Plant Drive</t>
  </si>
  <si>
    <t>manthonydo2@gmail.com</t>
  </si>
  <si>
    <t>Maiolo</t>
  </si>
  <si>
    <t>David Maiolo</t>
  </si>
  <si>
    <t>PO Box 2781</t>
  </si>
  <si>
    <t>Beckley</t>
  </si>
  <si>
    <t>csmunsinger@gmail.com</t>
  </si>
  <si>
    <t>makenzie_n@icloud.com</t>
  </si>
  <si>
    <t>Munsinger</t>
  </si>
  <si>
    <t>Makenzie Munsinger</t>
  </si>
  <si>
    <t>2229 summerfield drive</t>
  </si>
  <si>
    <t>castle rock</t>
  </si>
  <si>
    <t>daniel.green@my.uu.edu</t>
  </si>
  <si>
    <t>arli@theuntamedmouse.com</t>
  </si>
  <si>
    <t>Arlington Schlabach</t>
  </si>
  <si>
    <t>sherri.gould99@gmail.com</t>
  </si>
  <si>
    <t>Brooklynnrae.dowork@gmail.com</t>
  </si>
  <si>
    <t>Brooklynn Gould</t>
  </si>
  <si>
    <t>18700 upper skyline drive</t>
  </si>
  <si>
    <t>Victoria Green</t>
  </si>
  <si>
    <t>dalenbaldridge5@gmail.com</t>
  </si>
  <si>
    <t>dalen</t>
  </si>
  <si>
    <t>baldridge</t>
  </si>
  <si>
    <t>dalen baldridge</t>
  </si>
  <si>
    <t>24108 s 80th ave</t>
  </si>
  <si>
    <t>schan1m@gmail.com</t>
  </si>
  <si>
    <t>sschantz4@gmail.com</t>
  </si>
  <si>
    <t>Schantz</t>
  </si>
  <si>
    <t>Savannah Schantz</t>
  </si>
  <si>
    <t>6900 Crystalline CT SE</t>
  </si>
  <si>
    <t>paytonhunnicutt@gmail.com</t>
  </si>
  <si>
    <t>Payton Hunnicutt</t>
  </si>
  <si>
    <t>609 S G Rd</t>
  </si>
  <si>
    <t>texashsmom@sbcglobal.net</t>
  </si>
  <si>
    <t>girlwithapiano2000@gmail.com</t>
  </si>
  <si>
    <t>Eliana Wilhelm</t>
  </si>
  <si>
    <t>5440 Shallow Creek Dr.</t>
  </si>
  <si>
    <t>kyle@edgewoodbaptist.net</t>
  </si>
  <si>
    <t>adamrangen@gmail.com</t>
  </si>
  <si>
    <t>Rangen</t>
  </si>
  <si>
    <t>Adam Rangen</t>
  </si>
  <si>
    <t>1940 23rd St. A</t>
  </si>
  <si>
    <t>Moline</t>
  </si>
  <si>
    <t>benembry@gmail.com</t>
  </si>
  <si>
    <t>Lizembry.tx@gmail.com</t>
  </si>
  <si>
    <t>Embry</t>
  </si>
  <si>
    <t>Elisabeth Embry</t>
  </si>
  <si>
    <t>14245 county road 2143</t>
  </si>
  <si>
    <t>rottylar@aol.com</t>
  </si>
  <si>
    <t>Addy</t>
  </si>
  <si>
    <t>Addy Mitchell</t>
  </si>
  <si>
    <t>PO Box 681</t>
  </si>
  <si>
    <t>Colona</t>
  </si>
  <si>
    <t>gcousens@laurelschool.org</t>
  </si>
  <si>
    <t>Cousens</t>
  </si>
  <si>
    <t>Grace Cousens</t>
  </si>
  <si>
    <t>10770 Locust Grove Drive</t>
  </si>
  <si>
    <t>beane@mchsi.com</t>
  </si>
  <si>
    <t>Emily Lewis</t>
  </si>
  <si>
    <t>2619 116th Ave W</t>
  </si>
  <si>
    <t>bob@neubaum.com</t>
  </si>
  <si>
    <t>Julia@Neubaum.com</t>
  </si>
  <si>
    <t>Neubaum</t>
  </si>
  <si>
    <t>Julia Neubaum</t>
  </si>
  <si>
    <t>337 Sterling Lane</t>
  </si>
  <si>
    <t>bmikiska@hotmail.com</t>
  </si>
  <si>
    <t>Bmikiska@hotmail.com</t>
  </si>
  <si>
    <t>Mikiska</t>
  </si>
  <si>
    <t>Ellie Mikiska</t>
  </si>
  <si>
    <t>16116 N Castlebrook Ln</t>
  </si>
  <si>
    <t>kristy4him@live.com</t>
  </si>
  <si>
    <t>1918 Terrace Ct.</t>
  </si>
  <si>
    <t>sarahrachelusa@gmail.com</t>
  </si>
  <si>
    <t>Sarah Scott</t>
  </si>
  <si>
    <t>167 Proctor Hill Rd</t>
  </si>
  <si>
    <t>egj2402@gmail.com</t>
  </si>
  <si>
    <t>Janecek</t>
  </si>
  <si>
    <t>Emma Janecek</t>
  </si>
  <si>
    <t>524 Garrett Ct.</t>
  </si>
  <si>
    <t>Blue Grass</t>
  </si>
  <si>
    <t>emmalin19@gmail.com</t>
  </si>
  <si>
    <t>Chenyu</t>
  </si>
  <si>
    <t>Chenyu Lin</t>
  </si>
  <si>
    <t>2817 Arabian Avenue</t>
  </si>
  <si>
    <t>mycreeper77@gmail.com</t>
  </si>
  <si>
    <t>Jake Frey</t>
  </si>
  <si>
    <t>16525 13th St.</t>
  </si>
  <si>
    <t>gary.becker@aecom.com</t>
  </si>
  <si>
    <t>pjbecker64@gmail.com</t>
  </si>
  <si>
    <t>Philip Becker</t>
  </si>
  <si>
    <t>242 Glendale Dr.</t>
  </si>
  <si>
    <t>Metairie</t>
  </si>
  <si>
    <t>anthony.j.frey@gmail.com</t>
  </si>
  <si>
    <t>Nick Frey</t>
  </si>
  <si>
    <t>kknapp@ordstmarys.org</t>
  </si>
  <si>
    <t>austin.r.knapp@gmail.com</t>
  </si>
  <si>
    <t>Austin Knapp</t>
  </si>
  <si>
    <t>47847 806th Rd.</t>
  </si>
  <si>
    <t>cjacobs71@verizon.net</t>
  </si>
  <si>
    <t>cjaobs71@verizon.net</t>
  </si>
  <si>
    <t>Dylan Jacobs</t>
  </si>
  <si>
    <t>PO BOX 1094</t>
  </si>
  <si>
    <t>ajsmama@hotmail.com</t>
  </si>
  <si>
    <t>AJ</t>
  </si>
  <si>
    <t>Langworthy</t>
  </si>
  <si>
    <t>AJ Langworthy</t>
  </si>
  <si>
    <t>4044 W 14th Ct.</t>
  </si>
  <si>
    <t>pats25@frontier.com</t>
  </si>
  <si>
    <t>Noah Hanson</t>
  </si>
  <si>
    <t>601 NW 6th St.</t>
  </si>
  <si>
    <t>rob.mittuch@cru.org</t>
  </si>
  <si>
    <t>elliemittuch@gmail.com</t>
  </si>
  <si>
    <t>Mittuch</t>
  </si>
  <si>
    <t>Ellie Mittuch</t>
  </si>
  <si>
    <t>1526 Fox Run Dr</t>
  </si>
  <si>
    <t>mitchell.l.knapp123@gmail.com</t>
  </si>
  <si>
    <t>Mitchell Knapp</t>
  </si>
  <si>
    <t>lmele01@snet.net</t>
  </si>
  <si>
    <t>abunny05@gmail.com</t>
  </si>
  <si>
    <t>Mele</t>
  </si>
  <si>
    <t>Abigail Mele</t>
  </si>
  <si>
    <t>48 Depot Hill Rd</t>
  </si>
  <si>
    <t>P.O. Box 233</t>
  </si>
  <si>
    <t>Cobalt</t>
  </si>
  <si>
    <t>smcord@hotmail.com</t>
  </si>
  <si>
    <t>custerlives44@gmail.com</t>
  </si>
  <si>
    <t>Benjamin Stevens</t>
  </si>
  <si>
    <t>1820 N ST</t>
  </si>
  <si>
    <t>alexvandegrift@cookinletalaska.org</t>
  </si>
  <si>
    <t>Van De Grift</t>
  </si>
  <si>
    <t>Alexander Van De Grift</t>
  </si>
  <si>
    <t>42520 National Ave</t>
  </si>
  <si>
    <t>t.stevens4344@gmail.com</t>
  </si>
  <si>
    <t>Thomas Stevens</t>
  </si>
  <si>
    <t>trenholmbl@earthlink.net</t>
  </si>
  <si>
    <t>trenholmea@earthlink.net</t>
  </si>
  <si>
    <t>Trenholm</t>
  </si>
  <si>
    <t>Esteban Trenholm</t>
  </si>
  <si>
    <t>3750 Pine Meadow Ave</t>
  </si>
  <si>
    <t>acizek@cookinletalaska.org</t>
  </si>
  <si>
    <t>Anna Cizek</t>
  </si>
  <si>
    <t>jleaf@cookinletlalaska.org</t>
  </si>
  <si>
    <t>Jiabao</t>
  </si>
  <si>
    <t>Jiabao Leaf</t>
  </si>
  <si>
    <t>1006 crow court</t>
  </si>
  <si>
    <t>kenai</t>
  </si>
  <si>
    <t>keith@rammnation.com</t>
  </si>
  <si>
    <t>kjoy2803@gmail.com</t>
  </si>
  <si>
    <t>Ramm</t>
  </si>
  <si>
    <t>Kathleen Ramm</t>
  </si>
  <si>
    <t>210 31st Street NW</t>
  </si>
  <si>
    <t>grace.cola@gmail.com</t>
  </si>
  <si>
    <t>Nicole Sorial</t>
  </si>
  <si>
    <t>4 Fuller Dr</t>
  </si>
  <si>
    <t>erin@rammnation.com</t>
  </si>
  <si>
    <t>Erin Ramm</t>
  </si>
  <si>
    <t>sorkpreuss@yahoo.com</t>
  </si>
  <si>
    <t>lynnaya.preuss@gmail.com</t>
  </si>
  <si>
    <t>Lynnaya</t>
  </si>
  <si>
    <t>Lynnaya Preuss</t>
  </si>
  <si>
    <t>ajoycarey@cox.net</t>
  </si>
  <si>
    <t>dvdcarey@cox.net</t>
  </si>
  <si>
    <t>David Carey</t>
  </si>
  <si>
    <t>3408 N 83rd St</t>
  </si>
  <si>
    <t>julflips@gmail.com</t>
  </si>
  <si>
    <t>Siahflips@gmail.com</t>
  </si>
  <si>
    <t>Josiah Phipps</t>
  </si>
  <si>
    <t>4537 Miller Dr</t>
  </si>
  <si>
    <t>liv2swim818@gmail.com</t>
  </si>
  <si>
    <t>Olivia Jordan</t>
  </si>
  <si>
    <t>3715 Zuber Rd</t>
  </si>
  <si>
    <t>joyinjesus14@gmail.com</t>
  </si>
  <si>
    <t>rachaelsadler01@gmail.com</t>
  </si>
  <si>
    <t>Rachaelsadler01@gmail.com</t>
  </si>
  <si>
    <t>Rachael Sadler</t>
  </si>
  <si>
    <t>6832 Andrews Road</t>
  </si>
  <si>
    <t>ecgriffith69@gmail.com</t>
  </si>
  <si>
    <t>Ethan Griffith</t>
  </si>
  <si>
    <t>molly@pierceclan.net</t>
  </si>
  <si>
    <t>Molly Pierce</t>
  </si>
  <si>
    <t>harrisonsix@bellsouth.net</t>
  </si>
  <si>
    <t>Slh2001@bellsouth.net</t>
  </si>
  <si>
    <t>Samantha Harrison</t>
  </si>
  <si>
    <t>msecrist737@gmail.com</t>
  </si>
  <si>
    <t>jmsecrist01@gmail.com</t>
  </si>
  <si>
    <t>Secrist</t>
  </si>
  <si>
    <t>John Secrist</t>
  </si>
  <si>
    <t>2054 Honeysuckle Lane</t>
  </si>
  <si>
    <t>josephjcarman@gmail.com</t>
  </si>
  <si>
    <t>Joseph Carman</t>
  </si>
  <si>
    <t>dhulen@comcast.net</t>
  </si>
  <si>
    <t>mariah@hulen.name</t>
  </si>
  <si>
    <t>Mariah Hulen</t>
  </si>
  <si>
    <t>10229 Cloverlea Ct.</t>
  </si>
  <si>
    <t>nbrado18@gmail.com</t>
  </si>
  <si>
    <t>Noah Braden</t>
  </si>
  <si>
    <t>12960 SW 15th St.</t>
  </si>
  <si>
    <t>htchapman2121@yahoo.com</t>
  </si>
  <si>
    <t>Haven Chapman</t>
  </si>
  <si>
    <t>3919 Grandview Rd</t>
  </si>
  <si>
    <t>suz.leslie777@gmail.com</t>
  </si>
  <si>
    <t>mjl191@students.needham.k12.ma.us</t>
  </si>
  <si>
    <t>Michaela Leslie</t>
  </si>
  <si>
    <t>49 Walnut Street</t>
  </si>
  <si>
    <t>Needham</t>
  </si>
  <si>
    <t>chapmandane5@gmail.com</t>
  </si>
  <si>
    <t>Dane Chapman</t>
  </si>
  <si>
    <t>kensts@netzero.net</t>
  </si>
  <si>
    <t>Anah</t>
  </si>
  <si>
    <t>Anah Olsen</t>
  </si>
  <si>
    <t>1856 Mountain View Road</t>
  </si>
  <si>
    <t>ktfurr@gmail.com</t>
  </si>
  <si>
    <t>landenfurr@gmail.com</t>
  </si>
  <si>
    <t>Landen</t>
  </si>
  <si>
    <t>Furr</t>
  </si>
  <si>
    <t>Landen Furr</t>
  </si>
  <si>
    <t>1730 Scotts Hill Loop Rd.</t>
  </si>
  <si>
    <t>brubakerjadin41@gmail.com</t>
  </si>
  <si>
    <t>Jadin</t>
  </si>
  <si>
    <t>Brubaker</t>
  </si>
  <si>
    <t>Jadin Brubaker</t>
  </si>
  <si>
    <t>461 Dayton Dr.</t>
  </si>
  <si>
    <t>paulnleslie@hotmail.com</t>
  </si>
  <si>
    <t>cocataro2103@gmail.com</t>
  </si>
  <si>
    <t>Austin Gregory</t>
  </si>
  <si>
    <t>1537 Willow Oak Rd.</t>
  </si>
  <si>
    <t>dmoos@cookinletalaska.org</t>
  </si>
  <si>
    <t>Dakota Moos</t>
  </si>
  <si>
    <t>PO Box 1484</t>
  </si>
  <si>
    <t>bemaxson2012@gmail.com</t>
  </si>
  <si>
    <t>bemaxson2016@gmail.com</t>
  </si>
  <si>
    <t>Maxson</t>
  </si>
  <si>
    <t>Clara Maxson</t>
  </si>
  <si>
    <t>1285 Walnut Shell Drive</t>
  </si>
  <si>
    <t>Vinton</t>
  </si>
  <si>
    <t>loganslawncare@outlook.com</t>
  </si>
  <si>
    <t>Boeker</t>
  </si>
  <si>
    <t>Logan Boeker</t>
  </si>
  <si>
    <t>4861 N Ranch Cir.</t>
  </si>
  <si>
    <t>ehfouts@msn.com</t>
  </si>
  <si>
    <t>Lillian Fouts</t>
  </si>
  <si>
    <t>lea@hcinc1.com</t>
  </si>
  <si>
    <t>csticks@hcinc1.com</t>
  </si>
  <si>
    <t>Braun, II</t>
  </si>
  <si>
    <t>Carl Braun, II</t>
  </si>
  <si>
    <t>1208 Century Oak Dr</t>
  </si>
  <si>
    <t>peri25h@gmail.com</t>
  </si>
  <si>
    <t>Peri Hinton</t>
  </si>
  <si>
    <t>22196 Oriole Drive</t>
  </si>
  <si>
    <t>Stevenfatz12397460@gmail.com</t>
  </si>
  <si>
    <t>Fatz</t>
  </si>
  <si>
    <t>Steven Fatz</t>
  </si>
  <si>
    <t>1070 Stephens Farm Road</t>
  </si>
  <si>
    <t>Walnut Cove</t>
  </si>
  <si>
    <t>jrk311@bellsouth.net</t>
  </si>
  <si>
    <t>stephenkise.24@gmail.com</t>
  </si>
  <si>
    <t>Kise</t>
  </si>
  <si>
    <t>Stephen Kise</t>
  </si>
  <si>
    <t>31 Highlander Trail</t>
  </si>
  <si>
    <t>annievanderveer2000@gmail.com</t>
  </si>
  <si>
    <t>Vanderveer</t>
  </si>
  <si>
    <t>Annie Vanderveer</t>
  </si>
  <si>
    <t>12304 N 2220 Rd</t>
  </si>
  <si>
    <t>Cordell</t>
  </si>
  <si>
    <t>lulucarlstrom@gmail.com</t>
  </si>
  <si>
    <t>Louisa Carlstrom</t>
  </si>
  <si>
    <t>2636 dockery lane</t>
  </si>
  <si>
    <t>raleigh</t>
  </si>
  <si>
    <t>jwahl@cookinletalaska.org</t>
  </si>
  <si>
    <t>Joseph Wahl</t>
  </si>
  <si>
    <t>38480 Adele Ave</t>
  </si>
  <si>
    <t>tarheelrn98@yahoo.com</t>
  </si>
  <si>
    <t>Noahreideller@gmail.com</t>
  </si>
  <si>
    <t>Eller</t>
  </si>
  <si>
    <t>Noah Eller</t>
  </si>
  <si>
    <t>3021 US Highway 64 E</t>
  </si>
  <si>
    <t>Mocksville</t>
  </si>
  <si>
    <t>andrew.evans03@icloud.com</t>
  </si>
  <si>
    <t>Andrew Evans</t>
  </si>
  <si>
    <t>196 Pebble Beach Dr.</t>
  </si>
  <si>
    <t>hannahcurtis524@gmail.com</t>
  </si>
  <si>
    <t>Hannah Curtis</t>
  </si>
  <si>
    <t>412 Frank Lewis Rd</t>
  </si>
  <si>
    <t>sempercool77@gmail.com</t>
  </si>
  <si>
    <t>Lindsey_livia@student.nspencer.k12.in.us</t>
  </si>
  <si>
    <t>Livia</t>
  </si>
  <si>
    <t>Livia Lindsey</t>
  </si>
  <si>
    <t>200 Clark Street</t>
  </si>
  <si>
    <t>Gentryville</t>
  </si>
  <si>
    <t>Janerw.1@gmail.com</t>
  </si>
  <si>
    <t>Ellianna Wiertsema</t>
  </si>
  <si>
    <t>mario@mediazenter.com</t>
  </si>
  <si>
    <t>swiftlissy@gmail.com</t>
  </si>
  <si>
    <t>Elysse</t>
  </si>
  <si>
    <t>Carrillo</t>
  </si>
  <si>
    <t>Elysse Carrillo</t>
  </si>
  <si>
    <t>23534 Shallow Ave.</t>
  </si>
  <si>
    <t>Sorrento</t>
  </si>
  <si>
    <t>j.chris.stratton@gmail.com</t>
  </si>
  <si>
    <t>Grey.stratton@gmail.com</t>
  </si>
  <si>
    <t>Grey</t>
  </si>
  <si>
    <t>Grey Stratton</t>
  </si>
  <si>
    <t>611 Applewood Ct</t>
  </si>
  <si>
    <t>Clarkesville</t>
  </si>
  <si>
    <t>robandheatherblanks@gmail.com</t>
  </si>
  <si>
    <t>haydenblanks@gmail.com</t>
  </si>
  <si>
    <t>Hayden Blanks</t>
  </si>
  <si>
    <t>18353 Ward Creek Rd</t>
  </si>
  <si>
    <t>lradkins@hotmail.com</t>
  </si>
  <si>
    <t>Valentinaperlaza@gmail.com</t>
  </si>
  <si>
    <t>Valentina</t>
  </si>
  <si>
    <t>Perlaza</t>
  </si>
  <si>
    <t>Valentina Perlaza</t>
  </si>
  <si>
    <t>503 Roosevelt Blvd</t>
  </si>
  <si>
    <t>A103</t>
  </si>
  <si>
    <t>Falls Church</t>
  </si>
  <si>
    <t>abigail.lee200@hotmail.com</t>
  </si>
  <si>
    <t>Abigail Lee</t>
  </si>
  <si>
    <t>14270 Holly Glen Ct</t>
  </si>
  <si>
    <t>katelynstratton@tfc.edu</t>
  </si>
  <si>
    <t>Katelyn Stratton</t>
  </si>
  <si>
    <t>sbfenton@hotmail.com</t>
  </si>
  <si>
    <t>Meredith Fenton</t>
  </si>
  <si>
    <t>287 Sheldon Ave.</t>
  </si>
  <si>
    <t>alexisbryder@gmail.com</t>
  </si>
  <si>
    <t>Alexisbryder@gmail.com</t>
  </si>
  <si>
    <t>Alexis Ryder</t>
  </si>
  <si>
    <t>2561 Hearth Stone Dr</t>
  </si>
  <si>
    <t>sjparkskingdomdude@gmail.com</t>
  </si>
  <si>
    <t>Samuel Parks</t>
  </si>
  <si>
    <t>107 Amsterdam Ave. E</t>
  </si>
  <si>
    <t>all6williams@gmail.com</t>
  </si>
  <si>
    <t>Bekah.williams119@gmail.com</t>
  </si>
  <si>
    <t>Rebekah Williams</t>
  </si>
  <si>
    <t>1210 Simmons Ave SE</t>
  </si>
  <si>
    <t>ladygracetea@icloud.com</t>
  </si>
  <si>
    <t>bilbo.rabbit2014@gmail.com</t>
  </si>
  <si>
    <t>Elizabeth Grace</t>
  </si>
  <si>
    <t>9274 Dome Rock Place</t>
  </si>
  <si>
    <t>antoinette.simon@gmail.com</t>
  </si>
  <si>
    <t>sdsimon00@gmail.com</t>
  </si>
  <si>
    <t>Samuel Simon</t>
  </si>
  <si>
    <t>20826 Twisted Leaf Dr</t>
  </si>
  <si>
    <t>joel_and_jennifer_brown@hotmail.com</t>
  </si>
  <si>
    <t>gabriel.r.brown@outlook.com</t>
  </si>
  <si>
    <t>Gabriel Brown</t>
  </si>
  <si>
    <t>6255 Spurwood Drive</t>
  </si>
  <si>
    <t>parkswg05@gmail.com</t>
  </si>
  <si>
    <t>William Parks</t>
  </si>
  <si>
    <t>gwendolyn.blythe@gmail.com</t>
  </si>
  <si>
    <t>benblythe222@gmail.com</t>
  </si>
  <si>
    <t>James Blythe</t>
  </si>
  <si>
    <t>1921 E Three Corners Drive</t>
  </si>
  <si>
    <t>jennifer.astholz@gmail.com</t>
  </si>
  <si>
    <t>collin.astholz@gmail.com</t>
  </si>
  <si>
    <t>Astholz</t>
  </si>
  <si>
    <t>Collin Astholz</t>
  </si>
  <si>
    <t>89 Old Mill Pond Road</t>
  </si>
  <si>
    <t>Henniker</t>
  </si>
  <si>
    <t>domestigretchen@gmail.com</t>
  </si>
  <si>
    <t>2000drawingdreams@gmail.com</t>
  </si>
  <si>
    <t>Geneva Thomas</t>
  </si>
  <si>
    <t>1200 Clairmonte Drive</t>
  </si>
  <si>
    <t>lydia.n.thomas01@gmail.com</t>
  </si>
  <si>
    <t>Lydia Thomas</t>
  </si>
  <si>
    <t>chloe.astholz@gmail.com</t>
  </si>
  <si>
    <t>Chloe Astholz</t>
  </si>
  <si>
    <t>8thlong@gmail.com</t>
  </si>
  <si>
    <t>alongviii@icloud.com</t>
  </si>
  <si>
    <t>Andrew Long</t>
  </si>
  <si>
    <t>611 280th street</t>
  </si>
  <si>
    <t>milford</t>
  </si>
  <si>
    <t>jwpruitt99@icloud.com</t>
  </si>
  <si>
    <t>tyrodpruitt@icloud.com</t>
  </si>
  <si>
    <t>Tyler Pruitt</t>
  </si>
  <si>
    <t>1007 Cedar Ridge</t>
  </si>
  <si>
    <t>springmcbees@comcast.net</t>
  </si>
  <si>
    <t>rienswi@gmail.com</t>
  </si>
  <si>
    <t>Laura McBride</t>
  </si>
  <si>
    <t>30419 Russell Point Dr.</t>
  </si>
  <si>
    <t>007thlong@gmail.com</t>
  </si>
  <si>
    <t>Matthew Long</t>
  </si>
  <si>
    <t>shalerkeenum@gmail.com</t>
  </si>
  <si>
    <t>Shaler</t>
  </si>
  <si>
    <t>Keenum</t>
  </si>
  <si>
    <t>Shaler Keenum</t>
  </si>
  <si>
    <t>3506 158th St</t>
  </si>
  <si>
    <t>kristahoffsommer@gmail.com</t>
  </si>
  <si>
    <t>Misspaigelisabeth@gmail.com</t>
  </si>
  <si>
    <t>Hoffsommer</t>
  </si>
  <si>
    <t>Paige Hoffsommer</t>
  </si>
  <si>
    <t>PO Box 484</t>
  </si>
  <si>
    <t>br.sullivn@gmail.com</t>
  </si>
  <si>
    <t>LUCY</t>
  </si>
  <si>
    <t>SULLIVAN</t>
  </si>
  <si>
    <t>LUCY SULLIVAN</t>
  </si>
  <si>
    <t>879 LANE 7</t>
  </si>
  <si>
    <t>POWELL</t>
  </si>
  <si>
    <t>Clairehoffman25@gmail.com</t>
  </si>
  <si>
    <t>Claire Hoffsommer</t>
  </si>
  <si>
    <t>chrismiriam@hometelco.net</t>
  </si>
  <si>
    <t>Stauffer</t>
  </si>
  <si>
    <t>Jade Stauffer</t>
  </si>
  <si>
    <t>rladybug4@gmail.com</t>
  </si>
  <si>
    <t>Jennahrob2002@gmail.com</t>
  </si>
  <si>
    <t>Jennah</t>
  </si>
  <si>
    <t>Jennah Robinson</t>
  </si>
  <si>
    <t>741 Cypresswood Lane</t>
  </si>
  <si>
    <t>Jonrob117@gmail.com</t>
  </si>
  <si>
    <t>Jonathan Robinson</t>
  </si>
  <si>
    <t>live4him4evr@gmail.com</t>
  </si>
  <si>
    <t>Shoemake</t>
  </si>
  <si>
    <t>Preston Shoemake</t>
  </si>
  <si>
    <t>536 heather ln</t>
  </si>
  <si>
    <t>ipdsb@pm.me</t>
  </si>
  <si>
    <t>matt.beatty2@gmail.com</t>
  </si>
  <si>
    <t>Matthew Beatty</t>
  </si>
  <si>
    <t>1119 S Redbud</t>
  </si>
  <si>
    <t>gloriaemccarty@gmail.com</t>
  </si>
  <si>
    <t>mccartydominic@gmail.com</t>
  </si>
  <si>
    <t>Dominic McCarty</t>
  </si>
  <si>
    <t>4925 Meadow Vista Pl</t>
  </si>
  <si>
    <t>shawn.hare@att.net</t>
  </si>
  <si>
    <t>hattiehare13@gmail.com</t>
  </si>
  <si>
    <t>Harriet</t>
  </si>
  <si>
    <t>Harriet Hare</t>
  </si>
  <si>
    <t>6320 Mapledale Lane</t>
  </si>
  <si>
    <t>jakehare16@gmail.com</t>
  </si>
  <si>
    <t>James Hare</t>
  </si>
  <si>
    <t>joedelange14@gmail.com</t>
  </si>
  <si>
    <t>Joe DeLange</t>
  </si>
  <si>
    <t>5775 Port Sheldon Rd</t>
  </si>
  <si>
    <t>isabellakcarr@gmail.com</t>
  </si>
  <si>
    <t>Isabella Carrillo</t>
  </si>
  <si>
    <t>wt@mihailov.net</t>
  </si>
  <si>
    <t>aleksa@mihailov.com</t>
  </si>
  <si>
    <t>Aleksandra</t>
  </si>
  <si>
    <t>Mihailov</t>
  </si>
  <si>
    <t>Aleksandra Mihailov</t>
  </si>
  <si>
    <t>553 E Mesa Vista Lane</t>
  </si>
  <si>
    <t>titus2nmaking@gmail.com</t>
  </si>
  <si>
    <t>Kofibondze@gmail.com</t>
  </si>
  <si>
    <t>Impraim</t>
  </si>
  <si>
    <t>Stephen Impraim</t>
  </si>
  <si>
    <t>1610 mount airy ct</t>
  </si>
  <si>
    <t>todd.kemp@pobox.com</t>
  </si>
  <si>
    <t>cwkdak@gmail.com</t>
  </si>
  <si>
    <t>Collin Kemp</t>
  </si>
  <si>
    <t>877 Brixham Place</t>
  </si>
  <si>
    <t>jackcassidy13@gmail.com</t>
  </si>
  <si>
    <t>Jack Cassidy</t>
  </si>
  <si>
    <t>tinly@unruhfam.com</t>
  </si>
  <si>
    <t>Tinly</t>
  </si>
  <si>
    <t>Tinly Unruh</t>
  </si>
  <si>
    <t>3485 Park Ridge Rd.</t>
  </si>
  <si>
    <t>kylie.marinebiology@gmail.com</t>
  </si>
  <si>
    <t>Kylie Appleton</t>
  </si>
  <si>
    <t>1531 Liberty Epressway SE</t>
  </si>
  <si>
    <t>21600259@handong.edu</t>
  </si>
  <si>
    <t>Sungkung</t>
  </si>
  <si>
    <t>Sungkung Park</t>
  </si>
  <si>
    <t>162, Bugok-gil, Gimcheon-si, Gyeongsangbuk-do, Republic of Korea</t>
  </si>
  <si>
    <t>Gimcheon</t>
  </si>
  <si>
    <t>Gracie Snyder</t>
  </si>
  <si>
    <t>bibleistherock@gmail.com</t>
  </si>
  <si>
    <t>bethanylange11@gmail.com</t>
  </si>
  <si>
    <t>Bethany Lange</t>
  </si>
  <si>
    <t>1936 Forest Lane</t>
  </si>
  <si>
    <t>richandmelwilson@hotmail.com</t>
  </si>
  <si>
    <t>Dillon Wilson</t>
  </si>
  <si>
    <t>benjamin.carman7@gmail.com</t>
  </si>
  <si>
    <t>Ben Carman</t>
  </si>
  <si>
    <t>jacobpdodson@gmail.com</t>
  </si>
  <si>
    <t>Jacob Dodson</t>
  </si>
  <si>
    <t>michele@xandy.org</t>
  </si>
  <si>
    <t>paris@xandy.org</t>
  </si>
  <si>
    <t>Paris Johnson</t>
  </si>
  <si>
    <t>120 Fontana Ct</t>
  </si>
  <si>
    <t>noahneugebauer@me.com</t>
  </si>
  <si>
    <t>noahneugebauer@icloud.com</t>
  </si>
  <si>
    <t>Neugebauer</t>
  </si>
  <si>
    <t>Noah Neugebauer</t>
  </si>
  <si>
    <t>10777 Strait Lane</t>
  </si>
  <si>
    <t>Hannah.Fiore@gmail.com</t>
  </si>
  <si>
    <t>hannah.fiore@gmail.com</t>
  </si>
  <si>
    <t>Lynda</t>
  </si>
  <si>
    <t>Kaganzev</t>
  </si>
  <si>
    <t>Lynda Kaganzev</t>
  </si>
  <si>
    <t>2628 Broadlane Rd</t>
  </si>
  <si>
    <t>Williamstown</t>
  </si>
  <si>
    <t>alicynamann@gmail.com</t>
  </si>
  <si>
    <t>emmjean3@hotmail.com</t>
  </si>
  <si>
    <t>EmmaJean</t>
  </si>
  <si>
    <t>EmmaJean Amann</t>
  </si>
  <si>
    <t>2480 Castle Butte Drive</t>
  </si>
  <si>
    <t>vgeorgey@gmail.com</t>
  </si>
  <si>
    <t>4estherv@gmail.com</t>
  </si>
  <si>
    <t>Varghese</t>
  </si>
  <si>
    <t>Esther Varghese</t>
  </si>
  <si>
    <t>5286 S Jericho Way</t>
  </si>
  <si>
    <t>tubby9467@yahoo.com</t>
  </si>
  <si>
    <t>bigun6666@icloud.com</t>
  </si>
  <si>
    <t>Will Cochran</t>
  </si>
  <si>
    <t>6501 County Road 481</t>
  </si>
  <si>
    <t>ta3309@k12.sd.us</t>
  </si>
  <si>
    <t>Trever</t>
  </si>
  <si>
    <t>Adamson</t>
  </si>
  <si>
    <t>Trever Adamson</t>
  </si>
  <si>
    <t>600 Fox Dr</t>
  </si>
  <si>
    <t>hjones0915@gmail.com</t>
  </si>
  <si>
    <t>Hannah Jones</t>
  </si>
  <si>
    <t>2400 Pinoak Drive</t>
  </si>
  <si>
    <t>katiedizon@gmail.com</t>
  </si>
  <si>
    <t>asbdizon@gmail.com</t>
  </si>
  <si>
    <t>Dizon</t>
  </si>
  <si>
    <t>Andrew Dizon</t>
  </si>
  <si>
    <t>4021 S Nepal St</t>
  </si>
  <si>
    <t>abagailmanley7@gmail.com</t>
  </si>
  <si>
    <t>Abigail manley</t>
  </si>
  <si>
    <t>19441 holdrege st</t>
  </si>
  <si>
    <t>spbenson@bellsouth.net</t>
  </si>
  <si>
    <t>Zachary Benson</t>
  </si>
  <si>
    <t>1075 Spradlin Road</t>
  </si>
  <si>
    <t>wattsshire@gmail.com</t>
  </si>
  <si>
    <t>joelle.watts@yahoo.com</t>
  </si>
  <si>
    <t>Joelle Watts</t>
  </si>
  <si>
    <t>801 Del Rio Pk</t>
  </si>
  <si>
    <t>Q6</t>
  </si>
  <si>
    <t>ejmanwaring@icloud.com</t>
  </si>
  <si>
    <t>Manwaring</t>
  </si>
  <si>
    <t>Emma Manwaring</t>
  </si>
  <si>
    <t>2739 Crowne Pointe dr</t>
  </si>
  <si>
    <t>Balintawak500@gmail.com</t>
  </si>
  <si>
    <t>Josephboyd113@gmail.com</t>
  </si>
  <si>
    <t>Joseph Boyd</t>
  </si>
  <si>
    <t>113 Terrace lane</t>
  </si>
  <si>
    <t>readmeruth@gmail.com</t>
  </si>
  <si>
    <t>Elihudson49@gmail.com</t>
  </si>
  <si>
    <t>410 Conifer pl SE</t>
  </si>
  <si>
    <t>jhsims11@gmail.com</t>
  </si>
  <si>
    <t>nhsims01@gmail.com</t>
  </si>
  <si>
    <t>Noah Sims</t>
  </si>
  <si>
    <t>6203 Creekside Park Ln</t>
  </si>
  <si>
    <t>calebverkler@yahoo.com</t>
  </si>
  <si>
    <t>Verkler</t>
  </si>
  <si>
    <t>Caleb Verkler</t>
  </si>
  <si>
    <t>22356 E Stone Rd</t>
  </si>
  <si>
    <t>pgreenwald4jc@gmail.com</t>
  </si>
  <si>
    <t>molly.greenwald17@gmail.com</t>
  </si>
  <si>
    <t>Molly Greenwald</t>
  </si>
  <si>
    <t>13742 Nailor Circle</t>
  </si>
  <si>
    <t>kerastng017@gmail.com</t>
  </si>
  <si>
    <t>Kala Rast</t>
  </si>
  <si>
    <t>3mkhaines@gmail.com</t>
  </si>
  <si>
    <t>tjhaines8@gmail.com</t>
  </si>
  <si>
    <t>Thomas Haines</t>
  </si>
  <si>
    <t>43 Sommerset Cir</t>
  </si>
  <si>
    <t>sam.blackford@yahoo.com</t>
  </si>
  <si>
    <t>faithinfriends24@gmail.com</t>
  </si>
  <si>
    <t>Blackford</t>
  </si>
  <si>
    <t>Abigail Blackford</t>
  </si>
  <si>
    <t>17000 Red Heather Drive</t>
  </si>
  <si>
    <t>danielallen.tn@gmail.com</t>
  </si>
  <si>
    <t>najessicaya@yahoo.com</t>
  </si>
  <si>
    <t>andrewhan1225@gmail.com</t>
  </si>
  <si>
    <t>Andrew Han</t>
  </si>
  <si>
    <t>17014 Dennis Road</t>
  </si>
  <si>
    <t>lpfspirit@gmail.com</t>
  </si>
  <si>
    <t>Lauren Curry</t>
  </si>
  <si>
    <t>20 Woods Bay Road</t>
  </si>
  <si>
    <t>mommakate67@gmail.com</t>
  </si>
  <si>
    <t>csherrod1967@gmail.com</t>
  </si>
  <si>
    <t>Coby</t>
  </si>
  <si>
    <t>Sherrod</t>
  </si>
  <si>
    <t>Coby Sherrod</t>
  </si>
  <si>
    <t>15111 Brookstone Drive</t>
  </si>
  <si>
    <t>laurajmctavish@gmail.com</t>
  </si>
  <si>
    <t>Laura McTavish</t>
  </si>
  <si>
    <t>lwetti.monique@gmail.com</t>
  </si>
  <si>
    <t>reyes.zahra@gmail.com</t>
  </si>
  <si>
    <t>Zahra</t>
  </si>
  <si>
    <t>Zahra Reyes</t>
  </si>
  <si>
    <t>1103 S Chatfield Drive</t>
  </si>
  <si>
    <t>davidfgreene@gmail.com</t>
  </si>
  <si>
    <t>kevgreene32@gmail.com</t>
  </si>
  <si>
    <t>Kevin Greene</t>
  </si>
  <si>
    <t>PO Box 198</t>
  </si>
  <si>
    <t>Babson Park</t>
  </si>
  <si>
    <t>loammitchell@hotmail.com</t>
  </si>
  <si>
    <t>KennyRMitchell@students.npsne.org</t>
  </si>
  <si>
    <t>Kenneth Mitchell</t>
  </si>
  <si>
    <t>112 El Camino Dr</t>
  </si>
  <si>
    <t>sydita12@gmail.com</t>
  </si>
  <si>
    <t>Sydni Curry</t>
  </si>
  <si>
    <t>20 Woods Bay Rd</t>
  </si>
  <si>
    <t>kangagal99@gmail.com</t>
  </si>
  <si>
    <t>Kangagal99@gmail.com</t>
  </si>
  <si>
    <t>Kendra Headings</t>
  </si>
  <si>
    <t>345 Jeremy Dr</t>
  </si>
  <si>
    <t>flynnrider01@gmail.com</t>
  </si>
  <si>
    <t>Caleb McDaniel</t>
  </si>
  <si>
    <t>5132 Willow Bend Lane</t>
  </si>
  <si>
    <t>Sachse</t>
  </si>
  <si>
    <t>Luke Dudgeon</t>
  </si>
  <si>
    <t>735 SW Sleret Ave.</t>
  </si>
  <si>
    <t>mmgcat@gdwns.com</t>
  </si>
  <si>
    <t>Daniel Goodwin</t>
  </si>
  <si>
    <t>5005 Bittercreek Dr.</t>
  </si>
  <si>
    <t>Colorado Springsq</t>
  </si>
  <si>
    <t>Jenna Holcomb</t>
  </si>
  <si>
    <t>currybill@comcast.net</t>
  </si>
  <si>
    <t>mollycurry52@gmail.com</t>
  </si>
  <si>
    <t>molly</t>
  </si>
  <si>
    <t>molly Curry</t>
  </si>
  <si>
    <t>52 hedlund rd</t>
  </si>
  <si>
    <t>east haddam</t>
  </si>
  <si>
    <t>depperson@prestonwoodchristian.org</t>
  </si>
  <si>
    <t>abby1233@icloud.com</t>
  </si>
  <si>
    <t>Epperson</t>
  </si>
  <si>
    <t>Abigail Epperson</t>
  </si>
  <si>
    <t>2132 Loch Haven</t>
  </si>
  <si>
    <t>questionablemanners@live.com</t>
  </si>
  <si>
    <t>madisen.manners@outlook.com</t>
  </si>
  <si>
    <t>Madisen</t>
  </si>
  <si>
    <t>Madisen Manners</t>
  </si>
  <si>
    <t>6011 Anthony Drive</t>
  </si>
  <si>
    <t>ezdravecky0717@gmail.com</t>
  </si>
  <si>
    <t>Elizabeth Zdravecky</t>
  </si>
  <si>
    <t>9823 Dunning Circle</t>
  </si>
  <si>
    <t>jim@dwlawpc.com</t>
  </si>
  <si>
    <t>02danielwierenga@gmail.com</t>
  </si>
  <si>
    <t>Wierenga</t>
  </si>
  <si>
    <t>Daniel Wierenga</t>
  </si>
  <si>
    <t>5375 Kenowa Ave.</t>
  </si>
  <si>
    <t>rkremich@gmail.com</t>
  </si>
  <si>
    <t>Rkremich@gmail.com</t>
  </si>
  <si>
    <t>Remich</t>
  </si>
  <si>
    <t>Joshua Remich</t>
  </si>
  <si>
    <t>591 Hadfield Rd</t>
  </si>
  <si>
    <t>kylasbenjamin@yahoo.com</t>
  </si>
  <si>
    <t>Asherfbenjamin@yahoo.com</t>
  </si>
  <si>
    <t>Asher Benjamin</t>
  </si>
  <si>
    <t>14 Corlen Ct</t>
  </si>
  <si>
    <t>ianplaster@yahoo.com</t>
  </si>
  <si>
    <t>Ian Plaster</t>
  </si>
  <si>
    <t>2509 W Riviera Dr</t>
  </si>
  <si>
    <t>crewjbischof@gmail.com</t>
  </si>
  <si>
    <t>Crew</t>
  </si>
  <si>
    <t>Crew Bischof</t>
  </si>
  <si>
    <t>hfarrell630@gmail.com</t>
  </si>
  <si>
    <t>Farrell</t>
  </si>
  <si>
    <t>Hailey Farrell</t>
  </si>
  <si>
    <t>17312 Wirt St.</t>
  </si>
  <si>
    <t>diamonddaisy101@gmail.com</t>
  </si>
  <si>
    <t>ender</t>
  </si>
  <si>
    <t>sarah ender</t>
  </si>
  <si>
    <t>2312 80th st</t>
  </si>
  <si>
    <t>new richmond</t>
  </si>
  <si>
    <t>zitzmann.taylor@gmail.com</t>
  </si>
  <si>
    <t>Zitzmann</t>
  </si>
  <si>
    <t>Taylor Zitzmann</t>
  </si>
  <si>
    <t>719 1/2 Hawthorne St</t>
  </si>
  <si>
    <t>mindicarr11@gmail.com</t>
  </si>
  <si>
    <t>Mindicarr11@gmail.com</t>
  </si>
  <si>
    <t>Mindi</t>
  </si>
  <si>
    <t>Mindi Carr</t>
  </si>
  <si>
    <t>26100 County Road 38</t>
  </si>
  <si>
    <t>Hugo</t>
  </si>
  <si>
    <t>Mia Rodriguez</t>
  </si>
  <si>
    <t>5330 Wilderness Dr.</t>
  </si>
  <si>
    <t>Brownsville</t>
  </si>
  <si>
    <t>cartersabroad@yahoo.com</t>
  </si>
  <si>
    <t>dylansagecarter@gmail.com</t>
  </si>
  <si>
    <t>Dylan Carter</t>
  </si>
  <si>
    <t>4835 Chickweed Drive</t>
  </si>
  <si>
    <t>mortbro12254@gastonchristian.org</t>
  </si>
  <si>
    <t>morton</t>
  </si>
  <si>
    <t>brooklyn morton</t>
  </si>
  <si>
    <t>1822 daytona avenue</t>
  </si>
  <si>
    <t>jackie.green@cox.net</t>
  </si>
  <si>
    <t>gog8300@gmail.com</t>
  </si>
  <si>
    <t>Grace Green</t>
  </si>
  <si>
    <t>5001 Pulchella Drive</t>
  </si>
  <si>
    <t>sarahkmccoy@yahoo.com</t>
  </si>
  <si>
    <t>annamccoy_13@yahoo.com</t>
  </si>
  <si>
    <t>Anna McCoy</t>
  </si>
  <si>
    <t>15708 Cambria Ct</t>
  </si>
  <si>
    <t>agrimm@lakewoodpark.org</t>
  </si>
  <si>
    <t>regrimm@lpstudent.org</t>
  </si>
  <si>
    <t>Rebeka</t>
  </si>
  <si>
    <t>Rebeka Grimm</t>
  </si>
  <si>
    <t>6140 CR 39</t>
  </si>
  <si>
    <t>tr.crowley@yahoo.com</t>
  </si>
  <si>
    <t>kelseycrowley28@gmail.com</t>
  </si>
  <si>
    <t>Kelsey Crowley</t>
  </si>
  <si>
    <t>41550 E 100 N Rd</t>
  </si>
  <si>
    <t>Schindew1@gmail.com</t>
  </si>
  <si>
    <t>Drew Schindel</t>
  </si>
  <si>
    <t>3160 Ditmars Ln</t>
  </si>
  <si>
    <t>greatoakskennel@hotmail.com</t>
  </si>
  <si>
    <t>jillamurray@hotmail.com</t>
  </si>
  <si>
    <t>Spencer Murray</t>
  </si>
  <si>
    <t>6233 West 423 Rd.</t>
  </si>
  <si>
    <t>Adair</t>
  </si>
  <si>
    <t>wirtmer12798@gastonchristian.org</t>
  </si>
  <si>
    <t>Wirth</t>
  </si>
  <si>
    <t>Meredith Wirth</t>
  </si>
  <si>
    <t>2671 Steeplechase Rd</t>
  </si>
  <si>
    <t>brasse@ccsd.k12.wy.us</t>
  </si>
  <si>
    <t>jularasse@gmail.com</t>
  </si>
  <si>
    <t>Rasse</t>
  </si>
  <si>
    <t>Julia Rasse</t>
  </si>
  <si>
    <t>54 Stafford Bnd</t>
  </si>
  <si>
    <t>shen.achuang@gmail.com</t>
  </si>
  <si>
    <t>Chuang</t>
  </si>
  <si>
    <t>Anthony Chuang</t>
  </si>
  <si>
    <t>lauraelizabeth4@outlook.com</t>
  </si>
  <si>
    <t>Sophia Santos</t>
  </si>
  <si>
    <t>naomi12santos@gmail.com</t>
  </si>
  <si>
    <t>Naomi Santos</t>
  </si>
  <si>
    <t>15940 Sunnycove Drive SE</t>
  </si>
  <si>
    <t>Olalla</t>
  </si>
  <si>
    <t>shifra.kauffmann@gmail.com</t>
  </si>
  <si>
    <t>amelia.g.kauffmann@gmail.com</t>
  </si>
  <si>
    <t>Kauffmann</t>
  </si>
  <si>
    <t>Amelia Kauffmann</t>
  </si>
  <si>
    <t>14 East 90th Street</t>
  </si>
  <si>
    <t>3E</t>
  </si>
  <si>
    <t>New York</t>
  </si>
  <si>
    <t>tcpratt93@gmail.com</t>
  </si>
  <si>
    <t>pratann1204432@gastonchristian.org</t>
  </si>
  <si>
    <t>Anna Pratt</t>
  </si>
  <si>
    <t>3000 Foggy Hollow Lane</t>
  </si>
  <si>
    <t>foodasart@yahoo.com</t>
  </si>
  <si>
    <t>Schaefferfolsom@gmail.com</t>
  </si>
  <si>
    <t>Schaeffer</t>
  </si>
  <si>
    <t>Schaeffer Folsom</t>
  </si>
  <si>
    <t>gmillier00@gmail.com</t>
  </si>
  <si>
    <t>gmilllier00@gmail.com</t>
  </si>
  <si>
    <t>Grace Roth</t>
  </si>
  <si>
    <t>timburgener@hotmail.com</t>
  </si>
  <si>
    <t>logan.burgener@gmail.com</t>
  </si>
  <si>
    <t>Burgener</t>
  </si>
  <si>
    <t>Logan Burgener</t>
  </si>
  <si>
    <t>202 Keeneland Ct</t>
  </si>
  <si>
    <t>charles.james.hart124@gmail.com</t>
  </si>
  <si>
    <t>Charles.james.hart124@gmail.com</t>
  </si>
  <si>
    <t>Charles Hart</t>
  </si>
  <si>
    <t>106 Ash Ave</t>
  </si>
  <si>
    <t>jamesapadilla2@gmail.com</t>
  </si>
  <si>
    <t>Padilla</t>
  </si>
  <si>
    <t>James Padilla</t>
  </si>
  <si>
    <t>605 Lonesome Dove Trail SW</t>
  </si>
  <si>
    <t>amckeehan4@gmail.com</t>
  </si>
  <si>
    <t>mjmckeehan13@gmail.com</t>
  </si>
  <si>
    <t>McKeehan</t>
  </si>
  <si>
    <t>Molly McKeehan</t>
  </si>
  <si>
    <t>PO Box 574</t>
  </si>
  <si>
    <t>Kadoka</t>
  </si>
  <si>
    <t>jeffjewett27@gmail.com</t>
  </si>
  <si>
    <t>Jeffrey Jewett</t>
  </si>
  <si>
    <t>tjandbhaycox@bellsouth.net</t>
  </si>
  <si>
    <t>Haycox</t>
  </si>
  <si>
    <t>Jonathan Haycox</t>
  </si>
  <si>
    <t>13515 McCord Rd</t>
  </si>
  <si>
    <t>janalynnkeeler@yahoo.com</t>
  </si>
  <si>
    <t>Brijoyk@gmail.com</t>
  </si>
  <si>
    <t>Brilee</t>
  </si>
  <si>
    <t>Keeler</t>
  </si>
  <si>
    <t>Brilee Keeler</t>
  </si>
  <si>
    <t>1052 Road 9</t>
  </si>
  <si>
    <t>jonesdaniel825@gmail.com</t>
  </si>
  <si>
    <t>Daniel Jones</t>
  </si>
  <si>
    <t>2400 Pinoak Dr.</t>
  </si>
  <si>
    <t>scfurlich@gmail.com</t>
  </si>
  <si>
    <t>sfurlich@me.com</t>
  </si>
  <si>
    <t>Furlich</t>
  </si>
  <si>
    <t>Sally Furlich</t>
  </si>
  <si>
    <t>10026 Trailpine Dr</t>
  </si>
  <si>
    <t>rachelf1511@gmail.com</t>
  </si>
  <si>
    <t>Rachel Furlich</t>
  </si>
  <si>
    <t>david.schwall@gmail.com</t>
  </si>
  <si>
    <t>barrett.schwall@gmail.com</t>
  </si>
  <si>
    <t>Schwall</t>
  </si>
  <si>
    <t>Barrett Schwall</t>
  </si>
  <si>
    <t>208 Redmont Lane</t>
  </si>
  <si>
    <t>revtwelve11@gmail.com</t>
  </si>
  <si>
    <t>dcampos_11@icloud.com</t>
  </si>
  <si>
    <t>Campos</t>
  </si>
  <si>
    <t>Daniel Campos</t>
  </si>
  <si>
    <t>915 Via Verde</t>
  </si>
  <si>
    <t>ksballet20@gmail.com</t>
  </si>
  <si>
    <t>Kate McKeehan</t>
  </si>
  <si>
    <t>wkrr95@gmail.com</t>
  </si>
  <si>
    <t>racheltodd02@gmail.com</t>
  </si>
  <si>
    <t>Rachel Todd</t>
  </si>
  <si>
    <t>6048 Wrightsville Ave</t>
  </si>
  <si>
    <t>45charlotte@gmail.com</t>
  </si>
  <si>
    <t>kiefer1321@gmail.com</t>
  </si>
  <si>
    <t>Haws</t>
  </si>
  <si>
    <t>Marcus Haws</t>
  </si>
  <si>
    <t>787 Sunridge Valley Drive</t>
  </si>
  <si>
    <t>V9B 5M5</t>
  </si>
  <si>
    <t>kimi.torry@gmail.com</t>
  </si>
  <si>
    <t>Jonathan Norris</t>
  </si>
  <si>
    <t>109 Crestview Lane</t>
  </si>
  <si>
    <t>Jake Farmer</t>
  </si>
  <si>
    <t>Fort Wort</t>
  </si>
  <si>
    <t>toriterry2121@gmail.com</t>
  </si>
  <si>
    <t>Victoria Terry</t>
  </si>
  <si>
    <t>11 21st street</t>
  </si>
  <si>
    <t>Santa Rosa Beach</t>
  </si>
  <si>
    <t>crystaldport@gmail.com</t>
  </si>
  <si>
    <t>drakedport05@gmail.com</t>
  </si>
  <si>
    <t>Michael Davenport</t>
  </si>
  <si>
    <t>17 Woodhaven Drive</t>
  </si>
  <si>
    <t>achackel@york.edu</t>
  </si>
  <si>
    <t>Hackel</t>
  </si>
  <si>
    <t>Austin Hackel</t>
  </si>
  <si>
    <t>1125 E 8 St.</t>
  </si>
  <si>
    <t>ds2215@msstate.edu</t>
  </si>
  <si>
    <t>Derrill</t>
  </si>
  <si>
    <t>Starling</t>
  </si>
  <si>
    <t>Derrill Starling</t>
  </si>
  <si>
    <t>4197 Morristown Road</t>
  </si>
  <si>
    <t>bobmoore365@gmail.com</t>
  </si>
  <si>
    <t>emoore71@student.cccs.edu</t>
  </si>
  <si>
    <t>Ethan Moore</t>
  </si>
  <si>
    <t>20461 Elk Creek Dr W</t>
  </si>
  <si>
    <t>elizabethlauren1213@gmail.com</t>
  </si>
  <si>
    <t>Lauren Moore</t>
  </si>
  <si>
    <t>elizabethmoore19@icloud.com</t>
  </si>
  <si>
    <t>Elizabeth Moore</t>
  </si>
  <si>
    <t>aholmes@hillsdale.edu</t>
  </si>
  <si>
    <t>Adelaide Holmes</t>
  </si>
  <si>
    <t>11018 Cemetery Road</t>
  </si>
  <si>
    <t>swgodfrey@mac.com</t>
  </si>
  <si>
    <t>100timelord@gmail.com</t>
  </si>
  <si>
    <t>Noah Godfrey</t>
  </si>
  <si>
    <t>3412 River Valley Rd</t>
  </si>
  <si>
    <t>mccollough.family@gmail.com</t>
  </si>
  <si>
    <t>mccolloughhl@gmail.com</t>
  </si>
  <si>
    <t>McCollough</t>
  </si>
  <si>
    <t>Holly McCollough</t>
  </si>
  <si>
    <t>6 Lantana</t>
  </si>
  <si>
    <t>mccolloughbc@gmail.com</t>
  </si>
  <si>
    <t>Bethany McCollough</t>
  </si>
  <si>
    <t>tyler75260@yahoo.com</t>
  </si>
  <si>
    <t>Tyler Hudson</t>
  </si>
  <si>
    <t>hbrosner@gmail.com</t>
  </si>
  <si>
    <t>rosnrac1201673@gastonchristian.org</t>
  </si>
  <si>
    <t>Rosner</t>
  </si>
  <si>
    <t>Rachel Rosner</t>
  </si>
  <si>
    <t>424 deerfield dr.</t>
  </si>
  <si>
    <t>Mount Holly</t>
  </si>
  <si>
    <t>lizbeth@sylvanvet.com</t>
  </si>
  <si>
    <t>hannabkate@gmail.com</t>
  </si>
  <si>
    <t>Hannabeth</t>
  </si>
  <si>
    <t>Magnussen</t>
  </si>
  <si>
    <t>Hannabeth Magnussen</t>
  </si>
  <si>
    <t>11517 Oak Hill Drive</t>
  </si>
  <si>
    <t>funeegirl@sbcglobal.net</t>
  </si>
  <si>
    <t>emilioluna1997@gmail.com</t>
  </si>
  <si>
    <t>Luna</t>
  </si>
  <si>
    <t>Emilio Luna</t>
  </si>
  <si>
    <t>336 W Poplar St.</t>
  </si>
  <si>
    <t>lynsey.stratton@gmail.com</t>
  </si>
  <si>
    <t>Lynsey</t>
  </si>
  <si>
    <t>Lynsey Stratton</t>
  </si>
  <si>
    <t>316 Center St</t>
  </si>
  <si>
    <t>APT. B</t>
  </si>
  <si>
    <t>mom25as@gmail.com</t>
  </si>
  <si>
    <t>Ask4jesuschrist@gmail.com</t>
  </si>
  <si>
    <t>Andrew Kirk</t>
  </si>
  <si>
    <t>1066 Echo Woods Court</t>
  </si>
  <si>
    <t>amylheard@gmail.com</t>
  </si>
  <si>
    <t>Amylheard@gmail.com</t>
  </si>
  <si>
    <t>Amy Heard</t>
  </si>
  <si>
    <t>500 Fordsmere</t>
  </si>
  <si>
    <t>247kinz@gmail.com</t>
  </si>
  <si>
    <t>Rushing</t>
  </si>
  <si>
    <t>Kinsley Rushing</t>
  </si>
  <si>
    <t>4802 Live Oak Court</t>
  </si>
  <si>
    <t>jowdy.1@gmail.com</t>
  </si>
  <si>
    <t>Jowdy</t>
  </si>
  <si>
    <t>Matthias Jowdy</t>
  </si>
  <si>
    <t>1 Armat Ct</t>
  </si>
  <si>
    <t>Des Peres</t>
  </si>
  <si>
    <t>digtterme@gmail.com</t>
  </si>
  <si>
    <t>James Thomas</t>
  </si>
  <si>
    <t>1080 Deer Run Street</t>
  </si>
  <si>
    <t>grace.ann9184@Gmail.com</t>
  </si>
  <si>
    <t>526 Highland Blvd</t>
  </si>
  <si>
    <t>7302 E Wilderness trl</t>
  </si>
  <si>
    <t>honeyandhound@gmail.com</t>
  </si>
  <si>
    <t>Caden Miller</t>
  </si>
  <si>
    <t>6525 E 1500 N</t>
  </si>
  <si>
    <t>rachelclem@epbfi.com</t>
  </si>
  <si>
    <t>Clem</t>
  </si>
  <si>
    <t>Rachel Clem</t>
  </si>
  <si>
    <t>4931 Chestnut Avenue</t>
  </si>
  <si>
    <t>vjonathan1@gmail.com</t>
  </si>
  <si>
    <t>Jonathan Varghese</t>
  </si>
  <si>
    <t>5286 South Jericho Way</t>
  </si>
  <si>
    <t>20hfletcher@gmail.com</t>
  </si>
  <si>
    <t>hollie</t>
  </si>
  <si>
    <t>hollie Fletcher</t>
  </si>
  <si>
    <t>109 Llano Oaks  Dr.</t>
  </si>
  <si>
    <t>krkneeland@comcast.net</t>
  </si>
  <si>
    <t>kjkneeland@comcast.net</t>
  </si>
  <si>
    <t>Kailean</t>
  </si>
  <si>
    <t>Kneeland</t>
  </si>
  <si>
    <t>Kailean Kneeland</t>
  </si>
  <si>
    <t>3750 Saxon DR.</t>
  </si>
  <si>
    <t>laura.e@hushmail.com</t>
  </si>
  <si>
    <t>cellojello@comcast.net</t>
  </si>
  <si>
    <t>Palten</t>
  </si>
  <si>
    <t>Tess Palten</t>
  </si>
  <si>
    <t>9727 Stoneglen Drive</t>
  </si>
  <si>
    <t>lthomason117@gmail.com</t>
  </si>
  <si>
    <t>Luke Thomason</t>
  </si>
  <si>
    <t>2800 fm 2401</t>
  </si>
  <si>
    <t>Elawlin@gmail.com</t>
  </si>
  <si>
    <t>Elizabeth Lawlin</t>
  </si>
  <si>
    <t>40895 Cooper Dr</t>
  </si>
  <si>
    <t>john@vandykefinancial.com</t>
  </si>
  <si>
    <t>david@vandykefamily.org</t>
  </si>
  <si>
    <t>David VanDyke</t>
  </si>
  <si>
    <t>1721 East Shore Ct.</t>
  </si>
  <si>
    <t>mrvandyke@comcast.net</t>
  </si>
  <si>
    <t>Megan VanDyke</t>
  </si>
  <si>
    <t>1721 East Shore Ct</t>
  </si>
  <si>
    <t>gregoryracts@gmail.com</t>
  </si>
  <si>
    <t>tuckergregory80@gmail.com</t>
  </si>
  <si>
    <t>Tucker Gregory</t>
  </si>
  <si>
    <t>6636 Park Strand Drive</t>
  </si>
  <si>
    <t>Apollo Beach</t>
  </si>
  <si>
    <t>lincolnmclane02@gmail.com</t>
  </si>
  <si>
    <t>Lincoln Martin</t>
  </si>
  <si>
    <t>cindycoy62@gmail.com</t>
  </si>
  <si>
    <t>marcusbennett1996@gmail.com</t>
  </si>
  <si>
    <t>Marcus Bennett</t>
  </si>
  <si>
    <t>3330 Westwood Blve</t>
  </si>
  <si>
    <t>kbwestberg@hotmail.com</t>
  </si>
  <si>
    <t>kyleca2001@hotmail.com</t>
  </si>
  <si>
    <t>Westberg</t>
  </si>
  <si>
    <t>Kyle Westberg</t>
  </si>
  <si>
    <t>16617 Maverick Lane</t>
  </si>
  <si>
    <t>Poway</t>
  </si>
  <si>
    <t>Kelly Westberg</t>
  </si>
  <si>
    <t>mommytownsend@hotmail.com</t>
  </si>
  <si>
    <t>makaylaftownsend@gmail.com</t>
  </si>
  <si>
    <t>Makayla Townsend</t>
  </si>
  <si>
    <t>17188 CR 345</t>
  </si>
  <si>
    <t>davidpaultownsend@gmail.com</t>
  </si>
  <si>
    <t>David Townsend</t>
  </si>
  <si>
    <t>delaneyengbrecht@outlook.com</t>
  </si>
  <si>
    <t>Engbrecht</t>
  </si>
  <si>
    <t>Delaney Engbrecht</t>
  </si>
  <si>
    <t>1114FairwayDR</t>
  </si>
  <si>
    <t>andrwchndlr@gmail.com</t>
  </si>
  <si>
    <t>Andrew Chandler</t>
  </si>
  <si>
    <t>6017 Medcalf Rd</t>
  </si>
  <si>
    <t>whittalm@gmail.com</t>
  </si>
  <si>
    <t>brendyn2001@gmail.com</t>
  </si>
  <si>
    <t>Brendyn</t>
  </si>
  <si>
    <t>Whittal</t>
  </si>
  <si>
    <t>Brendyn Whittal</t>
  </si>
  <si>
    <t>1064 primrose rd</t>
  </si>
  <si>
    <t>victoria</t>
  </si>
  <si>
    <t>v8z4s</t>
  </si>
  <si>
    <t>davidjcarter09@gmail.com</t>
  </si>
  <si>
    <t>David Carter</t>
  </si>
  <si>
    <t>8494 w Arizona dr</t>
  </si>
  <si>
    <t>runuclvrboy@outlook.com</t>
  </si>
  <si>
    <t>Emily Newton</t>
  </si>
  <si>
    <t>prkr7271@gmail.com</t>
  </si>
  <si>
    <t>Ps139tlr@gmail.com</t>
  </si>
  <si>
    <t>Toni Robinson</t>
  </si>
  <si>
    <t>2837 Olanta hwy</t>
  </si>
  <si>
    <t>Turbeville</t>
  </si>
  <si>
    <t>shocks4him@sbcglobal.net</t>
  </si>
  <si>
    <t>Shockley</t>
  </si>
  <si>
    <t>Judah Shockley</t>
  </si>
  <si>
    <t>1851 W. Elm Ave.</t>
  </si>
  <si>
    <t>Maziejeclan@gmail.com</t>
  </si>
  <si>
    <t>Mackenzie Edwards</t>
  </si>
  <si>
    <t>joshthegraytest@gmail.com</t>
  </si>
  <si>
    <t>Joshua Gray</t>
  </si>
  <si>
    <t>9850 S Flower Ct</t>
  </si>
  <si>
    <t>amychristinejensen@gmail.com</t>
  </si>
  <si>
    <t>trevincjensen@gmail.com</t>
  </si>
  <si>
    <t>Trevin</t>
  </si>
  <si>
    <t>Trevin Jensen</t>
  </si>
  <si>
    <t>912 Hidden Valley Drive</t>
  </si>
  <si>
    <t>Elgin</t>
  </si>
  <si>
    <t>monty@amchurch.net</t>
  </si>
  <si>
    <t>calebmcculley45@gmail.com</t>
  </si>
  <si>
    <t>Caleb McCulley</t>
  </si>
  <si>
    <t>2616 Hailes Ct</t>
  </si>
  <si>
    <t>mcclaranstuff@gmail.com</t>
  </si>
  <si>
    <t>thranduil@exede.net</t>
  </si>
  <si>
    <t>Sara McClaran</t>
  </si>
  <si>
    <t>jillreilly@gmail.com</t>
  </si>
  <si>
    <t>regan</t>
  </si>
  <si>
    <t>reilly</t>
  </si>
  <si>
    <t>regan reilly</t>
  </si>
  <si>
    <t>365 n indian house rd</t>
  </si>
  <si>
    <t>travis_g@outlook.com</t>
  </si>
  <si>
    <t>Travis Gray</t>
  </si>
  <si>
    <t>fourgrogans@me.com</t>
  </si>
  <si>
    <t>cam_grogan@yahoo.com</t>
  </si>
  <si>
    <t>Grogan</t>
  </si>
  <si>
    <t>Cameron Grogan</t>
  </si>
  <si>
    <t>1252 Huron Dr</t>
  </si>
  <si>
    <t>Grapevine</t>
  </si>
  <si>
    <t>lauriesg4@yahoo.com</t>
  </si>
  <si>
    <t>danielgarton5@gmail.com</t>
  </si>
  <si>
    <t>Garton</t>
  </si>
  <si>
    <t>Daniel Garton</t>
  </si>
  <si>
    <t>11081 Forest Dr.</t>
  </si>
  <si>
    <t>dgartonavid@yahoo.com</t>
  </si>
  <si>
    <t>David Garton</t>
  </si>
  <si>
    <t>11081 Forest Drive</t>
  </si>
  <si>
    <t>jjasks@hotmail.com</t>
  </si>
  <si>
    <t>blueberry@q.com</t>
  </si>
  <si>
    <t>Jason Personius</t>
  </si>
  <si>
    <t>jhartfield@mac.com</t>
  </si>
  <si>
    <t>hartfielddrew@gmail.com</t>
  </si>
  <si>
    <t>Hartfield</t>
  </si>
  <si>
    <t>Andrew Hartfield</t>
  </si>
  <si>
    <t>4722 Ranch Drive</t>
  </si>
  <si>
    <t>sev4@outlook.com</t>
  </si>
  <si>
    <t>Victoria Severance</t>
  </si>
  <si>
    <t>215 E Belleview St</t>
  </si>
  <si>
    <t>monicaann40@gmail.com</t>
  </si>
  <si>
    <t>joshuaguerra123456789@gmail.com</t>
  </si>
  <si>
    <t>Joshua Guerra</t>
  </si>
  <si>
    <t>2606 Grissom Dr.</t>
  </si>
  <si>
    <t>dtudoran@yahoo.com</t>
  </si>
  <si>
    <t>Caelin</t>
  </si>
  <si>
    <t>Viner</t>
  </si>
  <si>
    <t>Caelin Viner</t>
  </si>
  <si>
    <t>mirandebbie@gmail.com</t>
  </si>
  <si>
    <t>joashsmirandas@gmail.com</t>
  </si>
  <si>
    <t>Joash Miranda</t>
  </si>
  <si>
    <t>205 E. Morrison St.</t>
  </si>
  <si>
    <t>danieladolphin3@gmail.com</t>
  </si>
  <si>
    <t>danieladolopin3@gmail.com</t>
  </si>
  <si>
    <t>Daniela Campbell</t>
  </si>
  <si>
    <t>3416 Hillside Dr</t>
  </si>
  <si>
    <t>claffam@hotmail.com</t>
  </si>
  <si>
    <t>Claffam3@iclound.com</t>
  </si>
  <si>
    <t>Aislinn</t>
  </si>
  <si>
    <t>Claffey</t>
  </si>
  <si>
    <t>Aislinn Claffey</t>
  </si>
  <si>
    <t>32 Goodnow Lane</t>
  </si>
  <si>
    <t>Ehopec99@gmail.com</t>
  </si>
  <si>
    <t>Emilee Claffey</t>
  </si>
  <si>
    <t>esb080298@gmail.com</t>
  </si>
  <si>
    <t>willhjeffery@icloud.com</t>
  </si>
  <si>
    <t>Jeffery</t>
  </si>
  <si>
    <t>William Jeffery</t>
  </si>
  <si>
    <t>517 N. Main Street</t>
  </si>
  <si>
    <t>steph@graby.net</t>
  </si>
  <si>
    <t>evan99257@gmail.com</t>
  </si>
  <si>
    <t>Graby</t>
  </si>
  <si>
    <t>Evan Graby</t>
  </si>
  <si>
    <t>12727 Longleaf Lane</t>
  </si>
  <si>
    <t>schaefer.patty@yahoo.com</t>
  </si>
  <si>
    <t>RyanLikesTrees7@gmail.com</t>
  </si>
  <si>
    <t>Ryan Schaefer</t>
  </si>
  <si>
    <t>4417 Brighton Court</t>
  </si>
  <si>
    <t>maryjackson531@icloud.com</t>
  </si>
  <si>
    <t>Haganjackson0119@gmail.com</t>
  </si>
  <si>
    <t>Hagan</t>
  </si>
  <si>
    <t>Hagan Jackson</t>
  </si>
  <si>
    <t>2807 Yulupa Avenue</t>
  </si>
  <si>
    <t>Apt 53</t>
  </si>
  <si>
    <t>Glhodgesmail@gmail.com</t>
  </si>
  <si>
    <t>Aden Ramirez</t>
  </si>
  <si>
    <t>csummar2020@gmail.com</t>
  </si>
  <si>
    <t>Csummar2020@gmail.com</t>
  </si>
  <si>
    <t>Summar</t>
  </si>
  <si>
    <t>Caroline Summar</t>
  </si>
  <si>
    <t>778 Hallview Road</t>
  </si>
  <si>
    <t>codybeachey@yahoo.com</t>
  </si>
  <si>
    <t>Kody</t>
  </si>
  <si>
    <t>Beachey</t>
  </si>
  <si>
    <t>Kody Beachey</t>
  </si>
  <si>
    <t>18898 Hoshel Rd</t>
  </si>
  <si>
    <t>lbrad1991@gmail.com</t>
  </si>
  <si>
    <t>akbradford00@gmail.com</t>
  </si>
  <si>
    <t>Anna Kate</t>
  </si>
  <si>
    <t>Anna Kate Bradford</t>
  </si>
  <si>
    <t>1106 Waynesboro</t>
  </si>
  <si>
    <t>terryjoybarnes@yahoo.com</t>
  </si>
  <si>
    <t>kate.barnes@littlerockchristian.com</t>
  </si>
  <si>
    <t>Kate Barnes</t>
  </si>
  <si>
    <t>14 Sologne Circle</t>
  </si>
  <si>
    <t>sewforjesus@gmail.com</t>
  </si>
  <si>
    <t>Rachael Craig</t>
  </si>
  <si>
    <t>15001 State Route 729</t>
  </si>
  <si>
    <t>South Solon</t>
  </si>
  <si>
    <t>skyk54321@gmail.com</t>
  </si>
  <si>
    <t>Syene</t>
  </si>
  <si>
    <t>Kulendran</t>
  </si>
  <si>
    <t>Syene Kulendran</t>
  </si>
  <si>
    <t>6100 Banyan Terr</t>
  </si>
  <si>
    <t>kmcw@windstream.net</t>
  </si>
  <si>
    <t>kieran.j@mcwilliams.cc</t>
  </si>
  <si>
    <t>McWilliams</t>
  </si>
  <si>
    <t>Kieran McWilliams</t>
  </si>
  <si>
    <t>1255 West Ridge Way</t>
  </si>
  <si>
    <t>heidi.denny9@gmail.com</t>
  </si>
  <si>
    <t>Denny</t>
  </si>
  <si>
    <t>Heidi Denny</t>
  </si>
  <si>
    <t>103 Noyant dr</t>
  </si>
  <si>
    <t>toddteggie@icloud.com</t>
  </si>
  <si>
    <t>kirkteg@gmail.com</t>
  </si>
  <si>
    <t>Tegtmeier</t>
  </si>
  <si>
    <t>Kirk Tegtmeier</t>
  </si>
  <si>
    <t>6378 Shallowbrook Court</t>
  </si>
  <si>
    <t>uppermeadow8@gmail.com</t>
  </si>
  <si>
    <t>Eventhorizon843@gmail.com</t>
  </si>
  <si>
    <t>Kristian Bennett</t>
  </si>
  <si>
    <t>2221 274th Ave Ne</t>
  </si>
  <si>
    <t>kadempsey@comcast.net</t>
  </si>
  <si>
    <t>unitedwhite07@comcast.net</t>
  </si>
  <si>
    <t>Dempsey</t>
  </si>
  <si>
    <t>Hannah Dempsey</t>
  </si>
  <si>
    <t>9581 Queenscliffe Ct.</t>
  </si>
  <si>
    <t>charliewiegand@comcast.net</t>
  </si>
  <si>
    <t>katharina6418@aurorak12.org</t>
  </si>
  <si>
    <t>Katharina</t>
  </si>
  <si>
    <t>Wiegand</t>
  </si>
  <si>
    <t>Katharina Wiegand</t>
  </si>
  <si>
    <t>2514 S. rifle St</t>
  </si>
  <si>
    <t>aurora</t>
  </si>
  <si>
    <t>kdrob92@gmail.com</t>
  </si>
  <si>
    <t>robinsonjett@gmail.com</t>
  </si>
  <si>
    <t>Jett</t>
  </si>
  <si>
    <t>Jett Robinson</t>
  </si>
  <si>
    <t>4500 Hillside Dr.</t>
  </si>
  <si>
    <t>terrimck@gmail.com</t>
  </si>
  <si>
    <t>horseluvmck@gmail.com</t>
  </si>
  <si>
    <t>Amelia McKenzie</t>
  </si>
  <si>
    <t>1055 31st Avenue</t>
  </si>
  <si>
    <t>odetopurple@gmail.com</t>
  </si>
  <si>
    <t>mariagracebb@gmail.com</t>
  </si>
  <si>
    <t>Maria Van Dyk</t>
  </si>
  <si>
    <t>cecedavis17@yahoo.com</t>
  </si>
  <si>
    <t>Cassidy Davis</t>
  </si>
  <si>
    <t>3315 Spring Valley Drive</t>
  </si>
  <si>
    <t>tyler@blades.net</t>
  </si>
  <si>
    <t>Tyler Snodgrass</t>
  </si>
  <si>
    <t>D Street</t>
  </si>
  <si>
    <t>Amana</t>
  </si>
  <si>
    <t>grace.elander@icloud.com</t>
  </si>
  <si>
    <t>Grace Elander</t>
  </si>
  <si>
    <t>15091 wilderness ridge ln nw</t>
  </si>
  <si>
    <t>Lizzy</t>
  </si>
  <si>
    <t>Lizzy Lawson</t>
  </si>
  <si>
    <t>bellegirl2001@icloud.com</t>
  </si>
  <si>
    <t>Kolvisto</t>
  </si>
  <si>
    <t>Annabelle Kolvisto</t>
  </si>
  <si>
    <t>310 Sibley Street</t>
  </si>
  <si>
    <t>evanronda.11@gmail.com</t>
  </si>
  <si>
    <t>Evan Ronda</t>
  </si>
  <si>
    <t>5509 W. Harrison Ct.</t>
  </si>
  <si>
    <t>ashley_alyn@yahoo.com</t>
  </si>
  <si>
    <t>averycarlyn@gmail.com</t>
  </si>
  <si>
    <t>Avery Means</t>
  </si>
  <si>
    <t>3404 SW 92nd Street</t>
  </si>
  <si>
    <t>andrew.aprile1@gmail.com</t>
  </si>
  <si>
    <t>Andrew Aprile</t>
  </si>
  <si>
    <t>spencermck96@gmail.com</t>
  </si>
  <si>
    <t>Spencer McKenzie</t>
  </si>
  <si>
    <t>munchyzmom7@yahoo.com</t>
  </si>
  <si>
    <t>Rupert.robin.m@gmail.com</t>
  </si>
  <si>
    <t>Orion</t>
  </si>
  <si>
    <t>Rupert</t>
  </si>
  <si>
    <t>Orion Rupert</t>
  </si>
  <si>
    <t>3055 Williams Parkway SW</t>
  </si>
  <si>
    <t>Unit B</t>
  </si>
  <si>
    <t>susan.joy.argueta@gmail.com</t>
  </si>
  <si>
    <t>Argueta</t>
  </si>
  <si>
    <t>Aaron Argueta</t>
  </si>
  <si>
    <t>tdryden@usfamily.net</t>
  </si>
  <si>
    <t>britteryden@gmail.com</t>
  </si>
  <si>
    <t>Britte</t>
  </si>
  <si>
    <t>Ryden</t>
  </si>
  <si>
    <t>Britte Ryden</t>
  </si>
  <si>
    <t>5615 Elliot Avenue South</t>
  </si>
  <si>
    <t>angelgabrieltorres01@gmail.com</t>
  </si>
  <si>
    <t>Torres Mateos</t>
  </si>
  <si>
    <t>Angel Torres Mateos</t>
  </si>
  <si>
    <t>631 NW Grove St.</t>
  </si>
  <si>
    <t>ewinchell8@gmail.com</t>
  </si>
  <si>
    <t>Emma Winchell</t>
  </si>
  <si>
    <t>10624 E 97th St</t>
  </si>
  <si>
    <t>edweaver@gmail.com</t>
  </si>
  <si>
    <t>Elizabeth Weaver</t>
  </si>
  <si>
    <t>5920 E. 161st St</t>
  </si>
  <si>
    <t>boeringlewis@gmail.com</t>
  </si>
  <si>
    <t>nathaniel</t>
  </si>
  <si>
    <t>boer</t>
  </si>
  <si>
    <t>nathaniel boer</t>
  </si>
  <si>
    <t>6931 tiffany ave</t>
  </si>
  <si>
    <t>jenshu4@gmail.com</t>
  </si>
  <si>
    <t>willieshu2@gmail.com</t>
  </si>
  <si>
    <t>William Yates</t>
  </si>
  <si>
    <t>5409 Cove Island Road</t>
  </si>
  <si>
    <t>ejblack1121@gmail.com</t>
  </si>
  <si>
    <t>Emily Mill</t>
  </si>
  <si>
    <t>22261 101st rd</t>
  </si>
  <si>
    <t>motten@fuse.net</t>
  </si>
  <si>
    <t>ethandpowers@gmail.com</t>
  </si>
  <si>
    <t>Ethan Powers</t>
  </si>
  <si>
    <t>3921 Pine View</t>
  </si>
  <si>
    <t>kallyn.nordell@gmail.com</t>
  </si>
  <si>
    <t>Kallyn</t>
  </si>
  <si>
    <t>Nordell</t>
  </si>
  <si>
    <t>Kallyn Nordell</t>
  </si>
  <si>
    <t>1041 N Vista St</t>
  </si>
  <si>
    <t>lat.kit507@verizon.net</t>
  </si>
  <si>
    <t>Anika Lee</t>
  </si>
  <si>
    <t>540 Grace Lane</t>
  </si>
  <si>
    <t>gramntx@gmail.com</t>
  </si>
  <si>
    <t>Isaac Swenson</t>
  </si>
  <si>
    <t>1120 West Lovers Lane</t>
  </si>
  <si>
    <t>deemma@verizon.net</t>
  </si>
  <si>
    <t>Sirempier@gmail.com</t>
  </si>
  <si>
    <t>James Emma</t>
  </si>
  <si>
    <t>24 Marshall St.</t>
  </si>
  <si>
    <t>West Caldwell</t>
  </si>
  <si>
    <t>captainstreyle@gmail.com</t>
  </si>
  <si>
    <t>Streyle</t>
  </si>
  <si>
    <t>Caleb Streyle</t>
  </si>
  <si>
    <t>1913 Eagle Dr.</t>
  </si>
  <si>
    <t>cheyenne</t>
  </si>
  <si>
    <t>jenny@suspendedgravity.com</t>
  </si>
  <si>
    <t>luke@suspendedgravity.com</t>
  </si>
  <si>
    <t>Luke Mueller</t>
  </si>
  <si>
    <t>7899 5TH ST SE</t>
  </si>
  <si>
    <t>morgannathanj@gmail.com</t>
  </si>
  <si>
    <t>Nathan Morgan</t>
  </si>
  <si>
    <t>2277 Hayward Lane</t>
  </si>
  <si>
    <t>vizzini@q.com</t>
  </si>
  <si>
    <t>raksasa13@gmail.com</t>
  </si>
  <si>
    <t>Nathan Sawall</t>
  </si>
  <si>
    <t>mnliska@hotmail.com</t>
  </si>
  <si>
    <t>jack.liska50@gmail.com</t>
  </si>
  <si>
    <t>Liska</t>
  </si>
  <si>
    <t>Jack Liska</t>
  </si>
  <si>
    <t>6926 Pagenkopf Rd</t>
  </si>
  <si>
    <t>katrina@ckmcallister.com</t>
  </si>
  <si>
    <t>kaithmcallister@gmail.com</t>
  </si>
  <si>
    <t>Kaitlin McAllister</t>
  </si>
  <si>
    <t>19472 Royal Troon Drive</t>
  </si>
  <si>
    <t>jjpaquin4@gmail.com</t>
  </si>
  <si>
    <t>Paquin</t>
  </si>
  <si>
    <t>Joseph Paquin</t>
  </si>
  <si>
    <t>5736 Janneys Mill Circle</t>
  </si>
  <si>
    <t>conradtestin@gmail.com</t>
  </si>
  <si>
    <t>Conrad Testin</t>
  </si>
  <si>
    <t>6808 Winona Dr</t>
  </si>
  <si>
    <t>mason125@sbcglobal.net</t>
  </si>
  <si>
    <t>Kniola</t>
  </si>
  <si>
    <t>Mason Kniola</t>
  </si>
  <si>
    <t>10911 Songbird Ln.</t>
  </si>
  <si>
    <t>kristinhack@yahoo.com</t>
  </si>
  <si>
    <t>emilyhack03@gmail.com</t>
  </si>
  <si>
    <t>Hakalmazian</t>
  </si>
  <si>
    <t>Emily Hakalmazian</t>
  </si>
  <si>
    <t>19595 Desparado Dr</t>
  </si>
  <si>
    <t>bkrevans@yahoo.com</t>
  </si>
  <si>
    <t>mvevans8604@gmail.com</t>
  </si>
  <si>
    <t>Matthew Evans</t>
  </si>
  <si>
    <t>2804 Farris Lane</t>
  </si>
  <si>
    <t>OLIVIA@AZTECMASONRYINC.COM</t>
  </si>
  <si>
    <t>jj@aztecmasonryinc.com</t>
  </si>
  <si>
    <t>Olguin</t>
  </si>
  <si>
    <t>Jonathan Olguin</t>
  </si>
  <si>
    <t>275 Magnolia Ln</t>
  </si>
  <si>
    <t>Piperton</t>
  </si>
  <si>
    <t>kelleysergei@gmail.com</t>
  </si>
  <si>
    <t>kelle167@msu.edu</t>
  </si>
  <si>
    <t>Sergei</t>
  </si>
  <si>
    <t>Sergei Kelley</t>
  </si>
  <si>
    <t>919 E. Shaw Lane</t>
  </si>
  <si>
    <t>West Holmes Rm 163</t>
  </si>
  <si>
    <t>sherri.bader@gmail.com</t>
  </si>
  <si>
    <t>caitin.kimberlee@gmail.com</t>
  </si>
  <si>
    <t>Bader</t>
  </si>
  <si>
    <t>Caitlin Bader</t>
  </si>
  <si>
    <t>405 23rd Avenue</t>
  </si>
  <si>
    <t>Eldora</t>
  </si>
  <si>
    <t>lpbader@iastate.edu</t>
  </si>
  <si>
    <t>Luke Bader</t>
  </si>
  <si>
    <t>lvb2@students.calvin.edu</t>
  </si>
  <si>
    <t>lvb2@students.calvin,edu</t>
  </si>
  <si>
    <t>Bentley</t>
  </si>
  <si>
    <t>Lydia Bentley</t>
  </si>
  <si>
    <t>345 Johnston Dr</t>
  </si>
  <si>
    <t>Watchung</t>
  </si>
  <si>
    <t>isabellarburrow@gmail.com</t>
  </si>
  <si>
    <t>Burrow</t>
  </si>
  <si>
    <t>Isabella Burrow</t>
  </si>
  <si>
    <t>103 Warbonnet Trail</t>
  </si>
  <si>
    <t>Del Rio</t>
  </si>
  <si>
    <t>coltonmunger01@gmail.com</t>
  </si>
  <si>
    <t>Colton Munger</t>
  </si>
  <si>
    <t>adrielawhite@gmail.com</t>
  </si>
  <si>
    <t>Adriela</t>
  </si>
  <si>
    <t>Adriela White</t>
  </si>
  <si>
    <t>806 Cedar Ave.</t>
  </si>
  <si>
    <t>Grove City</t>
  </si>
  <si>
    <t>rdawnbeck@gmail.com</t>
  </si>
  <si>
    <t>lilyibeck@gmail.com</t>
  </si>
  <si>
    <t>Lily Beck</t>
  </si>
  <si>
    <t>47445 277th St</t>
  </si>
  <si>
    <t>Worthing</t>
  </si>
  <si>
    <t>jackballard4@yahoo.com</t>
  </si>
  <si>
    <t>Gracie Ballard</t>
  </si>
  <si>
    <t>2659 Randolph rd</t>
  </si>
  <si>
    <t>Burlison</t>
  </si>
  <si>
    <t>michelle@yellowhousebookrental.com</t>
  </si>
  <si>
    <t>kim.n.osborn@hotmail.com</t>
  </si>
  <si>
    <t>Kimberly Osborn</t>
  </si>
  <si>
    <t>2105 S 2800 E</t>
  </si>
  <si>
    <t>New Harmony</t>
  </si>
  <si>
    <t>Emma Dammarell</t>
  </si>
  <si>
    <t>jtwo-droz@juno.com</t>
  </si>
  <si>
    <t>zuniga.julianna@gmail.com</t>
  </si>
  <si>
    <t>Zuniga</t>
  </si>
  <si>
    <t>Julianna Zuniga</t>
  </si>
  <si>
    <t>4026 Mesa Verde St</t>
  </si>
  <si>
    <t>Ft Collins</t>
  </si>
  <si>
    <t>myfavoritestoryismine@gmail.com</t>
  </si>
  <si>
    <t>Clara Brown</t>
  </si>
  <si>
    <t>jrdixon777@gmail.com</t>
  </si>
  <si>
    <t>clarkaustindixon@gmail.com</t>
  </si>
  <si>
    <t>Clark Dixon</t>
  </si>
  <si>
    <t>1074 Water Tank Rd</t>
  </si>
  <si>
    <t>tckelm@att.net</t>
  </si>
  <si>
    <t>jaredkelm13@gmail.com</t>
  </si>
  <si>
    <t>Kelm</t>
  </si>
  <si>
    <t>Jared Kelm</t>
  </si>
  <si>
    <t>611 Trailwood Dr</t>
  </si>
  <si>
    <t>sherisimmer7@gmail.com</t>
  </si>
  <si>
    <t>jellibinn@gmail.com</t>
  </si>
  <si>
    <t>Jerilynn</t>
  </si>
  <si>
    <t>Simmer</t>
  </si>
  <si>
    <t>Jerilynn Simmer</t>
  </si>
  <si>
    <t>7337  9th St SE</t>
  </si>
  <si>
    <t>j.leech@ballyhamiltonagri.ie</t>
  </si>
  <si>
    <t>georgeleech2297@gmail.com</t>
  </si>
  <si>
    <t>Leech</t>
  </si>
  <si>
    <t>George Leech</t>
  </si>
  <si>
    <t>Ballyhamilton</t>
  </si>
  <si>
    <t>Enniscorthy</t>
  </si>
  <si>
    <t>Ireland</t>
  </si>
  <si>
    <t>harryleech2102@gmail.com</t>
  </si>
  <si>
    <t>Harry</t>
  </si>
  <si>
    <t>Harry Leech</t>
  </si>
  <si>
    <t>18danielleech@enniscorthyv.ie</t>
  </si>
  <si>
    <t>Daniel Leech</t>
  </si>
  <si>
    <t>Knockduff</t>
  </si>
  <si>
    <t>mickmalco99@gmail.com</t>
  </si>
  <si>
    <t>Malcolmson</t>
  </si>
  <si>
    <t>Michael Malcolmson</t>
  </si>
  <si>
    <t>Main St</t>
  </si>
  <si>
    <t>Camolin</t>
  </si>
  <si>
    <t>deejayandchristy@gmail.com</t>
  </si>
  <si>
    <t>madburton@kearneycats.com</t>
  </si>
  <si>
    <t>Madeline Burton</t>
  </si>
  <si>
    <t>1911 W 42nd Street</t>
  </si>
  <si>
    <t>tkmccurdy@yahoo.com</t>
  </si>
  <si>
    <t>ctmccurdy7@hotmail.com</t>
  </si>
  <si>
    <t>Calysta</t>
  </si>
  <si>
    <t>McCurdy</t>
  </si>
  <si>
    <t>Calysta McCurdy</t>
  </si>
  <si>
    <t>754 N Arthur Ave</t>
  </si>
  <si>
    <t>adaraw3@gmail.com</t>
  </si>
  <si>
    <t>Adara</t>
  </si>
  <si>
    <t>Adara Warren</t>
  </si>
  <si>
    <t>45410 Big Eddy rd.</t>
  </si>
  <si>
    <t>mats203@hotmail.com</t>
  </si>
  <si>
    <t>Altom</t>
  </si>
  <si>
    <t>Madison Altom</t>
  </si>
  <si>
    <t>181 Old Highway 25</t>
  </si>
  <si>
    <t>Tumbling Shoals</t>
  </si>
  <si>
    <t>beautyinone22@gmail.com</t>
  </si>
  <si>
    <t>Rebekah Cox</t>
  </si>
  <si>
    <t>12532 South Birch Avenue</t>
  </si>
  <si>
    <t>michellesjordan@gmail.com</t>
  </si>
  <si>
    <t>kaylarj0923@gmail.com</t>
  </si>
  <si>
    <t>Kayla Jordan</t>
  </si>
  <si>
    <t>1412 Arrowhead Drive</t>
  </si>
  <si>
    <t>e.s.phillips01@gmail.com</t>
  </si>
  <si>
    <t>Evan Phillips</t>
  </si>
  <si>
    <t>1481 Arkadelphia Rd</t>
  </si>
  <si>
    <t>lcragg@cookinletalaska.org</t>
  </si>
  <si>
    <t>Cragg</t>
  </si>
  <si>
    <t>Lucas Cragg</t>
  </si>
  <si>
    <t>47298 Anna Leah Ave.</t>
  </si>
  <si>
    <t>mtcaleb123@gmail.com</t>
  </si>
  <si>
    <t>Gilliam</t>
  </si>
  <si>
    <t>Caleb Gilliam</t>
  </si>
  <si>
    <t>1236 Grubstake Circle</t>
  </si>
  <si>
    <t>lisadelanarhodes@hotmail.com</t>
  </si>
  <si>
    <t>LISADELANARHODES@HOTMAIL.COM</t>
  </si>
  <si>
    <t>LEXIE</t>
  </si>
  <si>
    <t>RHODES</t>
  </si>
  <si>
    <t>LEXIE RHODES</t>
  </si>
  <si>
    <t>244 HARRELSON</t>
  </si>
  <si>
    <t>lkeiser20@mcathunder.org</t>
  </si>
  <si>
    <t>Lydia Keiser</t>
  </si>
  <si>
    <t>ethyssen01@gmail.com</t>
  </si>
  <si>
    <t>Thyssen</t>
  </si>
  <si>
    <t>Ethan Thyssen</t>
  </si>
  <si>
    <t>1200 Meadow Ridge Dr</t>
  </si>
  <si>
    <t>Dripping Springs</t>
  </si>
  <si>
    <t>chloehubinger@gmail.com</t>
  </si>
  <si>
    <t>Chloe Hubinger</t>
  </si>
  <si>
    <t>11700 Waldron Road</t>
  </si>
  <si>
    <t>Alejandro</t>
  </si>
  <si>
    <t>Najri</t>
  </si>
  <si>
    <t>Alejandro Najri</t>
  </si>
  <si>
    <t>Hector</t>
  </si>
  <si>
    <t>Vilorio</t>
  </si>
  <si>
    <t>Hector Vilorio</t>
  </si>
  <si>
    <t>64 Miguel Angel Monclus</t>
  </si>
  <si>
    <t>ruth.froese@mchsi.com</t>
  </si>
  <si>
    <t>jinelle.froese@gmai.lcom</t>
  </si>
  <si>
    <t>Jinelle</t>
  </si>
  <si>
    <t>Froese</t>
  </si>
  <si>
    <t>Jinelle Froese</t>
  </si>
  <si>
    <t>14954 Valley View Drive</t>
  </si>
  <si>
    <t>tjfaur15@gmail.com</t>
  </si>
  <si>
    <t>Theodore Faur</t>
  </si>
  <si>
    <t>3458 CR 19</t>
  </si>
  <si>
    <t>tjohnsonfam5@gmail.com</t>
  </si>
  <si>
    <t>Tjohnsonfam5@gmail.com</t>
  </si>
  <si>
    <t>Renee Johnson</t>
  </si>
  <si>
    <t>16422 State Road 37</t>
  </si>
  <si>
    <t>Kendraschreck5@gmail.com</t>
  </si>
  <si>
    <t>Schreck</t>
  </si>
  <si>
    <t>Kendra Schreck</t>
  </si>
  <si>
    <t>5101 Holly Oak Road</t>
  </si>
  <si>
    <t>adkruse@icloud.com</t>
  </si>
  <si>
    <t>Adkruse@icloud.com</t>
  </si>
  <si>
    <t>Addeline</t>
  </si>
  <si>
    <t>Addeline Kruse</t>
  </si>
  <si>
    <t>6796 CR 31</t>
  </si>
  <si>
    <t>fride.tvedt@gmail.com</t>
  </si>
  <si>
    <t>Fride</t>
  </si>
  <si>
    <t>Tvedt</t>
  </si>
  <si>
    <t>Fride Tvedt</t>
  </si>
  <si>
    <t>matthewwah@comcast.net</t>
  </si>
  <si>
    <t>Matthew Hamilton</t>
  </si>
  <si>
    <t>532c Main Street</t>
  </si>
  <si>
    <t>hanavermulm@gmail.com</t>
  </si>
  <si>
    <t>Hanavermulm@gmail.com</t>
  </si>
  <si>
    <t>VerMulm</t>
  </si>
  <si>
    <t>Hana VerMulm</t>
  </si>
  <si>
    <t>22236 Hinzerling Rd</t>
  </si>
  <si>
    <t>Prosser</t>
  </si>
  <si>
    <t>colevegter@gmail.com</t>
  </si>
  <si>
    <t>Cole Vegter</t>
  </si>
  <si>
    <t>601 Ellis St.</t>
  </si>
  <si>
    <t>servant40@cox.net</t>
  </si>
  <si>
    <t>LVsandlot@gmail.com</t>
  </si>
  <si>
    <t>Barbilla</t>
  </si>
  <si>
    <t>Caden Barbilla</t>
  </si>
  <si>
    <t>6813 Mystic Plain Ct.</t>
  </si>
  <si>
    <t>jecmg83@gmail.com</t>
  </si>
  <si>
    <t>risgriff@iu.edu</t>
  </si>
  <si>
    <t>Risa</t>
  </si>
  <si>
    <t>Risa Griffin</t>
  </si>
  <si>
    <t>10 Clifton Dr</t>
  </si>
  <si>
    <t>mcliftking@comcast.net</t>
  </si>
  <si>
    <t>emmakking@comcast.net</t>
  </si>
  <si>
    <t>Emma King</t>
  </si>
  <si>
    <t>8211 Valley Ridge Dr</t>
  </si>
  <si>
    <t>alannaraikes@aol.com</t>
  </si>
  <si>
    <t>Alanna</t>
  </si>
  <si>
    <t>Raikes</t>
  </si>
  <si>
    <t>Alanna Raikes</t>
  </si>
  <si>
    <t>5577 Quail Hollow Way</t>
  </si>
  <si>
    <t>jsscmevans@att.net</t>
  </si>
  <si>
    <t>stephenkevans2000@gmail.com</t>
  </si>
  <si>
    <t>Stephen Evans</t>
  </si>
  <si>
    <t>2764 County Street 2770</t>
  </si>
  <si>
    <t>Cement</t>
  </si>
  <si>
    <t>elisha902003@yahoo.com.sg</t>
  </si>
  <si>
    <t>Elizabeth Koh</t>
  </si>
  <si>
    <t>Blk 12 #14-164</t>
  </si>
  <si>
    <t>Marine Terrace</t>
  </si>
  <si>
    <t>autryjones17@yahoo.com</t>
  </si>
  <si>
    <t>1021 Santa Fe</t>
  </si>
  <si>
    <t>Canyon</t>
  </si>
  <si>
    <t>snfritz1@frontiernet.net</t>
  </si>
  <si>
    <t>Stephen Fritz</t>
  </si>
  <si>
    <t>13032 Saint Filagree Dr.</t>
  </si>
  <si>
    <t>quoija195@gmail.com</t>
  </si>
  <si>
    <t>Jassah</t>
  </si>
  <si>
    <t>Quoi</t>
  </si>
  <si>
    <t>Jassah Quoi</t>
  </si>
  <si>
    <t>253 N 15th Ave</t>
  </si>
  <si>
    <t>jfawks@sbcglobal.net</t>
  </si>
  <si>
    <t>sfawks@yahoo.com</t>
  </si>
  <si>
    <t>Fawks</t>
  </si>
  <si>
    <t>Sydney Fawks</t>
  </si>
  <si>
    <t>831 Stewart Drive</t>
  </si>
  <si>
    <t>cspencer@fortbendhearing.com</t>
  </si>
  <si>
    <t>atspencer5@gmail.com</t>
  </si>
  <si>
    <t>Andrew Spencer</t>
  </si>
  <si>
    <t>8507 Chipping Rock Drive</t>
  </si>
  <si>
    <t>cadenzmcclure@gmail.com</t>
  </si>
  <si>
    <t>Caden McClure</t>
  </si>
  <si>
    <t>s.n.k.fritz@gmail.com</t>
  </si>
  <si>
    <t>Brian Fritz</t>
  </si>
  <si>
    <t>frunion1@comcast.net</t>
  </si>
  <si>
    <t>Adam Runion</t>
  </si>
  <si>
    <t>14033 Whittier Drive</t>
  </si>
  <si>
    <t>fishers</t>
  </si>
  <si>
    <t>prduke@yahoo.com</t>
  </si>
  <si>
    <t>calebrduke@yahoo.com</t>
  </si>
  <si>
    <t>Caleb Duke</t>
  </si>
  <si>
    <t>22895 Mulebarn Rd</t>
  </si>
  <si>
    <t>mingleco@gmail.com</t>
  </si>
  <si>
    <t>iingle543@outlook.com</t>
  </si>
  <si>
    <t>Ivana</t>
  </si>
  <si>
    <t>Ingle</t>
  </si>
  <si>
    <t>Ivana Ingle</t>
  </si>
  <si>
    <t>4860 E. Timothy Ln</t>
  </si>
  <si>
    <t>blomgren1@aol.com</t>
  </si>
  <si>
    <t>ecollege@aol.com</t>
  </si>
  <si>
    <t>Ethan Blomgren</t>
  </si>
  <si>
    <t>18482 Maple Leaf Drive</t>
  </si>
  <si>
    <t>cjjrwilson@ctcn.net</t>
  </si>
  <si>
    <t>lukewilson127@gmail.com</t>
  </si>
  <si>
    <t>Jonathan Wilson</t>
  </si>
  <si>
    <t>23rd Street West</t>
  </si>
  <si>
    <t>sarahrosine@berean.me</t>
  </si>
  <si>
    <t>Rosine</t>
  </si>
  <si>
    <t>Sarah Rosine</t>
  </si>
  <si>
    <t>4841 Shell Lane</t>
  </si>
  <si>
    <t>panda@roscoes.us</t>
  </si>
  <si>
    <t>Trinity Roscoe</t>
  </si>
  <si>
    <t>1720 Lynwood Place</t>
  </si>
  <si>
    <t>thewoodsonfamily@aol.com</t>
  </si>
  <si>
    <t>katefaith45@gmail.com</t>
  </si>
  <si>
    <t>Woodson</t>
  </si>
  <si>
    <t>Katherine Woodson</t>
  </si>
  <si>
    <t>5637 Toronto Drive</t>
  </si>
  <si>
    <t>hunstadryland@gmail.com</t>
  </si>
  <si>
    <t>Ryland</t>
  </si>
  <si>
    <t>Hunstad</t>
  </si>
  <si>
    <t>Ryland Hunstad</t>
  </si>
  <si>
    <t>2443 Country Club Loop</t>
  </si>
  <si>
    <t>mirandabok@gmail.com</t>
  </si>
  <si>
    <t>Bok</t>
  </si>
  <si>
    <t>Miranda Bok</t>
  </si>
  <si>
    <t>1300 Quiniela Dr. #109</t>
  </si>
  <si>
    <t>North Sioux City</t>
  </si>
  <si>
    <t>way2girlie@cableone.net</t>
  </si>
  <si>
    <t>Riley Welch</t>
  </si>
  <si>
    <t>m.nollmeyer@gmail.com</t>
  </si>
  <si>
    <t>Nollmeyer</t>
  </si>
  <si>
    <t>Elijah Nollmeyer</t>
  </si>
  <si>
    <t>2649 Meadow Creek Loop</t>
  </si>
  <si>
    <t>Kyla Kelly</t>
  </si>
  <si>
    <t>Hewhomthedragonsobey@gmail.com</t>
  </si>
  <si>
    <t>Collin Hudson</t>
  </si>
  <si>
    <t>Phoenixfeather45@gmail.com</t>
  </si>
  <si>
    <t>Caileigh</t>
  </si>
  <si>
    <t>Caileigh Hudson</t>
  </si>
  <si>
    <t>mekbsparkles@gmail.com</t>
  </si>
  <si>
    <t>malia</t>
  </si>
  <si>
    <t>Bento</t>
  </si>
  <si>
    <t>malia Bento</t>
  </si>
  <si>
    <t>16118 S Gerber rd</t>
  </si>
  <si>
    <t>s_macpherson@yahoo.com</t>
  </si>
  <si>
    <t>bradleyjrmac@gmail.com</t>
  </si>
  <si>
    <t>MacPherson</t>
  </si>
  <si>
    <t>Bradley MacPherson</t>
  </si>
  <si>
    <t>8338 n 50th drive</t>
  </si>
  <si>
    <t>glendale</t>
  </si>
  <si>
    <t>kbgoodson@gmail.com</t>
  </si>
  <si>
    <t>connoragoodson@gmail.com</t>
  </si>
  <si>
    <t>Connor Goodson</t>
  </si>
  <si>
    <t>12835 North State Rd 121</t>
  </si>
  <si>
    <t>khameleon0398@gmail.com</t>
  </si>
  <si>
    <t>Kylie Jones</t>
  </si>
  <si>
    <t>1808 Dukes Dr.</t>
  </si>
  <si>
    <t>call619@att.net</t>
  </si>
  <si>
    <t>Sophie Call</t>
  </si>
  <si>
    <t>smarcellespiano@gmail.com</t>
  </si>
  <si>
    <t>Suttles</t>
  </si>
  <si>
    <t>Sarah Suttles</t>
  </si>
  <si>
    <t>8803 NC 226 South</t>
  </si>
  <si>
    <t>goldensrule2018@gmail.com</t>
  </si>
  <si>
    <t>Goldensrule2018@gmail.com</t>
  </si>
  <si>
    <t>Sierra Potter</t>
  </si>
  <si>
    <t>24019 Rock Ridge Court</t>
  </si>
  <si>
    <t>moriah.heppner21@gmail.com</t>
  </si>
  <si>
    <t>Moriah Heppner</t>
  </si>
  <si>
    <t>22881 co rd 8</t>
  </si>
  <si>
    <t>Mabel</t>
  </si>
  <si>
    <t>shicks4given@gmail.com</t>
  </si>
  <si>
    <t>BROEDYHICKS@GMAIL.COM</t>
  </si>
  <si>
    <t>BROEDY</t>
  </si>
  <si>
    <t>HICKS</t>
  </si>
  <si>
    <t>BROEDY HICKS</t>
  </si>
  <si>
    <t>1174 VIA SAN REMO</t>
  </si>
  <si>
    <t>REDLANDS</t>
  </si>
  <si>
    <t>kdekle@roadrunner.com</t>
  </si>
  <si>
    <t>ekepianoman02@roadrunner.com</t>
  </si>
  <si>
    <t>Ezekiel Ellis</t>
  </si>
  <si>
    <t>17854 Wildridge Lane</t>
  </si>
  <si>
    <t>Santa Clarita</t>
  </si>
  <si>
    <t>caseymaeroberts@yahoo.com</t>
  </si>
  <si>
    <t>CaseyMae</t>
  </si>
  <si>
    <t>CaseyMae Roberts</t>
  </si>
  <si>
    <t>275 settlement Lane</t>
  </si>
  <si>
    <t>D1</t>
  </si>
  <si>
    <t>savedbysolagratia@gmail.com</t>
  </si>
  <si>
    <t>Madeline Farley</t>
  </si>
  <si>
    <t>1019 Countess Lane</t>
  </si>
  <si>
    <t>olesyakeating@gmail.com</t>
  </si>
  <si>
    <t>Olesya</t>
  </si>
  <si>
    <t>Olesya Keating</t>
  </si>
  <si>
    <t>P.O. Box 348</t>
  </si>
  <si>
    <t>Tayates@eagles.usi.edu</t>
  </si>
  <si>
    <t>Trenton Yates</t>
  </si>
  <si>
    <t>7020 Little Schaefer Road</t>
  </si>
  <si>
    <t>mlhallberg@yahoo.com</t>
  </si>
  <si>
    <t>Hallberg</t>
  </si>
  <si>
    <t>Summer Hallberg</t>
  </si>
  <si>
    <t>1301 W Bonneville St.</t>
  </si>
  <si>
    <t>Autumn Hallberg</t>
  </si>
  <si>
    <t>charischen01@gmail.com</t>
  </si>
  <si>
    <t>Charis</t>
  </si>
  <si>
    <t>Charis Chen</t>
  </si>
  <si>
    <t>11A, Jalan USJ 2/4D</t>
  </si>
  <si>
    <t>Subang Jaya</t>
  </si>
  <si>
    <t>terra.rowden@gmail.com</t>
  </si>
  <si>
    <t>Terra</t>
  </si>
  <si>
    <t>Rowden</t>
  </si>
  <si>
    <t>Terra Rowden</t>
  </si>
  <si>
    <t>rimellfamily4@gmail.com</t>
  </si>
  <si>
    <t>rimell.joshua@gmail.com</t>
  </si>
  <si>
    <t>Rimell</t>
  </si>
  <si>
    <t>Joshua Rimell</t>
  </si>
  <si>
    <t>206 Timberlyne Parc</t>
  </si>
  <si>
    <t>charliehcurtis29@gmail.com</t>
  </si>
  <si>
    <t>Charles Curtis</t>
  </si>
  <si>
    <t>4623 San Jose Street</t>
  </si>
  <si>
    <t>polarfox.jtds@gmail.com</t>
  </si>
  <si>
    <t>Mustangmakoa7@gmail.com</t>
  </si>
  <si>
    <t>Fajardo</t>
  </si>
  <si>
    <t>Connor Fajardo</t>
  </si>
  <si>
    <t>525 Grant</t>
  </si>
  <si>
    <t>tessamac510@gmail.com</t>
  </si>
  <si>
    <t>Tessa MacPherson</t>
  </si>
  <si>
    <t>thetechguy201@hotmail.com</t>
  </si>
  <si>
    <t>Paul Snyder</t>
  </si>
  <si>
    <t>201 E Pomfret St.</t>
  </si>
  <si>
    <t>rxmsey17@gmail.com</t>
  </si>
  <si>
    <t>Ramsey Kilgore</t>
  </si>
  <si>
    <t>nicolasbobo@ymail.com</t>
  </si>
  <si>
    <t>Blondie2733@gmail.com</t>
  </si>
  <si>
    <t>Bobo</t>
  </si>
  <si>
    <t>Rachel Bobo</t>
  </si>
  <si>
    <t>P.O. Box 1528</t>
  </si>
  <si>
    <t>kdanne13@gmail.com</t>
  </si>
  <si>
    <t>KaydeeAnne</t>
  </si>
  <si>
    <t>KaydeeAnne TeSelle</t>
  </si>
  <si>
    <t>ericalkovacs@hotmail.com</t>
  </si>
  <si>
    <t>samkovacs5391@gmail.com</t>
  </si>
  <si>
    <t>Kovacs</t>
  </si>
  <si>
    <t>Samuel Kovacs</t>
  </si>
  <si>
    <t>1935 N Quail Run Blvd.</t>
  </si>
  <si>
    <t>jim@brittontransport.com</t>
  </si>
  <si>
    <t>Hmanjs21@gmail.com</t>
  </si>
  <si>
    <t>Stockeland</t>
  </si>
  <si>
    <t>Harrison Stockeland</t>
  </si>
  <si>
    <t>5880 E Prairiewood Dr</t>
  </si>
  <si>
    <t>chloe.superman333@gmail.com</t>
  </si>
  <si>
    <t>Chloe Sawyer</t>
  </si>
  <si>
    <t>610 B st P.O. box 842</t>
  </si>
  <si>
    <t>huffmanfiduciaryservices@gmail.com</t>
  </si>
  <si>
    <t>rlinkhuffman@gmail.com</t>
  </si>
  <si>
    <t>Raymond Huffman</t>
  </si>
  <si>
    <t>P.O. Box 382</t>
  </si>
  <si>
    <t>carorose6@gmail.com</t>
  </si>
  <si>
    <t>Caroline Tomlinson</t>
  </si>
  <si>
    <t>8652 kunker rd</t>
  </si>
  <si>
    <t>morrow</t>
  </si>
  <si>
    <t>rhmay92@yahoo.com</t>
  </si>
  <si>
    <t>benrmay02@gmail.com</t>
  </si>
  <si>
    <t>Benjamin May</t>
  </si>
  <si>
    <t>1474 Shady Glen Ln</t>
  </si>
  <si>
    <t>lwmstreeter@gmail.com</t>
  </si>
  <si>
    <t>Adam Streeter</t>
  </si>
  <si>
    <t>2470 El Cerrito DR.</t>
  </si>
  <si>
    <t>Mercedes</t>
  </si>
  <si>
    <t>Melissa Mercedes</t>
  </si>
  <si>
    <t>richardyoung447@gmail.com</t>
  </si>
  <si>
    <t>h6sing@gmail.com</t>
  </si>
  <si>
    <t>Hannah Young</t>
  </si>
  <si>
    <t>57 James Landing Rd</t>
  </si>
  <si>
    <t>bclaassen715@gmail.com</t>
  </si>
  <si>
    <t>abigailclaassen2000@gmail.com</t>
  </si>
  <si>
    <t>Claassen</t>
  </si>
  <si>
    <t>Abigail Claassen</t>
  </si>
  <si>
    <t>6890 S Hargis Ranch Rd</t>
  </si>
  <si>
    <t>Hereford</t>
  </si>
  <si>
    <t>Ashtongf04@gmail.com</t>
  </si>
  <si>
    <t>Ashton Francis</t>
  </si>
  <si>
    <t>PO BOX 1165</t>
  </si>
  <si>
    <t>Avery Francis</t>
  </si>
  <si>
    <t>deaunmclain@sbcglobal.net</t>
  </si>
  <si>
    <t>Coopermclain5@gmail.com</t>
  </si>
  <si>
    <t>McLain</t>
  </si>
  <si>
    <t>Cooper McLain</t>
  </si>
  <si>
    <t>7800 Clearmeadow Drive</t>
  </si>
  <si>
    <t>t2lc@me.com</t>
  </si>
  <si>
    <t>Taskerud</t>
  </si>
  <si>
    <t>Tanner Taskerud</t>
  </si>
  <si>
    <t>5465 Kates Dr</t>
  </si>
  <si>
    <t>seekfirsttruth@gmail.com</t>
  </si>
  <si>
    <t>Kameron Kimball</t>
  </si>
  <si>
    <t>carrinminahan@yahoo.com</t>
  </si>
  <si>
    <t>tommyminahan2001@gmail.com</t>
  </si>
  <si>
    <t>Tommy Minahan</t>
  </si>
  <si>
    <t>1942 Old Warson Circle</t>
  </si>
  <si>
    <t>meghanminahan@icloud.com</t>
  </si>
  <si>
    <t>Meghan Minahan</t>
  </si>
  <si>
    <t>rebapalumbo@gmail.com</t>
  </si>
  <si>
    <t>speaklife2tddn@gmail.com</t>
  </si>
  <si>
    <t>Palumbo</t>
  </si>
  <si>
    <t>Benjamin Palumbo</t>
  </si>
  <si>
    <t>1116 S Charlemagne Dr</t>
  </si>
  <si>
    <t>Lake St Louis</t>
  </si>
  <si>
    <t>riley.coolman@gmail.com</t>
  </si>
  <si>
    <t>Coolman</t>
  </si>
  <si>
    <t>Riley Coolman</t>
  </si>
  <si>
    <t>2006 Laurent Court</t>
  </si>
  <si>
    <t>rwalenceus@gmail.com</t>
  </si>
  <si>
    <t>katie-agent6@gmail.com</t>
  </si>
  <si>
    <t>Walenceus</t>
  </si>
  <si>
    <t>Katherine Walenceus</t>
  </si>
  <si>
    <t>2320 Old Laurens Rd</t>
  </si>
  <si>
    <t>scottnan@bellsouth.net</t>
  </si>
  <si>
    <t>gmanlovesgod@gmail.com</t>
  </si>
  <si>
    <t>Gregory Morris</t>
  </si>
  <si>
    <t>5566 Double Oak Lane</t>
  </si>
  <si>
    <t>bployhar@hotmail.com</t>
  </si>
  <si>
    <t>eployhar@hotmail.com</t>
  </si>
  <si>
    <t>Ployhar</t>
  </si>
  <si>
    <t>Eliza Ployhar</t>
  </si>
  <si>
    <t>350 little valley road</t>
  </si>
  <si>
    <t>bettydavishomes@gmail.com</t>
  </si>
  <si>
    <t>aka1cheeto@gmail.com</t>
  </si>
  <si>
    <t>Ryan Davis</t>
  </si>
  <si>
    <t>2406 Nettle Lane</t>
  </si>
  <si>
    <t>heatherboyle@earthlink.net</t>
  </si>
  <si>
    <t>bsquaredelectric02@gmail.com</t>
  </si>
  <si>
    <t>Benjamin Boyle</t>
  </si>
  <si>
    <t>19226 Autumn Garden</t>
  </si>
  <si>
    <t>donotloseheart73@gmail.com</t>
  </si>
  <si>
    <t>paten.travis@gmail.com</t>
  </si>
  <si>
    <t>Westley</t>
  </si>
  <si>
    <t>Westley Travis</t>
  </si>
  <si>
    <t>303 Fawn Drive</t>
  </si>
  <si>
    <t>Shavano Park</t>
  </si>
  <si>
    <t>carolinelong57@gmail.com</t>
  </si>
  <si>
    <t>Caroline Long</t>
  </si>
  <si>
    <t>475 E State St</t>
  </si>
  <si>
    <t>dudleysam2@gmail.com</t>
  </si>
  <si>
    <t>Samuel Drummond</t>
  </si>
  <si>
    <t>2801 N Athenian Ave</t>
  </si>
  <si>
    <t>abbylking.27@gmail.com</t>
  </si>
  <si>
    <t>Abigail King</t>
  </si>
  <si>
    <t>302 Daleville Road</t>
  </si>
  <si>
    <t>Cochranville</t>
  </si>
  <si>
    <t>libbybookgal@gmail.com</t>
  </si>
  <si>
    <t>Libby Hutchinson</t>
  </si>
  <si>
    <t>5630 Henley Rd.</t>
  </si>
  <si>
    <t>Rachel Long</t>
  </si>
  <si>
    <t>137 Dawns Edge Dr</t>
  </si>
  <si>
    <t>mabraham1@gmail.com</t>
  </si>
  <si>
    <t>Erik2002@gmail.com</t>
  </si>
  <si>
    <t>Erik Abraham</t>
  </si>
  <si>
    <t>2535 E. 98th ST</t>
  </si>
  <si>
    <t>kmjepsen5@gmail.com</t>
  </si>
  <si>
    <t>Michelle.jepsen@students.sacs.k12.in.us</t>
  </si>
  <si>
    <t>molly.k.sweeney@gmail.com</t>
  </si>
  <si>
    <t>Molly Sweeney</t>
  </si>
  <si>
    <t>lanala509@gmail.com</t>
  </si>
  <si>
    <t>La</t>
  </si>
  <si>
    <t>Lana La</t>
  </si>
  <si>
    <t>544 N Hickory Rd</t>
  </si>
  <si>
    <t>Atoka</t>
  </si>
  <si>
    <t>lukekmoritz@gmail.com</t>
  </si>
  <si>
    <t>Moritz</t>
  </si>
  <si>
    <t>Lucas Moritz</t>
  </si>
  <si>
    <t>10785 heatherfield drive</t>
  </si>
  <si>
    <t>dianejohnson0611@yahoo.com</t>
  </si>
  <si>
    <t>timjj611@gmail.com</t>
  </si>
  <si>
    <t>302 Flanagan Dr.</t>
  </si>
  <si>
    <t>lgpoulin@cedarville.edu</t>
  </si>
  <si>
    <t>Poulin</t>
  </si>
  <si>
    <t>Leah Poulin</t>
  </si>
  <si>
    <t>PO Box 227</t>
  </si>
  <si>
    <t>Zumbrota</t>
  </si>
  <si>
    <t>rodgersjonathan11@outlook.com</t>
  </si>
  <si>
    <t>Jonathan Rodgers</t>
  </si>
  <si>
    <t>2398 gordon rd</t>
  </si>
  <si>
    <t>rock hill</t>
  </si>
  <si>
    <t>mghess1995@gmail.com</t>
  </si>
  <si>
    <t>hhess02@gmail.com</t>
  </si>
  <si>
    <t>Hannah Hess</t>
  </si>
  <si>
    <t>49560 Charlie Brown Dr</t>
  </si>
  <si>
    <t>genlinkowski@gmail.com</t>
  </si>
  <si>
    <t>Genavieve</t>
  </si>
  <si>
    <t>Linkowski</t>
  </si>
  <si>
    <t>Genavieve Linkowski</t>
  </si>
  <si>
    <t>11100 Bendix Dr.</t>
  </si>
  <si>
    <t>Goodrich</t>
  </si>
  <si>
    <t>dicknginny@zoemin.org</t>
  </si>
  <si>
    <t>a1786@colegioelpinar.com</t>
  </si>
  <si>
    <t>NATHANIEL</t>
  </si>
  <si>
    <t>CHANDA</t>
  </si>
  <si>
    <t>NATHANIEL CHANDA</t>
  </si>
  <si>
    <t>5345 OWENS ST.</t>
  </si>
  <si>
    <t>ARVADA</t>
  </si>
  <si>
    <t>samuelloveing@gmail.com</t>
  </si>
  <si>
    <t>Samuel Loveing</t>
  </si>
  <si>
    <t>2150 W Bertrand Rd</t>
  </si>
  <si>
    <t>isaaclinkowski@gmail.com</t>
  </si>
  <si>
    <t>Isaaclinkowski@gmail.com</t>
  </si>
  <si>
    <t>Isaac Linkowski</t>
  </si>
  <si>
    <t>11100 Bendix Dr</t>
  </si>
  <si>
    <t>amyjmo@comcast.net</t>
  </si>
  <si>
    <t>emmozingo3@gmail.com</t>
  </si>
  <si>
    <t>Mozingo</t>
  </si>
  <si>
    <t>Elliott Mozingo</t>
  </si>
  <si>
    <t>11352 Hickory Woods Dr</t>
  </si>
  <si>
    <t>kbarrieau.teacher@gmail.com</t>
  </si>
  <si>
    <t>celisebarrieau@gmail.com</t>
  </si>
  <si>
    <t>Barrieau</t>
  </si>
  <si>
    <t>Chloe Barrieau</t>
  </si>
  <si>
    <t>20545 Lori Lane</t>
  </si>
  <si>
    <t>rglazier332@gmail.com</t>
  </si>
  <si>
    <t>Rebecca Glazier</t>
  </si>
  <si>
    <t>14531 Lolly Lane</t>
  </si>
  <si>
    <t>Apartment #18</t>
  </si>
  <si>
    <t>dbfish52@gmail.com</t>
  </si>
  <si>
    <t>Daunte</t>
  </si>
  <si>
    <t>Daunte Fisher</t>
  </si>
  <si>
    <t>59 Strasburg Pike</t>
  </si>
  <si>
    <t>jennifer.rene.campbell@gmail.com</t>
  </si>
  <si>
    <t>Ijcamp02@gmail.com</t>
  </si>
  <si>
    <t>Isaiah Campbell</t>
  </si>
  <si>
    <t>6838 Konarcik Rd</t>
  </si>
  <si>
    <t>maddiehughes47@gmail.com</t>
  </si>
  <si>
    <t>Madison Hughes</t>
  </si>
  <si>
    <t>2220 Parkhaven Dr.</t>
  </si>
  <si>
    <t>mmacdonna@aol.com</t>
  </si>
  <si>
    <t>Asa.m.macdonald@gmail.com</t>
  </si>
  <si>
    <t>Asa MacDonald</t>
  </si>
  <si>
    <t>6100 Silver View Lane</t>
  </si>
  <si>
    <t>jhughes.eca@gmail.com</t>
  </si>
  <si>
    <t>Sarah Hughes</t>
  </si>
  <si>
    <t>kvvoelkel@gmail.com</t>
  </si>
  <si>
    <t>Savystar012@gmail.com</t>
  </si>
  <si>
    <t>Voelkel</t>
  </si>
  <si>
    <t>Savannah Voelkel</t>
  </si>
  <si>
    <t>100 Colonial Lane</t>
  </si>
  <si>
    <t>Benjamin Hughes</t>
  </si>
  <si>
    <t>lstennett1@gmail.com</t>
  </si>
  <si>
    <t>gretchen.stennett@llwarriors.org</t>
  </si>
  <si>
    <t>Gretchen</t>
  </si>
  <si>
    <t>Stennett</t>
  </si>
  <si>
    <t>Gretchen Stennett</t>
  </si>
  <si>
    <t>1245 Eastridge Drive</t>
  </si>
  <si>
    <t>zachsatwv@frontier.com</t>
  </si>
  <si>
    <t>bjzach02@gmail.com</t>
  </si>
  <si>
    <t>benjamin</t>
  </si>
  <si>
    <t>zachariah</t>
  </si>
  <si>
    <t>benjamin zachariah</t>
  </si>
  <si>
    <t>828 Torytown Rd.</t>
  </si>
  <si>
    <t>Bunker Hill</t>
  </si>
  <si>
    <t>Joningy11@hotmail.com</t>
  </si>
  <si>
    <t>Jonathan Ingersoll</t>
  </si>
  <si>
    <t>5315 Marsh Road</t>
  </si>
  <si>
    <t>hcrimmins7@gmail.com</t>
  </si>
  <si>
    <t>Hcrimmins7@gmail.com</t>
  </si>
  <si>
    <t>Crimmins</t>
  </si>
  <si>
    <t>Hannah Crimmins</t>
  </si>
  <si>
    <t>609 Lexington Dr.</t>
  </si>
  <si>
    <t>Glasgow</t>
  </si>
  <si>
    <t>agreerschool@yahoo.com</t>
  </si>
  <si>
    <t>Dillon Greer</t>
  </si>
  <si>
    <t>450 Tedrick Lane</t>
  </si>
  <si>
    <t>Dongola</t>
  </si>
  <si>
    <t>smchewy193@gmail.com</t>
  </si>
  <si>
    <t>afmarsh20@gmail.com</t>
  </si>
  <si>
    <t>Anna Marsh</t>
  </si>
  <si>
    <t>51912 Schnoor</t>
  </si>
  <si>
    <t>New Baltimore</t>
  </si>
  <si>
    <t>sarahelizabethbass@gmail.com</t>
  </si>
  <si>
    <t>maggiebrook219@gmail.com</t>
  </si>
  <si>
    <t>Maggie Bass</t>
  </si>
  <si>
    <t>23 Brookline Drive</t>
  </si>
  <si>
    <t>Asheville</t>
  </si>
  <si>
    <t>sergioscoots16@gmail.com</t>
  </si>
  <si>
    <t>Hannah Sergio</t>
  </si>
  <si>
    <t>1552 Country Club</t>
  </si>
  <si>
    <t>suzanneLpearson@gmail.com</t>
  </si>
  <si>
    <t>silaspearson12@gmail.com</t>
  </si>
  <si>
    <t>Silas Pearson</t>
  </si>
  <si>
    <t>1654 Macedonia Church Road</t>
  </si>
  <si>
    <t>jmcrimmins52@yahoo.com</t>
  </si>
  <si>
    <t>Nathanael Crimmins</t>
  </si>
  <si>
    <t>609 Lexington Dr</t>
  </si>
  <si>
    <t>emmienoel12@gmail.com</t>
  </si>
  <si>
    <t>Emmie</t>
  </si>
  <si>
    <t>Emmie Hintze</t>
  </si>
  <si>
    <t>infantryjoe@mail.com</t>
  </si>
  <si>
    <t>timmy.lamotte@yahoo.com</t>
  </si>
  <si>
    <t>Lamotte</t>
  </si>
  <si>
    <t>Timothy Lamotte</t>
  </si>
  <si>
    <t>14304 SW Stallion Dr</t>
  </si>
  <si>
    <t>j.58nate@gmail.com</t>
  </si>
  <si>
    <t>Blowers</t>
  </si>
  <si>
    <t>Nathanael Blowers</t>
  </si>
  <si>
    <t>4215 Prescott Ave.</t>
  </si>
  <si>
    <t>cole.a.deppe@gmail.com</t>
  </si>
  <si>
    <t>Cole Deppe</t>
  </si>
  <si>
    <t>3875 SW 188th Ave</t>
  </si>
  <si>
    <t>kwright@elcaminochurch.org</t>
  </si>
  <si>
    <t>Kaitlynwright1999@gmail.com</t>
  </si>
  <si>
    <t>Kaitlyn Wright</t>
  </si>
  <si>
    <t>1841 S Avenida Sirio</t>
  </si>
  <si>
    <t>jdqandavq@yahoo.com</t>
  </si>
  <si>
    <t>russellq2.0@gmail.com</t>
  </si>
  <si>
    <t>Quade</t>
  </si>
  <si>
    <t>Russell Quade</t>
  </si>
  <si>
    <t>6021 Wilkins Drive</t>
  </si>
  <si>
    <t>simonph1941@gmail.com</t>
  </si>
  <si>
    <t>Hibbard</t>
  </si>
  <si>
    <t>Simon Hibbard</t>
  </si>
  <si>
    <t>3370 SW Trailwinds Pl.</t>
  </si>
  <si>
    <t>Mountain Home</t>
  </si>
  <si>
    <t>2nathaniel@cox.net</t>
  </si>
  <si>
    <t>valthetaco20@gmail.com</t>
  </si>
  <si>
    <t>Valerie Bennett</t>
  </si>
  <si>
    <t>rachel.h.quade@gmail.com</t>
  </si>
  <si>
    <t>Rachel Quade</t>
  </si>
  <si>
    <t>andrewdh1939@gmail.com</t>
  </si>
  <si>
    <t>Andrew Hibbard</t>
  </si>
  <si>
    <t>3370 SW Trailwinds</t>
  </si>
  <si>
    <t>4norwoods4him@bellsouth.net</t>
  </si>
  <si>
    <t>graceelizabeth4him@gmail.com</t>
  </si>
  <si>
    <t>Grace Norwood</t>
  </si>
  <si>
    <t>133 40th Ct</t>
  </si>
  <si>
    <t>isaincostarica@yahoo.com</t>
  </si>
  <si>
    <t>isaincostarica@yahoo.con</t>
  </si>
  <si>
    <t>Ivania</t>
  </si>
  <si>
    <t>Ivania Olson</t>
  </si>
  <si>
    <t>116 Georgia Pl</t>
  </si>
  <si>
    <t>maddierleake@gmail.com</t>
  </si>
  <si>
    <t>Madison Leake</t>
  </si>
  <si>
    <t>515 Soft Shadow Lane</t>
  </si>
  <si>
    <t>DeBary</t>
  </si>
  <si>
    <t>Ernkim2003@Yahoo.com</t>
  </si>
  <si>
    <t>steelepatawaran@gmail.com</t>
  </si>
  <si>
    <t>Patawaran</t>
  </si>
  <si>
    <t>Timothy Patawaran</t>
  </si>
  <si>
    <t>2030 Newcastle Court</t>
  </si>
  <si>
    <t>sotey@aol.com</t>
  </si>
  <si>
    <t>notey00@aol.com</t>
  </si>
  <si>
    <t>Otey</t>
  </si>
  <si>
    <t>Nicholas Otey</t>
  </si>
  <si>
    <t>22 London Lane</t>
  </si>
  <si>
    <t>Endicott</t>
  </si>
  <si>
    <t>korindagrace01@gmail.com</t>
  </si>
  <si>
    <t>Korinda</t>
  </si>
  <si>
    <t>Korinda Dixon</t>
  </si>
  <si>
    <t>3887 Hidden Cove Cir</t>
  </si>
  <si>
    <t>Lewis Center</t>
  </si>
  <si>
    <t>todd.noel@sbcglobal.net</t>
  </si>
  <si>
    <t>bigman3b@gmail.com</t>
  </si>
  <si>
    <t>David Noel</t>
  </si>
  <si>
    <t>32 Chesterfield Lakes Rd</t>
  </si>
  <si>
    <t>thewinsomewoman@gmail.com</t>
  </si>
  <si>
    <t>hambonehyland@gmail.com</t>
  </si>
  <si>
    <t>Hyland</t>
  </si>
  <si>
    <t>Samuel Hyland</t>
  </si>
  <si>
    <t>265 Peeper Lane</t>
  </si>
  <si>
    <t>grahamkbarnett@gmail.com</t>
  </si>
  <si>
    <t>Graham Barnett</t>
  </si>
  <si>
    <t>5177 hollow log lane</t>
  </si>
  <si>
    <t>katharine.ingalls@outlook.com</t>
  </si>
  <si>
    <t>Katharine Ingalls</t>
  </si>
  <si>
    <t>hkwolford@gmail.com</t>
  </si>
  <si>
    <t>Wolford</t>
  </si>
  <si>
    <t>Haley Wolford</t>
  </si>
  <si>
    <t>heather@artsaliveky.com</t>
  </si>
  <si>
    <t>nicholasbitterling@gmail.com</t>
  </si>
  <si>
    <t>nicholas</t>
  </si>
  <si>
    <t>nicholas Bitterling</t>
  </si>
  <si>
    <t>2613 Martinsville Rd</t>
  </si>
  <si>
    <t>bbshultz@comcast.net</t>
  </si>
  <si>
    <t>AShultz@students.ccu.edu</t>
  </si>
  <si>
    <t>Aaron Shultz</t>
  </si>
  <si>
    <t>5791 S Yampa St</t>
  </si>
  <si>
    <t>Clouse</t>
  </si>
  <si>
    <t>Chloe Clouse</t>
  </si>
  <si>
    <t>RWilliams@galtgpp.com</t>
  </si>
  <si>
    <t>elenaboehr8@gmail.com</t>
  </si>
  <si>
    <t>Boehr</t>
  </si>
  <si>
    <t>Elena Boehr</t>
  </si>
  <si>
    <t>2145 Bresee Dr</t>
  </si>
  <si>
    <t>ps4boys4me@yahoo.com</t>
  </si>
  <si>
    <t>evanschwaegerle@yahoo.com</t>
  </si>
  <si>
    <t>Schwaegerle</t>
  </si>
  <si>
    <t>Evan Schwaegerle</t>
  </si>
  <si>
    <t>3710 Trenery Drive</t>
  </si>
  <si>
    <t>lumsdainem@gmail.com</t>
  </si>
  <si>
    <t>Michael Lumsdaine</t>
  </si>
  <si>
    <t>bauer3boys@gmail.com</t>
  </si>
  <si>
    <t>Cadewbauer@gmail.com</t>
  </si>
  <si>
    <t>Cade Bauer</t>
  </si>
  <si>
    <t>4719 Antique Meadow Dr.</t>
  </si>
  <si>
    <t>kittcom4@gmail.com</t>
  </si>
  <si>
    <t>sheltie1008@gmail.com</t>
  </si>
  <si>
    <t>Liana</t>
  </si>
  <si>
    <t>Liana Kittle</t>
  </si>
  <si>
    <t>justinfoster19@cchsindy.org</t>
  </si>
  <si>
    <t>Justin Foster</t>
  </si>
  <si>
    <t>10100 Sanctuary Drive</t>
  </si>
  <si>
    <t>kelujomi@yahoo.com</t>
  </si>
  <si>
    <t>Micah Miller</t>
  </si>
  <si>
    <t>21976 2225 Road</t>
  </si>
  <si>
    <t>davidleal1224@gmail.com</t>
  </si>
  <si>
    <t>Leal</t>
  </si>
  <si>
    <t>David Leal</t>
  </si>
  <si>
    <t>4993 SW Wentworth Terrace</t>
  </si>
  <si>
    <t>benjialicea@yahoo.com</t>
  </si>
  <si>
    <t>benedalicea@gmail.com</t>
  </si>
  <si>
    <t>Alicea-Santiago</t>
  </si>
  <si>
    <t>Benjamin Alicea-Santiago</t>
  </si>
  <si>
    <t>9300 Vernon Ct</t>
  </si>
  <si>
    <t>eppgabjr@gmail.com</t>
  </si>
  <si>
    <t>Gabriel Epp</t>
  </si>
  <si>
    <t>719 E Kansas Ave</t>
  </si>
  <si>
    <t>luteseli@gmail.com</t>
  </si>
  <si>
    <t>Eli Lutes</t>
  </si>
  <si>
    <t>39 Basswood Court</t>
  </si>
  <si>
    <t>NB</t>
  </si>
  <si>
    <t>E1G2E5</t>
  </si>
  <si>
    <t>rfhogan7@gmail.com</t>
  </si>
  <si>
    <t>windmaster6000@gmail.com</t>
  </si>
  <si>
    <t>Matthew Hogan</t>
  </si>
  <si>
    <t>15970 CR 2292</t>
  </si>
  <si>
    <t>speechtherapist@gmail.com</t>
  </si>
  <si>
    <t>Jacob.k.christopher@gmail.com</t>
  </si>
  <si>
    <t>Jacob Christopher</t>
  </si>
  <si>
    <t>520 Lake Shore Drive</t>
  </si>
  <si>
    <t>vickidaniels12@gmail.com</t>
  </si>
  <si>
    <t>sonarena10@gmail.com</t>
  </si>
  <si>
    <t>Sonnet</t>
  </si>
  <si>
    <t>Sonnet Daniels</t>
  </si>
  <si>
    <t>1435 Kings Crown Road</t>
  </si>
  <si>
    <t>emmatomaszewski@gmail.com</t>
  </si>
  <si>
    <t>Emma Tomaszewski</t>
  </si>
  <si>
    <t>2606 Rollingwood Circle</t>
  </si>
  <si>
    <t>Westfield</t>
  </si>
  <si>
    <t>mark.strait99@gmail.com</t>
  </si>
  <si>
    <t>Strait</t>
  </si>
  <si>
    <t>Mark Strait</t>
  </si>
  <si>
    <t>600 E Coffee Creek R</t>
  </si>
  <si>
    <t>brandon.becker.blb@gmail.com</t>
  </si>
  <si>
    <t>Brandon Becker</t>
  </si>
  <si>
    <t>Carol@basileEnterprises.com</t>
  </si>
  <si>
    <t>Basile</t>
  </si>
  <si>
    <t>Joshua Basile</t>
  </si>
  <si>
    <t>k6steinman@comcast.net</t>
  </si>
  <si>
    <t>Ras2002@comcast.net</t>
  </si>
  <si>
    <t>Rebecca Steinman</t>
  </si>
  <si>
    <t>2612 Michael Wayne Road</t>
  </si>
  <si>
    <t>aimee.a.reed@gmail.com</t>
  </si>
  <si>
    <t>Ian.graham.reed@gmail.com</t>
  </si>
  <si>
    <t>Ian Reed</t>
  </si>
  <si>
    <t>5407 cameo road</t>
  </si>
  <si>
    <t>willkmears@gmail.com</t>
  </si>
  <si>
    <t>William Mears</t>
  </si>
  <si>
    <t>proverbs2121jd@yahoo.com</t>
  </si>
  <si>
    <t>Joseph Doty</t>
  </si>
  <si>
    <t>Alexander Grindel</t>
  </si>
  <si>
    <t>greve95-shop@yahoo.com</t>
  </si>
  <si>
    <t>blakegreve@icloud.com</t>
  </si>
  <si>
    <t>Greve</t>
  </si>
  <si>
    <t>Blake Greve</t>
  </si>
  <si>
    <t>5348 S. Virginia Ave.</t>
  </si>
  <si>
    <t>garrettguy@outlook.com</t>
  </si>
  <si>
    <t>Garrett Greve</t>
  </si>
  <si>
    <t>violinrachel98@gmail.com</t>
  </si>
  <si>
    <t>violinlydia02@gmail.com</t>
  </si>
  <si>
    <t>N20578 Hovell Ln.</t>
  </si>
  <si>
    <t>Galesville</t>
  </si>
  <si>
    <t>littleblueschoolhouse3@gmail.com</t>
  </si>
  <si>
    <t>alecpw8@gmail.com</t>
  </si>
  <si>
    <t>Wachtman</t>
  </si>
  <si>
    <t>Alexander Wachtman</t>
  </si>
  <si>
    <t>261 N. Union St</t>
  </si>
  <si>
    <t>jerry.mcginnis3@gmail.com</t>
  </si>
  <si>
    <t>danasherb2002@gmail.com</t>
  </si>
  <si>
    <t>Beninati</t>
  </si>
  <si>
    <t>Daniel Beninati</t>
  </si>
  <si>
    <t>12751 El Zorro</t>
  </si>
  <si>
    <t>bensworkstation@yahoo.com</t>
  </si>
  <si>
    <t>rosejessweiss@yahoo.com</t>
  </si>
  <si>
    <t>Rosie Weiss</t>
  </si>
  <si>
    <t>2724 Kashmiri avenue</t>
  </si>
  <si>
    <t>McHenry</t>
  </si>
  <si>
    <t>Bensworkstation@yahoo.com</t>
  </si>
  <si>
    <t>Ben Weiss</t>
  </si>
  <si>
    <t>2724 Kashmiri Ave</t>
  </si>
  <si>
    <t>mitchel5sgolf@gmail.com</t>
  </si>
  <si>
    <t>Mitchel Laine</t>
  </si>
  <si>
    <t>8355 SW Monticello Ct</t>
  </si>
  <si>
    <t>eajbsidwell@gmail.com</t>
  </si>
  <si>
    <t>trinitytennisplayer@gmail.com</t>
  </si>
  <si>
    <t>Sidwell</t>
  </si>
  <si>
    <t>Benjamin Sidwell</t>
  </si>
  <si>
    <t>498 Key Senter Road</t>
  </si>
  <si>
    <t>ashleybentley1@outlook.com</t>
  </si>
  <si>
    <t>victoriabentley02@gmail.com</t>
  </si>
  <si>
    <t>Victoria Bentley</t>
  </si>
  <si>
    <t>205 Jewell St</t>
  </si>
  <si>
    <t>chasesouder@gmail.com</t>
  </si>
  <si>
    <t>Charles Souder</t>
  </si>
  <si>
    <t>tuuk02@gmail.com</t>
  </si>
  <si>
    <t>elainatuuk@gmail.com</t>
  </si>
  <si>
    <t>Tuuk</t>
  </si>
  <si>
    <t>Elaina Tuuk</t>
  </si>
  <si>
    <t>13310 Crystal Way</t>
  </si>
  <si>
    <t>jen@tbarm.org</t>
  </si>
  <si>
    <t>kleighanne.a@gmail.com</t>
  </si>
  <si>
    <t>Kate Adams</t>
  </si>
  <si>
    <t>8 Mission Drive</t>
  </si>
  <si>
    <t>magatewood@comcast.net</t>
  </si>
  <si>
    <t>Merry Ashlyn</t>
  </si>
  <si>
    <t>Gatewood</t>
  </si>
  <si>
    <t>Merry Ashlyn Gatewood</t>
  </si>
  <si>
    <t>9096 Fletcher Park Cir N</t>
  </si>
  <si>
    <t>theguppies.mom@gmail.com</t>
  </si>
  <si>
    <t>garonf1sh1@gmail.com</t>
  </si>
  <si>
    <t>Garon</t>
  </si>
  <si>
    <t>Garon Fish</t>
  </si>
  <si>
    <t>3742 Ashmount Drive</t>
  </si>
  <si>
    <t>NathanSchubert@outlook.com</t>
  </si>
  <si>
    <t>1588 Cheetah Place</t>
  </si>
  <si>
    <t>nestfull7@gmail.com</t>
  </si>
  <si>
    <t>laur.carmack@gmail.com</t>
  </si>
  <si>
    <t>Lauren Carmack</t>
  </si>
  <si>
    <t>strudes2000@gmail.com</t>
  </si>
  <si>
    <t>Thalia</t>
  </si>
  <si>
    <t>Lampert</t>
  </si>
  <si>
    <t>Thalia Lampert</t>
  </si>
  <si>
    <t>758 sw william ave</t>
  </si>
  <si>
    <t>Chehalis</t>
  </si>
  <si>
    <t>gpa77@comcast.net</t>
  </si>
  <si>
    <t>enafatilo@gmail.com</t>
  </si>
  <si>
    <t>Elizabeth Anderson</t>
  </si>
  <si>
    <t>618 143rd St S</t>
  </si>
  <si>
    <t>Nathan.Schleh21@gmail.com</t>
  </si>
  <si>
    <t>Nathan.schleh21@gmail.com</t>
  </si>
  <si>
    <t>Schleh</t>
  </si>
  <si>
    <t>Nathan Schleh</t>
  </si>
  <si>
    <t>399 Godfrey way</t>
  </si>
  <si>
    <t>oppty@mail.com</t>
  </si>
  <si>
    <t>kia.harlan@gmail.com</t>
  </si>
  <si>
    <t>Kia</t>
  </si>
  <si>
    <t>Kia Harlan</t>
  </si>
  <si>
    <t>1741 Westmoreland Dr.</t>
  </si>
  <si>
    <t>axtonfarm@icloud.com</t>
  </si>
  <si>
    <t>bekah.anne.mcdonald@gmail.com</t>
  </si>
  <si>
    <t>Rebekah McDonald</t>
  </si>
  <si>
    <t>299 East Axton Rd</t>
  </si>
  <si>
    <t>kimbershinn@gmail.com</t>
  </si>
  <si>
    <t>lilyauna.barbee@gmail.com</t>
  </si>
  <si>
    <t>Lilyauna</t>
  </si>
  <si>
    <t>Barbee</t>
  </si>
  <si>
    <t>Lilyauna Barbee</t>
  </si>
  <si>
    <t>1877 W 11th ave</t>
  </si>
  <si>
    <t>Apache Junction</t>
  </si>
  <si>
    <t>eks2269@email.vccs.edu</t>
  </si>
  <si>
    <t>jjmac1121@gmail.com</t>
  </si>
  <si>
    <t>Jewel MacPherson</t>
  </si>
  <si>
    <t>geerandy@yahoo.com</t>
  </si>
  <si>
    <t>haileyggeer@gmail.com</t>
  </si>
  <si>
    <t>Hailey Geer</t>
  </si>
  <si>
    <t>6305 Doral Dr</t>
  </si>
  <si>
    <t>Tobaccoville</t>
  </si>
  <si>
    <t>arice1221@gmail.com</t>
  </si>
  <si>
    <t>Mallory Rice</t>
  </si>
  <si>
    <t>2213 Buttonquail Ct.</t>
  </si>
  <si>
    <t>Hermitage</t>
  </si>
  <si>
    <t>derek.d.jaquish.civ@mail.mil</t>
  </si>
  <si>
    <t>jaquishdr@gmail.com</t>
  </si>
  <si>
    <t>Jaquish</t>
  </si>
  <si>
    <t>David Jaquish</t>
  </si>
  <si>
    <t>7511 Wilderness Way</t>
  </si>
  <si>
    <t>nathanneitzell@gmail.com</t>
  </si>
  <si>
    <t>nakeitamarie@gmail.com</t>
  </si>
  <si>
    <t>Nakeita</t>
  </si>
  <si>
    <t>Nakeita Neitzell</t>
  </si>
  <si>
    <t>84587 265th st</t>
  </si>
  <si>
    <t>carterboone1@gmail.com</t>
  </si>
  <si>
    <t>Carter Neitzell</t>
  </si>
  <si>
    <t>84587 265th St</t>
  </si>
  <si>
    <t>lord45lion@yahoo.com</t>
  </si>
  <si>
    <t>jclord45@yahoo.com</t>
  </si>
  <si>
    <t>Jesci</t>
  </si>
  <si>
    <t>Jesci Lord</t>
  </si>
  <si>
    <t>6425 Cherry Ridge Road</t>
  </si>
  <si>
    <t>thewhitefam6@gmail.com</t>
  </si>
  <si>
    <t>Jackson32white@gmail.com</t>
  </si>
  <si>
    <t>Jackson White</t>
  </si>
  <si>
    <t>2837 Landover Drive</t>
  </si>
  <si>
    <t>rharbin4@outlook.com</t>
  </si>
  <si>
    <t>rbharbin76@gmail.com</t>
  </si>
  <si>
    <t>Rebecca Harbin</t>
  </si>
  <si>
    <t>dawnmrowell@gmail.com</t>
  </si>
  <si>
    <t>Annelisejrowell@gmail.com</t>
  </si>
  <si>
    <t>Annelise Rowell</t>
  </si>
  <si>
    <t>950 Old Lower Mill Road</t>
  </si>
  <si>
    <t>abbeysuess1@yahoo.com</t>
  </si>
  <si>
    <t>Suess</t>
  </si>
  <si>
    <t>Abbey Suess</t>
  </si>
  <si>
    <t>6405 Twelve Oaks Ct</t>
  </si>
  <si>
    <t>teboejosh@gmail.com</t>
  </si>
  <si>
    <t>Teboe</t>
  </si>
  <si>
    <t>Joshua Teboe</t>
  </si>
  <si>
    <t>122 stonebridge trail</t>
  </si>
  <si>
    <t>melissacaintravis@gmail.com</t>
  </si>
  <si>
    <t>doccorban@gmail.com</t>
  </si>
  <si>
    <t>Corban Travis</t>
  </si>
  <si>
    <t>2508 Centerline Rd</t>
  </si>
  <si>
    <t>arleneb@providerconstruction.com</t>
  </si>
  <si>
    <t>kathryn.bellomy1@gmail.com</t>
  </si>
  <si>
    <t>KATHRYN</t>
  </si>
  <si>
    <t>BELLOMY</t>
  </si>
  <si>
    <t>KATHRYN BELLOMY</t>
  </si>
  <si>
    <t>404 ACORN</t>
  </si>
  <si>
    <t>NEW BRAUNFELS</t>
  </si>
  <si>
    <t>fromlaurabird@gmail.com</t>
  </si>
  <si>
    <t>Laura Luke</t>
  </si>
  <si>
    <t>2720 Stoney creek Rd</t>
  </si>
  <si>
    <t>Broomall</t>
  </si>
  <si>
    <t>narutorulze@gmail.com</t>
  </si>
  <si>
    <t>Simbo</t>
  </si>
  <si>
    <t>David Simbo</t>
  </si>
  <si>
    <t>9 Park Ave</t>
  </si>
  <si>
    <t>Paoli</t>
  </si>
  <si>
    <t>hhking06@gmail.com</t>
  </si>
  <si>
    <t>Heather King</t>
  </si>
  <si>
    <t>16 Griffith Ave</t>
  </si>
  <si>
    <t>Malvern</t>
  </si>
  <si>
    <t>btholladay@gmail.com</t>
  </si>
  <si>
    <t>BHolladay20@thehill.org</t>
  </si>
  <si>
    <t>Holladay</t>
  </si>
  <si>
    <t>Benjamin Holladay</t>
  </si>
  <si>
    <t>224 Stauffer Road</t>
  </si>
  <si>
    <t>Pottstown</t>
  </si>
  <si>
    <t>jmcevoy1616@sbcglobal.net</t>
  </si>
  <si>
    <t>McEvoy</t>
  </si>
  <si>
    <t>Joel McEvoy</t>
  </si>
  <si>
    <t>1253 Galway Court</t>
  </si>
  <si>
    <t>lindyrader@gmail.com</t>
  </si>
  <si>
    <t>Lindyrader@gmail.com</t>
  </si>
  <si>
    <t>Lindy</t>
  </si>
  <si>
    <t>Lindy Rader</t>
  </si>
  <si>
    <t>6215 Raders Ridge</t>
  </si>
  <si>
    <t>gaesmith@pa.gov</t>
  </si>
  <si>
    <t>oneshotsmitty@gmail.com</t>
  </si>
  <si>
    <t>Nolin</t>
  </si>
  <si>
    <t>Nolin Smith</t>
  </si>
  <si>
    <t>137 Oggs Lane</t>
  </si>
  <si>
    <t>charlene@coloradoharmony.com</t>
  </si>
  <si>
    <t>woodendrums@coloradoharmony.com</t>
  </si>
  <si>
    <t>Benjamin Michel</t>
  </si>
  <si>
    <t>4561 Meadow Lark Rd.</t>
  </si>
  <si>
    <t>woodentrumpet@coloradoharmony.com</t>
  </si>
  <si>
    <t>Joshua Michel</t>
  </si>
  <si>
    <t>thegavettes@yahoo.com</t>
  </si>
  <si>
    <t>zoegavette@icloud.com</t>
  </si>
  <si>
    <t>ZoÔøΩ</t>
  </si>
  <si>
    <t>Gavette</t>
  </si>
  <si>
    <t>ZoÔøΩ Gavette</t>
  </si>
  <si>
    <t>PO Box 1161</t>
  </si>
  <si>
    <t>Osprey</t>
  </si>
  <si>
    <t>trevk@yahoo.com</t>
  </si>
  <si>
    <t>Treven</t>
  </si>
  <si>
    <t>Treven Keeler</t>
  </si>
  <si>
    <t>kayleesuebraun@gmail.com</t>
  </si>
  <si>
    <t>Kaylee Braun</t>
  </si>
  <si>
    <t>sdandrd@aol.com</t>
  </si>
  <si>
    <t>mddevore16@gmail.com</t>
  </si>
  <si>
    <t>DeVore</t>
  </si>
  <si>
    <t>Michael DeVore</t>
  </si>
  <si>
    <t>1267 Ridgewood Dr.</t>
  </si>
  <si>
    <t>matthewdevore14@gmail.com</t>
  </si>
  <si>
    <t>Matthew DeVore</t>
  </si>
  <si>
    <t>super.duper.ellenjo@gmail.com</t>
  </si>
  <si>
    <t>Ellen Carmack</t>
  </si>
  <si>
    <t>198 Stagecoach</t>
  </si>
  <si>
    <t>guter9595@gmail.com</t>
  </si>
  <si>
    <t>Gerald Gute</t>
  </si>
  <si>
    <t>rebeccarness@gmail.com</t>
  </si>
  <si>
    <t>ethansness@gmail.com</t>
  </si>
  <si>
    <t>Ethan Ness</t>
  </si>
  <si>
    <t>132 Shawnee Loop N</t>
  </si>
  <si>
    <t>nlipsy97@gmail.com</t>
  </si>
  <si>
    <t>Lipsy</t>
  </si>
  <si>
    <t>Nathanael Lipsy</t>
  </si>
  <si>
    <t>685 Main Street South</t>
  </si>
  <si>
    <t>Burgessville</t>
  </si>
  <si>
    <t>N0J 1C0</t>
  </si>
  <si>
    <t>haleymama2000@gmail.com</t>
  </si>
  <si>
    <t>haley.caleb532@gmail.com</t>
  </si>
  <si>
    <t>Caleb Haley</t>
  </si>
  <si>
    <t>Daphne St.</t>
  </si>
  <si>
    <t>New Port Richey</t>
  </si>
  <si>
    <t>greg@gregvoss.com</t>
  </si>
  <si>
    <t>ethan@rocmktg.com</t>
  </si>
  <si>
    <t>Voss</t>
  </si>
  <si>
    <t>Ethan Voss</t>
  </si>
  <si>
    <t>15405 West 144 Terrace</t>
  </si>
  <si>
    <t>ashleycharp@gmail.com</t>
  </si>
  <si>
    <t>Harp</t>
  </si>
  <si>
    <t>Ashley Harp</t>
  </si>
  <si>
    <t>1516 Boone Valley Ridge</t>
  </si>
  <si>
    <t>jennifermarreiros4@gmail.com</t>
  </si>
  <si>
    <t>sammarreiros@gmail.com</t>
  </si>
  <si>
    <t>Sam Marreiros</t>
  </si>
  <si>
    <t>sbeaty69@gmail.com</t>
  </si>
  <si>
    <t>rzbeaty01@gmail.com</t>
  </si>
  <si>
    <t>Ryan Beaty</t>
  </si>
  <si>
    <t>8079 Highway 41A</t>
  </si>
  <si>
    <t>pamelakinley@gmail.com</t>
  </si>
  <si>
    <t>michaeldkinley@gmail.com</t>
  </si>
  <si>
    <t>Michael Kinley</t>
  </si>
  <si>
    <t>438 Kinley Drive</t>
  </si>
  <si>
    <t>Cogan Station</t>
  </si>
  <si>
    <t>jasonrbell@icloud.com</t>
  </si>
  <si>
    <t>juderbell@icloud.com</t>
  </si>
  <si>
    <t>Jude Bell</t>
  </si>
  <si>
    <t>1202 Saint Anne Avenue</t>
  </si>
  <si>
    <t>brian@siglerlaw.com</t>
  </si>
  <si>
    <t>boogie1776@gmail.com</t>
  </si>
  <si>
    <t>Arabie</t>
  </si>
  <si>
    <t>Isaac Arabie</t>
  </si>
  <si>
    <t>383 Granger Lane</t>
  </si>
  <si>
    <t>huckleberryzinn@gmail.com</t>
  </si>
  <si>
    <t>Zinn</t>
  </si>
  <si>
    <t>Joseph Zinn</t>
  </si>
  <si>
    <t>10901 E. College Ave</t>
  </si>
  <si>
    <t>dfaulknerd@gmail.com</t>
  </si>
  <si>
    <t>timdfaulkner@gmail.com</t>
  </si>
  <si>
    <t>Tim Faulkner</t>
  </si>
  <si>
    <t>2825 Rossmere St.</t>
  </si>
  <si>
    <t>kent.major@gmail.com</t>
  </si>
  <si>
    <t>anna.major@att.net</t>
  </si>
  <si>
    <t>Major</t>
  </si>
  <si>
    <t>Anna Major</t>
  </si>
  <si>
    <t>9210 Stratford Pl</t>
  </si>
  <si>
    <t>eliza.major@att.net</t>
  </si>
  <si>
    <t>Eliza Major</t>
  </si>
  <si>
    <t>Annawin1022@gmail.com</t>
  </si>
  <si>
    <t>Anna Winter</t>
  </si>
  <si>
    <t>2005 State Route 72 North</t>
  </si>
  <si>
    <t>IFM@montgomeryandco.com</t>
  </si>
  <si>
    <t>IFM@Montgomeryandco.com</t>
  </si>
  <si>
    <t>Isaac Montgomery</t>
  </si>
  <si>
    <t>10 Normandy Road</t>
  </si>
  <si>
    <t>Benjamin Timberlake</t>
  </si>
  <si>
    <t>jacob.major@att.net</t>
  </si>
  <si>
    <t>Jacob Major</t>
  </si>
  <si>
    <t>josiah.major@att.net</t>
  </si>
  <si>
    <t>Josiah Major</t>
  </si>
  <si>
    <t>noah.major@att.net</t>
  </si>
  <si>
    <t>Noah Major</t>
  </si>
  <si>
    <t>cocodager030902@hotmail.com</t>
  </si>
  <si>
    <t>Dager</t>
  </si>
  <si>
    <t>Corinne Dager</t>
  </si>
  <si>
    <t>16031 Page Rd.</t>
  </si>
  <si>
    <t>joelblock@yahoo.com</t>
  </si>
  <si>
    <t>Joelblock@yahoo.com</t>
  </si>
  <si>
    <t>Noah Block</t>
  </si>
  <si>
    <t>4734 S. Bellhurst Ave</t>
  </si>
  <si>
    <t>Laura Coffman</t>
  </si>
  <si>
    <t>Medina Johnson</t>
  </si>
  <si>
    <t>Malinda Medina Johnson</t>
  </si>
  <si>
    <t>kanelea1998@gmail.com</t>
  </si>
  <si>
    <t>itsafutsal@gmail.com</t>
  </si>
  <si>
    <t>Ezra Hebert</t>
  </si>
  <si>
    <t>616 W LaGrange St</t>
  </si>
  <si>
    <t>kevin@thereal3.com</t>
  </si>
  <si>
    <t>Cravens</t>
  </si>
  <si>
    <t>Kevin Cravens</t>
  </si>
  <si>
    <t>9323 Mangrove Court</t>
  </si>
  <si>
    <t>brian@thereal3.com</t>
  </si>
  <si>
    <t>Brian Cravens</t>
  </si>
  <si>
    <t>jay@thereal3.com</t>
  </si>
  <si>
    <t>Jay@thereal3.com</t>
  </si>
  <si>
    <t>Jay Cravens</t>
  </si>
  <si>
    <t>9323 Mangrove Ct</t>
  </si>
  <si>
    <t>Loubobpie@gmail.com</t>
  </si>
  <si>
    <t>Louisa Schorlemer</t>
  </si>
  <si>
    <t>410 Rice Avenue</t>
  </si>
  <si>
    <t>vademecum3117@gmail.com</t>
  </si>
  <si>
    <t>nathanlyork@gmail.com</t>
  </si>
  <si>
    <t>Nathan York</t>
  </si>
  <si>
    <t>3807 Willows Way</t>
  </si>
  <si>
    <t>National City</t>
  </si>
  <si>
    <t>annnatte@gmail.com</t>
  </si>
  <si>
    <t>danielle_natte@yahoo.com</t>
  </si>
  <si>
    <t>danielle</t>
  </si>
  <si>
    <t>natte</t>
  </si>
  <si>
    <t>danielle natte</t>
  </si>
  <si>
    <t>1757 van buren st</t>
  </si>
  <si>
    <t>mojoyjo@live.com</t>
  </si>
  <si>
    <t>Moriah Jones</t>
  </si>
  <si>
    <t>250 Foxthorne Way</t>
  </si>
  <si>
    <t>kaitlyngrace2019@gmail.com</t>
  </si>
  <si>
    <t>Grigsby</t>
  </si>
  <si>
    <t>Kaitlyn Grigsby</t>
  </si>
  <si>
    <t>4402 Dalton Drive</t>
  </si>
  <si>
    <t>5naines4him@gmail.com</t>
  </si>
  <si>
    <t>jjnaine@gmail.com</t>
  </si>
  <si>
    <t>Naine</t>
  </si>
  <si>
    <t>Joshua Naine</t>
  </si>
  <si>
    <t>896 Dogwood Dell Ln.</t>
  </si>
  <si>
    <t>gabe.randall5@gmail.com</t>
  </si>
  <si>
    <t>Gabe.randall@gmail.com</t>
  </si>
  <si>
    <t>Gabriel Randall</t>
  </si>
  <si>
    <t>528 Lighthouse Court</t>
  </si>
  <si>
    <t>Neptune Beach</t>
  </si>
  <si>
    <t>vfox2041@comcast.net</t>
  </si>
  <si>
    <t>Kaileefox76@hotmail.com</t>
  </si>
  <si>
    <t>Kailee Fox</t>
  </si>
  <si>
    <t>536 w Parkins mill rd</t>
  </si>
  <si>
    <t>shelbypowell2010@gmail.com</t>
  </si>
  <si>
    <t>Shelby Powell</t>
  </si>
  <si>
    <t>3327 Minerva St</t>
  </si>
  <si>
    <t>Livivandewalker@comcast.net</t>
  </si>
  <si>
    <t>Olivia VanDeWalker</t>
  </si>
  <si>
    <t>10288 Song Sparrow Ln</t>
  </si>
  <si>
    <t>jhautala@redeemer.ca</t>
  </si>
  <si>
    <t>Hautala</t>
  </si>
  <si>
    <t>Joshua Hautala</t>
  </si>
  <si>
    <t>224 Sixth Ave.</t>
  </si>
  <si>
    <t>N4S2H2</t>
  </si>
  <si>
    <t>katy.jonswold@gmail.com</t>
  </si>
  <si>
    <t>bjjonswold@gmail.com</t>
  </si>
  <si>
    <t>Jonswold</t>
  </si>
  <si>
    <t>Brayden Jonswold</t>
  </si>
  <si>
    <t>7365 Julynn Road</t>
  </si>
  <si>
    <t>holiechty@lpstudent.org</t>
  </si>
  <si>
    <t>Hope Liechty</t>
  </si>
  <si>
    <t>9613 Hosler Rd</t>
  </si>
  <si>
    <t>swc@fastmail.com</t>
  </si>
  <si>
    <t>sarahclough@icloud.com</t>
  </si>
  <si>
    <t>Clough</t>
  </si>
  <si>
    <t>Sarah Clough</t>
  </si>
  <si>
    <t>PO Box 386</t>
  </si>
  <si>
    <t>cah48222@huskies.bloomu.edu</t>
  </si>
  <si>
    <t>Cah48222@huskies.bloomu.edu</t>
  </si>
  <si>
    <t>Holenstein</t>
  </si>
  <si>
    <t>Courtney Holenstein</t>
  </si>
  <si>
    <t>9 Paul Nelms Dr</t>
  </si>
  <si>
    <t>7tiffanys@gmail.com</t>
  </si>
  <si>
    <t>walker2345@gmail.com</t>
  </si>
  <si>
    <t>Walker Tiffany</t>
  </si>
  <si>
    <t>1245 Big Valley Drive</t>
  </si>
  <si>
    <t>kadysue2@gmail.com</t>
  </si>
  <si>
    <t>Kathryn Luke</t>
  </si>
  <si>
    <t>2720 Stoney Creek Rd</t>
  </si>
  <si>
    <t>sjdstargel@gmail.com</t>
  </si>
  <si>
    <t>md.stargel@gmail.com</t>
  </si>
  <si>
    <t>Micah Stargel</t>
  </si>
  <si>
    <t>PO Box 1561</t>
  </si>
  <si>
    <t>Barbourville</t>
  </si>
  <si>
    <t>dandsmcd@hotmail.com</t>
  </si>
  <si>
    <t>njmmcd@hotmail.com</t>
  </si>
  <si>
    <t>Nathan McDowell</t>
  </si>
  <si>
    <t>248 Sandy Drive</t>
  </si>
  <si>
    <t>Michael McDowell</t>
  </si>
  <si>
    <t>a4kids2@gmail.com</t>
  </si>
  <si>
    <t>dramadinoroars14@gmail.com</t>
  </si>
  <si>
    <t>Alekai</t>
  </si>
  <si>
    <t>Faber</t>
  </si>
  <si>
    <t>Alekai Faber</t>
  </si>
  <si>
    <t>6572 Hobson Road</t>
  </si>
  <si>
    <t>Jennalilly2@yahoo.com</t>
  </si>
  <si>
    <t>Jennali.ly2@yahoo.com</t>
  </si>
  <si>
    <t>Jenna Lilly</t>
  </si>
  <si>
    <t>3008 Hillview</t>
  </si>
  <si>
    <t>rick.phillips@spine-market.com</t>
  </si>
  <si>
    <t>Robbie</t>
  </si>
  <si>
    <t>Robbie Phillips</t>
  </si>
  <si>
    <t>rachelromero55@yahoo.com</t>
  </si>
  <si>
    <t>msu-rromero5@student.mcneese.edu</t>
  </si>
  <si>
    <t>Rachel Romero</t>
  </si>
  <si>
    <t>272 East Parkway Street</t>
  </si>
  <si>
    <t>kmamos@yahoo.com</t>
  </si>
  <si>
    <t>katelynmamos@yahoo.com</t>
  </si>
  <si>
    <t>Amos</t>
  </si>
  <si>
    <t>Katelyn Amos</t>
  </si>
  <si>
    <t>34 Crossbrook Way</t>
  </si>
  <si>
    <t>sandibanaszak@gmail.com</t>
  </si>
  <si>
    <t>brookiegraceb@gmail.com</t>
  </si>
  <si>
    <t>Brookelyn</t>
  </si>
  <si>
    <t>Banaszak</t>
  </si>
  <si>
    <t>Brookelyn Banaszak</t>
  </si>
  <si>
    <t>504 N US HWY 141</t>
  </si>
  <si>
    <t>Crivitz</t>
  </si>
  <si>
    <t>oliveren88@gmail.com</t>
  </si>
  <si>
    <t>2639225527@qq.com</t>
  </si>
  <si>
    <t>Jialan</t>
  </si>
  <si>
    <t>Ren</t>
  </si>
  <si>
    <t>Jialan Ren</t>
  </si>
  <si>
    <t>Shuxiangdadi E07-1-1601</t>
  </si>
  <si>
    <t>Kunming</t>
  </si>
  <si>
    <t>Yunnan</t>
  </si>
  <si>
    <t>laureltuckey@gmail.com</t>
  </si>
  <si>
    <t>Laureltuckey@gmail.com</t>
  </si>
  <si>
    <t>Tuckey</t>
  </si>
  <si>
    <t>Laurel Tuckey</t>
  </si>
  <si>
    <t>8 Apricot Avenue</t>
  </si>
  <si>
    <t>Leola</t>
  </si>
  <si>
    <t>tad.binkley@icloud.com</t>
  </si>
  <si>
    <t>Robert Binkley</t>
  </si>
  <si>
    <t>sportsmomma@gmail.com</t>
  </si>
  <si>
    <t>joshfeny@gmail.com</t>
  </si>
  <si>
    <t>Fenwick</t>
  </si>
  <si>
    <t>Joshua Fenwick</t>
  </si>
  <si>
    <t>1701 W Pineview Drive</t>
  </si>
  <si>
    <t>badgleyfour@yahoo.com</t>
  </si>
  <si>
    <t>emmabadgley23@gmail.com</t>
  </si>
  <si>
    <t>Badgley</t>
  </si>
  <si>
    <t>Emma Badgley</t>
  </si>
  <si>
    <t>Po box 676</t>
  </si>
  <si>
    <t>Tiller</t>
  </si>
  <si>
    <t>nataliefuller67@cs.com</t>
  </si>
  <si>
    <t>capfuller@cs.com</t>
  </si>
  <si>
    <t>Noah Fuller</t>
  </si>
  <si>
    <t>2300 Judes Ferry Road</t>
  </si>
  <si>
    <t>Powhatan</t>
  </si>
  <si>
    <t>cassidiqualls@gmail.com</t>
  </si>
  <si>
    <t>Cassidi Qualls</t>
  </si>
  <si>
    <t>218 S. Miller Ave.</t>
  </si>
  <si>
    <t>jmlane7@gmail.com</t>
  </si>
  <si>
    <t>John Michael</t>
  </si>
  <si>
    <t>John Michael Lane</t>
  </si>
  <si>
    <t>24 Hillcrest Circle</t>
  </si>
  <si>
    <t>adloewer@gmail.com</t>
  </si>
  <si>
    <t>andrew.j.loewer@gmail.com</t>
  </si>
  <si>
    <t>Andrew Loewer</t>
  </si>
  <si>
    <t>Ira Breaux Rd</t>
  </si>
  <si>
    <t>peter645@gmail.com</t>
  </si>
  <si>
    <t>james645c@gmail.com</t>
  </si>
  <si>
    <t>Carrion</t>
  </si>
  <si>
    <t>James Carrion</t>
  </si>
  <si>
    <t>1 Paddock Lane</t>
  </si>
  <si>
    <t>charlieloomis@sbcglobal.net</t>
  </si>
  <si>
    <t>jcloomis01@gmail.com</t>
  </si>
  <si>
    <t>Loomis</t>
  </si>
  <si>
    <t>Jackson Loomis</t>
  </si>
  <si>
    <t>5505 W 37th Street</t>
  </si>
  <si>
    <t>jillrfaulkner@gmail.com</t>
  </si>
  <si>
    <t>Jill Faulkner</t>
  </si>
  <si>
    <t>sbaker@pcmlp.com</t>
  </si>
  <si>
    <t>acebaker2019@gmail.com</t>
  </si>
  <si>
    <t>Alex Baker</t>
  </si>
  <si>
    <t>3804 Miramar Ave3804 Miramar Ave</t>
  </si>
  <si>
    <t>enb7arrows@gmail.com</t>
  </si>
  <si>
    <t>heshallreignforever@gmail.com</t>
  </si>
  <si>
    <t>Brubacher</t>
  </si>
  <si>
    <t>Talitha Brubacher</t>
  </si>
  <si>
    <t>504 E HWY 72</t>
  </si>
  <si>
    <t>Fredewericktown</t>
  </si>
  <si>
    <t>royaloctobersky@gmail.com</t>
  </si>
  <si>
    <t>Olivia Brubacher</t>
  </si>
  <si>
    <t>ajb3801@gmail.com</t>
  </si>
  <si>
    <t>Austin Banaszak</t>
  </si>
  <si>
    <t>jonathankersten10@gmail.com</t>
  </si>
  <si>
    <t>Jonathan Kersten</t>
  </si>
  <si>
    <t>2460 White Pine Drive</t>
  </si>
  <si>
    <t>Williamston</t>
  </si>
  <si>
    <t>jzchan132@gmail.com</t>
  </si>
  <si>
    <t>Joseph Chan</t>
  </si>
  <si>
    <t>21526 Fox Field Cir</t>
  </si>
  <si>
    <t>hfsangerhausen6@gmail.com</t>
  </si>
  <si>
    <t>helena</t>
  </si>
  <si>
    <t>helena sangerhausen</t>
  </si>
  <si>
    <t>14401 Coyote Trail Dr.</t>
  </si>
  <si>
    <t>hblancojr@gmail.com</t>
  </si>
  <si>
    <t>xenia1524@gmail.com</t>
  </si>
  <si>
    <t>Xenia Blanco</t>
  </si>
  <si>
    <t>1329 Clay Basket Circle</t>
  </si>
  <si>
    <t>chaplainspencer@yahoo.com</t>
  </si>
  <si>
    <t>laurenspencer1221@gmail.com</t>
  </si>
  <si>
    <t>Lauren Spencer</t>
  </si>
  <si>
    <t>5256 Castlewood Canyon Ct</t>
  </si>
  <si>
    <t>hvalenz02@gmail.com</t>
  </si>
  <si>
    <t>H Ismael</t>
  </si>
  <si>
    <t>H Ismael Valenzuela</t>
  </si>
  <si>
    <t>510 Shafer Rd</t>
  </si>
  <si>
    <t>elias.meza2002@gmail.com</t>
  </si>
  <si>
    <t>Elias Meza</t>
  </si>
  <si>
    <t>scrote@elp.rr.com</t>
  </si>
  <si>
    <t>dmrote13@gmail.com</t>
  </si>
  <si>
    <t>Rote</t>
  </si>
  <si>
    <t>Daniel Rote</t>
  </si>
  <si>
    <t>1352 Backus St</t>
  </si>
  <si>
    <t>kiaraaa.245@gmail.com</t>
  </si>
  <si>
    <t>Kiara</t>
  </si>
  <si>
    <t>Kiara Kwan</t>
  </si>
  <si>
    <t>dustysev@yahoo.com</t>
  </si>
  <si>
    <t>Starry.allton@me.com</t>
  </si>
  <si>
    <t>Allton</t>
  </si>
  <si>
    <t>Katelyn Allton</t>
  </si>
  <si>
    <t>1630 Capadaro ct</t>
  </si>
  <si>
    <t>amyrpent@gmail.com</t>
  </si>
  <si>
    <t>juliapent01@gmail.com</t>
  </si>
  <si>
    <t>Pent</t>
  </si>
  <si>
    <t>Julia Pent</t>
  </si>
  <si>
    <t>3065 Oxford Glen Drive</t>
  </si>
  <si>
    <t>kris@daveringoen.com</t>
  </si>
  <si>
    <t>Hannah@daveringoen.com</t>
  </si>
  <si>
    <t>Ringoen</t>
  </si>
  <si>
    <t>Hannah Ringoen</t>
  </si>
  <si>
    <t>1190 Linden Ave</t>
  </si>
  <si>
    <t>jamesmel13@yahoo.com</t>
  </si>
  <si>
    <t>joshuapym33@gmail.com</t>
  </si>
  <si>
    <t>Pym</t>
  </si>
  <si>
    <t>Joshua Pym</t>
  </si>
  <si>
    <t>3503 Sundancer</t>
  </si>
  <si>
    <t>calebpym2@gmail.com</t>
  </si>
  <si>
    <t>Caleb Pym</t>
  </si>
  <si>
    <t>littlepasca@gmail.com</t>
  </si>
  <si>
    <t>Luke Pasca</t>
  </si>
  <si>
    <t>run0827@icloud.com</t>
  </si>
  <si>
    <t>justin.pennell@icloud.com</t>
  </si>
  <si>
    <t>Pennell</t>
  </si>
  <si>
    <t>Justin Pennell</t>
  </si>
  <si>
    <t>1095 Walters Point</t>
  </si>
  <si>
    <t>herrmannk97@gmail.com</t>
  </si>
  <si>
    <t>Herrmann</t>
  </si>
  <si>
    <t>Katherine Herrmann</t>
  </si>
  <si>
    <t>9730 Logan Lane</t>
  </si>
  <si>
    <t>dmassie3@aol.com</t>
  </si>
  <si>
    <t>maddiemassie17@gmail.com</t>
  </si>
  <si>
    <t>Massie</t>
  </si>
  <si>
    <t>Madeline Massie</t>
  </si>
  <si>
    <t>3160 Creekside Dr</t>
  </si>
  <si>
    <t>annhernz@yahoo.com</t>
  </si>
  <si>
    <t>matt.hernz@gmail.com</t>
  </si>
  <si>
    <t>Matthew Hernandez</t>
  </si>
  <si>
    <t>4922 SW 122nd Terrace</t>
  </si>
  <si>
    <t>Cooper City</t>
  </si>
  <si>
    <t>liambt20@gmail.com</t>
  </si>
  <si>
    <t>10530 Wethersfield Rd</t>
  </si>
  <si>
    <t>tbanks0903@gmail.com</t>
  </si>
  <si>
    <t>Taylor Banks</t>
  </si>
  <si>
    <t>552 Saco road</t>
  </si>
  <si>
    <t>Standish</t>
  </si>
  <si>
    <t>boydandnatalie@gmail.com</t>
  </si>
  <si>
    <t>danielzjc01@gmail.com</t>
  </si>
  <si>
    <t>Daniel Christensen</t>
  </si>
  <si>
    <t>17054 Sweet Springs Cir.</t>
  </si>
  <si>
    <t>Stark City</t>
  </si>
  <si>
    <t>ambrenner527@gmail.com</t>
  </si>
  <si>
    <t>Brenner</t>
  </si>
  <si>
    <t>Drew Brenner</t>
  </si>
  <si>
    <t>3463 Alysheba Dr</t>
  </si>
  <si>
    <t>West Lafayette</t>
  </si>
  <si>
    <t>jamieherrera@yahoo.com</t>
  </si>
  <si>
    <t>benmarkherrera01@gmail.com</t>
  </si>
  <si>
    <t>Benjamin Herrera</t>
  </si>
  <si>
    <t>14918 Delhi Avenue</t>
  </si>
  <si>
    <t>joseph.simons@student.savcps.com</t>
  </si>
  <si>
    <t>joseph.simons@savcps.com</t>
  </si>
  <si>
    <t>Simons</t>
  </si>
  <si>
    <t>Joseph Simons</t>
  </si>
  <si>
    <t>127 Sweet Bailey Cove</t>
  </si>
  <si>
    <t>lbbmwb@bellsouth.net</t>
  </si>
  <si>
    <t>jabiemiller@gmail.com</t>
  </si>
  <si>
    <t>Jackson Biemiller</t>
  </si>
  <si>
    <t>385 Suncrest Blvd</t>
  </si>
  <si>
    <t>psparsons@hotmail.com</t>
  </si>
  <si>
    <t>cheyennelatham5971@gmail.com</t>
  </si>
  <si>
    <t>Cierra Latham</t>
  </si>
  <si>
    <t>220 Acorn Court</t>
  </si>
  <si>
    <t>jameskopsa@hotmail.com</t>
  </si>
  <si>
    <t>mariaakopsa@icloud.com</t>
  </si>
  <si>
    <t>Maria Kopsa</t>
  </si>
  <si>
    <t>450 Skyline Drive</t>
  </si>
  <si>
    <t>minersforthelord@yahoo.com</t>
  </si>
  <si>
    <t>Ecolleenm@gmail.com</t>
  </si>
  <si>
    <t>Ellen Miner</t>
  </si>
  <si>
    <t>4664 N Olive Branch Rd</t>
  </si>
  <si>
    <t>jdevries@crcsj.org</t>
  </si>
  <si>
    <t>annaelizabethdevries@gmail.com</t>
  </si>
  <si>
    <t>Anna DeVries</t>
  </si>
  <si>
    <t>5569 Mohican Drive</t>
  </si>
  <si>
    <t>bryanj.bennett2001@gmail.com</t>
  </si>
  <si>
    <t>Bryan Bennett</t>
  </si>
  <si>
    <t>1303 Saint Andrew's Court</t>
  </si>
  <si>
    <t>Chester Springs</t>
  </si>
  <si>
    <t>tracymiche21@gmal.com</t>
  </si>
  <si>
    <t>carter_pryce@yahoo.com</t>
  </si>
  <si>
    <t>Pryce</t>
  </si>
  <si>
    <t>Pryce Carter</t>
  </si>
  <si>
    <t>9725 Flatiron St</t>
  </si>
  <si>
    <t>nashbulb@gmail.com</t>
  </si>
  <si>
    <t>loskm@bellsouth.net</t>
  </si>
  <si>
    <t>Stephers@bellsouth.net</t>
  </si>
  <si>
    <t>Stephanie Miller</t>
  </si>
  <si>
    <t>14260 West Newberry Rd</t>
  </si>
  <si>
    <t>jodie@solanochurch.org</t>
  </si>
  <si>
    <t>gabrielhoffman6@gmail.com</t>
  </si>
  <si>
    <t>Gabriel Hoffman</t>
  </si>
  <si>
    <t>833 Madison Street</t>
  </si>
  <si>
    <t>sawyerpasma@gmail.com</t>
  </si>
  <si>
    <t>Pasma</t>
  </si>
  <si>
    <t>Sawyer Pasma</t>
  </si>
  <si>
    <t>2440 52nd St. SW</t>
  </si>
  <si>
    <t>shasleyiedsmom@att.net</t>
  </si>
  <si>
    <t>Dfactor02@att.net</t>
  </si>
  <si>
    <t>Hasley</t>
  </si>
  <si>
    <t>Daniel Hasley</t>
  </si>
  <si>
    <t>1371 old Charlotte pike</t>
  </si>
  <si>
    <t>partakers6@aol.com</t>
  </si>
  <si>
    <t>micahlivingston66@gmail.com</t>
  </si>
  <si>
    <t>Micah Livingston</t>
  </si>
  <si>
    <t>1 Wolfeton Way</t>
  </si>
  <si>
    <t>christi.reiss.1402@gmail.com</t>
  </si>
  <si>
    <t>Christiana Reiss</t>
  </si>
  <si>
    <t>37115 Mahoney Road</t>
  </si>
  <si>
    <t>Hicks2934@msn.com</t>
  </si>
  <si>
    <t>Sarah Hicks</t>
  </si>
  <si>
    <t>8915 Creekwood Lane</t>
  </si>
  <si>
    <t>Maineville</t>
  </si>
  <si>
    <t>reginacam77@gmail.com</t>
  </si>
  <si>
    <t>stephencampbell@students.belhaven.edu</t>
  </si>
  <si>
    <t>Stephen Campbell</t>
  </si>
  <si>
    <t>302 Rutledge Rd</t>
  </si>
  <si>
    <t>ablesab2@gmail.com</t>
  </si>
  <si>
    <t>jennaables1@gmail.com</t>
  </si>
  <si>
    <t>Ables</t>
  </si>
  <si>
    <t>Jennifer Ables</t>
  </si>
  <si>
    <t>2027 Pinyon Ln</t>
  </si>
  <si>
    <t>jan@familylenze.org</t>
  </si>
  <si>
    <t>Elenze33@gmail.com</t>
  </si>
  <si>
    <t>Lenze</t>
  </si>
  <si>
    <t>Evan Lenze</t>
  </si>
  <si>
    <t>36518 Curtis Rd</t>
  </si>
  <si>
    <t>thedeanfamily@comcast.net</t>
  </si>
  <si>
    <t>Gary Dean</t>
  </si>
  <si>
    <t>911 Oak Valley Lane</t>
  </si>
  <si>
    <t>jskwan07@gmail.com</t>
  </si>
  <si>
    <t>followerofg@yahoo.com</t>
  </si>
  <si>
    <t>Samuel Kwan</t>
  </si>
  <si>
    <t>35391 Newcastle CT.</t>
  </si>
  <si>
    <t>alysoncrawford@rocketmail.com</t>
  </si>
  <si>
    <t>Pianopiper@yahoo.com</t>
  </si>
  <si>
    <t>Caroline Crawford</t>
  </si>
  <si>
    <t>701 Winfred Pl.</t>
  </si>
  <si>
    <t>jayton0215@gmail.com</t>
  </si>
  <si>
    <t>Jayton</t>
  </si>
  <si>
    <t>Jayton Taylor</t>
  </si>
  <si>
    <t>698 South 700 East</t>
  </si>
  <si>
    <t>elrca19@gmail.com</t>
  </si>
  <si>
    <t>Eli Campbell</t>
  </si>
  <si>
    <t>2213 Dogwood Trace Blvd</t>
  </si>
  <si>
    <t>emmaingalls.3@gmail.com</t>
  </si>
  <si>
    <t>Emma Ingalls</t>
  </si>
  <si>
    <t>14000 St John Rd</t>
  </si>
  <si>
    <t>Rineyville</t>
  </si>
  <si>
    <t>jamiestricklin@me.com</t>
  </si>
  <si>
    <t>hascreate4@gmail.com</t>
  </si>
  <si>
    <t>Stricklin</t>
  </si>
  <si>
    <t>Hallie Stricklin</t>
  </si>
  <si>
    <t>407 Audubon Woods</t>
  </si>
  <si>
    <t>sherrileecollierpt@gmail.com</t>
  </si>
  <si>
    <t>samcollier16@gmail.com</t>
  </si>
  <si>
    <t>Samuel Collier</t>
  </si>
  <si>
    <t>229 Thomas Paxton Ct</t>
  </si>
  <si>
    <t>Hisamazingrace8@gmail.com</t>
  </si>
  <si>
    <t>Grace Ruebke</t>
  </si>
  <si>
    <t>4819 S Hillside</t>
  </si>
  <si>
    <t>cralcorn01@gmail.com</t>
  </si>
  <si>
    <t>Cralcorn01@gmail.com</t>
  </si>
  <si>
    <t>Alcorn</t>
  </si>
  <si>
    <t>Camden Alcorn</t>
  </si>
  <si>
    <t>265 Southpoint Dr.</t>
  </si>
  <si>
    <t>cardcats@att.net</t>
  </si>
  <si>
    <t>gopenguins68@gmail.com</t>
  </si>
  <si>
    <t>1028 Walnut Grove Circle</t>
  </si>
  <si>
    <t>nancyknits73@gmail.com</t>
  </si>
  <si>
    <t>jesseruns02@gmail.com</t>
  </si>
  <si>
    <t>Jesse White</t>
  </si>
  <si>
    <t>511 Oriole Dr</t>
  </si>
  <si>
    <t>accollinsfam@gmail.com</t>
  </si>
  <si>
    <t>ry_parker@outlook.com</t>
  </si>
  <si>
    <t>Ryan Collins</t>
  </si>
  <si>
    <t>1980 18th Street</t>
  </si>
  <si>
    <t>#1303</t>
  </si>
  <si>
    <t>disneydaydreamer@icloud.com</t>
  </si>
  <si>
    <t>Davalyn</t>
  </si>
  <si>
    <t>Davalyn Durso</t>
  </si>
  <si>
    <t>pmoses987@gmail.com</t>
  </si>
  <si>
    <t>zmanlechan@gmail.com</t>
  </si>
  <si>
    <t>Nathanael Moses</t>
  </si>
  <si>
    <t>990 Gold Crest Dr.</t>
  </si>
  <si>
    <t>Nipomo</t>
  </si>
  <si>
    <t>paul.l.crotty@gmail.com</t>
  </si>
  <si>
    <t>Mavriccrotty@gmail.com</t>
  </si>
  <si>
    <t>Mavric</t>
  </si>
  <si>
    <t>Crotty</t>
  </si>
  <si>
    <t>Mavric Crotty</t>
  </si>
  <si>
    <t>11602 Habersham Ln</t>
  </si>
  <si>
    <t>elvalu1012@gmail.com</t>
  </si>
  <si>
    <t>Elva</t>
  </si>
  <si>
    <t>Elva Lu</t>
  </si>
  <si>
    <t>micahcoleman77@insightbb.com</t>
  </si>
  <si>
    <t>noah.coleman@asbury.edu</t>
  </si>
  <si>
    <t>Noah Coleman</t>
  </si>
  <si>
    <t>1261 Culls Ridge Rd.</t>
  </si>
  <si>
    <t>bzacharisen@yahoo.com</t>
  </si>
  <si>
    <t>joncyen@gmail.com</t>
  </si>
  <si>
    <t>Yen</t>
  </si>
  <si>
    <t>Jonathan Yen</t>
  </si>
  <si>
    <t>1056 Columbia Place</t>
  </si>
  <si>
    <t>dbzink@gmail.com</t>
  </si>
  <si>
    <t>alzink0427@students.mpsaz.org</t>
  </si>
  <si>
    <t>Zink</t>
  </si>
  <si>
    <t>Aubrey Zink</t>
  </si>
  <si>
    <t>864 W Juanita Ave</t>
  </si>
  <si>
    <t>heatherlynnbrandon@gmail.com</t>
  </si>
  <si>
    <t>Heather Brandon</t>
  </si>
  <si>
    <t>9077 White Pelican Way</t>
  </si>
  <si>
    <t>stclairfam5@gmail.com</t>
  </si>
  <si>
    <t>St. Clair</t>
  </si>
  <si>
    <t>Emily St. Clair</t>
  </si>
  <si>
    <t>9010 County Road 6860</t>
  </si>
  <si>
    <t>leapforjoy19@gmail.com</t>
  </si>
  <si>
    <t>Caedren</t>
  </si>
  <si>
    <t>Humes</t>
  </si>
  <si>
    <t>Caedren Humes</t>
  </si>
  <si>
    <t>37 Stirling Rd</t>
  </si>
  <si>
    <t>ebwilder34@icloud.com</t>
  </si>
  <si>
    <t>Elijah Wilder</t>
  </si>
  <si>
    <t>834 Lafayette Lane</t>
  </si>
  <si>
    <t>edisto1965@comcast.net</t>
  </si>
  <si>
    <t>William.spruill@student.cpalions.org</t>
  </si>
  <si>
    <t>William Spruill</t>
  </si>
  <si>
    <t>carly.cummings@my.uu.edu</t>
  </si>
  <si>
    <t>Carly.cummings@my.uu.edu</t>
  </si>
  <si>
    <t>Cummings</t>
  </si>
  <si>
    <t>Carly Cummings</t>
  </si>
  <si>
    <t>P.O. Box 1273</t>
  </si>
  <si>
    <t>2508 West Daffodil Ct</t>
  </si>
  <si>
    <t>amysnotes5@gmail.com</t>
  </si>
  <si>
    <t>sarahjoybears15@gmail.com</t>
  </si>
  <si>
    <t>Sarah Ortiz</t>
  </si>
  <si>
    <t>105 Foaling Ridge</t>
  </si>
  <si>
    <t>coulhill@gmail.com</t>
  </si>
  <si>
    <t>16minirosie@gmail.com</t>
  </si>
  <si>
    <t>605 Nottingham Circle</t>
  </si>
  <si>
    <t>#5</t>
  </si>
  <si>
    <t>Caudle_2002@yahoo.com</t>
  </si>
  <si>
    <t>loopsvasquez@gmail.com</t>
  </si>
  <si>
    <t>Salas</t>
  </si>
  <si>
    <t>Tyler Salas</t>
  </si>
  <si>
    <t>4004 Roosevelt Dr.</t>
  </si>
  <si>
    <t>zichengwangkevin@gmail.com</t>
  </si>
  <si>
    <t>Zicheng</t>
  </si>
  <si>
    <t>Zicheng Wang</t>
  </si>
  <si>
    <t>clarkgrace18@gmail.com</t>
  </si>
  <si>
    <t>Grace Clark</t>
  </si>
  <si>
    <t>11008 Topeka Ave</t>
  </si>
  <si>
    <t>manofmittalsteel@gmail.com</t>
  </si>
  <si>
    <t>Wheaties2152@gmail.com</t>
  </si>
  <si>
    <t>Noah Wheaton</t>
  </si>
  <si>
    <t>208 forest drive</t>
  </si>
  <si>
    <t>familyfireteam@gmail.com</t>
  </si>
  <si>
    <t>edames01@gmail.com</t>
  </si>
  <si>
    <t>Edward Ames</t>
  </si>
  <si>
    <t>933 Old Wrench School Rd.</t>
  </si>
  <si>
    <t>thewinburnfamily@yahoo.com</t>
  </si>
  <si>
    <t>mattiewinburn@yahoo.com</t>
  </si>
  <si>
    <t>Mattilyn</t>
  </si>
  <si>
    <t>Winburn</t>
  </si>
  <si>
    <t>Mattilyn Winburn</t>
  </si>
  <si>
    <t>162 Provence Lane</t>
  </si>
  <si>
    <t>mabrand@ix.netcom.com</t>
  </si>
  <si>
    <t>goldstellar34@gmail.com</t>
  </si>
  <si>
    <t>Zachary Brandon</t>
  </si>
  <si>
    <t>12509 Chalford Lane</t>
  </si>
  <si>
    <t>zebarths@gmail.com</t>
  </si>
  <si>
    <t>Quickzee1@gmail.com</t>
  </si>
  <si>
    <t>Zebarth</t>
  </si>
  <si>
    <t>Josiah Zebarth</t>
  </si>
  <si>
    <t>8421 Corona St</t>
  </si>
  <si>
    <t>leahreedall@sbcglobal.net</t>
  </si>
  <si>
    <t>areedall@sbcglobal.net</t>
  </si>
  <si>
    <t>Reedall</t>
  </si>
  <si>
    <t>Abby Reedall</t>
  </si>
  <si>
    <t>1726 Pierce Avenue</t>
  </si>
  <si>
    <t>bradjoanne.w@gmail.com</t>
  </si>
  <si>
    <t>annawieneke.m@gmail.com</t>
  </si>
  <si>
    <t>Wieneke</t>
  </si>
  <si>
    <t>Anna Wieneke</t>
  </si>
  <si>
    <t>69010 E 60th Rd</t>
  </si>
  <si>
    <t>SKPATRAN@COMCAST.NET</t>
  </si>
  <si>
    <t>pieguy24@comcast.net</t>
  </si>
  <si>
    <t>Trandel</t>
  </si>
  <si>
    <t>Philip Trandel</t>
  </si>
  <si>
    <t>1114 Arneita St</t>
  </si>
  <si>
    <t>elleanor@leonardengineering.net</t>
  </si>
  <si>
    <t>welhorse@outlook.com</t>
  </si>
  <si>
    <t>Whitney Leonard</t>
  </si>
  <si>
    <t>nview Falls Place</t>
  </si>
  <si>
    <t>beccadawnhill@yahoo.com</t>
  </si>
  <si>
    <t>Tdman2002@gmail.com</t>
  </si>
  <si>
    <t>Tucker Hill</t>
  </si>
  <si>
    <t>1228 Forrest Way</t>
  </si>
  <si>
    <t>Egrace98@icloud.com</t>
  </si>
  <si>
    <t>Ellissa</t>
  </si>
  <si>
    <t>Ellissa Lucas</t>
  </si>
  <si>
    <t>4445 W Keating Circle</t>
  </si>
  <si>
    <t>kelli328@swbell.net</t>
  </si>
  <si>
    <t>abigail12@swbell.net</t>
  </si>
  <si>
    <t>Abigail Atkins</t>
  </si>
  <si>
    <t>9616 Mill Hollow Dr.</t>
  </si>
  <si>
    <t>aamerson@troy.edu</t>
  </si>
  <si>
    <t>Amerson</t>
  </si>
  <si>
    <t>Angel Amerson</t>
  </si>
  <si>
    <t>608 Elm Street</t>
  </si>
  <si>
    <t>Apt C2</t>
  </si>
  <si>
    <t>melodeesanchez@hotmail.com</t>
  </si>
  <si>
    <t>jilliansanchez123@gmail.com</t>
  </si>
  <si>
    <t>Jillian Sanchez</t>
  </si>
  <si>
    <t>1791 Hideaway Hill Court</t>
  </si>
  <si>
    <t>morework4me@yahoo.com</t>
  </si>
  <si>
    <t>hooksahoy@yahoo.com</t>
  </si>
  <si>
    <t>Sarah Atkinson</t>
  </si>
  <si>
    <t>34 Sulphur Springs Rd</t>
  </si>
  <si>
    <t>Duncannon</t>
  </si>
  <si>
    <t>thomasacolston@gmail.com</t>
  </si>
  <si>
    <t>Thomas Colston</t>
  </si>
  <si>
    <t>6303 Fawn Circe</t>
  </si>
  <si>
    <t>pauls@carbidepros.com</t>
  </si>
  <si>
    <t>bjstripp@gmail.com</t>
  </si>
  <si>
    <t>Blayne</t>
  </si>
  <si>
    <t>Strippelhoff</t>
  </si>
  <si>
    <t>Blayne Strippelhoff</t>
  </si>
  <si>
    <t>1500 Lemons Mill Rd</t>
  </si>
  <si>
    <t>georgetown</t>
  </si>
  <si>
    <t>amywithem@hotmail.com</t>
  </si>
  <si>
    <t>samuelwithem@gmail.com</t>
  </si>
  <si>
    <t>Withem</t>
  </si>
  <si>
    <t>Samuel Withem</t>
  </si>
  <si>
    <t>1302 W. Willetta St.</t>
  </si>
  <si>
    <t>dustyphelps@life-springs.com</t>
  </si>
  <si>
    <t>jakekphelps@gmail.com</t>
  </si>
  <si>
    <t>Jacob Phelps</t>
  </si>
  <si>
    <t>138 Kent Haven Dr</t>
  </si>
  <si>
    <t>ltkesten@yahoo.com</t>
  </si>
  <si>
    <t>lily.kesten@asbury.edu</t>
  </si>
  <si>
    <t>Kesten</t>
  </si>
  <si>
    <t>Lily Kesten</t>
  </si>
  <si>
    <t>1146 Old Frankfort Pike</t>
  </si>
  <si>
    <t>lisahutchwhit@gmail.com</t>
  </si>
  <si>
    <t>blakejwhitmer@gmail.com</t>
  </si>
  <si>
    <t>Blake Whitmer</t>
  </si>
  <si>
    <t>PO Box 2594</t>
  </si>
  <si>
    <t>sdmingming@gmail.com</t>
  </si>
  <si>
    <t>victorwusd@gmail.com</t>
  </si>
  <si>
    <t>Victor Wu</t>
  </si>
  <si>
    <t>13285 Kingsfield Ct</t>
  </si>
  <si>
    <t>setha02@swbell.net</t>
  </si>
  <si>
    <t>Seth Atkins</t>
  </si>
  <si>
    <t>lneuman@thechapel.net</t>
  </si>
  <si>
    <t>neumanparker@gmail.com</t>
  </si>
  <si>
    <t>Parker Neuman</t>
  </si>
  <si>
    <t>6116 Waterside Drive</t>
  </si>
  <si>
    <t>cebulskie@yahoo.com</t>
  </si>
  <si>
    <t>trevor.cebulskie@gmail.com</t>
  </si>
  <si>
    <t>Cebulskie</t>
  </si>
  <si>
    <t>Trevor Cebulskie</t>
  </si>
  <si>
    <t>3255 Pauls Pointe</t>
  </si>
  <si>
    <t>jpnowotny@gmail.com</t>
  </si>
  <si>
    <t>Nowotny</t>
  </si>
  <si>
    <t>James Nowotny</t>
  </si>
  <si>
    <t>23297 Fallen Hills Drive</t>
  </si>
  <si>
    <t>myforgefam@gmail.com</t>
  </si>
  <si>
    <t>Garrett Carlson</t>
  </si>
  <si>
    <t>kd_woodward@yahoo.com</t>
  </si>
  <si>
    <t>Mason_woodward@yahoo.com</t>
  </si>
  <si>
    <t>Mason Woodward</t>
  </si>
  <si>
    <t>3015 Miracle Lane</t>
  </si>
  <si>
    <t>Flower Moubd</t>
  </si>
  <si>
    <t>camdenmerrell@gmail.com</t>
  </si>
  <si>
    <t>Merrell</t>
  </si>
  <si>
    <t>Camden Merrell</t>
  </si>
  <si>
    <t>114 Rockwell Drive</t>
  </si>
  <si>
    <t>Eatonton</t>
  </si>
  <si>
    <t>luannkirkham@gmail.com</t>
  </si>
  <si>
    <t>bethykirkham@gmail.com</t>
  </si>
  <si>
    <t>Elizabeth Kirkham</t>
  </si>
  <si>
    <t>8052 W Canal St</t>
  </si>
  <si>
    <t>t.j.palmer@att.net</t>
  </si>
  <si>
    <t>nick.palmer@att.net</t>
  </si>
  <si>
    <t>Nicholas Palmer</t>
  </si>
  <si>
    <t>60 Newman Way</t>
  </si>
  <si>
    <t>laurenartstudio@icloud.com</t>
  </si>
  <si>
    <t>Laurenartstudio@icloud.com</t>
  </si>
  <si>
    <t>Lauren Farmer</t>
  </si>
  <si>
    <t>P.O. Box 65</t>
  </si>
  <si>
    <t>jmbrown_02@yahoo.com</t>
  </si>
  <si>
    <t>208 Jamescrest Dr</t>
  </si>
  <si>
    <t>lane.wilfong@gmail.com</t>
  </si>
  <si>
    <t>Wilfong</t>
  </si>
  <si>
    <t>Lane Wilfong</t>
  </si>
  <si>
    <t>15470 Atlas Loop</t>
  </si>
  <si>
    <t>wesley.mcauley2@gmail.com</t>
  </si>
  <si>
    <t>McAuley</t>
  </si>
  <si>
    <t>Wesley McAuley</t>
  </si>
  <si>
    <t>15 rue Jacques Prevert</t>
  </si>
  <si>
    <t>Verneuil en Halatte</t>
  </si>
  <si>
    <t>France</t>
  </si>
  <si>
    <t>jhumrichous@hotmail.com</t>
  </si>
  <si>
    <t>lynneahumrichous@gmail.com</t>
  </si>
  <si>
    <t>Humrichous</t>
  </si>
  <si>
    <t>Lynnea Humrichous</t>
  </si>
  <si>
    <t>216 N Independence St</t>
  </si>
  <si>
    <t>adhbrinkley@gmail.com</t>
  </si>
  <si>
    <t>singingisanart@gmail.com</t>
  </si>
  <si>
    <t>LeTiya</t>
  </si>
  <si>
    <t>Brinkley</t>
  </si>
  <si>
    <t>LeTiya Brinkley</t>
  </si>
  <si>
    <t>10914 Legend Manor Lane</t>
  </si>
  <si>
    <t>Glenn Dale</t>
  </si>
  <si>
    <t>timothywgriffith@gmail.com</t>
  </si>
  <si>
    <t>Timothy Griffith</t>
  </si>
  <si>
    <t>387 Plantation Dr</t>
  </si>
  <si>
    <t>Pleasant Viewq</t>
  </si>
  <si>
    <t>Chester772002@yahoo.com</t>
  </si>
  <si>
    <t>blackbeautyballer@gmail.com</t>
  </si>
  <si>
    <t>Hana Brown</t>
  </si>
  <si>
    <t>317 riverside trail</t>
  </si>
  <si>
    <t>Roanoke rapids</t>
  </si>
  <si>
    <t>sara.12public@gmail.com</t>
  </si>
  <si>
    <t>Sara Cabrera</t>
  </si>
  <si>
    <t>Mexico City</t>
  </si>
  <si>
    <t>andrew.whitesel@gmail.com</t>
  </si>
  <si>
    <t>ansley.whitesel@icloud.com</t>
  </si>
  <si>
    <t>Whitesel</t>
  </si>
  <si>
    <t>Ansley Whitesel</t>
  </si>
  <si>
    <t>9647 Hampton Cir S</t>
  </si>
  <si>
    <t>jim.layton@gm.com</t>
  </si>
  <si>
    <t>austin.laytonn@gmail.com</t>
  </si>
  <si>
    <t>Austin Layton</t>
  </si>
  <si>
    <t>11125 Rolling Pine Run</t>
  </si>
  <si>
    <t>brayden.m.layton@gmail.com</t>
  </si>
  <si>
    <t>Brayden Layton</t>
  </si>
  <si>
    <t>11125 Rolling ine Run</t>
  </si>
  <si>
    <t>boydandlori@nc.rr.com</t>
  </si>
  <si>
    <t>joshdellinger24@gmail.com</t>
  </si>
  <si>
    <t>Dellinger</t>
  </si>
  <si>
    <t>Joshua Dellinger</t>
  </si>
  <si>
    <t>6083 Clinton Rd</t>
  </si>
  <si>
    <t>laurapgonzalezaaa@gmail.com</t>
  </si>
  <si>
    <t>Laurapgonzalezaaa@gmail.com</t>
  </si>
  <si>
    <t>Laura Gonzalez</t>
  </si>
  <si>
    <t>707 Abbey Place Court</t>
  </si>
  <si>
    <t>anelisa.holder@gmail.com</t>
  </si>
  <si>
    <t>Anelisa</t>
  </si>
  <si>
    <t>Anelisa Holder</t>
  </si>
  <si>
    <t>4228 Dunhagan Rd</t>
  </si>
  <si>
    <t>paigedoerffler@gmail.com</t>
  </si>
  <si>
    <t>Doerffler</t>
  </si>
  <si>
    <t>Paige Doerffler</t>
  </si>
  <si>
    <t>6118 Southampton Court</t>
  </si>
  <si>
    <t>spcr2001@gmail.com</t>
  </si>
  <si>
    <t>lauraleeandre@mac.com</t>
  </si>
  <si>
    <t>lukeandre@icloud.com</t>
  </si>
  <si>
    <t>Andre</t>
  </si>
  <si>
    <t>Luke Andre</t>
  </si>
  <si>
    <t>21 Leewood Drive</t>
  </si>
  <si>
    <t>j.neitzell@me.com</t>
  </si>
  <si>
    <t>n.neitzell@icloud.com</t>
  </si>
  <si>
    <t>Natasha Neitzell</t>
  </si>
  <si>
    <t>1273 East Putnam Unit 1048</t>
  </si>
  <si>
    <t>lcpritch@gmail.com</t>
  </si>
  <si>
    <t>rangerpritch@gmail.com</t>
  </si>
  <si>
    <t>Pritchard</t>
  </si>
  <si>
    <t>Isaiah Pritchard</t>
  </si>
  <si>
    <t>1600 Mistwood Drive</t>
  </si>
  <si>
    <t>maddyflip@gmail.com</t>
  </si>
  <si>
    <t>Madelyn Ruperto</t>
  </si>
  <si>
    <t>fabkar71@gmail.com</t>
  </si>
  <si>
    <t>kmblife56@gmail.com</t>
  </si>
  <si>
    <t>Kayla Burns</t>
  </si>
  <si>
    <t>617 Himes Ave</t>
  </si>
  <si>
    <t>lesliericochet@gmail.com</t>
  </si>
  <si>
    <t>Bdunn19@mcstangs.org</t>
  </si>
  <si>
    <t>Blake Dunn</t>
  </si>
  <si>
    <t>6413 Mosswood Dr</t>
  </si>
  <si>
    <t>kirk16@sbcglobal.net</t>
  </si>
  <si>
    <t>Lrciphone@gmail.com</t>
  </si>
  <si>
    <t>Luke Cameron</t>
  </si>
  <si>
    <t>5737 Kanan Road</t>
  </si>
  <si>
    <t>#180</t>
  </si>
  <si>
    <t>Agoura Hills</t>
  </si>
  <si>
    <t>Oliviarc375@gmail.com</t>
  </si>
  <si>
    <t>Olivia Cameron</t>
  </si>
  <si>
    <t>Agoura</t>
  </si>
  <si>
    <t>jody@shippa.net</t>
  </si>
  <si>
    <t>benshippa2016@gmail.com</t>
  </si>
  <si>
    <t>Shippa</t>
  </si>
  <si>
    <t>Benjamin Shippa</t>
  </si>
  <si>
    <t>1010 Parshall RD</t>
  </si>
  <si>
    <t>pleroy10@icloud.com</t>
  </si>
  <si>
    <t>LeRoy</t>
  </si>
  <si>
    <t>Parker LeRoy</t>
  </si>
  <si>
    <t>905 Woodland Park</t>
  </si>
  <si>
    <t>samsonmcsamson12@gmail.com</t>
  </si>
  <si>
    <t>Sammy</t>
  </si>
  <si>
    <t>Bakeer</t>
  </si>
  <si>
    <t>Sammy Bakeer</t>
  </si>
  <si>
    <t>364 Morningside Dr.</t>
  </si>
  <si>
    <t>Selmer</t>
  </si>
  <si>
    <t>nygardevan@yahoo.com</t>
  </si>
  <si>
    <t>Nygard</t>
  </si>
  <si>
    <t>Evan Nygard</t>
  </si>
  <si>
    <t>14620 81st ave e</t>
  </si>
  <si>
    <t>dbrobert@tctc.com</t>
  </si>
  <si>
    <t>malkrobertson29@gmail.com</t>
  </si>
  <si>
    <t>Mallory Robertson</t>
  </si>
  <si>
    <t>6099 W County Road 700 S</t>
  </si>
  <si>
    <t>eclaud@peds.bsd.uchicago.edu</t>
  </si>
  <si>
    <t>rd908213@gmail.com</t>
  </si>
  <si>
    <t>Claud</t>
  </si>
  <si>
    <t>Robert Claud</t>
  </si>
  <si>
    <t>5800 N Kilbourn Ave</t>
  </si>
  <si>
    <t>tosha.t.perreault@gmail.com</t>
  </si>
  <si>
    <t>n.bee.pea@gmail.com</t>
  </si>
  <si>
    <t>Perreault</t>
  </si>
  <si>
    <t>Noah Perreault</t>
  </si>
  <si>
    <t>1415 Imperial Rd</t>
  </si>
  <si>
    <t>joni2lopez3@gmail.com</t>
  </si>
  <si>
    <t>alop6817@gmail.com</t>
  </si>
  <si>
    <t>Abigail Lopez</t>
  </si>
  <si>
    <t>3200 69th Ave Place</t>
  </si>
  <si>
    <t>northsidepreacher@gmail.com</t>
  </si>
  <si>
    <t>kailyn.martindale@my.uu.edu</t>
  </si>
  <si>
    <t>Martindale</t>
  </si>
  <si>
    <t>Kailyn Martindale</t>
  </si>
  <si>
    <t>625 Blanton Road</t>
  </si>
  <si>
    <t>Adamsville</t>
  </si>
  <si>
    <t>sammccreery99@gmail.com</t>
  </si>
  <si>
    <t>Mccreery</t>
  </si>
  <si>
    <t>Sam Mccreery</t>
  </si>
  <si>
    <t>13990 W 58th Ave</t>
  </si>
  <si>
    <t>katiedunngb@gmail.com</t>
  </si>
  <si>
    <t>Wilsonaugustinej@gmail.com</t>
  </si>
  <si>
    <t>Augustine Wilson</t>
  </si>
  <si>
    <t>kmpalmberg@mtaonline.net</t>
  </si>
  <si>
    <t>Lizzietothegrace@gmail.com</t>
  </si>
  <si>
    <t>Palmberg</t>
  </si>
  <si>
    <t>Elizabeth Palmberg</t>
  </si>
  <si>
    <t>1500 N Sunnyhill Cir</t>
  </si>
  <si>
    <t>5815 Cotner Rd</t>
  </si>
  <si>
    <t>kevlavernenisly@gmail.com</t>
  </si>
  <si>
    <t>Kevin Nisly</t>
  </si>
  <si>
    <t>28 E Simpson st</t>
  </si>
  <si>
    <t>Langdon</t>
  </si>
  <si>
    <t>Abri</t>
  </si>
  <si>
    <t>Abri Dillard</t>
  </si>
  <si>
    <t>victoriabischel@kw.com</t>
  </si>
  <si>
    <t>Luke White</t>
  </si>
  <si>
    <t>Paperwaffle@gmail.com</t>
  </si>
  <si>
    <t>Harrison Barnett</t>
  </si>
  <si>
    <t>5005 Coquina Ct.</t>
  </si>
  <si>
    <t>aprillynmc@sbcglobal.net</t>
  </si>
  <si>
    <t>mccrackencarson1@gmail.com</t>
  </si>
  <si>
    <t>Carson McCracken</t>
  </si>
  <si>
    <t>4083 Brockton Manor N Dr</t>
  </si>
  <si>
    <t>drclayhold@gmail.com</t>
  </si>
  <si>
    <t>Codyclayhold@outlook.com</t>
  </si>
  <si>
    <t>Clayhold</t>
  </si>
  <si>
    <t>Cody Clayhold</t>
  </si>
  <si>
    <t>11041 SE Lake Road</t>
  </si>
  <si>
    <t>Shanae72900@gmail.com</t>
  </si>
  <si>
    <t>Shanae</t>
  </si>
  <si>
    <t>Schmucker</t>
  </si>
  <si>
    <t>Shanae Schmucker</t>
  </si>
  <si>
    <t>coloradokona@msn.com</t>
  </si>
  <si>
    <t>jrmtnbiker10@gmail.com</t>
  </si>
  <si>
    <t>Rhoads</t>
  </si>
  <si>
    <t>Jackson Rhoads</t>
  </si>
  <si>
    <t>2602 Stonehaven</t>
  </si>
  <si>
    <t>gregg.angier@gmail.com</t>
  </si>
  <si>
    <t>Paul Angier</t>
  </si>
  <si>
    <t>5805 Stoneridge Drive</t>
  </si>
  <si>
    <t>Mary Angier</t>
  </si>
  <si>
    <t>Elizabeth Angier</t>
  </si>
  <si>
    <t>dylanxaviersmith@gmail.com</t>
  </si>
  <si>
    <t>Dylan Smith</t>
  </si>
  <si>
    <t>etibabs@gmail.com</t>
  </si>
  <si>
    <t>Olufemi</t>
  </si>
  <si>
    <t>Babatolu</t>
  </si>
  <si>
    <t>Olufemi Babatolu</t>
  </si>
  <si>
    <t>Niagara Christian Collegiate</t>
  </si>
  <si>
    <t>2619 Niagara Pkway</t>
  </si>
  <si>
    <t>L2A 5M4</t>
  </si>
  <si>
    <t>james@hsmuph.com</t>
  </si>
  <si>
    <t>snowandarrowteam@gmail.com</t>
  </si>
  <si>
    <t>Sarah Foster</t>
  </si>
  <si>
    <t>2975 Little Rock Rd.</t>
  </si>
  <si>
    <t>Rose Bud</t>
  </si>
  <si>
    <t>silentprince592@gmail.com</t>
  </si>
  <si>
    <t>Silentprince592@gmail.com</t>
  </si>
  <si>
    <t>Corey Sanders</t>
  </si>
  <si>
    <t>2433 NW 112th Street</t>
  </si>
  <si>
    <t>demovus@gmail.com</t>
  </si>
  <si>
    <t>Abian</t>
  </si>
  <si>
    <t>Heller</t>
  </si>
  <si>
    <t>Abian Heller</t>
  </si>
  <si>
    <t>510 Park St.</t>
  </si>
  <si>
    <t>rjcapistrano2@gmail.com</t>
  </si>
  <si>
    <t>Randy</t>
  </si>
  <si>
    <t>Randy Capistrano</t>
  </si>
  <si>
    <t>jarodkacer@outlook.com</t>
  </si>
  <si>
    <t>Jaord</t>
  </si>
  <si>
    <t>Kacer</t>
  </si>
  <si>
    <t>Jaord Kacer</t>
  </si>
  <si>
    <t>12998 LaFayette Rd</t>
  </si>
  <si>
    <t>ncatron406@gmail.com</t>
  </si>
  <si>
    <t>Ncatron406@gmail.com</t>
  </si>
  <si>
    <t>Catron</t>
  </si>
  <si>
    <t>Nathan Catron</t>
  </si>
  <si>
    <t>403 East Third North Street</t>
  </si>
  <si>
    <t>kenziemcghee10@gmail.com</t>
  </si>
  <si>
    <t>Kenzie McGhee</t>
  </si>
  <si>
    <t>1123 Reed Bull Road</t>
  </si>
  <si>
    <t>kristiannanj@gmail.com</t>
  </si>
  <si>
    <t>Kristiannanj@gmail.com</t>
  </si>
  <si>
    <t>Kristianna Johnson</t>
  </si>
  <si>
    <t>215 crestwood dr</t>
  </si>
  <si>
    <t>North manakto</t>
  </si>
  <si>
    <t>jcholt211@gmail.com</t>
  </si>
  <si>
    <t>Joshua Holt</t>
  </si>
  <si>
    <t>4465 Terrell Ln</t>
  </si>
  <si>
    <t>stampedepass270@yahoo.com</t>
  </si>
  <si>
    <t>jgw270@gmail.com</t>
  </si>
  <si>
    <t>Justin West</t>
  </si>
  <si>
    <t>7127 Midnight Rose Drive</t>
  </si>
  <si>
    <t>Gelle</t>
  </si>
  <si>
    <t>Kai Gelle</t>
  </si>
  <si>
    <t>sierrasnowmay@yahoo.com</t>
  </si>
  <si>
    <t>Michaelabrammay@gmail.com</t>
  </si>
  <si>
    <t>Michael May</t>
  </si>
  <si>
    <t>132 Lloyellen Dr</t>
  </si>
  <si>
    <t>Rogue River</t>
  </si>
  <si>
    <t>nelee2@gmail.com</t>
  </si>
  <si>
    <t>kharis@hopeforemily.com</t>
  </si>
  <si>
    <t>Kharis</t>
  </si>
  <si>
    <t>Vedders</t>
  </si>
  <si>
    <t>Kharis Vedders</t>
  </si>
  <si>
    <t>3322 Old Franklin Road</t>
  </si>
  <si>
    <t>bischel2@gmail.com</t>
  </si>
  <si>
    <t>bischell2453@my.uwstout.edu</t>
  </si>
  <si>
    <t>Louis Bischel</t>
  </si>
  <si>
    <t>102nd St.</t>
  </si>
  <si>
    <t>gracgrl1@hotmail.com</t>
  </si>
  <si>
    <t>jeffplschneider@gmail.com</t>
  </si>
  <si>
    <t>Jeff Schneider</t>
  </si>
  <si>
    <t>1492 Woods Edge Ln</t>
  </si>
  <si>
    <t>tjaston4@yahoo.com</t>
  </si>
  <si>
    <t>craston2020@gmail.com</t>
  </si>
  <si>
    <t>Connor Aston</t>
  </si>
  <si>
    <t>189 N Rainbow Ridge Cir.</t>
  </si>
  <si>
    <t>bjaston2022@gmail.com</t>
  </si>
  <si>
    <t>Brennan Aston</t>
  </si>
  <si>
    <t>189 N Rainbow Ridge Cir</t>
  </si>
  <si>
    <t>justinandallison@yahoo.com</t>
  </si>
  <si>
    <t>Graceakatteberry@gmail.com</t>
  </si>
  <si>
    <t>Atteberry</t>
  </si>
  <si>
    <t>Grace Atteberry</t>
  </si>
  <si>
    <t>14345 Cody Cir</t>
  </si>
  <si>
    <t>brittanyabbott2@gmail.com</t>
  </si>
  <si>
    <t>Brittanyabbott2@gmail.com</t>
  </si>
  <si>
    <t>Brittany Abbott</t>
  </si>
  <si>
    <t>431 Brenda e</t>
  </si>
  <si>
    <t>ljdarnold@yahoo.com</t>
  </si>
  <si>
    <t>cdarnold2020@gmail.com</t>
  </si>
  <si>
    <t>Darnold</t>
  </si>
  <si>
    <t>Carson Darnold</t>
  </si>
  <si>
    <t>1646 Wild Peak</t>
  </si>
  <si>
    <t>bradholten@gmail.com</t>
  </si>
  <si>
    <t>kellyh@academynorthwest.net</t>
  </si>
  <si>
    <t>Holten</t>
  </si>
  <si>
    <t>Kelly Holten</t>
  </si>
  <si>
    <t>7517 NE 67th Street</t>
  </si>
  <si>
    <t>dardi545@gmail.com</t>
  </si>
  <si>
    <t>kcdardi@gmail.com</t>
  </si>
  <si>
    <t>Dardis</t>
  </si>
  <si>
    <t>Kelsey Dardis</t>
  </si>
  <si>
    <t>5746 37th Ave NE</t>
  </si>
  <si>
    <t>tmdardi@gmail.com</t>
  </si>
  <si>
    <t>Taylor Dardis</t>
  </si>
  <si>
    <t>robert.ho.ou@gmail.com</t>
  </si>
  <si>
    <t>Chloe.ho.ou@icloud.com</t>
  </si>
  <si>
    <t>Chloe Ho</t>
  </si>
  <si>
    <t>6018 Madrone Meadow Dr</t>
  </si>
  <si>
    <t>chris.ho.5786@gmail.com</t>
  </si>
  <si>
    <t>Christopher Ho</t>
  </si>
  <si>
    <t>amy@differentisgood.com</t>
  </si>
  <si>
    <t>Langeler</t>
  </si>
  <si>
    <t>Colby Langeler</t>
  </si>
  <si>
    <t>415 Barry Street SW</t>
  </si>
  <si>
    <t>jlcochran1@gmail.com</t>
  </si>
  <si>
    <t>tacomusic101@gmail.com</t>
  </si>
  <si>
    <t>Rachael Cochran</t>
  </si>
  <si>
    <t>2618 Astro Ct</t>
  </si>
  <si>
    <t>davin@inojcdu.com</t>
  </si>
  <si>
    <t>peter@inojcdu.com</t>
  </si>
  <si>
    <t>Emerson</t>
  </si>
  <si>
    <t>Peter Emerson</t>
  </si>
  <si>
    <t>1709 N Campbell Station Rd</t>
  </si>
  <si>
    <t>meredithirving75@gmail.com</t>
  </si>
  <si>
    <t>elliemirving@gmail.com</t>
  </si>
  <si>
    <t>Ellie Irving</t>
  </si>
  <si>
    <t>1702 Calderwood Ct.</t>
  </si>
  <si>
    <t>elicor@live.com</t>
  </si>
  <si>
    <t>1213emanr@gmail.com</t>
  </si>
  <si>
    <t>Emmanuel Roman</t>
  </si>
  <si>
    <t>916 barsby st</t>
  </si>
  <si>
    <t>Natalielauterbach@yahoo.com</t>
  </si>
  <si>
    <t>Ashleyadelynnl@gmail.com</t>
  </si>
  <si>
    <t>Lauterbach</t>
  </si>
  <si>
    <t>Ashley Lauterbach</t>
  </si>
  <si>
    <t>738 Harrow Lane</t>
  </si>
  <si>
    <t>javanmallery@sbcglobal.net</t>
  </si>
  <si>
    <t>Mallery</t>
  </si>
  <si>
    <t>Javan Mallery</t>
  </si>
  <si>
    <t>2131 Hilltop View Dr</t>
  </si>
  <si>
    <t>Dorr</t>
  </si>
  <si>
    <t>diannaroberts6@gmail.com</t>
  </si>
  <si>
    <t>danaer02@yahoo.com</t>
  </si>
  <si>
    <t>Danae Roberts</t>
  </si>
  <si>
    <t>1315 China Grove Dr</t>
  </si>
  <si>
    <t>annettejmorton@gmail.com</t>
  </si>
  <si>
    <t>chloeebmorton@gmail.com</t>
  </si>
  <si>
    <t>Chloe Morton</t>
  </si>
  <si>
    <t>11124 Bittersweet Creek Run</t>
  </si>
  <si>
    <t>edenjoy.refinedorchid@gmail.com</t>
  </si>
  <si>
    <t>EdenJoy</t>
  </si>
  <si>
    <t>EdenJoy Ogren</t>
  </si>
  <si>
    <t>elishakoh@gmail.com</t>
  </si>
  <si>
    <t>Elisha Koh</t>
  </si>
  <si>
    <t>214NB South Lake Village</t>
  </si>
  <si>
    <t>Sammy.barr@icloud.com</t>
  </si>
  <si>
    <t>sammy.barr@icloud.com</t>
  </si>
  <si>
    <t>Samuel Barr</t>
  </si>
  <si>
    <t>935 Contour Drive</t>
  </si>
  <si>
    <t>chrisandniffer@msn.com</t>
  </si>
  <si>
    <t>DeFrates</t>
  </si>
  <si>
    <t>Dane DeFrates</t>
  </si>
  <si>
    <t>P.O.Box 2478</t>
  </si>
  <si>
    <t>Crested Butte</t>
  </si>
  <si>
    <t>hellomynameisjay@gmail.com</t>
  </si>
  <si>
    <t>hellomynameislilyhughes@gmail.com</t>
  </si>
  <si>
    <t>Lily Hughes</t>
  </si>
  <si>
    <t>436 Clydebank Dr.</t>
  </si>
  <si>
    <t>courtatwell@yahoo.com</t>
  </si>
  <si>
    <t>kyatwell@icloud.com</t>
  </si>
  <si>
    <t>Kylie Atwell</t>
  </si>
  <si>
    <t>9956 Wyecliff Dr.</t>
  </si>
  <si>
    <t>kadensangray@gmail.com</t>
  </si>
  <si>
    <t>Sangray</t>
  </si>
  <si>
    <t>Kaden Sangray</t>
  </si>
  <si>
    <t>4298 Saint John Road</t>
  </si>
  <si>
    <t>East Helena</t>
  </si>
  <si>
    <t>alyssagoodson@gmail.com</t>
  </si>
  <si>
    <t>Alyssa Goodson</t>
  </si>
  <si>
    <t>hgsears@me.com</t>
  </si>
  <si>
    <t>Harris Sears</t>
  </si>
  <si>
    <t>joanne_wai_ling@yahoo.com</t>
  </si>
  <si>
    <t>charissasmailbox@gmail.com</t>
  </si>
  <si>
    <t>Cheong</t>
  </si>
  <si>
    <t>Charissa Cheong</t>
  </si>
  <si>
    <t>170 Tower Street</t>
  </si>
  <si>
    <t>Brightlingsea</t>
  </si>
  <si>
    <t>Colchester</t>
  </si>
  <si>
    <t>Essex</t>
  </si>
  <si>
    <t>CO7 0AW</t>
  </si>
  <si>
    <t>christianiwood@hotmail.com</t>
  </si>
  <si>
    <t>631 Springhill Ln</t>
  </si>
  <si>
    <t>evsschlon@icloud.com</t>
  </si>
  <si>
    <t>Elliot Schloneger</t>
  </si>
  <si>
    <t>braedenfett@gmail.com</t>
  </si>
  <si>
    <t>Braeden Savard</t>
  </si>
  <si>
    <t>ryanjenking17@gmail.com</t>
  </si>
  <si>
    <t>redneender32@gmail.com</t>
  </si>
  <si>
    <t>Emery</t>
  </si>
  <si>
    <t>Emery King</t>
  </si>
  <si>
    <t>16810 E. Crestline Ln.</t>
  </si>
  <si>
    <t>btbradley7@gmail.com</t>
  </si>
  <si>
    <t>malori.walton@yahoo.com</t>
  </si>
  <si>
    <t>Malori</t>
  </si>
  <si>
    <t>Malori Walton</t>
  </si>
  <si>
    <t>P. O. Box 24</t>
  </si>
  <si>
    <t>Mauriceville</t>
  </si>
  <si>
    <t>brightupn@yahoo.com</t>
  </si>
  <si>
    <t>Brightup</t>
  </si>
  <si>
    <t>Nate Brightup</t>
  </si>
  <si>
    <t>515 W Douglas Ave</t>
  </si>
  <si>
    <t>jmlaning@gmail.com</t>
  </si>
  <si>
    <t>blaning@hpsstudents.net</t>
  </si>
  <si>
    <t>Laning</t>
  </si>
  <si>
    <t>Bryce Laning</t>
  </si>
  <si>
    <t>1854 Perry Street</t>
  </si>
  <si>
    <t>mlswilson@charter.net</t>
  </si>
  <si>
    <t>Arwilson2020@gmail.com</t>
  </si>
  <si>
    <t>Amanda Wilson</t>
  </si>
  <si>
    <t>1241 Branchwater Ln</t>
  </si>
  <si>
    <t>Vestavia Hills</t>
  </si>
  <si>
    <t>beatrizcalero@bellsouth.net</t>
  </si>
  <si>
    <t>smile2413@icloud.com</t>
  </si>
  <si>
    <t>Menendez</t>
  </si>
  <si>
    <t>Natalia Menendez</t>
  </si>
  <si>
    <t>6910 Veronese Street</t>
  </si>
  <si>
    <t>Coral Gables</t>
  </si>
  <si>
    <t>aprilbuttermore@gmail.com</t>
  </si>
  <si>
    <t>Gracebuttermore@gmail.com</t>
  </si>
  <si>
    <t>Buttermore</t>
  </si>
  <si>
    <t>Grace Buttermore</t>
  </si>
  <si>
    <t>16928 Patterson Drive</t>
  </si>
  <si>
    <t>jkfrieling@gmail.com</t>
  </si>
  <si>
    <t>megkfrieling@icloud.com</t>
  </si>
  <si>
    <t>Frieling</t>
  </si>
  <si>
    <t>Megan Frieling</t>
  </si>
  <si>
    <t>3411 Farley Road</t>
  </si>
  <si>
    <t>Almont</t>
  </si>
  <si>
    <t>byrdjohn328@gmail.com</t>
  </si>
  <si>
    <t>John Byrd</t>
  </si>
  <si>
    <t>ddecker4002@yahoo.com</t>
  </si>
  <si>
    <t>Joseph Decker</t>
  </si>
  <si>
    <t>1001 Durbin Parke</t>
  </si>
  <si>
    <t>lori.hammond1@gmail.com</t>
  </si>
  <si>
    <t>Lori.hammond1@gmail.com</t>
  </si>
  <si>
    <t>Blake Hammond</t>
  </si>
  <si>
    <t>500 Charismatic Drive</t>
  </si>
  <si>
    <t>isaacnaughton01@gmail.com</t>
  </si>
  <si>
    <t>NAUGHTON</t>
  </si>
  <si>
    <t>Isaac NAUGHTON</t>
  </si>
  <si>
    <t>n0go@arrl.net</t>
  </si>
  <si>
    <t>josiahkriegshauser@gmail.com</t>
  </si>
  <si>
    <t>Kriegshauser</t>
  </si>
  <si>
    <t>Josiah Kriegshauser</t>
  </si>
  <si>
    <t>3160 Crane Ave</t>
  </si>
  <si>
    <t>anne@hunan05.com</t>
  </si>
  <si>
    <t>grace@hunan05.com</t>
  </si>
  <si>
    <t>Grace Sheridan</t>
  </si>
  <si>
    <t>10637 Geist Ridge Ct</t>
  </si>
  <si>
    <t>kbarmstrong1125@gmail.com</t>
  </si>
  <si>
    <t>Tyler.armstrong@govalor.com</t>
  </si>
  <si>
    <t>Tyler Armstrong</t>
  </si>
  <si>
    <t>6289 Ellingwood point way</t>
  </si>
  <si>
    <t>Castle pines</t>
  </si>
  <si>
    <t>maggieedwards@pobox.com</t>
  </si>
  <si>
    <t>irwilson02@bvsd.org</t>
  </si>
  <si>
    <t>Ireland Wilson</t>
  </si>
  <si>
    <t>4705 W 107th Drive</t>
  </si>
  <si>
    <t>tlindsaya@gmail.com</t>
  </si>
  <si>
    <t>Lilliennefield@gmail.com</t>
  </si>
  <si>
    <t>Lilly Anderson</t>
  </si>
  <si>
    <t>400 Oxford Road</t>
  </si>
  <si>
    <t>erutulcien7@gmail.com</t>
  </si>
  <si>
    <t>Stigman</t>
  </si>
  <si>
    <t>Ethan Stigman</t>
  </si>
  <si>
    <t>acriswell73@gmail.com</t>
  </si>
  <si>
    <t>miacriswell7@gmail.com</t>
  </si>
  <si>
    <t>Criswell</t>
  </si>
  <si>
    <t>Mia Criswell</t>
  </si>
  <si>
    <t>13615 Country Lane</t>
  </si>
  <si>
    <t>Shaphan.Bates@gmail.com</t>
  </si>
  <si>
    <t>Shaphan</t>
  </si>
  <si>
    <t>Shaphan Bates</t>
  </si>
  <si>
    <t>mcmom@familyreformation.org</t>
  </si>
  <si>
    <t>emmalouhoohoo@gmail.com</t>
  </si>
  <si>
    <t>Emma McDonald</t>
  </si>
  <si>
    <t>10812 W Timber RD</t>
  </si>
  <si>
    <t>tonya.chapa@gmail.com</t>
  </si>
  <si>
    <t>emma.chapa03@gmail.com</t>
  </si>
  <si>
    <t>Chapa</t>
  </si>
  <si>
    <t>Emma Chapa</t>
  </si>
  <si>
    <t>26850 US HWY 380 E</t>
  </si>
  <si>
    <t>#4907</t>
  </si>
  <si>
    <t>mariamagee@msn.com</t>
  </si>
  <si>
    <t>Riessmagee@yahoo.com</t>
  </si>
  <si>
    <t>Riess</t>
  </si>
  <si>
    <t>Magee</t>
  </si>
  <si>
    <t>Riess Magee</t>
  </si>
  <si>
    <t>PO Box 1335</t>
  </si>
  <si>
    <t>Seahurst</t>
  </si>
  <si>
    <t>fqingli@hotmail.com</t>
  </si>
  <si>
    <t>edwardwang1157@hotmail.com</t>
  </si>
  <si>
    <t>Edward Wang</t>
  </si>
  <si>
    <t>1157 East Mary Lane</t>
  </si>
  <si>
    <t>Gracieaton@gmail.com</t>
  </si>
  <si>
    <t>Gracie Eaton</t>
  </si>
  <si>
    <t>Alex.madison13@rocketmail.com</t>
  </si>
  <si>
    <t>Alexander Madison</t>
  </si>
  <si>
    <t>emilyzieg@icloud.com</t>
  </si>
  <si>
    <t>Emily Zieg</t>
  </si>
  <si>
    <t>19357 Patterson St.</t>
  </si>
  <si>
    <t>gelatts@gmail.com</t>
  </si>
  <si>
    <t>Gelatt</t>
  </si>
  <si>
    <t>Josiah Gelatt</t>
  </si>
  <si>
    <t>anneliesedykstra@gmail.com</t>
  </si>
  <si>
    <t>vicsmith1892@gmail.com</t>
  </si>
  <si>
    <t>Sarahrider01@gmail.com</t>
  </si>
  <si>
    <t>Sarah Rider</t>
  </si>
  <si>
    <t>1857 W 900 N</t>
  </si>
  <si>
    <t>Delphi</t>
  </si>
  <si>
    <t>dcrew.andrew@gmail.com</t>
  </si>
  <si>
    <t>Andrew Dykstra</t>
  </si>
  <si>
    <t>dcrew.elizabeth@gmail.com</t>
  </si>
  <si>
    <t>Elizabeth Dykstra</t>
  </si>
  <si>
    <t>dcrew.isabelle@gmail.com</t>
  </si>
  <si>
    <t>Isabelle Dykstra</t>
  </si>
  <si>
    <t>autumnbothwell@cox.net</t>
  </si>
  <si>
    <t>Autumn Bothwell</t>
  </si>
  <si>
    <t>nrcsaved@hotmail.com</t>
  </si>
  <si>
    <t>koberc02@gmail.com</t>
  </si>
  <si>
    <t>Chindlund</t>
  </si>
  <si>
    <t>Kobe Chindlund</t>
  </si>
  <si>
    <t>2022 Bever Ave. S.E.</t>
  </si>
  <si>
    <t>coopdog247365@gmail.com</t>
  </si>
  <si>
    <t>Cooper Chindlund</t>
  </si>
  <si>
    <t>eyedoctor@fiberpipe.net</t>
  </si>
  <si>
    <t>meganhoffmann17@gmail.com</t>
  </si>
  <si>
    <t>Hoffmann</t>
  </si>
  <si>
    <t>Megan Hoffmann</t>
  </si>
  <si>
    <t>1967 Summit Ct.</t>
  </si>
  <si>
    <t>Leah Day</t>
  </si>
  <si>
    <t>jill@hotschurch.org</t>
  </si>
  <si>
    <t>mregoof@icloud.com</t>
  </si>
  <si>
    <t>Myah</t>
  </si>
  <si>
    <t>Eich</t>
  </si>
  <si>
    <t>Myah Eich</t>
  </si>
  <si>
    <t>12659 Stone Valley Dr</t>
  </si>
  <si>
    <t>cheermahd@icloud.com</t>
  </si>
  <si>
    <t>Mahdia</t>
  </si>
  <si>
    <t>Mahdia Eich</t>
  </si>
  <si>
    <t>acc002@aol.com</t>
  </si>
  <si>
    <t>bmimirogers@yahoo.com</t>
  </si>
  <si>
    <t>Jack Poe</t>
  </si>
  <si>
    <t>4407 Honeywood Dr</t>
  </si>
  <si>
    <t>Kendall Clark</t>
  </si>
  <si>
    <t>1436 Coleman Rd</t>
  </si>
  <si>
    <t>meshellwoodrow@msn.com</t>
  </si>
  <si>
    <t>woodrowjonathan92@gmail.com</t>
  </si>
  <si>
    <t>Woodrow</t>
  </si>
  <si>
    <t>Jonathan Woodrow</t>
  </si>
  <si>
    <t>1215 Alta Vista Dr</t>
  </si>
  <si>
    <t>ellijanew@gmail.com</t>
  </si>
  <si>
    <t>8916 Highview Lane</t>
  </si>
  <si>
    <t>kristymark@verizon.net</t>
  </si>
  <si>
    <t>aggieboy2021@icloud.com</t>
  </si>
  <si>
    <t>Seth Edwards</t>
  </si>
  <si>
    <t>2401 Loop 467</t>
  </si>
  <si>
    <t>aggiegirlellie@icloud.com</t>
  </si>
  <si>
    <t>Elianna Edwards</t>
  </si>
  <si>
    <t>ministerjoel@gmail.com</t>
  </si>
  <si>
    <t>jdsmiththesecond@gmail.com</t>
  </si>
  <si>
    <t>3106 Colonel Court</t>
  </si>
  <si>
    <t>melonberger@gmail.com</t>
  </si>
  <si>
    <t>Malachi Amburgey</t>
  </si>
  <si>
    <t>hamiltonjamilton1800@gmail.com</t>
  </si>
  <si>
    <t>Shrake</t>
  </si>
  <si>
    <t>Savannah Shrake</t>
  </si>
  <si>
    <t>thisirishgirllovesjesus@gmail.com</t>
  </si>
  <si>
    <t>Sara Madigan</t>
  </si>
  <si>
    <t>2781 60th St</t>
  </si>
  <si>
    <t>kjgoossen41@gmail.com</t>
  </si>
  <si>
    <t>Ejgoose14@gmail.com</t>
  </si>
  <si>
    <t>Goossen</t>
  </si>
  <si>
    <t>Emma Goossen</t>
  </si>
  <si>
    <t>16134 Lincoln St</t>
  </si>
  <si>
    <t>Grand Haven</t>
  </si>
  <si>
    <t>pjmatthewson@knology.net</t>
  </si>
  <si>
    <t>ellsmatts@gmail.com</t>
  </si>
  <si>
    <t>Matthewson</t>
  </si>
  <si>
    <t>Noelle Matthewson</t>
  </si>
  <si>
    <t>118 Lariat Dr.</t>
  </si>
  <si>
    <t>Harvest</t>
  </si>
  <si>
    <t>bzeiser@sctray.com</t>
  </si>
  <si>
    <t>sarabeth.zeiser@my.uu.edu</t>
  </si>
  <si>
    <t>Sara Zeiser</t>
  </si>
  <si>
    <t>1410 Taft Highway</t>
  </si>
  <si>
    <t>damon@reallifedental.com</t>
  </si>
  <si>
    <t>isaacbt3@aol.com</t>
  </si>
  <si>
    <t>Isaac Thompson</t>
  </si>
  <si>
    <t>1825 Augusta National Road</t>
  </si>
  <si>
    <t>wrightwesley360@gmail.com</t>
  </si>
  <si>
    <t>Wesley Wright</t>
  </si>
  <si>
    <t>onceuponabook26@gmail.com</t>
  </si>
  <si>
    <t>Sarah Bartsch</t>
  </si>
  <si>
    <t>smoran6286@msn.com</t>
  </si>
  <si>
    <t>14alexismoran@gmail.com</t>
  </si>
  <si>
    <t>Alexis Moran</t>
  </si>
  <si>
    <t>2205 Brookstone Loop</t>
  </si>
  <si>
    <t>magytorreslail@hotmail.com</t>
  </si>
  <si>
    <t>melt112013@gmail.com</t>
  </si>
  <si>
    <t>Lail</t>
  </si>
  <si>
    <t>Megan Lail</t>
  </si>
  <si>
    <t>5505 W Sawgrass Way</t>
  </si>
  <si>
    <t>slrazzmu@hotmail.com</t>
  </si>
  <si>
    <t>77tally77@gmail.com</t>
  </si>
  <si>
    <t>Talon Rasmussen</t>
  </si>
  <si>
    <t>3401 N Shields St</t>
  </si>
  <si>
    <t>starraz@ymail.com</t>
  </si>
  <si>
    <t>Star</t>
  </si>
  <si>
    <t>Star Rasmussen</t>
  </si>
  <si>
    <t>cwolf430@gmail.com</t>
  </si>
  <si>
    <t>Connor Carr</t>
  </si>
  <si>
    <t>amyboutan@gmail.com</t>
  </si>
  <si>
    <t>Boutan</t>
  </si>
  <si>
    <t>Samantha Boutan</t>
  </si>
  <si>
    <t>danosono@gmail.com</t>
  </si>
  <si>
    <t>woodring.abby@gmail.com</t>
  </si>
  <si>
    <t>Woodring</t>
  </si>
  <si>
    <t>Abigail Woodring</t>
  </si>
  <si>
    <t>PO Box 901</t>
  </si>
  <si>
    <t>702 S Main St</t>
  </si>
  <si>
    <t>Drexel</t>
  </si>
  <si>
    <t>martin.sarahl88@gmail.com</t>
  </si>
  <si>
    <t>bubsy2540@gmail.com</t>
  </si>
  <si>
    <t>Renee Martin</t>
  </si>
  <si>
    <t>107 Henderson Street</t>
  </si>
  <si>
    <t>davelitz96@gmail.com</t>
  </si>
  <si>
    <t>David Litz</t>
  </si>
  <si>
    <t>davensueliving4him@gmail.com</t>
  </si>
  <si>
    <t>kylielove719@gmail.com</t>
  </si>
  <si>
    <t>Bish-Allen</t>
  </si>
  <si>
    <t>Kylie Bish-Allen</t>
  </si>
  <si>
    <t>858 Mercer-New Wilmington Road</t>
  </si>
  <si>
    <t>New Wilmington</t>
  </si>
  <si>
    <t>2003reader@gmail.com</t>
  </si>
  <si>
    <t>Sarah Quintana</t>
  </si>
  <si>
    <t>278 Woodstock Ln</t>
  </si>
  <si>
    <t>kathysangray@gmail.com</t>
  </si>
  <si>
    <t>Brookesangray@gmail.com</t>
  </si>
  <si>
    <t>Brooke Sangray</t>
  </si>
  <si>
    <t>4298 St John Road</t>
  </si>
  <si>
    <t>mgarvinb@gmail.com</t>
  </si>
  <si>
    <t>cescacarolinag@gmail.com</t>
  </si>
  <si>
    <t>Garvin</t>
  </si>
  <si>
    <t>Francesca Garvin</t>
  </si>
  <si>
    <t>1644 Beaconshire</t>
  </si>
  <si>
    <t>rachel.simmons1616@gmail.com</t>
  </si>
  <si>
    <t>Rachel Simmons</t>
  </si>
  <si>
    <t>2908 89th</t>
  </si>
  <si>
    <t>wesallen29@gmail.com</t>
  </si>
  <si>
    <t>Wes Allen</t>
  </si>
  <si>
    <t>lukeduhduke@gmail.com</t>
  </si>
  <si>
    <t>Luke Middleton</t>
  </si>
  <si>
    <t>3516 77th Dr</t>
  </si>
  <si>
    <t>dpmayeaux@gmail.com</t>
  </si>
  <si>
    <t>Mayeaux</t>
  </si>
  <si>
    <t>Daniel Mayeaux</t>
  </si>
  <si>
    <t>bfstraka@gmail.com</t>
  </si>
  <si>
    <t>Ajstraka976@gmail.com</t>
  </si>
  <si>
    <t>Straka</t>
  </si>
  <si>
    <t>Aimee Straka</t>
  </si>
  <si>
    <t>360 Forest Ridge rd</t>
  </si>
  <si>
    <t>Earlysville</t>
  </si>
  <si>
    <t>lancesaraterpstra@comcast.net</t>
  </si>
  <si>
    <t>2001averagejoe@gmail.com</t>
  </si>
  <si>
    <t>Terpstra</t>
  </si>
  <si>
    <t>Josiah Terpstra</t>
  </si>
  <si>
    <t>7804 Foothill Knolls Dr</t>
  </si>
  <si>
    <t>sarajterpstra@gmail.com</t>
  </si>
  <si>
    <t>Katjterpstra@gmail.com</t>
  </si>
  <si>
    <t>Katrina Terpstra</t>
  </si>
  <si>
    <t>PlEasanton</t>
  </si>
  <si>
    <t>reagan9902@gmail.com</t>
  </si>
  <si>
    <t>Reagan Owen</t>
  </si>
  <si>
    <t>7029 P.R 2261</t>
  </si>
  <si>
    <t>1973brandee@gmail.com</t>
  </si>
  <si>
    <t>Burn20021991@gmail.com</t>
  </si>
  <si>
    <t>Reese Baird</t>
  </si>
  <si>
    <t>101 Hillside St</t>
  </si>
  <si>
    <t>kamaljose@gmail.com</t>
  </si>
  <si>
    <t>joshua.dupati@gmail.com</t>
  </si>
  <si>
    <t>Dupati</t>
  </si>
  <si>
    <t>Joshua Dupati</t>
  </si>
  <si>
    <t>4680 Luke Dr</t>
  </si>
  <si>
    <t>roblesfamily@gmail.com</t>
  </si>
  <si>
    <t>steventrobles@gmail.com</t>
  </si>
  <si>
    <t>Steven Robles</t>
  </si>
  <si>
    <t>283 E Vince St</t>
  </si>
  <si>
    <t>jhclark79@gmail.com</t>
  </si>
  <si>
    <t>nataliemaggert@gmail.com</t>
  </si>
  <si>
    <t>Maggert</t>
  </si>
  <si>
    <t>Natalie Maggert</t>
  </si>
  <si>
    <t>1673 Daily Drive</t>
  </si>
  <si>
    <t>allisong5675@gmail.com</t>
  </si>
  <si>
    <t>Allison Gonzalez</t>
  </si>
  <si>
    <t>Maddie Lehman</t>
  </si>
  <si>
    <t>l.pruna@floridachristian.org</t>
  </si>
  <si>
    <t>hrose22102@gmail.com</t>
  </si>
  <si>
    <t>Pruna</t>
  </si>
  <si>
    <t>Hannah Pruna</t>
  </si>
  <si>
    <t>5425 SW 89 Court</t>
  </si>
  <si>
    <t>kateprecious@comcast.net</t>
  </si>
  <si>
    <t>Brehannah</t>
  </si>
  <si>
    <t>Brehannah Tu</t>
  </si>
  <si>
    <t>4853 S. Ceylon Ct.</t>
  </si>
  <si>
    <t>severinscott@ymail.com</t>
  </si>
  <si>
    <t>juliascott225@yahoo.com</t>
  </si>
  <si>
    <t>P.O box 124</t>
  </si>
  <si>
    <t>225 Toad Road</t>
  </si>
  <si>
    <t>Gasquet</t>
  </si>
  <si>
    <t>tuckermonroe@gmail.com</t>
  </si>
  <si>
    <t>Tucker Monroe</t>
  </si>
  <si>
    <t>1200 argus court</t>
  </si>
  <si>
    <t>ashlyn.jones@my.uu.edu</t>
  </si>
  <si>
    <t>Ashlyn Jones</t>
  </si>
  <si>
    <t>1918 Rockhouse Rd</t>
  </si>
  <si>
    <t>Bee Branch</t>
  </si>
  <si>
    <t>emma.wright2@icloud.com</t>
  </si>
  <si>
    <t>Emma Wright</t>
  </si>
  <si>
    <t>2940 Needlecone Lane</t>
  </si>
  <si>
    <t>icecream4joy@gmail.com</t>
  </si>
  <si>
    <t>Shannon Fliegel</t>
  </si>
  <si>
    <t>ellydodson04@gmail.com</t>
  </si>
  <si>
    <t>Elly Dodson</t>
  </si>
  <si>
    <t>9317 Hopeland Dr.</t>
  </si>
  <si>
    <t>dmoshiloh@yahoo.com</t>
  </si>
  <si>
    <t>Orwig</t>
  </si>
  <si>
    <t>Ethan Orwig</t>
  </si>
  <si>
    <t>snowyowlcity@yahoo.com</t>
  </si>
  <si>
    <t>Abbey Orwig</t>
  </si>
  <si>
    <t>56 Single Oak Cove</t>
  </si>
  <si>
    <t>sarnbackagain@gmail.com</t>
  </si>
  <si>
    <t>Sarah Alderton</t>
  </si>
  <si>
    <t>2550 S Flanders Ct</t>
  </si>
  <si>
    <t>marygayleheipel@gmail.com</t>
  </si>
  <si>
    <t>Mary Heipel</t>
  </si>
  <si>
    <t>hkenison00@gmail.com</t>
  </si>
  <si>
    <t>Kenison</t>
  </si>
  <si>
    <t>Hannah Kenison</t>
  </si>
  <si>
    <t>2719 Garcitas Creek</t>
  </si>
  <si>
    <t>tracyandroman3@gmail.com</t>
  </si>
  <si>
    <t>campbellamanda336@gmail.com</t>
  </si>
  <si>
    <t>713 Keener Rd.</t>
  </si>
  <si>
    <t>sedrown@gmail.com</t>
  </si>
  <si>
    <t>kedrown12@gmail.com</t>
  </si>
  <si>
    <t>Drown</t>
  </si>
  <si>
    <t>Katelyn Drown</t>
  </si>
  <si>
    <t>25 Woodscreek Drive</t>
  </si>
  <si>
    <t>lisa@lisahmeyer.com</t>
  </si>
  <si>
    <t>nicholas.meyer@gawg.cap.gov</t>
  </si>
  <si>
    <t>Nicholas Meyer</t>
  </si>
  <si>
    <t>4730 Arbor Meadows DR</t>
  </si>
  <si>
    <t>ainsleyandre@icloud.com</t>
  </si>
  <si>
    <t>Ainsley Andre</t>
  </si>
  <si>
    <t>9317 Hopeland Dr</t>
  </si>
  <si>
    <t>ctbergjord@hotmail.com</t>
  </si>
  <si>
    <t>zbergjord@icloud.com</t>
  </si>
  <si>
    <t>Bergjord</t>
  </si>
  <si>
    <t>Mariah Bergjord</t>
  </si>
  <si>
    <t>107 Gray Pl W</t>
  </si>
  <si>
    <t>zechariah.bergjord@icloud.com</t>
  </si>
  <si>
    <t>Zechariah Bergjord</t>
  </si>
  <si>
    <t>moore1720@sbcglobal.net</t>
  </si>
  <si>
    <t>Sarah_tarn@yahoo.com</t>
  </si>
  <si>
    <t>Tarn</t>
  </si>
  <si>
    <t>Sarah Tarn</t>
  </si>
  <si>
    <t>10004 AA Rd</t>
  </si>
  <si>
    <t>Montezuma</t>
  </si>
  <si>
    <t>de_utch@yahoo.com</t>
  </si>
  <si>
    <t>Emeka</t>
  </si>
  <si>
    <t>Okoli</t>
  </si>
  <si>
    <t>Emeka Okoli</t>
  </si>
  <si>
    <t>C/O Uche Okoli, Glasgow Clyde College, 19 Hatfield Drive, Anniesland</t>
  </si>
  <si>
    <t>G12 0YE</t>
  </si>
  <si>
    <t>cindybader@icloud.com</t>
  </si>
  <si>
    <t>elijahbader@me.com</t>
  </si>
  <si>
    <t>Elijah Bader</t>
  </si>
  <si>
    <t>813 Deschepper st.</t>
  </si>
  <si>
    <t>youldy10@gmail.com</t>
  </si>
  <si>
    <t>Clara Youlden</t>
  </si>
  <si>
    <t>jayindelco@netscape.net</t>
  </si>
  <si>
    <t>Nataliealsdorf@gmail.com</t>
  </si>
  <si>
    <t>Natalie Alsdorf</t>
  </si>
  <si>
    <t>5046 Rosewood Street</t>
  </si>
  <si>
    <t>annagrace.gade@gmail.com</t>
  </si>
  <si>
    <t>AnnaGrace</t>
  </si>
  <si>
    <t>Gade</t>
  </si>
  <si>
    <t>AnnaGrace Gade</t>
  </si>
  <si>
    <t>9399 Mount Vernon Circle</t>
  </si>
  <si>
    <t>christy@agentswest.com</t>
  </si>
  <si>
    <t>Reaganlk19@gmail.com</t>
  </si>
  <si>
    <t>Reagan Foster</t>
  </si>
  <si>
    <t>513 poppy ave</t>
  </si>
  <si>
    <t>Corona Del mar</t>
  </si>
  <si>
    <t>cchilders@agentswest.com</t>
  </si>
  <si>
    <t>Childers</t>
  </si>
  <si>
    <t>Mackenzie Childers</t>
  </si>
  <si>
    <t>11 Cambridge Court</t>
  </si>
  <si>
    <t>cherie@agentswest.com</t>
  </si>
  <si>
    <t>Cherie@agentswest.com</t>
  </si>
  <si>
    <t>Carlie Childers</t>
  </si>
  <si>
    <t>luke@johnklassen.net</t>
  </si>
  <si>
    <t>Lukas Klassen</t>
  </si>
  <si>
    <t>itscool44@gmail.com</t>
  </si>
  <si>
    <t>davidmaxwell0202@gmail.com</t>
  </si>
  <si>
    <t>David Maxwell</t>
  </si>
  <si>
    <t>163 Blue Stem St.</t>
  </si>
  <si>
    <t>jkhumiston@hotmail.com</t>
  </si>
  <si>
    <t>i.s.humiston@gmail.com</t>
  </si>
  <si>
    <t>Humiston</t>
  </si>
  <si>
    <t>Isaiah Humiston</t>
  </si>
  <si>
    <t>1265 Westhaven Dr</t>
  </si>
  <si>
    <t>Oshkosh</t>
  </si>
  <si>
    <t>declanmakes3@yahoo.com</t>
  </si>
  <si>
    <t>clairesmith10500@gmail.com</t>
  </si>
  <si>
    <t>Claire Smith</t>
  </si>
  <si>
    <t>1859 Madison Rd</t>
  </si>
  <si>
    <t>vsmitjr@gmail.com</t>
  </si>
  <si>
    <t>Vincent Smith</t>
  </si>
  <si>
    <t>1859 Madison Rd.</t>
  </si>
  <si>
    <t>patriotswb2020@gmail.com</t>
  </si>
  <si>
    <t>Wade Begeman</t>
  </si>
  <si>
    <t>mtmama95@hotmail.com</t>
  </si>
  <si>
    <t>Lily Oligee</t>
  </si>
  <si>
    <t>P.O. Box 520</t>
  </si>
  <si>
    <t>srdunphey@comcast.net</t>
  </si>
  <si>
    <t>Leahd5247@gmail.com</t>
  </si>
  <si>
    <t>Dunphey</t>
  </si>
  <si>
    <t>Leah Dunphey</t>
  </si>
  <si>
    <t>18655 Pike View Way</t>
  </si>
  <si>
    <t>Ninjago.nerd@yahoo.com</t>
  </si>
  <si>
    <t>Jackson Dunphey</t>
  </si>
  <si>
    <t>carlie.walters@bcsbears.org</t>
  </si>
  <si>
    <t>Carlie Walters</t>
  </si>
  <si>
    <t>12621 Scofield Farms Drive</t>
  </si>
  <si>
    <t>thecolesincolorado@msn.com</t>
  </si>
  <si>
    <t>jwc252002@outlook.com</t>
  </si>
  <si>
    <t>Josiah Cole</t>
  </si>
  <si>
    <t>triciastovall@gmail.com</t>
  </si>
  <si>
    <t>Liana Stovall</t>
  </si>
  <si>
    <t>nrwalsh00@gmail.com</t>
  </si>
  <si>
    <t>Noelle Walsh</t>
  </si>
  <si>
    <t>colinr99@ymail.com</t>
  </si>
  <si>
    <t>Colin Roberts</t>
  </si>
  <si>
    <t>Isaac.Koetitz@student.besd.net</t>
  </si>
  <si>
    <t>Isaac Koetitz</t>
  </si>
  <si>
    <t>946 W 7325 S</t>
  </si>
  <si>
    <t>sventswanson1971@gmail.com</t>
  </si>
  <si>
    <t>reubenslaineswanson@gmail.com</t>
  </si>
  <si>
    <t>Reubens</t>
  </si>
  <si>
    <t>Reubens Swanson</t>
  </si>
  <si>
    <t>5801 County Rd 15 SW</t>
  </si>
  <si>
    <t>phillips.luke.2003@gmail.com</t>
  </si>
  <si>
    <t>Luke Phillips</t>
  </si>
  <si>
    <t>41717 Mesquite Lane</t>
  </si>
  <si>
    <t>spacefalconbfr@icloud.com</t>
  </si>
  <si>
    <t>Neil McClure</t>
  </si>
  <si>
    <t>annaescoto0@gmail.com</t>
  </si>
  <si>
    <t>Escoto Cox</t>
  </si>
  <si>
    <t>Anna Escoto Cox</t>
  </si>
  <si>
    <t>300 S. 9th. st.</t>
  </si>
  <si>
    <t>edwicker@conpoint.com</t>
  </si>
  <si>
    <t>bendwicker@gmail.com</t>
  </si>
  <si>
    <t>annikajharthoorn@students.npsne.org</t>
  </si>
  <si>
    <t>Annika Harthoorn</t>
  </si>
  <si>
    <t>2301 Clark st.</t>
  </si>
  <si>
    <t>mbprotzman02@gmail.com</t>
  </si>
  <si>
    <t>Matthew Protzman</t>
  </si>
  <si>
    <t>ocmoneyguy@yahoo.com</t>
  </si>
  <si>
    <t>lburington@yahoo.com</t>
  </si>
  <si>
    <t>Burington</t>
  </si>
  <si>
    <t>Aubrey Burington</t>
  </si>
  <si>
    <t>15306 Normandie Avenue</t>
  </si>
  <si>
    <t>e@dbdb.me</t>
  </si>
  <si>
    <t>Berthin</t>
  </si>
  <si>
    <t>Elise Berthin</t>
  </si>
  <si>
    <t>6478 Cleary Rd</t>
  </si>
  <si>
    <t>m@dbdb.me</t>
  </si>
  <si>
    <t>Michael Berthin</t>
  </si>
  <si>
    <t>6478 Cleary Road</t>
  </si>
  <si>
    <t>mbrock800@gmail.com</t>
  </si>
  <si>
    <t>c6020110612@gmail.com</t>
  </si>
  <si>
    <t>Caleb Brock</t>
  </si>
  <si>
    <t>36056 Lake Unity Nursery Road</t>
  </si>
  <si>
    <t>kjb_11@me.com</t>
  </si>
  <si>
    <t>Madiepratt@yahoo.com</t>
  </si>
  <si>
    <t>Madison Pratt</t>
  </si>
  <si>
    <t>5654 West Laural Lane</t>
  </si>
  <si>
    <t>Monee</t>
  </si>
  <si>
    <t>Marshall.brenha@gmail.com</t>
  </si>
  <si>
    <t>Brenha</t>
  </si>
  <si>
    <t>Marshall Brenha</t>
  </si>
  <si>
    <t>2260 Renee Way</t>
  </si>
  <si>
    <t>jazzmynj.will@gmail.com</t>
  </si>
  <si>
    <t>Jazzmyn Williams</t>
  </si>
  <si>
    <t>911 W Putter Cir</t>
  </si>
  <si>
    <t>jami.cervantes@gmail.com</t>
  </si>
  <si>
    <t>miacervantes3@gmail.com</t>
  </si>
  <si>
    <t>Mia Cervantes</t>
  </si>
  <si>
    <t>mikasma@gmail.com</t>
  </si>
  <si>
    <t>Mikajoy7@gmail.com</t>
  </si>
  <si>
    <t>Mikayla English</t>
  </si>
  <si>
    <t>4515 Delight St N</t>
  </si>
  <si>
    <t>Keizer</t>
  </si>
  <si>
    <t>Biciunas.julia@gmail.com</t>
  </si>
  <si>
    <t>Julia Biciunas</t>
  </si>
  <si>
    <t>50 Sitka Circle</t>
  </si>
  <si>
    <t>csanderson1122@gmail.com</t>
  </si>
  <si>
    <t>addiejanesand@gmail.com</t>
  </si>
  <si>
    <t>Adeline Sanderson</t>
  </si>
  <si>
    <t>245 Windmill Ridge Road East</t>
  </si>
  <si>
    <t>dockgimp@gmail.com</t>
  </si>
  <si>
    <t>kendragimple@gmail.com</t>
  </si>
  <si>
    <t>Kendra Gimple</t>
  </si>
  <si>
    <t>neerosis@yahoo.com</t>
  </si>
  <si>
    <t>Malachi.Lewis@icloud.com</t>
  </si>
  <si>
    <t>Malachi Lewis</t>
  </si>
  <si>
    <t>4722 Whitman Circle NE</t>
  </si>
  <si>
    <t>averypfrancis05@gmail.com</t>
  </si>
  <si>
    <t>10389 Fishback Rd</t>
  </si>
  <si>
    <t>PO Box 1165</t>
  </si>
  <si>
    <t>andrewfranc6@gmail.com</t>
  </si>
  <si>
    <t>Andrew Francis</t>
  </si>
  <si>
    <t>10389 Fishback Road</t>
  </si>
  <si>
    <t>benisa.ellis@spre4.org</t>
  </si>
  <si>
    <t>benisa</t>
  </si>
  <si>
    <t>ellis</t>
  </si>
  <si>
    <t>benisa ellis</t>
  </si>
  <si>
    <t>box 146</t>
  </si>
  <si>
    <t>springfield</t>
  </si>
  <si>
    <t>cakburns@yahoo.com</t>
  </si>
  <si>
    <t>Elizabeth Burns</t>
  </si>
  <si>
    <t>4708 Old State Road</t>
  </si>
  <si>
    <t>rainwatcher1@verizon.net</t>
  </si>
  <si>
    <t>joshhlee02@gmail.com</t>
  </si>
  <si>
    <t>aandjwhite2002@msn.com</t>
  </si>
  <si>
    <t>jdwhite4457@gmail.com</t>
  </si>
  <si>
    <t>Jonathan White</t>
  </si>
  <si>
    <t>1705 Indian Town Lane</t>
  </si>
  <si>
    <t>gtheroux234@yahoo.com</t>
  </si>
  <si>
    <t>gtheroux234@icloud.com</t>
  </si>
  <si>
    <t>Theroux</t>
  </si>
  <si>
    <t>Grace Theroux</t>
  </si>
  <si>
    <t>21896 Chula vista</t>
  </si>
  <si>
    <t>dnls1297@gmail.com</t>
  </si>
  <si>
    <t>Daniel Smith</t>
  </si>
  <si>
    <t>68 Lillifield Dr.</t>
  </si>
  <si>
    <t>simeontsteward@gmail.com</t>
  </si>
  <si>
    <t>Simeon Steward</t>
  </si>
  <si>
    <t>242 Trail Ridge Road</t>
  </si>
  <si>
    <t>dezilou.morales@gmail.com</t>
  </si>
  <si>
    <t>Dezi</t>
  </si>
  <si>
    <t>Dezi Morales</t>
  </si>
  <si>
    <t>maygantaylor@yahoo.com</t>
  </si>
  <si>
    <t>Maygan</t>
  </si>
  <si>
    <t>Maygan Taylor</t>
  </si>
  <si>
    <t>7480 KY HIGHWAY 698</t>
  </si>
  <si>
    <t>HUSTONVILLE</t>
  </si>
  <si>
    <t>21grbuttgen@gpsne.org</t>
  </si>
  <si>
    <t>Buttgen</t>
  </si>
  <si>
    <t>Grace Buttgen</t>
  </si>
  <si>
    <t>11661 South 209th Street</t>
  </si>
  <si>
    <t>jenniferkeatbeck@gmail.com</t>
  </si>
  <si>
    <t>gebeck437@gmail.com</t>
  </si>
  <si>
    <t>902 W. Spring St.</t>
  </si>
  <si>
    <t>ameliamay12332@gmail.com</t>
  </si>
  <si>
    <t>Amelia Sahlstrom</t>
  </si>
  <si>
    <t>candice@republic-ac.com</t>
  </si>
  <si>
    <t>Oliviadorr@icloud.com</t>
  </si>
  <si>
    <t>Olivia Orr</t>
  </si>
  <si>
    <t>13406 purple sage rd</t>
  </si>
  <si>
    <t>megan24riley@gmail.com</t>
  </si>
  <si>
    <t>madison24riley@gmail.com</t>
  </si>
  <si>
    <t>414 W Bluff St</t>
  </si>
  <si>
    <t>PO BOX 31</t>
  </si>
  <si>
    <t>Ponca</t>
  </si>
  <si>
    <t>daniel.edgmon4@gmail.com</t>
  </si>
  <si>
    <t>Daniel Edgmon</t>
  </si>
  <si>
    <t>c.peterson5678@gmail.com</t>
  </si>
  <si>
    <t>Emmaluv2002@gmail.com</t>
  </si>
  <si>
    <t>Barile</t>
  </si>
  <si>
    <t>Emma Barile</t>
  </si>
  <si>
    <t>4278 St Elais Cove</t>
  </si>
  <si>
    <t>peggy@stahr.com</t>
  </si>
  <si>
    <t>cole@stahr.com</t>
  </si>
  <si>
    <t>Cole Stahr</t>
  </si>
  <si>
    <t>1313 Road U</t>
  </si>
  <si>
    <t>Alannah@stahr.com</t>
  </si>
  <si>
    <t>Alannah</t>
  </si>
  <si>
    <t>Alannah Gee</t>
  </si>
  <si>
    <t>361 Coe St.</t>
  </si>
  <si>
    <t>Appt 391</t>
  </si>
  <si>
    <t>hlbwell75@yahoo.com</t>
  </si>
  <si>
    <t>Abyokitcat@gmail.com</t>
  </si>
  <si>
    <t>Abigail Hicks</t>
  </si>
  <si>
    <t>133 Eastbury</t>
  </si>
  <si>
    <t>dykhousejc@aol.com</t>
  </si>
  <si>
    <t>DykhouseAR@aol.com</t>
  </si>
  <si>
    <t>Dykhouse</t>
  </si>
  <si>
    <t>Anneke Dykhouse</t>
  </si>
  <si>
    <t>212 Palm Ln</t>
  </si>
  <si>
    <t>lbauslaugh@adflegal.org</t>
  </si>
  <si>
    <t>Lkbauslaugh@gmail.com</t>
  </si>
  <si>
    <t>Bauslaugh</t>
  </si>
  <si>
    <t>Lindsay Bauslaugh</t>
  </si>
  <si>
    <t>2907 Madison Drive</t>
  </si>
  <si>
    <t>sarahvwaltz@gmail.com</t>
  </si>
  <si>
    <t>Sarah Waltz</t>
  </si>
  <si>
    <t>1150 Mount Royal Hts</t>
  </si>
  <si>
    <t>colonemadeline8@gmail.com</t>
  </si>
  <si>
    <t>Colone</t>
  </si>
  <si>
    <t>Madeline Colone</t>
  </si>
  <si>
    <t>185 Janzy Ln.</t>
  </si>
  <si>
    <t>svictor@usa.com</t>
  </si>
  <si>
    <t>jvictor.21@ecaoh.com</t>
  </si>
  <si>
    <t>Justin Victor</t>
  </si>
  <si>
    <t>4022 Goldfinch Bend</t>
  </si>
  <si>
    <t>cvictor.19@ecaoh.com</t>
  </si>
  <si>
    <t>Christian Victor</t>
  </si>
  <si>
    <t>jadennourse@gmail.com</t>
  </si>
  <si>
    <t>Nourse</t>
  </si>
  <si>
    <t>Jaden Nourse</t>
  </si>
  <si>
    <t>2721 Cardinal Road</t>
  </si>
  <si>
    <t>spencermthomas7@gmail.com</t>
  </si>
  <si>
    <t>Spencer Thomas</t>
  </si>
  <si>
    <t>222 deerfield circle</t>
  </si>
  <si>
    <t>mount airy</t>
  </si>
  <si>
    <t>homemommy6@gmail.com</t>
  </si>
  <si>
    <t>alchickgirl7@gmail.com</t>
  </si>
  <si>
    <t>Naomi McDonald</t>
  </si>
  <si>
    <t>196 New Market Road</t>
  </si>
  <si>
    <t>rissa.shae@yahoo.com</t>
  </si>
  <si>
    <t>Larissa Nelson</t>
  </si>
  <si>
    <t>7690 77th Ave NW</t>
  </si>
  <si>
    <t>Jonathan Carrick</t>
  </si>
  <si>
    <t>Lucybrogers@outlook.com</t>
  </si>
  <si>
    <t>Lucy Rogers</t>
  </si>
  <si>
    <t>colleen@bowdownchurch.com</t>
  </si>
  <si>
    <t>Tress</t>
  </si>
  <si>
    <t>Christopher Tress</t>
  </si>
  <si>
    <t>sdcreasy@charter.net</t>
  </si>
  <si>
    <t>jmcreasy14@gmail.com</t>
  </si>
  <si>
    <t>Creasy</t>
  </si>
  <si>
    <t>Jennifer Creasy</t>
  </si>
  <si>
    <t>2739 Clover Hill Ridge</t>
  </si>
  <si>
    <t>paulweiner@ymail.com</t>
  </si>
  <si>
    <t>Weiner</t>
  </si>
  <si>
    <t>Paul Weiner</t>
  </si>
  <si>
    <t>12349 Hammock Hill Dr</t>
  </si>
  <si>
    <t>summit@sixsticks.net</t>
  </si>
  <si>
    <t>Tali@sixsticks.net</t>
  </si>
  <si>
    <t>Stichter</t>
  </si>
  <si>
    <t>Talitha Stichter</t>
  </si>
  <si>
    <t>4811 N Splitrail Dr</t>
  </si>
  <si>
    <t>lia@sixsticks.net</t>
  </si>
  <si>
    <t>Callia</t>
  </si>
  <si>
    <t>Callia Stichter</t>
  </si>
  <si>
    <t>6425 Delmonico Dr</t>
  </si>
  <si>
    <t>greerblanton@gmail.com</t>
  </si>
  <si>
    <t>Kaibla99@gmail.com</t>
  </si>
  <si>
    <t>Tristan Blanton</t>
  </si>
  <si>
    <t>2105 East Randolph Circle</t>
  </si>
  <si>
    <t>ahollas@twca.net</t>
  </si>
  <si>
    <t>Hollas</t>
  </si>
  <si>
    <t>Aubrey Hollas</t>
  </si>
  <si>
    <t>24914 Haverford Rd</t>
  </si>
  <si>
    <t>mruffner@twca.net</t>
  </si>
  <si>
    <t>Ruffner</t>
  </si>
  <si>
    <t>Merritt Ruffner</t>
  </si>
  <si>
    <t>115 Andrew Ridge Lane</t>
  </si>
  <si>
    <t>kutcker@twca.net</t>
  </si>
  <si>
    <t>Katherine Tucker</t>
  </si>
  <si>
    <t>47 Player Vista Pl</t>
  </si>
  <si>
    <t>jkconstable@gmail.com</t>
  </si>
  <si>
    <t>newt4ever250@gmail.com</t>
  </si>
  <si>
    <t>Constable</t>
  </si>
  <si>
    <t>Autumn Constable</t>
  </si>
  <si>
    <t>1807 65th S. N.</t>
  </si>
  <si>
    <t>Granville</t>
  </si>
  <si>
    <t>mandeunited@yagoo.com</t>
  </si>
  <si>
    <t>Toree</t>
  </si>
  <si>
    <t>Heuberger</t>
  </si>
  <si>
    <t>Toree Heuberger</t>
  </si>
  <si>
    <t>lraches@yahoo.com</t>
  </si>
  <si>
    <t>ukeplayer12@gmail.com</t>
  </si>
  <si>
    <t>Raches</t>
  </si>
  <si>
    <t>Brayden Raches</t>
  </si>
  <si>
    <t>4210 S Royal Curve</t>
  </si>
  <si>
    <t>elizabethbradway01@gmail.com</t>
  </si>
  <si>
    <t>Bradway</t>
  </si>
  <si>
    <t>Elizabeth Bradway</t>
  </si>
  <si>
    <t>25971 Baulman Road</t>
  </si>
  <si>
    <t>P.O. Box 492</t>
  </si>
  <si>
    <t>Dollar Bay</t>
  </si>
  <si>
    <t>eraches13@gmail.com</t>
  </si>
  <si>
    <t>Evan Raches</t>
  </si>
  <si>
    <t>alissatwin13@gmail.com</t>
  </si>
  <si>
    <t>Alissa Wilkinson</t>
  </si>
  <si>
    <t>4 Round Rock Court</t>
  </si>
  <si>
    <t>Trophy Club</t>
  </si>
  <si>
    <t>isaac.a.banuelos@gmail.com</t>
  </si>
  <si>
    <t>Isaac Banuelos</t>
  </si>
  <si>
    <t>skellybane@gmail.com</t>
  </si>
  <si>
    <t>Joel Sanchez</t>
  </si>
  <si>
    <t>4538 FM 66</t>
  </si>
  <si>
    <t>silasbcardenas@gmail.com</t>
  </si>
  <si>
    <t>Silas Cardenas</t>
  </si>
  <si>
    <t>kristen41424@icloud.com</t>
  </si>
  <si>
    <t>joshuamanderson24@gmail.com</t>
  </si>
  <si>
    <t>Joshua Anderson</t>
  </si>
  <si>
    <t>515 Seneca Parkway</t>
  </si>
  <si>
    <t>pinionstone@yahoo.com</t>
  </si>
  <si>
    <t>tberkh@gmail.com</t>
  </si>
  <si>
    <t>Berkheiser</t>
  </si>
  <si>
    <t>Zane Berkheiser</t>
  </si>
  <si>
    <t>121 Sheaffer Rd</t>
  </si>
  <si>
    <t>staceystamps@cox.net</t>
  </si>
  <si>
    <t>sstamps2003@gmail.com</t>
  </si>
  <si>
    <t>Silas Stamps</t>
  </si>
  <si>
    <t>14157 W. Bluegrass Ct.</t>
  </si>
  <si>
    <t>chrisziegler00@gmail.com</t>
  </si>
  <si>
    <t>joshua_ziegler@yahoo.com</t>
  </si>
  <si>
    <t>Joshua Ziegler</t>
  </si>
  <si>
    <t>3 Creekside Lane</t>
  </si>
  <si>
    <t>anarivasginer@hotmail.com</t>
  </si>
  <si>
    <t>Anavarrete@hotmail.com</t>
  </si>
  <si>
    <t>Navarrete</t>
  </si>
  <si>
    <t>Ana Navarrete</t>
  </si>
  <si>
    <t>Juan Antonio Vallejo Najera n 3 Chalet 16</t>
  </si>
  <si>
    <t>Boadilla del Monte</t>
  </si>
  <si>
    <t>Madrid</t>
  </si>
  <si>
    <t>toliverfamily6@gmail.com</t>
  </si>
  <si>
    <t>nathan16toliver@gmail.com</t>
  </si>
  <si>
    <t>Toliver</t>
  </si>
  <si>
    <t>Nathan Toliver</t>
  </si>
  <si>
    <t>172 Harley Ln.</t>
  </si>
  <si>
    <t>Destroyerz207@gmail.com</t>
  </si>
  <si>
    <t>Noah Hebert</t>
  </si>
  <si>
    <t>Abjoko@live.com</t>
  </si>
  <si>
    <t>Abby Koornneef</t>
  </si>
  <si>
    <t>kimackerman28@yahoo.com</t>
  </si>
  <si>
    <t>waackerman01@gmail.com</t>
  </si>
  <si>
    <t>William Ackerman</t>
  </si>
  <si>
    <t>2127 Ellis Ranch Lane</t>
  </si>
  <si>
    <t>dmaddox@southcrest.org</t>
  </si>
  <si>
    <t>Gracie Maddox</t>
  </si>
  <si>
    <t>Sarah_Breukelman@hotmail.ca</t>
  </si>
  <si>
    <t>Breukelman</t>
  </si>
  <si>
    <t>Sarah Breukelman</t>
  </si>
  <si>
    <t>tphertel@midco.net</t>
  </si>
  <si>
    <t>senecaghertel@hotmail.com</t>
  </si>
  <si>
    <t>HERTEL</t>
  </si>
  <si>
    <t>Seneca HERTEL</t>
  </si>
  <si>
    <t>1820 Abbey Road</t>
  </si>
  <si>
    <t>erich@purposechurch.com</t>
  </si>
  <si>
    <t>Solomonnihipali12@gmail.com</t>
  </si>
  <si>
    <t>Nihipali</t>
  </si>
  <si>
    <t>Solomon Nihipali</t>
  </si>
  <si>
    <t>22 Country Mile Rd.</t>
  </si>
  <si>
    <t>beastselfy@gmail.com</t>
  </si>
  <si>
    <t>Larry</t>
  </si>
  <si>
    <t>Emmanuel Larry</t>
  </si>
  <si>
    <t>1805 Wayne Street</t>
  </si>
  <si>
    <t>david_borchers@juno.com</t>
  </si>
  <si>
    <t>tbcb03@gmail.com</t>
  </si>
  <si>
    <t>Borchers</t>
  </si>
  <si>
    <t>Timothy Borchers</t>
  </si>
  <si>
    <t>44 S Windy Rd</t>
  </si>
  <si>
    <t>Tilton</t>
  </si>
  <si>
    <t>bethharwell@yahoo.com</t>
  </si>
  <si>
    <t>twibellethan@gmail.com</t>
  </si>
  <si>
    <t>Twibell</t>
  </si>
  <si>
    <t>Ethan Twibell</t>
  </si>
  <si>
    <t>64 N Ranch Rd</t>
  </si>
  <si>
    <t>kinsfather7@gmail.com</t>
  </si>
  <si>
    <t>Kinsfather</t>
  </si>
  <si>
    <t>Zachary Kinsfather</t>
  </si>
  <si>
    <t>301 Reed Road</t>
  </si>
  <si>
    <t>Aidenjabaker@gmail.com</t>
  </si>
  <si>
    <t>Aiden Baker</t>
  </si>
  <si>
    <t>1753 Peach Avenue Memphis, TN 38112</t>
  </si>
  <si>
    <t>juliannej101087@gmail.com</t>
  </si>
  <si>
    <t>cejorgen4@gmail.com</t>
  </si>
  <si>
    <t>Claire Jorgensen</t>
  </si>
  <si>
    <t>12877 36th Street SE</t>
  </si>
  <si>
    <t>wolfdw@aol.com</t>
  </si>
  <si>
    <t>ktjw16@gmail.com</t>
  </si>
  <si>
    <t>Katie Wolf</t>
  </si>
  <si>
    <t>4950 Morelle Rd. NE</t>
  </si>
  <si>
    <t>abigailworley@gmail.com</t>
  </si>
  <si>
    <t>Abigailworley@gmail.com</t>
  </si>
  <si>
    <t>Worley</t>
  </si>
  <si>
    <t>Abigail Worley</t>
  </si>
  <si>
    <t>2060 Lindsey Road</t>
  </si>
  <si>
    <t>jadekuiper@hotmail.com</t>
  </si>
  <si>
    <t>keegan.dekuiper@gmail.com</t>
  </si>
  <si>
    <t>DeKuiper</t>
  </si>
  <si>
    <t>Keegan DeKuiper</t>
  </si>
  <si>
    <t>1091 Edinborough Dr.</t>
  </si>
  <si>
    <t>sunshineyday@cox.net</t>
  </si>
  <si>
    <t>oaw3709@gmail.com</t>
  </si>
  <si>
    <t>Waian</t>
  </si>
  <si>
    <t>Owen Waian</t>
  </si>
  <si>
    <t>1368 Douglas Drive</t>
  </si>
  <si>
    <t>mkeown1@gmail.com</t>
  </si>
  <si>
    <t>Rsrmak@gmail.com</t>
  </si>
  <si>
    <t>Makhaila</t>
  </si>
  <si>
    <t>Keown</t>
  </si>
  <si>
    <t>Makhaila Keown</t>
  </si>
  <si>
    <t>36785 E Ramah RD</t>
  </si>
  <si>
    <t>Ramah</t>
  </si>
  <si>
    <t>stone345eg@gmail.com</t>
  </si>
  <si>
    <t>Elizabeth Stone</t>
  </si>
  <si>
    <t>Rebecca Groeger</t>
  </si>
  <si>
    <t>leahversluis3@gmail.com</t>
  </si>
  <si>
    <t>Leah Versluis</t>
  </si>
  <si>
    <t>389 Union Street East</t>
  </si>
  <si>
    <t>Fergus</t>
  </si>
  <si>
    <t>N1M1W4</t>
  </si>
  <si>
    <t>katerlater1@gmail.com</t>
  </si>
  <si>
    <t>Kate Teague</t>
  </si>
  <si>
    <t>1711 Randolph Dr</t>
  </si>
  <si>
    <t>wyatt.pre@gmail.com</t>
  </si>
  <si>
    <t>Wyatt Travis</t>
  </si>
  <si>
    <t>303 Fawn</t>
  </si>
  <si>
    <t>Regangood1116@gmail.com</t>
  </si>
  <si>
    <t>Regan Good</t>
  </si>
  <si>
    <t>1170 Wyndsong Dr.</t>
  </si>
  <si>
    <t>shannonrundio@gmail.com</t>
  </si>
  <si>
    <t>brennanrundio1@gmail.com</t>
  </si>
  <si>
    <t>Rundio</t>
  </si>
  <si>
    <t>Brennan Rundio</t>
  </si>
  <si>
    <t>1349 Hazeline Lake Dr</t>
  </si>
  <si>
    <t>whitneywadsworth@gmail.com</t>
  </si>
  <si>
    <t>Jozywadsworth@icloud.com</t>
  </si>
  <si>
    <t>Jozy</t>
  </si>
  <si>
    <t>Wadsworth</t>
  </si>
  <si>
    <t>Jozy Wadsworth</t>
  </si>
  <si>
    <t>212 Brandon Ave.</t>
  </si>
  <si>
    <t>Tarboro</t>
  </si>
  <si>
    <t>Jameson Watkins</t>
  </si>
  <si>
    <t>kiki4joi@gmail.com</t>
  </si>
  <si>
    <t>cortcarp@icloud.com</t>
  </si>
  <si>
    <t>Cort</t>
  </si>
  <si>
    <t>Cort Carpenter</t>
  </si>
  <si>
    <t>785 mallard Lane</t>
  </si>
  <si>
    <t>c.spivey1010@gmail.com</t>
  </si>
  <si>
    <t>Caroline Spivey</t>
  </si>
  <si>
    <t>fielderbethany@gmail.com</t>
  </si>
  <si>
    <t>Fielder</t>
  </si>
  <si>
    <t>Bethany Fielder</t>
  </si>
  <si>
    <t>905 5th Street</t>
  </si>
  <si>
    <t>matthewpowers522@gmail.com</t>
  </si>
  <si>
    <t>Matthew Powers</t>
  </si>
  <si>
    <t>4144 Blue Creek Lane</t>
  </si>
  <si>
    <t>mhuggi@gmail.com</t>
  </si>
  <si>
    <t>clo.huggins@gmail.com</t>
  </si>
  <si>
    <t>Chloe Huggins</t>
  </si>
  <si>
    <t>12222 N Guinevere Dr.</t>
  </si>
  <si>
    <t>neveenphilip@gmail.com</t>
  </si>
  <si>
    <t>danielramzy1@gmail.com</t>
  </si>
  <si>
    <t>Daniel Ramzy</t>
  </si>
  <si>
    <t>Hickory Cir.</t>
  </si>
  <si>
    <t>L6H4V2</t>
  </si>
  <si>
    <t>tina@howardfamilyenterprise.com</t>
  </si>
  <si>
    <t>Ethan Howard</t>
  </si>
  <si>
    <t>esboehling@yahoo.com</t>
  </si>
  <si>
    <t>andyboehling@gmail.com</t>
  </si>
  <si>
    <t>Boehling</t>
  </si>
  <si>
    <t>William Boehling</t>
  </si>
  <si>
    <t>410 Lansdowne Road</t>
  </si>
  <si>
    <t>brianfaith21@gmail.com</t>
  </si>
  <si>
    <t>autumnrjackson13@gmail.com</t>
  </si>
  <si>
    <t>Autumn Jackson</t>
  </si>
  <si>
    <t>Shay Court</t>
  </si>
  <si>
    <t>jenner823@gmail.com</t>
  </si>
  <si>
    <t>emmystarz24@gmail.com</t>
  </si>
  <si>
    <t>Van Horn</t>
  </si>
  <si>
    <t>Emily Van Horn</t>
  </si>
  <si>
    <t>8035 Ferguson Road</t>
  </si>
  <si>
    <t>rbdougherty95@gmail.com</t>
  </si>
  <si>
    <t>colinmd24@gmail.com</t>
  </si>
  <si>
    <t>Dougherty</t>
  </si>
  <si>
    <t>Colin Dougherty</t>
  </si>
  <si>
    <t>414 Wiregrass Way</t>
  </si>
  <si>
    <t>thedoreschroederr@gmail.com</t>
  </si>
  <si>
    <t>robert</t>
  </si>
  <si>
    <t>schroeder</t>
  </si>
  <si>
    <t>robert schroeder</t>
  </si>
  <si>
    <t>5241 hubbert st</t>
  </si>
  <si>
    <t>ashwestmo@gmail.com</t>
  </si>
  <si>
    <t>Ashton Westmoreland</t>
  </si>
  <si>
    <t>jennybourland@att.net</t>
  </si>
  <si>
    <t>hunterbourland@ymail.com</t>
  </si>
  <si>
    <t>Bourland</t>
  </si>
  <si>
    <t>Hunter Bourland</t>
  </si>
  <si>
    <t>1842 Farmer Dr</t>
  </si>
  <si>
    <t>El Centro</t>
  </si>
  <si>
    <t>tandbfox@yahoo.com</t>
  </si>
  <si>
    <t>Cameron Fox</t>
  </si>
  <si>
    <t>grace.winnes@gmail.com</t>
  </si>
  <si>
    <t>Grace Winnes</t>
  </si>
  <si>
    <t>hume.anna3@gmail.com</t>
  </si>
  <si>
    <t>Anna Hume</t>
  </si>
  <si>
    <t>604 Grange Hill Ct</t>
  </si>
  <si>
    <t>mckennagrace517@gmail.com</t>
  </si>
  <si>
    <t>McKenna Landry</t>
  </si>
  <si>
    <t>deetidwell@gmail.com</t>
  </si>
  <si>
    <t>mckennarenee33@gmail.com</t>
  </si>
  <si>
    <t>Mckenna</t>
  </si>
  <si>
    <t>Mckenna Tidwell</t>
  </si>
  <si>
    <t>5627 S Walden</t>
  </si>
  <si>
    <t>centennial</t>
  </si>
  <si>
    <t>seafoamseaglass.hi.seabreeze@gmail.com</t>
  </si>
  <si>
    <t>Greta Heisey</t>
  </si>
  <si>
    <t>2313 Racquet Club Dr</t>
  </si>
  <si>
    <t>nassiframy90@gmail.com</t>
  </si>
  <si>
    <t>Ramy</t>
  </si>
  <si>
    <t>Nassif Eid</t>
  </si>
  <si>
    <t>Ramy Nassif Eid</t>
  </si>
  <si>
    <t>2454 bluestream drive</t>
  </si>
  <si>
    <t>L6H 7P8</t>
  </si>
  <si>
    <t>rachelmccauslin@hotmail.com</t>
  </si>
  <si>
    <t>Mccauslin.micah@gmail.com</t>
  </si>
  <si>
    <t>McCauslin</t>
  </si>
  <si>
    <t>Micah McCauslin</t>
  </si>
  <si>
    <t>1766 Calle Platico</t>
  </si>
  <si>
    <t>Oceanside</t>
  </si>
  <si>
    <t>cisneros96@hotmail.com</t>
  </si>
  <si>
    <t>Ninaneros13@gmail.com</t>
  </si>
  <si>
    <t>Nina Cisneros</t>
  </si>
  <si>
    <t>33102 W 89th St</t>
  </si>
  <si>
    <t>DeSoto</t>
  </si>
  <si>
    <t>reedkinner@gmail.com</t>
  </si>
  <si>
    <t>Reed Kinner</t>
  </si>
  <si>
    <t>501 E 1st ave</t>
  </si>
  <si>
    <t>deannmcadoo@gmail.com</t>
  </si>
  <si>
    <t>jaxsonmcadoo148@gmail.com</t>
  </si>
  <si>
    <t>Jaxson</t>
  </si>
  <si>
    <t>McAdoo</t>
  </si>
  <si>
    <t>Jaxson McAdoo</t>
  </si>
  <si>
    <t>29527 Barker Meadow Ln</t>
  </si>
  <si>
    <t>katy</t>
  </si>
  <si>
    <t>Matthew Kean</t>
  </si>
  <si>
    <t>sharipopejoy@gmail.com</t>
  </si>
  <si>
    <t>mr-mwp@hotmail.com</t>
  </si>
  <si>
    <t>Popejoy</t>
  </si>
  <si>
    <t>Micah Popejoy</t>
  </si>
  <si>
    <t>cabrill7@icloud.com</t>
  </si>
  <si>
    <t>evileva0@gmail.com</t>
  </si>
  <si>
    <t>Eva Brill</t>
  </si>
  <si>
    <t>1918 Shadow Creek Drive</t>
  </si>
  <si>
    <t>genelemay3@q.com</t>
  </si>
  <si>
    <t>samlemay014@gmail.com</t>
  </si>
  <si>
    <t>Sam LeMay</t>
  </si>
  <si>
    <t>3696 S Lisbon St</t>
  </si>
  <si>
    <t>jacoblemay14@gmail.com</t>
  </si>
  <si>
    <t>Jacob LeMay</t>
  </si>
  <si>
    <t>icukidsrn@gmail.com</t>
  </si>
  <si>
    <t>drewlentz02@gmail.com</t>
  </si>
  <si>
    <t>Andrew Lentz</t>
  </si>
  <si>
    <t>427 walnut st</t>
  </si>
  <si>
    <t>rojedennis@gmail.com</t>
  </si>
  <si>
    <t>jubo4ever@gmail.com</t>
  </si>
  <si>
    <t>Dennis</t>
  </si>
  <si>
    <t>Julia Dennis</t>
  </si>
  <si>
    <t>1128 Deer Lake Rd.</t>
  </si>
  <si>
    <t>Sfmartling@sktc.net</t>
  </si>
  <si>
    <t>remartling@sktc.net</t>
  </si>
  <si>
    <t>Martling</t>
  </si>
  <si>
    <t>Rebekah Martling</t>
  </si>
  <si>
    <t>25 S. Lakeview Dr</t>
  </si>
  <si>
    <t>hcmartling@sktc.net</t>
  </si>
  <si>
    <t>Hannah Martling</t>
  </si>
  <si>
    <t>25 S Lakeview</t>
  </si>
  <si>
    <t>robeyman6@gmail.com</t>
  </si>
  <si>
    <t>joneyman@live.com</t>
  </si>
  <si>
    <t>Eyman</t>
  </si>
  <si>
    <t>Jonathan Eyman</t>
  </si>
  <si>
    <t>205 Pathway Lane</t>
  </si>
  <si>
    <t>sapjumper@gmail.com</t>
  </si>
  <si>
    <t>Sapjumper@gmail.com</t>
  </si>
  <si>
    <t>Sarah Pearson</t>
  </si>
  <si>
    <t>6680 S. Sylvan Lake Dr.</t>
  </si>
  <si>
    <t>brunneravery@gmail.com</t>
  </si>
  <si>
    <t>Avery Brunner</t>
  </si>
  <si>
    <t>763 98th Ave N.</t>
  </si>
  <si>
    <t>20chloegetz@gmail.com</t>
  </si>
  <si>
    <t>Chloe Getz</t>
  </si>
  <si>
    <t>nateblaha02@icloud.com</t>
  </si>
  <si>
    <t>Nateblaha02@icloud.com</t>
  </si>
  <si>
    <t>Blaha</t>
  </si>
  <si>
    <t>Nathaniel Blaha</t>
  </si>
  <si>
    <t>9155 Wheatland Rd N</t>
  </si>
  <si>
    <t>huzijshop@gmail.com</t>
  </si>
  <si>
    <t>astronomy23@icloud.com</t>
  </si>
  <si>
    <t>Huzij</t>
  </si>
  <si>
    <t>Lydia Huzij</t>
  </si>
  <si>
    <t>14710 Latrobe  Dr</t>
  </si>
  <si>
    <t>mattjuliec@gmail.com</t>
  </si>
  <si>
    <t>bradenclark@cedarville.edu</t>
  </si>
  <si>
    <t>Braden Clark</t>
  </si>
  <si>
    <t>Shrine</t>
  </si>
  <si>
    <t>kkwaggoner@gmail.com</t>
  </si>
  <si>
    <t>gracewaggoner30@gmail.com</t>
  </si>
  <si>
    <t>Waggoner</t>
  </si>
  <si>
    <t>Grace Waggoner</t>
  </si>
  <si>
    <t>18002 N 54th Street</t>
  </si>
  <si>
    <t>jtabendschan@gmail.com</t>
  </si>
  <si>
    <t>Abendschan</t>
  </si>
  <si>
    <t>Jacob Abendschan</t>
  </si>
  <si>
    <t>5521 Wyatt Earp Way</t>
  </si>
  <si>
    <t>hvabendschan@gmail.com</t>
  </si>
  <si>
    <t>Hannah Abendschan</t>
  </si>
  <si>
    <t>shopgirls@gmail.com</t>
  </si>
  <si>
    <t>Carla Brooks</t>
  </si>
  <si>
    <t>Dara</t>
  </si>
  <si>
    <t>Dara Johnson</t>
  </si>
  <si>
    <t>scottpeterman24@comcast.net</t>
  </si>
  <si>
    <t>Trentpeterman09@gmail.com</t>
  </si>
  <si>
    <t>Trent Peterman</t>
  </si>
  <si>
    <t>10289 Tapestry Bend</t>
  </si>
  <si>
    <t>Lake Elmo</t>
  </si>
  <si>
    <t>mickelsonfamily4@gmail.com</t>
  </si>
  <si>
    <t>gmickelson03@gmail.com</t>
  </si>
  <si>
    <t>Mickelson</t>
  </si>
  <si>
    <t>Garrett Mickelson</t>
  </si>
  <si>
    <t>7019 Brazos Lakes Drive</t>
  </si>
  <si>
    <t>nate.theule@gmail.com</t>
  </si>
  <si>
    <t>Nate Theule</t>
  </si>
  <si>
    <t>susan@thewayfamily.com</t>
  </si>
  <si>
    <t>maria@thewayfamily.com</t>
  </si>
  <si>
    <t>Maria Way</t>
  </si>
  <si>
    <t>650 Greenview Terrace</t>
  </si>
  <si>
    <t>kavanaugh.melissa@gmail.com</t>
  </si>
  <si>
    <t>Kavadeclan@gmail.com</t>
  </si>
  <si>
    <t>Declan</t>
  </si>
  <si>
    <t>Declan Kavanaugh</t>
  </si>
  <si>
    <t>771 Lavelett Lane</t>
  </si>
  <si>
    <t>brockanna@icloud.com</t>
  </si>
  <si>
    <t>Anna Brock</t>
  </si>
  <si>
    <t>Lake Unity Nursery Road</t>
  </si>
  <si>
    <t>jacobm5701@gmail.com</t>
  </si>
  <si>
    <t>Jacob Mullholand</t>
  </si>
  <si>
    <t>JPSumme@gmail.com</t>
  </si>
  <si>
    <t>Daysha</t>
  </si>
  <si>
    <t>Summe</t>
  </si>
  <si>
    <t>Daysha Summe</t>
  </si>
  <si>
    <t>gillettegaggle@gmail.com</t>
  </si>
  <si>
    <t>nflwookies@gmail.com</t>
  </si>
  <si>
    <t>James Gillette</t>
  </si>
  <si>
    <t>321 Emily LN</t>
  </si>
  <si>
    <t>Bell Buckle</t>
  </si>
  <si>
    <t>wade_polk@yahoo.com</t>
  </si>
  <si>
    <t>like2fly80@gmail.com</t>
  </si>
  <si>
    <t>Payton Polk</t>
  </si>
  <si>
    <t>16451 E Sunrise Loop</t>
  </si>
  <si>
    <t>trevinwax@gmail.com</t>
  </si>
  <si>
    <t>timothy.wax@icloud.com</t>
  </si>
  <si>
    <t>Wax</t>
  </si>
  <si>
    <t>Timothy Wax</t>
  </si>
  <si>
    <t>5436 Ennismore Court</t>
  </si>
  <si>
    <t>noelle.jepsen@mywheaton.edu</t>
  </si>
  <si>
    <t>noelle.jepsen@my.wheaton.edu</t>
  </si>
  <si>
    <t>2114 Stonebriar Rd</t>
  </si>
  <si>
    <t>abigailjaek@gmail.com</t>
  </si>
  <si>
    <t>Abigail Kostbade</t>
  </si>
  <si>
    <t>marco.stine5646@gmail.com</t>
  </si>
  <si>
    <t>Marco Stine</t>
  </si>
  <si>
    <t>ragingaphid@outlook.com</t>
  </si>
  <si>
    <t>Wittenmyer</t>
  </si>
  <si>
    <t>Catherine Wittenmyer</t>
  </si>
  <si>
    <t>1620 165th Ave NE</t>
  </si>
  <si>
    <t>georgiagail@me.com</t>
  </si>
  <si>
    <t>Emfischer24@gmail.com</t>
  </si>
  <si>
    <t>Emily Fischer</t>
  </si>
  <si>
    <t>16335 East Sunrise Loop</t>
  </si>
  <si>
    <t>baalbergen@comcast.net</t>
  </si>
  <si>
    <t>ariebaalbergen@comcast.net</t>
  </si>
  <si>
    <t>Baalbergen</t>
  </si>
  <si>
    <t>Arie Baalbergen</t>
  </si>
  <si>
    <t>2330 Hillsboro Rd</t>
  </si>
  <si>
    <t>maveathome@yahoo.com</t>
  </si>
  <si>
    <t>Hiegele7@gmail.com</t>
  </si>
  <si>
    <t>Hiegel</t>
  </si>
  <si>
    <t>Elena Hiegel</t>
  </si>
  <si>
    <t>1305 Longbow Trail</t>
  </si>
  <si>
    <t>krissyhiegel@gmail.com</t>
  </si>
  <si>
    <t>Karissa Hiegel</t>
  </si>
  <si>
    <t>christinaholdridge@gmail.com</t>
  </si>
  <si>
    <t>laurencharisholdridge@gmail.com</t>
  </si>
  <si>
    <t>Lauren Holdridge</t>
  </si>
  <si>
    <t>7196 Oak Tree Pl.</t>
  </si>
  <si>
    <t>maya.p.arthur@gmail.com</t>
  </si>
  <si>
    <t>Arthur</t>
  </si>
  <si>
    <t>Maya Arthur</t>
  </si>
  <si>
    <t>PO Box 504</t>
  </si>
  <si>
    <t>rjmatson6@gmail.com</t>
  </si>
  <si>
    <t>imatson890@gmail.com</t>
  </si>
  <si>
    <t>Isaac Matson</t>
  </si>
  <si>
    <t>4886 Ventura Loop N</t>
  </si>
  <si>
    <t>jeffconstance02@gmail.com</t>
  </si>
  <si>
    <t>Trevor Constance</t>
  </si>
  <si>
    <t>servenclan@gmail.com</t>
  </si>
  <si>
    <t>oneofnine2001@gmail.com</t>
  </si>
  <si>
    <t>Joel Serven</t>
  </si>
  <si>
    <t>sheila.evenif@gmail.com</t>
  </si>
  <si>
    <t>lakefjohnson@gmail.com</t>
  </si>
  <si>
    <t>Lake</t>
  </si>
  <si>
    <t>Lake Johnson</t>
  </si>
  <si>
    <t>1920 River Rd</t>
  </si>
  <si>
    <t>Wimberley</t>
  </si>
  <si>
    <t>imes.jayden@gmail.com</t>
  </si>
  <si>
    <t>Imes</t>
  </si>
  <si>
    <t>Jayden Imes</t>
  </si>
  <si>
    <t>ShaneMich@cobban5.com</t>
  </si>
  <si>
    <t>Katie@cobban5.com</t>
  </si>
  <si>
    <t>Cobban</t>
  </si>
  <si>
    <t>Katherine Cobban</t>
  </si>
  <si>
    <t>10551 County Road 9030</t>
  </si>
  <si>
    <t>amy@dreier.com</t>
  </si>
  <si>
    <t>blake@dreier.com</t>
  </si>
  <si>
    <t>Dreier</t>
  </si>
  <si>
    <t>Blake Dreier</t>
  </si>
  <si>
    <t>3110 Braintree Road</t>
  </si>
  <si>
    <t>samanthaclarksonsac@gmail.com</t>
  </si>
  <si>
    <t>Clarkson</t>
  </si>
  <si>
    <t>Samantha Clarkson</t>
  </si>
  <si>
    <t>14650 Foliage Avenue #1111</t>
  </si>
  <si>
    <t>lwright1622@gmail.com</t>
  </si>
  <si>
    <t>Charles Wright</t>
  </si>
  <si>
    <t>kimberlytowle@gmail.com</t>
  </si>
  <si>
    <t>elijahtowle@gmail.com</t>
  </si>
  <si>
    <t>Elijah Towle</t>
  </si>
  <si>
    <t>394 Kellwood Drive</t>
  </si>
  <si>
    <t>randajjolly@gmail.com</t>
  </si>
  <si>
    <t>Randajjolly@gmail.com</t>
  </si>
  <si>
    <t>Jolly</t>
  </si>
  <si>
    <t>Luke Jolly</t>
  </si>
  <si>
    <t>2281 Venado Drive</t>
  </si>
  <si>
    <t>elizabeth.b.dalton@vanderbilt.edu</t>
  </si>
  <si>
    <t>Elizabeth.b.dalton@vanderbilt.edu</t>
  </si>
  <si>
    <t>Elizabeth Dalton</t>
  </si>
  <si>
    <t>714 Camelot Lane</t>
  </si>
  <si>
    <t>jacob.morse@cune.org</t>
  </si>
  <si>
    <t>Jacob.morse@cune.org</t>
  </si>
  <si>
    <t>Jacob Morse</t>
  </si>
  <si>
    <t>2314 53rd street</t>
  </si>
  <si>
    <t>kyramatangelo@rcs.edu</t>
  </si>
  <si>
    <t>Kyramatangelo@rcs.edu</t>
  </si>
  <si>
    <t>Kyra</t>
  </si>
  <si>
    <t>Matangelo</t>
  </si>
  <si>
    <t>Kyra Matangelo</t>
  </si>
  <si>
    <t>4239 Nando Court</t>
  </si>
  <si>
    <t>Castro Valley</t>
  </si>
  <si>
    <t>athomeamyj@gmail.com</t>
  </si>
  <si>
    <t>colbyj.17.cj@gmail.com</t>
  </si>
  <si>
    <t>Colby Johnston</t>
  </si>
  <si>
    <t>12909 W 78th Street</t>
  </si>
  <si>
    <t>tkurtmoss@gmail.com</t>
  </si>
  <si>
    <t>and1drewmoss@gmail.com</t>
  </si>
  <si>
    <t>Moss</t>
  </si>
  <si>
    <t>Andrew Moss</t>
  </si>
  <si>
    <t>405 Twickenham Place</t>
  </si>
  <si>
    <t>dbergevin@yahoo.com</t>
  </si>
  <si>
    <t>charliebergevin@yahoo.com</t>
  </si>
  <si>
    <t>Bergevin</t>
  </si>
  <si>
    <t>Charles Bergevin</t>
  </si>
  <si>
    <t>10687 Turfwood Ct</t>
  </si>
  <si>
    <t>kdsherlock@gmail.com</t>
  </si>
  <si>
    <t>natejamessherlock@gmail.com</t>
  </si>
  <si>
    <t>Sherlock</t>
  </si>
  <si>
    <t>Nathaniel Sherlock</t>
  </si>
  <si>
    <t>5332 Malcolm St</t>
  </si>
  <si>
    <t>sandi_n_bob@yahoo.com</t>
  </si>
  <si>
    <t>Arenburg</t>
  </si>
  <si>
    <t>Sarah Arenburg</t>
  </si>
  <si>
    <t>nicole@leewarner.net</t>
  </si>
  <si>
    <t>annika@leewarner.net</t>
  </si>
  <si>
    <t>Leewarner</t>
  </si>
  <si>
    <t>Annika Leewarner</t>
  </si>
  <si>
    <t>1916 Pike Place, Ste 12-470</t>
  </si>
  <si>
    <t>dyrowlader@lpstudent.org</t>
  </si>
  <si>
    <t>Rowlader</t>
  </si>
  <si>
    <t>Dylan Rowlader</t>
  </si>
  <si>
    <t>2126 Glen Hollow Dr.</t>
  </si>
  <si>
    <t>torikmill@gmail.com</t>
  </si>
  <si>
    <t>Victoria Miller</t>
  </si>
  <si>
    <t>kristad174@gmail.com</t>
  </si>
  <si>
    <t>lukejdskywalker@gmail.com</t>
  </si>
  <si>
    <t>Luke Di Domenico</t>
  </si>
  <si>
    <t>2520 Westmore Drive</t>
  </si>
  <si>
    <t>vinolot@lpstudent.org</t>
  </si>
  <si>
    <t>Nolot</t>
  </si>
  <si>
    <t>Vivian Nolot</t>
  </si>
  <si>
    <t>8061 Young Road</t>
  </si>
  <si>
    <t>chdborn5@gmail.com</t>
  </si>
  <si>
    <t>Chelsea Born</t>
  </si>
  <si>
    <t>9024 Pretty Ridge Ct</t>
  </si>
  <si>
    <t>cvcarnine@gmail.com</t>
  </si>
  <si>
    <t>car9haymeadow@gmail.com</t>
  </si>
  <si>
    <t>Haylea</t>
  </si>
  <si>
    <t>Carnine</t>
  </si>
  <si>
    <t>Haylea Carnine</t>
  </si>
  <si>
    <t>12662 US 385</t>
  </si>
  <si>
    <t>dianaodom5@gmail.com</t>
  </si>
  <si>
    <t>samuel.odom987@gmail.com</t>
  </si>
  <si>
    <t>Samuel Odom</t>
  </si>
  <si>
    <t>Po box 1548</t>
  </si>
  <si>
    <t>5030 simplicity dr</t>
  </si>
  <si>
    <t>Yadkinville</t>
  </si>
  <si>
    <t>hmiller12@gmail.com</t>
  </si>
  <si>
    <t>rnoelle27@gmail.com</t>
  </si>
  <si>
    <t>Rayah</t>
  </si>
  <si>
    <t>Rayah Miller</t>
  </si>
  <si>
    <t>18773 Dubin Ct</t>
  </si>
  <si>
    <t>mama2themax@gmail.com</t>
  </si>
  <si>
    <t>herebewookies@gmail.com</t>
  </si>
  <si>
    <t>Timothy Maxson</t>
  </si>
  <si>
    <t>ann@keyharrington.com</t>
  </si>
  <si>
    <t>calebkey2020@gmail.com</t>
  </si>
  <si>
    <t>Caleb Key</t>
  </si>
  <si>
    <t>6217 Boca Raton Drive</t>
  </si>
  <si>
    <t>8767 S Fairall Rd</t>
  </si>
  <si>
    <t>karissajking31@gmail.com</t>
  </si>
  <si>
    <t>Karissa King</t>
  </si>
  <si>
    <t>460 Alpine Ave</t>
  </si>
  <si>
    <t>teripalmer@sbcglobal.net</t>
  </si>
  <si>
    <t>benscottpalmer@yahoo.com</t>
  </si>
  <si>
    <t>Benjamin Palmer</t>
  </si>
  <si>
    <t>3070 Fairwood Drive</t>
  </si>
  <si>
    <t>identityzone@att.net</t>
  </si>
  <si>
    <t>bethanydawnp@att.net</t>
  </si>
  <si>
    <t>Pouliot</t>
  </si>
  <si>
    <t>Bethany Pouliot</t>
  </si>
  <si>
    <t>3345 Rall Ave.</t>
  </si>
  <si>
    <t>Clovis</t>
  </si>
  <si>
    <t>Caleb Pouliot</t>
  </si>
  <si>
    <t>heatherwmom@gmail.com</t>
  </si>
  <si>
    <t>Crazyjenns004@yahoo.com</t>
  </si>
  <si>
    <t>Jane Jennings</t>
  </si>
  <si>
    <t>lowville</t>
  </si>
  <si>
    <t>kaigenhuis@gmail.com</t>
  </si>
  <si>
    <t>Kaigenhuis@gmail.com</t>
  </si>
  <si>
    <t>Eigenhuis</t>
  </si>
  <si>
    <t>Kai Eigenhuis</t>
  </si>
  <si>
    <t>386 South Joanne Avenue</t>
  </si>
  <si>
    <t>tnsgill@centurylink.net</t>
  </si>
  <si>
    <t>calicoseygirl@gmail.com</t>
  </si>
  <si>
    <t>Gwendolynn</t>
  </si>
  <si>
    <t>Gill</t>
  </si>
  <si>
    <t>Gwendolynn Gill</t>
  </si>
  <si>
    <t>7235 S Lewis Street</t>
  </si>
  <si>
    <t>msanch2tim412@gmail.com</t>
  </si>
  <si>
    <t>Matthew Sanchez</t>
  </si>
  <si>
    <t>4981 Cherry Springs Drive</t>
  </si>
  <si>
    <t>westernsh@me.com</t>
  </si>
  <si>
    <t>Kodihenderson@icloud.com</t>
  </si>
  <si>
    <t>Kodi</t>
  </si>
  <si>
    <t>Kodi Henderson</t>
  </si>
  <si>
    <t>Nathan Marken</t>
  </si>
  <si>
    <t>natalie10huestis@gmail.com</t>
  </si>
  <si>
    <t>Huestis</t>
  </si>
  <si>
    <t>Natalie Huestis</t>
  </si>
  <si>
    <t>3970 Stella Maris Lane</t>
  </si>
  <si>
    <t>hispeace@me.com</t>
  </si>
  <si>
    <t>pepgirl2016@gmail.com</t>
  </si>
  <si>
    <t>Isabelle Smith</t>
  </si>
  <si>
    <t>4140 Eagle landing</t>
  </si>
  <si>
    <t>orange park</t>
  </si>
  <si>
    <t>cityonahill47@gmail.com</t>
  </si>
  <si>
    <t>Darian</t>
  </si>
  <si>
    <t>Darian Ross</t>
  </si>
  <si>
    <t>P.O. Box 36</t>
  </si>
  <si>
    <t>billy@realityventura.com</t>
  </si>
  <si>
    <t>fifiisme@icloud.com</t>
  </si>
  <si>
    <t>Faith Hunter</t>
  </si>
  <si>
    <t>374 N. Brent St.</t>
  </si>
  <si>
    <t>alexandragziegler@gmail.com</t>
  </si>
  <si>
    <t>Alexandra Ziegler</t>
  </si>
  <si>
    <t>6807 Rochester Ave</t>
  </si>
  <si>
    <t>rhonwell5@gmail.com</t>
  </si>
  <si>
    <t>awhisperer99@gmail.com</t>
  </si>
  <si>
    <t>Bria Cornwell</t>
  </si>
  <si>
    <t>655 West Double Shoals Road</t>
  </si>
  <si>
    <t>Lawndale</t>
  </si>
  <si>
    <t>Solomonlewis@icloud.com</t>
  </si>
  <si>
    <t>Solomon Lewis</t>
  </si>
  <si>
    <t>smahar98@gmail.com</t>
  </si>
  <si>
    <t>mmmahar55@gmail.com</t>
  </si>
  <si>
    <t>Mahar</t>
  </si>
  <si>
    <t>Matthew Mahar</t>
  </si>
  <si>
    <t>9 pine knot loop</t>
  </si>
  <si>
    <t>mrsusud@gmail.com</t>
  </si>
  <si>
    <t>lsusud@gmail.com</t>
  </si>
  <si>
    <t>Luke Susud</t>
  </si>
  <si>
    <t>2287 Papaw Court</t>
  </si>
  <si>
    <t>freemangirls@att.net</t>
  </si>
  <si>
    <t>cefreeman02@gmail.com</t>
  </si>
  <si>
    <t>Caroline Freeman</t>
  </si>
  <si>
    <t>2 W. Monteagle Circle</t>
  </si>
  <si>
    <t>cellodrummer8@gmail.com</t>
  </si>
  <si>
    <t>Kate Posey</t>
  </si>
  <si>
    <t>20110 Centreville-Constantine Rd</t>
  </si>
  <si>
    <t>Haven2102@gmail.com</t>
  </si>
  <si>
    <t>Justice Warford</t>
  </si>
  <si>
    <t>2910 St Rd. 45</t>
  </si>
  <si>
    <t>realgrahamholliday@yahoo.com</t>
  </si>
  <si>
    <t>holiday</t>
  </si>
  <si>
    <t>graham holiday</t>
  </si>
  <si>
    <t>1536 columbine dr</t>
  </si>
  <si>
    <t>tupelo</t>
  </si>
  <si>
    <t>hhouser@gmail.com</t>
  </si>
  <si>
    <t>nchouser@gmail.com</t>
  </si>
  <si>
    <t>Houser</t>
  </si>
  <si>
    <t>Nathan Houser</t>
  </si>
  <si>
    <t>12009 Glen Lake Dr</t>
  </si>
  <si>
    <t>4of6mrtns@gmail.com</t>
  </si>
  <si>
    <t>Eva Merten</t>
  </si>
  <si>
    <t>237 Arnica Drive</t>
  </si>
  <si>
    <t>jadenjackson0310@gmail.com</t>
  </si>
  <si>
    <t>Jadenjackson0310@gmail.com</t>
  </si>
  <si>
    <t>Jaden Jackson</t>
  </si>
  <si>
    <t>14550E 126th North Street</t>
  </si>
  <si>
    <t>treybshell@gmail.com</t>
  </si>
  <si>
    <t>Trey</t>
  </si>
  <si>
    <t>Trey Shell</t>
  </si>
  <si>
    <t>15550 Farrar Drive</t>
  </si>
  <si>
    <t>jordankhafner@outlook.com</t>
  </si>
  <si>
    <t>3162 Lancaster Lane</t>
  </si>
  <si>
    <t>Port Neches</t>
  </si>
  <si>
    <t>helenerplumb@yahoo.com</t>
  </si>
  <si>
    <t>Helene</t>
  </si>
  <si>
    <t>Plumb</t>
  </si>
  <si>
    <t>Helene Plumb</t>
  </si>
  <si>
    <t>5655 Cabanne Avenue</t>
  </si>
  <si>
    <t>shelly.schaller@gmail.com</t>
  </si>
  <si>
    <t>schallerbrett@gmail.com</t>
  </si>
  <si>
    <t>Brett Schaller</t>
  </si>
  <si>
    <t>lcsudduth3@icloud.com</t>
  </si>
  <si>
    <t>Lauren Sudduth</t>
  </si>
  <si>
    <t>116 Sabra Drive</t>
  </si>
  <si>
    <t>joshvrolyk@gmail.com</t>
  </si>
  <si>
    <t>Vrolyk</t>
  </si>
  <si>
    <t>Joshua Vrolyk</t>
  </si>
  <si>
    <t>6120 Carlsburg Lane</t>
  </si>
  <si>
    <t>templeodom@gmail.com</t>
  </si>
  <si>
    <t>kerstentemple@gmail.com</t>
  </si>
  <si>
    <t>3728 Shearwater Ln</t>
  </si>
  <si>
    <t>Jordanklancaster@gmail.com</t>
  </si>
  <si>
    <t>Jordanklancaster@gmail.com;</t>
  </si>
  <si>
    <t>Jordan Lancaster</t>
  </si>
  <si>
    <t>119 Shetland</t>
  </si>
  <si>
    <t>cAmarashalia@gmail.com</t>
  </si>
  <si>
    <t>camarashalia@gmail.com</t>
  </si>
  <si>
    <t>shalia</t>
  </si>
  <si>
    <t>camara</t>
  </si>
  <si>
    <t>shalia camara</t>
  </si>
  <si>
    <t>2639 sunset blvd</t>
  </si>
  <si>
    <t>minneapolis</t>
  </si>
  <si>
    <t>vic.piper@outlook.com</t>
  </si>
  <si>
    <t>caleb.piper@outlook.com</t>
  </si>
  <si>
    <t>Caleb Piper</t>
  </si>
  <si>
    <t>11722 Eagle Lake Court</t>
  </si>
  <si>
    <t>carter.piper@outlook.com</t>
  </si>
  <si>
    <t>Carter Piper</t>
  </si>
  <si>
    <t>Lisa_Weber99@hotmail.com</t>
  </si>
  <si>
    <t>gym_fanatic22@outlook.com</t>
  </si>
  <si>
    <t>Sara Weber</t>
  </si>
  <si>
    <t>27515 Beauford Drive</t>
  </si>
  <si>
    <t>mcgaff98@yahoo.com</t>
  </si>
  <si>
    <t>gaff</t>
  </si>
  <si>
    <t>Malachi gaff</t>
  </si>
  <si>
    <t>1445S 055E</t>
  </si>
  <si>
    <t>lagrange</t>
  </si>
  <si>
    <t>lindaselee@gmail.com</t>
  </si>
  <si>
    <t>Esther Selee</t>
  </si>
  <si>
    <t>703 E Santa Fe</t>
  </si>
  <si>
    <t>cycomomma@gmail.com</t>
  </si>
  <si>
    <t>jbirdmw@gmail.com</t>
  </si>
  <si>
    <t>Jeralyn</t>
  </si>
  <si>
    <t>Wessel</t>
  </si>
  <si>
    <t>Jeralyn Wessel</t>
  </si>
  <si>
    <t>5009 Shady Oak Ave</t>
  </si>
  <si>
    <t>jandkbaber@charter.net</t>
  </si>
  <si>
    <t>juliababer03@gmail.com</t>
  </si>
  <si>
    <t>Baber</t>
  </si>
  <si>
    <t>Julia Baber</t>
  </si>
  <si>
    <t>3150 Rosemary Ln. NE</t>
  </si>
  <si>
    <t>KJV.LAWDOG@GMAIL.COM</t>
  </si>
  <si>
    <t>CalebV30@yahoo.com</t>
  </si>
  <si>
    <t>VanDonselaar</t>
  </si>
  <si>
    <t>Caleb VanDonselaar</t>
  </si>
  <si>
    <t>676 Pecan Drive</t>
  </si>
  <si>
    <t>aggiehanna@yahoo.com</t>
  </si>
  <si>
    <t>cghanna19@gmail.com</t>
  </si>
  <si>
    <t>Callie Hanna</t>
  </si>
  <si>
    <t>800 Southern Hills Ct</t>
  </si>
  <si>
    <t>cwhoward@rocketmail.com</t>
  </si>
  <si>
    <t>Charis Howard</t>
  </si>
  <si>
    <t>14318 Bluebird St NW</t>
  </si>
  <si>
    <t>amcc2056@gmail.com</t>
  </si>
  <si>
    <t>Mia Combs</t>
  </si>
  <si>
    <t>701 W Summit St</t>
  </si>
  <si>
    <t>deleavell@gmail.com</t>
  </si>
  <si>
    <t>Leavell</t>
  </si>
  <si>
    <t>Justin Leavell</t>
  </si>
  <si>
    <t>kristinbrull@gmail.com</t>
  </si>
  <si>
    <t>jamesonbrull21@gmail.com</t>
  </si>
  <si>
    <t>Brull</t>
  </si>
  <si>
    <t>Jameson Brull</t>
  </si>
  <si>
    <t>2305 Bronco Blvd</t>
  </si>
  <si>
    <t>jerry@online.jerrynixon.com</t>
  </si>
  <si>
    <t>Anna Laura</t>
  </si>
  <si>
    <t>Anna Laura Nixon</t>
  </si>
  <si>
    <t>kristinboleary@gmail.com</t>
  </si>
  <si>
    <t>Kristin O'Leary</t>
  </si>
  <si>
    <t>W204 N6108 Lannon Rd</t>
  </si>
  <si>
    <t>Menomonee falls</t>
  </si>
  <si>
    <t>smithhaus5@mac.com</t>
  </si>
  <si>
    <t>daniella.h.smith@gmail.com</t>
  </si>
  <si>
    <t>Daniella Smith</t>
  </si>
  <si>
    <t>18010 Bakers Farm Rd</t>
  </si>
  <si>
    <t>sammygrace@me.com</t>
  </si>
  <si>
    <t>Sammygrace@me.com</t>
  </si>
  <si>
    <t>Catherine Cooper</t>
  </si>
  <si>
    <t>1990 Red Willow Dr</t>
  </si>
  <si>
    <t>katelarson848@gmail.com</t>
  </si>
  <si>
    <t>Kate Larson</t>
  </si>
  <si>
    <t>1519 34th Avenue SW</t>
  </si>
  <si>
    <t>balovins@gmail.com</t>
  </si>
  <si>
    <t>aklovins@icloud.com</t>
  </si>
  <si>
    <t>Lovins</t>
  </si>
  <si>
    <t>Amy Lovins</t>
  </si>
  <si>
    <t>36 Greendale Dr.</t>
  </si>
  <si>
    <t>skibreranch@gmail.com</t>
  </si>
  <si>
    <t>kqbarrelracer02@gmail.com</t>
  </si>
  <si>
    <t>Kerrigan</t>
  </si>
  <si>
    <t>Kerrigan Harris</t>
  </si>
  <si>
    <t>8206 Jackrabbit Lane</t>
  </si>
  <si>
    <t>morewitty@gmail.com</t>
  </si>
  <si>
    <t>mark0kennethw@gmail.com</t>
  </si>
  <si>
    <t>Mark Whittemore</t>
  </si>
  <si>
    <t>thetechnomaker@gmail.com</t>
  </si>
  <si>
    <t>mgobluehs@gmail.com</t>
  </si>
  <si>
    <t>justineelise25@gmail.com</t>
  </si>
  <si>
    <t>Justine Scott</t>
  </si>
  <si>
    <t>10655 Irving Ct</t>
  </si>
  <si>
    <t>jessa51603@gmail.com</t>
  </si>
  <si>
    <t>Jessa</t>
  </si>
  <si>
    <t>Jessa Scott</t>
  </si>
  <si>
    <t>lisad@mailiti.com</t>
  </si>
  <si>
    <t>josiahswimsfast@gmail.com</t>
  </si>
  <si>
    <t>Dunker</t>
  </si>
  <si>
    <t>Josiah Dunker</t>
  </si>
  <si>
    <t>5985 Mount Carmel Rd</t>
  </si>
  <si>
    <t>paulschmitter7@gmail.com</t>
  </si>
  <si>
    <t>Schmitter</t>
  </si>
  <si>
    <t>Paul Schmitter</t>
  </si>
  <si>
    <t>718 Brentwood LN</t>
  </si>
  <si>
    <t>jadadances@gmail.com</t>
  </si>
  <si>
    <t>Jada Dunker</t>
  </si>
  <si>
    <t>nicolerasmussen@mac.com</t>
  </si>
  <si>
    <t>annalynnrasamin@gmail.com</t>
  </si>
  <si>
    <t>Anna Rasmussen</t>
  </si>
  <si>
    <t>1751 Prescott Ln</t>
  </si>
  <si>
    <t>jodyt27kids@aol.com</t>
  </si>
  <si>
    <t>thiemanaaleaha@gmail.com</t>
  </si>
  <si>
    <t>Aaleaha</t>
  </si>
  <si>
    <t>Thieman</t>
  </si>
  <si>
    <t>Aaleaha Thieman</t>
  </si>
  <si>
    <t>30288 Ridge Rd</t>
  </si>
  <si>
    <t>renae.busenitz2@gmail.com</t>
  </si>
  <si>
    <t>Renae</t>
  </si>
  <si>
    <t>Renae Busenitz</t>
  </si>
  <si>
    <t>2141 Boyd St.</t>
  </si>
  <si>
    <t>dassodil4.nak@gmail.com</t>
  </si>
  <si>
    <t>Hadassah Nakamura</t>
  </si>
  <si>
    <t>kailynbrielle@gmail.com</t>
  </si>
  <si>
    <t>Kailyn Jonswold</t>
  </si>
  <si>
    <t>erin.n.holmberg@gmail.com</t>
  </si>
  <si>
    <t>Holmberg</t>
  </si>
  <si>
    <t>Erin Holmberg</t>
  </si>
  <si>
    <t>2525 Hillview Dr</t>
  </si>
  <si>
    <t>nbcook2000@msn.com</t>
  </si>
  <si>
    <t>joscook02@gmail.com</t>
  </si>
  <si>
    <t>Joshua Cook</t>
  </si>
  <si>
    <t>267 Townsend Cir</t>
  </si>
  <si>
    <t>thomasnrigg@gmail.com</t>
  </si>
  <si>
    <t>Thomas Rigg</t>
  </si>
  <si>
    <t>5002 Sunrose Ct</t>
  </si>
  <si>
    <t>kauffmst@gmail.com</t>
  </si>
  <si>
    <t>calebkauffman.1@gmail.com</t>
  </si>
  <si>
    <t>Caleb Kauffman</t>
  </si>
  <si>
    <t>10960 CR 14</t>
  </si>
  <si>
    <t>jkfarms22@gmail.com</t>
  </si>
  <si>
    <t>laudermilchblessing304@gmail.com</t>
  </si>
  <si>
    <t>Blessing</t>
  </si>
  <si>
    <t>Blessing Laudermilch</t>
  </si>
  <si>
    <t>514 Jennings Rd.</t>
  </si>
  <si>
    <t>lynmarien6@gmail.com</t>
  </si>
  <si>
    <t>josiah.myoder@gmail.com</t>
  </si>
  <si>
    <t>Josiah Yoder</t>
  </si>
  <si>
    <t>6169 US Highway 231</t>
  </si>
  <si>
    <t>joshuarsharp@gmail.com</t>
  </si>
  <si>
    <t>Joshua Sharp</t>
  </si>
  <si>
    <t>7308 York Court</t>
  </si>
  <si>
    <t>mglegoman@gmail.com</t>
  </si>
  <si>
    <t>Matthew Graber</t>
  </si>
  <si>
    <t>57465 State Road 15</t>
  </si>
  <si>
    <t>christityler@verizon.net</t>
  </si>
  <si>
    <t>brady.e.tyler@gmail.com</t>
  </si>
  <si>
    <t>Brady Tyler</t>
  </si>
  <si>
    <t>4244 Headlee St.</t>
  </si>
  <si>
    <t>stgeorgerectorassistant@comcast.net</t>
  </si>
  <si>
    <t>Anna.Probert@comcast.net</t>
  </si>
  <si>
    <t>Probert</t>
  </si>
  <si>
    <t>Anna Probert</t>
  </si>
  <si>
    <t>8256 Old Exchange Drive</t>
  </si>
  <si>
    <t>tuttlekids@aol.com</t>
  </si>
  <si>
    <t>Lucy Tuttle</t>
  </si>
  <si>
    <t>1566 Chadderton Court</t>
  </si>
  <si>
    <t>joywelker@yahoo.com</t>
  </si>
  <si>
    <t>laurenewelker@yahoo.com</t>
  </si>
  <si>
    <t>Welker</t>
  </si>
  <si>
    <t>Lauren Welker</t>
  </si>
  <si>
    <t>1949 Summernight Terrace</t>
  </si>
  <si>
    <t>exhaffin@gmail.com</t>
  </si>
  <si>
    <t>Elizabeth Chaffin</t>
  </si>
  <si>
    <t>19497 Zumbro St NW</t>
  </si>
  <si>
    <t>katie.ml0506@gmail.com</t>
  </si>
  <si>
    <t>Katie Potter</t>
  </si>
  <si>
    <t>5589 35th St NE</t>
  </si>
  <si>
    <t>jeremyjpope@gmail.com</t>
  </si>
  <si>
    <t>Corbinjpope@gmail.com</t>
  </si>
  <si>
    <t>Corbin Pope</t>
  </si>
  <si>
    <t>2104 Woodbrook St.</t>
  </si>
  <si>
    <t>nikitakostyuk@yahoo.com</t>
  </si>
  <si>
    <t>Kostyuk</t>
  </si>
  <si>
    <t>Nikita Kostyuk</t>
  </si>
  <si>
    <t>kostyukt@yaho.com</t>
  </si>
  <si>
    <t>kostyukt@yahoo.com</t>
  </si>
  <si>
    <t>Tatyana</t>
  </si>
  <si>
    <t>Ivanilov</t>
  </si>
  <si>
    <t>Tatyana Ivanilov</t>
  </si>
  <si>
    <t>9675 Florin Rd.</t>
  </si>
  <si>
    <t>kirby963@yahoo.com</t>
  </si>
  <si>
    <t>Phillip Kostyuk</t>
  </si>
  <si>
    <t>7510 Malva Rosa Way</t>
  </si>
  <si>
    <t>sacramento</t>
  </si>
  <si>
    <t>dimitrykostyuk@yahoo.com</t>
  </si>
  <si>
    <t>Dimitry</t>
  </si>
  <si>
    <t>Dimitry Kostyuk</t>
  </si>
  <si>
    <t>krutsmila00@gmail.com</t>
  </si>
  <si>
    <t>Lyudmila</t>
  </si>
  <si>
    <t>Kruts</t>
  </si>
  <si>
    <t>Lyudmila Kruts</t>
  </si>
  <si>
    <t>3288 Gould Way</t>
  </si>
  <si>
    <t>zorchenko.elvira@gmail.com</t>
  </si>
  <si>
    <t>Elvira</t>
  </si>
  <si>
    <t>Zorchenko</t>
  </si>
  <si>
    <t>Elvira Zorchenko</t>
  </si>
  <si>
    <t>1416 Dobros Dr.</t>
  </si>
  <si>
    <t>sherrialtis@gmail.com</t>
  </si>
  <si>
    <t>haleyaltis@gmail.com</t>
  </si>
  <si>
    <t>Altis</t>
  </si>
  <si>
    <t>Haley Altis</t>
  </si>
  <si>
    <t>1302 E 10TH ST</t>
  </si>
  <si>
    <t>APT B</t>
  </si>
  <si>
    <t>MOUNTAIN GROVE</t>
  </si>
  <si>
    <t>amylove377@gmail.com</t>
  </si>
  <si>
    <t>macy.henning@badocs.com</t>
  </si>
  <si>
    <t>Macy Henning</t>
  </si>
  <si>
    <t>462 Westcrest Dr</t>
  </si>
  <si>
    <t>joey@varblow.net</t>
  </si>
  <si>
    <t>Joseph Varblow</t>
  </si>
  <si>
    <t>media@parable.com</t>
  </si>
  <si>
    <t>test</t>
  </si>
  <si>
    <t>test test</t>
  </si>
  <si>
    <t>stutzmankesler@gmail.com</t>
  </si>
  <si>
    <t>Kesler</t>
  </si>
  <si>
    <t>Stutzman</t>
  </si>
  <si>
    <t>Kesler Stutzman</t>
  </si>
  <si>
    <t>1905 Allegheny Drive</t>
  </si>
  <si>
    <t>garrett_gregg@sbcglobal.net</t>
  </si>
  <si>
    <t>haileygregg6@gmail.com</t>
  </si>
  <si>
    <t>Hailey Gregg</t>
  </si>
  <si>
    <t>2230 Hoodoo Dr.</t>
  </si>
  <si>
    <t>kkreece@yahoo.com</t>
  </si>
  <si>
    <t>jtreeceiii@gmail.com</t>
  </si>
  <si>
    <t>Reece III</t>
  </si>
  <si>
    <t>John Reece III</t>
  </si>
  <si>
    <t>10701 Tallahassee Drive</t>
  </si>
  <si>
    <t>tinaharris.yoga@gmail.com</t>
  </si>
  <si>
    <t>sophiaharris559@gmail.com</t>
  </si>
  <si>
    <t>sophia</t>
  </si>
  <si>
    <t>sophia harris</t>
  </si>
  <si>
    <t>7491 Kimberly Drive</t>
  </si>
  <si>
    <t>thompsonfam95@gmail.com</t>
  </si>
  <si>
    <t>mightyoakthompson@gmail.com</t>
  </si>
  <si>
    <t>Gabriel Thompson</t>
  </si>
  <si>
    <t>10088 Briarwood St.</t>
  </si>
  <si>
    <t>Firestone</t>
  </si>
  <si>
    <t>jamoore2112@gmail.com</t>
  </si>
  <si>
    <t>Jackson Moore</t>
  </si>
  <si>
    <t>2112 Hearthwood</t>
  </si>
  <si>
    <t>shay.gonzalez@hotmail.com</t>
  </si>
  <si>
    <t>aidan701@outlook.com</t>
  </si>
  <si>
    <t>Aidan Gonzalez</t>
  </si>
  <si>
    <t>7000 Alderbrook dr</t>
  </si>
  <si>
    <t>stacijowithani@gmail.com</t>
  </si>
  <si>
    <t>Staci Sundblad</t>
  </si>
  <si>
    <t>18790 24th St</t>
  </si>
  <si>
    <t>wackerfamilysigns@gmail.com</t>
  </si>
  <si>
    <t>micah@bashonthefarm.com</t>
  </si>
  <si>
    <t>Wacker</t>
  </si>
  <si>
    <t>Micah Wacker</t>
  </si>
  <si>
    <t>1950 Hwy 69</t>
  </si>
  <si>
    <t>rachel@bashonthefarm.com</t>
  </si>
  <si>
    <t>Rachel Wacker</t>
  </si>
  <si>
    <t>tc7family@gmail.com</t>
  </si>
  <si>
    <t>zlcapetown@gmail.com</t>
  </si>
  <si>
    <t>Zoe Sims</t>
  </si>
  <si>
    <t>3160 Snow Mountain Heights</t>
  </si>
  <si>
    <t>jess07joy@gmail.com</t>
  </si>
  <si>
    <t>Jessica Sims</t>
  </si>
  <si>
    <t>shadoscarswanson@gmail.com</t>
  </si>
  <si>
    <t>Shad</t>
  </si>
  <si>
    <t>Shad Swanson</t>
  </si>
  <si>
    <t>halivermulm@gmail.com</t>
  </si>
  <si>
    <t>Halivermulm@gmail.com</t>
  </si>
  <si>
    <t>Hali</t>
  </si>
  <si>
    <t>Vermulm</t>
  </si>
  <si>
    <t>Hali Vermulm</t>
  </si>
  <si>
    <t>22236 N. Hinzerling RD</t>
  </si>
  <si>
    <t>taliairace@gmail.com</t>
  </si>
  <si>
    <t>Irace</t>
  </si>
  <si>
    <t>Talia Irace</t>
  </si>
  <si>
    <t>3211 bruckner blvd</t>
  </si>
  <si>
    <t>bronx</t>
  </si>
  <si>
    <t>kennynisly30@gmail.com</t>
  </si>
  <si>
    <t>Kendrick Nisly</t>
  </si>
  <si>
    <t>5914 W. Trail West rd</t>
  </si>
  <si>
    <t>colinaevert2@gmail.com</t>
  </si>
  <si>
    <t>Colin Evert</t>
  </si>
  <si>
    <t>Tmanswim77@gmail.com</t>
  </si>
  <si>
    <t>Travis Davenport</t>
  </si>
  <si>
    <t>tdrn76@bellsouth.net</t>
  </si>
  <si>
    <t>noahdomino2002@gmail.com</t>
  </si>
  <si>
    <t>Domino</t>
  </si>
  <si>
    <t>Noah Domino</t>
  </si>
  <si>
    <t>11809 Otto Ln</t>
  </si>
  <si>
    <t>abby.grace.1520@gmail.com</t>
  </si>
  <si>
    <t>Abby Coleman</t>
  </si>
  <si>
    <t>283 Rolling Hills Drive</t>
  </si>
  <si>
    <t>barwshowgoats@gmail.com</t>
  </si>
  <si>
    <t>Cwhitson1219@gmail.com</t>
  </si>
  <si>
    <t>Whitson</t>
  </si>
  <si>
    <t>Caden Whitson</t>
  </si>
  <si>
    <t>6485 N STATE HWY 16</t>
  </si>
  <si>
    <t>P.O. Box 984</t>
  </si>
  <si>
    <t>aclimbingmonkey@gmail.com</t>
  </si>
  <si>
    <t>Hannah Witter</t>
  </si>
  <si>
    <t>335 College Ave</t>
  </si>
  <si>
    <t>lsbart@att.net</t>
  </si>
  <si>
    <t>ruby_jane@icloud.com</t>
  </si>
  <si>
    <t>Ruby Jane</t>
  </si>
  <si>
    <t>Bartmess</t>
  </si>
  <si>
    <t>Ruby Jane Bartmess</t>
  </si>
  <si>
    <t>7514 Pennsylvania Ave</t>
  </si>
  <si>
    <t>Emmaclairejones16@gmail.com</t>
  </si>
  <si>
    <t>Emerson Jones</t>
  </si>
  <si>
    <t>mj.heller@live.com</t>
  </si>
  <si>
    <t>anike.heller@gmail.com</t>
  </si>
  <si>
    <t>Michaela Heller</t>
  </si>
  <si>
    <t>245 Old Stone House Rd S</t>
  </si>
  <si>
    <t>tnssharp@mac.com</t>
  </si>
  <si>
    <t>cnsharp@icloud.com</t>
  </si>
  <si>
    <t>Colby Sharp</t>
  </si>
  <si>
    <t>2491 San Clemente Ave</t>
  </si>
  <si>
    <t>wesleygreer12@hotmail.com</t>
  </si>
  <si>
    <t>Joe Greer</t>
  </si>
  <si>
    <t>2073 W Horizon Dr</t>
  </si>
  <si>
    <t>dc4jc555@gmail.com</t>
  </si>
  <si>
    <t>Daniel Chen</t>
  </si>
  <si>
    <t>lisarafferty@msn.com</t>
  </si>
  <si>
    <t>sadiegrafferty@gmail.com</t>
  </si>
  <si>
    <t>Rafferty</t>
  </si>
  <si>
    <t>Sadie Rafferty</t>
  </si>
  <si>
    <t>7393 Prythania Park Dr</t>
  </si>
  <si>
    <t>mel@outdoor-enterprise.com</t>
  </si>
  <si>
    <t>prestonlair95@gmail.com</t>
  </si>
  <si>
    <t>Preston Lair</t>
  </si>
  <si>
    <t>8515 Lefevre Rd.</t>
  </si>
  <si>
    <t>peckled@gmail.com</t>
  </si>
  <si>
    <t>Gretta Pitts</t>
  </si>
  <si>
    <t>4608 Taft hwy</t>
  </si>
  <si>
    <t>mjl.micahlopez@gmail.com</t>
  </si>
  <si>
    <t>Micah Lopez</t>
  </si>
  <si>
    <t>jameyday@gmail.com</t>
  </si>
  <si>
    <t>Madison Day</t>
  </si>
  <si>
    <t>303 Seamoor Dr</t>
  </si>
  <si>
    <t>miltmitchell@gmail.com</t>
  </si>
  <si>
    <t>l.noemi.310@gmail.com</t>
  </si>
  <si>
    <t>Lea</t>
  </si>
  <si>
    <t>Lea Mitchell</t>
  </si>
  <si>
    <t>1011 Madison St.</t>
  </si>
  <si>
    <t>St Charles</t>
  </si>
  <si>
    <t>hannahfaithpauline@gmail.com</t>
  </si>
  <si>
    <t>Hannah Smith</t>
  </si>
  <si>
    <t>balman7@outlook.com</t>
  </si>
  <si>
    <t>olivia.balman@icloud.com</t>
  </si>
  <si>
    <t>Balman</t>
  </si>
  <si>
    <t>Olivia Balman</t>
  </si>
  <si>
    <t>235 Winding Meadow Way</t>
  </si>
  <si>
    <t>micahfowler@icloud.com</t>
  </si>
  <si>
    <t>Micah Fowler</t>
  </si>
  <si>
    <t>crow.darrin@gmail.com</t>
  </si>
  <si>
    <t>LUKE</t>
  </si>
  <si>
    <t>CROW</t>
  </si>
  <si>
    <t>LUKE CROW</t>
  </si>
  <si>
    <t>bnathan670@yahoo.com</t>
  </si>
  <si>
    <t>Sungkyung2012@gmail.com</t>
  </si>
  <si>
    <t>2100 Wolf  Tech Ln</t>
  </si>
  <si>
    <t>Unit 103</t>
  </si>
  <si>
    <t>keatha@me.com</t>
  </si>
  <si>
    <t>zsbfalcon@gmail.com</t>
  </si>
  <si>
    <t>Zachary Brown</t>
  </si>
  <si>
    <t>125 Larkhaven Drive</t>
  </si>
  <si>
    <t>JBrander735@gmail.com</t>
  </si>
  <si>
    <t>Jbrander735@Gmail.com</t>
  </si>
  <si>
    <t>Brander</t>
  </si>
  <si>
    <t>Jessica Brander</t>
  </si>
  <si>
    <t>4234 56th Avenue</t>
  </si>
  <si>
    <t>jimandrobyn@verizon.net</t>
  </si>
  <si>
    <t>hunterwchubb@gmail.com</t>
  </si>
  <si>
    <t>Chubb</t>
  </si>
  <si>
    <t>Hunter Chubb</t>
  </si>
  <si>
    <t>418 S. Chester Pike</t>
  </si>
  <si>
    <t>Glenolden</t>
  </si>
  <si>
    <t>pgdanos@gmail.com</t>
  </si>
  <si>
    <t>kaitlyndanos15@gmail.com</t>
  </si>
  <si>
    <t>Danos</t>
  </si>
  <si>
    <t>Kaitlyn Danos</t>
  </si>
  <si>
    <t>110 Ellendale Blvd</t>
  </si>
  <si>
    <t>emma.danos@danos.com</t>
  </si>
  <si>
    <t>Emma Danos</t>
  </si>
  <si>
    <t>lraya7@yahoo.com</t>
  </si>
  <si>
    <t>amanda.raya02@gmail.com</t>
  </si>
  <si>
    <t>Amanda Raya</t>
  </si>
  <si>
    <t>faithelizabeth4@icloud.com</t>
  </si>
  <si>
    <t>Eberwein</t>
  </si>
  <si>
    <t>Faith Eberwein</t>
  </si>
  <si>
    <t>468 S New Middletown Road</t>
  </si>
  <si>
    <t>ncoombsy@gmail.com</t>
  </si>
  <si>
    <t>rcoombsy@gmail.com</t>
  </si>
  <si>
    <t>Coombs</t>
  </si>
  <si>
    <t>Reilly Coombs</t>
  </si>
  <si>
    <t>15454 Gossoms Store Ct</t>
  </si>
  <si>
    <t>scottnruth@hotmail.com</t>
  </si>
  <si>
    <t>1jcfravel@gmail.com</t>
  </si>
  <si>
    <t>Fravel</t>
  </si>
  <si>
    <t>Jadon Fravel</t>
  </si>
  <si>
    <t>7652 Amberly Dr</t>
  </si>
  <si>
    <t>jolpl11@zoho.com</t>
  </si>
  <si>
    <t>Plew</t>
  </si>
  <si>
    <t>Joel Plew</t>
  </si>
  <si>
    <t>d5lewis@sbcglobal.net</t>
  </si>
  <si>
    <t>dancerdel@att.net</t>
  </si>
  <si>
    <t>Darby Lewis</t>
  </si>
  <si>
    <t>5908 87th Street</t>
  </si>
  <si>
    <t>Nicholas Azar</t>
  </si>
  <si>
    <t>elliehowland32@gmail.com</t>
  </si>
  <si>
    <t>Eleanor Howland</t>
  </si>
  <si>
    <t>34W093 Army Trail Rd</t>
  </si>
  <si>
    <t>connor.nelson777@gmail.com</t>
  </si>
  <si>
    <t>Connor Nelson</t>
  </si>
  <si>
    <t>3672 Briar Run Drive</t>
  </si>
  <si>
    <t>denise.stout@suddenlink.net</t>
  </si>
  <si>
    <t>haleystout98@gmail.com</t>
  </si>
  <si>
    <t>Haley Stout</t>
  </si>
  <si>
    <t>7713 Louisville Ave.</t>
  </si>
  <si>
    <t>thebogaerts@gmail.com</t>
  </si>
  <si>
    <t>Juliana Bogaert</t>
  </si>
  <si>
    <t>nathantomasdurfey@gmail.com</t>
  </si>
  <si>
    <t>Nathan Durfey</t>
  </si>
  <si>
    <t>207 Twp Rd 581</t>
  </si>
  <si>
    <t>Kaylyn Fowler</t>
  </si>
  <si>
    <t>googlerfarms@earthlink.net</t>
  </si>
  <si>
    <t>luv2readp15@gmail.com</t>
  </si>
  <si>
    <t>Annalisa</t>
  </si>
  <si>
    <t>Gugler</t>
  </si>
  <si>
    <t>Annalisa Gugler</t>
  </si>
  <si>
    <t>18475 S Mann Ave</t>
  </si>
  <si>
    <t>Elijah.tuuk04@gmail.com</t>
  </si>
  <si>
    <t>Elijah Tuuk</t>
  </si>
  <si>
    <t>nhagen06@gmail.com</t>
  </si>
  <si>
    <t>Noah Hagen</t>
  </si>
  <si>
    <t>PO Box 127</t>
  </si>
  <si>
    <t>arizonasand7@gmail.com</t>
  </si>
  <si>
    <t>godsbitsybutterfly@gmail.com</t>
  </si>
  <si>
    <t>Annika Smith</t>
  </si>
  <si>
    <t>6110 N Desert Willow Dr</t>
  </si>
  <si>
    <t>jaragon@gmx.com</t>
  </si>
  <si>
    <t>asher.aragon3@gmail.com</t>
  </si>
  <si>
    <t>Aragon</t>
  </si>
  <si>
    <t>Asher Aragon</t>
  </si>
  <si>
    <t>5155 Osceola St</t>
  </si>
  <si>
    <t>merrill.morey@gmail.com</t>
  </si>
  <si>
    <t>moreynstrikers@gmail.com</t>
  </si>
  <si>
    <t>Morey</t>
  </si>
  <si>
    <t>Nina Morey</t>
  </si>
  <si>
    <t>1790 W. CR 500 S</t>
  </si>
  <si>
    <t>elle.jerusha@gmail.com</t>
  </si>
  <si>
    <t>Wychers</t>
  </si>
  <si>
    <t>Eliana Wychers</t>
  </si>
  <si>
    <t>11309 306th Ct.</t>
  </si>
  <si>
    <t>P.O. Box 22</t>
  </si>
  <si>
    <t>Wilmot</t>
  </si>
  <si>
    <t>monica@stoesz.com</t>
  </si>
  <si>
    <t>abby@stoesz.com</t>
  </si>
  <si>
    <t>Stoesz</t>
  </si>
  <si>
    <t>Abigail Stoesz</t>
  </si>
  <si>
    <t>309 Linda Court</t>
  </si>
  <si>
    <t>Lino Lakes</t>
  </si>
  <si>
    <t>hannahstokes02@gmail.com</t>
  </si>
  <si>
    <t>Hannah Stokes</t>
  </si>
  <si>
    <t>allistewart2@gmail.com</t>
  </si>
  <si>
    <t>miastewart1123@gmail.com</t>
  </si>
  <si>
    <t>Amelia Stewart</t>
  </si>
  <si>
    <t>P.O. Box 3605</t>
  </si>
  <si>
    <t>maddiestewart514@gmail.com</t>
  </si>
  <si>
    <t>Madeline Stewart</t>
  </si>
  <si>
    <t>22beairdc@gmail.com</t>
  </si>
  <si>
    <t>Beaird</t>
  </si>
  <si>
    <t>Caleb Beaird</t>
  </si>
  <si>
    <t>56 Divot Place</t>
  </si>
  <si>
    <t>45 Par Place</t>
  </si>
  <si>
    <t>ebanie.wilkins@gmail.com</t>
  </si>
  <si>
    <t>Ebanie</t>
  </si>
  <si>
    <t>Ebanie Wilkins</t>
  </si>
  <si>
    <t>206 Hummingbird Place</t>
  </si>
  <si>
    <t>emilyalesebrown34@gmail.com</t>
  </si>
  <si>
    <t>emily brown</t>
  </si>
  <si>
    <t>1251 township road 1175</t>
  </si>
  <si>
    <t>ashland</t>
  </si>
  <si>
    <t>huntr0smithlee@gmail.com</t>
  </si>
  <si>
    <t>1130 E main street Suite 120</t>
  </si>
  <si>
    <t>heather@occrehabks.com</t>
  </si>
  <si>
    <t>thekuderkid@outlook.com</t>
  </si>
  <si>
    <t>Kuder</t>
  </si>
  <si>
    <t>Ethan Kuder</t>
  </si>
  <si>
    <t>14625 S Adams Rd</t>
  </si>
  <si>
    <t>swaps_viv@yahoo.co.in</t>
  </si>
  <si>
    <t>snehasvivek@gmail.com</t>
  </si>
  <si>
    <t>Sneha</t>
  </si>
  <si>
    <t>Vivek</t>
  </si>
  <si>
    <t>Sneha Vivek</t>
  </si>
  <si>
    <t>2594 Chelsea Ct</t>
  </si>
  <si>
    <t>nursrev@juno.com</t>
  </si>
  <si>
    <t>joannagrevers@gmail.com</t>
  </si>
  <si>
    <t>Revers</t>
  </si>
  <si>
    <t>Joanna Revers</t>
  </si>
  <si>
    <t>17307 Bedford Ave</t>
  </si>
  <si>
    <t>banannafaith@gmail.com</t>
  </si>
  <si>
    <t>105 Foaling</t>
  </si>
  <si>
    <t>holyrollerpainting@yahoo.com</t>
  </si>
  <si>
    <t>cadenmtnbike@icloud.com</t>
  </si>
  <si>
    <t>Caden Gorman</t>
  </si>
  <si>
    <t>250 Buckeye Place</t>
  </si>
  <si>
    <t>hmschafer@cox.net</t>
  </si>
  <si>
    <t>hmschafer@cox.net`</t>
  </si>
  <si>
    <t>11723 Roanoke Blvd.</t>
  </si>
  <si>
    <t>matthew.monberg@gmail.com</t>
  </si>
  <si>
    <t>caroline.monberg@outlook.com</t>
  </si>
  <si>
    <t>Monberg</t>
  </si>
  <si>
    <t>Caroline Monberg</t>
  </si>
  <si>
    <t>2455 Lumberjack Drive</t>
  </si>
  <si>
    <t>sixfultons@comcast.net</t>
  </si>
  <si>
    <t>peterrfulton@comcast.net</t>
  </si>
  <si>
    <t>Peter Fulton</t>
  </si>
  <si>
    <t>9 Rose Hill Farm Dr.</t>
  </si>
  <si>
    <t>kyharp02@gmail.com</t>
  </si>
  <si>
    <t>Kylah</t>
  </si>
  <si>
    <t>Kylah Harper</t>
  </si>
  <si>
    <t>856 Oro Grande St.</t>
  </si>
  <si>
    <t>sean.cleary00@gmail.com</t>
  </si>
  <si>
    <t>phillip.d.cleary@gmail.com</t>
  </si>
  <si>
    <t>Cleary</t>
  </si>
  <si>
    <t>Phillip Cleary</t>
  </si>
  <si>
    <t>618 Cottonwood Ln</t>
  </si>
  <si>
    <t>heysmillard@gmail.com</t>
  </si>
  <si>
    <t>sam.millard@me.com</t>
  </si>
  <si>
    <t>Samuel Millard</t>
  </si>
  <si>
    <t>6493 Peytonsville Arno Rd.</t>
  </si>
  <si>
    <t>4mr.sir.ron@gmail.com</t>
  </si>
  <si>
    <t>Michaels</t>
  </si>
  <si>
    <t>Cameron Michaels</t>
  </si>
  <si>
    <t>2554 E. Emerald Ave</t>
  </si>
  <si>
    <t>amymattox@gmail.com</t>
  </si>
  <si>
    <t>graceemattox@gmail.com</t>
  </si>
  <si>
    <t>Mattox</t>
  </si>
  <si>
    <t>Grace Mattox</t>
  </si>
  <si>
    <t>5106 Webster St</t>
  </si>
  <si>
    <t>h.vinson@sbcglobal.net</t>
  </si>
  <si>
    <t>dlukevinson@gmail.com</t>
  </si>
  <si>
    <t>David Vinson</t>
  </si>
  <si>
    <t>3801 63rd Drive</t>
  </si>
  <si>
    <t>Christopher.a.hagler@gmail.com</t>
  </si>
  <si>
    <t>vanessa.d.hagler@gmail.com</t>
  </si>
  <si>
    <t>Hagler</t>
  </si>
  <si>
    <t>Vanessa Hagler</t>
  </si>
  <si>
    <t>1217 NW 74th Street</t>
  </si>
  <si>
    <t>mccoshanna3@gmail.com</t>
  </si>
  <si>
    <t>Anna McCosh</t>
  </si>
  <si>
    <t>5364 270th Avenue</t>
  </si>
  <si>
    <t>tjkuyken@go.olemiss.edu</t>
  </si>
  <si>
    <t>Tjkuyken@go.olemiss.edu</t>
  </si>
  <si>
    <t>Kuykendall</t>
  </si>
  <si>
    <t>Ty Kuykendall</t>
  </si>
  <si>
    <t>829 N. 5th</t>
  </si>
  <si>
    <t>Harlingen</t>
  </si>
  <si>
    <t>c.the.actor@gmail.com</t>
  </si>
  <si>
    <t>Zachary Little</t>
  </si>
  <si>
    <t>1502 Westminister Ave.</t>
  </si>
  <si>
    <t>jhelmen@gmail.com</t>
  </si>
  <si>
    <t>ewashburn2001@gmail.com</t>
  </si>
  <si>
    <t>Erik Washburn</t>
  </si>
  <si>
    <t>4212 Watous Ct</t>
  </si>
  <si>
    <t>sierraliverett@gmail.com</t>
  </si>
  <si>
    <t>Liverett</t>
  </si>
  <si>
    <t>Sierra Liverett</t>
  </si>
  <si>
    <t>241 Handicap Avenue</t>
  </si>
  <si>
    <t>kapkarian4@gmail.com</t>
  </si>
  <si>
    <t>Lehrman</t>
  </si>
  <si>
    <t>Kaylie Lehrman</t>
  </si>
  <si>
    <t>5204 Rainbow Road</t>
  </si>
  <si>
    <t>blazelehrman@gmail.com</t>
  </si>
  <si>
    <t>Blaze</t>
  </si>
  <si>
    <t>Blaze Lehrman</t>
  </si>
  <si>
    <t>5204 Rainbow Rd</t>
  </si>
  <si>
    <t>Unit b</t>
  </si>
  <si>
    <t>Sebccmedia@gmail.com</t>
  </si>
  <si>
    <t>jasonfunderburkjr@outlook.com</t>
  </si>
  <si>
    <t>Funderburk</t>
  </si>
  <si>
    <t>Jason Funderburk</t>
  </si>
  <si>
    <t>918 Canal Circle</t>
  </si>
  <si>
    <t>gracewarmbier@icloud.com</t>
  </si>
  <si>
    <t>Warmbier</t>
  </si>
  <si>
    <t>Grace Warmbier</t>
  </si>
  <si>
    <t>1509 E Heart Lake Dr</t>
  </si>
  <si>
    <t>mnavage@aol.com</t>
  </si>
  <si>
    <t>Navage</t>
  </si>
  <si>
    <t>Hannah Navage</t>
  </si>
  <si>
    <t>acornforth@rocketmail.com</t>
  </si>
  <si>
    <t>eecornforth@gmail.com</t>
  </si>
  <si>
    <t>Cornforth</t>
  </si>
  <si>
    <t>Emily Cornforth</t>
  </si>
  <si>
    <t>21551 201st St</t>
  </si>
  <si>
    <t>Purcell</t>
  </si>
  <si>
    <t>cattisano@gmail.com</t>
  </si>
  <si>
    <t>lattisano7@gmail.com</t>
  </si>
  <si>
    <t>Attisano</t>
  </si>
  <si>
    <t>Logan Attisano</t>
  </si>
  <si>
    <t>8706 Woodglen Pt</t>
  </si>
  <si>
    <t>pirateradioman1@gmail.com</t>
  </si>
  <si>
    <t>Lexie Reese</t>
  </si>
  <si>
    <t>pastormichael2330@icloud.com</t>
  </si>
  <si>
    <t>cdogsandberg@gmail.com</t>
  </si>
  <si>
    <t>Caleb Sandberg</t>
  </si>
  <si>
    <t>1735 Fairview Dr</t>
  </si>
  <si>
    <t>Lake Geneva</t>
  </si>
  <si>
    <t>veronique@streetpoet.org</t>
  </si>
  <si>
    <t>kjg@peterguy.com</t>
  </si>
  <si>
    <t>Kenneth Guy</t>
  </si>
  <si>
    <t>9080 Williams HWY</t>
  </si>
  <si>
    <t>LHolmes31@msn.com</t>
  </si>
  <si>
    <t>naomiholmes7@gmail.com</t>
  </si>
  <si>
    <t>Naomi Holmes</t>
  </si>
  <si>
    <t>eholmes0425@gmail.com</t>
  </si>
  <si>
    <t>Esther Holmes</t>
  </si>
  <si>
    <t>moralesjan561@gmail.com</t>
  </si>
  <si>
    <t>Elijah Morales</t>
  </si>
  <si>
    <t>Sydmail88@gmail.com</t>
  </si>
  <si>
    <t>Kick</t>
  </si>
  <si>
    <t>Sydney Kick</t>
  </si>
  <si>
    <t>17413 Ludlow St</t>
  </si>
  <si>
    <t>devynngraceu@gmail.com</t>
  </si>
  <si>
    <t>Devynn</t>
  </si>
  <si>
    <t>Devynn Uehling</t>
  </si>
  <si>
    <t>21wymane@pagosa.k12.co.us</t>
  </si>
  <si>
    <t>Erik Wyman</t>
  </si>
  <si>
    <t>106 driftwood drive</t>
  </si>
  <si>
    <t>jgjbrown@aol.com</t>
  </si>
  <si>
    <t>jayla.brown@cck12.net</t>
  </si>
  <si>
    <t>Jayla</t>
  </si>
  <si>
    <t>Jayla Brown</t>
  </si>
  <si>
    <t>17473 County Road H</t>
  </si>
  <si>
    <t>amandacochran3@aol.com</t>
  </si>
  <si>
    <t>inkheartwilliam@aol.com</t>
  </si>
  <si>
    <t>William Cochran</t>
  </si>
  <si>
    <t>5816 Bending Chestnut Rd.</t>
  </si>
  <si>
    <t>hunkindavies@icloud.com</t>
  </si>
  <si>
    <t>Mercy</t>
  </si>
  <si>
    <t>Stoker</t>
  </si>
  <si>
    <t>Mercy Stoker</t>
  </si>
  <si>
    <t>300 W. Mulberry St.</t>
  </si>
  <si>
    <t>kalexander@csus.edu</t>
  </si>
  <si>
    <t>sjalexander03@icloud.com</t>
  </si>
  <si>
    <t>Sydney Alexander</t>
  </si>
  <si>
    <t>3707 Gaviota Place</t>
  </si>
  <si>
    <t>danandrenee@q.com</t>
  </si>
  <si>
    <t>zman8950@outlook.com</t>
  </si>
  <si>
    <t>Zachery</t>
  </si>
  <si>
    <t>Zachery Edwards</t>
  </si>
  <si>
    <t>8740 CMoss Rock Road</t>
  </si>
  <si>
    <t>edleslie1536@gmail.com</t>
  </si>
  <si>
    <t>perrin</t>
  </si>
  <si>
    <t>perrin holliday</t>
  </si>
  <si>
    <t>puhek77@netzero.net</t>
  </si>
  <si>
    <t>danikacelticharpist@gmail.com</t>
  </si>
  <si>
    <t>Danika</t>
  </si>
  <si>
    <t>Puhek</t>
  </si>
  <si>
    <t>Danika Puhek</t>
  </si>
  <si>
    <t>4928 Mount Union Court</t>
  </si>
  <si>
    <t>sonjapuhekphotography@gmail.com</t>
  </si>
  <si>
    <t>Sonja</t>
  </si>
  <si>
    <t>Sonja Puhek</t>
  </si>
  <si>
    <t>4928 Mount Union Ct</t>
  </si>
  <si>
    <t>isaiah.epp@gmail.com</t>
  </si>
  <si>
    <t>Isaiah Epp</t>
  </si>
  <si>
    <t>308 E Knott St</t>
  </si>
  <si>
    <t>dutchbakerycos@gmail.com</t>
  </si>
  <si>
    <t>Boonzaaijer</t>
  </si>
  <si>
    <t>Karis Boonzaaijer</t>
  </si>
  <si>
    <t>dwalters@bex.net</t>
  </si>
  <si>
    <t>lukewalters15@gmail.com</t>
  </si>
  <si>
    <t>Luke Walters</t>
  </si>
  <si>
    <t>2245 Ragan Woods Dr</t>
  </si>
  <si>
    <t>Toledo</t>
  </si>
  <si>
    <t>aeg572@yahoo.com</t>
  </si>
  <si>
    <t>aeg572@live.com</t>
  </si>
  <si>
    <t>Gallegos</t>
  </si>
  <si>
    <t>Rachel Gallegos</t>
  </si>
  <si>
    <t>106 Grant Ave NE</t>
  </si>
  <si>
    <t>keith.west@gmail.com</t>
  </si>
  <si>
    <t>kidfromkazakh@gmail.com</t>
  </si>
  <si>
    <t>Sergey</t>
  </si>
  <si>
    <t>Sergey West</t>
  </si>
  <si>
    <t>PO Box 94165</t>
  </si>
  <si>
    <t>kshell59@gmail.com</t>
  </si>
  <si>
    <t>Kristen Shell</t>
  </si>
  <si>
    <t>kyliescarborough02@gmail.com</t>
  </si>
  <si>
    <t>Kylie Scarborough</t>
  </si>
  <si>
    <t>3215 Redstone Dr.</t>
  </si>
  <si>
    <t>mgpurifoy@gmail.com</t>
  </si>
  <si>
    <t>mppurifoy@gmail.com</t>
  </si>
  <si>
    <t>Mary Pierson</t>
  </si>
  <si>
    <t>Purifoy</t>
  </si>
  <si>
    <t>Mary Pierson Purifoy</t>
  </si>
  <si>
    <t>5120 Pritchett Dr.</t>
  </si>
  <si>
    <t>craftycat503@gmail.com</t>
  </si>
  <si>
    <t>Elizabeth Purifoy</t>
  </si>
  <si>
    <t>thebryants@numail.org</t>
  </si>
  <si>
    <t>Ethan Bryant</t>
  </si>
  <si>
    <t>430 Barrington Grange Drive</t>
  </si>
  <si>
    <t>jhays6416@gmail.com</t>
  </si>
  <si>
    <t>Jessica Hays</t>
  </si>
  <si>
    <t>125 Grouse Rd.</t>
  </si>
  <si>
    <t>Myalightning@gmail.com</t>
  </si>
  <si>
    <t>Mya Hood</t>
  </si>
  <si>
    <t>300 Chestnut St.</t>
  </si>
  <si>
    <t>applegirlkrm@gmail.com</t>
  </si>
  <si>
    <t>Kathryn Mathis</t>
  </si>
  <si>
    <t>1931 Hayden St.</t>
  </si>
  <si>
    <t>kgirl.2003@outlook.com</t>
  </si>
  <si>
    <t>Kgirl.2093@outlook.com</t>
  </si>
  <si>
    <t>Kristin Snyder</t>
  </si>
  <si>
    <t>1004 stonebrook drive</t>
  </si>
  <si>
    <t>wscott@petrolog.com</t>
  </si>
  <si>
    <t>reaganscott2@gmail.com</t>
  </si>
  <si>
    <t>Reagan Scott</t>
  </si>
  <si>
    <t>kj.heims02@gmail.com</t>
  </si>
  <si>
    <t>Kelsey Heims</t>
  </si>
  <si>
    <t>willbeckham@icloud.com</t>
  </si>
  <si>
    <t>William Beckham</t>
  </si>
  <si>
    <t>241 paint pony trl n</t>
  </si>
  <si>
    <t>jared.hyatt@outlook.com</t>
  </si>
  <si>
    <t>Jared.hyatt@outlook.com</t>
  </si>
  <si>
    <t>Jared Hyatt</t>
  </si>
  <si>
    <t>8784 Randall Dr</t>
  </si>
  <si>
    <t>rob.herman@toolsbydesign.com</t>
  </si>
  <si>
    <t>eman.herman.tools@gmail.com</t>
  </si>
  <si>
    <t>Emmanuel Herman</t>
  </si>
  <si>
    <t>8830 Mary Dr.</t>
  </si>
  <si>
    <t>garren.dipasquale@icloud.com</t>
  </si>
  <si>
    <t>gauge.dipasquale@gmail.com</t>
  </si>
  <si>
    <t>DiPasquale</t>
  </si>
  <si>
    <t>Anthony DiPasquale</t>
  </si>
  <si>
    <t>6047 Ingleside Drive</t>
  </si>
  <si>
    <t>Sarah.aulgur@me.com</t>
  </si>
  <si>
    <t>Susie.aulgur@icloud.com</t>
  </si>
  <si>
    <t>Aulgur</t>
  </si>
  <si>
    <t>Susannah Aulgur</t>
  </si>
  <si>
    <t>1 Longest Drive</t>
  </si>
  <si>
    <t>reaganboyle3@gmail.com</t>
  </si>
  <si>
    <t>Reagan Boyle</t>
  </si>
  <si>
    <t>ivytm0123@yahoo.com</t>
  </si>
  <si>
    <t>noahnmathews@gmail.com</t>
  </si>
  <si>
    <t>Noah Mathews</t>
  </si>
  <si>
    <t>115 Monticello</t>
  </si>
  <si>
    <t>katyee0040@gmail.com</t>
  </si>
  <si>
    <t>Katy Boyd</t>
  </si>
  <si>
    <t>6201 Green Oaks Drive</t>
  </si>
  <si>
    <t>micahwallin.22soccer@gmail.com</t>
  </si>
  <si>
    <t>Micah Wallin</t>
  </si>
  <si>
    <t>oerickson@cableone.net</t>
  </si>
  <si>
    <t>evelynerickson@cableone.net</t>
  </si>
  <si>
    <t>Evelyn Erickson</t>
  </si>
  <si>
    <t>527 Forest Glen Rd</t>
  </si>
  <si>
    <t>asjohnson383@gmail.com</t>
  </si>
  <si>
    <t>Alyssa Johnson</t>
  </si>
  <si>
    <t>997 Jess Lyons Rd</t>
  </si>
  <si>
    <t>jennareed.ky@gmail.com</t>
  </si>
  <si>
    <t>Jenna Reed</t>
  </si>
  <si>
    <t>julianoelle2016@gmail.com</t>
  </si>
  <si>
    <t>Julia Aubrey</t>
  </si>
  <si>
    <t>17682 W. 156th St.</t>
  </si>
  <si>
    <t>clairephypers16@gmail.com</t>
  </si>
  <si>
    <t>Phypers</t>
  </si>
  <si>
    <t>Claire Phypers</t>
  </si>
  <si>
    <t>77 D Place</t>
  </si>
  <si>
    <t>bjskopriva@gmail.com</t>
  </si>
  <si>
    <t>Kopriva</t>
  </si>
  <si>
    <t>Benjamin Kopriva</t>
  </si>
  <si>
    <t>10997 spruce mountain road</t>
  </si>
  <si>
    <t>Cooper Glazier</t>
  </si>
  <si>
    <t>Jolenemorris57@gmail.com</t>
  </si>
  <si>
    <t>Jolene</t>
  </si>
  <si>
    <t>Jolene Morris</t>
  </si>
  <si>
    <t>Abigailm_adams@yahoo.com</t>
  </si>
  <si>
    <t>Abigail Adams</t>
  </si>
  <si>
    <t>2850 N Williamsport Road</t>
  </si>
  <si>
    <t>robynhinson@gmail.com</t>
  </si>
  <si>
    <t>alisa.hinson@tcu.edu</t>
  </si>
  <si>
    <t>Alisa Hinson</t>
  </si>
  <si>
    <t>9262 Sunstone Dr</t>
  </si>
  <si>
    <t>cardwellbannana@gmail.com</t>
  </si>
  <si>
    <t>Anna Grinder</t>
  </si>
  <si>
    <t>289 McKeown Ln.</t>
  </si>
  <si>
    <t>courtney@brownrs.com</t>
  </si>
  <si>
    <t>Dylanjbrown2003@gmail.com</t>
  </si>
  <si>
    <t>Dylan Brown</t>
  </si>
  <si>
    <t>26 Lansdowne</t>
  </si>
  <si>
    <t>camrol2010@gmail.com</t>
  </si>
  <si>
    <t>paul8icecream@gmail.com</t>
  </si>
  <si>
    <t>Paul Hoshiko</t>
  </si>
  <si>
    <t>797 Dodge Trail</t>
  </si>
  <si>
    <t>Westville</t>
  </si>
  <si>
    <t>bseverson@kpbsd.k12.ak.us</t>
  </si>
  <si>
    <t>seversondamaris@yahoo.com</t>
  </si>
  <si>
    <t>Damaris</t>
  </si>
  <si>
    <t>Severson</t>
  </si>
  <si>
    <t>Damaris Severson</t>
  </si>
  <si>
    <t>33150 Baylor St.</t>
  </si>
  <si>
    <t>mereiedi@gmail.com</t>
  </si>
  <si>
    <t>Mereiedi</t>
  </si>
  <si>
    <t>Mereiedi Dunn</t>
  </si>
  <si>
    <t>17116 Harper's Trace</t>
  </si>
  <si>
    <t>#4301</t>
  </si>
  <si>
    <t>maddyskotte@gmail.com</t>
  </si>
  <si>
    <t>Madeline Skotte</t>
  </si>
  <si>
    <t>13195 Deron Avenue</t>
  </si>
  <si>
    <t>jacksonnations@gmail.com</t>
  </si>
  <si>
    <t>Nations</t>
  </si>
  <si>
    <t>Jackson Nations</t>
  </si>
  <si>
    <t>9718 Crestwater Circle</t>
  </si>
  <si>
    <t>lts321@hotmail.com</t>
  </si>
  <si>
    <t>1452estout@gmail.com</t>
  </si>
  <si>
    <t>Ethan Stout</t>
  </si>
  <si>
    <t>4321 F Ave NE</t>
  </si>
  <si>
    <t>jaslininger@cox.net</t>
  </si>
  <si>
    <t>emmagraceslin@gmail.com</t>
  </si>
  <si>
    <t>Slininger</t>
  </si>
  <si>
    <t>Emma Slininger</t>
  </si>
  <si>
    <t>6429 N. 105th St.</t>
  </si>
  <si>
    <t>mmkopriva@gmail.com</t>
  </si>
  <si>
    <t>Mick Kopriva</t>
  </si>
  <si>
    <t>10997 Spruce Mountain Rd</t>
  </si>
  <si>
    <t>shellhouseb@gmail.com</t>
  </si>
  <si>
    <t>ethanshellhouse@gmail.com</t>
  </si>
  <si>
    <t>Shellhouse</t>
  </si>
  <si>
    <t>Ethan Shellhouse</t>
  </si>
  <si>
    <t>1603 Prestwood Bridge Road</t>
  </si>
  <si>
    <t>Andalusia</t>
  </si>
  <si>
    <t>ncoorourke@icloud.com</t>
  </si>
  <si>
    <t>O'Rourke</t>
  </si>
  <si>
    <t>Nicholas O'Rourke</t>
  </si>
  <si>
    <t>413 church street</t>
  </si>
  <si>
    <t>19callja@gmail.com</t>
  </si>
  <si>
    <t>Jacinda</t>
  </si>
  <si>
    <t>Jacinda Call</t>
  </si>
  <si>
    <t>addie98765@gmail.com</t>
  </si>
  <si>
    <t>Adun</t>
  </si>
  <si>
    <t>Oladeji</t>
  </si>
  <si>
    <t>Adun Oladeji</t>
  </si>
  <si>
    <t>6100 Water lilly dr</t>
  </si>
  <si>
    <t>josiahde@vt.edu</t>
  </si>
  <si>
    <t>Eichelman</t>
  </si>
  <si>
    <t>Josiah Eichelman</t>
  </si>
  <si>
    <t>222 Janie Lane</t>
  </si>
  <si>
    <t>loraleebannon@gmail.com</t>
  </si>
  <si>
    <t>Akbannon02@gmail.com</t>
  </si>
  <si>
    <t>Bannon</t>
  </si>
  <si>
    <t>Amanda Bannon</t>
  </si>
  <si>
    <t>324 N Bentwood Drive</t>
  </si>
  <si>
    <t>thewolfes98@gmail.com</t>
  </si>
  <si>
    <t>Andrew Wolfe</t>
  </si>
  <si>
    <t>PO Box 14</t>
  </si>
  <si>
    <t>316 5th</t>
  </si>
  <si>
    <t>nathanfb82@gmail.com</t>
  </si>
  <si>
    <t>Nathan Seay</t>
  </si>
  <si>
    <t>7680 lark Bunting Court</t>
  </si>
  <si>
    <t>stephaniemterrell@gmail.com</t>
  </si>
  <si>
    <t>keterrell1@gmail.com</t>
  </si>
  <si>
    <t>Kiara Terrell</t>
  </si>
  <si>
    <t>2980 Su Siempre pl</t>
  </si>
  <si>
    <t>heathersharp2@msn.com</t>
  </si>
  <si>
    <t>gregsharp2003@gmail.com</t>
  </si>
  <si>
    <t>Helen Sharp</t>
  </si>
  <si>
    <t>107 Bevers Place</t>
  </si>
  <si>
    <t>Manitou Spg</t>
  </si>
  <si>
    <t>audreypool50@gmail.com</t>
  </si>
  <si>
    <t>Audrey Pool</t>
  </si>
  <si>
    <t>4034 Rawlins St. Apt. #201</t>
  </si>
  <si>
    <t>bjsdaddy48@mac.com</t>
  </si>
  <si>
    <t>Lily Ortiz</t>
  </si>
  <si>
    <t>jlsbasaz@aol.com</t>
  </si>
  <si>
    <t>caleb.l.smith30@gmail.com</t>
  </si>
  <si>
    <t>Caleb Smith</t>
  </si>
  <si>
    <t>2440 E. Capri Ave</t>
  </si>
  <si>
    <t>Michellestask@gmail.com</t>
  </si>
  <si>
    <t>Michelle Staska</t>
  </si>
  <si>
    <t>14100 Toledo Court</t>
  </si>
  <si>
    <t>cowboydr@hotmail.com</t>
  </si>
  <si>
    <t>Cjunew0@gmail.com</t>
  </si>
  <si>
    <t>Caroline Whitaker</t>
  </si>
  <si>
    <t>473 maples road</t>
  </si>
  <si>
    <t>mmeyers6@hotmail.com</t>
  </si>
  <si>
    <t>emeyers19@hotmail.com</t>
  </si>
  <si>
    <t>Elise Meyers</t>
  </si>
  <si>
    <t>victoriadicen1@gmail.com</t>
  </si>
  <si>
    <t>Victoria Dicen</t>
  </si>
  <si>
    <t>bradleydavidreece@gmail.com</t>
  </si>
  <si>
    <t>Bradley Reece</t>
  </si>
  <si>
    <t>2452 East University Drive</t>
  </si>
  <si>
    <t>Apt. 4</t>
  </si>
  <si>
    <t>rb.mallory@yahoo.com</t>
  </si>
  <si>
    <t>SYD.MALLORY@GMAIL.COM</t>
  </si>
  <si>
    <t>Sydney Mallory</t>
  </si>
  <si>
    <t>3050 Terramar Dr.</t>
  </si>
  <si>
    <t>nattheriddle1@gmail.com</t>
  </si>
  <si>
    <t>Nathanael Riddle</t>
  </si>
  <si>
    <t>10838 King St</t>
  </si>
  <si>
    <t>kriskayjer@gmail.com</t>
  </si>
  <si>
    <t>Kristyn</t>
  </si>
  <si>
    <t>Kristyn Wolfe</t>
  </si>
  <si>
    <t>316 5th st</t>
  </si>
  <si>
    <t>abbyd97@gmail.com</t>
  </si>
  <si>
    <t>Abbyd97@gmail.com</t>
  </si>
  <si>
    <t>Dettmer</t>
  </si>
  <si>
    <t>Abigail Dettmer</t>
  </si>
  <si>
    <t>948 Jefferson Lane</t>
  </si>
  <si>
    <t>brendannienhuis@gmail.com</t>
  </si>
  <si>
    <t>Nienhuis</t>
  </si>
  <si>
    <t>Brendan Nienhuis</t>
  </si>
  <si>
    <t>2073 N. Ridge Road</t>
  </si>
  <si>
    <t>paxton482@gmail.com</t>
  </si>
  <si>
    <t>Paxton482@gmail.com</t>
  </si>
  <si>
    <t>Paxton Ford</t>
  </si>
  <si>
    <t># 61 1270 Gainsborough Drive</t>
  </si>
  <si>
    <t>L6H-2L2</t>
  </si>
  <si>
    <t>micahrat10@gmail.com</t>
  </si>
  <si>
    <t>Micah Ratcliff</t>
  </si>
  <si>
    <t>ladajavo@gmail.com</t>
  </si>
  <si>
    <t>connorjavo1@gmail.com</t>
  </si>
  <si>
    <t>Javorek</t>
  </si>
  <si>
    <t>Connor Javorek</t>
  </si>
  <si>
    <t>1823 E 54th Ave</t>
  </si>
  <si>
    <t>lkdaniel@att.net</t>
  </si>
  <si>
    <t>ed400839@gmail.com</t>
  </si>
  <si>
    <t>Ethan Daniel</t>
  </si>
  <si>
    <t>1833 Private Rd. 3341</t>
  </si>
  <si>
    <t>kmmohler@dejazzd.com</t>
  </si>
  <si>
    <t>anissajoy2@gmail.com</t>
  </si>
  <si>
    <t>Anissa</t>
  </si>
  <si>
    <t>Anissa Mohler</t>
  </si>
  <si>
    <t>539 E Main St</t>
  </si>
  <si>
    <t>amyfruetel@yahoo.com</t>
  </si>
  <si>
    <t>fruetelcarter@icloud.com</t>
  </si>
  <si>
    <t>Fruetel</t>
  </si>
  <si>
    <t>Carter Fruetel</t>
  </si>
  <si>
    <t>509 Montridge Court</t>
  </si>
  <si>
    <t>hchampness@icloud.com</t>
  </si>
  <si>
    <t>Hannah Champness</t>
  </si>
  <si>
    <t>13904 Veracruz Dr</t>
  </si>
  <si>
    <t>jberreth@comcast.net</t>
  </si>
  <si>
    <t>Bemillie2@gmail.com</t>
  </si>
  <si>
    <t>Melody Berreth</t>
  </si>
  <si>
    <t>27 Sepunnomo Ln</t>
  </si>
  <si>
    <t>Higganum</t>
  </si>
  <si>
    <t>Berreth.zechariah@gmail.com</t>
  </si>
  <si>
    <t>Zechariah Berreth</t>
  </si>
  <si>
    <t>daisiebug16@gmail.com</t>
  </si>
  <si>
    <t>Daisie</t>
  </si>
  <si>
    <t>Daisie Collins</t>
  </si>
  <si>
    <t>1023 S. Thorp Hwy</t>
  </si>
  <si>
    <t>samachel@yahoo.com</t>
  </si>
  <si>
    <t>jessicabmoss02@gmail.com</t>
  </si>
  <si>
    <t>Jessica Moss</t>
  </si>
  <si>
    <t>662 Citizens Road</t>
  </si>
  <si>
    <t>Crewe</t>
  </si>
  <si>
    <t>jadenemoss03@gmail.com</t>
  </si>
  <si>
    <t>Jaden Moss</t>
  </si>
  <si>
    <t>robandkristinpepper@verison.net</t>
  </si>
  <si>
    <t>aepepper2002@gmail.com</t>
  </si>
  <si>
    <t>Aubrey Pepper</t>
  </si>
  <si>
    <t>25 Bourbon Red Drive</t>
  </si>
  <si>
    <t>mswuehler@gmail.com</t>
  </si>
  <si>
    <t>Mercy Wuehler</t>
  </si>
  <si>
    <t>614 Mountain Ave.</t>
  </si>
  <si>
    <t>bbrunkle@yahoo.com</t>
  </si>
  <si>
    <t>candyrapper116@gmail.com</t>
  </si>
  <si>
    <t>Brody</t>
  </si>
  <si>
    <t>Runkle</t>
  </si>
  <si>
    <t>Brody Runkle</t>
  </si>
  <si>
    <t>6155 Wolf Village Drive</t>
  </si>
  <si>
    <t>angeliqueajohnston@gmail.com</t>
  </si>
  <si>
    <t>Angelique</t>
  </si>
  <si>
    <t>Angelique Johnston</t>
  </si>
  <si>
    <t>311 Sabal Park Ct</t>
  </si>
  <si>
    <t>willvigilant@gmail.com</t>
  </si>
  <si>
    <t>William Kopriva</t>
  </si>
  <si>
    <t>4310 S Tabor Ct</t>
  </si>
  <si>
    <t>anyadanielson.27@gmail.com</t>
  </si>
  <si>
    <t>Anya Danielson</t>
  </si>
  <si>
    <t>49860 Eider Dr</t>
  </si>
  <si>
    <t>jnkfreeman@live.com</t>
  </si>
  <si>
    <t>goldenscales@yahoo.com</t>
  </si>
  <si>
    <t>Anna Freeman</t>
  </si>
  <si>
    <t>209 Mansfield Circle</t>
  </si>
  <si>
    <t>dcauble613@gmail.com</t>
  </si>
  <si>
    <t>Jmcauble626@icloud.com</t>
  </si>
  <si>
    <t>Jonathan Cauble</t>
  </si>
  <si>
    <t>15225 Perry St</t>
  </si>
  <si>
    <t>johnandjill@teamcarr.org</t>
  </si>
  <si>
    <t>robbie@teamcarr.org</t>
  </si>
  <si>
    <t>Robert Carr</t>
  </si>
  <si>
    <t>10216 Golden Eagle Dr</t>
  </si>
  <si>
    <t>jessicarr777@gmail.com</t>
  </si>
  <si>
    <t>JESSICA</t>
  </si>
  <si>
    <t>CARR</t>
  </si>
  <si>
    <t>JESSICA CARR</t>
  </si>
  <si>
    <t>SEMINOLE</t>
  </si>
  <si>
    <t>brandon@teamcarr.org</t>
  </si>
  <si>
    <t>carr</t>
  </si>
  <si>
    <t>brandon carr</t>
  </si>
  <si>
    <t>macloss2001@gmail.com</t>
  </si>
  <si>
    <t>Closs</t>
  </si>
  <si>
    <t>Madeline Closs</t>
  </si>
  <si>
    <t>235 Howard Drive</t>
  </si>
  <si>
    <t>Belleiar Beach</t>
  </si>
  <si>
    <t>brpacecca@gmail.com</t>
  </si>
  <si>
    <t>Pacecca</t>
  </si>
  <si>
    <t>Brianna Pacecca</t>
  </si>
  <si>
    <t>2184 Nolan Dr</t>
  </si>
  <si>
    <t>chloe.weller@ircs.org</t>
  </si>
  <si>
    <t>Chloe Weller</t>
  </si>
  <si>
    <t>11793 Oval Drive East</t>
  </si>
  <si>
    <t>laurierene@gmail.com</t>
  </si>
  <si>
    <t>abbie.stavinga@ircs.org</t>
  </si>
  <si>
    <t>Stavinga</t>
  </si>
  <si>
    <t>Abigail Stavinga</t>
  </si>
  <si>
    <t>8955 109th Ln</t>
  </si>
  <si>
    <t>sarahwhiteker@gmail.com</t>
  </si>
  <si>
    <t>Whiteker</t>
  </si>
  <si>
    <t>Sarah Whiteker</t>
  </si>
  <si>
    <t>1286 Hands Pike</t>
  </si>
  <si>
    <t>lydiapanter@gmail.com</t>
  </si>
  <si>
    <t>Panter</t>
  </si>
  <si>
    <t>Lydia Panter</t>
  </si>
  <si>
    <t>3235 Espada</t>
  </si>
  <si>
    <t>doriskelly1969@gmail.com</t>
  </si>
  <si>
    <t>bethanyvkelly@gmail.com</t>
  </si>
  <si>
    <t>Bethany Kelly</t>
  </si>
  <si>
    <t>988 Fallowfield Rd.</t>
  </si>
  <si>
    <t>deidremariepea@gmail.com</t>
  </si>
  <si>
    <t>liampanda17@gmail.com</t>
  </si>
  <si>
    <t>Liam Nelson</t>
  </si>
  <si>
    <t>23708 NE Shamrock CT</t>
  </si>
  <si>
    <t>elliottlamb25@gmail.com</t>
  </si>
  <si>
    <t>Elliott Lamb</t>
  </si>
  <si>
    <t>198 twp rd 581</t>
  </si>
  <si>
    <t>mcastaneda0680@gmail.com</t>
  </si>
  <si>
    <t>Castaneda</t>
  </si>
  <si>
    <t>Jasmine Castaneda</t>
  </si>
  <si>
    <t>corman5@bellsouth.net</t>
  </si>
  <si>
    <t>audreycorman101@gmail.com</t>
  </si>
  <si>
    <t>Corman</t>
  </si>
  <si>
    <t>Audrey Corman</t>
  </si>
  <si>
    <t>2275 Hwy 19 W</t>
  </si>
  <si>
    <t>karismhill@gmail.com</t>
  </si>
  <si>
    <t>Eshill3434@gmail.com</t>
  </si>
  <si>
    <t>Erikka</t>
  </si>
  <si>
    <t>Erikka Hill</t>
  </si>
  <si>
    <t>3168 N CR 975 W</t>
  </si>
  <si>
    <t>dana@sinchok.com</t>
  </si>
  <si>
    <t>lydia@sinchok.com</t>
  </si>
  <si>
    <t>Sinchok</t>
  </si>
  <si>
    <t>Lydia Sinchok</t>
  </si>
  <si>
    <t>1165 Shady Lane</t>
  </si>
  <si>
    <t>ruthiejean0904@gmail.com</t>
  </si>
  <si>
    <t>Ruthie</t>
  </si>
  <si>
    <t>Ruthie Swart</t>
  </si>
  <si>
    <t>25805 SW Rogol Drive</t>
  </si>
  <si>
    <t>olesiakraft@gmail.com</t>
  </si>
  <si>
    <t>Olesia</t>
  </si>
  <si>
    <t>Olesia Kraft</t>
  </si>
  <si>
    <t>cadetcalebshan@gmail.com</t>
  </si>
  <si>
    <t>Caleb Han</t>
  </si>
  <si>
    <t>tenpas.dean@gmail.com</t>
  </si>
  <si>
    <t>hunterntenpas@gmail.com</t>
  </si>
  <si>
    <t>Tenpas</t>
  </si>
  <si>
    <t>Hunter Tenpas</t>
  </si>
  <si>
    <t>812 Crystal Park Road</t>
  </si>
  <si>
    <t>mexadm@gmail.com</t>
  </si>
  <si>
    <t>Aaron McLean</t>
  </si>
  <si>
    <t>1325 Taylor Street</t>
  </si>
  <si>
    <t>Auburndale</t>
  </si>
  <si>
    <t>hannah7234@gmail.com</t>
  </si>
  <si>
    <t>Hannah7234@gmail.com</t>
  </si>
  <si>
    <t>Fredericks</t>
  </si>
  <si>
    <t>Hannah Fredericks</t>
  </si>
  <si>
    <t>1306 Lincoln lane</t>
  </si>
  <si>
    <t>unit 4</t>
  </si>
  <si>
    <t>Fbella143@gmail.com</t>
  </si>
  <si>
    <t>Isabella Fisher</t>
  </si>
  <si>
    <t>501 westview drive</t>
  </si>
  <si>
    <t>Apt 307</t>
  </si>
  <si>
    <t>godeanna@yahoo.com</t>
  </si>
  <si>
    <t>jjserk@gmail.com</t>
  </si>
  <si>
    <t>Mansoor</t>
  </si>
  <si>
    <t>Jenna Mansoor</t>
  </si>
  <si>
    <t>P.O. Box 893023</t>
  </si>
  <si>
    <t>Mililani</t>
  </si>
  <si>
    <t>Jschmidtski@cox.net</t>
  </si>
  <si>
    <t>faschmidt04@gmail.com</t>
  </si>
  <si>
    <t>Faith Schmidt</t>
  </si>
  <si>
    <t>12841 N. Bush Hwy</t>
  </si>
  <si>
    <t>cryderhannah123@gmail.com</t>
  </si>
  <si>
    <t>Hannah Cryder</t>
  </si>
  <si>
    <t>kimberlyk401@gmail.com</t>
  </si>
  <si>
    <t>dk4js2015@gmail.com</t>
  </si>
  <si>
    <t>Jentre</t>
  </si>
  <si>
    <t>Jentre Kennedy</t>
  </si>
  <si>
    <t>8401 Saratoga Ave</t>
  </si>
  <si>
    <t>evannoy11@gmail.com</t>
  </si>
  <si>
    <t>lillyvannoy@gmail.com</t>
  </si>
  <si>
    <t>Vannoy</t>
  </si>
  <si>
    <t>Lillian Vannoy</t>
  </si>
  <si>
    <t>1837 Braeburn Dr.</t>
  </si>
  <si>
    <t>sarahjkellen@gmail.com</t>
  </si>
  <si>
    <t>Viviangkellen@gmail.com</t>
  </si>
  <si>
    <t>Vivian Kellen</t>
  </si>
  <si>
    <t>11168 Duelm Rd NE</t>
  </si>
  <si>
    <t>Gabrielpkellen@gmail.com</t>
  </si>
  <si>
    <t>Gabriel Kellen</t>
  </si>
  <si>
    <t>11168 Duelm Rd. NE</t>
  </si>
  <si>
    <t>nherrlin@gmail.com</t>
  </si>
  <si>
    <t>aherrlin2@gmail.com</t>
  </si>
  <si>
    <t>Herrlin</t>
  </si>
  <si>
    <t>Abigail Herrlin</t>
  </si>
  <si>
    <t>223 Highland Ave</t>
  </si>
  <si>
    <t>Kutztown</t>
  </si>
  <si>
    <t>Cindy</t>
  </si>
  <si>
    <t>Cindy Gildernick</t>
  </si>
  <si>
    <t>3165 Williams Grant Drive</t>
  </si>
  <si>
    <t>kylinrush@att.net</t>
  </si>
  <si>
    <t>kallgall21@gmail.com</t>
  </si>
  <si>
    <t>Katherine Rush</t>
  </si>
  <si>
    <t>720 Americas Cup Cv</t>
  </si>
  <si>
    <t>paloma1@fuse.net</t>
  </si>
  <si>
    <t>saphira770@gmail.com</t>
  </si>
  <si>
    <t>Lippert</t>
  </si>
  <si>
    <t>Madeleine Lippert</t>
  </si>
  <si>
    <t>Millstone Ct.</t>
  </si>
  <si>
    <t>samueljacobwaters@gmail.com</t>
  </si>
  <si>
    <t>Samuel Waters</t>
  </si>
  <si>
    <t>Carly Necessary</t>
  </si>
  <si>
    <t>taryntu@yahoo.com</t>
  </si>
  <si>
    <t>Taryn Tu</t>
  </si>
  <si>
    <t>102 Waterfront Drive</t>
  </si>
  <si>
    <t>paul.hrc@gmail.com</t>
  </si>
  <si>
    <t>Andrew Wilken</t>
  </si>
  <si>
    <t>annapaulineb2014@gmail.com</t>
  </si>
  <si>
    <t>23 Chelsea Ln</t>
  </si>
  <si>
    <t>libby.cedarlane@gmail.com</t>
  </si>
  <si>
    <t>Elizabeth Wilken</t>
  </si>
  <si>
    <t>313 Ridgewood Drive</t>
  </si>
  <si>
    <t>clipperk@live.com</t>
  </si>
  <si>
    <t>johanna.clipperton@gmail.com</t>
  </si>
  <si>
    <t>Clipperton</t>
  </si>
  <si>
    <t>Johanna Clipperton</t>
  </si>
  <si>
    <t>11930 S 217th St</t>
  </si>
  <si>
    <t>j_and_acraun@hotmail.com</t>
  </si>
  <si>
    <t>elliecraun08@gmail.com</t>
  </si>
  <si>
    <t>Elia</t>
  </si>
  <si>
    <t>Craun</t>
  </si>
  <si>
    <t>Elia Craun</t>
  </si>
  <si>
    <t>5925 Castlewood Lane</t>
  </si>
  <si>
    <t>mreeves@itsallaboutfamilies.org</t>
  </si>
  <si>
    <t>jacobyoung173@gmail.com</t>
  </si>
  <si>
    <t>Jacob Young</t>
  </si>
  <si>
    <t>567 Amanda Ct.</t>
  </si>
  <si>
    <t>Vacaville</t>
  </si>
  <si>
    <t>cstolfus@dentonbible.org</t>
  </si>
  <si>
    <t>Stolfus</t>
  </si>
  <si>
    <t>Leah Stolfus</t>
  </si>
  <si>
    <t>19 Wellington Oaks Circle</t>
  </si>
  <si>
    <t>joelynnbox17@yahoo.com</t>
  </si>
  <si>
    <t>thire242@gmail.com</t>
  </si>
  <si>
    <t>Christopher Lynn</t>
  </si>
  <si>
    <t>2818 W.Silver Lake Dr.</t>
  </si>
  <si>
    <t>sudaschool@hotmail.com</t>
  </si>
  <si>
    <t>Hermella</t>
  </si>
  <si>
    <t>Suda</t>
  </si>
  <si>
    <t>Hermella Suda</t>
  </si>
  <si>
    <t>ariannafrerk@gmail.com</t>
  </si>
  <si>
    <t>Frerk</t>
  </si>
  <si>
    <t>Arianna Frerk</t>
  </si>
  <si>
    <t>307 S Wood St.</t>
  </si>
  <si>
    <t>Paullina</t>
  </si>
  <si>
    <t>danmastrapa@gmail.com</t>
  </si>
  <si>
    <t>Mastrapa</t>
  </si>
  <si>
    <t>Arielle Mastrapa</t>
  </si>
  <si>
    <t>anna.j.dysinger@gmail.com</t>
  </si>
  <si>
    <t>Anna Dysinger</t>
  </si>
  <si>
    <t>krisntanya@hormail.com</t>
  </si>
  <si>
    <t>krisntanya@hotmail.com</t>
  </si>
  <si>
    <t>Andrea Lake</t>
  </si>
  <si>
    <t>1001 N. Shoreline Drive</t>
  </si>
  <si>
    <t>mrlake2@alaska.edu</t>
  </si>
  <si>
    <t>Margaret Lake</t>
  </si>
  <si>
    <t>jilldanielsen@gmail.com</t>
  </si>
  <si>
    <t>Rayalynnd@gmail.com</t>
  </si>
  <si>
    <t>Danielsen</t>
  </si>
  <si>
    <t>Raya Danielsen</t>
  </si>
  <si>
    <t>2320 70 ave ne</t>
  </si>
  <si>
    <t>Eyota</t>
  </si>
  <si>
    <t>jonas@guyscorner.us</t>
  </si>
  <si>
    <t>Jonas Guy</t>
  </si>
  <si>
    <t>Mzcat2004@gmail.com</t>
  </si>
  <si>
    <t>mzcat2004@gmail.com</t>
  </si>
  <si>
    <t>Medeiros</t>
  </si>
  <si>
    <t>Brooke Medeiros</t>
  </si>
  <si>
    <t>5316 Opuntia St</t>
  </si>
  <si>
    <t>Zion Laudermilch</t>
  </si>
  <si>
    <t>514 Jennings RD</t>
  </si>
  <si>
    <t>Wyalusing, PA 18853</t>
  </si>
  <si>
    <t>18fousekj@gmail.com</t>
  </si>
  <si>
    <t>Jake Fousek</t>
  </si>
  <si>
    <t>vsmjnorton@gmail.com</t>
  </si>
  <si>
    <t>joscelyn.norton15@gmail.com</t>
  </si>
  <si>
    <t>Joscelyn</t>
  </si>
  <si>
    <t>Joscelyn Norton</t>
  </si>
  <si>
    <t>41 Allen St.</t>
  </si>
  <si>
    <t>johnelizabethkea@gmail.com</t>
  </si>
  <si>
    <t>commanderkea@gmail.com</t>
  </si>
  <si>
    <t>Noah Kea</t>
  </si>
  <si>
    <t>1803 Waterford Rd</t>
  </si>
  <si>
    <t>6680 S Sylvan Lake Dr</t>
  </si>
  <si>
    <t>esparzafam5@gmail.com</t>
  </si>
  <si>
    <t>naresparza@gmail.com</t>
  </si>
  <si>
    <t>Ruiz Esparza</t>
  </si>
  <si>
    <t>Noah Ruiz Esparza</t>
  </si>
  <si>
    <t>2105 Beltline</t>
  </si>
  <si>
    <t>shinebrighter2020@gmail.com</t>
  </si>
  <si>
    <t>McCaughey</t>
  </si>
  <si>
    <t>Kylie McCaughey</t>
  </si>
  <si>
    <t>345 West 33rd. Ave</t>
  </si>
  <si>
    <t>ashtonberb@gmail.com</t>
  </si>
  <si>
    <t>21asberb@marion-isd.org</t>
  </si>
  <si>
    <t>Ashton Berberich</t>
  </si>
  <si>
    <t>390 Red Fox Rd SE</t>
  </si>
  <si>
    <t>artisticdreamer118@gmail.com</t>
  </si>
  <si>
    <t>T.</t>
  </si>
  <si>
    <t>T. Imchen</t>
  </si>
  <si>
    <t>kim@birddogrecruitment.com</t>
  </si>
  <si>
    <t>Jude Borchers</t>
  </si>
  <si>
    <t>5521 NW Timber Edge Dr.</t>
  </si>
  <si>
    <t>hillslarocks@gmail.com</t>
  </si>
  <si>
    <t>allielarock11@gmail.com</t>
  </si>
  <si>
    <t>LaRock</t>
  </si>
  <si>
    <t>Allie LaRock</t>
  </si>
  <si>
    <t>363 40th Ave</t>
  </si>
  <si>
    <t>leahfayedavis@gmail.com</t>
  </si>
  <si>
    <t>Leah Davis</t>
  </si>
  <si>
    <t>70618 335th St.</t>
  </si>
  <si>
    <t>alex.montenegro@comcast.net</t>
  </si>
  <si>
    <t>Alex Montenegro</t>
  </si>
  <si>
    <t>3477 Sussex St</t>
  </si>
  <si>
    <t>elorashaye@gmail.com</t>
  </si>
  <si>
    <t>Elora Kraft</t>
  </si>
  <si>
    <t>8899 Eagle Bay Court</t>
  </si>
  <si>
    <t>North Port</t>
  </si>
  <si>
    <t>mbpitcher94@gmail.com</t>
  </si>
  <si>
    <t>Hailey.pitcher21@gmail.com</t>
  </si>
  <si>
    <t>Pitcher</t>
  </si>
  <si>
    <t>Hailey Pitcher</t>
  </si>
  <si>
    <t>2576 N. 90th St.</t>
  </si>
  <si>
    <t>cindyhorton927@gmail.com</t>
  </si>
  <si>
    <t>sarahbearhorton@gmail.com</t>
  </si>
  <si>
    <t>Sarah Horton</t>
  </si>
  <si>
    <t>278 Horseshoe Cr.</t>
  </si>
  <si>
    <t>andy.schmeck@crosslifeefc.org</t>
  </si>
  <si>
    <t>gunnar403@att.net</t>
  </si>
  <si>
    <t>Emily Dunlap</t>
  </si>
  <si>
    <t>245 Southport Rd.</t>
  </si>
  <si>
    <t>esther.olson324@gmail.com</t>
  </si>
  <si>
    <t>Esther Olson</t>
  </si>
  <si>
    <t>410 Somerset Lane</t>
  </si>
  <si>
    <t>sdlingley@gmail.com</t>
  </si>
  <si>
    <t>Lingley</t>
  </si>
  <si>
    <t>Samuel Lingley</t>
  </si>
  <si>
    <t>912 Ataire Rd</t>
  </si>
  <si>
    <t>Newmarket</t>
  </si>
  <si>
    <t>L3X 1L3</t>
  </si>
  <si>
    <t>lynnhodgesaucoin@yahoo.com</t>
  </si>
  <si>
    <t>aucoin.andrew@yahoo.com</t>
  </si>
  <si>
    <t>Andrew Aucoin</t>
  </si>
  <si>
    <t>4364 Oxford Ave</t>
  </si>
  <si>
    <t>aliyah.balas@gmail.com</t>
  </si>
  <si>
    <t>Aliyah</t>
  </si>
  <si>
    <t>Aliyah Balas</t>
  </si>
  <si>
    <t>15221 W. Banff Ln</t>
  </si>
  <si>
    <t>ehatzell@sbcglobal.net</t>
  </si>
  <si>
    <t>Hatzell</t>
  </si>
  <si>
    <t>Austin Hatzell</t>
  </si>
  <si>
    <t>761 Arabian Circle</t>
  </si>
  <si>
    <t>henryjji@hotmail.com</t>
  </si>
  <si>
    <t>Lotte@teamtrailmix.com</t>
  </si>
  <si>
    <t>Lotte</t>
  </si>
  <si>
    <t>Manley</t>
  </si>
  <si>
    <t>Lotte Manley</t>
  </si>
  <si>
    <t>PO box 133</t>
  </si>
  <si>
    <t>Whitehall</t>
  </si>
  <si>
    <t>evie@vibrantpup.com</t>
  </si>
  <si>
    <t>Evangeline Manley</t>
  </si>
  <si>
    <t>karisnellbaker@gmail.com</t>
  </si>
  <si>
    <t>aidenb458@gmail.com</t>
  </si>
  <si>
    <t>Bridgeford</t>
  </si>
  <si>
    <t>Aiden Bridgeford</t>
  </si>
  <si>
    <t>33192 Dutton Road</t>
  </si>
  <si>
    <t>Wanette</t>
  </si>
  <si>
    <t>mikbyron@yahoo.com</t>
  </si>
  <si>
    <t>carterbyron3493@gmail.com</t>
  </si>
  <si>
    <t>Carter Byron</t>
  </si>
  <si>
    <t>16 Gulf Line Court</t>
  </si>
  <si>
    <t>darbsschuiteman@gmail.com</t>
  </si>
  <si>
    <t>Schuiteman</t>
  </si>
  <si>
    <t>Darby Schuiteman</t>
  </si>
  <si>
    <t>4352 Ironwood Ave</t>
  </si>
  <si>
    <t>rtsitiridis@hotmail.com</t>
  </si>
  <si>
    <t>Tsitiridism@gmail.com</t>
  </si>
  <si>
    <t>Tsitiridis</t>
  </si>
  <si>
    <t>Megan Tsitiridis</t>
  </si>
  <si>
    <t>10 Ray Palmer Re</t>
  </si>
  <si>
    <t>ashlynanndavis@gmail.com</t>
  </si>
  <si>
    <t>Ashlyn Davis</t>
  </si>
  <si>
    <t>nmo25@protonmail.com</t>
  </si>
  <si>
    <t>Nathan OConnor</t>
  </si>
  <si>
    <t>PO BOX 1O7</t>
  </si>
  <si>
    <t>1444 Upper Camas Rd.</t>
  </si>
  <si>
    <t>Camas VAlley</t>
  </si>
  <si>
    <t>sarahmichelehenson@gmail.com</t>
  </si>
  <si>
    <t>244 Texas St</t>
  </si>
  <si>
    <t>Apt 319</t>
  </si>
  <si>
    <t>salexgaspard@gmail.com</t>
  </si>
  <si>
    <t>Scott Gaspard</t>
  </si>
  <si>
    <t>733 South River Road</t>
  </si>
  <si>
    <t>lydiabandrews@att.net</t>
  </si>
  <si>
    <t>brandrews03@gmail.com</t>
  </si>
  <si>
    <t>Brooks Andrews</t>
  </si>
  <si>
    <t>132 Trillium Dr</t>
  </si>
  <si>
    <t>sherrylou.gilbert@gmail.com</t>
  </si>
  <si>
    <t>koryn.gilbert@gmail.com</t>
  </si>
  <si>
    <t>Koryn</t>
  </si>
  <si>
    <t>Koryn Gilbert</t>
  </si>
  <si>
    <t>6004 79th street</t>
  </si>
  <si>
    <t>cowanm99@gmail.com</t>
  </si>
  <si>
    <t>Mary Cowan</t>
  </si>
  <si>
    <t>1701 N Quaker Ave</t>
  </si>
  <si>
    <t>Apt 525</t>
  </si>
  <si>
    <t>hrethompson@gmail.com</t>
  </si>
  <si>
    <t>Thompsonemia@gmail.com</t>
  </si>
  <si>
    <t>Mia Thompson</t>
  </si>
  <si>
    <t>18 Ledgewood Dr</t>
  </si>
  <si>
    <t>alaffolter26@gmail.com</t>
  </si>
  <si>
    <t>Aleece</t>
  </si>
  <si>
    <t>Affolter</t>
  </si>
  <si>
    <t>Aleece Affolter</t>
  </si>
  <si>
    <t>2225 Timber Creek Dr.</t>
  </si>
  <si>
    <t>sfinley32@yahoo.com</t>
  </si>
  <si>
    <t>Samuel Finley</t>
  </si>
  <si>
    <t>2440 Newcastle Rd</t>
  </si>
  <si>
    <t>jenniferhweddle@gmail.com</t>
  </si>
  <si>
    <t>Jennifer Weddle</t>
  </si>
  <si>
    <t>2100 E. 53rd St. N.</t>
  </si>
  <si>
    <t>jpink102@gmail.com</t>
  </si>
  <si>
    <t>Julie Payne</t>
  </si>
  <si>
    <t>13014 Gibson Ln</t>
  </si>
  <si>
    <t>jdymmel@gmail.com</t>
  </si>
  <si>
    <t>gdymmel11@gmail.com</t>
  </si>
  <si>
    <t>Dymmel</t>
  </si>
  <si>
    <t>Gabriel Dymmel</t>
  </si>
  <si>
    <t>103 Core Drive East</t>
  </si>
  <si>
    <t>Morehead City</t>
  </si>
  <si>
    <t>anadimartino@gmail.com</t>
  </si>
  <si>
    <t>odimartino@icloud.com</t>
  </si>
  <si>
    <t>Di Martino</t>
  </si>
  <si>
    <t>Oliver Di Martino</t>
  </si>
  <si>
    <t>27821 Malaga Lane</t>
  </si>
  <si>
    <t>gaspardjb@gmail.com</t>
  </si>
  <si>
    <t>Jackson Gaspard</t>
  </si>
  <si>
    <t>1903 Beechgrove Dr</t>
  </si>
  <si>
    <t>etrice328@gmail.com</t>
  </si>
  <si>
    <t>Trice</t>
  </si>
  <si>
    <t>Elliana Trice</t>
  </si>
  <si>
    <t>160 Holbrook St</t>
  </si>
  <si>
    <t>josephtrooper04@gmail.com</t>
  </si>
  <si>
    <t>Joseph Julian</t>
  </si>
  <si>
    <t>381 Pine Street</t>
  </si>
  <si>
    <t>boehmivan01@gmail.com</t>
  </si>
  <si>
    <t>Ivan Boehm</t>
  </si>
  <si>
    <t>chrissyjh84@gmail.com</t>
  </si>
  <si>
    <t>Chrissy</t>
  </si>
  <si>
    <t>Harrell</t>
  </si>
  <si>
    <t>Chrissy Harrell</t>
  </si>
  <si>
    <t>iocampo51@yahoo.com</t>
  </si>
  <si>
    <t>Isaura</t>
  </si>
  <si>
    <t>Ocampo</t>
  </si>
  <si>
    <t>Isaura Ocampo</t>
  </si>
  <si>
    <t>PO Box 8551</t>
  </si>
  <si>
    <t>61 Callahan Wy G1</t>
  </si>
  <si>
    <t>Mammoth Lakes</t>
  </si>
  <si>
    <t>amstano@yahoo.com</t>
  </si>
  <si>
    <t>0emmastan0@gmail.com</t>
  </si>
  <si>
    <t>Emma Stano</t>
  </si>
  <si>
    <t>6908 Chelsea Dr NE</t>
  </si>
  <si>
    <t>jordanstoltzfoos95@gmail.com</t>
  </si>
  <si>
    <t>Stoltzfoos</t>
  </si>
  <si>
    <t>Jordan Stoltzfoos</t>
  </si>
  <si>
    <t>792 Musser School Rd</t>
  </si>
  <si>
    <t>Gordonville</t>
  </si>
  <si>
    <t>WendelM@cmalliance.org</t>
  </si>
  <si>
    <t>olivia.wendel2021@gmail.com</t>
  </si>
  <si>
    <t>Elisabeth Wendel</t>
  </si>
  <si>
    <t>599 South Fairview Ave</t>
  </si>
  <si>
    <t>montanakkids@gmail.com</t>
  </si>
  <si>
    <t>katiebb.k4@gmail.com</t>
  </si>
  <si>
    <t>Katriel</t>
  </si>
  <si>
    <t>Katriel Beebe</t>
  </si>
  <si>
    <t>709 Dean Dr.</t>
  </si>
  <si>
    <t>chartony3@gmail.com</t>
  </si>
  <si>
    <t>Juliannev423@gmail.com</t>
  </si>
  <si>
    <t>Vicari</t>
  </si>
  <si>
    <t>Julianne Vicari</t>
  </si>
  <si>
    <t>2226 Glenhaven Dr</t>
  </si>
  <si>
    <t>HIghlands Ranch</t>
  </si>
  <si>
    <t>103photos@gmail.com</t>
  </si>
  <si>
    <t>hunterjay1@icloud.com</t>
  </si>
  <si>
    <t>Eberhardt</t>
  </si>
  <si>
    <t>Hunter Eberhardt</t>
  </si>
  <si>
    <t>3019 S. Goshen Way</t>
  </si>
  <si>
    <t>fmwo@twc.com</t>
  </si>
  <si>
    <t>olivia.carroll212@outlook.com</t>
  </si>
  <si>
    <t>Olivia Carroll</t>
  </si>
  <si>
    <t>1389 Forsyth Rd</t>
  </si>
  <si>
    <t>anderson.kron@icloud.com</t>
  </si>
  <si>
    <t>Kron</t>
  </si>
  <si>
    <t>Anderson Kron</t>
  </si>
  <si>
    <t>574 E Observation Drive</t>
  </si>
  <si>
    <t>harroldkidfarm@hotmail.com</t>
  </si>
  <si>
    <t>constancejoy12@gmail.com</t>
  </si>
  <si>
    <t>Harrold</t>
  </si>
  <si>
    <t>Constance Harrold</t>
  </si>
  <si>
    <t>1402 S. 1rst St.</t>
  </si>
  <si>
    <t>noahjharrold@gmail.com</t>
  </si>
  <si>
    <t>Noah Harrold</t>
  </si>
  <si>
    <t>gomezsarahr@gmail.com</t>
  </si>
  <si>
    <t>gomezlopezbm@gmail.com</t>
  </si>
  <si>
    <t>Marco Lopez</t>
  </si>
  <si>
    <t>160 Nettleton Rd Apt. 49</t>
  </si>
  <si>
    <t>jeremy.brillhart@gmail.com</t>
  </si>
  <si>
    <t>Brillhart</t>
  </si>
  <si>
    <t>Jeremy Brillhart</t>
  </si>
  <si>
    <t>23962 Oswego St</t>
  </si>
  <si>
    <t>jasonpolly@gmail.com</t>
  </si>
  <si>
    <t>calebnoble03@gmail.com</t>
  </si>
  <si>
    <t>Caleb Noble</t>
  </si>
  <si>
    <t>2 Castle Peak Road</t>
  </si>
  <si>
    <t>Tuen Mun</t>
  </si>
  <si>
    <t>New Territories</t>
  </si>
  <si>
    <t>ruthie.swart@gmail.com</t>
  </si>
  <si>
    <t>25805 SW Rogol Dr.</t>
  </si>
  <si>
    <t>688 HIlls-Miller Rd.</t>
  </si>
  <si>
    <t>ojfashian@gmail.com</t>
  </si>
  <si>
    <t>tmpasquale@comcast.net</t>
  </si>
  <si>
    <t>laurenp7531@gmail.com</t>
  </si>
  <si>
    <t>Pellegrino</t>
  </si>
  <si>
    <t>Lauren Pellegrino</t>
  </si>
  <si>
    <t>826 Molly Circle</t>
  </si>
  <si>
    <t>Maya Gavette</t>
  </si>
  <si>
    <t>quizzingforchrist@gmail.com</t>
  </si>
  <si>
    <t>Nathan Aubrey</t>
  </si>
  <si>
    <t>17682 West 156th Street</t>
  </si>
  <si>
    <t>foster_brent@allergan.com</t>
  </si>
  <si>
    <t>Braytonfoster@icloud.com</t>
  </si>
  <si>
    <t>Brayton</t>
  </si>
  <si>
    <t>Brayton Foster</t>
  </si>
  <si>
    <t>4755 Lake Sarah Heights Cr</t>
  </si>
  <si>
    <t>lily.bingo.me@gmail.com</t>
  </si>
  <si>
    <t>Sarah Kramer</t>
  </si>
  <si>
    <t>3963 Illinois Bench Rd</t>
  </si>
  <si>
    <t>paytont20@gmail.com</t>
  </si>
  <si>
    <t>Payton Thomas</t>
  </si>
  <si>
    <t>211 Khaki Campbell Way</t>
  </si>
  <si>
    <t>hegivesgrace2000@gmail.com</t>
  </si>
  <si>
    <t>Grace Parker</t>
  </si>
  <si>
    <t>7584 Willis Road</t>
  </si>
  <si>
    <t>Gloucester</t>
  </si>
  <si>
    <t>Polarfox.jtds@gmail.com</t>
  </si>
  <si>
    <t>Joline</t>
  </si>
  <si>
    <t>Schiffner</t>
  </si>
  <si>
    <t>Joline Schiffner</t>
  </si>
  <si>
    <t>526 Meeker St.</t>
  </si>
  <si>
    <t>heidave@comcast.net</t>
  </si>
  <si>
    <t>eforce74@gmail.com</t>
  </si>
  <si>
    <t>Domagala</t>
  </si>
  <si>
    <t>Ethan Domagala</t>
  </si>
  <si>
    <t>2265 S Hoyt Ct</t>
  </si>
  <si>
    <t>milesvz13@gmail.com</t>
  </si>
  <si>
    <t>Miles Van Zweden</t>
  </si>
  <si>
    <t>kylieannsorensen18@gmail.com</t>
  </si>
  <si>
    <t>Kylie Sorensen</t>
  </si>
  <si>
    <t>7411 Center Rd</t>
  </si>
  <si>
    <t>Manitowoc</t>
  </si>
  <si>
    <t>cheesemanx19@gmail.com</t>
  </si>
  <si>
    <t>Jonas Van Zweden</t>
  </si>
  <si>
    <t>jubileejoygeiger@gmail.com</t>
  </si>
  <si>
    <t>Jubilee Geiger</t>
  </si>
  <si>
    <t>4926 162nd Ave. NE</t>
  </si>
  <si>
    <t>laura.m.litteral@gmail.com</t>
  </si>
  <si>
    <t>Laura Litteral</t>
  </si>
  <si>
    <t>8820 Iris Ct.</t>
  </si>
  <si>
    <t>van1745@att.net</t>
  </si>
  <si>
    <t>walker200225@ outlook.com</t>
  </si>
  <si>
    <t>300 dill rd</t>
  </si>
  <si>
    <t>Pheba</t>
  </si>
  <si>
    <t>d.guna@gvcal.com</t>
  </si>
  <si>
    <t>isaacgeorge2002@gmail.com</t>
  </si>
  <si>
    <t>Gunaseelan</t>
  </si>
  <si>
    <t>Isaac Gunaseelan</t>
  </si>
  <si>
    <t>7a, Ksbanbai Batyr Street</t>
  </si>
  <si>
    <t>Almaty</t>
  </si>
  <si>
    <t>Kazakhstan</t>
  </si>
  <si>
    <t>dd.foust@live.com</t>
  </si>
  <si>
    <t>josiahfoust@gmail.com</t>
  </si>
  <si>
    <t>Foust</t>
  </si>
  <si>
    <t>Josiah Foust</t>
  </si>
  <si>
    <t>375 Township Rd. 198</t>
  </si>
  <si>
    <t>Centerburg</t>
  </si>
  <si>
    <t>rodriguez.02.nl@gmail.com</t>
  </si>
  <si>
    <t>Rodriguez.02.nl@gmail.com</t>
  </si>
  <si>
    <t>Naomi Rodriguez</t>
  </si>
  <si>
    <t>1972 11 1/2 Street</t>
  </si>
  <si>
    <t>AvaSwanson@me.com</t>
  </si>
  <si>
    <t>Ava Swanson</t>
  </si>
  <si>
    <t>abbye1237@gmail.com</t>
  </si>
  <si>
    <t>Abby Wittmer</t>
  </si>
  <si>
    <t>112 Briarwood St</t>
  </si>
  <si>
    <t>Sulphur Springs</t>
  </si>
  <si>
    <t>Tianna</t>
  </si>
  <si>
    <t>Grispo</t>
  </si>
  <si>
    <t>Tianna Grispo</t>
  </si>
  <si>
    <t>lesleighwingate@yahoo.com</t>
  </si>
  <si>
    <t>alex.j.wingate@gmail.com</t>
  </si>
  <si>
    <t>Alexander Wingate</t>
  </si>
  <si>
    <t>1733 J W Way</t>
  </si>
  <si>
    <t>jesusptp13@gmail.com</t>
  </si>
  <si>
    <t>Jesusptp13@gmail.com</t>
  </si>
  <si>
    <t>6152 W Oakland St</t>
  </si>
  <si>
    <t>Unit 224</t>
  </si>
  <si>
    <t>kebrandon@mail.umhb.edu</t>
  </si>
  <si>
    <t>Honnas</t>
  </si>
  <si>
    <t>Karalyn Honnas</t>
  </si>
  <si>
    <t>4101 W. Adams Ave</t>
  </si>
  <si>
    <t>kennyhonnas28@gmail.com</t>
  </si>
  <si>
    <t>Clifford Honnas</t>
  </si>
  <si>
    <t>4101 W. Adams Ave.</t>
  </si>
  <si>
    <t>rowanoak10103@gmail.com</t>
  </si>
  <si>
    <t>Kenna McGrew</t>
  </si>
  <si>
    <t>101 CR 97</t>
  </si>
  <si>
    <t>2cograhams@gmail.com</t>
  </si>
  <si>
    <t>ashlyn@dnagraham.com</t>
  </si>
  <si>
    <t>Ashlyn Graham</t>
  </si>
  <si>
    <t>5049 Sodbuster Trail</t>
  </si>
  <si>
    <t>tschantzheards@iowatelecom.net</t>
  </si>
  <si>
    <t>lizzytschantz2001@gmail.com</t>
  </si>
  <si>
    <t>Tschantz</t>
  </si>
  <si>
    <t>Elizabeth Tschantz</t>
  </si>
  <si>
    <t>33549 690th Avenue</t>
  </si>
  <si>
    <t>drewtschantz2004@gmail.com</t>
  </si>
  <si>
    <t>Andrew Tschantz</t>
  </si>
  <si>
    <t>33549 690th Ave.</t>
  </si>
  <si>
    <t>MichaelDBaerg@gmail.com</t>
  </si>
  <si>
    <t>Mia Baerg</t>
  </si>
  <si>
    <t>tingtingbrom@gmail.com</t>
  </si>
  <si>
    <t>4532 Morris Road</t>
  </si>
  <si>
    <t>Ruthiehaentsch@icloud.com</t>
  </si>
  <si>
    <t>Haentsh</t>
  </si>
  <si>
    <t>Ruthie Haentsh</t>
  </si>
  <si>
    <t>kijackiehong@yahoo.com</t>
  </si>
  <si>
    <t>A20hong@saes.org</t>
  </si>
  <si>
    <t>Alex Hong</t>
  </si>
  <si>
    <t>935 Douglass dr</t>
  </si>
  <si>
    <t>sheppardlife@gmail.com</t>
  </si>
  <si>
    <t>yellinkellyn2@yahoo.com</t>
  </si>
  <si>
    <t>Kellyn</t>
  </si>
  <si>
    <t>Sheppard</t>
  </si>
  <si>
    <t>Kellyn Sheppard</t>
  </si>
  <si>
    <t>1015 S. MacFarlane Ct.</t>
  </si>
  <si>
    <t>hyena_29@yahoo.com</t>
  </si>
  <si>
    <t>twlc7878@gmail.com</t>
  </si>
  <si>
    <t>Schrank</t>
  </si>
  <si>
    <t>Quinn Schrank</t>
  </si>
  <si>
    <t>8226 NE 125th Pl</t>
  </si>
  <si>
    <t>dianeepowers7@yahoo.com</t>
  </si>
  <si>
    <t>Elisabeth.powers@yahoo.com</t>
  </si>
  <si>
    <t>Elisabeth Powers</t>
  </si>
  <si>
    <t>278 North Union Street</t>
  </si>
  <si>
    <t>lydiapowers1.7@gmail.com</t>
  </si>
  <si>
    <t>Lydiapowers1.7@gmail.com</t>
  </si>
  <si>
    <t>278 N. Union St.</t>
  </si>
  <si>
    <t>chess.lover.kouma@hotmail.com</t>
  </si>
  <si>
    <t>Sean Kouma</t>
  </si>
  <si>
    <t>Jenna.wayman@outlook.com</t>
  </si>
  <si>
    <t>Jenna Wayman</t>
  </si>
  <si>
    <t>173 Winding Glen drive NW</t>
  </si>
  <si>
    <t>shannon@Kairoiinc.com</t>
  </si>
  <si>
    <t>rileigheileen@gmail.com</t>
  </si>
  <si>
    <t>Rileigh</t>
  </si>
  <si>
    <t>Arne</t>
  </si>
  <si>
    <t>Rileigh Arne</t>
  </si>
  <si>
    <t>1808 Jack Nicklaus Drive</t>
  </si>
  <si>
    <t>Elk Point</t>
  </si>
  <si>
    <t>cadencurtis629@gmail.com</t>
  </si>
  <si>
    <t>Caden Arne</t>
  </si>
  <si>
    <t>nancyhbrannon@gmail.com</t>
  </si>
  <si>
    <t>Clarkston Brannon</t>
  </si>
  <si>
    <t>voightfam@gmail.com</t>
  </si>
  <si>
    <t>voight</t>
  </si>
  <si>
    <t>Caleb voight</t>
  </si>
  <si>
    <t>41229 10th ave</t>
  </si>
  <si>
    <t>Nerstrand</t>
  </si>
  <si>
    <t>Voight</t>
  </si>
  <si>
    <t>Joshua Voight</t>
  </si>
  <si>
    <t>emmie.lucia2002@gmail.com</t>
  </si>
  <si>
    <t>Emma Lucia</t>
  </si>
  <si>
    <t>lmiller@milco.us</t>
  </si>
  <si>
    <t>mjmiller6@liberty.edu</t>
  </si>
  <si>
    <t>Maxwell Miller</t>
  </si>
  <si>
    <t>15609 Ryder Cup Dr.</t>
  </si>
  <si>
    <t>drbillmaier@gmail.com</t>
  </si>
  <si>
    <t>josephmaier29@gmail.com</t>
  </si>
  <si>
    <t>Joseph Maier</t>
  </si>
  <si>
    <t>3272 117th Lane NE</t>
  </si>
  <si>
    <t>laurenehale@yahoo.com</t>
  </si>
  <si>
    <t>Laurenehale@yahoo.com</t>
  </si>
  <si>
    <t>Lauren Hale</t>
  </si>
  <si>
    <t>14 Kingsford Court</t>
  </si>
  <si>
    <t>jared.powe@gmail.com</t>
  </si>
  <si>
    <t>Powe</t>
  </si>
  <si>
    <t>Jared Powe</t>
  </si>
  <si>
    <t>31 James Pittman Road</t>
  </si>
  <si>
    <t>hummerzrock@gmail.com</t>
  </si>
  <si>
    <t>Borja</t>
  </si>
  <si>
    <t>Seth Borja</t>
  </si>
  <si>
    <t>21022 Los Alisos Blvd</t>
  </si>
  <si>
    <t>PO Box 80463</t>
  </si>
  <si>
    <t>susie.mcintosh@musco.com</t>
  </si>
  <si>
    <t>La.mcintosh21@gmail.com</t>
  </si>
  <si>
    <t>McIntosh</t>
  </si>
  <si>
    <t>Lauren McIntosh</t>
  </si>
  <si>
    <t>1226 Vista Court</t>
  </si>
  <si>
    <t>Julialrat@icloud.com</t>
  </si>
  <si>
    <t>Julia Ratliff</t>
  </si>
  <si>
    <t>jshields.afcc@yahoo.com</t>
  </si>
  <si>
    <t>Jamesshieldsmeow@gmail.com</t>
  </si>
  <si>
    <t>James Shields</t>
  </si>
  <si>
    <t>4942 E Glenview Avenue</t>
  </si>
  <si>
    <t>kerisimmons2@hotmail.com</t>
  </si>
  <si>
    <t>simniai@outlook.com</t>
  </si>
  <si>
    <t>Iain</t>
  </si>
  <si>
    <t>Iain Simmons</t>
  </si>
  <si>
    <t>352 Wisconsin</t>
  </si>
  <si>
    <t>okabazzi@gmail.com</t>
  </si>
  <si>
    <t>reachnatalie@protonmail.com</t>
  </si>
  <si>
    <t>Kabazzi</t>
  </si>
  <si>
    <t>Natalie Kabazzi</t>
  </si>
  <si>
    <t>12852 Bison Ct</t>
  </si>
  <si>
    <t>Fifthdaviskg@gmail.com</t>
  </si>
  <si>
    <t>Kathryn Davis</t>
  </si>
  <si>
    <t>khvivanco@gmail.com</t>
  </si>
  <si>
    <t>Kelly Vivanco</t>
  </si>
  <si>
    <t>wmthorn@hotmail.com</t>
  </si>
  <si>
    <t>rrtpo@hotmail.com</t>
  </si>
  <si>
    <t>Thornhill</t>
  </si>
  <si>
    <t>Rachel Thornhill</t>
  </si>
  <si>
    <t>616 Cold Branch Drive</t>
  </si>
  <si>
    <t>jcarrell@its.jnj.com</t>
  </si>
  <si>
    <t>levi</t>
  </si>
  <si>
    <t>carrell</t>
  </si>
  <si>
    <t>levi carrell</t>
  </si>
  <si>
    <t>tmauble@yahoo.com</t>
  </si>
  <si>
    <t>Auble</t>
  </si>
  <si>
    <t>Nehemiah Auble</t>
  </si>
  <si>
    <t>Carrell</t>
  </si>
  <si>
    <t>Faith Carrell</t>
  </si>
  <si>
    <t>littlepaap@gmail.com</t>
  </si>
  <si>
    <t>Paap</t>
  </si>
  <si>
    <t>Seth Paap</t>
  </si>
  <si>
    <t>1 Open View Lane</t>
  </si>
  <si>
    <t>msholes9@gmail.com</t>
  </si>
  <si>
    <t>Spencer Otto</t>
  </si>
  <si>
    <t>485 Short Street/POB 55</t>
  </si>
  <si>
    <t>bibighaus@acm.org</t>
  </si>
  <si>
    <t>katebibighaus@gmail.com</t>
  </si>
  <si>
    <t>Bibighaus</t>
  </si>
  <si>
    <t>Kate Bibighaus</t>
  </si>
  <si>
    <t>1265 S. Park Dr.</t>
  </si>
  <si>
    <t>denise.illum@me.com</t>
  </si>
  <si>
    <t>alex.illum@icloud.com</t>
  </si>
  <si>
    <t>Illum</t>
  </si>
  <si>
    <t>Alex Illum</t>
  </si>
  <si>
    <t>2403 W. Dearborn St.</t>
  </si>
  <si>
    <t>03.yuncai@gmail.com</t>
  </si>
  <si>
    <t>Alea</t>
  </si>
  <si>
    <t>Alea Brown</t>
  </si>
  <si>
    <t>8235 Drayton Hall Drive</t>
  </si>
  <si>
    <t>neesalko@me.com</t>
  </si>
  <si>
    <t>Neeleigh</t>
  </si>
  <si>
    <t>Salko</t>
  </si>
  <si>
    <t>Neeleigh Salko</t>
  </si>
  <si>
    <t>7824 Monterey Bay Drive</t>
  </si>
  <si>
    <t>natsalko@me.com</t>
  </si>
  <si>
    <t>Natalie Salko</t>
  </si>
  <si>
    <t>lori@galaxie.com</t>
  </si>
  <si>
    <t>Keathley</t>
  </si>
  <si>
    <t>Kara Keathley</t>
  </si>
  <si>
    <t>geekyson@gmail.com</t>
  </si>
  <si>
    <t>David Flynn</t>
  </si>
  <si>
    <t>593 N Hunt Ave</t>
  </si>
  <si>
    <t>Hydro</t>
  </si>
  <si>
    <t>hlayne78@hotmail.com</t>
  </si>
  <si>
    <t>Abigail.spivey@hotmail.com</t>
  </si>
  <si>
    <t>Abigail Spivey</t>
  </si>
  <si>
    <t>2595 Penhurst Place</t>
  </si>
  <si>
    <t>pete@carlsoncrew.org</t>
  </si>
  <si>
    <t>Pete</t>
  </si>
  <si>
    <t>Pete Carlson</t>
  </si>
  <si>
    <t>810 Nile Drive</t>
  </si>
  <si>
    <t>hpipp@att.net</t>
  </si>
  <si>
    <t>Pipp</t>
  </si>
  <si>
    <t>Hannah Pipp</t>
  </si>
  <si>
    <t>2515 Ridgeill Dr.</t>
  </si>
  <si>
    <t>acoffeebean27@gmail.com</t>
  </si>
  <si>
    <t>Annalise Bean</t>
  </si>
  <si>
    <t>thenewtonfamilyingermany@hotmail.com</t>
  </si>
  <si>
    <t>josiahnewton9@gmail.com</t>
  </si>
  <si>
    <t>Josiah Newton</t>
  </si>
  <si>
    <t>428 Ridge Dr</t>
  </si>
  <si>
    <t>rathke5@msn.com</t>
  </si>
  <si>
    <t>alianna.rathke@gmail.com</t>
  </si>
  <si>
    <t>Alianna</t>
  </si>
  <si>
    <t>Rathke</t>
  </si>
  <si>
    <t>Alianna Rathke</t>
  </si>
  <si>
    <t>7883 S. Ogden Ct</t>
  </si>
  <si>
    <t>baumanns4@yahoo.com</t>
  </si>
  <si>
    <t>ebaumann03@yahoo.com</t>
  </si>
  <si>
    <t>Baumann</t>
  </si>
  <si>
    <t>Emma Baumann</t>
  </si>
  <si>
    <t>20476 E Euclid Lane</t>
  </si>
  <si>
    <t>trstenjak@sbcglobal.net</t>
  </si>
  <si>
    <t>Trstenjak</t>
  </si>
  <si>
    <t>Noah Trstenjak</t>
  </si>
  <si>
    <t>3714 Altamira</t>
  </si>
  <si>
    <t>tarajwilliams@yahoo.com</t>
  </si>
  <si>
    <t>baileyelainewilliams@gmail.com</t>
  </si>
  <si>
    <t>Bailey Williams</t>
  </si>
  <si>
    <t>18860 Lake Forest Lane</t>
  </si>
  <si>
    <t>mdmsorwp@msn.com</t>
  </si>
  <si>
    <t>lillianfaithdurocher@hotmail.com</t>
  </si>
  <si>
    <t>Durocher</t>
  </si>
  <si>
    <t>Lily Durocher</t>
  </si>
  <si>
    <t>900 County Road 326</t>
  </si>
  <si>
    <t>Moulton</t>
  </si>
  <si>
    <t>kristaamberhallett@gmail.com</t>
  </si>
  <si>
    <t>kristaamberhallett@nebpanthers.com</t>
  </si>
  <si>
    <t>Hallett</t>
  </si>
  <si>
    <t>Krista Hallett</t>
  </si>
  <si>
    <t>234 Warren Center Rd</t>
  </si>
  <si>
    <t>joelmbryan@gmail.com</t>
  </si>
  <si>
    <t>Joel Bryan</t>
  </si>
  <si>
    <t>5502 Caldwell Road</t>
  </si>
  <si>
    <t>daisyhwrites@gmail.com</t>
  </si>
  <si>
    <t>ericafloret@gmail.com</t>
  </si>
  <si>
    <t>Erin Hill</t>
  </si>
  <si>
    <t>18025 S US Highway 63</t>
  </si>
  <si>
    <t>gillilandmj@msn.com</t>
  </si>
  <si>
    <t>Tinyblueowls@outlook.com</t>
  </si>
  <si>
    <t>Joanna Gilliland</t>
  </si>
  <si>
    <t>723 Greenbush Drive</t>
  </si>
  <si>
    <t>cowboyclayt@gmail.com</t>
  </si>
  <si>
    <t>Clayton Hill</t>
  </si>
  <si>
    <t>18025 South US Highway 63</t>
  </si>
  <si>
    <t>elleefranklin@gmail.com</t>
  </si>
  <si>
    <t>Ellee</t>
  </si>
  <si>
    <t>Ellee Franklin</t>
  </si>
  <si>
    <t>2013 Coleman Ct.</t>
  </si>
  <si>
    <t>korinnejoyharris@gmail.com</t>
  </si>
  <si>
    <t>Korinne</t>
  </si>
  <si>
    <t>Korinne Harris</t>
  </si>
  <si>
    <t>1129 Wilson Ct</t>
  </si>
  <si>
    <t>wyomingmom3@hotmail.com</t>
  </si>
  <si>
    <t>effarmgirl@gmail.com</t>
  </si>
  <si>
    <t>Emily Fowler</t>
  </si>
  <si>
    <t>hewittcontact@gmail.com</t>
  </si>
  <si>
    <t>a.k.hewitt1779@gmail.com</t>
  </si>
  <si>
    <t>Abrianna</t>
  </si>
  <si>
    <t>Abrianna Hewitt</t>
  </si>
  <si>
    <t>28660  Sunup Circle</t>
  </si>
  <si>
    <t>jaylaheineman@gmail.com</t>
  </si>
  <si>
    <t>Heineman</t>
  </si>
  <si>
    <t>Jayla Heineman</t>
  </si>
  <si>
    <t>4840 Dove Hill Ave</t>
  </si>
  <si>
    <t>haileygirl402@gmail.com</t>
  </si>
  <si>
    <t>Hailey Nelson</t>
  </si>
  <si>
    <t>316 East Main Street</t>
  </si>
  <si>
    <t>Moweaqua</t>
  </si>
  <si>
    <t>keith@kelview.com</t>
  </si>
  <si>
    <t>Thenerdyturtle2@gmail.com</t>
  </si>
  <si>
    <t>Madison Hamilton</t>
  </si>
  <si>
    <t>3513 Coquina Ln</t>
  </si>
  <si>
    <t>mgbowiver2@gmail.com</t>
  </si>
  <si>
    <t>Boggs</t>
  </si>
  <si>
    <t>Madison Boggs</t>
  </si>
  <si>
    <t>11206 Leila Park Ct</t>
  </si>
  <si>
    <t>mmupton@gmail.com</t>
  </si>
  <si>
    <t>maxwell.upton@icloud.com</t>
  </si>
  <si>
    <t>Maxwell Upton</t>
  </si>
  <si>
    <t>8303 Wildewood Circle</t>
  </si>
  <si>
    <t>cass.stutzman11@gmail.com</t>
  </si>
  <si>
    <t>cassidystutzman02@gmail.com</t>
  </si>
  <si>
    <t>Cassidy Stutzman</t>
  </si>
  <si>
    <t>3719 Silver Falls Dr. NE</t>
  </si>
  <si>
    <t>djsims422@gmail.com</t>
  </si>
  <si>
    <t>Daniel Sims</t>
  </si>
  <si>
    <t>6203 Creekside Park Dr</t>
  </si>
  <si>
    <t>abbiekuiper@gmail.com</t>
  </si>
  <si>
    <t>Kuiper</t>
  </si>
  <si>
    <t>Abbie Kuiper</t>
  </si>
  <si>
    <t>1615 Willow Street</t>
  </si>
  <si>
    <t>annab.a.n.a.n.a@hotmail.com</t>
  </si>
  <si>
    <t>Anna Baack</t>
  </si>
  <si>
    <t>mjjohnson7@hotmail.com</t>
  </si>
  <si>
    <t>Abigail Johnson</t>
  </si>
  <si>
    <t>7702 N Dusty Trail Way</t>
  </si>
  <si>
    <t>aishamartin230@gmail.com</t>
  </si>
  <si>
    <t>Aisha</t>
  </si>
  <si>
    <t>Aisha Martin</t>
  </si>
  <si>
    <t>230 Lower Hopewell Road</t>
  </si>
  <si>
    <t>kannmd@gmail.com</t>
  </si>
  <si>
    <t>johnadelozier@gmail.com</t>
  </si>
  <si>
    <t>DeLozier</t>
  </si>
  <si>
    <t>John DeLozier</t>
  </si>
  <si>
    <t>154 North Dogwood Street</t>
  </si>
  <si>
    <t>hostler_lisa@yahoo.com</t>
  </si>
  <si>
    <t>hostler_joshua@yahoo.com</t>
  </si>
  <si>
    <t>Joshua Hostler</t>
  </si>
  <si>
    <t>1656 S County Line RD</t>
  </si>
  <si>
    <t>brenda@bisque.com</t>
  </si>
  <si>
    <t>Willbisque@gmail.com</t>
  </si>
  <si>
    <t>Bisque</t>
  </si>
  <si>
    <t>William Bisque</t>
  </si>
  <si>
    <t>9356 Blue Mountain Drive</t>
  </si>
  <si>
    <t>merrilee@bisque.com</t>
  </si>
  <si>
    <t>Joseph@bisque.com</t>
  </si>
  <si>
    <t>Joe Bisque</t>
  </si>
  <si>
    <t>9113 Fern Way</t>
  </si>
  <si>
    <t>Hlayne78@hotmail.com</t>
  </si>
  <si>
    <t>Benjamin Spivey</t>
  </si>
  <si>
    <t>mattmgschneider@gmail.com</t>
  </si>
  <si>
    <t>Matthew Schneider</t>
  </si>
  <si>
    <t>5909 Big Pine Dr.</t>
  </si>
  <si>
    <t>sgschneider2017@gmail.com</t>
  </si>
  <si>
    <t>Steven Schneider</t>
  </si>
  <si>
    <t>5909 Big Pine Dr</t>
  </si>
  <si>
    <t>stone_thrower@msn.com</t>
  </si>
  <si>
    <t>Cason</t>
  </si>
  <si>
    <t>Cason David</t>
  </si>
  <si>
    <t>levin6@comcast.net</t>
  </si>
  <si>
    <t>tommygirllevin@gmail.com</t>
  </si>
  <si>
    <t>Lauren Levin</t>
  </si>
  <si>
    <t>1532 Magnolia Avenue</t>
  </si>
  <si>
    <t>Rohnert Park</t>
  </si>
  <si>
    <t>masterjk10@yahoo.com</t>
  </si>
  <si>
    <t>Kesselring</t>
  </si>
  <si>
    <t>Jacob Kesselring</t>
  </si>
  <si>
    <t>721 Allbright Rd.</t>
  </si>
  <si>
    <t>aleasha.hintz@gmail.com</t>
  </si>
  <si>
    <t>Aleasha</t>
  </si>
  <si>
    <t>Aleasha Hintz</t>
  </si>
  <si>
    <t>949 Westview Circle Drive</t>
  </si>
  <si>
    <t>Onalaska</t>
  </si>
  <si>
    <t>sherry.domer@gmail.com</t>
  </si>
  <si>
    <t>and02.domer@gmail.com</t>
  </si>
  <si>
    <t>Domer</t>
  </si>
  <si>
    <t>Anna Domer</t>
  </si>
  <si>
    <t>abistarseeker@gmail.com</t>
  </si>
  <si>
    <t>Abigail Domer</t>
  </si>
  <si>
    <t>2619 26th Ave</t>
  </si>
  <si>
    <t>memayberry777@gmail.com</t>
  </si>
  <si>
    <t>Tcmayberry777@gmail.com</t>
  </si>
  <si>
    <t>Thomas Mayberry</t>
  </si>
  <si>
    <t>216 N Woodlake Dr</t>
  </si>
  <si>
    <t>cssteffan@yahoo.com</t>
  </si>
  <si>
    <t>josiah.steffan@gmail.com</t>
  </si>
  <si>
    <t>Steffan</t>
  </si>
  <si>
    <t>Josiah Steffan</t>
  </si>
  <si>
    <t>21 Conway Drive</t>
  </si>
  <si>
    <t>taytaygracewallace@gmail.com</t>
  </si>
  <si>
    <t>Taylor Wallace</t>
  </si>
  <si>
    <t>4013 Echo Ridge Place</t>
  </si>
  <si>
    <t>Hannahgrace2003@icloud.com</t>
  </si>
  <si>
    <t>Hannah Trammell</t>
  </si>
  <si>
    <t>6350 Alfred Harrell Hwy</t>
  </si>
  <si>
    <t>nascarjared@gmail.com</t>
  </si>
  <si>
    <t>Jared Wallace</t>
  </si>
  <si>
    <t>4013 echo ridge pl</t>
  </si>
  <si>
    <t>thelimburgs@gmail.com</t>
  </si>
  <si>
    <t>limburgjack@gmail.com</t>
  </si>
  <si>
    <t>Limburg</t>
  </si>
  <si>
    <t>Jack Limburg</t>
  </si>
  <si>
    <t>949 Aspen Village Road</t>
  </si>
  <si>
    <t>ianlimburg@gmail.com</t>
  </si>
  <si>
    <t>Ian Limburg</t>
  </si>
  <si>
    <t>tuckerscoma@gmail.com</t>
  </si>
  <si>
    <t>Tucker Scoma</t>
  </si>
  <si>
    <t>bekahjordan1@gmail.com</t>
  </si>
  <si>
    <t>Rebekah Lamb</t>
  </si>
  <si>
    <t>1627 W Main Street</t>
  </si>
  <si>
    <t>Ste 101</t>
  </si>
  <si>
    <t>pboras45@gmail.com</t>
  </si>
  <si>
    <t>Boras</t>
  </si>
  <si>
    <t>Parker Boras</t>
  </si>
  <si>
    <t>davpatmore@gamil.com</t>
  </si>
  <si>
    <t>davpatmore@gmail.com</t>
  </si>
  <si>
    <t>Moreau</t>
  </si>
  <si>
    <t>David Moreau</t>
  </si>
  <si>
    <t>3209 s. griset pl.</t>
  </si>
  <si>
    <t>santa ana</t>
  </si>
  <si>
    <t>Jesse Lamb</t>
  </si>
  <si>
    <t>cmaxparker@gmail.com</t>
  </si>
  <si>
    <t>Cayla Parker</t>
  </si>
  <si>
    <t>7778 Morgan Creek Road</t>
  </si>
  <si>
    <t>Leland</t>
  </si>
  <si>
    <t>barcodes@cox.net</t>
  </si>
  <si>
    <t>michael-woods@cox.net</t>
  </si>
  <si>
    <t>Michael Woods</t>
  </si>
  <si>
    <t>21641 Flamenco</t>
  </si>
  <si>
    <t>sarawoods@cox.net</t>
  </si>
  <si>
    <t>Sara Woods</t>
  </si>
  <si>
    <t>RICK_LOVATO@YAHOO.COM</t>
  </si>
  <si>
    <t>Reagan Lovato</t>
  </si>
  <si>
    <t>jkltemhiles@gmail.com</t>
  </si>
  <si>
    <t>trevor.m.hiles@icloud.com</t>
  </si>
  <si>
    <t>Hiles</t>
  </si>
  <si>
    <t>Trevor Hiles</t>
  </si>
  <si>
    <t>20501 HWY 62/180</t>
  </si>
  <si>
    <t>mjsjr02@gmail.com</t>
  </si>
  <si>
    <t>Matthew Slater</t>
  </si>
  <si>
    <t>6553 Clark road</t>
  </si>
  <si>
    <t>Anthonyespinoza7149@gmail.com</t>
  </si>
  <si>
    <t>Espinoza</t>
  </si>
  <si>
    <t>Aaron Espinoza</t>
  </si>
  <si>
    <t>7149 S Avenida Sombra</t>
  </si>
  <si>
    <t>sandeelynne@me.com</t>
  </si>
  <si>
    <t>Joshua.Rodriguez5@icloud.com</t>
  </si>
  <si>
    <t>Joshua Rodriguez</t>
  </si>
  <si>
    <t>26 DuBois Road</t>
  </si>
  <si>
    <t>Bridgeton</t>
  </si>
  <si>
    <t>aflowergirl3@gmail.com</t>
  </si>
  <si>
    <t>Anani</t>
  </si>
  <si>
    <t>Schauermann</t>
  </si>
  <si>
    <t>Anani Schauermann</t>
  </si>
  <si>
    <t>5560 N Rhonda Dr.</t>
  </si>
  <si>
    <t>adaughteroftheking19@gmail.com</t>
  </si>
  <si>
    <t>Emily Fountain</t>
  </si>
  <si>
    <t>867o West Anvil Court</t>
  </si>
  <si>
    <t>nat4Him@gmail.com</t>
  </si>
  <si>
    <t>siguy6464@gmail.com</t>
  </si>
  <si>
    <t>Breen</t>
  </si>
  <si>
    <t>Silas Breen</t>
  </si>
  <si>
    <t>2808 Mattie Dr</t>
  </si>
  <si>
    <t>amhenderson93@yahoo.com</t>
  </si>
  <si>
    <t>Foreverwerock@yahoo.com</t>
  </si>
  <si>
    <t>Mefford</t>
  </si>
  <si>
    <t>Christopher Mefford</t>
  </si>
  <si>
    <t>5494 County Rd 409</t>
  </si>
  <si>
    <t>Hannibal</t>
  </si>
  <si>
    <t>Dmeffman@yahoo.com</t>
  </si>
  <si>
    <t>Donovan Mefford</t>
  </si>
  <si>
    <t>Armefford12@gmail.com</t>
  </si>
  <si>
    <t>Alaric</t>
  </si>
  <si>
    <t>Alaric Mefford</t>
  </si>
  <si>
    <t>nsltally@gmail.com</t>
  </si>
  <si>
    <t>Noah Leonard</t>
  </si>
  <si>
    <t>jim1787@outlook.com</t>
  </si>
  <si>
    <t>amanda.delp128@gmail.com</t>
  </si>
  <si>
    <t>Delp</t>
  </si>
  <si>
    <t>Amanda Delp</t>
  </si>
  <si>
    <t>2540 Nestelbrook Trail</t>
  </si>
  <si>
    <t>janielanders@att.net</t>
  </si>
  <si>
    <t>jendellan.faith@gmail.com</t>
  </si>
  <si>
    <t>Jenna Landers</t>
  </si>
  <si>
    <t>149 Moores Mill Road</t>
  </si>
  <si>
    <t>roberts50056@gmail.com</t>
  </si>
  <si>
    <t>bdroberts1707@gmail.com</t>
  </si>
  <si>
    <t>Brandon Roberts</t>
  </si>
  <si>
    <t>25307 690th Avenue</t>
  </si>
  <si>
    <t>Colo</t>
  </si>
  <si>
    <t>thelegoboy456@outlook.com</t>
  </si>
  <si>
    <t>Hole</t>
  </si>
  <si>
    <t>Joshua Hole</t>
  </si>
  <si>
    <t>20 S Arbor Rd</t>
  </si>
  <si>
    <t>Joshua Moore</t>
  </si>
  <si>
    <t>qthethird@gmail.com</t>
  </si>
  <si>
    <t>jordanray1776@gmail.com</t>
  </si>
  <si>
    <t>Jordan Ray</t>
  </si>
  <si>
    <t>352 Lake View Way NW</t>
  </si>
  <si>
    <t>lundt@sbcglobal.net</t>
  </si>
  <si>
    <t>AshleyCCramer1@gmail.com</t>
  </si>
  <si>
    <t>Cramer</t>
  </si>
  <si>
    <t>Ashley Cramer</t>
  </si>
  <si>
    <t>14719 Treborway Drive</t>
  </si>
  <si>
    <t>Jmorris2599@gmail.com</t>
  </si>
  <si>
    <t>Evan Morris</t>
  </si>
  <si>
    <t>Rigidben@gmail.com</t>
  </si>
  <si>
    <t>Ben Maifeld</t>
  </si>
  <si>
    <t>47042 258th street</t>
  </si>
  <si>
    <t>loganclan8@yahoo.com</t>
  </si>
  <si>
    <t>dancingstarlight4@gmail.com</t>
  </si>
  <si>
    <t>Sarah Logan</t>
  </si>
  <si>
    <t>4545 E. Powers Blvd.</t>
  </si>
  <si>
    <t>cj@timelesswoodtoys.com</t>
  </si>
  <si>
    <t>Christopher Telfer</t>
  </si>
  <si>
    <t>230 High Drive</t>
  </si>
  <si>
    <t>kaceyakimball@gmail.com</t>
  </si>
  <si>
    <t>Kacey</t>
  </si>
  <si>
    <t>Kacey Kimball</t>
  </si>
  <si>
    <t>4825 S Sheridan</t>
  </si>
  <si>
    <t>raheldman@gmail.com</t>
  </si>
  <si>
    <t>Ruth Heldman</t>
  </si>
  <si>
    <t>2050 Phinny Murphey Rd.</t>
  </si>
  <si>
    <t>hubfamily@sbcglobal.net</t>
  </si>
  <si>
    <t>ghubanonymous1@gmail.com</t>
  </si>
  <si>
    <t>Garrett Hubbard</t>
  </si>
  <si>
    <t>3837 Toronto Road</t>
  </si>
  <si>
    <t>stevenosama33@gmail.com</t>
  </si>
  <si>
    <t>Stevenosama33@gmail.com</t>
  </si>
  <si>
    <t>Steven Ibrahim</t>
  </si>
  <si>
    <t>7353 Ellena W</t>
  </si>
  <si>
    <t>amanda89@netins.net</t>
  </si>
  <si>
    <t>rankemporor@gmail.com</t>
  </si>
  <si>
    <t>Parker Ryan</t>
  </si>
  <si>
    <t>603 S Center St</t>
  </si>
  <si>
    <t>Zearing</t>
  </si>
  <si>
    <t>swright@savcps.com</t>
  </si>
  <si>
    <t>mackenzie.mcgee@student.savcps.com</t>
  </si>
  <si>
    <t>MacKenzie McGee</t>
  </si>
  <si>
    <t>6 Callaway Court</t>
  </si>
  <si>
    <t>jacob.marshall@student.savcps.com</t>
  </si>
  <si>
    <t>Jacob Marshall</t>
  </si>
  <si>
    <t>33 Hiram Road</t>
  </si>
  <si>
    <t>ecneel223@gmail.com</t>
  </si>
  <si>
    <t>Evan Neel</t>
  </si>
  <si>
    <t>moliver1@harding.edu</t>
  </si>
  <si>
    <t>joliver5@harding.edu</t>
  </si>
  <si>
    <t>Joseph Oliver</t>
  </si>
  <si>
    <t>6 Tina Circle</t>
  </si>
  <si>
    <t>abz.good@yahoo.com</t>
  </si>
  <si>
    <t>Abigail Good</t>
  </si>
  <si>
    <t>126 Lakeside Dr.</t>
  </si>
  <si>
    <t>kevinatkins@roadrunner.com</t>
  </si>
  <si>
    <t>11boorad11@gmail.com</t>
  </si>
  <si>
    <t>Stewart Atkins</t>
  </si>
  <si>
    <t>cecil</t>
  </si>
  <si>
    <t>jschauermann1@gmail.com</t>
  </si>
  <si>
    <t>Jeffrey Schauermann</t>
  </si>
  <si>
    <t>5560 N rhonda dr</t>
  </si>
  <si>
    <t>palmer</t>
  </si>
  <si>
    <t>josiahtkolar@gmail.com</t>
  </si>
  <si>
    <t>Kolar</t>
  </si>
  <si>
    <t>Josiah Kolar</t>
  </si>
  <si>
    <t>1725 S. 165th Circle</t>
  </si>
  <si>
    <t>dandelionweed@icloud.com</t>
  </si>
  <si>
    <t>Sadie Gould</t>
  </si>
  <si>
    <t>6097 US 127</t>
  </si>
  <si>
    <t>elijah.johnson364@gmail.com</t>
  </si>
  <si>
    <t>5478 Tradewind Dr.</t>
  </si>
  <si>
    <t>ninjago.spinner03@gmail.com</t>
  </si>
  <si>
    <t>Scott Fuller</t>
  </si>
  <si>
    <t>cgunter21@mcstangs.org</t>
  </si>
  <si>
    <t>Joshua Gunter</t>
  </si>
  <si>
    <t>3805 Wedgwood Ct.</t>
  </si>
  <si>
    <t>rhamilton21@mcstangs.org</t>
  </si>
  <si>
    <t>Rhamilton0618@gmail.com</t>
  </si>
  <si>
    <t>Ryleigh Hamilton</t>
  </si>
  <si>
    <t>10 Lakes Dr</t>
  </si>
  <si>
    <t>nwalker21@mcstangs.org</t>
  </si>
  <si>
    <t>Nathan Walker</t>
  </si>
  <si>
    <t>8001 Edinburgh Dr.</t>
  </si>
  <si>
    <t>cmonsi2000@yahoo.com</t>
  </si>
  <si>
    <t>monsivais.celeste@yahoo.com</t>
  </si>
  <si>
    <t>Monsivais</t>
  </si>
  <si>
    <t>Celeste Monsivais</t>
  </si>
  <si>
    <t>1704 Lions Gate</t>
  </si>
  <si>
    <t>El paso</t>
  </si>
  <si>
    <t>Brittata827@yahoo.com</t>
  </si>
  <si>
    <t>Brittney Schleh</t>
  </si>
  <si>
    <t>jbryan02211@gmail.com</t>
  </si>
  <si>
    <t>Bryan Sanchez</t>
  </si>
  <si>
    <t>1302 Derbyshire Ct.</t>
  </si>
  <si>
    <t>covenantgrad@gmail.com</t>
  </si>
  <si>
    <t>darthbiz209@gmail.com</t>
  </si>
  <si>
    <t>Andrew Jones</t>
  </si>
  <si>
    <t>3503 Arklow Rd</t>
  </si>
  <si>
    <t>bentzdancer1@gmail.com</t>
  </si>
  <si>
    <t>Selah</t>
  </si>
  <si>
    <t>Bentz</t>
  </si>
  <si>
    <t>Selah Bentz</t>
  </si>
  <si>
    <t>4638 Manitou Bay</t>
  </si>
  <si>
    <t>shantih19@aol.com</t>
  </si>
  <si>
    <t>crazyweasel47@gmail.com</t>
  </si>
  <si>
    <t>Levi Griffith</t>
  </si>
  <si>
    <t>8259 Garden Willow Lane</t>
  </si>
  <si>
    <t>playthegame146@gmail.com</t>
  </si>
  <si>
    <t>Brianna Richards</t>
  </si>
  <si>
    <t>486 Casa Sevilla Ave.</t>
  </si>
  <si>
    <t>Saint Augustine</t>
  </si>
  <si>
    <t>cakeladyval@gmail.com</t>
  </si>
  <si>
    <t>bubblyprincess0202@gmail.com</t>
  </si>
  <si>
    <t>EleSha</t>
  </si>
  <si>
    <t>Valere</t>
  </si>
  <si>
    <t>EleSha Valere</t>
  </si>
  <si>
    <t>10654 Calista Way</t>
  </si>
  <si>
    <t>rholdridge@zianet.com</t>
  </si>
  <si>
    <t>truettshafer15@gmail.com</t>
  </si>
  <si>
    <t>Truett</t>
  </si>
  <si>
    <t>Truett Shafer</t>
  </si>
  <si>
    <t>1409 S Mesilla</t>
  </si>
  <si>
    <t>nanoodlee@icloud.com</t>
  </si>
  <si>
    <t>Natalie Schmidt</t>
  </si>
  <si>
    <t>jbencrosswell@gmail.com</t>
  </si>
  <si>
    <t>Crosswell</t>
  </si>
  <si>
    <t>Jesse Crosswell</t>
  </si>
  <si>
    <t>562 York Ave</t>
  </si>
  <si>
    <t>818 collins rd</t>
  </si>
  <si>
    <t>jackie_huh@hotmail.com</t>
  </si>
  <si>
    <t>nchuh5149@gmail.com</t>
  </si>
  <si>
    <t>Huh</t>
  </si>
  <si>
    <t>Calvin Huh</t>
  </si>
  <si>
    <t>5149 Clearview Ave.</t>
  </si>
  <si>
    <t>ELKE@INARTPRO.COM</t>
  </si>
  <si>
    <t>BETTABOO123@GMAIL.COM</t>
  </si>
  <si>
    <t>Babette</t>
  </si>
  <si>
    <t>Babette Smith</t>
  </si>
  <si>
    <t>Abby Lane</t>
  </si>
  <si>
    <t>karen.beckwith@gmail.com</t>
  </si>
  <si>
    <t>jakebeckwith03@gmail.com</t>
  </si>
  <si>
    <t>Jacob Beckwith</t>
  </si>
  <si>
    <t>5 Batchelder Park</t>
  </si>
  <si>
    <t>Wenham</t>
  </si>
  <si>
    <t>jo.way.ell@gmail.com</t>
  </si>
  <si>
    <t>Joelle Fauth</t>
  </si>
  <si>
    <t>1551 40th ave. ct.</t>
  </si>
  <si>
    <t>greeley</t>
  </si>
  <si>
    <t>ambershepherd8@gmail.com</t>
  </si>
  <si>
    <t>adrishepherd2@gmail.com</t>
  </si>
  <si>
    <t>Adri</t>
  </si>
  <si>
    <t>Adri Shepherd</t>
  </si>
  <si>
    <t>4460 East Old Maple Ave</t>
  </si>
  <si>
    <t>oopata@sky.com</t>
  </si>
  <si>
    <t>EMMANUEL</t>
  </si>
  <si>
    <t>OPATA</t>
  </si>
  <si>
    <t>EMMANUEL OPATA</t>
  </si>
  <si>
    <t>courtneybelleminica@gmail.com</t>
  </si>
  <si>
    <t>Minica</t>
  </si>
  <si>
    <t>Courtney Minica</t>
  </si>
  <si>
    <t>6060 Mount Olive Rd.</t>
  </si>
  <si>
    <t>Lot 2</t>
  </si>
  <si>
    <t>Adkins</t>
  </si>
  <si>
    <t>ebunopata@gmail.com</t>
  </si>
  <si>
    <t>Ebun</t>
  </si>
  <si>
    <t>Opata</t>
  </si>
  <si>
    <t>Ebun Opata</t>
  </si>
  <si>
    <t>879 William Blvd.</t>
  </si>
  <si>
    <t>Apt. 8C</t>
  </si>
  <si>
    <t>jessrdr@gmail.com</t>
  </si>
  <si>
    <t>Nic.reader8@gmail.com</t>
  </si>
  <si>
    <t>Reader</t>
  </si>
  <si>
    <t>Nicholas Reader</t>
  </si>
  <si>
    <t>18887 Broadmoore Drive</t>
  </si>
  <si>
    <t>Heburke12@gmail.com</t>
  </si>
  <si>
    <t>Hannah Burke</t>
  </si>
  <si>
    <t>shannonbusa@gmail.com</t>
  </si>
  <si>
    <t>annabelleburton3@gmail.com</t>
  </si>
  <si>
    <t>Annabelle Burton</t>
  </si>
  <si>
    <t>406 Willowcrest Lane</t>
  </si>
  <si>
    <t>Josh Bowman</t>
  </si>
  <si>
    <t>moralesml@hotmail.com</t>
  </si>
  <si>
    <t>alex.a.morales@icloud.com</t>
  </si>
  <si>
    <t>Alejandro Morales</t>
  </si>
  <si>
    <t>1726 Country Creek Ct</t>
  </si>
  <si>
    <t>yardley.tim@gmail.com</t>
  </si>
  <si>
    <t>TImothy</t>
  </si>
  <si>
    <t>TImothy Yardley</t>
  </si>
  <si>
    <t>2409 Providence Hills Dr</t>
  </si>
  <si>
    <t>aden.whitesel@icloud.com</t>
  </si>
  <si>
    <t>Aden Whitesel</t>
  </si>
  <si>
    <t>wrs.jr@juno.com</t>
  </si>
  <si>
    <t>emberlight02@gmail.com</t>
  </si>
  <si>
    <t>Schlaudt</t>
  </si>
  <si>
    <t>Jessica Schlaudt</t>
  </si>
  <si>
    <t>430 Fielder Cemetery Road</t>
  </si>
  <si>
    <t>Gabe McLemore</t>
  </si>
  <si>
    <t>4527 King Springs Rd SE</t>
  </si>
  <si>
    <t>thibbie@hotmail.com</t>
  </si>
  <si>
    <t>Jonas@grubbnet.com</t>
  </si>
  <si>
    <t>Grubb</t>
  </si>
  <si>
    <t>Jonas Grubb</t>
  </si>
  <si>
    <t>5227 E Tango Ave</t>
  </si>
  <si>
    <t>Kaden@grubbnet.net</t>
  </si>
  <si>
    <t>Kaden Grubb</t>
  </si>
  <si>
    <t>czarina.sanchez@gmail.com</t>
  </si>
  <si>
    <t>Licias1902@gmail.com</t>
  </si>
  <si>
    <t>Alicia Sanchez</t>
  </si>
  <si>
    <t>401 SE Eatom</t>
  </si>
  <si>
    <t>jason@philotic.net</t>
  </si>
  <si>
    <t>jaycee@philotic.net</t>
  </si>
  <si>
    <t>Jaycee</t>
  </si>
  <si>
    <t>Jaycee Watts</t>
  </si>
  <si>
    <t>3322 Catamaran Ct</t>
  </si>
  <si>
    <t>carsonswift73@gmail.com</t>
  </si>
  <si>
    <t>Carson Swift</t>
  </si>
  <si>
    <t>945 H.W. 516</t>
  </si>
  <si>
    <t>pcarr@devoecarr.com</t>
  </si>
  <si>
    <t>Emily Carr</t>
  </si>
  <si>
    <t>beverlyirene77@gmail.com</t>
  </si>
  <si>
    <t>tobinmichael18@gmail.com</t>
  </si>
  <si>
    <t>Tobin</t>
  </si>
  <si>
    <t>Jacobson</t>
  </si>
  <si>
    <t>Tobin Jacobson</t>
  </si>
  <si>
    <t>18240 Archers Dr</t>
  </si>
  <si>
    <t>jzlovrien@yahoo.com</t>
  </si>
  <si>
    <t>Jacob Lovrien</t>
  </si>
  <si>
    <t>andrewinsurance27@gmail.com</t>
  </si>
  <si>
    <t>Andrew Poling</t>
  </si>
  <si>
    <t>6221 NW Kiacut RD</t>
  </si>
  <si>
    <t>Emmacate100@gmail.com</t>
  </si>
  <si>
    <t>Emma Roberts</t>
  </si>
  <si>
    <t>106 County Rd 164</t>
  </si>
  <si>
    <t>Josephroberts1212@gmail.com</t>
  </si>
  <si>
    <t>Joseph Roberts</t>
  </si>
  <si>
    <t>themajorclan@sbcglobal.net</t>
  </si>
  <si>
    <t>Will Major</t>
  </si>
  <si>
    <t>lukemajor8@gmail.com</t>
  </si>
  <si>
    <t>Luke Major</t>
  </si>
  <si>
    <t>14501 Oakrdige Road</t>
  </si>
  <si>
    <t>joshmajor2444@yahoo.com</t>
  </si>
  <si>
    <t>Joshua Major</t>
  </si>
  <si>
    <t>14501 Oakridge Road</t>
  </si>
  <si>
    <t>cprigge@startmail.com</t>
  </si>
  <si>
    <t>caorcnp@gmail.com</t>
  </si>
  <si>
    <t>Prigge</t>
  </si>
  <si>
    <t>Christopher Prigge</t>
  </si>
  <si>
    <t>502 S 21st St</t>
  </si>
  <si>
    <t>caroline.sikkink@acastudent.org</t>
  </si>
  <si>
    <t>csikkink0@gmail.com</t>
  </si>
  <si>
    <t>Caroline Sikkink</t>
  </si>
  <si>
    <t>41 Cedar Knob Rd</t>
  </si>
  <si>
    <t>catherine41303@gmail.com</t>
  </si>
  <si>
    <t>Catherine Taylor</t>
  </si>
  <si>
    <t>PO Box 1015</t>
  </si>
  <si>
    <t>cannonfmly@att.net</t>
  </si>
  <si>
    <t>arcannon2@att.net</t>
  </si>
  <si>
    <t>Abigail Cannon</t>
  </si>
  <si>
    <t>4796 Langford CT SW</t>
  </si>
  <si>
    <t>Mableton</t>
  </si>
  <si>
    <t>emily@philotic.net</t>
  </si>
  <si>
    <t>Emily Watts</t>
  </si>
  <si>
    <t>ridernp23@gmail.com</t>
  </si>
  <si>
    <t>Peter Rider</t>
  </si>
  <si>
    <t>10325 N 400 W</t>
  </si>
  <si>
    <t>kiewit991@aol.com</t>
  </si>
  <si>
    <t>Graciela</t>
  </si>
  <si>
    <t>Graciela Cruz</t>
  </si>
  <si>
    <t>krdetweiler@icloud.com</t>
  </si>
  <si>
    <t>Kaitlyn Detweiler</t>
  </si>
  <si>
    <t>annazvers@gmail.com</t>
  </si>
  <si>
    <t>Zvers</t>
  </si>
  <si>
    <t>Anna Zvers</t>
  </si>
  <si>
    <t>2913 Smugglers Cove</t>
  </si>
  <si>
    <t>Timsandys@yahoo.com</t>
  </si>
  <si>
    <t>victoria@md.metrocast.net</t>
  </si>
  <si>
    <t>Victoria Smith</t>
  </si>
  <si>
    <t>23760 Mill Pond Rd</t>
  </si>
  <si>
    <t>thistle.and.roses@gmail.com</t>
  </si>
  <si>
    <t>ecubed911@gmail.com</t>
  </si>
  <si>
    <t>Elizabeth Elliott</t>
  </si>
  <si>
    <t>15741 Confederate Ave</t>
  </si>
  <si>
    <t>gavinkpayne@gmail.com</t>
  </si>
  <si>
    <t>Gavin Payne</t>
  </si>
  <si>
    <t>1851 Whitehouse Rd.</t>
  </si>
  <si>
    <t>greglana@me.com</t>
  </si>
  <si>
    <t>dhapkidogirl@gmail.com</t>
  </si>
  <si>
    <t>Delilah</t>
  </si>
  <si>
    <t>Delilah Kuhn</t>
  </si>
  <si>
    <t>11709 Sandy circle</t>
  </si>
  <si>
    <t>brycescreen@gmail.com</t>
  </si>
  <si>
    <t>Screen</t>
  </si>
  <si>
    <t>Bryce Screen</t>
  </si>
  <si>
    <t>2635 El Camino Rd.</t>
  </si>
  <si>
    <t>alexrgildea@gmail.com</t>
  </si>
  <si>
    <t>Gildea</t>
  </si>
  <si>
    <t>Alex Gildea</t>
  </si>
  <si>
    <t>po box 1318 #2840</t>
  </si>
  <si>
    <t>lnelsen@nc.rr.com</t>
  </si>
  <si>
    <t>isaiahfnelsen@gmail.com</t>
  </si>
  <si>
    <t>Nelsen</t>
  </si>
  <si>
    <t>Isaiah Nelsen</t>
  </si>
  <si>
    <t>Ashmont Lane</t>
  </si>
  <si>
    <t>bbconner2@verizon.net</t>
  </si>
  <si>
    <t>jrc311415@verizon.net</t>
  </si>
  <si>
    <t>Jeremiah Conner</t>
  </si>
  <si>
    <t>4324 Eastwood Dr.</t>
  </si>
  <si>
    <t>thehexters@gmail.com</t>
  </si>
  <si>
    <t>logan.hexter@gmail.com</t>
  </si>
  <si>
    <t>Hexter</t>
  </si>
  <si>
    <t>Logan Hexter</t>
  </si>
  <si>
    <t>2817 Westwood Blvd</t>
  </si>
  <si>
    <t>lincolnhexter@gmail.com</t>
  </si>
  <si>
    <t>Lincoln Hexter</t>
  </si>
  <si>
    <t>cmaney@maneyfwb.com</t>
  </si>
  <si>
    <t>maryboydefun@gmail.com</t>
  </si>
  <si>
    <t>Funches</t>
  </si>
  <si>
    <t>Mary Funches</t>
  </si>
  <si>
    <t>4513 87th Ave W</t>
  </si>
  <si>
    <t>lexey08@gmail.com</t>
  </si>
  <si>
    <t>Lexey08@gmail.com</t>
  </si>
  <si>
    <t>Lexey</t>
  </si>
  <si>
    <t>Estola</t>
  </si>
  <si>
    <t>Lexey Estola</t>
  </si>
  <si>
    <t>13873 N Sola Rd</t>
  </si>
  <si>
    <t>timebird25@gmail.com</t>
  </si>
  <si>
    <t>Corrie Williams</t>
  </si>
  <si>
    <t>2241 Ravenwood Lane</t>
  </si>
  <si>
    <t>ice4@sbcglobal.net</t>
  </si>
  <si>
    <t>Niemann</t>
  </si>
  <si>
    <t>Lily Niemann</t>
  </si>
  <si>
    <t>beans.w.mcclelland@gmail.com</t>
  </si>
  <si>
    <t>McClelland</t>
  </si>
  <si>
    <t>Joshua McClelland</t>
  </si>
  <si>
    <t>548 Valentine ln</t>
  </si>
  <si>
    <t>Sayre</t>
  </si>
  <si>
    <t>jmandew42@gmail.com</t>
  </si>
  <si>
    <t>Jehiel</t>
  </si>
  <si>
    <t>Jehiel Dewing</t>
  </si>
  <si>
    <t>amorgancove@gmail.com</t>
  </si>
  <si>
    <t>Alexander Morgan</t>
  </si>
  <si>
    <t>20601 Sumner</t>
  </si>
  <si>
    <t>Redford</t>
  </si>
  <si>
    <t>gavin.n.erickson@gmail.com</t>
  </si>
  <si>
    <t>Gavin Erickson</t>
  </si>
  <si>
    <t>6402 Fox Den Ln</t>
  </si>
  <si>
    <t>leonafrique@gmail.com</t>
  </si>
  <si>
    <t>ejgibson4@gmail.com</t>
  </si>
  <si>
    <t>Elijah Gibson</t>
  </si>
  <si>
    <t>5555 Little Parkway</t>
  </si>
  <si>
    <t>Sherrills Ford</t>
  </si>
  <si>
    <t>dittodee98@gmail.com</t>
  </si>
  <si>
    <t>Dittodee98@gmail.com</t>
  </si>
  <si>
    <t>Marlee</t>
  </si>
  <si>
    <t>Eldridge</t>
  </si>
  <si>
    <t>Marlee Eldridge</t>
  </si>
  <si>
    <t>201 S Spruce Ct</t>
  </si>
  <si>
    <t>Nikolay</t>
  </si>
  <si>
    <t>Nikolay VanDeWalker</t>
  </si>
  <si>
    <t>marcwilkinson09@gmail.com</t>
  </si>
  <si>
    <t>Marc Wilkinson</t>
  </si>
  <si>
    <t>6675 S Sullivan Pl</t>
  </si>
  <si>
    <t>samuelwilkinson220@gmail.com</t>
  </si>
  <si>
    <t>Samuel Wilkinson</t>
  </si>
  <si>
    <t>isaacwilkinson23@gmail.com</t>
  </si>
  <si>
    <t>Isaac Wilkinson</t>
  </si>
  <si>
    <t>cambo@applogix.com</t>
  </si>
  <si>
    <t>Cambo@applogix.com</t>
  </si>
  <si>
    <t>Baller</t>
  </si>
  <si>
    <t>Cameron Baller</t>
  </si>
  <si>
    <t>9337 Sage Villa Drive</t>
  </si>
  <si>
    <t>Apt 2308</t>
  </si>
  <si>
    <t>Braeden@applogix.com</t>
  </si>
  <si>
    <t>Braeden Baller</t>
  </si>
  <si>
    <t>Reeves@applogix.com</t>
  </si>
  <si>
    <t>reeves@applogix.com</t>
  </si>
  <si>
    <t>Reeves Baller</t>
  </si>
  <si>
    <t>rowanjaa@gmail.com</t>
  </si>
  <si>
    <t>Rowan</t>
  </si>
  <si>
    <t>Rowan Jaatinen</t>
  </si>
  <si>
    <t>cdj.ninja@gmail.com</t>
  </si>
  <si>
    <t>Caleb Johnson</t>
  </si>
  <si>
    <t>199 Roebling Street</t>
  </si>
  <si>
    <t>rahmfam6@gmail.com</t>
  </si>
  <si>
    <t>wytygr@gmail.com</t>
  </si>
  <si>
    <t>Emma Rahm</t>
  </si>
  <si>
    <t>garen.hamner@gmail.com</t>
  </si>
  <si>
    <t>Garen</t>
  </si>
  <si>
    <t>Hamner</t>
  </si>
  <si>
    <t>Garen Hamner</t>
  </si>
  <si>
    <t>ascjpc@gmail.com</t>
  </si>
  <si>
    <t>Kaleb Collins</t>
  </si>
  <si>
    <t>2404 Morningside Circle</t>
  </si>
  <si>
    <t>rubstr@gmail.com</t>
  </si>
  <si>
    <t>Burciaga</t>
  </si>
  <si>
    <t>Madison Burciaga</t>
  </si>
  <si>
    <t>maya_unc@hotmail.com</t>
  </si>
  <si>
    <t>paylim33@gmail.com</t>
  </si>
  <si>
    <t>Halim</t>
  </si>
  <si>
    <t>Patrick Halim</t>
  </si>
  <si>
    <t>12213 Deer Creek Run</t>
  </si>
  <si>
    <t>hrpienkos@gmail.com</t>
  </si>
  <si>
    <t>reneepink01@gmail.com</t>
  </si>
  <si>
    <t>Pienkos</t>
  </si>
  <si>
    <t>Renee Pienkos</t>
  </si>
  <si>
    <t>429 Gully Store Court</t>
  </si>
  <si>
    <t>drewdaum1022@gmail.com</t>
  </si>
  <si>
    <t>Daum</t>
  </si>
  <si>
    <t>Drew Daum</t>
  </si>
  <si>
    <t>3 Sugarloaf Circle</t>
  </si>
  <si>
    <t>McCook</t>
  </si>
  <si>
    <t>Ben.mcfly14@gmail.com</t>
  </si>
  <si>
    <t>Benjamin McKay</t>
  </si>
  <si>
    <t>Jack.roth7@gmail.com</t>
  </si>
  <si>
    <t>12244 Sherborne St.</t>
  </si>
  <si>
    <t>lubosebo@yahoo.com</t>
  </si>
  <si>
    <t>Dsebo2003@gmail.com</t>
  </si>
  <si>
    <t>Sebo</t>
  </si>
  <si>
    <t>Daniel Sebo</t>
  </si>
  <si>
    <t>22932 Valley View Dr</t>
  </si>
  <si>
    <t>tunningmolly@gmail.com</t>
  </si>
  <si>
    <t>Tunning</t>
  </si>
  <si>
    <t>Molly Tunning</t>
  </si>
  <si>
    <t>501 Lake Saddlebags Dr.</t>
  </si>
  <si>
    <t>cs_cooper@charter.net</t>
  </si>
  <si>
    <t>cs_cooper@hotmail.com</t>
  </si>
  <si>
    <t>Tyler Cooper</t>
  </si>
  <si>
    <t>1760 Cedar Crest Ct</t>
  </si>
  <si>
    <t>booksnlabs2015@gmail.com</t>
  </si>
  <si>
    <t>Belonger</t>
  </si>
  <si>
    <t>Nicole Belonger</t>
  </si>
  <si>
    <t>2512 Timber Trail</t>
  </si>
  <si>
    <t>Ptcanady3@gmail.com</t>
  </si>
  <si>
    <t>Canady III</t>
  </si>
  <si>
    <t>Paul Canady III</t>
  </si>
  <si>
    <t>St Pauls</t>
  </si>
  <si>
    <t>Drew.ranta@icloud.com</t>
  </si>
  <si>
    <t>Drew Ranta</t>
  </si>
  <si>
    <t>821 Croswell St.</t>
  </si>
  <si>
    <t>jacob.marker42@gmail.com</t>
  </si>
  <si>
    <t>Marker</t>
  </si>
  <si>
    <t>Jacob Marker</t>
  </si>
  <si>
    <t>2811 28th PL</t>
  </si>
  <si>
    <t>madison5398@aol.com</t>
  </si>
  <si>
    <t>sarahwolohan@aol.com</t>
  </si>
  <si>
    <t>Wolohan</t>
  </si>
  <si>
    <t>Sarah Wolohan</t>
  </si>
  <si>
    <t>12310 Myterra Way</t>
  </si>
  <si>
    <t>Oak Hill</t>
  </si>
  <si>
    <t>hawaytgo@att.net</t>
  </si>
  <si>
    <t>Wayt</t>
  </si>
  <si>
    <t>Augusta Wayt</t>
  </si>
  <si>
    <t>4230 Exeter Close</t>
  </si>
  <si>
    <t>laurelditto@icloud.com</t>
  </si>
  <si>
    <t>Ditto</t>
  </si>
  <si>
    <t>Andrew Ditto</t>
  </si>
  <si>
    <t>4212 Sneed road</t>
  </si>
  <si>
    <t>3pergandes@gmail.com</t>
  </si>
  <si>
    <t>pergandepatrick@gmail.com</t>
  </si>
  <si>
    <t>Pergande</t>
  </si>
  <si>
    <t>Patrick Pergande</t>
  </si>
  <si>
    <t>9005 West Cambridge Court</t>
  </si>
  <si>
    <t>eringerlt@gmail.com</t>
  </si>
  <si>
    <t>annakategerlt@gmail.com</t>
  </si>
  <si>
    <t>Gerlt</t>
  </si>
  <si>
    <t>Anna Kate Gerlt</t>
  </si>
  <si>
    <t>6225 S. Richland Road</t>
  </si>
  <si>
    <t>Winden285@gmail.com</t>
  </si>
  <si>
    <t>Colin.Kavanaughs20@orange.k12.nc.us</t>
  </si>
  <si>
    <t>Colin Kavanaugh</t>
  </si>
  <si>
    <t>3009 Hartwell pond Dr.</t>
  </si>
  <si>
    <t>michaelholsey32@gmail.com</t>
  </si>
  <si>
    <t>Holsey</t>
  </si>
  <si>
    <t>Michael Holsey</t>
  </si>
  <si>
    <t>6521 Coltsfoot Dr.</t>
  </si>
  <si>
    <t>Rougemont</t>
  </si>
  <si>
    <t>Andrew Rahm</t>
  </si>
  <si>
    <t>djsulgrove@sbcglobal.net</t>
  </si>
  <si>
    <t>Jsulgrove216@gmail.com</t>
  </si>
  <si>
    <t>Sulgrove</t>
  </si>
  <si>
    <t>Jonathan Sulgrove</t>
  </si>
  <si>
    <t>4146 W Kingston Cir</t>
  </si>
  <si>
    <t>sassyjunereeves123@gmail.com</t>
  </si>
  <si>
    <t>Sashary</t>
  </si>
  <si>
    <t>Sashary Reeves</t>
  </si>
  <si>
    <t>karyssa.cowan146@gmail.com</t>
  </si>
  <si>
    <t>Karyssa</t>
  </si>
  <si>
    <t>Karyssa Cowan</t>
  </si>
  <si>
    <t>2455 Kittridge Ave.</t>
  </si>
  <si>
    <t>trinityr68@outlook.com</t>
  </si>
  <si>
    <t>Trinity Ritchie</t>
  </si>
  <si>
    <t>jeffandshelby@gmail.com</t>
  </si>
  <si>
    <t>Vivian Huddleston</t>
  </si>
  <si>
    <t>riveroflife0513@gmail.com</t>
  </si>
  <si>
    <t>Jusino</t>
  </si>
  <si>
    <t>Benjamin Jusino</t>
  </si>
  <si>
    <t>3935 Preston Court</t>
  </si>
  <si>
    <t>cricketandbenny@gmail.com</t>
  </si>
  <si>
    <t>Christian DaCosta</t>
  </si>
  <si>
    <t>bethanym2019@gmail.com</t>
  </si>
  <si>
    <t>Bethany Jusino</t>
  </si>
  <si>
    <t>livvygracemartin@gmail.com</t>
  </si>
  <si>
    <t>Olivia Martin</t>
  </si>
  <si>
    <t>1223 Beck Drive</t>
  </si>
  <si>
    <t>Mount Pleasant</t>
  </si>
  <si>
    <t>emily.wesner01@icloud.com</t>
  </si>
  <si>
    <t>Wesner</t>
  </si>
  <si>
    <t>Emily Wesner</t>
  </si>
  <si>
    <t>15831 Lake Avenue</t>
  </si>
  <si>
    <t>klwinters@seu.edu</t>
  </si>
  <si>
    <t>Kenneth Winters</t>
  </si>
  <si>
    <t>3516 Thorne Path</t>
  </si>
  <si>
    <t>chelseecollins1@gmail.com</t>
  </si>
  <si>
    <t>Chelseecollins1@gmail.com</t>
  </si>
  <si>
    <t>Chelsee</t>
  </si>
  <si>
    <t>Chelsee Collins</t>
  </si>
  <si>
    <t>488 Monroe Baggett Rd</t>
  </si>
  <si>
    <t>shannon_alberts@yahoo.com</t>
  </si>
  <si>
    <t>marshallralberts@gmail.com</t>
  </si>
  <si>
    <t>Alberts</t>
  </si>
  <si>
    <t>Marshall Alberts</t>
  </si>
  <si>
    <t>2409 Kensington dr.</t>
  </si>
  <si>
    <t>Caden.e.elliott@icloud.com</t>
  </si>
  <si>
    <t>Caden Elliott</t>
  </si>
  <si>
    <t>1610 Little Raven Street PH6</t>
  </si>
  <si>
    <t>gracenworley@gmail.com</t>
  </si>
  <si>
    <t>Gracenworley@gmail.com</t>
  </si>
  <si>
    <t>Gracen</t>
  </si>
  <si>
    <t>Gracen Worley</t>
  </si>
  <si>
    <t>2060 Lindsey road</t>
  </si>
  <si>
    <t>kelaudermilch@gmail.com</t>
  </si>
  <si>
    <t>markoliver.cos@gmail.com</t>
  </si>
  <si>
    <t>Pannirselvam</t>
  </si>
  <si>
    <t>Mark Pannirselvam</t>
  </si>
  <si>
    <t>8435 Windy Hill Dr</t>
  </si>
  <si>
    <t>sgraceperkins73@gmail.com</t>
  </si>
  <si>
    <t>Sarah Perkins</t>
  </si>
  <si>
    <t>1517 Sarus Ave</t>
  </si>
  <si>
    <t>morgandelp1999@gmail.com</t>
  </si>
  <si>
    <t>Morgan Johnson</t>
  </si>
  <si>
    <t>mom2the6pack@gmail.com</t>
  </si>
  <si>
    <t>bennyquinn27@gmail.com</t>
  </si>
  <si>
    <t>Tighe</t>
  </si>
  <si>
    <t>Benjamin Tighe</t>
  </si>
  <si>
    <t>661 Cindy Blair Way</t>
  </si>
  <si>
    <t>ajfern50@gmail.com</t>
  </si>
  <si>
    <t>cristin.fernandez018@mymdc.net</t>
  </si>
  <si>
    <t>Cristina Fernandez</t>
  </si>
  <si>
    <t>8340 SW 97th Street</t>
  </si>
  <si>
    <t>joshua.fernandez011@mymdc.net</t>
  </si>
  <si>
    <t>Joshua Fernandez</t>
  </si>
  <si>
    <t>gracielacos15@gmail.com</t>
  </si>
  <si>
    <t>Graciela Hernandez</t>
  </si>
  <si>
    <t>3332 Sugar Pine Way</t>
  </si>
  <si>
    <t>lifeandlibertylaurie@gmail.com</t>
  </si>
  <si>
    <t>katiejoy_20@icloud.com</t>
  </si>
  <si>
    <t>Tryfiates</t>
  </si>
  <si>
    <t>Catherine Tryfiates</t>
  </si>
  <si>
    <t>4214 Oakhill Rd.</t>
  </si>
  <si>
    <t>harrybecky@gmail.com</t>
  </si>
  <si>
    <t>navywarrior30@gmail.com</t>
  </si>
  <si>
    <t>Gere</t>
  </si>
  <si>
    <t>Harry Gere</t>
  </si>
  <si>
    <t>104 Sawtooth</t>
  </si>
  <si>
    <t>gerefab4@gmail.com</t>
  </si>
  <si>
    <t>Emma Gere</t>
  </si>
  <si>
    <t>nateneug@me.com</t>
  </si>
  <si>
    <t>Nrn8@georgetown.edu</t>
  </si>
  <si>
    <t>Nathan Neugebauer</t>
  </si>
  <si>
    <t>foxaubrey5@gmail.com</t>
  </si>
  <si>
    <t>Aubrey Fox</t>
  </si>
  <si>
    <t>12 Wilcox Acres</t>
  </si>
  <si>
    <t>samuel.michael.cleary@gmail.com</t>
  </si>
  <si>
    <t>Samuel Cleary</t>
  </si>
  <si>
    <t>lorisantrock@yahoo.com</t>
  </si>
  <si>
    <t>Sambones2003@gmail.com</t>
  </si>
  <si>
    <t>Santrock</t>
  </si>
  <si>
    <t>Sam Santrock</t>
  </si>
  <si>
    <t>307 Golf Club Drive</t>
  </si>
  <si>
    <t>lornamaxon@gmail.com</t>
  </si>
  <si>
    <t>Lorna</t>
  </si>
  <si>
    <t>Maxon</t>
  </si>
  <si>
    <t>Lorna Maxon</t>
  </si>
  <si>
    <t>86779 571 Ave</t>
  </si>
  <si>
    <t>adamsamuelwood@hotmail.com</t>
  </si>
  <si>
    <t>Adam Wood</t>
  </si>
  <si>
    <t>9414 W Bethel Ave</t>
  </si>
  <si>
    <t>Isaacoquendo23@gmail.com</t>
  </si>
  <si>
    <t>isaacoquendo23@gmail.com</t>
  </si>
  <si>
    <t>Oquendo</t>
  </si>
  <si>
    <t>Isaac Oquendo</t>
  </si>
  <si>
    <t>2446 Yellowstone Ct</t>
  </si>
  <si>
    <t>5621 Glenview Falls Place</t>
  </si>
  <si>
    <t>faith4horses@gmail.com</t>
  </si>
  <si>
    <t>Faith Cole</t>
  </si>
  <si>
    <t>3622 Pickerel Lake Rd</t>
  </si>
  <si>
    <t>hcummings23@yahoo.com</t>
  </si>
  <si>
    <t>Sjcummings007@gmail.com</t>
  </si>
  <si>
    <t>Sylvia Cummings</t>
  </si>
  <si>
    <t>23 Richardson rd</t>
  </si>
  <si>
    <t>elcummings14@gmail.com</t>
  </si>
  <si>
    <t>Elliana Cummings</t>
  </si>
  <si>
    <t>23 Richardson Road</t>
  </si>
  <si>
    <t>ballplayers398@outlook.com</t>
  </si>
  <si>
    <t>pclemens2020@gmail.com</t>
  </si>
  <si>
    <t>Clemens</t>
  </si>
  <si>
    <t>Phoebe Clemens</t>
  </si>
  <si>
    <t>111 Germany Hollow Rd.</t>
  </si>
  <si>
    <t>Honey Brook</t>
  </si>
  <si>
    <t>albeuro2010@gmail.com</t>
  </si>
  <si>
    <t>Andrew Bennett</t>
  </si>
  <si>
    <t>223 Tennyson St</t>
  </si>
  <si>
    <t>Mary Dunston</t>
  </si>
  <si>
    <t>kelleygibsongirl@gmail.com</t>
  </si>
  <si>
    <t>red.reagan.g@gmail.com</t>
  </si>
  <si>
    <t>Reagan Garmon</t>
  </si>
  <si>
    <t>514 Joslin Pointe Lane</t>
  </si>
  <si>
    <t>molguramjack@gmail.com</t>
  </si>
  <si>
    <t>Andrew Jackson</t>
  </si>
  <si>
    <t>Moluguram</t>
  </si>
  <si>
    <t>Andrew Jackson Moluguram</t>
  </si>
  <si>
    <t>8139 Roy Lane</t>
  </si>
  <si>
    <t>dillcgill@gmail.com</t>
  </si>
  <si>
    <t>Guillory</t>
  </si>
  <si>
    <t>Dylan Guillory</t>
  </si>
  <si>
    <t>Po Box 203</t>
  </si>
  <si>
    <t>loganfisco@gmail.com</t>
  </si>
  <si>
    <t>Fisco</t>
  </si>
  <si>
    <t>Logan Fisco</t>
  </si>
  <si>
    <t>271 Mountain Way</t>
  </si>
  <si>
    <t>mctnosu@gmail.com</t>
  </si>
  <si>
    <t>Mary Thomas</t>
  </si>
  <si>
    <t>4016 Pleasant Gate Ln.</t>
  </si>
  <si>
    <t>jacob.disco@gmail.com</t>
  </si>
  <si>
    <t>Distelzweig</t>
  </si>
  <si>
    <t>Jacob Distelzweig</t>
  </si>
  <si>
    <t>1580 Stratford Ct</t>
  </si>
  <si>
    <t>heidi.wright@lcaduluth.org</t>
  </si>
  <si>
    <t>Andrew.wright@lcaduluth.org</t>
  </si>
  <si>
    <t>Andrew Wright</t>
  </si>
  <si>
    <t>2821 Harvey Street</t>
  </si>
  <si>
    <t>sophia.ranta.9@gmail.com</t>
  </si>
  <si>
    <t>Sophia Ranta</t>
  </si>
  <si>
    <t>trinityachase@icloud.com</t>
  </si>
  <si>
    <t>Trinity Chase</t>
  </si>
  <si>
    <t>48 Chapalina Rise SE</t>
  </si>
  <si>
    <t>107 Walden Landing SE</t>
  </si>
  <si>
    <t>pushybrick34709@gmail.com</t>
  </si>
  <si>
    <t>PushyBrick34709@gmail.com</t>
  </si>
  <si>
    <t>Dillon Carlson</t>
  </si>
  <si>
    <t>8240 Andrus Drive</t>
  </si>
  <si>
    <t>andie.west16@gmail.com</t>
  </si>
  <si>
    <t>Andrea West</t>
  </si>
  <si>
    <t>3721 E Drydock Pl</t>
  </si>
  <si>
    <t>ellywalker6@gmail.com</t>
  </si>
  <si>
    <t>ransomwalker22@gmail.com</t>
  </si>
  <si>
    <t>Ransom Walker</t>
  </si>
  <si>
    <t>7151 Big Oak Lane</t>
  </si>
  <si>
    <t>cheyannaw767@gmail.com</t>
  </si>
  <si>
    <t>Cheyanna</t>
  </si>
  <si>
    <t>Cheyanna Walker</t>
  </si>
  <si>
    <t>jh_roark@msn.com</t>
  </si>
  <si>
    <t>r.roark767@gmail.com</t>
  </si>
  <si>
    <t>Roark</t>
  </si>
  <si>
    <t>Rachel Roark</t>
  </si>
  <si>
    <t>24343  E Ottawa Av</t>
  </si>
  <si>
    <t>etwheaton@yahoo.com</t>
  </si>
  <si>
    <t>rachel.wheaton9@gmail.com</t>
  </si>
  <si>
    <t>Rachel Wheaton</t>
  </si>
  <si>
    <t>4215 Northern Road</t>
  </si>
  <si>
    <t>benwe10@gmail.com</t>
  </si>
  <si>
    <t>Benjamin Wheaton</t>
  </si>
  <si>
    <t>dan.wheaton957@gmail.com</t>
  </si>
  <si>
    <t>Daniel Wheaton</t>
  </si>
  <si>
    <t>egleonard@outlook.com</t>
  </si>
  <si>
    <t>trent.manners@outlook.com</t>
  </si>
  <si>
    <t>Trent Manners</t>
  </si>
  <si>
    <t>darzgood@gmail.com</t>
  </si>
  <si>
    <t>Darrell Good</t>
  </si>
  <si>
    <t>3836 Parker Hollow Rd</t>
  </si>
  <si>
    <t>kathy.jensen01@gmail.com</t>
  </si>
  <si>
    <t>Tali@thejensenplace.com</t>
  </si>
  <si>
    <t>Talitha Jensen</t>
  </si>
  <si>
    <t>3773 37th Street N</t>
  </si>
  <si>
    <t>nanscookieco@gmail.com</t>
  </si>
  <si>
    <t>Anna Hall</t>
  </si>
  <si>
    <t>1430 Bainbridge</t>
  </si>
  <si>
    <t>isaiahcyoder@gmail.com</t>
  </si>
  <si>
    <t>Isaiah Yoder</t>
  </si>
  <si>
    <t>9722 Prichard Street</t>
  </si>
  <si>
    <t>morganbunmi@gmail.com</t>
  </si>
  <si>
    <t>ronkemorgan@icloud.com</t>
  </si>
  <si>
    <t>Ronke</t>
  </si>
  <si>
    <t>Ronke Morgan</t>
  </si>
  <si>
    <t>9650 Dumbarton Drive</t>
  </si>
  <si>
    <t>Hagerstown</t>
  </si>
  <si>
    <t>reader6132@gmail.com</t>
  </si>
  <si>
    <t>Fleagle</t>
  </si>
  <si>
    <t>Rachel Fleagle</t>
  </si>
  <si>
    <t>425 Reeser Road</t>
  </si>
  <si>
    <t>knutsen@yahoo.com</t>
  </si>
  <si>
    <t>kgracemck@gmail.com</t>
  </si>
  <si>
    <t>Kristiana McKelvey</t>
  </si>
  <si>
    <t>26518 Chad Court</t>
  </si>
  <si>
    <t>mattiamckelvey@gmail.com</t>
  </si>
  <si>
    <t>Mattia</t>
  </si>
  <si>
    <t>Mattia McKelvey</t>
  </si>
  <si>
    <t>1cross3nailsiamforgiven@gmail.com</t>
  </si>
  <si>
    <t>luckyasaladybug@gmail.com</t>
  </si>
  <si>
    <t>Alaina Schaefer</t>
  </si>
  <si>
    <t>21801 Township Road 379</t>
  </si>
  <si>
    <t>domicorda@gmail.com</t>
  </si>
  <si>
    <t>thehammernotthenail@gmail.com</t>
  </si>
  <si>
    <t>Austin Emmett</t>
  </si>
  <si>
    <t>28439 SW Morningside Ave</t>
  </si>
  <si>
    <t>mariasmithpiano@gmail.com</t>
  </si>
  <si>
    <t>Maria Smith</t>
  </si>
  <si>
    <t>8419 33rd Stret</t>
  </si>
  <si>
    <t>adriskil@USD261.com</t>
  </si>
  <si>
    <t>starsbaseball33@yahoo.com</t>
  </si>
  <si>
    <t>Driskill</t>
  </si>
  <si>
    <t>Dawson Driskill</t>
  </si>
  <si>
    <t>1313 W Hannah Ln</t>
  </si>
  <si>
    <t>Haysville</t>
  </si>
  <si>
    <t>m.megan.w@gmail.com</t>
  </si>
  <si>
    <t>lily.f.weaver@gmail.com</t>
  </si>
  <si>
    <t>Liliana Weaver</t>
  </si>
  <si>
    <t>359 Bobcat Trail NW</t>
  </si>
  <si>
    <t>Craig.L.Hanson@live.com</t>
  </si>
  <si>
    <t>ashlynhan@icloud.com</t>
  </si>
  <si>
    <t>Ashlyn Hanson</t>
  </si>
  <si>
    <t>1141 Kerber Pass</t>
  </si>
  <si>
    <t>shan.rediger@gmail.com</t>
  </si>
  <si>
    <t>gid.rediger@gmail.com</t>
  </si>
  <si>
    <t>Gideon Rediger</t>
  </si>
  <si>
    <t>3609 Meadowknonlls Road</t>
  </si>
  <si>
    <t>belle@harmonsc.com</t>
  </si>
  <si>
    <t>Isabelle Harmon</t>
  </si>
  <si>
    <t>129 Natures Cove Rd</t>
  </si>
  <si>
    <t>Saluda</t>
  </si>
  <si>
    <t>britneyackley@hotmail.com</t>
  </si>
  <si>
    <t>ljoyastar16@gmail.com</t>
  </si>
  <si>
    <t>Lynae</t>
  </si>
  <si>
    <t>Ackley</t>
  </si>
  <si>
    <t>Lynae Ackley</t>
  </si>
  <si>
    <t>brynnedison@gmail.com</t>
  </si>
  <si>
    <t>Brynn</t>
  </si>
  <si>
    <t>Edison</t>
  </si>
  <si>
    <t>Brynn Edison</t>
  </si>
  <si>
    <t>2615 Beechwood Drive SE</t>
  </si>
  <si>
    <t>cjhudson@cpp.edu</t>
  </si>
  <si>
    <t>12674 Douglas Street</t>
  </si>
  <si>
    <t>livie2lou@gmail.com</t>
  </si>
  <si>
    <t>harpistforhim@gmail.com</t>
  </si>
  <si>
    <t>Ruprecht</t>
  </si>
  <si>
    <t>Olivia Ruprecht</t>
  </si>
  <si>
    <t>16280 Ceile Circle</t>
  </si>
  <si>
    <t>Walton Hills</t>
  </si>
  <si>
    <t>myart4him@gmail.com</t>
  </si>
  <si>
    <t>Julia Ruprecht</t>
  </si>
  <si>
    <t>sheagebhards99@gmail.com</t>
  </si>
  <si>
    <t>Gebhards</t>
  </si>
  <si>
    <t>Shea Gebhards</t>
  </si>
  <si>
    <t>11414 Scribner Station Lane</t>
  </si>
  <si>
    <t>Lithia</t>
  </si>
  <si>
    <t>calisetter101@icloud.com</t>
  </si>
  <si>
    <t>McKinley Gebhards</t>
  </si>
  <si>
    <t>reillygebhards99@gmail.com</t>
  </si>
  <si>
    <t>Reilly Gebhards</t>
  </si>
  <si>
    <t>kay@zipbang.com</t>
  </si>
  <si>
    <t>bridge.bullard@gmail.com</t>
  </si>
  <si>
    <t>Bridge</t>
  </si>
  <si>
    <t>Bridge Bullard</t>
  </si>
  <si>
    <t>10averynicole@gmail.com</t>
  </si>
  <si>
    <t>Avery Bullard</t>
  </si>
  <si>
    <t>emmasuedahir@gmail.com</t>
  </si>
  <si>
    <t>Dahir</t>
  </si>
  <si>
    <t>Emma Dahir</t>
  </si>
  <si>
    <t>32537 Whippoorwill Rd</t>
  </si>
  <si>
    <t>Minden</t>
  </si>
  <si>
    <t>layne.bullard@gmail.com</t>
  </si>
  <si>
    <t>Layne</t>
  </si>
  <si>
    <t>Layne Bullard</t>
  </si>
  <si>
    <t>taylorbockrath@gmail.com</t>
  </si>
  <si>
    <t>Taylorbockrath@gmail.com</t>
  </si>
  <si>
    <t>Bockrath</t>
  </si>
  <si>
    <t>Taylor Bockrath</t>
  </si>
  <si>
    <t>2830 Via De La Guerra</t>
  </si>
  <si>
    <t>chewjess@hotmail.com</t>
  </si>
  <si>
    <t>Xavier Jimenez</t>
  </si>
  <si>
    <t>bekarenae@gmail.com</t>
  </si>
  <si>
    <t>Sachaj</t>
  </si>
  <si>
    <t>Rebecca Sachaj</t>
  </si>
  <si>
    <t>grant@gloverhome.com</t>
  </si>
  <si>
    <t>Glover</t>
  </si>
  <si>
    <t>Grant Glover</t>
  </si>
  <si>
    <t>212 S. County Road 23</t>
  </si>
  <si>
    <t>rachelannaliese99@gmail.com</t>
  </si>
  <si>
    <t>Rachel Sylvester</t>
  </si>
  <si>
    <t>112 Maple Street</t>
  </si>
  <si>
    <t>bjr98799@bethel.edu</t>
  </si>
  <si>
    <t>still.in.swansboro@icloud.com</t>
  </si>
  <si>
    <t>Aberly</t>
  </si>
  <si>
    <t>Aberly Garrett</t>
  </si>
  <si>
    <t>7560 Brigham Drive</t>
  </si>
  <si>
    <t>Sandy Springs</t>
  </si>
  <si>
    <t>emilyannelisebrown@gmail.com</t>
  </si>
  <si>
    <t>Emily brown</t>
  </si>
  <si>
    <t>263 Harrison cove Road</t>
  </si>
  <si>
    <t>neilkelly@me.com</t>
  </si>
  <si>
    <t>neilkelly2004@outlook.com</t>
  </si>
  <si>
    <t>Neil Kelly</t>
  </si>
  <si>
    <t>23522 Finch Ave</t>
  </si>
  <si>
    <t>Mattawan</t>
  </si>
  <si>
    <t>westonschrock@gmail.com</t>
  </si>
  <si>
    <t>Weston Schrock</t>
  </si>
  <si>
    <t>19157 NE Oak Hill Drive</t>
  </si>
  <si>
    <t>Blountstown</t>
  </si>
  <si>
    <t>prutzen@gmail.com</t>
  </si>
  <si>
    <t>erikrutzen18@gmail.com</t>
  </si>
  <si>
    <t>Rutzen</t>
  </si>
  <si>
    <t>Erik Rutzen</t>
  </si>
  <si>
    <t>6912 Ridgeview Drive</t>
  </si>
  <si>
    <t>grace.ann.hill@gmail.com</t>
  </si>
  <si>
    <t>Grace Hill</t>
  </si>
  <si>
    <t>3021 Rock Ridge Ct.</t>
  </si>
  <si>
    <t>jnbeitel@yahoo.com</t>
  </si>
  <si>
    <t>Beitel</t>
  </si>
  <si>
    <t>Max Beitel</t>
  </si>
  <si>
    <t>sarahgracesmith04@gmail.com</t>
  </si>
  <si>
    <t>Sarah Smith</t>
  </si>
  <si>
    <t>2375 Great Sky Rd</t>
  </si>
  <si>
    <t>mary@mleziva.com</t>
  </si>
  <si>
    <t>Kmleziva@liberty.edu</t>
  </si>
  <si>
    <t>Mleziva</t>
  </si>
  <si>
    <t>Katie Mleziva</t>
  </si>
  <si>
    <t>11903 Yates Ford Rd</t>
  </si>
  <si>
    <t>Amleziva@covenantva.org</t>
  </si>
  <si>
    <t>Anna Mleziva</t>
  </si>
  <si>
    <t>hollimcald@gmail.com</t>
  </si>
  <si>
    <t>Holli Caldwell</t>
  </si>
  <si>
    <t>39 Gramercy Park North apt. 1BC</t>
  </si>
  <si>
    <t>Abigailmleziva@covenantva.org</t>
  </si>
  <si>
    <t>Abby Mleziva</t>
  </si>
  <si>
    <t>esonespsu@gmail.com</t>
  </si>
  <si>
    <t>soneshannah@gmail.com</t>
  </si>
  <si>
    <t>Sones</t>
  </si>
  <si>
    <t>Hannah Sones</t>
  </si>
  <si>
    <t>14747 Iron Horse Way</t>
  </si>
  <si>
    <t>jhamilton@wscf.com</t>
  </si>
  <si>
    <t>annajoyhamilton@icloud.com</t>
  </si>
  <si>
    <t>Anna Hamilton</t>
  </si>
  <si>
    <t>960 28th Ave</t>
  </si>
  <si>
    <t>ianmhart96@gmail.com</t>
  </si>
  <si>
    <t>Ian Hart</t>
  </si>
  <si>
    <t>11340 N. 143rd St. E</t>
  </si>
  <si>
    <t>karafriesen@hotmail.com</t>
  </si>
  <si>
    <t>Kara Friesen</t>
  </si>
  <si>
    <t>80 54032 Twp Rd 712</t>
  </si>
  <si>
    <t>County of Grande Prairie No One</t>
  </si>
  <si>
    <t>T8X 4A1</t>
  </si>
  <si>
    <t>dcd@accountlinkinc.com</t>
  </si>
  <si>
    <t>evan@accountlinkinc.com</t>
  </si>
  <si>
    <t>DeChristofaro</t>
  </si>
  <si>
    <t>Evan DeChristofaro</t>
  </si>
  <si>
    <t>56 Greenlake Drive</t>
  </si>
  <si>
    <t>sarahizzo@verizon.net</t>
  </si>
  <si>
    <t>Kayleigh</t>
  </si>
  <si>
    <t>Izzo</t>
  </si>
  <si>
    <t>Kayleigh Izzo</t>
  </si>
  <si>
    <t>neilbrew91@gmail.com</t>
  </si>
  <si>
    <t>sambrew65@gmail.com</t>
  </si>
  <si>
    <t>Samuel Brewster</t>
  </si>
  <si>
    <t>8602 Flatbush Ct. NE</t>
  </si>
  <si>
    <t>audrey@thelachfamily.net</t>
  </si>
  <si>
    <t>Lach</t>
  </si>
  <si>
    <t>Audrey Lach</t>
  </si>
  <si>
    <t>4225 Sunrise Rd.</t>
  </si>
  <si>
    <t>drewscholar3@gmail.com</t>
  </si>
  <si>
    <t>Glessner</t>
  </si>
  <si>
    <t>Andrew Glessner</t>
  </si>
  <si>
    <t>Patriotismo #3, Colonia Romero Vargas</t>
  </si>
  <si>
    <t>jotriplej@gmail.com</t>
  </si>
  <si>
    <t>Justice Harmon</t>
  </si>
  <si>
    <t>2035 Saddleback Drive</t>
  </si>
  <si>
    <t>mairinrcm@gmail.com</t>
  </si>
  <si>
    <t>Maureen McNeil</t>
  </si>
  <si>
    <t>10791 Grayslake Dr.</t>
  </si>
  <si>
    <t>danwoolley@mac.com</t>
  </si>
  <si>
    <t>joshuawoolley@icloud.com</t>
  </si>
  <si>
    <t>Woolley</t>
  </si>
  <si>
    <t>Joshua Woolley</t>
  </si>
  <si>
    <t>2685 Tuckerman Ct</t>
  </si>
  <si>
    <t>marlamayer13@gmail.com</t>
  </si>
  <si>
    <t>masonmayer6@yahoo.com</t>
  </si>
  <si>
    <t>Mason Mayer</t>
  </si>
  <si>
    <t>405 Heritage Trail NE</t>
  </si>
  <si>
    <t>andreletha@ifresources.us</t>
  </si>
  <si>
    <t>blesseduck@gmail.com</t>
  </si>
  <si>
    <t>Jeanne-Marie</t>
  </si>
  <si>
    <t>Du Plessis</t>
  </si>
  <si>
    <t>Jeanne-Marie Du Plessis</t>
  </si>
  <si>
    <t>40130 Featherbed Lane</t>
  </si>
  <si>
    <t>Lovettsville</t>
  </si>
  <si>
    <t>taralynnpark@gmail.com</t>
  </si>
  <si>
    <t>leahpark0804@gmail.com</t>
  </si>
  <si>
    <t>Leah Park</t>
  </si>
  <si>
    <t>43276 Tumbletree Terrace</t>
  </si>
  <si>
    <t>brian.skaret@gmail.com</t>
  </si>
  <si>
    <t>344468time@gmail.com</t>
  </si>
  <si>
    <t>Skaret</t>
  </si>
  <si>
    <t>Wiley Skaret</t>
  </si>
  <si>
    <t>Unit 3030 Box 0571</t>
  </si>
  <si>
    <t>DPO</t>
  </si>
  <si>
    <t>AA</t>
  </si>
  <si>
    <t>wdediger@gmail.com</t>
  </si>
  <si>
    <t>ediger313@gmail.com</t>
  </si>
  <si>
    <t>Abby Ediger</t>
  </si>
  <si>
    <t>330 14th Ave.</t>
  </si>
  <si>
    <t>miajxcrum@gmail.com</t>
  </si>
  <si>
    <t>Crum</t>
  </si>
  <si>
    <t>Mia Crum</t>
  </si>
  <si>
    <t>10030 Slater Ave. NE</t>
  </si>
  <si>
    <t>zacharybitterling@gmail.com</t>
  </si>
  <si>
    <t>Zachary Bitterling</t>
  </si>
  <si>
    <t>2613 Martinsville rd</t>
  </si>
  <si>
    <t>parkerastern@gmail.com</t>
  </si>
  <si>
    <t>Parker Stern</t>
  </si>
  <si>
    <t>2838 W Elizabeth St</t>
  </si>
  <si>
    <t>jodilucker1@gmail.com</t>
  </si>
  <si>
    <t>Lucker.matthew@gmail.com</t>
  </si>
  <si>
    <t>Lucker</t>
  </si>
  <si>
    <t>Matt Lucker</t>
  </si>
  <si>
    <t>1575 Bunting Lane</t>
  </si>
  <si>
    <t>Sanibel</t>
  </si>
  <si>
    <t>mccorklefamily@me.com</t>
  </si>
  <si>
    <t>abby.r.mccorkle@gmail.com</t>
  </si>
  <si>
    <t>McCorkle</t>
  </si>
  <si>
    <t>Abby McCorkle</t>
  </si>
  <si>
    <t>1018 Vermont Ct</t>
  </si>
  <si>
    <t>886300mcc@ames.k12.ia.us</t>
  </si>
  <si>
    <t>Sophie McCorkle</t>
  </si>
  <si>
    <t>the7wicks@verizon.net</t>
  </si>
  <si>
    <t>Wickenheiser</t>
  </si>
  <si>
    <t>Seth Wickenheiser</t>
  </si>
  <si>
    <t>424 Candlewyck Rd</t>
  </si>
  <si>
    <t>phoenixlee125@gmail.com</t>
  </si>
  <si>
    <t>Cheng Xin</t>
  </si>
  <si>
    <t>Cheng Xin Lee</t>
  </si>
  <si>
    <t>8 Upper Neram Road</t>
  </si>
  <si>
    <t>leechengyongcephas@gmail.com</t>
  </si>
  <si>
    <t>Cheng Yong</t>
  </si>
  <si>
    <t>Cheng Yong Lee</t>
  </si>
  <si>
    <t>wkoki628@gmail.com</t>
  </si>
  <si>
    <t>Koki</t>
  </si>
  <si>
    <t>Watanabe</t>
  </si>
  <si>
    <t>Koki Watanabe</t>
  </si>
  <si>
    <t>5914 Brook Bend Dr.</t>
  </si>
  <si>
    <t>smyrrs7261@yahoo.com</t>
  </si>
  <si>
    <t>Kaylajoymyers@icloud.com</t>
  </si>
  <si>
    <t>Kayla Myers</t>
  </si>
  <si>
    <t>804 N Maryland</t>
  </si>
  <si>
    <t>ashleylizj@gmail.com</t>
  </si>
  <si>
    <t>Ashley Jordan</t>
  </si>
  <si>
    <t>183 Nale Drive</t>
  </si>
  <si>
    <t>christianhill2022@gmail.com</t>
  </si>
  <si>
    <t>Christian Hill</t>
  </si>
  <si>
    <t>3021 Rock Ridge Couet</t>
  </si>
  <si>
    <t>m.lentz011@live.com</t>
  </si>
  <si>
    <t>M.lentz011@live.com</t>
  </si>
  <si>
    <t>Matthew Lentz</t>
  </si>
  <si>
    <t>faithcshih@gmail.com</t>
  </si>
  <si>
    <t>Faith Shih</t>
  </si>
  <si>
    <t>4929 Palacewood Ct</t>
  </si>
  <si>
    <t>my_books09@hotmail.com</t>
  </si>
  <si>
    <t>zen.p368@gmail.com</t>
  </si>
  <si>
    <t>Paige Adkins</t>
  </si>
  <si>
    <t>6031 Beauvoir Dr</t>
  </si>
  <si>
    <t>sandiglick@gmail.com</t>
  </si>
  <si>
    <t>danielleglick25@gmail.com</t>
  </si>
  <si>
    <t>Glick</t>
  </si>
  <si>
    <t>Danielle Glick</t>
  </si>
  <si>
    <t>27079 Tube Rose Street</t>
  </si>
  <si>
    <t>esthersue98@gmail.com</t>
  </si>
  <si>
    <t>Esther Noe</t>
  </si>
  <si>
    <t>17380 Fieldcrest Ave</t>
  </si>
  <si>
    <t>snknoyes@gmail.com</t>
  </si>
  <si>
    <t>quantumtech6722@gmail.com</t>
  </si>
  <si>
    <t>Hunter Noyes</t>
  </si>
  <si>
    <t>1795 Pine Mesa Grove</t>
  </si>
  <si>
    <t>annabelle@hopeforemily.com</t>
  </si>
  <si>
    <t>Annabelle Lee</t>
  </si>
  <si>
    <t>1025 Marriottsville Rd</t>
  </si>
  <si>
    <t>Marriottsville</t>
  </si>
  <si>
    <t>Nih5149@gmail.com</t>
  </si>
  <si>
    <t>Noah Huh</t>
  </si>
  <si>
    <t>5149 Clearview Ave</t>
  </si>
  <si>
    <t>Richie</t>
  </si>
  <si>
    <t>Richie Izzo</t>
  </si>
  <si>
    <t>320 Harvard Ave</t>
  </si>
  <si>
    <t>hoyedt@yahoo.com.sg</t>
  </si>
  <si>
    <t>magdalenehoy@gmail.com</t>
  </si>
  <si>
    <t>Magdalene Hoy</t>
  </si>
  <si>
    <t>sillybobailey@outlook.com</t>
  </si>
  <si>
    <t>Kay</t>
  </si>
  <si>
    <t>Kay Andreola</t>
  </si>
  <si>
    <t>5810 E Creek Rd</t>
  </si>
  <si>
    <t>Beloit</t>
  </si>
  <si>
    <t>vvilla@mcslima.edu.pe</t>
  </si>
  <si>
    <t>valeria</t>
  </si>
  <si>
    <t>valeria Villa</t>
  </si>
  <si>
    <t>Av. San borja sur 1062 dpto L-403</t>
  </si>
  <si>
    <t>PERU</t>
  </si>
  <si>
    <t>L41</t>
  </si>
  <si>
    <t>Peru</t>
  </si>
  <si>
    <t>leislec@gmail.com</t>
  </si>
  <si>
    <t>Caleb Chung</t>
  </si>
  <si>
    <t>forgivenbct@yahoo.com</t>
  </si>
  <si>
    <t>Leahannatitone@gmail.com</t>
  </si>
  <si>
    <t>Annaleah</t>
  </si>
  <si>
    <t>Titone</t>
  </si>
  <si>
    <t>Annaleah Titone</t>
  </si>
  <si>
    <t>2004 Bergen Street</t>
  </si>
  <si>
    <t>Bellmore</t>
  </si>
  <si>
    <t>Kariselainarua@gmail.com</t>
  </si>
  <si>
    <t>Karis Rua</t>
  </si>
  <si>
    <t>3972 Arthur Ave north</t>
  </si>
  <si>
    <t>aorellana6677@gmail.com</t>
  </si>
  <si>
    <t>Orellana</t>
  </si>
  <si>
    <t>Ashley Orellana</t>
  </si>
  <si>
    <t>147-39 Delaware ave.</t>
  </si>
  <si>
    <t>Flushing</t>
  </si>
  <si>
    <t>chaosgeeks@me.com</t>
  </si>
  <si>
    <t>email.katrina@icloud.com</t>
  </si>
  <si>
    <t>Gluszczak</t>
  </si>
  <si>
    <t>Katrina Gluszczak</t>
  </si>
  <si>
    <t>2 Centennial Drive</t>
  </si>
  <si>
    <t>Sioux Lookout</t>
  </si>
  <si>
    <t>22stevensc@wiltonps.org</t>
  </si>
  <si>
    <t>22stevensc@wiltonsp.org</t>
  </si>
  <si>
    <t>Christian Stevens</t>
  </si>
  <si>
    <t>72 Nodhill Rd</t>
  </si>
  <si>
    <t>Wilton</t>
  </si>
  <si>
    <t>kgm0808@outlook.com</t>
  </si>
  <si>
    <t>35 Meadowbrook Ln</t>
  </si>
  <si>
    <t>goandwow@gmail.com</t>
  </si>
  <si>
    <t>Faye</t>
  </si>
  <si>
    <t>Faye Cole</t>
  </si>
  <si>
    <t>54 Timberland Cir S</t>
  </si>
  <si>
    <t>gritfab5@gmail.com</t>
  </si>
  <si>
    <t>elijahgrityt@gmail.com</t>
  </si>
  <si>
    <t>Grit</t>
  </si>
  <si>
    <t>Elijah Grit</t>
  </si>
  <si>
    <t>47240 Woodlong Dr.</t>
  </si>
  <si>
    <t>sscardino423@flagler.edu</t>
  </si>
  <si>
    <t>Sscardino423@flagler.edu</t>
  </si>
  <si>
    <t>Sarah Scardino</t>
  </si>
  <si>
    <t>1003 Elderberry Place</t>
  </si>
  <si>
    <t>lasseterjoseph@gmail.com</t>
  </si>
  <si>
    <t>Lasseter</t>
  </si>
  <si>
    <t>Joseph Lasseter</t>
  </si>
  <si>
    <t>P.O. Box 263</t>
  </si>
  <si>
    <t>New Underwood</t>
  </si>
  <si>
    <t>seschaper@gmail.com</t>
  </si>
  <si>
    <t>Schaper</t>
  </si>
  <si>
    <t>Sarah Schaper</t>
  </si>
  <si>
    <t>6048 Pimlico Ct</t>
  </si>
  <si>
    <t>schaperhg@gmail.com</t>
  </si>
  <si>
    <t>Hannah Schaper</t>
  </si>
  <si>
    <t>abigail.gray319@gmail.com</t>
  </si>
  <si>
    <t>Abigail Gray</t>
  </si>
  <si>
    <t>11559 Starboard Dr</t>
  </si>
  <si>
    <t>elainajane302@gmail.com</t>
  </si>
  <si>
    <t>Mansell</t>
  </si>
  <si>
    <t>Elaina Mansell</t>
  </si>
  <si>
    <t>100 Huspah Drive</t>
  </si>
  <si>
    <t>mansellcrew@gmail.com</t>
  </si>
  <si>
    <t>mansellminds@gmail.com</t>
  </si>
  <si>
    <t>Tamu</t>
  </si>
  <si>
    <t>Tamu Mansell</t>
  </si>
  <si>
    <t>chrstphrsrnsn@gmail.com</t>
  </si>
  <si>
    <t>Christopher Sorensen</t>
  </si>
  <si>
    <t>7411 Center Road</t>
  </si>
  <si>
    <t>sylbealvaguez@gmail.com</t>
  </si>
  <si>
    <t>juanmarcabrera@gmail.com</t>
  </si>
  <si>
    <t>Juan Marcos</t>
  </si>
  <si>
    <t>Juan Marcos Cabrera</t>
  </si>
  <si>
    <t>153030 Stable Run Dr.</t>
  </si>
  <si>
    <t>cmoney2462@gmail.com</t>
  </si>
  <si>
    <t>Carson Wayne</t>
  </si>
  <si>
    <t>7326 Hidden Forest Court</t>
  </si>
  <si>
    <t>56 Greenlake Dr.</t>
  </si>
  <si>
    <t>faridbakht@aol.com</t>
  </si>
  <si>
    <t>peter.bakht@aol.com</t>
  </si>
  <si>
    <t>Bakht</t>
  </si>
  <si>
    <t>Peter Bakht</t>
  </si>
  <si>
    <t>212 Bylane Dr</t>
  </si>
  <si>
    <t>kkatzberg@yahoo.com</t>
  </si>
  <si>
    <t>nathan272@icloud.com</t>
  </si>
  <si>
    <t>4865 West Sundown Rd</t>
  </si>
  <si>
    <t>Ayr</t>
  </si>
  <si>
    <t>jccab21@gmail.com</t>
  </si>
  <si>
    <t>tbh.sophia@gmail.com</t>
  </si>
  <si>
    <t>SOPHIA</t>
  </si>
  <si>
    <t>CABRERA</t>
  </si>
  <si>
    <t>SOPHIA CABRERA</t>
  </si>
  <si>
    <t>2833 Vista View Dr</t>
  </si>
  <si>
    <t>camillefloyd213@gmail.com</t>
  </si>
  <si>
    <t>Camille Floyd</t>
  </si>
  <si>
    <t>6452 Trails End Road</t>
  </si>
  <si>
    <t>shannonjohnson851@gmail.com</t>
  </si>
  <si>
    <t>Shannon Johnson</t>
  </si>
  <si>
    <t>650 S Main St, Apt 1320</t>
  </si>
  <si>
    <t>carhay33@gmail.com</t>
  </si>
  <si>
    <t>ahay102@gmail.com</t>
  </si>
  <si>
    <t>Hay</t>
  </si>
  <si>
    <t>Abigail Hay</t>
  </si>
  <si>
    <t>235 Wolfpit Rd</t>
  </si>
  <si>
    <t>angieck13@gmail.com</t>
  </si>
  <si>
    <t>Kinzinger</t>
  </si>
  <si>
    <t>Samuel Kinzinger</t>
  </si>
  <si>
    <t>8997 Five Forks Road</t>
  </si>
  <si>
    <t>Caleb Kinzinger</t>
  </si>
  <si>
    <t>Joshua Kinzinger</t>
  </si>
  <si>
    <t>Jason Kinzinger</t>
  </si>
  <si>
    <t>isabellasbarra@gmail.com</t>
  </si>
  <si>
    <t>Sbarra</t>
  </si>
  <si>
    <t>Isabella Sbarra</t>
  </si>
  <si>
    <t>802 Elinor Way</t>
  </si>
  <si>
    <t>matthew@scottandsarabeth.com</t>
  </si>
  <si>
    <t>Matthew Hill</t>
  </si>
  <si>
    <t>PO Box 171</t>
  </si>
  <si>
    <t>Glennallen</t>
  </si>
  <si>
    <t>cmtune@go.olemiss.edu</t>
  </si>
  <si>
    <t>cory</t>
  </si>
  <si>
    <t>tune</t>
  </si>
  <si>
    <t>cory tune</t>
  </si>
  <si>
    <t>68 fairmount ave</t>
  </si>
  <si>
    <t>chester</t>
  </si>
  <si>
    <t>anjucharlez@yahoo.com</t>
  </si>
  <si>
    <t>tupilicalebronak@gmail.com</t>
  </si>
  <si>
    <t>Tupili</t>
  </si>
  <si>
    <t>Caleb Tupili</t>
  </si>
  <si>
    <t>#10-236, Blk 491-D,</t>
  </si>
  <si>
    <t>Tampines st. 45</t>
  </si>
  <si>
    <t>connor.senechal@outlook.com</t>
  </si>
  <si>
    <t>Senechal</t>
  </si>
  <si>
    <t>Connor Senechal</t>
  </si>
  <si>
    <t>23333 Risa Lane</t>
  </si>
  <si>
    <t>California</t>
  </si>
  <si>
    <t>jennifergbates2@gmail.com</t>
  </si>
  <si>
    <t>jesusfreak.abij@gmail.com</t>
  </si>
  <si>
    <t>Abigail Bates</t>
  </si>
  <si>
    <t>8266 S. Swimming Hole Lane</t>
  </si>
  <si>
    <t>brianak2305@gmail.com</t>
  </si>
  <si>
    <t>Schaurer</t>
  </si>
  <si>
    <t>Briana Schaurer</t>
  </si>
  <si>
    <t>2305 W Farrington Rd</t>
  </si>
  <si>
    <t>adparker@johnstoncc.edu</t>
  </si>
  <si>
    <t>parkerbl@appstate.edu</t>
  </si>
  <si>
    <t>Brandy</t>
  </si>
  <si>
    <t>Brandy Parker</t>
  </si>
  <si>
    <t>224 Yosef Drive</t>
  </si>
  <si>
    <t>Apt #W-3</t>
  </si>
  <si>
    <t>amylosey@gmail.com</t>
  </si>
  <si>
    <t>Losey</t>
  </si>
  <si>
    <t>Daniel Losey</t>
  </si>
  <si>
    <t>elosey@teachbeyond.org</t>
  </si>
  <si>
    <t>Emily Losey</t>
  </si>
  <si>
    <t>15311 Ridgefield Lane</t>
  </si>
  <si>
    <t>kwinn@community.net</t>
  </si>
  <si>
    <t>lwpioneer@gmail.com</t>
  </si>
  <si>
    <t>Winn</t>
  </si>
  <si>
    <t>Logan Winn</t>
  </si>
  <si>
    <t>730 Alamo Drive</t>
  </si>
  <si>
    <t>6gbmommy@gmail.com</t>
  </si>
  <si>
    <t>4kezyjoy@gmail.com</t>
  </si>
  <si>
    <t>Keziah</t>
  </si>
  <si>
    <t>Keziah Grant</t>
  </si>
  <si>
    <t>26556 Elm Road</t>
  </si>
  <si>
    <t>Blanchard</t>
  </si>
  <si>
    <t>krobe285@gmail.com</t>
  </si>
  <si>
    <t>Krestian</t>
  </si>
  <si>
    <t>Krestian Robe</t>
  </si>
  <si>
    <t>5115 Marshfield Rd</t>
  </si>
  <si>
    <t>tabbicatbg@gmail.com</t>
  </si>
  <si>
    <t>Tabitha Grant</t>
  </si>
  <si>
    <t>bpcdean@yahoo.com</t>
  </si>
  <si>
    <t>parkergdean15@gmail.com</t>
  </si>
  <si>
    <t>Parker Dean</t>
  </si>
  <si>
    <t>875 S. Center St.</t>
  </si>
  <si>
    <t>farnic@bellsouth.net</t>
  </si>
  <si>
    <t>cbf0018@auburn.edu</t>
  </si>
  <si>
    <t>Farni</t>
  </si>
  <si>
    <t>Courtney Farni</t>
  </si>
  <si>
    <t>3620 Traveler Dr.</t>
  </si>
  <si>
    <t>Saraland</t>
  </si>
  <si>
    <t>homeschoolmamaof5@hotmail.com</t>
  </si>
  <si>
    <t>bigbubba887@gmail.com</t>
  </si>
  <si>
    <t>Winey</t>
  </si>
  <si>
    <t>Dylan Winey</t>
  </si>
  <si>
    <t>802 15th St</t>
  </si>
  <si>
    <t>shylamuriel@yahoo.com</t>
  </si>
  <si>
    <t>student_natania_muriel@kingsmen.org</t>
  </si>
  <si>
    <t>Natania</t>
  </si>
  <si>
    <t>Muriel</t>
  </si>
  <si>
    <t>Natania Muriel</t>
  </si>
  <si>
    <t>80 English Lane</t>
  </si>
  <si>
    <t>vickiannking08@gmail.com</t>
  </si>
  <si>
    <t>alyssaking004@gmail.com</t>
  </si>
  <si>
    <t>Alyssa King</t>
  </si>
  <si>
    <t>302 Daleville Rd</t>
  </si>
  <si>
    <t>donwsmith@gmail.com</t>
  </si>
  <si>
    <t>stellybelly456@gmail.com</t>
  </si>
  <si>
    <t>STELLA</t>
  </si>
  <si>
    <t>SMITH</t>
  </si>
  <si>
    <t>STELLA SMITH</t>
  </si>
  <si>
    <t>22418 3rd Place West</t>
  </si>
  <si>
    <t>sstewart16@liberty.edu</t>
  </si>
  <si>
    <t>Sarah Stewart</t>
  </si>
  <si>
    <t>3703 Henry Camp Road.</t>
  </si>
  <si>
    <t>Saint Marys</t>
  </si>
  <si>
    <t>rpalacios@mcslima.edu.pe</t>
  </si>
  <si>
    <t>Rebeca</t>
  </si>
  <si>
    <t>Rebeca Palacios</t>
  </si>
  <si>
    <t>San Luis Jr. Kikijana 328</t>
  </si>
  <si>
    <t>kenzie.ford02@gmail.com</t>
  </si>
  <si>
    <t>Mackenzie Ford</t>
  </si>
  <si>
    <t>5708 Forrest Green Ct.</t>
  </si>
  <si>
    <t>hendon.chloe@gmail.com</t>
  </si>
  <si>
    <t>Chloe Hendon</t>
  </si>
  <si>
    <t>392 Ridgeview Drive</t>
  </si>
  <si>
    <t>carsonhendon02@gmail.com</t>
  </si>
  <si>
    <t>Mark Hendon</t>
  </si>
  <si>
    <t>bluesky@websnailmail.com</t>
  </si>
  <si>
    <t>Chantry</t>
  </si>
  <si>
    <t>Keelan Chantry</t>
  </si>
  <si>
    <t>33607 Outley Park Drive</t>
  </si>
  <si>
    <t>al2314w@gmail.com</t>
  </si>
  <si>
    <t>Arika</t>
  </si>
  <si>
    <t>Arika Warren</t>
  </si>
  <si>
    <t>1403 Flamingo Dr</t>
  </si>
  <si>
    <t>ethancastrellon@gmail.com</t>
  </si>
  <si>
    <t>Ethan Castrellon</t>
  </si>
  <si>
    <t>ipadcast777@gmail.com</t>
  </si>
  <si>
    <t>Avalon</t>
  </si>
  <si>
    <t>Avalon Castrellon</t>
  </si>
  <si>
    <t>Dreher Rd.</t>
  </si>
  <si>
    <t>ajloomis03@gmail.com</t>
  </si>
  <si>
    <t>Andrew Loomis</t>
  </si>
  <si>
    <t>tanyawhite1108@gmail.com</t>
  </si>
  <si>
    <t>2408horselover@gmail.com</t>
  </si>
  <si>
    <t>Amelia White</t>
  </si>
  <si>
    <t>1108 Westridge Drive</t>
  </si>
  <si>
    <t>gina.nye@att.net</t>
  </si>
  <si>
    <t>w0877674@gmail.com</t>
  </si>
  <si>
    <t>Nye</t>
  </si>
  <si>
    <t>Nathaniel Nye</t>
  </si>
  <si>
    <t>P.O. Box 1923</t>
  </si>
  <si>
    <t>Joshua Cendejas</t>
  </si>
  <si>
    <t>jessieleeconner@gmail.com</t>
  </si>
  <si>
    <t>Jessica Conner</t>
  </si>
  <si>
    <t>333 Sutton Dr</t>
  </si>
  <si>
    <t>newton</t>
  </si>
  <si>
    <t>purpleckg05@gmail.com</t>
  </si>
  <si>
    <t>Camdyn</t>
  </si>
  <si>
    <t>Camdyn Gebhards</t>
  </si>
  <si>
    <t>2907 Jebediah Way</t>
  </si>
  <si>
    <t>davidvt2005@gmail.com</t>
  </si>
  <si>
    <t>David Villa</t>
  </si>
  <si>
    <t>Avenida San Borja Sur 1062 dpt L-403</t>
  </si>
  <si>
    <t>langenberg.scott@gmail.com</t>
  </si>
  <si>
    <t>Seth Langenberg</t>
  </si>
  <si>
    <t>#5 Crestview Lakes Estates</t>
  </si>
  <si>
    <t>kbknightfox@gmail.com</t>
  </si>
  <si>
    <t>Reagan Noyes</t>
  </si>
  <si>
    <t>carson.linenberger@gmail.com</t>
  </si>
  <si>
    <t>Linenberger</t>
  </si>
  <si>
    <t>Carson Linenberger</t>
  </si>
  <si>
    <t>2475 W. Cactus Lane</t>
  </si>
  <si>
    <t>tdbowers3.2@gmail.com</t>
  </si>
  <si>
    <t>Peyton Bowers</t>
  </si>
  <si>
    <t>234 Sanbridge Circle</t>
  </si>
  <si>
    <t>Jeremy Kinzinger</t>
  </si>
  <si>
    <t>laurenstout2021@adamswells.com</t>
  </si>
  <si>
    <t>Laurenstout2021@adamswells.com</t>
  </si>
  <si>
    <t>Lauren Stout</t>
  </si>
  <si>
    <t>1336 Kenwood Dr</t>
  </si>
  <si>
    <t>teaquesmith@gmail.com</t>
  </si>
  <si>
    <t>casmith2503@gmail.com</t>
  </si>
  <si>
    <t>Cade Smith</t>
  </si>
  <si>
    <t>3411 Dundee Loop</t>
  </si>
  <si>
    <t>North Pole</t>
  </si>
  <si>
    <t>wohlersj@frontiernet.net</t>
  </si>
  <si>
    <t>cwohlers03@icloud.com</t>
  </si>
  <si>
    <t>Meredith Wohlers</t>
  </si>
  <si>
    <t>55 E Pine Street</t>
  </si>
  <si>
    <t>Monroeville</t>
  </si>
  <si>
    <t>brianronald@msn.com</t>
  </si>
  <si>
    <t>L0tsofcub3s@gmail.com</t>
  </si>
  <si>
    <t>Tingley</t>
  </si>
  <si>
    <t>Dylan Tingley</t>
  </si>
  <si>
    <t>3211 S 16th St</t>
  </si>
  <si>
    <t>ptnp@juno.com</t>
  </si>
  <si>
    <t>cjc202125@gmail.com</t>
  </si>
  <si>
    <t>Chang</t>
  </si>
  <si>
    <t>Caleb Chang</t>
  </si>
  <si>
    <t>PO Box 4792</t>
  </si>
  <si>
    <t>nicole_aitken@yahoo.com</t>
  </si>
  <si>
    <t>jakob.aitken@yahoo.com</t>
  </si>
  <si>
    <t>Aitken</t>
  </si>
  <si>
    <t>Jakob Aitken</t>
  </si>
  <si>
    <t>9025 Daleview Rd SE</t>
  </si>
  <si>
    <t>mjvb2020@gmail.com</t>
  </si>
  <si>
    <t>Vander Berg</t>
  </si>
  <si>
    <t>Miranda Vander Berg</t>
  </si>
  <si>
    <t>10 Birdie Blvd.</t>
  </si>
  <si>
    <t>address4info@gmail.com</t>
  </si>
  <si>
    <t>address4infoc@gmail.com</t>
  </si>
  <si>
    <t>Caleb Martin</t>
  </si>
  <si>
    <t>1548 Helen Hwy</t>
  </si>
  <si>
    <t>brianep@aol.com</t>
  </si>
  <si>
    <t>dylanpeveto123@gmail.com</t>
  </si>
  <si>
    <t>Peveto</t>
  </si>
  <si>
    <t>Dylan Peveto</t>
  </si>
  <si>
    <t>4801 gliding hawk way</t>
  </si>
  <si>
    <t>jacksonville</t>
  </si>
  <si>
    <t>kierstyhutch@gmail.com</t>
  </si>
  <si>
    <t>Hutcheson</t>
  </si>
  <si>
    <t>Kiersten Hutcheson</t>
  </si>
  <si>
    <t>4046 Guilford Ave</t>
  </si>
  <si>
    <t>alexmatta95@gmail.com</t>
  </si>
  <si>
    <t>Matta</t>
  </si>
  <si>
    <t>Alexandra Matta</t>
  </si>
  <si>
    <t>Urb. El Valle, 251 Calle del Higuero F-3</t>
  </si>
  <si>
    <t>Caguas</t>
  </si>
  <si>
    <t>ricardoadiaztorres1@gmail.com</t>
  </si>
  <si>
    <t>D√≠az</t>
  </si>
  <si>
    <t>Ricardo D√≠az</t>
  </si>
  <si>
    <t>Urb. Mans. Reales Carlos I i-2</t>
  </si>
  <si>
    <t>Guaynabo</t>
  </si>
  <si>
    <t>finniec700@outlook.com</t>
  </si>
  <si>
    <t>Finnie</t>
  </si>
  <si>
    <t>Cassandra Finnie</t>
  </si>
  <si>
    <t>3112 268 st</t>
  </si>
  <si>
    <t>aldergrove</t>
  </si>
  <si>
    <t>bC</t>
  </si>
  <si>
    <t>V4W 3c6</t>
  </si>
  <si>
    <t>tami.150503@gmail.com</t>
  </si>
  <si>
    <t>Chumpitazi</t>
  </si>
  <si>
    <t>Tamara Chumpitazi</t>
  </si>
  <si>
    <t>Calle Loma de los Lirios 119</t>
  </si>
  <si>
    <t>L33</t>
  </si>
  <si>
    <t>revoljesse@gmail.com</t>
  </si>
  <si>
    <t>audrey.aurora26@gmail.com</t>
  </si>
  <si>
    <t>Audrey Martinez</t>
  </si>
  <si>
    <t>501 Lovers Lane</t>
  </si>
  <si>
    <t>nataliegrooms2015@gmail.com</t>
  </si>
  <si>
    <t>danedramirez05@gmail.com</t>
  </si>
  <si>
    <t>Dane Ramirez</t>
  </si>
  <si>
    <t>8266 Cherry Laurel Dr.</t>
  </si>
  <si>
    <t>kmmason927@yahoo.com</t>
  </si>
  <si>
    <t>matthewcmason@icloud.com</t>
  </si>
  <si>
    <t>Matthew Mason</t>
  </si>
  <si>
    <t>56 Royal Pine</t>
  </si>
  <si>
    <t>FRANOCHTERBECK@GMAIL.COM</t>
  </si>
  <si>
    <t>joeochterbeck@gmail.com</t>
  </si>
  <si>
    <t>Joseph Ochterbeck</t>
  </si>
  <si>
    <t>22226 Country View Lane</t>
  </si>
  <si>
    <t>amymoorecca@gmail.com</t>
  </si>
  <si>
    <t>coopercmoore18@gmail.com</t>
  </si>
  <si>
    <t>Cooper Moore</t>
  </si>
  <si>
    <t>5935 Cape Coral Dr.</t>
  </si>
  <si>
    <t>ritsfam@ymail.com</t>
  </si>
  <si>
    <t>fancyfiddler27@gmail.com</t>
  </si>
  <si>
    <t>Rits</t>
  </si>
  <si>
    <t>Isaac Rits</t>
  </si>
  <si>
    <t>5426 Flint Tavern Pl</t>
  </si>
  <si>
    <t>nwalstam@gmail.com</t>
  </si>
  <si>
    <t>Nicklas</t>
  </si>
  <si>
    <t>Walstam</t>
  </si>
  <si>
    <t>Nicklas Walstam</t>
  </si>
  <si>
    <t>9 Lexington Street</t>
  </si>
  <si>
    <t>brettd2305@gmail.com</t>
  </si>
  <si>
    <t>Brettd2305@gmail.com</t>
  </si>
  <si>
    <t>Brett Schaurer</t>
  </si>
  <si>
    <t>2305 Farrington Road</t>
  </si>
  <si>
    <t>jiffyluj4@gmail.com</t>
  </si>
  <si>
    <t>Jennifer Jordan</t>
  </si>
  <si>
    <t>183 Nale Dr.</t>
  </si>
  <si>
    <t>Hoosierbronze@gmail.com</t>
  </si>
  <si>
    <t>Danielle Pritchard</t>
  </si>
  <si>
    <t>Truthgracewillow@gmail.com</t>
  </si>
  <si>
    <t>Alethea</t>
  </si>
  <si>
    <t>Alethea Pritchard</t>
  </si>
  <si>
    <t>na.hrndz008@gmail.com</t>
  </si>
  <si>
    <t>Natalia Hernandez</t>
  </si>
  <si>
    <t>1793 Calle San Rodlofo Urb. San Ignacio</t>
  </si>
  <si>
    <t>Rio Piedras</t>
  </si>
  <si>
    <t>hockeykelley9@yahoo.com</t>
  </si>
  <si>
    <t>dasckron7640@yahoo.com</t>
  </si>
  <si>
    <t>Raymond McKinney</t>
  </si>
  <si>
    <t>23682 Via Segovia</t>
  </si>
  <si>
    <t>meksfam@att.net</t>
  </si>
  <si>
    <t>joelair29@icloud.com</t>
  </si>
  <si>
    <t>Mekelburg</t>
  </si>
  <si>
    <t>Joel Mekelburg</t>
  </si>
  <si>
    <t>1929 Wildwood Drive</t>
  </si>
  <si>
    <t>officiallylindley@gmail.com</t>
  </si>
  <si>
    <t>Basden</t>
  </si>
  <si>
    <t>Lindley Basden</t>
  </si>
  <si>
    <t>9 Country Club Drive</t>
  </si>
  <si>
    <t>snowinginc@yahoo.com</t>
  </si>
  <si>
    <t>Isabella McDonald</t>
  </si>
  <si>
    <t>928 Thacker Rd</t>
  </si>
  <si>
    <t>swalker9262@gmail.com</t>
  </si>
  <si>
    <t>Matthew Walker</t>
  </si>
  <si>
    <t>42937 Corte Abanilla</t>
  </si>
  <si>
    <t>aub9702@icloud.com</t>
  </si>
  <si>
    <t>Auburn Childs</t>
  </si>
  <si>
    <t>409 Short Buehrer Road</t>
  </si>
  <si>
    <t>Archbold</t>
  </si>
  <si>
    <t>kristenlester01@gmail.com</t>
  </si>
  <si>
    <t>Kristen Lester</t>
  </si>
  <si>
    <t>644 Huntington Drive</t>
  </si>
  <si>
    <t>sophianmoon@gmail.com</t>
  </si>
  <si>
    <t>Sophianmoon@gmail.com</t>
  </si>
  <si>
    <t>Sophia Moon</t>
  </si>
  <si>
    <t>32 Alpine St</t>
  </si>
  <si>
    <t>leahgaus11@gmail.com</t>
  </si>
  <si>
    <t>Gaus</t>
  </si>
  <si>
    <t>Leah Gaus</t>
  </si>
  <si>
    <t>7377 S Laredo St</t>
  </si>
  <si>
    <t>maryannetenhaaf@gmail.com</t>
  </si>
  <si>
    <t>tiatenhaaf@gmail.com</t>
  </si>
  <si>
    <t>Tia</t>
  </si>
  <si>
    <t>TenHaaf</t>
  </si>
  <si>
    <t>Tia TenHaaf</t>
  </si>
  <si>
    <t>1040 68th street, se</t>
  </si>
  <si>
    <t>lzackw@icloud.com</t>
  </si>
  <si>
    <t>Luke Womick</t>
  </si>
  <si>
    <t>jimenez4@me.com</t>
  </si>
  <si>
    <t>andrewraynerjz@gmail.com</t>
  </si>
  <si>
    <t>Andrew Jimenez</t>
  </si>
  <si>
    <t>742 Country Lane</t>
  </si>
  <si>
    <t>10mak@bellsouth.net</t>
  </si>
  <si>
    <t>Makayla Wheeler</t>
  </si>
  <si>
    <t>4080 Sand Ridge Dr.</t>
  </si>
  <si>
    <t>coach@madlinmangrum.com</t>
  </si>
  <si>
    <t>ignitevisuals.video@gmail.com</t>
  </si>
  <si>
    <t>Mangrum</t>
  </si>
  <si>
    <t>Joshua Mangrum</t>
  </si>
  <si>
    <t>4618 Majestic Sky</t>
  </si>
  <si>
    <t>anna.g83@icloud.com</t>
  </si>
  <si>
    <t>Schall</t>
  </si>
  <si>
    <t>Anna Schall</t>
  </si>
  <si>
    <t>862 Baker Road</t>
  </si>
  <si>
    <t>codemaniac500@gmail.com</t>
  </si>
  <si>
    <t>Ian McCorkle</t>
  </si>
  <si>
    <t>hsdunn@students.ccu.edu</t>
  </si>
  <si>
    <t>Harrison Dunn</t>
  </si>
  <si>
    <t>1411 Meyerwood Circle</t>
  </si>
  <si>
    <t>harrisonmajors2520@gmail.com</t>
  </si>
  <si>
    <t>Majors</t>
  </si>
  <si>
    <t>Harrison Majors</t>
  </si>
  <si>
    <t>931 Overview Ct.</t>
  </si>
  <si>
    <t>eadrian@mcslima.edu.pe</t>
  </si>
  <si>
    <t>Eadrian@mcslima.edu.pe</t>
  </si>
  <si>
    <t>Adrian Escobar</t>
  </si>
  <si>
    <t>Jr. El Cortijo 422 dpt 302</t>
  </si>
  <si>
    <t>L37</t>
  </si>
  <si>
    <t>kyleekatherine02@gmail.com</t>
  </si>
  <si>
    <t>Kylee</t>
  </si>
  <si>
    <t>Barth</t>
  </si>
  <si>
    <t>Kylee Barth</t>
  </si>
  <si>
    <t>2370 Autumn Mist ct.</t>
  </si>
  <si>
    <t>millcreekjonathon@gmail.com</t>
  </si>
  <si>
    <t>millcreekjonathan@gmail.com</t>
  </si>
  <si>
    <t>Jonathan Dickey</t>
  </si>
  <si>
    <t>US</t>
  </si>
  <si>
    <t>118 Westlake</t>
  </si>
  <si>
    <t>lexisauder01@gmail.com</t>
  </si>
  <si>
    <t>Lexisauder01@gmail.com</t>
  </si>
  <si>
    <t>Sauder</t>
  </si>
  <si>
    <t>Lexi Sauder</t>
  </si>
  <si>
    <t>3080 County Road 21</t>
  </si>
  <si>
    <t>vfweisz@gmail.com</t>
  </si>
  <si>
    <t>Weisz</t>
  </si>
  <si>
    <t>Victoria Weisz</t>
  </si>
  <si>
    <t>295 West Elgin Dr</t>
  </si>
  <si>
    <t>gkimlu@gmail.com</t>
  </si>
  <si>
    <t>lydlu992@gmail.com</t>
  </si>
  <si>
    <t>Lydia Lu</t>
  </si>
  <si>
    <t>3255 Medina Ct</t>
  </si>
  <si>
    <t>paulastratton@sbcglobal.net</t>
  </si>
  <si>
    <t>flstrattons@gmail.com</t>
  </si>
  <si>
    <t>Brock Stratton</t>
  </si>
  <si>
    <t>13815 Vista del Lago Blvd.</t>
  </si>
  <si>
    <t>yisharlene@gmail.com</t>
  </si>
  <si>
    <t>Hannah Yi</t>
  </si>
  <si>
    <t>timostoll664@gmail.com</t>
  </si>
  <si>
    <t>Timo</t>
  </si>
  <si>
    <t>Timo Stoll</t>
  </si>
  <si>
    <t>2716 Durant Road</t>
  </si>
  <si>
    <t>kfarhart@students.ccu.edu</t>
  </si>
  <si>
    <t>Kfarhart@students.ccu.edu</t>
  </si>
  <si>
    <t>Farhart</t>
  </si>
  <si>
    <t>Katherine Farhart</t>
  </si>
  <si>
    <t>8415 Lauralwood Lane</t>
  </si>
  <si>
    <t>stan@jacobtitle.com</t>
  </si>
  <si>
    <t>maniefm@madisoncity.k12.al.us</t>
  </si>
  <si>
    <t>MANIE</t>
  </si>
  <si>
    <t>MCDONALD</t>
  </si>
  <si>
    <t>MANIE MCDONALD</t>
  </si>
  <si>
    <t>104 STILLMEADOW DR</t>
  </si>
  <si>
    <t>MADISON</t>
  </si>
  <si>
    <t>allievanhoveln2020@gmail.com</t>
  </si>
  <si>
    <t>Van Hoveln</t>
  </si>
  <si>
    <t>Alexis Van Hoveln</t>
  </si>
  <si>
    <t>17747 North 93rd Place</t>
  </si>
  <si>
    <t>cvcejd@gmail.com</t>
  </si>
  <si>
    <t>draculasbro@gmail.com</t>
  </si>
  <si>
    <t>Stephen Downey</t>
  </si>
  <si>
    <t>192 Arrowhead Lake Road</t>
  </si>
  <si>
    <t>scheie6@aol.com</t>
  </si>
  <si>
    <t>scheie5.se@gmail.com</t>
  </si>
  <si>
    <t>Senait</t>
  </si>
  <si>
    <t>Senait Scheie</t>
  </si>
  <si>
    <t>6497 Ashley Oaks Ct</t>
  </si>
  <si>
    <t>scheie6.sc@gmail.com</t>
  </si>
  <si>
    <t>Samson</t>
  </si>
  <si>
    <t>Samson Scheie</t>
  </si>
  <si>
    <t>karatravers01@gmail.com</t>
  </si>
  <si>
    <t>Travers</t>
  </si>
  <si>
    <t>Kara Travers</t>
  </si>
  <si>
    <t>3211 Mill House Run</t>
  </si>
  <si>
    <t>matt_griffith22@hotmail.com</t>
  </si>
  <si>
    <t>Ea_griffith@yahoo.com</t>
  </si>
  <si>
    <t>7694 Smith Drive</t>
  </si>
  <si>
    <t>radmytriw@gmail.com</t>
  </si>
  <si>
    <t>Dmytriw</t>
  </si>
  <si>
    <t>Riley Dmytriw</t>
  </si>
  <si>
    <t>15802 West 70th Drive</t>
  </si>
  <si>
    <t>cincmorgan@gmail.com</t>
  </si>
  <si>
    <t>Cincmorgan@gmail.com</t>
  </si>
  <si>
    <t>McNair</t>
  </si>
  <si>
    <t>Michael McNair</t>
  </si>
  <si>
    <t>1511 Big Meadow Dr</t>
  </si>
  <si>
    <t>juliaramirez2@gmail.com</t>
  </si>
  <si>
    <t>Julia Ramirez</t>
  </si>
  <si>
    <t>kaylangb20@gmail.com</t>
  </si>
  <si>
    <t>Kaylangb20@gmail.com</t>
  </si>
  <si>
    <t>Bitzer</t>
  </si>
  <si>
    <t>Kayla Bitzer</t>
  </si>
  <si>
    <t>24012 27th Pl W</t>
  </si>
  <si>
    <t>baby4us@consolidated.net</t>
  </si>
  <si>
    <t>Davidbruns@consolidated.net</t>
  </si>
  <si>
    <t>Bruns</t>
  </si>
  <si>
    <t>David Bruns</t>
  </si>
  <si>
    <t>207 N. Rosamond Ave</t>
  </si>
  <si>
    <t>guillorymaddie15@gmail.com</t>
  </si>
  <si>
    <t>Madison Guillory</t>
  </si>
  <si>
    <t>PO Box 203</t>
  </si>
  <si>
    <t>wkwiec@gmail.com</t>
  </si>
  <si>
    <t>Nemus42@gmail.com</t>
  </si>
  <si>
    <t>Marcus Heinrich</t>
  </si>
  <si>
    <t>1116 Bull St.</t>
  </si>
  <si>
    <t>fancyfeetd8@gmail.com</t>
  </si>
  <si>
    <t>Kaeli</t>
  </si>
  <si>
    <t>Kaeli Rits</t>
  </si>
  <si>
    <t>ampsleong02@gmail.com</t>
  </si>
  <si>
    <t>Megan Leong</t>
  </si>
  <si>
    <t>jgdoyle093@gmail.com</t>
  </si>
  <si>
    <t>Julianna Doyle</t>
  </si>
  <si>
    <t>k3terlouw@gmail.com</t>
  </si>
  <si>
    <t>TerLouw</t>
  </si>
  <si>
    <t>Kyra TerLouw</t>
  </si>
  <si>
    <t>2119 Hawthorne Ave.</t>
  </si>
  <si>
    <t>elidonaho2002@gmail.com</t>
  </si>
  <si>
    <t>Elidonaho2002@gmail.com</t>
  </si>
  <si>
    <t>Donaho</t>
  </si>
  <si>
    <t>Elijah Donaho</t>
  </si>
  <si>
    <t>10223 Sagecourt</t>
  </si>
  <si>
    <t>nicholasjaramillo0916@gmail.com</t>
  </si>
  <si>
    <t>Nicholas Jaramillo</t>
  </si>
  <si>
    <t>2435 Devoe Terrace Apt 2B</t>
  </si>
  <si>
    <t>maddog11116@gmail.com</t>
  </si>
  <si>
    <t>Madelyn Long</t>
  </si>
  <si>
    <t>12433 Whitecreek</t>
  </si>
  <si>
    <t>Cedarsprings</t>
  </si>
  <si>
    <t>katy-herndon25@hotmail.com</t>
  </si>
  <si>
    <t>Kathryn Herndon</t>
  </si>
  <si>
    <t>2485 Folsom Road</t>
  </si>
  <si>
    <t>Durant</t>
  </si>
  <si>
    <t>darianisly4@gmail.com</t>
  </si>
  <si>
    <t>Daria</t>
  </si>
  <si>
    <t>Daria Nisly</t>
  </si>
  <si>
    <t>5914 W Trail West Rd</t>
  </si>
  <si>
    <t>kmoddelmog@usd306.k12.ks.us</t>
  </si>
  <si>
    <t>Moddelmog</t>
  </si>
  <si>
    <t>Katelyn Moddelmog</t>
  </si>
  <si>
    <t>3545 S. Holmes Road</t>
  </si>
  <si>
    <t>pilarg205@gmail.com</t>
  </si>
  <si>
    <t>Pilarg205@gmail.com</t>
  </si>
  <si>
    <t>Pilar</t>
  </si>
  <si>
    <t>Pilar Grover</t>
  </si>
  <si>
    <t>Po box 196</t>
  </si>
  <si>
    <t>Atlantic Beach</t>
  </si>
  <si>
    <t>upaerie@gmail.com</t>
  </si>
  <si>
    <t>eleana4pets@gmail.com</t>
  </si>
  <si>
    <t>Eleana</t>
  </si>
  <si>
    <t>Eleana Emmert</t>
  </si>
  <si>
    <t>47451 M26</t>
  </si>
  <si>
    <t>noahisaphillips@gmail.com</t>
  </si>
  <si>
    <t>3926 Grove Road NW</t>
  </si>
  <si>
    <t>jscrump567@gmail.com</t>
  </si>
  <si>
    <t>Crump</t>
  </si>
  <si>
    <t>Jordan Crump</t>
  </si>
  <si>
    <t>2271 South Moeller Circle</t>
  </si>
  <si>
    <t>lorelei.bahnemann@gmail.com</t>
  </si>
  <si>
    <t>Lorelei</t>
  </si>
  <si>
    <t>Bahnemann</t>
  </si>
  <si>
    <t>Lorelei Bahnemann</t>
  </si>
  <si>
    <t>kylewallen925@gmail.com</t>
  </si>
  <si>
    <t>Kylewallen925@gmail.com</t>
  </si>
  <si>
    <t>Kyle Allen</t>
  </si>
  <si>
    <t>11209 Winding Brook Lane</t>
  </si>
  <si>
    <t>jvcdkblock@msn.com</t>
  </si>
  <si>
    <t>swordathand2@gmail.com</t>
  </si>
  <si>
    <t>Daniel Block</t>
  </si>
  <si>
    <t>6625 Tele Lane</t>
  </si>
  <si>
    <t>ljageman@alumni.rice.edu</t>
  </si>
  <si>
    <t>rljag@icloud.com</t>
  </si>
  <si>
    <t>Jageman</t>
  </si>
  <si>
    <t>Rachel Jageman</t>
  </si>
  <si>
    <t>2818 Simondale Drive</t>
  </si>
  <si>
    <t>egrace517@gmail.com</t>
  </si>
  <si>
    <t>Emily Crump</t>
  </si>
  <si>
    <t>a.wilkes1787@gmail.com</t>
  </si>
  <si>
    <t>Abigail Wilkes</t>
  </si>
  <si>
    <t>8601 E. Greenbluff Rd.</t>
  </si>
  <si>
    <t>Colbert</t>
  </si>
  <si>
    <t>thepoettgens@gmail.com</t>
  </si>
  <si>
    <t>livslivs2004@gmail.com</t>
  </si>
  <si>
    <t>Poettgen</t>
  </si>
  <si>
    <t>Olivia Poettgen</t>
  </si>
  <si>
    <t>2716 NW Olmstead Drive</t>
  </si>
  <si>
    <t>rory.aughinbaugh@gmail.com</t>
  </si>
  <si>
    <t>allibears03@gmail.com</t>
  </si>
  <si>
    <t>Aughinbaugh</t>
  </si>
  <si>
    <t>Allison Aughinbaugh</t>
  </si>
  <si>
    <t>9109 High Grove Rd</t>
  </si>
  <si>
    <t>lesa@premiumworks.com</t>
  </si>
  <si>
    <t>Hagelin</t>
  </si>
  <si>
    <t>Nicholas Hagelin</t>
  </si>
  <si>
    <t>1375 Landis drive</t>
  </si>
  <si>
    <t>North Wales</t>
  </si>
  <si>
    <t>Reagan Bole</t>
  </si>
  <si>
    <t>414 W. Colorado Avenue</t>
  </si>
  <si>
    <t>kwtune@go.olemiss.edu</t>
  </si>
  <si>
    <t>Kathleen Tune</t>
  </si>
  <si>
    <t>68 Fairmount Avenue</t>
  </si>
  <si>
    <t>Chester</t>
  </si>
  <si>
    <t>bethbacon@gmail.com</t>
  </si>
  <si>
    <t>kate@bacons.us</t>
  </si>
  <si>
    <t>Bacon</t>
  </si>
  <si>
    <t>Kate Bacon</t>
  </si>
  <si>
    <t>2367 Kingsland Drive</t>
  </si>
  <si>
    <t>olivia@bacons.us</t>
  </si>
  <si>
    <t>Olivia Bacon</t>
  </si>
  <si>
    <t>woodfinjj@gmail.com</t>
  </si>
  <si>
    <t>Woodfinjj@gmail.com</t>
  </si>
  <si>
    <t>Woodfin</t>
  </si>
  <si>
    <t>Joshua Woodfin</t>
  </si>
  <si>
    <t>237 Greengate Lane</t>
  </si>
  <si>
    <t>Spar</t>
  </si>
  <si>
    <t>chuang.vanessa322@gmail.com</t>
  </si>
  <si>
    <t>Vanessa Chuang</t>
  </si>
  <si>
    <t>12002 Manorwood St</t>
  </si>
  <si>
    <t>saraslowery@gmail.com</t>
  </si>
  <si>
    <t>Sara Lowery</t>
  </si>
  <si>
    <t>230 Singleton Street</t>
  </si>
  <si>
    <t>camp.cherie@gmail.com</t>
  </si>
  <si>
    <t>jaedin.camp@gmail.com</t>
  </si>
  <si>
    <t>Jaedin</t>
  </si>
  <si>
    <t>Jaedin Camp</t>
  </si>
  <si>
    <t>950 Campbell Drive</t>
  </si>
  <si>
    <t>Edsantos1041@gmail.com</t>
  </si>
  <si>
    <t>edsantos1041@gmail.com</t>
  </si>
  <si>
    <t>Eduardo Santos</t>
  </si>
  <si>
    <t>Camino Los Aquino 844 km 4.9</t>
  </si>
  <si>
    <t>Trujillo Alto</t>
  </si>
  <si>
    <t>jeannie98@hotmail.com</t>
  </si>
  <si>
    <t>Ty1carranza@gmail.com</t>
  </si>
  <si>
    <t>Carranza</t>
  </si>
  <si>
    <t>Tyler Carranza</t>
  </si>
  <si>
    <t>4025 Martin Rd SW</t>
  </si>
  <si>
    <t>ivy.myers1@pcc.edu</t>
  </si>
  <si>
    <t>Ivy Myers</t>
  </si>
  <si>
    <t>29525 SW 35th Drive</t>
  </si>
  <si>
    <t>andy.deel750@gmail.com</t>
  </si>
  <si>
    <t>Andy.deel750@gmail.com</t>
  </si>
  <si>
    <t>Deel</t>
  </si>
  <si>
    <t>Andrew Deel</t>
  </si>
  <si>
    <t>7956 Weavers Ln</t>
  </si>
  <si>
    <t>cpjswift@gmail.com</t>
  </si>
  <si>
    <t>Crystal Swift</t>
  </si>
  <si>
    <t>2232 Andrews Avenue</t>
  </si>
  <si>
    <t>havilah.kirsch@gmail.com</t>
  </si>
  <si>
    <t>Havilah</t>
  </si>
  <si>
    <t>Havilah Ragan</t>
  </si>
  <si>
    <t>austen9@icloud.com</t>
  </si>
  <si>
    <t>Austen</t>
  </si>
  <si>
    <t>Hermanson</t>
  </si>
  <si>
    <t>Austen Hermanson</t>
  </si>
  <si>
    <t>24357 Valley St.</t>
  </si>
  <si>
    <t>brycencommon@gmail.com</t>
  </si>
  <si>
    <t>Common</t>
  </si>
  <si>
    <t>Brycen Common</t>
  </si>
  <si>
    <t>95810 McKinnon Drive</t>
  </si>
  <si>
    <t>PO BOX 1838</t>
  </si>
  <si>
    <t>Gold Beach</t>
  </si>
  <si>
    <t>daphpang2003@yahoo.com.sg</t>
  </si>
  <si>
    <t>owenchai@rocketmail.com</t>
  </si>
  <si>
    <t>Chai</t>
  </si>
  <si>
    <t>Owen Chai</t>
  </si>
  <si>
    <t>41 Clementi Crescent</t>
  </si>
  <si>
    <t>haven.emery@tagmagnet.org</t>
  </si>
  <si>
    <t>Haven Emery</t>
  </si>
  <si>
    <t>jack.kangas3@gmail.com</t>
  </si>
  <si>
    <t>Jack.Kangas3@gmail.com</t>
  </si>
  <si>
    <t>Cady, III</t>
  </si>
  <si>
    <t>John Cady, III</t>
  </si>
  <si>
    <t>8070 Leeshore Drive</t>
  </si>
  <si>
    <t>andrewkral@students.ccu.edu</t>
  </si>
  <si>
    <t>Kral</t>
  </si>
  <si>
    <t>Andrew Kral</t>
  </si>
  <si>
    <t>639 W Dahlia St</t>
  </si>
  <si>
    <t>kaylasharae24@gmail.com</t>
  </si>
  <si>
    <t>Kaylasharae24@gmail.com</t>
  </si>
  <si>
    <t>Nakayla</t>
  </si>
  <si>
    <t>Phifer</t>
  </si>
  <si>
    <t>Nakayla Phifer</t>
  </si>
  <si>
    <t>3306 Table Rock  Dr</t>
  </si>
  <si>
    <t>3306 Table Rock Dr</t>
  </si>
  <si>
    <t>Lmf4@me.com</t>
  </si>
  <si>
    <t>mmbllp@yahoo.com</t>
  </si>
  <si>
    <t>Max Moody</t>
  </si>
  <si>
    <t>5539 Browns Landing Drive</t>
  </si>
  <si>
    <t>Macy Moody</t>
  </si>
  <si>
    <t>michelle.wilkerson11@yahoo.com</t>
  </si>
  <si>
    <t>ecwilkerson11@gmail.com</t>
  </si>
  <si>
    <t>Wilkerson</t>
  </si>
  <si>
    <t>Elijah Wilkerson</t>
  </si>
  <si>
    <t>6 Edam Ct</t>
  </si>
  <si>
    <t>heartsswimming@gmail.com</t>
  </si>
  <si>
    <t>Heartsswimming@gmail.com</t>
  </si>
  <si>
    <t>Kayla Hazen</t>
  </si>
  <si>
    <t>106 South Janell Dr.</t>
  </si>
  <si>
    <t>mafamact@gmail.com</t>
  </si>
  <si>
    <t>lukematson39@gmail.com</t>
  </si>
  <si>
    <t>Luke Matson</t>
  </si>
  <si>
    <t>21643 Murray's Crescent</t>
  </si>
  <si>
    <t>V3A 9B2</t>
  </si>
  <si>
    <t>tcvetik@yahoo.com</t>
  </si>
  <si>
    <t>Coolbeartimka@gmail.com</t>
  </si>
  <si>
    <t>Karpov</t>
  </si>
  <si>
    <t>Tim Karpov</t>
  </si>
  <si>
    <t>251 Rafael dr</t>
  </si>
  <si>
    <t>Elverta</t>
  </si>
  <si>
    <t>edeninez@icloud.com</t>
  </si>
  <si>
    <t>Stroupe</t>
  </si>
  <si>
    <t>Eden Stroupe</t>
  </si>
  <si>
    <t>2007 Sorrento Dr</t>
  </si>
  <si>
    <t>jrjasohi@gmail.con</t>
  </si>
  <si>
    <t>Jrjasphi@gmail.com</t>
  </si>
  <si>
    <t>Buchholz</t>
  </si>
  <si>
    <t>Elijah Buchholz</t>
  </si>
  <si>
    <t>1040 Jim Clark Rd</t>
  </si>
  <si>
    <t>dm216817@gmail.com</t>
  </si>
  <si>
    <t>Mathew</t>
  </si>
  <si>
    <t>Danny Mathew</t>
  </si>
  <si>
    <t>6823 N Kedvale</t>
  </si>
  <si>
    <t>Lincolnwood</t>
  </si>
  <si>
    <t>hesssilas@gmail.com</t>
  </si>
  <si>
    <t>Hesssilas@gmail.com</t>
  </si>
  <si>
    <t>Silas Hess</t>
  </si>
  <si>
    <t>6006 Saint Moritz ct ne</t>
  </si>
  <si>
    <t>benjihess77@gmail.com</t>
  </si>
  <si>
    <t>Benjihess77@gmail.com</t>
  </si>
  <si>
    <t>6006 Saint Moritz Ct NE</t>
  </si>
  <si>
    <t>crosstitchc@hotmail.com</t>
  </si>
  <si>
    <t>ahfgoodlife@gmail.com</t>
  </si>
  <si>
    <t>Handy</t>
  </si>
  <si>
    <t>Asa Handy</t>
  </si>
  <si>
    <t>1001 Roger St.</t>
  </si>
  <si>
    <t>Hill City</t>
  </si>
  <si>
    <t>ruthschenk@wavecable.com</t>
  </si>
  <si>
    <t>faith@schenkguitars.com</t>
  </si>
  <si>
    <t>Schenk</t>
  </si>
  <si>
    <t>Faith Schenk</t>
  </si>
  <si>
    <t>14535 Olympic View Loop Rd NW</t>
  </si>
  <si>
    <t>Silverdale</t>
  </si>
  <si>
    <t>Bonniehaentsch@icloud.com</t>
  </si>
  <si>
    <t>bonniehaentsch@icloud.com</t>
  </si>
  <si>
    <t>Haentsch</t>
  </si>
  <si>
    <t>Bonnie Haentsch</t>
  </si>
  <si>
    <t>10321 Westridge Rd.</t>
  </si>
  <si>
    <t>star1253@gmail.com</t>
  </si>
  <si>
    <t>Emily Hendon</t>
  </si>
  <si>
    <t>102 Windamere Ct</t>
  </si>
  <si>
    <t>renehammitt@icloud.com</t>
  </si>
  <si>
    <t>bhammitt4@gmail.com</t>
  </si>
  <si>
    <t>Branson Hammitt</t>
  </si>
  <si>
    <t>640 County Road 16</t>
  </si>
  <si>
    <t>kay62hammitt@gmail.com</t>
  </si>
  <si>
    <t>Jacey Hammitt</t>
  </si>
  <si>
    <t>bethaniejohns44@gmail.com</t>
  </si>
  <si>
    <t>Bethanie</t>
  </si>
  <si>
    <t>Bethanie Johns</t>
  </si>
  <si>
    <t>1024 Bromefield Drive</t>
  </si>
  <si>
    <t>kabarnes@kc.rr.com</t>
  </si>
  <si>
    <t>asherdaniel0001@gmail.com</t>
  </si>
  <si>
    <t>Asher Barnes</t>
  </si>
  <si>
    <t>7019 N Pennsylvania Ave</t>
  </si>
  <si>
    <t>bbbcanschool@aol.com</t>
  </si>
  <si>
    <t>brewinic@gmail.com</t>
  </si>
  <si>
    <t>Branch-Winic</t>
  </si>
  <si>
    <t>Breanne Branch-Winic</t>
  </si>
  <si>
    <t>1990 Montgomery Road</t>
  </si>
  <si>
    <t>mmsalyer@comcast.net</t>
  </si>
  <si>
    <t>Salyer</t>
  </si>
  <si>
    <t>Molly Salyer</t>
  </si>
  <si>
    <t>1204 Forest Rd</t>
  </si>
  <si>
    <t>limberlostgirl17@gmail.com</t>
  </si>
  <si>
    <t>Abigail Mills</t>
  </si>
  <si>
    <t>430 S Alabama Ave</t>
  </si>
  <si>
    <t>Okmulgee</t>
  </si>
  <si>
    <t>hnstarrett@centurylink.net</t>
  </si>
  <si>
    <t>Starrett</t>
  </si>
  <si>
    <t>Hannah Starrett</t>
  </si>
  <si>
    <t>332 N 300 E</t>
  </si>
  <si>
    <t>tkelly@kellyway.com</t>
  </si>
  <si>
    <t>Kellym21@chcstudent.com</t>
  </si>
  <si>
    <t>Micaiah Kelly</t>
  </si>
  <si>
    <t>604 Chestnut Ave Towson MD 21204</t>
  </si>
  <si>
    <t>Towson</t>
  </si>
  <si>
    <t>ellieandmollie@gmail.com</t>
  </si>
  <si>
    <t>Ellie.kay0873@gmail.com</t>
  </si>
  <si>
    <t>Haseloff</t>
  </si>
  <si>
    <t>Ellie Haseloff</t>
  </si>
  <si>
    <t>124 Seamands Drive</t>
  </si>
  <si>
    <t>spiveygirl248@yahoo.com</t>
  </si>
  <si>
    <t>sheakendra1106@gmail.com</t>
  </si>
  <si>
    <t>Kendra Spivey</t>
  </si>
  <si>
    <t>200 Carpenter Pike</t>
  </si>
  <si>
    <t>yiret.mam24@gmail.com</t>
  </si>
  <si>
    <t>Yiret.mam24@gmail.com</t>
  </si>
  <si>
    <t>Yiret</t>
  </si>
  <si>
    <t>Moreno</t>
  </si>
  <si>
    <t>Yiret Moreno</t>
  </si>
  <si>
    <t>15 Vermilyea Ave Apt 24</t>
  </si>
  <si>
    <t>bartelshannah52@yahoo.com</t>
  </si>
  <si>
    <t>Bartelshannah52@yahoo.com</t>
  </si>
  <si>
    <t>Bartels</t>
  </si>
  <si>
    <t>Hannah Bartels</t>
  </si>
  <si>
    <t>152 Cheltenham Lane</t>
  </si>
  <si>
    <t>Munroe Falls</t>
  </si>
  <si>
    <t>e1415@me.com</t>
  </si>
  <si>
    <t>Paton</t>
  </si>
  <si>
    <t>Samuel Paton</t>
  </si>
  <si>
    <t>3212 Wind Flower Ln</t>
  </si>
  <si>
    <t>MaryloisGibson@gmail.com</t>
  </si>
  <si>
    <t>megmatracia@gmail.com</t>
  </si>
  <si>
    <t>Matracia</t>
  </si>
  <si>
    <t>Megan Matracia</t>
  </si>
  <si>
    <t>1025 Campbell  Ct</t>
  </si>
  <si>
    <t>Rescue</t>
  </si>
  <si>
    <t>amber.j.blumer@gmail.com</t>
  </si>
  <si>
    <t>Blumer</t>
  </si>
  <si>
    <t>Lydia Blumer</t>
  </si>
  <si>
    <t>maryann@brooksnet.org</t>
  </si>
  <si>
    <t>emily@brooksnet.org</t>
  </si>
  <si>
    <t>Emily Brooks</t>
  </si>
  <si>
    <t>17236 NE 144th St</t>
  </si>
  <si>
    <t>pinkladywendi@gmail.com</t>
  </si>
  <si>
    <t>kaitlynwalker87@gmail.com</t>
  </si>
  <si>
    <t>Kaitlyn Walker</t>
  </si>
  <si>
    <t>15456 West Mescal Street</t>
  </si>
  <si>
    <t>kungpowbrooky@gmail.com</t>
  </si>
  <si>
    <t>Valler</t>
  </si>
  <si>
    <t>Brooke Valler</t>
  </si>
  <si>
    <t>1550 Alexander Ext.</t>
  </si>
  <si>
    <t>lucasmvn@gmail.com</t>
  </si>
  <si>
    <t>Van Noord</t>
  </si>
  <si>
    <t>Lucas Van Noord</t>
  </si>
  <si>
    <t>227 Yale Ave.</t>
  </si>
  <si>
    <t>jnweist@gmail.com</t>
  </si>
  <si>
    <t>Jania</t>
  </si>
  <si>
    <t>Weist</t>
  </si>
  <si>
    <t>Jania Weist</t>
  </si>
  <si>
    <t>81 Misty Lane</t>
  </si>
  <si>
    <t>ariannaolavarria@gmail.com</t>
  </si>
  <si>
    <t>Olavarria</t>
  </si>
  <si>
    <t>Arianna Olavarria</t>
  </si>
  <si>
    <t>3305 Forest Ct.</t>
  </si>
  <si>
    <t>Germ576507@gmail.com</t>
  </si>
  <si>
    <t>germ576507@gmail.com</t>
  </si>
  <si>
    <t>Jeremiah Parker</t>
  </si>
  <si>
    <t>3407 Hackberry Ct.</t>
  </si>
  <si>
    <t>horsegirlforever26@gmail.com</t>
  </si>
  <si>
    <t>Gault</t>
  </si>
  <si>
    <t>Sarah Gault</t>
  </si>
  <si>
    <t>101 Meadowcrest Dr</t>
  </si>
  <si>
    <t>truedanc10@yahoo.com</t>
  </si>
  <si>
    <t>Kelsey Hall</t>
  </si>
  <si>
    <t>6700 SW 16th Street</t>
  </si>
  <si>
    <t>bandcplus2@gmail.com</t>
  </si>
  <si>
    <t>Julianpstallings@gmail.com</t>
  </si>
  <si>
    <t>Stallings</t>
  </si>
  <si>
    <t>Julian Stallings</t>
  </si>
  <si>
    <t>4330 Ambergate CT</t>
  </si>
  <si>
    <t>freefamily5@yahoo.com</t>
  </si>
  <si>
    <t>samuelfreeman07@gmail.com</t>
  </si>
  <si>
    <t>Samuel Freeman</t>
  </si>
  <si>
    <t>7201 State Route 243</t>
  </si>
  <si>
    <t>South Point</t>
  </si>
  <si>
    <t>mills1095@gmail.com</t>
  </si>
  <si>
    <t>awilderking@gmail.com</t>
  </si>
  <si>
    <t>Aidan Mills</t>
  </si>
  <si>
    <t>237 Hackett Pike</t>
  </si>
  <si>
    <t>joannalucardie@gmail.com</t>
  </si>
  <si>
    <t>Joannalucardie@gmail.com</t>
  </si>
  <si>
    <t>Lucardie</t>
  </si>
  <si>
    <t>Joanna Lucardie</t>
  </si>
  <si>
    <t>251 Cheltenham Lane</t>
  </si>
  <si>
    <t>christinefromme@gmail.com</t>
  </si>
  <si>
    <t>afromme6@gmail.com</t>
  </si>
  <si>
    <t>Fromme</t>
  </si>
  <si>
    <t>Anna Fromme</t>
  </si>
  <si>
    <t>10280 Sweet Rock Ct</t>
  </si>
  <si>
    <t>johnnyadkinsmusic@gmail.com</t>
  </si>
  <si>
    <t>Johnny Adkins</t>
  </si>
  <si>
    <t>259 Merwood Drive</t>
  </si>
  <si>
    <t>arabesqueelm@gmail.com</t>
  </si>
  <si>
    <t>727 Central Ave.</t>
  </si>
  <si>
    <t>max0floyd@gmail.com</t>
  </si>
  <si>
    <t>astrickland@cougarsedu.com</t>
  </si>
  <si>
    <t>Abby Strickland</t>
  </si>
  <si>
    <t>Shady Maple Lane</t>
  </si>
  <si>
    <t>hermanaarlene@gmail.com</t>
  </si>
  <si>
    <t>Sophya</t>
  </si>
  <si>
    <t>Sophya Davis</t>
  </si>
  <si>
    <t>michellerk22@gmail.com</t>
  </si>
  <si>
    <t>Kuipers</t>
  </si>
  <si>
    <t>Michelle Kuipers</t>
  </si>
  <si>
    <t>100 Oak Valley Dr.</t>
  </si>
  <si>
    <t>leecolon04@gmail.com</t>
  </si>
  <si>
    <t>Johnlee</t>
  </si>
  <si>
    <t>Colon</t>
  </si>
  <si>
    <t>Johnlee Colon</t>
  </si>
  <si>
    <t>2257 university avenue</t>
  </si>
  <si>
    <t>apt 6C</t>
  </si>
  <si>
    <t>aronzheng@yahoo.com</t>
  </si>
  <si>
    <t>Aronzheng@yahoo.com</t>
  </si>
  <si>
    <t>Zheng</t>
  </si>
  <si>
    <t>Aron Zheng</t>
  </si>
  <si>
    <t>42-64 kissena blvd Flushing apt 220,</t>
  </si>
  <si>
    <t>Queens</t>
  </si>
  <si>
    <t>gabriel.salazar1205@gmail.com</t>
  </si>
  <si>
    <t>Gabriel Salazar</t>
  </si>
  <si>
    <t>Jir√≥n Las Gardenias 120</t>
  </si>
  <si>
    <t>jacksongodwin2723@gmail.com</t>
  </si>
  <si>
    <t>Jackson Godwin</t>
  </si>
  <si>
    <t>7560 Brookfield Forest Ct.</t>
  </si>
  <si>
    <t>simmknst1762@gmail.com</t>
  </si>
  <si>
    <t>Simmonst1762@gmail.com</t>
  </si>
  <si>
    <t>Trinity Simmons</t>
  </si>
  <si>
    <t>12900 County Rd 4 South</t>
  </si>
  <si>
    <t>Alamosa</t>
  </si>
  <si>
    <t>chancetmiddleton@gmail.com</t>
  </si>
  <si>
    <t>Chance Middleton</t>
  </si>
  <si>
    <t>4376 W 1175 N</t>
  </si>
  <si>
    <t>4calebsmith@gmail.com</t>
  </si>
  <si>
    <t>12940 W Burgundy Dr</t>
  </si>
  <si>
    <t>diamondmdog@gmail.com</t>
  </si>
  <si>
    <t>Staci Martin</t>
  </si>
  <si>
    <t>PO Box 225</t>
  </si>
  <si>
    <t>Bayfield</t>
  </si>
  <si>
    <t>dlcook@tds.net</t>
  </si>
  <si>
    <t>jamesc@cmcschool.org</t>
  </si>
  <si>
    <t>James Cook</t>
  </si>
  <si>
    <t>8577 County Road 1 NW</t>
  </si>
  <si>
    <t>Pennock</t>
  </si>
  <si>
    <t>ourpilgrimroad@gmail.com</t>
  </si>
  <si>
    <t>benheady03@gmail.com</t>
  </si>
  <si>
    <t>Heady</t>
  </si>
  <si>
    <t>Benjamin Heady</t>
  </si>
  <si>
    <t>9651 W Base Road</t>
  </si>
  <si>
    <t>cr.malone@yahoo.com</t>
  </si>
  <si>
    <t>kmnaturegirl@gmail.com</t>
  </si>
  <si>
    <t>Katelyn Malone</t>
  </si>
  <si>
    <t>6340 Lakeshore St.</t>
  </si>
  <si>
    <t>lmwtyherring@gmail.com</t>
  </si>
  <si>
    <t>Tyneisha</t>
  </si>
  <si>
    <t>Tyneisha Herring</t>
  </si>
  <si>
    <t>123 Waterway Rd</t>
  </si>
  <si>
    <t>Royal Palm Beach</t>
  </si>
  <si>
    <t>Hanna.Whitney@aol.com</t>
  </si>
  <si>
    <t>Hanna Whitney</t>
  </si>
  <si>
    <t>501 Carlisle Dr</t>
  </si>
  <si>
    <t>kmills@cougarsedu.com</t>
  </si>
  <si>
    <t>Kelly Mills</t>
  </si>
  <si>
    <t>157 Rosewalk Lane</t>
  </si>
  <si>
    <t>bordner.megan2002@gmail.com</t>
  </si>
  <si>
    <t>Bordner</t>
  </si>
  <si>
    <t>Megan Bordner</t>
  </si>
  <si>
    <t>17608 Switchgrass</t>
  </si>
  <si>
    <t>Spencerville</t>
  </si>
  <si>
    <t>Julia777.ics@gmail.com</t>
  </si>
  <si>
    <t>Julia Johnson</t>
  </si>
  <si>
    <t>17284 Triview Ave</t>
  </si>
  <si>
    <t>10fengers@gmail.com</t>
  </si>
  <si>
    <t>matthewrf24@gmail.com</t>
  </si>
  <si>
    <t>Fenger</t>
  </si>
  <si>
    <t>Matthew Fenger</t>
  </si>
  <si>
    <t>3817 E Dulciana Avenue</t>
  </si>
  <si>
    <t>pjfenger@gmail.com</t>
  </si>
  <si>
    <t>Peter Fenger</t>
  </si>
  <si>
    <t>kzier@cougarsedu.com</t>
  </si>
  <si>
    <t>Kaily</t>
  </si>
  <si>
    <t>Zier</t>
  </si>
  <si>
    <t>Kaily Zier</t>
  </si>
  <si>
    <t>112 Spring Creek Ct.,</t>
  </si>
  <si>
    <t>caryntully@bellsouth.net</t>
  </si>
  <si>
    <t>Btully@student.ccaeagles.org</t>
  </si>
  <si>
    <t>Tully</t>
  </si>
  <si>
    <t>Brianna Tully</t>
  </si>
  <si>
    <t>1012 E Cypress Dr</t>
  </si>
  <si>
    <t>Kaitlynatully@gmail.com</t>
  </si>
  <si>
    <t>Kaitlyn Tully</t>
  </si>
  <si>
    <t>Pompano beach</t>
  </si>
  <si>
    <t>bigbluefarm@gmail.com</t>
  </si>
  <si>
    <t>fourhchickenchamp@gmail.com</t>
  </si>
  <si>
    <t>Jonathan Scott</t>
  </si>
  <si>
    <t>9359 N 800 E</t>
  </si>
  <si>
    <t>jmonsivais03@yahoo.com</t>
  </si>
  <si>
    <t>Jorge</t>
  </si>
  <si>
    <t>Jorge Monsivais</t>
  </si>
  <si>
    <t>christopher.tx425@gmail.com</t>
  </si>
  <si>
    <t>Hulburt</t>
  </si>
  <si>
    <t>Christopher Hulburt</t>
  </si>
  <si>
    <t>10130 Stoneway Drive</t>
  </si>
  <si>
    <t>otero99940@outlook.com</t>
  </si>
  <si>
    <t>Otero99940@outlook.com</t>
  </si>
  <si>
    <t>Otero</t>
  </si>
  <si>
    <t>Oscar Otero</t>
  </si>
  <si>
    <t>5890 Bandolero dr</t>
  </si>
  <si>
    <t>Apt 2055</t>
  </si>
  <si>
    <t>itzel.velasco87@gmail.com</t>
  </si>
  <si>
    <t>Itzel.velasco87@gmail.com</t>
  </si>
  <si>
    <t>Nahomi</t>
  </si>
  <si>
    <t>Velasco</t>
  </si>
  <si>
    <t>Nahomi Velasco</t>
  </si>
  <si>
    <t>larissa_hdz@yahoo.com</t>
  </si>
  <si>
    <t>Larissa_hdz@yahoo.com</t>
  </si>
  <si>
    <t>Larissa Hernandez</t>
  </si>
  <si>
    <t>621 Manzanilla Pl</t>
  </si>
  <si>
    <t>Horizon City</t>
  </si>
  <si>
    <t>diaz.julia1@outlook.com</t>
  </si>
  <si>
    <t>Diaz</t>
  </si>
  <si>
    <t>Julia Diaz</t>
  </si>
  <si>
    <t>carrga12@gmail.com</t>
  </si>
  <si>
    <t>gacarr12@gmail.com</t>
  </si>
  <si>
    <t>Gage Carr</t>
  </si>
  <si>
    <t>1309 Chestnut</t>
  </si>
  <si>
    <t>abbaird@bairdsnet.net</t>
  </si>
  <si>
    <t>Olivia@bairdsnet.net</t>
  </si>
  <si>
    <t>Olivia Baird</t>
  </si>
  <si>
    <t>2816 Purple Thistle Dr</t>
  </si>
  <si>
    <t>ijameshodgson@gmail.com</t>
  </si>
  <si>
    <t>ijameshodgson@gmail.copm</t>
  </si>
  <si>
    <t>Hodgson</t>
  </si>
  <si>
    <t>Isaac Hodgson</t>
  </si>
  <si>
    <t>20610 Cypress Way</t>
  </si>
  <si>
    <t>kalebb22@brookings.k12.or.us</t>
  </si>
  <si>
    <t>Kalebb22@brookings.k12.or.us</t>
  </si>
  <si>
    <t>Kaleb Barnes</t>
  </si>
  <si>
    <t>P.O. Box 1748</t>
  </si>
  <si>
    <t>Brookings</t>
  </si>
  <si>
    <t>charlieknoxiv@gmail.com</t>
  </si>
  <si>
    <t>Charles Knox</t>
  </si>
  <si>
    <t>4361 Clemens Dr</t>
  </si>
  <si>
    <t>leppellere@aol.com</t>
  </si>
  <si>
    <t>Leppellere</t>
  </si>
  <si>
    <t>Nicholas Leppellere</t>
  </si>
  <si>
    <t>1571 Stevenson CT</t>
  </si>
  <si>
    <t>heather.g1013@gmail.com</t>
  </si>
  <si>
    <t>n.gernenz@gmail.com</t>
  </si>
  <si>
    <t>Gernenz</t>
  </si>
  <si>
    <t>Noah Gernenz</t>
  </si>
  <si>
    <t>1012 Oakridge Dr</t>
  </si>
  <si>
    <t>sarahconnelly5@icloud.com</t>
  </si>
  <si>
    <t>Sarah Connelly</t>
  </si>
  <si>
    <t>826 Long timber lane</t>
  </si>
  <si>
    <t>cobrien062996@gmail.com</t>
  </si>
  <si>
    <t>Kathryn O'Brien</t>
  </si>
  <si>
    <t>6155 Duncan</t>
  </si>
  <si>
    <t>palmerfamilyca@gmail.com</t>
  </si>
  <si>
    <t>ethanpalmer133@gmail.com</t>
  </si>
  <si>
    <t>Ethan Palmer</t>
  </si>
  <si>
    <t>5133 Hillside Place</t>
  </si>
  <si>
    <t>empalmer731@gmail.com</t>
  </si>
  <si>
    <t>Emma Palmer</t>
  </si>
  <si>
    <t>jhansen1181@tds.net</t>
  </si>
  <si>
    <t>ehansen088@gmail.com</t>
  </si>
  <si>
    <t>Emily Hansen</t>
  </si>
  <si>
    <t>1008 Zingg Drive</t>
  </si>
  <si>
    <t>Verona</t>
  </si>
  <si>
    <t>brinnaleach@aol.com</t>
  </si>
  <si>
    <t>brinnaleach@students.ccu.edu</t>
  </si>
  <si>
    <t>Brinna</t>
  </si>
  <si>
    <t>Brinna Leach</t>
  </si>
  <si>
    <t>110 High Ridge Trail</t>
  </si>
  <si>
    <t>krystalhahn@hotmail.com</t>
  </si>
  <si>
    <t>Hahn</t>
  </si>
  <si>
    <t>Savannah Hahn</t>
  </si>
  <si>
    <t>everest125@hotmail.com</t>
  </si>
  <si>
    <t>lindseyloveslollipops983@gmail.com</t>
  </si>
  <si>
    <t>Tong</t>
  </si>
  <si>
    <t>Lindsey Tong</t>
  </si>
  <si>
    <t>1938 15th Avenue</t>
  </si>
  <si>
    <t>ainchsmom3x@yahoo.com</t>
  </si>
  <si>
    <t>elijahwhite1725@gmail.com</t>
  </si>
  <si>
    <t>Elijah White</t>
  </si>
  <si>
    <t>6655 W Primrose Drive</t>
  </si>
  <si>
    <t>Unit G</t>
  </si>
  <si>
    <t>amansamuel805@gmail.com</t>
  </si>
  <si>
    <t>Aman</t>
  </si>
  <si>
    <t>Aman Samuel</t>
  </si>
  <si>
    <t>Address: House No-241/32,</t>
  </si>
  <si>
    <t>Model colony No.2, Walton road lahore cantt</t>
  </si>
  <si>
    <t>Lahore</t>
  </si>
  <si>
    <t>Punjab</t>
  </si>
  <si>
    <t>Pakistan</t>
  </si>
  <si>
    <t>ecummins@students.ccu.edu</t>
  </si>
  <si>
    <t>Cummins</t>
  </si>
  <si>
    <t>Emma Cummins</t>
  </si>
  <si>
    <t>7483 Bridgetown Rd</t>
  </si>
  <si>
    <t>celiaeteague@gmail.com</t>
  </si>
  <si>
    <t>Celia</t>
  </si>
  <si>
    <t>Celia Teague</t>
  </si>
  <si>
    <t>20714 Brown Road</t>
  </si>
  <si>
    <t>cortneyoakes@hotmail.com</t>
  </si>
  <si>
    <t>Tempe Oakes</t>
  </si>
  <si>
    <t>Payton.marie.filing@gmail.com</t>
  </si>
  <si>
    <t>Filing</t>
  </si>
  <si>
    <t>Payton Filing</t>
  </si>
  <si>
    <t>209 W 4th</t>
  </si>
  <si>
    <t>craig@graceurc.org</t>
  </si>
  <si>
    <t>davis.isaiah04@gmail.com</t>
  </si>
  <si>
    <t>Isaiah Davis</t>
  </si>
  <si>
    <t>522 W. 1st Ave.</t>
  </si>
  <si>
    <t>alsnyder2020@gmail.com</t>
  </si>
  <si>
    <t>Annabelle Snyder</t>
  </si>
  <si>
    <t>157 Dawns Edge Dr</t>
  </si>
  <si>
    <t>hbeadles@gmail.com</t>
  </si>
  <si>
    <t>jackbeadles@gmail.com</t>
  </si>
  <si>
    <t>Beadles</t>
  </si>
  <si>
    <t>Jack Beadles</t>
  </si>
  <si>
    <t>1200 S Williamsfield Dr.</t>
  </si>
  <si>
    <t>csslattery@icloud.com</t>
  </si>
  <si>
    <t>Slattery</t>
  </si>
  <si>
    <t>Christian Slattery</t>
  </si>
  <si>
    <t>3528 Thistle ct</t>
  </si>
  <si>
    <t>ajstralow2021@gmail.com</t>
  </si>
  <si>
    <t>Stralow</t>
  </si>
  <si>
    <t>Aaron Stralow</t>
  </si>
  <si>
    <t>609 Cotton Field</t>
  </si>
  <si>
    <t>nhudd@yahoo.com</t>
  </si>
  <si>
    <t>cbhudd007@yahoo.com</t>
  </si>
  <si>
    <t>Caleb Huddleston</t>
  </si>
  <si>
    <t>708 S. Center Street</t>
  </si>
  <si>
    <t>Charlesltieszen@gmail.com</t>
  </si>
  <si>
    <t>CharlesLTieszen@gmail.com</t>
  </si>
  <si>
    <t>Tieszen</t>
  </si>
  <si>
    <t>Charles Tieszen</t>
  </si>
  <si>
    <t>29 Curran Way</t>
  </si>
  <si>
    <t>Somersworth</t>
  </si>
  <si>
    <t>lnguyen@cougarsedu.com</t>
  </si>
  <si>
    <t>Loc</t>
  </si>
  <si>
    <t>Loc Nguyen</t>
  </si>
  <si>
    <t>4680 Willow Ct.</t>
  </si>
  <si>
    <t>Viet Nam</t>
  </si>
  <si>
    <t>surveysforus@aol.com</t>
  </si>
  <si>
    <t>castlegabsha@gmail.com</t>
  </si>
  <si>
    <t>Castle</t>
  </si>
  <si>
    <t>Gabriella Castle</t>
  </si>
  <si>
    <t>62 Kirk Dr</t>
  </si>
  <si>
    <t>Ahogan0616@gmail.com</t>
  </si>
  <si>
    <t>kjhogan@students.ccu.edu</t>
  </si>
  <si>
    <t>Katherine Hogan</t>
  </si>
  <si>
    <t>30938 panther dr</t>
  </si>
  <si>
    <t>Bulverde</t>
  </si>
  <si>
    <t>martinaapreston@gmail.com</t>
  </si>
  <si>
    <t>Martina</t>
  </si>
  <si>
    <t>Martina Preston</t>
  </si>
  <si>
    <t>1215 Wood Ave</t>
  </si>
  <si>
    <t>jcastro7911@gmail.com</t>
  </si>
  <si>
    <t>Jonathan Castro</t>
  </si>
  <si>
    <t>1244 Bruner Grove Rd</t>
  </si>
  <si>
    <t>Bybee</t>
  </si>
  <si>
    <t>lukeptalk2020@gmail.com</t>
  </si>
  <si>
    <t>Lukeptalk2020@gmail.com</t>
  </si>
  <si>
    <t>Luke Talkington</t>
  </si>
  <si>
    <t>2807 Maine Ct</t>
  </si>
  <si>
    <t>pickapikett@yahoo.com</t>
  </si>
  <si>
    <t>solfypiket@gmail.com</t>
  </si>
  <si>
    <t>Pikett</t>
  </si>
  <si>
    <t>Sophia Pikett</t>
  </si>
  <si>
    <t>1008 Griffith Ave</t>
  </si>
  <si>
    <t>cowenfamily@gmail.com</t>
  </si>
  <si>
    <t>Myles Cowen</t>
  </si>
  <si>
    <t>413 E. Whitener Rd.</t>
  </si>
  <si>
    <t>ctiede22@gmail.com</t>
  </si>
  <si>
    <t>Ctiede22@gmail.com</t>
  </si>
  <si>
    <t>Tiede</t>
  </si>
  <si>
    <t>Caleb Tiede</t>
  </si>
  <si>
    <t>4432 Cambridge Lane NW</t>
  </si>
  <si>
    <t>jkwillour@gmail.com</t>
  </si>
  <si>
    <t>emma_willour@student.friends.edu</t>
  </si>
  <si>
    <t>Willour</t>
  </si>
  <si>
    <t>Emma Willour</t>
  </si>
  <si>
    <t>5345 NW Tawakoni Rd</t>
  </si>
  <si>
    <t>Potwin</t>
  </si>
  <si>
    <t>randysoetedja@gmail.com</t>
  </si>
  <si>
    <t>Soetedja</t>
  </si>
  <si>
    <t>Randy Soetedja</t>
  </si>
  <si>
    <t>2129 S Uravan St</t>
  </si>
  <si>
    <t>sackregan@gmail.com</t>
  </si>
  <si>
    <t>Sack</t>
  </si>
  <si>
    <t>Regan Sack</t>
  </si>
  <si>
    <t>14558 N Meadow Woods St.</t>
  </si>
  <si>
    <t>faithmariestewart@gmail.com</t>
  </si>
  <si>
    <t>Faith Stewart</t>
  </si>
  <si>
    <t>11 Horseshoe Bend</t>
  </si>
  <si>
    <t>T3R1C8</t>
  </si>
  <si>
    <t>taylornick295@gmail.com</t>
  </si>
  <si>
    <t>Nicholas Taylor</t>
  </si>
  <si>
    <t>5960 E Grayhawk Ranch Rd.</t>
  </si>
  <si>
    <t>yaebinpark01@gmail.com</t>
  </si>
  <si>
    <t>Yaebinpark01@gmail.com</t>
  </si>
  <si>
    <t>Yaebin</t>
  </si>
  <si>
    <t>Yaebin Park</t>
  </si>
  <si>
    <t>Yangjaedaero 1218</t>
  </si>
  <si>
    <t>Olympic Seonsuchon Apt. 126-804</t>
  </si>
  <si>
    <t>Songpa Gu</t>
  </si>
  <si>
    <t>jonandjocb@psmail.net</t>
  </si>
  <si>
    <t>broylese@gisthailand.org</t>
  </si>
  <si>
    <t>Emma Broyles</t>
  </si>
  <si>
    <t>193/182 Koolpunt Ville #7</t>
  </si>
  <si>
    <t>T Mae Hia, A Muang</t>
  </si>
  <si>
    <t>Chiangmai</t>
  </si>
  <si>
    <t>alexander012401@gmail.com</t>
  </si>
  <si>
    <t>Alexander012401@gmail.com</t>
  </si>
  <si>
    <t>Erick</t>
  </si>
  <si>
    <t>Erick Alcala</t>
  </si>
  <si>
    <t>9830 Sugarloaf Dr.</t>
  </si>
  <si>
    <t>bandnfullerton@hotmail.com</t>
  </si>
  <si>
    <t>jm.fullerton@icloud.com</t>
  </si>
  <si>
    <t>Julianne Fullerton</t>
  </si>
  <si>
    <t>2115 Cresent Mill</t>
  </si>
  <si>
    <t>rjdavis433@gmail.com</t>
  </si>
  <si>
    <t>aedavis0304@gmail.com</t>
  </si>
  <si>
    <t>Abigail Davis</t>
  </si>
  <si>
    <t>1330 Apple Brook Lane</t>
  </si>
  <si>
    <t>sarahstonestreet6@gmail.com</t>
  </si>
  <si>
    <t>abigailstonestreet3@gmail.com</t>
  </si>
  <si>
    <t>Stonestreet</t>
  </si>
  <si>
    <t>Abigail Stonestreet</t>
  </si>
  <si>
    <t>4515 Hidden Rock Road</t>
  </si>
  <si>
    <t>teawithlc@msn.com</t>
  </si>
  <si>
    <t>godsgrace4katelyn@gmail.com</t>
  </si>
  <si>
    <t>Chenoweth</t>
  </si>
  <si>
    <t>Katelyn Chenoweth</t>
  </si>
  <si>
    <t>6660 Montarbor Dr.</t>
  </si>
  <si>
    <t>hollysmith@papersoft.com</t>
  </si>
  <si>
    <t>Holly Smith</t>
  </si>
  <si>
    <t>1817 Smoketree Lane</t>
  </si>
  <si>
    <t>jzhzou_amao@yahoo.com</t>
  </si>
  <si>
    <t>kevinzou2001@gmail.com</t>
  </si>
  <si>
    <t>Zou</t>
  </si>
  <si>
    <t>Kevin Zou</t>
  </si>
  <si>
    <t>1041 W Palo Verde St</t>
  </si>
  <si>
    <t>siyahblue1003@gmail.com</t>
  </si>
  <si>
    <t>Assiyah</t>
  </si>
  <si>
    <t>Assiyah Mitchell</t>
  </si>
  <si>
    <t>3014 Palm Avenue</t>
  </si>
  <si>
    <t>madelyngracemueth@icloud.com</t>
  </si>
  <si>
    <t>Mueth</t>
  </si>
  <si>
    <t>Madelyn Mueth</t>
  </si>
  <si>
    <t>2215 Humberview Lane</t>
  </si>
  <si>
    <t>leong.jason@gmail.com</t>
  </si>
  <si>
    <t>cleong869@gmail.com</t>
  </si>
  <si>
    <t>Cindy Leong</t>
  </si>
  <si>
    <t>1173 E. Jade Dr.</t>
  </si>
  <si>
    <t>rkthompson6@yahoo.com</t>
  </si>
  <si>
    <t>agthomp6@gmail.com</t>
  </si>
  <si>
    <t>Avery Grace</t>
  </si>
  <si>
    <t>Avery Grace Thompson</t>
  </si>
  <si>
    <t>1413 Bunker Hill Road</t>
  </si>
  <si>
    <t>rkthompson6@gmail.com</t>
  </si>
  <si>
    <t>ckthomp6@gmail.com</t>
  </si>
  <si>
    <t>Court</t>
  </si>
  <si>
    <t>Court Thompson</t>
  </si>
  <si>
    <t>karahensley7902@gmail.com</t>
  </si>
  <si>
    <t>emhensley7902@gmail.com</t>
  </si>
  <si>
    <t>Ellen Hensley</t>
  </si>
  <si>
    <t>7141 Cone Club Rd</t>
  </si>
  <si>
    <t>joseph.e.hartono@gmail.com</t>
  </si>
  <si>
    <t>Hartono</t>
  </si>
  <si>
    <t>Joseph Hartono</t>
  </si>
  <si>
    <t>525 Talbot Avenue</t>
  </si>
  <si>
    <t>samshareef1990@gmail.com</t>
  </si>
  <si>
    <t>Nagina</t>
  </si>
  <si>
    <t>Sharif Khokhar</t>
  </si>
  <si>
    <t>Nagina Sharif Khokhar</t>
  </si>
  <si>
    <t>Kot Murad Khan Muhalla Essa Nagar kasur</t>
  </si>
  <si>
    <t>Kasur</t>
  </si>
  <si>
    <t>alex_doty@icloud.com</t>
  </si>
  <si>
    <t>Alexander Doty</t>
  </si>
  <si>
    <t>409 N. Maple Ave</t>
  </si>
  <si>
    <t>lhbrlteach@aol.com</t>
  </si>
  <si>
    <t>Abigailreed@somersetchristian.com</t>
  </si>
  <si>
    <t>Abigail Reed</t>
  </si>
  <si>
    <t>72 creekview dr</t>
  </si>
  <si>
    <t>rc.lucs@gmail.com</t>
  </si>
  <si>
    <t>Lucas Aleman Hogue</t>
  </si>
  <si>
    <t>Calle Sevilla, 10. 41908 Castilleja de Guzman (Sevilla)</t>
  </si>
  <si>
    <t>Castilleja de Guzman</t>
  </si>
  <si>
    <t>oneyear2772@gmail.com</t>
  </si>
  <si>
    <t>Jacob Johns</t>
  </si>
  <si>
    <t>1381 Edinburgh Dr.</t>
  </si>
  <si>
    <t>dwiclark@bellsouth.net</t>
  </si>
  <si>
    <t>kccrocks04@gmail.com</t>
  </si>
  <si>
    <t>Kimberley Clark</t>
  </si>
  <si>
    <t>9641 Willow Leaf Lane</t>
  </si>
  <si>
    <t>tamayabush013@gmail.com</t>
  </si>
  <si>
    <t>Tamaya</t>
  </si>
  <si>
    <t>Tamaya Bush</t>
  </si>
  <si>
    <t>206 Whitegrove Dr.</t>
  </si>
  <si>
    <t>caleb2575@gmail.com</t>
  </si>
  <si>
    <t>Caleb Bush</t>
  </si>
  <si>
    <t>JMC.123@MAC.COM</t>
  </si>
  <si>
    <t>DMCGTG@mail.UMKC.EDU</t>
  </si>
  <si>
    <t>Casparian</t>
  </si>
  <si>
    <t>David Casparian</t>
  </si>
  <si>
    <t>5504 West 87th Street</t>
  </si>
  <si>
    <t>arawlimson0203@gmail.com</t>
  </si>
  <si>
    <t>Rawlinson</t>
  </si>
  <si>
    <t>Ashlynn Rawlinson</t>
  </si>
  <si>
    <t>kat3ramos@hotmail.com</t>
  </si>
  <si>
    <t>danseurlife@gmail.com</t>
  </si>
  <si>
    <t>Klarimar</t>
  </si>
  <si>
    <t>Klarimar Ramos</t>
  </si>
  <si>
    <t>4929 Meredith Woods Rd</t>
  </si>
  <si>
    <t>gary.w.sinclair@gmail.com</t>
  </si>
  <si>
    <t>c.andrew.sinclair@gmail.com</t>
  </si>
  <si>
    <t>Callum</t>
  </si>
  <si>
    <t>Sinclair</t>
  </si>
  <si>
    <t>Callum Sinclair</t>
  </si>
  <si>
    <t>772 Pinehurst Place</t>
  </si>
  <si>
    <t>petula.sinclair@gmail.com</t>
  </si>
  <si>
    <t>Taetum</t>
  </si>
  <si>
    <t>Taetum Sinclair</t>
  </si>
  <si>
    <t>lynnejackson65@yahoo.com</t>
  </si>
  <si>
    <t>kristenjackson03@yahoo.com</t>
  </si>
  <si>
    <t>Kristen Jackson</t>
  </si>
  <si>
    <t>1494 Callender Lane</t>
  </si>
  <si>
    <t>ehfpony@gmail.com</t>
  </si>
  <si>
    <t>ehfpony@fmail.com</t>
  </si>
  <si>
    <t>Elizabeth Fenger</t>
  </si>
  <si>
    <t>3817 E. Dulciana Avenue</t>
  </si>
  <si>
    <t>climb4daze@gmail.com</t>
  </si>
  <si>
    <t>Climb4daze@gmail.com</t>
  </si>
  <si>
    <t>Sawyer Johnson</t>
  </si>
  <si>
    <t>103 Lake Merial Shores Drive</t>
  </si>
  <si>
    <t>Panama City</t>
  </si>
  <si>
    <t>rwkase@gmail.com</t>
  </si>
  <si>
    <t>rrkaselonis@gmail.com</t>
  </si>
  <si>
    <t>Kaselonis</t>
  </si>
  <si>
    <t>Raymond Kaselonis</t>
  </si>
  <si>
    <t>9408 E La Posada Cir.</t>
  </si>
  <si>
    <t>dianahartnett77@gmail.com</t>
  </si>
  <si>
    <t>jrcuber@gmail.com</t>
  </si>
  <si>
    <t>Hartnett</t>
  </si>
  <si>
    <t>Jesse Hartnett</t>
  </si>
  <si>
    <t>908 Stone Park Lane #105</t>
  </si>
  <si>
    <t>rcvannoy22@gmail.com</t>
  </si>
  <si>
    <t>Rosemary Vannoy</t>
  </si>
  <si>
    <t>mn.richardson@juno.com</t>
  </si>
  <si>
    <t>jmrladybug@gmail.com</t>
  </si>
  <si>
    <t>Jordan Richardson</t>
  </si>
  <si>
    <t>252 Bohler Drive</t>
  </si>
  <si>
    <t>p.neustaeter@gmail.com</t>
  </si>
  <si>
    <t>Paxton Neustaeter</t>
  </si>
  <si>
    <t>S9H 3X1</t>
  </si>
  <si>
    <t>toriablackman@gmail.com</t>
  </si>
  <si>
    <t>Blackman</t>
  </si>
  <si>
    <t>Victoria Blackman</t>
  </si>
  <si>
    <t>5460 Saddle Rock Road</t>
  </si>
  <si>
    <t>jendboutin@gmail.com</t>
  </si>
  <si>
    <t>aeboutin02@gmail.com</t>
  </si>
  <si>
    <t>Ania</t>
  </si>
  <si>
    <t>Boutin</t>
  </si>
  <si>
    <t>Ania Boutin</t>
  </si>
  <si>
    <t>448 Gaither Ave</t>
  </si>
  <si>
    <t>hannahmfaulk22@gmail.com</t>
  </si>
  <si>
    <t>Hannah Faulkner</t>
  </si>
  <si>
    <t>4450 Lebanon Rd</t>
  </si>
  <si>
    <t>jakestratton02@gmail.com</t>
  </si>
  <si>
    <t>Jake Stratton</t>
  </si>
  <si>
    <t>23710 Hawkins Creek Court</t>
  </si>
  <si>
    <t>bethelwoniz@gmail.com</t>
  </si>
  <si>
    <t>Ekperigha</t>
  </si>
  <si>
    <t>Bethel Ekperigha</t>
  </si>
  <si>
    <t>625 Silverleaf Road</t>
  </si>
  <si>
    <t>angela.m.res@gmail.com</t>
  </si>
  <si>
    <t>eric.a.arias222@gmail.com</t>
  </si>
  <si>
    <t>Arias</t>
  </si>
  <si>
    <t>Eric Arias</t>
  </si>
  <si>
    <t>1466 Mill Creek Dr</t>
  </si>
  <si>
    <t>ajdagreat24@gmail.com</t>
  </si>
  <si>
    <t>Asher Jones</t>
  </si>
  <si>
    <t>4925 William Caldwell Avenue</t>
  </si>
  <si>
    <t>djdascorpion@gmail.com</t>
  </si>
  <si>
    <t>David Jones</t>
  </si>
  <si>
    <t>emilyrosekase@gmail.com</t>
  </si>
  <si>
    <t>Emily Kaselonis</t>
  </si>
  <si>
    <t>9408 E La Posada Cir</t>
  </si>
  <si>
    <t>deasjan@gmail.com</t>
  </si>
  <si>
    <t>DeAsja</t>
  </si>
  <si>
    <t>Ingram</t>
  </si>
  <si>
    <t>DeAsja Ingram</t>
  </si>
  <si>
    <t>10816 Tradition View Drive</t>
  </si>
  <si>
    <t>fireflychasing@gmail.com</t>
  </si>
  <si>
    <t>Zoe Edwards</t>
  </si>
  <si>
    <t>105 ladder hill rd N</t>
  </si>
  <si>
    <t>weston</t>
  </si>
  <si>
    <t>branden2844@gmail.com</t>
  </si>
  <si>
    <t>Branden Faber</t>
  </si>
  <si>
    <t>4234 56th ave.</t>
  </si>
  <si>
    <t>mbabazilydia02@gmail.com</t>
  </si>
  <si>
    <t>Babirye</t>
  </si>
  <si>
    <t>Lydia Babirye</t>
  </si>
  <si>
    <t>thnsmmrhys20@dordt.edu</t>
  </si>
  <si>
    <t>Summerhays</t>
  </si>
  <si>
    <t>Ethan Summerhays</t>
  </si>
  <si>
    <t>69 Marvin Ave</t>
  </si>
  <si>
    <t>Brantford</t>
  </si>
  <si>
    <t>N3S 3C3</t>
  </si>
  <si>
    <t>ijm10121@gmail.com</t>
  </si>
  <si>
    <t>Isaac Miller</t>
  </si>
  <si>
    <t>14124 Lora street</t>
  </si>
  <si>
    <t>sraymiller28@gmail.com</t>
  </si>
  <si>
    <t>Spencer Miller</t>
  </si>
  <si>
    <t>jaimeoakes1@gmail.com</t>
  </si>
  <si>
    <t>Paul Oakes</t>
  </si>
  <si>
    <t>203 NW 5th</t>
  </si>
  <si>
    <t>GUYMON</t>
  </si>
  <si>
    <t>crank@myfrcs.org</t>
  </si>
  <si>
    <t>Rank</t>
  </si>
  <si>
    <t>Christiana Rank</t>
  </si>
  <si>
    <t>5435 S. Everett Way</t>
  </si>
  <si>
    <t>mmbnntt18@dordt.edu</t>
  </si>
  <si>
    <t>mmbnntt19@dordt.edu</t>
  </si>
  <si>
    <t>Emma Bennett</t>
  </si>
  <si>
    <t>11515 Quail Hollow Lane</t>
  </si>
  <si>
    <t>heritageca5@gmail.com</t>
  </si>
  <si>
    <t>Hannah Williams</t>
  </si>
  <si>
    <t>7088 Bovine Lane</t>
  </si>
  <si>
    <t>Harrisburg</t>
  </si>
  <si>
    <t>s.k._forrister@outlook.com</t>
  </si>
  <si>
    <t>Forrister</t>
  </si>
  <si>
    <t>Shelley Forrister</t>
  </si>
  <si>
    <t>765 Ranch Road 2323</t>
  </si>
  <si>
    <t>sharee.riggs1@gmail.com</t>
  </si>
  <si>
    <t>Sharee</t>
  </si>
  <si>
    <t>Sharee Riggs</t>
  </si>
  <si>
    <t>6610 Cotton Creek Rd NW</t>
  </si>
  <si>
    <t>jcturneraz@gmail.com</t>
  </si>
  <si>
    <t>laurenannierogers@gmail.com</t>
  </si>
  <si>
    <t>Lauren Rogers</t>
  </si>
  <si>
    <t>lauren1evans123@gmail.com</t>
  </si>
  <si>
    <t>Lauren Evans</t>
  </si>
  <si>
    <t>22560 Canyon Terrace Drive</t>
  </si>
  <si>
    <t>kirstenfaith9@gmail.com</t>
  </si>
  <si>
    <t>Kirsten Harper</t>
  </si>
  <si>
    <t>925 Bramblewood Ln</t>
  </si>
  <si>
    <t>coaster3926@gmail.com</t>
  </si>
  <si>
    <t>jdubsawesome@gmail.com</t>
  </si>
  <si>
    <t>Whyte</t>
  </si>
  <si>
    <t>Jeremiah Whyte</t>
  </si>
  <si>
    <t>5719 Landcaster Circle</t>
  </si>
  <si>
    <t>njccollege@comcast.net</t>
  </si>
  <si>
    <t>Cohoon</t>
  </si>
  <si>
    <t>Natalie Cohoon</t>
  </si>
  <si>
    <t>804 96th Ave NE</t>
  </si>
  <si>
    <t>nathanyock@icloud.com</t>
  </si>
  <si>
    <t>Yockey</t>
  </si>
  <si>
    <t>Nathan Yockey</t>
  </si>
  <si>
    <t>sydney.k180@gmail.com</t>
  </si>
  <si>
    <t>Krommendyk</t>
  </si>
  <si>
    <t>Sydney Krommendyk</t>
  </si>
  <si>
    <t>1005 5th St SW</t>
  </si>
  <si>
    <t>celina.gool@gmail.com</t>
  </si>
  <si>
    <t>Zoejhane123@icloud.com</t>
  </si>
  <si>
    <t>Zo√´</t>
  </si>
  <si>
    <t>Gool</t>
  </si>
  <si>
    <t>Zo√´ Gool</t>
  </si>
  <si>
    <t>4616 Collingham Drive</t>
  </si>
  <si>
    <t>reedbud@q.com</t>
  </si>
  <si>
    <t>Reed Budris</t>
  </si>
  <si>
    <t>DEEPAK.WILLIAMS@GMAIL.COM</t>
  </si>
  <si>
    <t>elijahdwilliams15@gmail.com</t>
  </si>
  <si>
    <t>Elijah Williams</t>
  </si>
  <si>
    <t>16891 E Euclid Ln</t>
  </si>
  <si>
    <t>dempseygang@gmail.com</t>
  </si>
  <si>
    <t>Madeline Dempsey</t>
  </si>
  <si>
    <t>1408 Beechwood Rd</t>
  </si>
  <si>
    <t>emily1mcdougal@gmail.com</t>
  </si>
  <si>
    <t>McDougall</t>
  </si>
  <si>
    <t>Emily McDougall</t>
  </si>
  <si>
    <t>921 N. Scenic Dr.</t>
  </si>
  <si>
    <t>mwierenga13@gmail.com</t>
  </si>
  <si>
    <t>Max Wierenga</t>
  </si>
  <si>
    <t>W7986 County Road B, Unit 8</t>
  </si>
  <si>
    <t>Lake Mills</t>
  </si>
  <si>
    <t>kimiabeyta@gmail.com</t>
  </si>
  <si>
    <t>abeyta.ciara@gmail.com</t>
  </si>
  <si>
    <t>Abeyta</t>
  </si>
  <si>
    <t>Ciara Abeyta</t>
  </si>
  <si>
    <t>4640 Limestone Rd</t>
  </si>
  <si>
    <t>hanasaez@gmail.com</t>
  </si>
  <si>
    <t>Hanasaez@gmail.com</t>
  </si>
  <si>
    <t>Saez</t>
  </si>
  <si>
    <t>Hana Saez</t>
  </si>
  <si>
    <t>12908NE 78th Place</t>
  </si>
  <si>
    <t>jessecnieman@gmail.com</t>
  </si>
  <si>
    <t>Nieman</t>
  </si>
  <si>
    <t>Jesse Nieman</t>
  </si>
  <si>
    <t>8650 SW Alden St.</t>
  </si>
  <si>
    <t>destar@destar.net</t>
  </si>
  <si>
    <t>milkyflava89@gmail.com</t>
  </si>
  <si>
    <t>Fletcher Reynolds</t>
  </si>
  <si>
    <t>10661 Linda Circle</t>
  </si>
  <si>
    <t>Forney</t>
  </si>
  <si>
    <t>awesomety33@gmail.com</t>
  </si>
  <si>
    <t>Tyler Edwards</t>
  </si>
  <si>
    <t>51 Hume Dr</t>
  </si>
  <si>
    <t>Hurlburt Field</t>
  </si>
  <si>
    <t>kayla052002@gmail.com</t>
  </si>
  <si>
    <t>Kayla052002@gmail.com</t>
  </si>
  <si>
    <t>LeBoeuf</t>
  </si>
  <si>
    <t>Kayla LeBoeuf</t>
  </si>
  <si>
    <t>139 del rio dr</t>
  </si>
  <si>
    <t>taylor.webb7@icloud.com</t>
  </si>
  <si>
    <t>Taylor Webb</t>
  </si>
  <si>
    <t>233 Tigerlily Dr.</t>
  </si>
  <si>
    <t>yalethia@gmail.com</t>
  </si>
  <si>
    <t>Yovica</t>
  </si>
  <si>
    <t>Alethia</t>
  </si>
  <si>
    <t>Yovica Alethia</t>
  </si>
  <si>
    <t>Paradise 6 blok f11 no 21</t>
  </si>
  <si>
    <t>Sunter Paradise</t>
  </si>
  <si>
    <t>Jakarta</t>
  </si>
  <si>
    <t>kevin.humphreys@biola.edu</t>
  </si>
  <si>
    <t>elizabethumphreys135@outlook.com</t>
  </si>
  <si>
    <t>Elizabeth Humphreys</t>
  </si>
  <si>
    <t>6462 Madison Ct.</t>
  </si>
  <si>
    <t>slproctor7@hotmail.com</t>
  </si>
  <si>
    <t>Mallie.esquared@gmail.com</t>
  </si>
  <si>
    <t>Emilie Proctor</t>
  </si>
  <si>
    <t>423 Smalley Lane</t>
  </si>
  <si>
    <t>elizabethforpeace@gmail.com</t>
  </si>
  <si>
    <t>Elizabethforpeace+noah@gmail.com</t>
  </si>
  <si>
    <t>Noah Cochran</t>
  </si>
  <si>
    <t>4157 Hwy 613</t>
  </si>
  <si>
    <t>Lucedale</t>
  </si>
  <si>
    <t>gagc0802@gmail.com</t>
  </si>
  <si>
    <t>gbrlgrc20@dordt.edu</t>
  </si>
  <si>
    <t>Gabriel Garcia</t>
  </si>
  <si>
    <t>Res. Villas de San Sebastian Bloque L Casa #41</t>
  </si>
  <si>
    <t>Tegucigalpa</t>
  </si>
  <si>
    <t>Francisco Morazan</t>
  </si>
  <si>
    <t>Honduras</t>
  </si>
  <si>
    <t>perry.sue@icloud.com</t>
  </si>
  <si>
    <t>wallace.lp@icloud.com</t>
  </si>
  <si>
    <t>Luke Wallace</t>
  </si>
  <si>
    <t>14mice2002@gmail.com</t>
  </si>
  <si>
    <t>Anya Mills</t>
  </si>
  <si>
    <t>319 Forest Ave</t>
  </si>
  <si>
    <t>deliaramsey0831@yahoo.com</t>
  </si>
  <si>
    <t>brentonramsey1@yahoo.com</t>
  </si>
  <si>
    <t>Brenton Ramsey</t>
  </si>
  <si>
    <t>10 Hickory Lake</t>
  </si>
  <si>
    <t>wljohns@aol.com</t>
  </si>
  <si>
    <t>ktori6@aol.com</t>
  </si>
  <si>
    <t>Tori</t>
  </si>
  <si>
    <t>Tori Johnston</t>
  </si>
  <si>
    <t>5024 N Lydell Ave</t>
  </si>
  <si>
    <t>Whitefish Bay</t>
  </si>
  <si>
    <t>jepeitsch27@gmail.com</t>
  </si>
  <si>
    <t>Jepeitsch27@gmail.com</t>
  </si>
  <si>
    <t>Peitsch</t>
  </si>
  <si>
    <t>Jenna Peitsch</t>
  </si>
  <si>
    <t>13296 Amelia Dr.</t>
  </si>
  <si>
    <t>Lake View</t>
  </si>
  <si>
    <t>antrinidadg30@gmail.com</t>
  </si>
  <si>
    <t>Trinidad-Gonzalez</t>
  </si>
  <si>
    <t>Alexander Trinidad-Gonzalez</t>
  </si>
  <si>
    <t>11052 Pinyon Dr.</t>
  </si>
  <si>
    <t>Nicoanthonyazar@gmail.com</t>
  </si>
  <si>
    <t>1321 monarch Ave</t>
  </si>
  <si>
    <t>ivanahar007@gmail.com</t>
  </si>
  <si>
    <t>Ivanahar007@gmail.com</t>
  </si>
  <si>
    <t>Harsono</t>
  </si>
  <si>
    <t>Elizabeth Harsono</t>
  </si>
  <si>
    <t>De brassia d11 no5, de Park, BSD</t>
  </si>
  <si>
    <t>tangerang</t>
  </si>
  <si>
    <t>Banten</t>
  </si>
  <si>
    <t>heresjohnny524@yahoo.com</t>
  </si>
  <si>
    <t>Heresjohnny524@yahoo.com</t>
  </si>
  <si>
    <t>John Sullivan</t>
  </si>
  <si>
    <t>818 crossing way</t>
  </si>
  <si>
    <t>jim.bringham@gmail.com</t>
  </si>
  <si>
    <t>grace.bringham@icloud.com</t>
  </si>
  <si>
    <t>Bringham</t>
  </si>
  <si>
    <t>Grace Bringham</t>
  </si>
  <si>
    <t>5138 Brenda Drive</t>
  </si>
  <si>
    <t>jwnicholson@yahoo.com</t>
  </si>
  <si>
    <t>enicholson2221@gmail.com</t>
  </si>
  <si>
    <t>Ellen Nicholson</t>
  </si>
  <si>
    <t>3501 Jade Cove Street</t>
  </si>
  <si>
    <t>markswav@gmail.com</t>
  </si>
  <si>
    <t>Sveiven</t>
  </si>
  <si>
    <t>Mark Sveiven</t>
  </si>
  <si>
    <t>75-5813 PuaKeniKeni Pl</t>
  </si>
  <si>
    <t>kailua kona HI</t>
  </si>
  <si>
    <t>godsolovedus@yahoo.com</t>
  </si>
  <si>
    <t>Emma Caldwell</t>
  </si>
  <si>
    <t>105 Mahan Court</t>
  </si>
  <si>
    <t>victorious1.laurinda@gmail.com</t>
  </si>
  <si>
    <t>Wortham</t>
  </si>
  <si>
    <t>Lauryn Wortham</t>
  </si>
  <si>
    <t>569 Barnwood Dr.</t>
  </si>
  <si>
    <t>ctphillips02@gmail.com</t>
  </si>
  <si>
    <t>Christian Phillips</t>
  </si>
  <si>
    <t>804 Flowering Path</t>
  </si>
  <si>
    <t>Niceville</t>
  </si>
  <si>
    <t>stephanie27_us@yahoo.com</t>
  </si>
  <si>
    <t>igetbuckets21@icloud.com</t>
  </si>
  <si>
    <t>McDougle</t>
  </si>
  <si>
    <t>Noble McDougle</t>
  </si>
  <si>
    <t>809 Wilson Ranch Place</t>
  </si>
  <si>
    <t>dragonberry0@yahoo.com</t>
  </si>
  <si>
    <t>Samuel Swersie</t>
  </si>
  <si>
    <t>Amy.mcreynolds@gmail.com</t>
  </si>
  <si>
    <t>Evan.mcreynolds@icloud.com</t>
  </si>
  <si>
    <t>McReynolds</t>
  </si>
  <si>
    <t>Evan McReynolds</t>
  </si>
  <si>
    <t>27220 SW Maidenhair Pl.</t>
  </si>
  <si>
    <t>elena.thomason@gmail.com</t>
  </si>
  <si>
    <t>trae.thomason@gmail.com</t>
  </si>
  <si>
    <t>Robert Thomason</t>
  </si>
  <si>
    <t>4555 Bays Water DRive</t>
  </si>
  <si>
    <t>jay.christine.03@gmail.com</t>
  </si>
  <si>
    <t>Christine Jay</t>
  </si>
  <si>
    <t>30826 Berkshire Downs Drive</t>
  </si>
  <si>
    <t>lizzy.seashore@gmail.com</t>
  </si>
  <si>
    <t>Lizzy.seashore@gmail.com</t>
  </si>
  <si>
    <t>Seashore</t>
  </si>
  <si>
    <t>Elizabeth Seashore</t>
  </si>
  <si>
    <t>1221 E Pennsylvania Pl</t>
  </si>
  <si>
    <t>annabelle.bann@gmail.com</t>
  </si>
  <si>
    <t>Annabelle Bann</t>
  </si>
  <si>
    <t>Rua Professor Alceu Maynard Ara√∫jo 443</t>
  </si>
  <si>
    <t>joeymallo200@gmail.com</t>
  </si>
  <si>
    <t>Joelle Mallo</t>
  </si>
  <si>
    <t>scottdguthrie@gmail.com</t>
  </si>
  <si>
    <t>elysefguthrie@gmail.com</t>
  </si>
  <si>
    <t>Elyse Guthrie</t>
  </si>
  <si>
    <t>312 Miller Drive</t>
  </si>
  <si>
    <t>Jrscowgirl@gmail.com</t>
  </si>
  <si>
    <t>Janessa</t>
  </si>
  <si>
    <t>Sablan</t>
  </si>
  <si>
    <t>Janessa Sablan</t>
  </si>
  <si>
    <t>92116 Maki Rd</t>
  </si>
  <si>
    <t>Astoria</t>
  </si>
  <si>
    <t>kristina_mcirvin@yahoo.com</t>
  </si>
  <si>
    <t>calebmcirvin111@gmail.com</t>
  </si>
  <si>
    <t>McIrvin</t>
  </si>
  <si>
    <t>Caleb McIrvin</t>
  </si>
  <si>
    <t>2935 Dynamic Dr</t>
  </si>
  <si>
    <t>jillleifur@gmail.com</t>
  </si>
  <si>
    <t>ava.leifur@yahoo.com</t>
  </si>
  <si>
    <t>Leifur</t>
  </si>
  <si>
    <t>Ava Leifur</t>
  </si>
  <si>
    <t>6225 Shadyview Ln N</t>
  </si>
  <si>
    <t>carrietucker@mac.com</t>
  </si>
  <si>
    <t>Ktucker2002@yahoo.com</t>
  </si>
  <si>
    <t>The woodlands</t>
  </si>
  <si>
    <t>krichardson1010@gmail.com</t>
  </si>
  <si>
    <t>Kendallgrace03@gmail.com</t>
  </si>
  <si>
    <t>Kendall Richardson</t>
  </si>
  <si>
    <t>1850 Nelson Ranch Loop</t>
  </si>
  <si>
    <t>elanapowers@icloud.com</t>
  </si>
  <si>
    <t>Elana Powers</t>
  </si>
  <si>
    <t>christiannieshalla@gmail.com</t>
  </si>
  <si>
    <t>Christian Nieshalla</t>
  </si>
  <si>
    <t>3125 S 875 E</t>
  </si>
  <si>
    <t>jeff@olsonzoo.com</t>
  </si>
  <si>
    <t>laura@olsonzoo.com</t>
  </si>
  <si>
    <t>Laura Olson</t>
  </si>
  <si>
    <t>10833 Nord Ave S</t>
  </si>
  <si>
    <t>lnbowlin@Hotmail.com</t>
  </si>
  <si>
    <t>Gracebowlin1@gmail.com</t>
  </si>
  <si>
    <t>Bowlin</t>
  </si>
  <si>
    <t>Grace Bowlin</t>
  </si>
  <si>
    <t>10905 Ridge View Trail</t>
  </si>
  <si>
    <t>strickjlb@aol.com</t>
  </si>
  <si>
    <t>alexstrickland2022@gmail.com</t>
  </si>
  <si>
    <t>William Strickland</t>
  </si>
  <si>
    <t>964 Brooks Woolsey Rd</t>
  </si>
  <si>
    <t>hollifry@yahoo.com</t>
  </si>
  <si>
    <t>lajmfry@gmail.com</t>
  </si>
  <si>
    <t>Felicity Fry</t>
  </si>
  <si>
    <t>1431 E. FM 2369</t>
  </si>
  <si>
    <t>Lajmfry@gmail.com</t>
  </si>
  <si>
    <t>Shandaniah</t>
  </si>
  <si>
    <t>Shandaniah Fry</t>
  </si>
  <si>
    <t>sam.monseth6@gmail.com</t>
  </si>
  <si>
    <t>Samuel Monseth</t>
  </si>
  <si>
    <t>snmilam05@bremencs.com</t>
  </si>
  <si>
    <t>Sarah Milam</t>
  </si>
  <si>
    <t>Hudsonterpstra@gmail.com</t>
  </si>
  <si>
    <t>Hudson Terpstra</t>
  </si>
  <si>
    <t>audreymdahlen@gmail.com</t>
  </si>
  <si>
    <t>Audrey Dahlen</t>
  </si>
  <si>
    <t>8577 Brasher Road</t>
  </si>
  <si>
    <t>glox1245@gmail.com</t>
  </si>
  <si>
    <t>walters</t>
  </si>
  <si>
    <t>david walters</t>
  </si>
  <si>
    <t>108 Craven Drive</t>
  </si>
  <si>
    <t>gracieroonie@gmail.com</t>
  </si>
  <si>
    <t>Strater</t>
  </si>
  <si>
    <t>Catherine Strater</t>
  </si>
  <si>
    <t>200 Port Royal Ct</t>
  </si>
  <si>
    <t>Feast.04@protonmail.com</t>
  </si>
  <si>
    <t>Benjamin Embry</t>
  </si>
  <si>
    <t>ellasue104@hotmail.com</t>
  </si>
  <si>
    <t>Gabriella Schumacher</t>
  </si>
  <si>
    <t>jmyracle@gmail.com</t>
  </si>
  <si>
    <t>madelinemyracle@gmail.com</t>
  </si>
  <si>
    <t>Myracle</t>
  </si>
  <si>
    <t>Madeline Myracle</t>
  </si>
  <si>
    <t>1771 S Waverly Ln</t>
  </si>
  <si>
    <t>debcaulfield@gmail.com</t>
  </si>
  <si>
    <t>Rosiebearemc@me.com</t>
  </si>
  <si>
    <t>Caulfield</t>
  </si>
  <si>
    <t>Emily Caulfield</t>
  </si>
  <si>
    <t>7 cobblestone ln</t>
  </si>
  <si>
    <t>Long valley</t>
  </si>
  <si>
    <t>joy.mooneyham@yahoo.com</t>
  </si>
  <si>
    <t>shelby.lintelman@yahoo.com</t>
  </si>
  <si>
    <t>Lintelman</t>
  </si>
  <si>
    <t>Shelby Lintelman</t>
  </si>
  <si>
    <t>984 Heather Falls Drive</t>
  </si>
  <si>
    <t>hmboothe@gmail.com</t>
  </si>
  <si>
    <t>emb.boothe@gmail.com</t>
  </si>
  <si>
    <t>Boothe</t>
  </si>
  <si>
    <t>Elisa Boothe</t>
  </si>
  <si>
    <t>22 Rolling Hills Way</t>
  </si>
  <si>
    <t>Port Murray</t>
  </si>
  <si>
    <t>trenholma@earthlink.net</t>
  </si>
  <si>
    <t>Adam Trenholm</t>
  </si>
  <si>
    <t>rlrgspeer@msn.com</t>
  </si>
  <si>
    <t>ashtonskygiant@gmail.com</t>
  </si>
  <si>
    <t>Ashton Parsons</t>
  </si>
  <si>
    <t>1150 S. County Rd. 121</t>
  </si>
  <si>
    <t>lopezlodge@hotmail.com</t>
  </si>
  <si>
    <t>lopezlodgesami@icloud.com</t>
  </si>
  <si>
    <t>Samuel Lopez</t>
  </si>
  <si>
    <t>3015 State spark rd</t>
  </si>
  <si>
    <t>paul.davis2004@gmail.com</t>
  </si>
  <si>
    <t>jfreadhoff@gmail.com</t>
  </si>
  <si>
    <t>Freadhoff</t>
  </si>
  <si>
    <t>Jordyn Freadhoff</t>
  </si>
  <si>
    <t>6366 Polaris Ln N</t>
  </si>
  <si>
    <t>climbergabe@gmail.com</t>
  </si>
  <si>
    <t>gabrieldupon@icloud.com</t>
  </si>
  <si>
    <t>Gabriel Dupon</t>
  </si>
  <si>
    <t>gcfox1@gmail.com</t>
  </si>
  <si>
    <t>ethanfox04@gmail.com</t>
  </si>
  <si>
    <t>Ethan Fox</t>
  </si>
  <si>
    <t>315 Fern Hollow Ct</t>
  </si>
  <si>
    <t>joshnmisha@mac.com</t>
  </si>
  <si>
    <t>stonewalljack@outlook.com</t>
  </si>
  <si>
    <t>3562 SW Vollmer St.</t>
  </si>
  <si>
    <t>bkhoover@yahoo.com</t>
  </si>
  <si>
    <t>mikehoovermail@gmail.com</t>
  </si>
  <si>
    <t>Michael Hoover</t>
  </si>
  <si>
    <t>185 Poplar Grove Ct</t>
  </si>
  <si>
    <t>tessamaeburg@gmail.com</t>
  </si>
  <si>
    <t>Tessamaeburg@gmail.com</t>
  </si>
  <si>
    <t>Burg</t>
  </si>
  <si>
    <t>Tessa Burg</t>
  </si>
  <si>
    <t>405 Amsterdam Dr. SE</t>
  </si>
  <si>
    <t>orewilers@gmail.com</t>
  </si>
  <si>
    <t>leviorewiler@gmail.com</t>
  </si>
  <si>
    <t>Orewiler</t>
  </si>
  <si>
    <t>Levi Orewiler</t>
  </si>
  <si>
    <t>207 14th Ave.</t>
  </si>
  <si>
    <t>Bangor</t>
  </si>
  <si>
    <t>foxhobbit@gmail.com</t>
  </si>
  <si>
    <t>Grace Orewiler</t>
  </si>
  <si>
    <t>207 14th Ave S</t>
  </si>
  <si>
    <t>faithlj20@gmail.com</t>
  </si>
  <si>
    <t>Junck</t>
  </si>
  <si>
    <t>Faith Junck</t>
  </si>
  <si>
    <t>56625 860th Rd</t>
  </si>
  <si>
    <t>caleb.n.bradfield@gmail.com</t>
  </si>
  <si>
    <t>Caleb Bradfield</t>
  </si>
  <si>
    <t>702 Chesapeake Dr</t>
  </si>
  <si>
    <t>gabicoombs2021@gmail.com</t>
  </si>
  <si>
    <t>Gabrielle Coombs</t>
  </si>
  <si>
    <t>6939 Howell St</t>
  </si>
  <si>
    <t>TherapyByBeatrice@gmail.com</t>
  </si>
  <si>
    <t>carisabigail@gmail.com</t>
  </si>
  <si>
    <t>Caris</t>
  </si>
  <si>
    <t>Caris Moreno</t>
  </si>
  <si>
    <t>24507 Lucca Mist</t>
  </si>
  <si>
    <t>qjc314@gmail.com</t>
  </si>
  <si>
    <t>Quinn Cunningham</t>
  </si>
  <si>
    <t>9427 Stoneglen Dr.</t>
  </si>
  <si>
    <t>Colorado Sprinngs</t>
  </si>
  <si>
    <t>beckyhearts@gmail.com</t>
  </si>
  <si>
    <t>Kaylynn Hoffman</t>
  </si>
  <si>
    <t>4683 s Orange Ave.</t>
  </si>
  <si>
    <t>lewhome559@att.net</t>
  </si>
  <si>
    <t>Mya Lewis</t>
  </si>
  <si>
    <t>580 Jordan Ave</t>
  </si>
  <si>
    <t>Nickiesmom@yahoo.com</t>
  </si>
  <si>
    <t>nchristus19@gmail.com</t>
  </si>
  <si>
    <t>Christus</t>
  </si>
  <si>
    <t>Nicholas Christus</t>
  </si>
  <si>
    <t>2683 Bella Vista Street</t>
  </si>
  <si>
    <t>Kyler Thomas</t>
  </si>
  <si>
    <t>tytrent@ttu.edu</t>
  </si>
  <si>
    <t>Tyler Trent</t>
  </si>
  <si>
    <t>15903 Hermitage Oaks</t>
  </si>
  <si>
    <t>nrjore@gmail.com</t>
  </si>
  <si>
    <t>elijahjore04@gmail.com</t>
  </si>
  <si>
    <t>Jore</t>
  </si>
  <si>
    <t>Elijah Jore</t>
  </si>
  <si>
    <t>14220 Paul‚Äôs Drive</t>
  </si>
  <si>
    <t>Abbagail</t>
  </si>
  <si>
    <t>Abbagail Kohler</t>
  </si>
  <si>
    <t>131 W High Street</t>
  </si>
  <si>
    <t>PO Box 1409</t>
  </si>
  <si>
    <t>onelifetoLivvy@gmail.com</t>
  </si>
  <si>
    <t>Feinn</t>
  </si>
  <si>
    <t>Olivia Feinn</t>
  </si>
  <si>
    <t>909 Bridgecreek Road</t>
  </si>
  <si>
    <t>ransombutler2@gmail.com</t>
  </si>
  <si>
    <t>Ransom Butler</t>
  </si>
  <si>
    <t>812 E. Woodstone Circle</t>
  </si>
  <si>
    <t>teamfiebelkorn@gmail.com</t>
  </si>
  <si>
    <t>bookofroses.af@gmail.com</t>
  </si>
  <si>
    <t>Fiebelkorn</t>
  </si>
  <si>
    <t>Abigail Fiebelkorn</t>
  </si>
  <si>
    <t>124 Stonehenge Drive</t>
  </si>
  <si>
    <t>cjomoses@gmail.com</t>
  </si>
  <si>
    <t>Rugbymoses@gmail.com</t>
  </si>
  <si>
    <t>Austin Moses</t>
  </si>
  <si>
    <t>136 Acorn Lane</t>
  </si>
  <si>
    <t>calliehester8@gmail.com</t>
  </si>
  <si>
    <t>Caroline Hester</t>
  </si>
  <si>
    <t>debroggenbaum@yahoo.com</t>
  </si>
  <si>
    <t>nrohrer1224@icloud.com</t>
  </si>
  <si>
    <t>Noah Rohrer</t>
  </si>
  <si>
    <t>660 Jane Avenue</t>
  </si>
  <si>
    <t>Mt Joy</t>
  </si>
  <si>
    <t>andrea6thomas@gmail.com</t>
  </si>
  <si>
    <t>Nthomas0267@gmail.com</t>
  </si>
  <si>
    <t>Nate Thomas</t>
  </si>
  <si>
    <t>5430 Dogwood Rd.</t>
  </si>
  <si>
    <t>nrauwolf@gmail.com</t>
  </si>
  <si>
    <t>arauwolf@gracecrusaders.org</t>
  </si>
  <si>
    <t>Rauwolf</t>
  </si>
  <si>
    <t>Adam Rauwolf</t>
  </si>
  <si>
    <t>5917 Darline Drive</t>
  </si>
  <si>
    <t>Saint Anne</t>
  </si>
  <si>
    <t>jmtyler420@hotmail.com</t>
  </si>
  <si>
    <t>Bcrasher1847@gmail.com</t>
  </si>
  <si>
    <t>Billy Tyler</t>
  </si>
  <si>
    <t>Po box 38</t>
  </si>
  <si>
    <t>bradleyandamy@gmail.com</t>
  </si>
  <si>
    <t>Megadynamic@icloud.com</t>
  </si>
  <si>
    <t>Braydon</t>
  </si>
  <si>
    <t>Geary</t>
  </si>
  <si>
    <t>Braydon Geary</t>
  </si>
  <si>
    <t>621 Cabrillo Ave</t>
  </si>
  <si>
    <t>Angel.solomon79@gmail.com</t>
  </si>
  <si>
    <t>Lexifayecat@gmail.com</t>
  </si>
  <si>
    <t>Alexis Solomon</t>
  </si>
  <si>
    <t>14750 107th</t>
  </si>
  <si>
    <t>jenjoybruk@gmail.com</t>
  </si>
  <si>
    <t>Noellebruk@gmail.com</t>
  </si>
  <si>
    <t>Brukiewa</t>
  </si>
  <si>
    <t>Noelle Brukiewa</t>
  </si>
  <si>
    <t>13265 Bozeman Trail</t>
  </si>
  <si>
    <t>chelseadysinger@gmail.com</t>
  </si>
  <si>
    <t>tanyapark37@gmail.com</t>
  </si>
  <si>
    <t>rachelpark1232@gmail.com</t>
  </si>
  <si>
    <t>Rachel Park</t>
  </si>
  <si>
    <t>5165 FARMINGDALE DR.</t>
  </si>
  <si>
    <t>rkmedema@aol.com</t>
  </si>
  <si>
    <t>Kylinmedema@gmail.com</t>
  </si>
  <si>
    <t>Medema</t>
  </si>
  <si>
    <t>Kylin Medema</t>
  </si>
  <si>
    <t>40495 County Road 13</t>
  </si>
  <si>
    <t>jeff.kautz@gmail.com</t>
  </si>
  <si>
    <t>kk38781@nppsd.org</t>
  </si>
  <si>
    <t>Kristopher</t>
  </si>
  <si>
    <t>Kautz</t>
  </si>
  <si>
    <t>Kristopher Kautz</t>
  </si>
  <si>
    <t>801 Sioux Lane</t>
  </si>
  <si>
    <t>North Platte</t>
  </si>
  <si>
    <t>sirzac@protonmail.com</t>
  </si>
  <si>
    <t>CooperKids@protonmail.com</t>
  </si>
  <si>
    <t>Emagene</t>
  </si>
  <si>
    <t>Emagene Cooper</t>
  </si>
  <si>
    <t>10376 E 2000th Ave</t>
  </si>
  <si>
    <t>West York</t>
  </si>
  <si>
    <t>pbknutson@hotmail.com</t>
  </si>
  <si>
    <t>Peter Knutson</t>
  </si>
  <si>
    <t>jstedman@juno.com</t>
  </si>
  <si>
    <t>jeffastedman@gmail.com</t>
  </si>
  <si>
    <t>Alex Stedman</t>
  </si>
  <si>
    <t>2046 121st Ave SE</t>
  </si>
  <si>
    <t>emmajk@cox.net</t>
  </si>
  <si>
    <t>Emma Knutson</t>
  </si>
  <si>
    <t>Hana Haley</t>
  </si>
  <si>
    <t>104 Mill St</t>
  </si>
  <si>
    <t>katherinecollier03@gmail.com</t>
  </si>
  <si>
    <t>Katherine Collier</t>
  </si>
  <si>
    <t>1256 Columbia 17</t>
  </si>
  <si>
    <t>mcclavefam@gmail.com</t>
  </si>
  <si>
    <t>aiden.mcclave@gmail.com</t>
  </si>
  <si>
    <t>McClave</t>
  </si>
  <si>
    <t>Aiden McClave</t>
  </si>
  <si>
    <t>1014 Merion Square Rd.</t>
  </si>
  <si>
    <t>Gladwyne</t>
  </si>
  <si>
    <t>torimccl@haverford.org</t>
  </si>
  <si>
    <t>Torin</t>
  </si>
  <si>
    <t>Torin McClave</t>
  </si>
  <si>
    <t>sithsabres@gmail.com</t>
  </si>
  <si>
    <t>Seth Guy</t>
  </si>
  <si>
    <t>9080 Williams Hwy</t>
  </si>
  <si>
    <t>rtsugg@tracyHsugg.com</t>
  </si>
  <si>
    <t>rpsugg4@protonmail.com</t>
  </si>
  <si>
    <t>Sugg IV</t>
  </si>
  <si>
    <t>Robert Sugg IV</t>
  </si>
  <si>
    <t>105 Knob Creek Rd</t>
  </si>
  <si>
    <t>joslemaster@myfrcs.org</t>
  </si>
  <si>
    <t>Joshua LeMaster</t>
  </si>
  <si>
    <t>editor@edityourwork.com</t>
  </si>
  <si>
    <t>ekangerb@gmail.com</t>
  </si>
  <si>
    <t>Ekanger</t>
  </si>
  <si>
    <t>Brent Ekanger</t>
  </si>
  <si>
    <t>1861 Eisenhower Cir</t>
  </si>
  <si>
    <t>lissasmith01@gmail.com</t>
  </si>
  <si>
    <t>calebmsmith1424@gmail.com</t>
  </si>
  <si>
    <t>404 Scenic Vw</t>
  </si>
  <si>
    <t>mgeviolin@gmail.com</t>
  </si>
  <si>
    <t>Megan Ewing</t>
  </si>
  <si>
    <t>43401 Markham Place</t>
  </si>
  <si>
    <t>Ashburn VA</t>
  </si>
  <si>
    <t>deblu992@gmail.com</t>
  </si>
  <si>
    <t>Deborah Lu</t>
  </si>
  <si>
    <t>cosettehowell@gmail.com</t>
  </si>
  <si>
    <t>Cosette Howell</t>
  </si>
  <si>
    <t>hamfanlewis@gmail.com</t>
  </si>
  <si>
    <t>Hannah Lewis</t>
  </si>
  <si>
    <t>1086 Noble Isle Street</t>
  </si>
  <si>
    <t>rcphilippe@seu.edu</t>
  </si>
  <si>
    <t>Philippe</t>
  </si>
  <si>
    <t>Ruth Philippe</t>
  </si>
  <si>
    <t>1558 Emerson Lane</t>
  </si>
  <si>
    <t>douglas.b.schaefer@gmail.com</t>
  </si>
  <si>
    <t>Luckyasaladybug@gmail.com</t>
  </si>
  <si>
    <t>ellisyndavis10@gmail.com</t>
  </si>
  <si>
    <t>Ellisyn</t>
  </si>
  <si>
    <t>Ellisyn Davis</t>
  </si>
  <si>
    <t>303 Suzanne Dejean Drive</t>
  </si>
  <si>
    <t>cortneygrace@outlook.com</t>
  </si>
  <si>
    <t>Cortney Evans</t>
  </si>
  <si>
    <t>inthewoods99@gmail.com</t>
  </si>
  <si>
    <t>Smiddy</t>
  </si>
  <si>
    <t>Claire Smiddy</t>
  </si>
  <si>
    <t>1341 Solitaire Street</t>
  </si>
  <si>
    <t>hello@ciarastockeland.com</t>
  </si>
  <si>
    <t>bellastockeland@icloud.com</t>
  </si>
  <si>
    <t>Isabella Stockeland</t>
  </si>
  <si>
    <t>5880 E Prairiewood Drive</t>
  </si>
  <si>
    <t>lindsey.allen@frontier.com</t>
  </si>
  <si>
    <t>Lindsey Allen</t>
  </si>
  <si>
    <t>150 Oakview Dr.</t>
  </si>
  <si>
    <t>hmanjs21@gmail.com</t>
  </si>
  <si>
    <t>redrockflower@gmail.com</t>
  </si>
  <si>
    <t>shannimaljam@gmail.com</t>
  </si>
  <si>
    <t>Shannon Brittain</t>
  </si>
  <si>
    <t>2338 Hathaway</t>
  </si>
  <si>
    <t>gunnyboy24@gmail.com</t>
  </si>
  <si>
    <t>Stefan Brittain</t>
  </si>
  <si>
    <t>bknuge@aol.com</t>
  </si>
  <si>
    <t>lukebnuge@aol.com</t>
  </si>
  <si>
    <t>Nugent</t>
  </si>
  <si>
    <t>Luke Nugent</t>
  </si>
  <si>
    <t>21950 Tyrolite Ave</t>
  </si>
  <si>
    <t>jeremiahjim34@gmail.com</t>
  </si>
  <si>
    <t>Jim</t>
  </si>
  <si>
    <t>Jeremiah Jim</t>
  </si>
  <si>
    <t>28 Holyrood Street</t>
  </si>
  <si>
    <t>Chard</t>
  </si>
  <si>
    <t>TA20 2AH</t>
  </si>
  <si>
    <t>Peter Riehl</t>
  </si>
  <si>
    <t>5716 S Dean Rd</t>
  </si>
  <si>
    <t>claychilson@gmail.com</t>
  </si>
  <si>
    <t>sjchilson1@gmail.com</t>
  </si>
  <si>
    <t>Chilson</t>
  </si>
  <si>
    <t>Samuel Chilson</t>
  </si>
  <si>
    <t>10347 Tybalt Drive</t>
  </si>
  <si>
    <t>joannaeharden@gmail.com</t>
  </si>
  <si>
    <t>Joanna Harden</t>
  </si>
  <si>
    <t>izzie15lilly@gamil.com</t>
  </si>
  <si>
    <t>izzie15lilly@gmail.com</t>
  </si>
  <si>
    <t>Isabelle Chernyavsky</t>
  </si>
  <si>
    <t>6511 Elm St.</t>
  </si>
  <si>
    <t>judah12c@gmail.com</t>
  </si>
  <si>
    <t>Judah Chernyavsky</t>
  </si>
  <si>
    <t>6511 Elm St</t>
  </si>
  <si>
    <t>tjverstegen22@gmail.com</t>
  </si>
  <si>
    <t>Trenton Verstegen</t>
  </si>
  <si>
    <t>639 Roland St</t>
  </si>
  <si>
    <t>Combined Locks</t>
  </si>
  <si>
    <t>daniel@vollefamily.com</t>
  </si>
  <si>
    <t>Volle</t>
  </si>
  <si>
    <t>Daniel Volle</t>
  </si>
  <si>
    <t>425 E Lincoln Ave</t>
  </si>
  <si>
    <t>carolinerussellg69@gmail.com</t>
  </si>
  <si>
    <t>Caroline Russell</t>
  </si>
  <si>
    <t>simon.hill@mines.sdsmt.edu</t>
  </si>
  <si>
    <t>Simon Hill</t>
  </si>
  <si>
    <t>2348 Ambush Ranch Rd</t>
  </si>
  <si>
    <t>JonathanVolle@gmail.com</t>
  </si>
  <si>
    <t>CKVolle@gmail.com</t>
  </si>
  <si>
    <t>Christian Volle</t>
  </si>
  <si>
    <t>26W080 Macarthur Ave</t>
  </si>
  <si>
    <t>Jskopsa@icloud.com</t>
  </si>
  <si>
    <t>Julia Kopsa</t>
  </si>
  <si>
    <t>450 Skyline Dr</t>
  </si>
  <si>
    <t>swagfist.12@gmail.com</t>
  </si>
  <si>
    <t>Obed</t>
  </si>
  <si>
    <t>Obed Philippe</t>
  </si>
  <si>
    <t>1558 Emerson Ln</t>
  </si>
  <si>
    <t>annikamossberg@mchsi.com</t>
  </si>
  <si>
    <t>Annika Mossberg</t>
  </si>
  <si>
    <t>sadiemc638@yahoo.com</t>
  </si>
  <si>
    <t>Craven</t>
  </si>
  <si>
    <t>Sadie Craven</t>
  </si>
  <si>
    <t>326 Legion Rd.</t>
  </si>
  <si>
    <t>silasagnew13@gmail.com</t>
  </si>
  <si>
    <t>Silas Agnew</t>
  </si>
  <si>
    <t>1167 Redfields Rd</t>
  </si>
  <si>
    <t>falconman523@gmail.com</t>
  </si>
  <si>
    <t>Elliot Williams</t>
  </si>
  <si>
    <t>285 N. Eastern Slope Loop</t>
  </si>
  <si>
    <t>apearlberry@gmail.com</t>
  </si>
  <si>
    <t>shilling220@gmail.com</t>
  </si>
  <si>
    <t>Shilling</t>
  </si>
  <si>
    <t>Nate Shilling</t>
  </si>
  <si>
    <t>1165 Co Rd 200E</t>
  </si>
  <si>
    <t>katshilling13@gmail.com</t>
  </si>
  <si>
    <t>Katherine Shilling</t>
  </si>
  <si>
    <t>1165 County Road 200E</t>
  </si>
  <si>
    <t>onesmartpiggy@gmail.com</t>
  </si>
  <si>
    <t>chickens4wes@gmail.com</t>
  </si>
  <si>
    <t>Wesley Newman</t>
  </si>
  <si>
    <t>3600 N Hash Knife Circle</t>
  </si>
  <si>
    <t>tatefehr8@gmail.com</t>
  </si>
  <si>
    <t>colton.fehr@yahoo.com</t>
  </si>
  <si>
    <t>Fehr</t>
  </si>
  <si>
    <t>Asa Fehr</t>
  </si>
  <si>
    <t>1161 Glenwood Loop</t>
  </si>
  <si>
    <t>Benjamin Fehr</t>
  </si>
  <si>
    <t>vjlocklin@gmail.com</t>
  </si>
  <si>
    <t>Locklin</t>
  </si>
  <si>
    <t>Victoria Locklin</t>
  </si>
  <si>
    <t>12155 Hatherden Court</t>
  </si>
  <si>
    <t>kristinakaren@me.com</t>
  </si>
  <si>
    <t>mdlnwlsn1@gmail.com</t>
  </si>
  <si>
    <t>Madeline Wilson</t>
  </si>
  <si>
    <t>4505 manor way</t>
  </si>
  <si>
    <t>md.kalamaras@comcast.net</t>
  </si>
  <si>
    <t>jennakalamaras@gmail.com</t>
  </si>
  <si>
    <t>Kalamaras</t>
  </si>
  <si>
    <t>Jenna Kalamaras</t>
  </si>
  <si>
    <t>156 Pine Tree Lane</t>
  </si>
  <si>
    <t>hyrulewarrioressforchrist@gmail.com</t>
  </si>
  <si>
    <t>Joslyn</t>
  </si>
  <si>
    <t>Joslyn Kalamaras</t>
  </si>
  <si>
    <t>charla.pate@protonmail.com</t>
  </si>
  <si>
    <t>pate.susannah@gmail.com</t>
  </si>
  <si>
    <t>Pate</t>
  </si>
  <si>
    <t>Susannah Pate</t>
  </si>
  <si>
    <t>2501 12TH STREET</t>
  </si>
  <si>
    <t>PORT NECHES</t>
  </si>
  <si>
    <t>kodiakdarin03@gmail.com</t>
  </si>
  <si>
    <t>Darin Jasper</t>
  </si>
  <si>
    <t>26376 535th St.</t>
  </si>
  <si>
    <t>breebomiles06@gmail.com</t>
  </si>
  <si>
    <t>Breea</t>
  </si>
  <si>
    <t>Breea Miles</t>
  </si>
  <si>
    <t>15630 Fox Creek Ln.</t>
  </si>
  <si>
    <t>katiedecoste@hotmail.com</t>
  </si>
  <si>
    <t>grace@decoste.org</t>
  </si>
  <si>
    <t>DeCoste</t>
  </si>
  <si>
    <t>Grace DeCoste</t>
  </si>
  <si>
    <t>3840 Misty Meadows Dr</t>
  </si>
  <si>
    <t>annacadkins@gmail.com</t>
  </si>
  <si>
    <t>Benjamindadkins@icloud.com</t>
  </si>
  <si>
    <t>Benjamin Adkins</t>
  </si>
  <si>
    <t>10444 Calle Alava NW</t>
  </si>
  <si>
    <t>wrisherheather@gmail.com</t>
  </si>
  <si>
    <t>Risher</t>
  </si>
  <si>
    <t>Heather Risher</t>
  </si>
  <si>
    <t>112 E. 1st Ave</t>
  </si>
  <si>
    <t>Calvert City</t>
  </si>
  <si>
    <t>erin_deb@yahoo.com</t>
  </si>
  <si>
    <t>hopeahnfeldt@gmail.com</t>
  </si>
  <si>
    <t>Ahnfeldt</t>
  </si>
  <si>
    <t>Hope Ahnfeldt</t>
  </si>
  <si>
    <t>3835 Timberwood Ct</t>
  </si>
  <si>
    <t>noelle@ontherock.com</t>
  </si>
  <si>
    <t>Noelle Jacobsen</t>
  </si>
  <si>
    <t>abakerhungary@gmail.com</t>
  </si>
  <si>
    <t>dinomaninbp@gmail.com</t>
  </si>
  <si>
    <t>592 State Road 559</t>
  </si>
  <si>
    <t>specialgiftseb0@gmail.com</t>
  </si>
  <si>
    <t>Elizabeth Baker</t>
  </si>
  <si>
    <t>donnacapgar@yahoo.com</t>
  </si>
  <si>
    <t>allisonapgar@yahoo.com</t>
  </si>
  <si>
    <t>Apgar</t>
  </si>
  <si>
    <t>Allison Apgar</t>
  </si>
  <si>
    <t>5150 Willowbrook Rd.</t>
  </si>
  <si>
    <t>perringh007@gmail.com</t>
  </si>
  <si>
    <t>Holliday</t>
  </si>
  <si>
    <t>Perrin Holliday</t>
  </si>
  <si>
    <t>1536 Columbine Dr</t>
  </si>
  <si>
    <t>keaira123@icloud.com</t>
  </si>
  <si>
    <t>Keaira</t>
  </si>
  <si>
    <t>Keaira Elliott</t>
  </si>
  <si>
    <t>1031 santa fe trail</t>
  </si>
  <si>
    <t>canyon</t>
  </si>
  <si>
    <t>dan@aldrichwealth.com</t>
  </si>
  <si>
    <t>jordanaaldrich@gmail.com</t>
  </si>
  <si>
    <t>Jordan Aldrich</t>
  </si>
  <si>
    <t>912 N. Hollywood Way</t>
  </si>
  <si>
    <t>Ste D</t>
  </si>
  <si>
    <t>Burbank</t>
  </si>
  <si>
    <t>203 NW 5TH</t>
  </si>
  <si>
    <t>Samuel Oakes</t>
  </si>
  <si>
    <t>mike.evans5@icloud.com</t>
  </si>
  <si>
    <t>jessevans7143@gmail.com</t>
  </si>
  <si>
    <t>Jessica Evans</t>
  </si>
  <si>
    <t>5227 E 69th St.</t>
  </si>
  <si>
    <t>wmcdo481@faithchristianofpekin.org</t>
  </si>
  <si>
    <t>William McDonald</t>
  </si>
  <si>
    <t>SAHOILE7@GMAIL.COM</t>
  </si>
  <si>
    <t>Storyteller4him@icloud.com</t>
  </si>
  <si>
    <t>Ciampi</t>
  </si>
  <si>
    <t>Holly Ciampi</t>
  </si>
  <si>
    <t>4923 W. Greenway Rd.</t>
  </si>
  <si>
    <t>Himonly@icloud.com</t>
  </si>
  <si>
    <t>Owen Ciampi</t>
  </si>
  <si>
    <t>heather.ertzberger@gmail.com</t>
  </si>
  <si>
    <t>Lukeskeys4you@gmail.com</t>
  </si>
  <si>
    <t>Ertzberger</t>
  </si>
  <si>
    <t>Luke Ertzberger</t>
  </si>
  <si>
    <t>4117 Benfield Ct</t>
  </si>
  <si>
    <t>tonya.stoller@fwcs.k12.in.us</t>
  </si>
  <si>
    <t>stollere03@gmail.com</t>
  </si>
  <si>
    <t>Elijah Stoller</t>
  </si>
  <si>
    <t>16611 North State Road 1</t>
  </si>
  <si>
    <t>Ashlyn@dnagraham.com</t>
  </si>
  <si>
    <t>sjcdonaldson02@gmail.com</t>
  </si>
  <si>
    <t>Samuel Donaldson</t>
  </si>
  <si>
    <t>zgrolnic@gmail.com</t>
  </si>
  <si>
    <t>Grolnic</t>
  </si>
  <si>
    <t>Zoe Grolnic</t>
  </si>
  <si>
    <t>7829 Cole Court</t>
  </si>
  <si>
    <t>jessicaleafulmer@hotmail.com</t>
  </si>
  <si>
    <t>abbyjfulmer@gmail.com</t>
  </si>
  <si>
    <t>Fulmer</t>
  </si>
  <si>
    <t>Abby Fulmer</t>
  </si>
  <si>
    <t>3207 Twin Lakes Drive</t>
  </si>
  <si>
    <t>1409 Peaceway Drive</t>
  </si>
  <si>
    <t>xxm.paul.mxx@gmail.com</t>
  </si>
  <si>
    <t>Matthew McKinney</t>
  </si>
  <si>
    <t>brinerhouse@gmail.com</t>
  </si>
  <si>
    <t>blakebriner@icloud.com</t>
  </si>
  <si>
    <t>Briner</t>
  </si>
  <si>
    <t>Blake Briner</t>
  </si>
  <si>
    <t>12 Oak St</t>
  </si>
  <si>
    <t>Hopkinton</t>
  </si>
  <si>
    <t>jilliansmits3@gmail.com</t>
  </si>
  <si>
    <t>Smits</t>
  </si>
  <si>
    <t>Jillian Smits</t>
  </si>
  <si>
    <t>4725 Rustler Ct.</t>
  </si>
  <si>
    <t>abigailclough@icloud.com</t>
  </si>
  <si>
    <t>Abigail Clough</t>
  </si>
  <si>
    <t>bradgerritsma@gmail.com</t>
  </si>
  <si>
    <t>Gerritsma</t>
  </si>
  <si>
    <t>Bradley Gerritsma</t>
  </si>
  <si>
    <t>10595 Antler Trail</t>
  </si>
  <si>
    <t>osuwagg5@gmail.com</t>
  </si>
  <si>
    <t>eman54.w@gmail.com</t>
  </si>
  <si>
    <t>Ethan Waggoner</t>
  </si>
  <si>
    <t>8100 NW 101 AVE</t>
  </si>
  <si>
    <t>Tamarac</t>
  </si>
  <si>
    <t>gerardcuozzo@hotmail.com</t>
  </si>
  <si>
    <t>jcuozzo2003@gmail.com</t>
  </si>
  <si>
    <t>Cuozzo</t>
  </si>
  <si>
    <t>Julian Cuozzo</t>
  </si>
  <si>
    <t>9933 nw 64TH CT</t>
  </si>
  <si>
    <t>wrisherk@yahoo.com</t>
  </si>
  <si>
    <t>Kaylee Risher</t>
  </si>
  <si>
    <t>112 E 1st Ave</t>
  </si>
  <si>
    <t>md_trantham@hotmail.com</t>
  </si>
  <si>
    <t>set.hedgehog2@gmail.com</t>
  </si>
  <si>
    <t>Trantham</t>
  </si>
  <si>
    <t>Sofia Trantham</t>
  </si>
  <si>
    <t>10608 School House Lane</t>
  </si>
  <si>
    <t>rgp1412@reagan.com</t>
  </si>
  <si>
    <t>Rachel Powers</t>
  </si>
  <si>
    <t>laurenhinson03@gmail.com</t>
  </si>
  <si>
    <t>Lauren Hinson</t>
  </si>
  <si>
    <t>Colorrado Springs</t>
  </si>
  <si>
    <t>cmwhinna@gmail.com</t>
  </si>
  <si>
    <t>tewhinna@gmail.com</t>
  </si>
  <si>
    <t>Tenaye</t>
  </si>
  <si>
    <t>Whinna</t>
  </si>
  <si>
    <t>Tenaye Whinna</t>
  </si>
  <si>
    <t>4201 Mystic Lane</t>
  </si>
  <si>
    <t>wmwhinna@gmail.com</t>
  </si>
  <si>
    <t>Wossene</t>
  </si>
  <si>
    <t>Wossene Whinna</t>
  </si>
  <si>
    <t>hannah.n.broome@gmail.com</t>
  </si>
  <si>
    <t>Broome</t>
  </si>
  <si>
    <t>Hannah Broome</t>
  </si>
  <si>
    <t>Joshua.n.broome@gmail.com</t>
  </si>
  <si>
    <t>joshua.n.broome@gmail.com</t>
  </si>
  <si>
    <t>Joshua Broome</t>
  </si>
  <si>
    <t>4503 Capstone Dr</t>
  </si>
  <si>
    <t>adam.baker@windstream.net</t>
  </si>
  <si>
    <t>addisonlbaker56@gmail.com</t>
  </si>
  <si>
    <t>Addison Baker</t>
  </si>
  <si>
    <t>190 Three Oaks Drive SE</t>
  </si>
  <si>
    <t>jennajogleason@gmail.com</t>
  </si>
  <si>
    <t>Jenna Gleason</t>
  </si>
  <si>
    <t>1185 Clover Lane SE</t>
  </si>
  <si>
    <t>luffclan@aol.com</t>
  </si>
  <si>
    <t>boluff@icloud.com</t>
  </si>
  <si>
    <t>Bo</t>
  </si>
  <si>
    <t>Luff</t>
  </si>
  <si>
    <t>Bo Luff</t>
  </si>
  <si>
    <t>282 Hales Road</t>
  </si>
  <si>
    <t>olivia</t>
  </si>
  <si>
    <t>olivia Fashian</t>
  </si>
  <si>
    <t>jonandanagarcia@sbcglobal.net</t>
  </si>
  <si>
    <t>Joel Garcia</t>
  </si>
  <si>
    <t>1617 sw western ave.</t>
  </si>
  <si>
    <t>mikaylabroome139@gmail.com</t>
  </si>
  <si>
    <t>Mikayla Broome</t>
  </si>
  <si>
    <t>evelyngracesmith02@gmail.com</t>
  </si>
  <si>
    <t>Evelyngracesmith02@gmail.com</t>
  </si>
  <si>
    <t>Evelyn Smith</t>
  </si>
  <si>
    <t>6067 New Light Road</t>
  </si>
  <si>
    <t>kendallwilleford@gmail.com</t>
  </si>
  <si>
    <t>Willeford</t>
  </si>
  <si>
    <t>Kendall Willeford</t>
  </si>
  <si>
    <t>105 Daffordil Drive</t>
  </si>
  <si>
    <t>pittsprotection@gmail.com</t>
  </si>
  <si>
    <t>duckgap3@gmail.com</t>
  </si>
  <si>
    <t>Gresham Pitts</t>
  </si>
  <si>
    <t>4608 Taft Highway</t>
  </si>
  <si>
    <t>gcmullet@sbcglobal.net</t>
  </si>
  <si>
    <t>Jaakansm@icloud.com</t>
  </si>
  <si>
    <t>Jaakan</t>
  </si>
  <si>
    <t>Jaakan Mullet</t>
  </si>
  <si>
    <t>1790 Allegheny Dr</t>
  </si>
  <si>
    <t>Colorado Sorings</t>
  </si>
  <si>
    <t>kgjenkins03@gmail.com</t>
  </si>
  <si>
    <t>Katherine Jenkins</t>
  </si>
  <si>
    <t>pinneaple5@icloud.com</t>
  </si>
  <si>
    <t>Hannah Nienstadt</t>
  </si>
  <si>
    <t>glquiring@gmail.com</t>
  </si>
  <si>
    <t>Quiring</t>
  </si>
  <si>
    <t>Gracie Quiring</t>
  </si>
  <si>
    <t>1963 Boiling Springs Circle</t>
  </si>
  <si>
    <t>dasteele03@gmail.com</t>
  </si>
  <si>
    <t>David Steele</t>
  </si>
  <si>
    <t>770 Nolichuckey Rd.</t>
  </si>
  <si>
    <t>shelbycrowell@clps.info</t>
  </si>
  <si>
    <t>Shelby Crowell</t>
  </si>
  <si>
    <t>6001 Wiser Ave.</t>
  </si>
  <si>
    <t>adele@boldmarriage.com</t>
  </si>
  <si>
    <t>benjamyn.bradley@gmail.com</t>
  </si>
  <si>
    <t>Benjamyn</t>
  </si>
  <si>
    <t>Benjamyn Bradley</t>
  </si>
  <si>
    <t>47752 Willow Pond Road</t>
  </si>
  <si>
    <t>abistclair@gmail.com</t>
  </si>
  <si>
    <t>Abistclair@gmail.com</t>
  </si>
  <si>
    <t>Abigail St. Clair</t>
  </si>
  <si>
    <t>CR 6860</t>
  </si>
  <si>
    <t>Dvmart2002@gmail.com</t>
  </si>
  <si>
    <t>David Martin</t>
  </si>
  <si>
    <t>711 harding way se</t>
  </si>
  <si>
    <t>cjwuerf@gmail.com</t>
  </si>
  <si>
    <t>antcon4t@gmail.com</t>
  </si>
  <si>
    <t>Conforti</t>
  </si>
  <si>
    <t>Anthony Conforti</t>
  </si>
  <si>
    <t>4143 S. Memphis St</t>
  </si>
  <si>
    <t>john.mcdowell.nc@gmail.com</t>
  </si>
  <si>
    <t>John McDowell</t>
  </si>
  <si>
    <t>3402 Brooktree Ln</t>
  </si>
  <si>
    <t>rachel.lutke.johnson@gmail.com</t>
  </si>
  <si>
    <t>kierstenelin@gmail.com</t>
  </si>
  <si>
    <t>Kiersten Johnson</t>
  </si>
  <si>
    <t>720 Willow Brook Road</t>
  </si>
  <si>
    <t>sweems042@gmail.com</t>
  </si>
  <si>
    <t>Stephanie Weems</t>
  </si>
  <si>
    <t>6340 Barrel Race Dr</t>
  </si>
  <si>
    <t>kmaye@kerimaye.com</t>
  </si>
  <si>
    <t>macyrocks1234@gmail.com</t>
  </si>
  <si>
    <t>Maye</t>
  </si>
  <si>
    <t>Sarah Maye</t>
  </si>
  <si>
    <t>11301 NW 12th Street</t>
  </si>
  <si>
    <t>Pierce@allenfam.us</t>
  </si>
  <si>
    <t>Pierce Allen</t>
  </si>
  <si>
    <t>44t Kelda</t>
  </si>
  <si>
    <t>huntergolf02@gmail.com</t>
  </si>
  <si>
    <t>Askew</t>
  </si>
  <si>
    <t>Hunter Askew</t>
  </si>
  <si>
    <t>707 Williams St</t>
  </si>
  <si>
    <t>aecornforth5@gmail.com</t>
  </si>
  <si>
    <t>Aubrey Cornforth</t>
  </si>
  <si>
    <t>beckymorrow5@icloud.com</t>
  </si>
  <si>
    <t>Jacobmorrow5@icloud.com</t>
  </si>
  <si>
    <t>Jacob Morrow</t>
  </si>
  <si>
    <t>1448 Finch Rd</t>
  </si>
  <si>
    <t>Winder</t>
  </si>
  <si>
    <t>bmstuckey@hotmail.com</t>
  </si>
  <si>
    <t>jonathan.stuckey@hotmail.com</t>
  </si>
  <si>
    <t>Stuckey</t>
  </si>
  <si>
    <t>Jonathan Stuckey</t>
  </si>
  <si>
    <t>4747 Sherman Allen Rd</t>
  </si>
  <si>
    <t>srdugan@gmail.com</t>
  </si>
  <si>
    <t>apdugan03@gmail.com</t>
  </si>
  <si>
    <t>Anita</t>
  </si>
  <si>
    <t>Dugan</t>
  </si>
  <si>
    <t>Anita Dugan</t>
  </si>
  <si>
    <t>4712 S 157th Cir</t>
  </si>
  <si>
    <t>1790 W. C.R. 500 S.</t>
  </si>
  <si>
    <t>kgg.gaines@gmail.com</t>
  </si>
  <si>
    <t>Kaylan</t>
  </si>
  <si>
    <t>Kaylan Gaines</t>
  </si>
  <si>
    <t>101 Roberts Street</t>
  </si>
  <si>
    <t>jgrace1025@gmail.com</t>
  </si>
  <si>
    <t>Jgrace1025@gmail.com</t>
  </si>
  <si>
    <t>McNally</t>
  </si>
  <si>
    <t>Jami McNally</t>
  </si>
  <si>
    <t>1194 Red Lodge Drive</t>
  </si>
  <si>
    <t>Unit 002</t>
  </si>
  <si>
    <t>AThomson5@my.gcu.edu</t>
  </si>
  <si>
    <t>Annalise Thomson</t>
  </si>
  <si>
    <t>tirzah.thomson@icloud.com</t>
  </si>
  <si>
    <t>Tirzah Thomson</t>
  </si>
  <si>
    <t>Rebekah Lambert</t>
  </si>
  <si>
    <t>james@petersongordon.com</t>
  </si>
  <si>
    <t>Josiah Gordon</t>
  </si>
  <si>
    <t>jmandt@cfu.net</t>
  </si>
  <si>
    <t>Jmandt@cfu.net</t>
  </si>
  <si>
    <t>Mandt</t>
  </si>
  <si>
    <t>Sophia Mandt</t>
  </si>
  <si>
    <t>2521 Sunset Blvd</t>
  </si>
  <si>
    <t>Cedar Falls</t>
  </si>
  <si>
    <t>BLSHEPLER111@GMAIL.COM</t>
  </si>
  <si>
    <t>CLAYTONSHEPLER@GMAIL.COM</t>
  </si>
  <si>
    <t>CLAYTON</t>
  </si>
  <si>
    <t>SHEPLER</t>
  </si>
  <si>
    <t>CLAYTON SHEPLER</t>
  </si>
  <si>
    <t>11295 CRABAPPLE RD</t>
  </si>
  <si>
    <t>ROSWELL</t>
  </si>
  <si>
    <t>Karoline.bonastia@gmail.com</t>
  </si>
  <si>
    <t>karoline.bonastia@gmail.com</t>
  </si>
  <si>
    <t>karoline</t>
  </si>
  <si>
    <t>bonastia</t>
  </si>
  <si>
    <t>karoline bonastia</t>
  </si>
  <si>
    <t>1044 hubbard road</t>
  </si>
  <si>
    <t>thesummershaven@gmail.com</t>
  </si>
  <si>
    <t>csummersoutdoors@gmail.com</t>
  </si>
  <si>
    <t>Caden Summers</t>
  </si>
  <si>
    <t>103 Woodside Place</t>
  </si>
  <si>
    <t>travisandspring@gmail.com</t>
  </si>
  <si>
    <t>wnathanengland@gmail.com</t>
  </si>
  <si>
    <t>England</t>
  </si>
  <si>
    <t>Nathan England</t>
  </si>
  <si>
    <t>1895 Quisenberrry Road</t>
  </si>
  <si>
    <t>scottraches@yahoo.com</t>
  </si>
  <si>
    <t>braydensraches@gmail.com</t>
  </si>
  <si>
    <t>zachary.mcmillan2002@gmail.com</t>
  </si>
  <si>
    <t>Zachary McMillan</t>
  </si>
  <si>
    <t>19122 2325 RD</t>
  </si>
  <si>
    <t>zewilliams100@gmail.com</t>
  </si>
  <si>
    <t>Zoe Williams</t>
  </si>
  <si>
    <t>soph.mccrackin@gmail.com</t>
  </si>
  <si>
    <t>Sophia McCrackin</t>
  </si>
  <si>
    <t>21261 Uintah Rd</t>
  </si>
  <si>
    <t>1710 Taylor Dr.</t>
  </si>
  <si>
    <t>jlkoesters@gmail.com</t>
  </si>
  <si>
    <t>tituskoesters@gmail.com</t>
  </si>
  <si>
    <t>Koesters</t>
  </si>
  <si>
    <t>Titus Koesters</t>
  </si>
  <si>
    <t>1504 Lafayette Court</t>
  </si>
  <si>
    <t>smhayes864@gmail.com</t>
  </si>
  <si>
    <t>hayesmorgan296@gmail.com</t>
  </si>
  <si>
    <t>Morgan Hayes</t>
  </si>
  <si>
    <t>105 Turben Ct</t>
  </si>
  <si>
    <t>lianastovall@gmail.com</t>
  </si>
  <si>
    <t>1 China Moon</t>
  </si>
  <si>
    <t>jennifernrichmond@gmail.com</t>
  </si>
  <si>
    <t>cam4kstudio@gmail.com</t>
  </si>
  <si>
    <t>Austin Richmond</t>
  </si>
  <si>
    <t>3901 Springfield St</t>
  </si>
  <si>
    <t>alisonryan@me.com</t>
  </si>
  <si>
    <t>juliaryantx@me.com</t>
  </si>
  <si>
    <t>Julia Ryan</t>
  </si>
  <si>
    <t>3813 Agape Lane</t>
  </si>
  <si>
    <t>kjwink@students.unwsp.edu</t>
  </si>
  <si>
    <t>Karah Wink</t>
  </si>
  <si>
    <t>call619@me.com</t>
  </si>
  <si>
    <t>Haleigh Call</t>
  </si>
  <si>
    <t>209 Ricelan Drive</t>
  </si>
  <si>
    <t>tracidperry@gmail.com</t>
  </si>
  <si>
    <t>taylorbperry127@gmail.com</t>
  </si>
  <si>
    <t>Taylor Perry</t>
  </si>
  <si>
    <t>5037 Private Road 8948</t>
  </si>
  <si>
    <t>sophiazellars@gmail.com</t>
  </si>
  <si>
    <t>Zellars</t>
  </si>
  <si>
    <t>Sophie Zellars</t>
  </si>
  <si>
    <t>2002 Sycamore Dr.</t>
  </si>
  <si>
    <t>skaffkk@yahoo.com</t>
  </si>
  <si>
    <t>bambaskaff2@gmail.com</t>
  </si>
  <si>
    <t>Kassandra</t>
  </si>
  <si>
    <t>Kassandra Skaff</t>
  </si>
  <si>
    <t>PO Box 622</t>
  </si>
  <si>
    <t>brinkleybash@gmail.com</t>
  </si>
  <si>
    <t>Brinkley Bash</t>
  </si>
  <si>
    <t>stacielynndavid@gmail.com</t>
  </si>
  <si>
    <t>jaxkdavid@gmail.com</t>
  </si>
  <si>
    <t>Jaxon</t>
  </si>
  <si>
    <t>Jaxon David</t>
  </si>
  <si>
    <t>1088 Blackjack Rd.</t>
  </si>
  <si>
    <t>Valley View</t>
  </si>
  <si>
    <t>jennifer@thinkredrocket.com</t>
  </si>
  <si>
    <t>ebryant297@gmail.com</t>
  </si>
  <si>
    <t>Eleonor</t>
  </si>
  <si>
    <t>Eleonor Bryant</t>
  </si>
  <si>
    <t>318 Elm Street</t>
  </si>
  <si>
    <t>csshrake@mncomm.com</t>
  </si>
  <si>
    <t>Hamiltonjamilton1800@gmail.com</t>
  </si>
  <si>
    <t>28667 Ponderosa St</t>
  </si>
  <si>
    <t>dassahj03@comcast.net</t>
  </si>
  <si>
    <t>Hadassah Holder</t>
  </si>
  <si>
    <t>15555 gadsden drive</t>
  </si>
  <si>
    <t>brighton</t>
  </si>
  <si>
    <t>justgraves04@gmail.com</t>
  </si>
  <si>
    <t>Justina</t>
  </si>
  <si>
    <t>Justina Graves</t>
  </si>
  <si>
    <t>390 Pioneer Way</t>
  </si>
  <si>
    <t>kaelaschultz18@gmail.com</t>
  </si>
  <si>
    <t>Kaela Schultz</t>
  </si>
  <si>
    <t>875 8th Ave NE</t>
  </si>
  <si>
    <t>shall479@yahoo.com</t>
  </si>
  <si>
    <t>Kylan</t>
  </si>
  <si>
    <t>Kylan Hall</t>
  </si>
  <si>
    <t>2286 County Road 6300</t>
  </si>
  <si>
    <t>leoanna@comcast.net</t>
  </si>
  <si>
    <t>lucyjwells@icloud.com</t>
  </si>
  <si>
    <t>Lucinda Wells</t>
  </si>
  <si>
    <t>6935 Black Fox Lane</t>
  </si>
  <si>
    <t>michelle@cobban5.com</t>
  </si>
  <si>
    <t>Kelly@cobban5.com</t>
  </si>
  <si>
    <t>Kelly Cobban</t>
  </si>
  <si>
    <t>amykamm@gmail.com</t>
  </si>
  <si>
    <t>nickleekamm@gmail.com</t>
  </si>
  <si>
    <t>Kammerzell</t>
  </si>
  <si>
    <t>Nicholas Kammerzell</t>
  </si>
  <si>
    <t>1862 Bakers Mill Rd</t>
  </si>
  <si>
    <t>emily@slagle.cc</t>
  </si>
  <si>
    <t>Emily Slagle</t>
  </si>
  <si>
    <t>6390 Fox Creek Dr</t>
  </si>
  <si>
    <t>hannahjkuo@gmail.com</t>
  </si>
  <si>
    <t>Hannah Kuo</t>
  </si>
  <si>
    <t>1128 Summerwings Ct.</t>
  </si>
  <si>
    <t>mammamission@gmail.com</t>
  </si>
  <si>
    <t>anialator04@gmail.com</t>
  </si>
  <si>
    <t>Ania Christopher</t>
  </si>
  <si>
    <t>5106 US HWY 160</t>
  </si>
  <si>
    <t>jax.feeback@yahoo.com</t>
  </si>
  <si>
    <t>Jax.feeback@yahoo.com</t>
  </si>
  <si>
    <t>Feeback</t>
  </si>
  <si>
    <t>Jackson Feeback</t>
  </si>
  <si>
    <t>309 Silverton Way</t>
  </si>
  <si>
    <t>allison.maurer@att.net</t>
  </si>
  <si>
    <t>ashleymaurer9@gmail.com</t>
  </si>
  <si>
    <t>Ashley Maurer</t>
  </si>
  <si>
    <t>2203 Briarmead</t>
  </si>
  <si>
    <t>markusmeek@juno.com</t>
  </si>
  <si>
    <t>Sarah Webb</t>
  </si>
  <si>
    <t>6909 N. Farm Road 17</t>
  </si>
  <si>
    <t>Ash Grove</t>
  </si>
  <si>
    <t>kgsfox25@gmail.com</t>
  </si>
  <si>
    <t>Kathryn Scott</t>
  </si>
  <si>
    <t>michaeljvance@hotmail.com</t>
  </si>
  <si>
    <t>lightfurxd@gmail.com</t>
  </si>
  <si>
    <t>Jonah Vance</t>
  </si>
  <si>
    <t>18053 S McCone Ct</t>
  </si>
  <si>
    <t>onefryshy@yahoo.com</t>
  </si>
  <si>
    <t>citrineswan@gmail.com</t>
  </si>
  <si>
    <t>McCawley</t>
  </si>
  <si>
    <t>Eva McCawley</t>
  </si>
  <si>
    <t>7411 Sound Dr</t>
  </si>
  <si>
    <t>Emerald Isle</t>
  </si>
  <si>
    <t>amg12376@gmail.com</t>
  </si>
  <si>
    <t>annegrace520@gmail.com</t>
  </si>
  <si>
    <t>Anne Elias</t>
  </si>
  <si>
    <t>PO BOX 235</t>
  </si>
  <si>
    <t>nshsmith02@gmail.com</t>
  </si>
  <si>
    <t>Noah Smith</t>
  </si>
  <si>
    <t>bergandersswanson@gmail.com</t>
  </si>
  <si>
    <t>Berg Swanson</t>
  </si>
  <si>
    <t>dylethken@mac.com</t>
  </si>
  <si>
    <t>dylangracekennedy@gmail.com</t>
  </si>
  <si>
    <t>Dylan Kennedy</t>
  </si>
  <si>
    <t>2350 Vanreen Drive</t>
  </si>
  <si>
    <t>pjcsimmons@gmail.com</t>
  </si>
  <si>
    <t>samcs304@gmail.com</t>
  </si>
  <si>
    <t>Samuel Simmons</t>
  </si>
  <si>
    <t>304 CK Troxler Road</t>
  </si>
  <si>
    <t>peterezellars@gmail.com</t>
  </si>
  <si>
    <t>Peter Zellars</t>
  </si>
  <si>
    <t>armcfarland4@gmail.com</t>
  </si>
  <si>
    <t>Adrein</t>
  </si>
  <si>
    <t>Adrein McFarland</t>
  </si>
  <si>
    <t>20259 NW 10th St</t>
  </si>
  <si>
    <t>charlottemaysimmons@gmail.com</t>
  </si>
  <si>
    <t>Charlotte Simmons</t>
  </si>
  <si>
    <t>304 CK Troxler Rd.</t>
  </si>
  <si>
    <t>kamoorewp@gmail.com</t>
  </si>
  <si>
    <t>morewp56@gmail.com</t>
  </si>
  <si>
    <t>10519 County Road 9030</t>
  </si>
  <si>
    <t>michellecraigrn@yahoo.com</t>
  </si>
  <si>
    <t>craig22ethan@gmail.com</t>
  </si>
  <si>
    <t>Ethan Craig</t>
  </si>
  <si>
    <t>jerhalan@gmail.com</t>
  </si>
  <si>
    <t>2928 state Route AB</t>
  </si>
  <si>
    <t>karin.westeren@myself.com</t>
  </si>
  <si>
    <t>levi.westeren@gmail.com</t>
  </si>
  <si>
    <t>Levi Westeren</t>
  </si>
  <si>
    <t>7953 Miami Beach Rd NW</t>
  </si>
  <si>
    <t>wackyjgrace@gmail.com</t>
  </si>
  <si>
    <t>Jaquelin</t>
  </si>
  <si>
    <t>Jaquelin Westeren</t>
  </si>
  <si>
    <t>sara@graceselah.com</t>
  </si>
  <si>
    <t>Arseny@notlikethis.net</t>
  </si>
  <si>
    <t>Arseny</t>
  </si>
  <si>
    <t>Poga</t>
  </si>
  <si>
    <t>Arseny Poga</t>
  </si>
  <si>
    <t>2677 Hathaway Rd</t>
  </si>
  <si>
    <t>kyliebmorgan10@gmail.com</t>
  </si>
  <si>
    <t>Kylie Morgan</t>
  </si>
  <si>
    <t>1250 County Road 1355</t>
  </si>
  <si>
    <t>manymannings7@gmail.com</t>
  </si>
  <si>
    <t>Maddox.manning11@outlook.com</t>
  </si>
  <si>
    <t>Maddox Manning</t>
  </si>
  <si>
    <t>dodgejodie2@gmail.com</t>
  </si>
  <si>
    <t>Calebdodge@gmail.com</t>
  </si>
  <si>
    <t>Dodge</t>
  </si>
  <si>
    <t>Caleb Dodge</t>
  </si>
  <si>
    <t>6089 Harney Drive</t>
  </si>
  <si>
    <t>sbennett@lcisd.net</t>
  </si>
  <si>
    <t>allie.benn18@gmail.com</t>
  </si>
  <si>
    <t>Allie Bennett</t>
  </si>
  <si>
    <t>5003 CR 1425</t>
  </si>
  <si>
    <t>mariabrownmusic@gmail.com</t>
  </si>
  <si>
    <t>brown167@gresham.k12.or.us</t>
  </si>
  <si>
    <t>Aiden Brown</t>
  </si>
  <si>
    <t>7130 SE Cottrell Rd.</t>
  </si>
  <si>
    <t>mklamont@verizon.net</t>
  </si>
  <si>
    <t>ashlynlamont@outlook.com</t>
  </si>
  <si>
    <t>Lamont</t>
  </si>
  <si>
    <t>Ashlyn Lamont</t>
  </si>
  <si>
    <t>321 Tuscany Lane</t>
  </si>
  <si>
    <t>amickelson04@gmail.com</t>
  </si>
  <si>
    <t>Aubrey Mickelson</t>
  </si>
  <si>
    <t>andyandjenwilson@gmail.com</t>
  </si>
  <si>
    <t>mr.sir1911@gmail.com</t>
  </si>
  <si>
    <t>Ken</t>
  </si>
  <si>
    <t>Ken Wilson</t>
  </si>
  <si>
    <t>7411 SE Cottrell Road</t>
  </si>
  <si>
    <t>chloeburgett@gmail.com</t>
  </si>
  <si>
    <t>Chloe Burgett</t>
  </si>
  <si>
    <t>4410 NW 19th Ave</t>
  </si>
  <si>
    <t>koalaroo96@hotmail.com</t>
  </si>
  <si>
    <t>noeljoyr3@gmail.com</t>
  </si>
  <si>
    <t>Noelani Rediger</t>
  </si>
  <si>
    <t>240 Stuart Drive</t>
  </si>
  <si>
    <t>nellavanilla13@icloud.com</t>
  </si>
  <si>
    <t>Ava McLamb</t>
  </si>
  <si>
    <t>1430 Old Honeycutt Rd.</t>
  </si>
  <si>
    <t>inesiamartinez@gmail.com</t>
  </si>
  <si>
    <t>Inesia</t>
  </si>
  <si>
    <t>Inesia Martinez</t>
  </si>
  <si>
    <t>1171 Ptarmigan Dr.</t>
  </si>
  <si>
    <t>11115 Daley Cir.</t>
  </si>
  <si>
    <t>kcoburng@gmail.com</t>
  </si>
  <si>
    <t>Kenneth Gaudet</t>
  </si>
  <si>
    <t>hamiltonpear@gmail.com</t>
  </si>
  <si>
    <t>Grant Pearson</t>
  </si>
  <si>
    <t>6395 Private Rd 2604</t>
  </si>
  <si>
    <t>jadelovejesus@gmail.com</t>
  </si>
  <si>
    <t>Jade Hernandez</t>
  </si>
  <si>
    <t>8620 Sweet Flag Ln</t>
  </si>
  <si>
    <t>carrette@alliancecom.net</t>
  </si>
  <si>
    <t>jtcamo14@gmail.com</t>
  </si>
  <si>
    <t>Carrette</t>
  </si>
  <si>
    <t>Jasper Carrette</t>
  </si>
  <si>
    <t>47742 250th Streett</t>
  </si>
  <si>
    <t>Garretson</t>
  </si>
  <si>
    <t>jeffsulli7@gmail.com</t>
  </si>
  <si>
    <t>Jeffrey Sullivan</t>
  </si>
  <si>
    <t>20391 Highway 65</t>
  </si>
  <si>
    <t>waltandkelli@frontier.com</t>
  </si>
  <si>
    <t>morganeallen@frontier.com</t>
  </si>
  <si>
    <t>Morgan Allen</t>
  </si>
  <si>
    <t>wwears@hotmail.com</t>
  </si>
  <si>
    <t>cjswears1@gmail.com</t>
  </si>
  <si>
    <t>CJ</t>
  </si>
  <si>
    <t>Wears</t>
  </si>
  <si>
    <t>CJ Wears</t>
  </si>
  <si>
    <t>435 W. Crestview</t>
  </si>
  <si>
    <t>kcknapp@liberty.edu</t>
  </si>
  <si>
    <t>kcknapp5@gmail.com</t>
  </si>
  <si>
    <t>Kenyon</t>
  </si>
  <si>
    <t>Kenyon Knapp</t>
  </si>
  <si>
    <t>110 Harmony Lane</t>
  </si>
  <si>
    <t>swissrunner@q.com</t>
  </si>
  <si>
    <t>Trent Born</t>
  </si>
  <si>
    <t>9269 William COdy Dr</t>
  </si>
  <si>
    <t>karie.newton@gmail.com</t>
  </si>
  <si>
    <t>len843@gmail.com</t>
  </si>
  <si>
    <t>Lauren Newton</t>
  </si>
  <si>
    <t>5720 S. 169th Street</t>
  </si>
  <si>
    <t>rcterpstra7@gmail.com</t>
  </si>
  <si>
    <t>cassidy@terpstraranch.com</t>
  </si>
  <si>
    <t>Cassidy Terpstra</t>
  </si>
  <si>
    <t>4413 Dagnino Road</t>
  </si>
  <si>
    <t>eleesabet@gmail.com</t>
  </si>
  <si>
    <t>Hayesgabriel2003@gmail.com</t>
  </si>
  <si>
    <t>Gabriel Hayes</t>
  </si>
  <si>
    <t>3921 Brookridge Drive</t>
  </si>
  <si>
    <t>Abbycthomas03@gmail.com</t>
  </si>
  <si>
    <t>Abby Thomas</t>
  </si>
  <si>
    <t>calanstaub7@gmail.com</t>
  </si>
  <si>
    <t>Calan</t>
  </si>
  <si>
    <t>Calan Staub</t>
  </si>
  <si>
    <t>4228 Pleasantburg Drive</t>
  </si>
  <si>
    <t>gv5217@gmail.com</t>
  </si>
  <si>
    <t>andrewjamesestes1@gmail.com</t>
  </si>
  <si>
    <t>1824 Swinton Drive</t>
  </si>
  <si>
    <t>felicitytompkins@msn.com</t>
  </si>
  <si>
    <t>Tompkins</t>
  </si>
  <si>
    <t>Samuel Tompkins</t>
  </si>
  <si>
    <t>raddieann@gmail.com</t>
  </si>
  <si>
    <t>kedgerly04@gmai.com</t>
  </si>
  <si>
    <t>Edgerly</t>
  </si>
  <si>
    <t>Kylee Edgerly</t>
  </si>
  <si>
    <t>3194 SE Osprey Ave</t>
  </si>
  <si>
    <t>goldengraham02@gmail.com</t>
  </si>
  <si>
    <t>Graham Gaylor</t>
  </si>
  <si>
    <t>1602 Para Drive</t>
  </si>
  <si>
    <t>gamoffats@gmail.com</t>
  </si>
  <si>
    <t>gamoffats1@gmail.com</t>
  </si>
  <si>
    <t>Kari</t>
  </si>
  <si>
    <t>Moffat</t>
  </si>
  <si>
    <t>Kari Moffat</t>
  </si>
  <si>
    <t>6436 SE 26th St</t>
  </si>
  <si>
    <t>jolee.a.friesen@gmail.com</t>
  </si>
  <si>
    <t>Jolee</t>
  </si>
  <si>
    <t>Jolee Friesen</t>
  </si>
  <si>
    <t>5 Duster Bay</t>
  </si>
  <si>
    <t>R6W 0B2</t>
  </si>
  <si>
    <t>jms96a@yahoo.com</t>
  </si>
  <si>
    <t>alyssajoy613@gmail.com</t>
  </si>
  <si>
    <t>Alyssa Stevens</t>
  </si>
  <si>
    <t>1711 Brighton Drive</t>
  </si>
  <si>
    <t>baileymwhite@gmail.com</t>
  </si>
  <si>
    <t>Bailey White</t>
  </si>
  <si>
    <t>1498 S. Mockingbird Rd.</t>
  </si>
  <si>
    <t>Ninnekah</t>
  </si>
  <si>
    <t>4everand2wks@sktc.net</t>
  </si>
  <si>
    <t>genevrahamilton@gmail.com</t>
  </si>
  <si>
    <t>Genevra</t>
  </si>
  <si>
    <t>Genevra Hamilton</t>
  </si>
  <si>
    <t>1404 N Estate RD</t>
  </si>
  <si>
    <t>PECK</t>
  </si>
  <si>
    <t>mom5buckles@gmail.com</t>
  </si>
  <si>
    <t>talkingbacon59@gmail.com</t>
  </si>
  <si>
    <t>Hornbuckle</t>
  </si>
  <si>
    <t>Joshua Hornbuckle</t>
  </si>
  <si>
    <t>490 Harrison Road</t>
  </si>
  <si>
    <t>Roebuck</t>
  </si>
  <si>
    <t>dragonfish528491@gmail.com</t>
  </si>
  <si>
    <t>Caleb Hornbuckle</t>
  </si>
  <si>
    <t>490 Hornbuckle</t>
  </si>
  <si>
    <t>sevenelys@gmail.com</t>
  </si>
  <si>
    <t>kdashbooklover@gmail.com</t>
  </si>
  <si>
    <t>Ely</t>
  </si>
  <si>
    <t>Kathleen Ely</t>
  </si>
  <si>
    <t>6421 Northern Red Oak Drive</t>
  </si>
  <si>
    <t>Zeeword1@gmail.com</t>
  </si>
  <si>
    <t>Aubriana</t>
  </si>
  <si>
    <t>Aubriana Zebarth</t>
  </si>
  <si>
    <t>8421 Corona Street</t>
  </si>
  <si>
    <t>louwho1120@gmail.com</t>
  </si>
  <si>
    <t>Lindsey Comer</t>
  </si>
  <si>
    <t>07apman@gmail.com</t>
  </si>
  <si>
    <t>Pauli</t>
  </si>
  <si>
    <t>Alex Pauli</t>
  </si>
  <si>
    <t>25801 w 96th st</t>
  </si>
  <si>
    <t>3431 Plain Field Way</t>
  </si>
  <si>
    <t>galagaviria@gmail.com</t>
  </si>
  <si>
    <t>alex.a.gaviria1018@gmail.com</t>
  </si>
  <si>
    <t>Gaviria</t>
  </si>
  <si>
    <t>Alejandro Gaviria</t>
  </si>
  <si>
    <t>1300 Cantlemere Street</t>
  </si>
  <si>
    <t>buttgeng@gmail.com</t>
  </si>
  <si>
    <t>labordej@yahoo.com</t>
  </si>
  <si>
    <t>aldenlaborde21@marist.com</t>
  </si>
  <si>
    <t>Laborde</t>
  </si>
  <si>
    <t>Alden Laborde</t>
  </si>
  <si>
    <t>970 Fenimore Cir</t>
  </si>
  <si>
    <t>htm4ua@gmail.com</t>
  </si>
  <si>
    <t>Hunter Mason</t>
  </si>
  <si>
    <t>104 Meadow Pond Ln</t>
  </si>
  <si>
    <t>madjbuttermore@gmail.com</t>
  </si>
  <si>
    <t>Madelyn Buttermore</t>
  </si>
  <si>
    <t>16928 Patterson Dr.</t>
  </si>
  <si>
    <t>tyler.reinhardt46@gmail.com</t>
  </si>
  <si>
    <t>Reinhardt</t>
  </si>
  <si>
    <t>Tyler Reinhardt</t>
  </si>
  <si>
    <t>128 Woodlawn Ave</t>
  </si>
  <si>
    <t>micheleshowalter@gmail.com</t>
  </si>
  <si>
    <t>kendashowalter@gmail.com</t>
  </si>
  <si>
    <t>Kenda</t>
  </si>
  <si>
    <t>Kenda Showalter</t>
  </si>
  <si>
    <t>712 Sanhill Dr.</t>
  </si>
  <si>
    <t>SophieKMiller1@gmail.com</t>
  </si>
  <si>
    <t>Sophie Miller</t>
  </si>
  <si>
    <t>14260 W Newberry RD</t>
  </si>
  <si>
    <t>#133</t>
  </si>
  <si>
    <t>Brownlaney747@gmail.com</t>
  </si>
  <si>
    <t>Laney</t>
  </si>
  <si>
    <t>Laney Brown</t>
  </si>
  <si>
    <t>1717 West Montana</t>
  </si>
  <si>
    <t>PO BOX 1065</t>
  </si>
  <si>
    <t>slandy005@gmail.com</t>
  </si>
  <si>
    <t>5yamanes@gmail.com</t>
  </si>
  <si>
    <t>hallie.yamane@gmail.com</t>
  </si>
  <si>
    <t>Yamane</t>
  </si>
  <si>
    <t>Hallie Yamane</t>
  </si>
  <si>
    <t>10539 Endview Dr.</t>
  </si>
  <si>
    <t>Palo Cedro</t>
  </si>
  <si>
    <t>growingingrace4him@gmail.com</t>
  </si>
  <si>
    <t>Tynisha</t>
  </si>
  <si>
    <t>Tynisha Howe</t>
  </si>
  <si>
    <t>P. O. Box 1081</t>
  </si>
  <si>
    <t>jim@thankyouofficers.com</t>
  </si>
  <si>
    <t>bontragerjack99@gmail.com</t>
  </si>
  <si>
    <t>Jackson Bontrager</t>
  </si>
  <si>
    <t>54057 County Road 39</t>
  </si>
  <si>
    <t>Joshandjennib@yahoo.com</t>
  </si>
  <si>
    <t>Abbridges9@gmail.com</t>
  </si>
  <si>
    <t>Alea Bridges</t>
  </si>
  <si>
    <t>805 Cheyenne St.</t>
  </si>
  <si>
    <t>mcarthurcj@hotmail.com</t>
  </si>
  <si>
    <t>Maria McArthur</t>
  </si>
  <si>
    <t>131 S. Melrose Ave</t>
  </si>
  <si>
    <t>sylvia_amador@sbcglobal.net</t>
  </si>
  <si>
    <t>sammy.14amador@gmail.com</t>
  </si>
  <si>
    <t>Amador</t>
  </si>
  <si>
    <t>Samuel Amador</t>
  </si>
  <si>
    <t>2311 S. Trumbull Ave</t>
  </si>
  <si>
    <t>mmiller@vva-musanze.org</t>
  </si>
  <si>
    <t>africaasher2.0@gmail.com</t>
  </si>
  <si>
    <t>Asher Miller</t>
  </si>
  <si>
    <t>BP 94</t>
  </si>
  <si>
    <t>Musanze</t>
  </si>
  <si>
    <t>Rwanda</t>
  </si>
  <si>
    <t>emontague35@gmail.com</t>
  </si>
  <si>
    <t>Eric Montague</t>
  </si>
  <si>
    <t>HC 63 Box 149</t>
  </si>
  <si>
    <t>mamabarth@comcast.net</t>
  </si>
  <si>
    <t>ccardoza@dakota201.com</t>
  </si>
  <si>
    <t>CLAY</t>
  </si>
  <si>
    <t>CARDOZA</t>
  </si>
  <si>
    <t>CLAY CARDOZA</t>
  </si>
  <si>
    <t>751 SEMINOLE DR</t>
  </si>
  <si>
    <t>FREEPORT</t>
  </si>
  <si>
    <t>audrawelsh03@gmail.com</t>
  </si>
  <si>
    <t>Audra</t>
  </si>
  <si>
    <t>Welsh</t>
  </si>
  <si>
    <t>Audra Welsh</t>
  </si>
  <si>
    <t>8623 Talon Dr</t>
  </si>
  <si>
    <t>thud4j@gmail.com</t>
  </si>
  <si>
    <t>Travis Hudson</t>
  </si>
  <si>
    <t>yellowliam@gmail.com</t>
  </si>
  <si>
    <t>William Griffin</t>
  </si>
  <si>
    <t>933 Fulbright Ave.</t>
  </si>
  <si>
    <t>Nvansant10@gmail.com</t>
  </si>
  <si>
    <t>Nathaniel VanSant</t>
  </si>
  <si>
    <t>jackjxnsp@gmail.com</t>
  </si>
  <si>
    <t>Eugene Jackson</t>
  </si>
  <si>
    <t>2707 Carriage Ln</t>
  </si>
  <si>
    <t>caleb.fauth@gmail.com</t>
  </si>
  <si>
    <t>Caleb Fauth</t>
  </si>
  <si>
    <t>7104 Shool Heights Dr</t>
  </si>
  <si>
    <t>jwalk408@gmail.com</t>
  </si>
  <si>
    <t>Walkercason12@gmail.com</t>
  </si>
  <si>
    <t>Cason Walker</t>
  </si>
  <si>
    <t>523 E Ste Maries</t>
  </si>
  <si>
    <t>huntermericle03@gmail.com</t>
  </si>
  <si>
    <t>Mericle</t>
  </si>
  <si>
    <t>Hunter Mericle</t>
  </si>
  <si>
    <t>12361 Johnson St</t>
  </si>
  <si>
    <t>jacobsonsrus@msn.com</t>
  </si>
  <si>
    <t>zane.p.jacobson@gmail.com</t>
  </si>
  <si>
    <t>Peter Zane</t>
  </si>
  <si>
    <t>Peter Zane Jacobson</t>
  </si>
  <si>
    <t>2900 W 114th Ct</t>
  </si>
  <si>
    <t>healingoils@cox.net</t>
  </si>
  <si>
    <t>Lukas.c.wiener@gmail.com</t>
  </si>
  <si>
    <t>Wiener</t>
  </si>
  <si>
    <t>Lukas Wiener</t>
  </si>
  <si>
    <t>6420 E. Gary Rd.</t>
  </si>
  <si>
    <t>ellumsdaine@gmail.com</t>
  </si>
  <si>
    <t>Elizabeth Lumsdaine</t>
  </si>
  <si>
    <t>1173 Oak Haven Rd</t>
  </si>
  <si>
    <t>rowdy6372@gmail.com</t>
  </si>
  <si>
    <t>Rowdy</t>
  </si>
  <si>
    <t>Garoutte</t>
  </si>
  <si>
    <t>Rowdy Garoutte</t>
  </si>
  <si>
    <t>184 Missouri Flat Rd.</t>
  </si>
  <si>
    <t>Shaylee Hipsag</t>
  </si>
  <si>
    <t>duncancyn1010@bellsouth.net</t>
  </si>
  <si>
    <t>Ezra Duncan</t>
  </si>
  <si>
    <t>2678 Dadisman St</t>
  </si>
  <si>
    <t>karinwillhoit@gmail.com</t>
  </si>
  <si>
    <t>natwillhoit@gmail.com</t>
  </si>
  <si>
    <t>willhoit</t>
  </si>
  <si>
    <t>Natalie willhoit</t>
  </si>
  <si>
    <t>3017 Sandi Dr</t>
  </si>
  <si>
    <t>Bentugwell8@gmail.com</t>
  </si>
  <si>
    <t>Benjamin Tugwell</t>
  </si>
  <si>
    <t>4814 Bright Road</t>
  </si>
  <si>
    <t>kathy@lookright.com</t>
  </si>
  <si>
    <t>catalina@lowers.org</t>
  </si>
  <si>
    <t>Catalina</t>
  </si>
  <si>
    <t>Lowers</t>
  </si>
  <si>
    <t>Catalina Lowers</t>
  </si>
  <si>
    <t>540 2nd St. SE</t>
  </si>
  <si>
    <t>izzylowers@gmail.com</t>
  </si>
  <si>
    <t>Isabella Lowers</t>
  </si>
  <si>
    <t>540 2nd St.</t>
  </si>
  <si>
    <t>cbearsadler16@gmail.com</t>
  </si>
  <si>
    <t>Claire Sadler</t>
  </si>
  <si>
    <t>621 Briargate Ln</t>
  </si>
  <si>
    <t>lemasterss@icloud.com</t>
  </si>
  <si>
    <t>Timothy LeMaster</t>
  </si>
  <si>
    <t>elizabeth.sk.fowler@gmail.com</t>
  </si>
  <si>
    <t>Elizabeth Fowler</t>
  </si>
  <si>
    <t>lori4prez@gmail.com</t>
  </si>
  <si>
    <t>cre8ivegrace@gmail.com</t>
  </si>
  <si>
    <t>Grace Floyd</t>
  </si>
  <si>
    <t>10650 N. Devlin Circle</t>
  </si>
  <si>
    <t>allieshovar@gmail.com</t>
  </si>
  <si>
    <t>Allie Shovar</t>
  </si>
  <si>
    <t>1900 Ranch Trail Rd</t>
  </si>
  <si>
    <t>jennicliff@gmail.com</t>
  </si>
  <si>
    <t>eviemcliff@gmail.com</t>
  </si>
  <si>
    <t>Evangeline Cliff</t>
  </si>
  <si>
    <t>7006Forsters Tern Dr</t>
  </si>
  <si>
    <t>reeves_team@cox.net</t>
  </si>
  <si>
    <t>shadowshot959@gmail.com</t>
  </si>
  <si>
    <t>Hannah Reeves</t>
  </si>
  <si>
    <t>brianaurbina29@gmail.com</t>
  </si>
  <si>
    <t>Urbina</t>
  </si>
  <si>
    <t>Briana Urbina</t>
  </si>
  <si>
    <t>802 Slashpine Ct.</t>
  </si>
  <si>
    <t>Moonwalkerjp117@gmail.com</t>
  </si>
  <si>
    <t>Joshua Price</t>
  </si>
  <si>
    <t>17620 Leisure Lake Dr.</t>
  </si>
  <si>
    <t>raegan.ebert03@gmail.com</t>
  </si>
  <si>
    <t>Ebert</t>
  </si>
  <si>
    <t>Raegan Ebert</t>
  </si>
  <si>
    <t>125 Jack Pine Rd NE</t>
  </si>
  <si>
    <t>paulinacrowell@outlook.com</t>
  </si>
  <si>
    <t>paulinayanke@hotmail.com</t>
  </si>
  <si>
    <t>Yanke</t>
  </si>
  <si>
    <t>Christina Yanke</t>
  </si>
  <si>
    <t>1844 Sansone Dr.</t>
  </si>
  <si>
    <t>mmenard@bellsouth.net</t>
  </si>
  <si>
    <t>loganmenard2004@gmail.com</t>
  </si>
  <si>
    <t>Menard</t>
  </si>
  <si>
    <t>Logan Menard</t>
  </si>
  <si>
    <t>200 Knollwood Rd</t>
  </si>
  <si>
    <t>Arcauble@icloud.com</t>
  </si>
  <si>
    <t>Abigail Cauble</t>
  </si>
  <si>
    <t>marshawesttx@yahoo.com</t>
  </si>
  <si>
    <t>bmschaps@gmail.com</t>
  </si>
  <si>
    <t>Sasha (Alexander)</t>
  </si>
  <si>
    <t>Dummer</t>
  </si>
  <si>
    <t>Sasha (Alexander) Dummer</t>
  </si>
  <si>
    <t>2208 Boyd Avenue</t>
  </si>
  <si>
    <t>ara12431@hotmail.com</t>
  </si>
  <si>
    <t>Angela Andreola</t>
  </si>
  <si>
    <t>nspahr@twca.net</t>
  </si>
  <si>
    <t>Spahr</t>
  </si>
  <si>
    <t>Dominic Spahr</t>
  </si>
  <si>
    <t>31 Freestone Pl</t>
  </si>
  <si>
    <t>mmhicks@rrcnet.org</t>
  </si>
  <si>
    <t>mercediesmhicks19@gmail.com</t>
  </si>
  <si>
    <t>Mercedies</t>
  </si>
  <si>
    <t>Mercedies Hicks</t>
  </si>
  <si>
    <t>sbryngelson@twca.net</t>
  </si>
  <si>
    <t>Sebastian Bryngelson</t>
  </si>
  <si>
    <t>3 Player Green Pl</t>
  </si>
  <si>
    <t>madison.frey@twca.net</t>
  </si>
  <si>
    <t>Madison Frey</t>
  </si>
  <si>
    <t>18 Owls Cove Pl</t>
  </si>
  <si>
    <t>tmanswim77@gmail.com</t>
  </si>
  <si>
    <t>sumsumfgl@gmail.com</t>
  </si>
  <si>
    <t>Summer Gehman</t>
  </si>
  <si>
    <t>7496 S Pierce Ct</t>
  </si>
  <si>
    <t>Kristyn Richardson</t>
  </si>
  <si>
    <t>24052 141st Rd</t>
  </si>
  <si>
    <t>scott@goddardconsultingllc.com</t>
  </si>
  <si>
    <t>timothygoddard04@yahoo.com</t>
  </si>
  <si>
    <t>Timothy Goddard</t>
  </si>
  <si>
    <t>327 Davis Streeet</t>
  </si>
  <si>
    <t>marshallpw14@gmail.com</t>
  </si>
  <si>
    <t>Marshall Walker</t>
  </si>
  <si>
    <t>danielmorse@gmx.com</t>
  </si>
  <si>
    <t>lukemorse@gmx.com</t>
  </si>
  <si>
    <t>Luke Morse</t>
  </si>
  <si>
    <t>18213 E Euclid Pl</t>
  </si>
  <si>
    <t>coopamcallister@gmail.com</t>
  </si>
  <si>
    <t>Cooper McAllister</t>
  </si>
  <si>
    <t>casey.quinton@yahoo.com</t>
  </si>
  <si>
    <t>connor.quinton@icloud.com</t>
  </si>
  <si>
    <t>Connor Quinton</t>
  </si>
  <si>
    <t>141 Lolliberry Dr</t>
  </si>
  <si>
    <t>sayhitotara@gmail.com</t>
  </si>
  <si>
    <t>Huth</t>
  </si>
  <si>
    <t>Tara Huth</t>
  </si>
  <si>
    <t>12504 west hoover ave</t>
  </si>
  <si>
    <t>tez.brooks@cru.org</t>
  </si>
  <si>
    <t>jadyntbrooks@icloud.com</t>
  </si>
  <si>
    <t>Jadyn</t>
  </si>
  <si>
    <t>Jadyn Brooks</t>
  </si>
  <si>
    <t>2650 Leoti Drive</t>
  </si>
  <si>
    <t>tiffanyb@westplainsfirst.org</t>
  </si>
  <si>
    <t>Christina Harrell</t>
  </si>
  <si>
    <t>1629 County Rd. 6420</t>
  </si>
  <si>
    <t>Pottersville</t>
  </si>
  <si>
    <t>elenapringle@gmail.com</t>
  </si>
  <si>
    <t>djpringle4@gmail.com</t>
  </si>
  <si>
    <t>Pringle</t>
  </si>
  <si>
    <t>Donovan Pringle</t>
  </si>
  <si>
    <t>9613 Burge Ct</t>
  </si>
  <si>
    <t>coolkitcat300@gmail.com</t>
  </si>
  <si>
    <t>Catalina Pringle</t>
  </si>
  <si>
    <t>nzedge@mac.com</t>
  </si>
  <si>
    <t>silversparrow7274@gmail.com</t>
  </si>
  <si>
    <t>Rumpel</t>
  </si>
  <si>
    <t>Sebastian Rumpel</t>
  </si>
  <si>
    <t>275 Palm Avenue</t>
  </si>
  <si>
    <t>Miami Beach</t>
  </si>
  <si>
    <t>heather.h.long@me.com</t>
  </si>
  <si>
    <t>annaclairelong@icloud.com</t>
  </si>
  <si>
    <t>Anna Long</t>
  </si>
  <si>
    <t>3303 Desert Willow Cove</t>
  </si>
  <si>
    <t>lollylong5@icloud.com</t>
  </si>
  <si>
    <t>Lauren Long</t>
  </si>
  <si>
    <t>gerritroska@gmail.com</t>
  </si>
  <si>
    <t>Gerrit</t>
  </si>
  <si>
    <t>Gerrit Roska</t>
  </si>
  <si>
    <t>sreid@vidalia-city.k12.ga.us</t>
  </si>
  <si>
    <t>addylreid@gmail.com</t>
  </si>
  <si>
    <t>Addyson</t>
  </si>
  <si>
    <t>Addyson Reid</t>
  </si>
  <si>
    <t>860 Joe Hilton Rd</t>
  </si>
  <si>
    <t>crogers141@hotmail.com</t>
  </si>
  <si>
    <t>madelyn.faith.r@gmail.com</t>
  </si>
  <si>
    <t>Madelyn Rogers</t>
  </si>
  <si>
    <t>2600 N 64th St West</t>
  </si>
  <si>
    <t>Muskogee</t>
  </si>
  <si>
    <t>needjacket@gmail.com</t>
  </si>
  <si>
    <t>rhythmbos@gmail.com</t>
  </si>
  <si>
    <t>Jesse Nielsen</t>
  </si>
  <si>
    <t>2021 Walnut Creek Ct</t>
  </si>
  <si>
    <t>preston.mckee01@gmail.com</t>
  </si>
  <si>
    <t>Preston McKee</t>
  </si>
  <si>
    <t>EvanCMorris23@gmail.com</t>
  </si>
  <si>
    <t>evancmorris23@gmail.com</t>
  </si>
  <si>
    <t>14950 S Bradley rd.</t>
  </si>
  <si>
    <t>isanchez0221@gmail.com</t>
  </si>
  <si>
    <t>itamarasanchezz@gmail.com</t>
  </si>
  <si>
    <t>Isabella Sanchez</t>
  </si>
  <si>
    <t>1302 Derbyshire Ct 101</t>
  </si>
  <si>
    <t>caitlynnmaecomstock@gmail.com</t>
  </si>
  <si>
    <t>Caitlynn</t>
  </si>
  <si>
    <t>Comstock</t>
  </si>
  <si>
    <t>Caitlynn Comstock</t>
  </si>
  <si>
    <t>105 Dogwood Trail</t>
  </si>
  <si>
    <t>Shady Shores</t>
  </si>
  <si>
    <t>reachharmony@gmail.com</t>
  </si>
  <si>
    <t>dylanierley@gmail.com</t>
  </si>
  <si>
    <t>Ierley</t>
  </si>
  <si>
    <t>Dylan Ierley</t>
  </si>
  <si>
    <t>1316 E. Krista Way</t>
  </si>
  <si>
    <t>noelle.i@icloud.com</t>
  </si>
  <si>
    <t>Noelle Ierley</t>
  </si>
  <si>
    <t>lizarddragon1054@gmail.com</t>
  </si>
  <si>
    <t>Charles Bruce</t>
  </si>
  <si>
    <t>5333 Walnut Hill Ln</t>
  </si>
  <si>
    <t>slcollier@zoho.com</t>
  </si>
  <si>
    <t>cjcolliler@outlook.com</t>
  </si>
  <si>
    <t>Colby Collier</t>
  </si>
  <si>
    <t>4546 Chapparal Drive</t>
  </si>
  <si>
    <t>jenny.binder@gmail.com</t>
  </si>
  <si>
    <t>jules.binder@gmail.com</t>
  </si>
  <si>
    <t>Binder</t>
  </si>
  <si>
    <t>Juliana Binder</t>
  </si>
  <si>
    <t>21743 Hwy 118</t>
  </si>
  <si>
    <t>koycharee.koy@gmail.com</t>
  </si>
  <si>
    <t>raidan.koy@concordiaacademy.com</t>
  </si>
  <si>
    <t>Raidan</t>
  </si>
  <si>
    <t>Koy</t>
  </si>
  <si>
    <t>Raidan Koy</t>
  </si>
  <si>
    <t>19th Terrace NW</t>
  </si>
  <si>
    <t>kelleyebelly@gmail.com</t>
  </si>
  <si>
    <t>cruzer4427@gmail.com</t>
  </si>
  <si>
    <t>Cruz Gonzalez</t>
  </si>
  <si>
    <t>12291 Ravenna Ave</t>
  </si>
  <si>
    <t>fruitfulvine@me.com</t>
  </si>
  <si>
    <t>micaiahkempf@gmail.com</t>
  </si>
  <si>
    <t>Micaiah Kempf</t>
  </si>
  <si>
    <t>275 Dani Place</t>
  </si>
  <si>
    <t>biancacabralt@hotmail.com</t>
  </si>
  <si>
    <t>Carvalho</t>
  </si>
  <si>
    <t>Bianca Carvalho</t>
  </si>
  <si>
    <t>4551 Tamarind Way</t>
  </si>
  <si>
    <t>karterraine@gmail.com</t>
  </si>
  <si>
    <t>elizabethraine2002@gmail.com</t>
  </si>
  <si>
    <t>Raine</t>
  </si>
  <si>
    <t>Elizabeth Raine</t>
  </si>
  <si>
    <t>2773 E. Mount Etna Drive</t>
  </si>
  <si>
    <t>jmjohnson65@bellsouth.net</t>
  </si>
  <si>
    <t>ejj1015@gmail.com</t>
  </si>
  <si>
    <t>4712 Murfreesboro Rd.</t>
  </si>
  <si>
    <t>harmanart.ph@gmail.com</t>
  </si>
  <si>
    <t>valenzlayla@gmail.com</t>
  </si>
  <si>
    <t>Layla Harman</t>
  </si>
  <si>
    <t>7275 Grand Valley Drive</t>
  </si>
  <si>
    <t>gloriavanderboon@gmail.com</t>
  </si>
  <si>
    <t>Gloria Vander Boon</t>
  </si>
  <si>
    <t>charityvb@sbcglobal.net</t>
  </si>
  <si>
    <t>Charity Vander Boon</t>
  </si>
  <si>
    <t>empalmer2402@gmail.com</t>
  </si>
  <si>
    <t>Empalmer2402@gmail.com</t>
  </si>
  <si>
    <t>Ella Palmer</t>
  </si>
  <si>
    <t>4407 Jackson Dr</t>
  </si>
  <si>
    <t>ruthmwilliams4@gmail.com</t>
  </si>
  <si>
    <t>Ruth Williams</t>
  </si>
  <si>
    <t>sidney@heritagecommunity.org</t>
  </si>
  <si>
    <t>brock</t>
  </si>
  <si>
    <t>caleb brock</t>
  </si>
  <si>
    <t>36056  lake unity nursery rd</t>
  </si>
  <si>
    <t>fruitland park</t>
  </si>
  <si>
    <t>anna brock</t>
  </si>
  <si>
    <t>36056 lake unity nursery rd</t>
  </si>
  <si>
    <t>sjoyall82@gmail.com</t>
  </si>
  <si>
    <t>sjoyall@hotmail.com</t>
  </si>
  <si>
    <t>Johnavon</t>
  </si>
  <si>
    <t>Johnavon Allison</t>
  </si>
  <si>
    <t>255 Circle Drive Ave</t>
  </si>
  <si>
    <t>jamiemburgess7@gmail.com</t>
  </si>
  <si>
    <t>maryelisabeth2002@gmail.com</t>
  </si>
  <si>
    <t>Burgess</t>
  </si>
  <si>
    <t>Mary Burgess</t>
  </si>
  <si>
    <t>4413 Broadway Ave</t>
  </si>
  <si>
    <t>lucastowle@gmail.com</t>
  </si>
  <si>
    <t>Lucas Towle</t>
  </si>
  <si>
    <t>sorbos@mac.com</t>
  </si>
  <si>
    <t>shanehaaken@icloud.com</t>
  </si>
  <si>
    <t>Shane Sorbo</t>
  </si>
  <si>
    <t>9835 Lake Worth Road</t>
  </si>
  <si>
    <t>#16-196</t>
  </si>
  <si>
    <t>brajamor@gmail.com</t>
  </si>
  <si>
    <t>kaylee.morrell32@gmail.com</t>
  </si>
  <si>
    <t>Morrell</t>
  </si>
  <si>
    <t>Kaylee Morrell</t>
  </si>
  <si>
    <t>515 Country Club Dr</t>
  </si>
  <si>
    <t>trisswiss@icloud.com</t>
  </si>
  <si>
    <t>von Gunten</t>
  </si>
  <si>
    <t>Jon von Gunten</t>
  </si>
  <si>
    <t>1133 Lone Oak Drive</t>
  </si>
  <si>
    <t>brandyedgarnichols@gmail.com</t>
  </si>
  <si>
    <t>darthquaider1215@gmail.com</t>
  </si>
  <si>
    <t>Quaid</t>
  </si>
  <si>
    <t>Quaid Nichols</t>
  </si>
  <si>
    <t>1519 Christie Drive</t>
  </si>
  <si>
    <t>hieberts@me.com</t>
  </si>
  <si>
    <t>Carsonh02@icloud.com</t>
  </si>
  <si>
    <t>Carson Hiebert</t>
  </si>
  <si>
    <t>6 Tanglewood St</t>
  </si>
  <si>
    <t>Aydinh04@icloud.com</t>
  </si>
  <si>
    <t>Aydin</t>
  </si>
  <si>
    <t>Aydin Hiebert</t>
  </si>
  <si>
    <t>6 Tanglewood</t>
  </si>
  <si>
    <t>bmjordan1959@icloud.com</t>
  </si>
  <si>
    <t>Beau Jordan</t>
  </si>
  <si>
    <t>mtreckx1@gmail.com</t>
  </si>
  <si>
    <t>mtreckx@gmail.com</t>
  </si>
  <si>
    <t>Loree</t>
  </si>
  <si>
    <t>Reck</t>
  </si>
  <si>
    <t>Loree Reck</t>
  </si>
  <si>
    <t>4010 Night Hawk Rd</t>
  </si>
  <si>
    <t>pjzirretta@gmail.com</t>
  </si>
  <si>
    <t>ljzirretta@student.oakschristian.org</t>
  </si>
  <si>
    <t>Zirretta</t>
  </si>
  <si>
    <t>London Zirretta</t>
  </si>
  <si>
    <t>147 Calle Del Prado</t>
  </si>
  <si>
    <t>pzirretta@student.oakschristian.org</t>
  </si>
  <si>
    <t>Peyton Zirretta</t>
  </si>
  <si>
    <t>czirretta@student.oakschristian.org</t>
  </si>
  <si>
    <t>Caleb Zirretta</t>
  </si>
  <si>
    <t>dodsonhome@comcast.net</t>
  </si>
  <si>
    <t>rachel.dodson@comcast.net</t>
  </si>
  <si>
    <t>Rachel Dodson</t>
  </si>
  <si>
    <t>3350 Barrington Dr</t>
  </si>
  <si>
    <t>West Linn</t>
  </si>
  <si>
    <t>cdendinger@ccu.edu</t>
  </si>
  <si>
    <t>shaytwood20@gmail.com</t>
  </si>
  <si>
    <t>Shaylen</t>
  </si>
  <si>
    <t>Woodberry</t>
  </si>
  <si>
    <t>Shaylen Woodberry</t>
  </si>
  <si>
    <t>2488 W Concord Dr</t>
  </si>
  <si>
    <t>mattdavidpatterson@gmail.com</t>
  </si>
  <si>
    <t>Matthew Patterson</t>
  </si>
  <si>
    <t>5517 78th Street</t>
  </si>
  <si>
    <t>pam.mcgee@gmail.com</t>
  </si>
  <si>
    <t>emmy.mcgee05@gmail.com</t>
  </si>
  <si>
    <t>emerson</t>
  </si>
  <si>
    <t>emerson McGee</t>
  </si>
  <si>
    <t>1330 Rusk</t>
  </si>
  <si>
    <t>hannahlukasik7@gmail.com</t>
  </si>
  <si>
    <t>Lukasik</t>
  </si>
  <si>
    <t>Hannah Lukasik</t>
  </si>
  <si>
    <t>5459 Gene Sarazen Drive</t>
  </si>
  <si>
    <t>curryclaire3@gmail.com</t>
  </si>
  <si>
    <t>Claire Curry</t>
  </si>
  <si>
    <t>balch4@mac.com</t>
  </si>
  <si>
    <t>laurenbalch@wesleyanschool.org</t>
  </si>
  <si>
    <t>Balch</t>
  </si>
  <si>
    <t>Lauren Balch</t>
  </si>
  <si>
    <t>400 Meadow Gate Close</t>
  </si>
  <si>
    <t>megelovett@gmail.com</t>
  </si>
  <si>
    <t>bradleyrdenny@gmail.com</t>
  </si>
  <si>
    <t>Bradley Denny</t>
  </si>
  <si>
    <t>143 Dartmouth St</t>
  </si>
  <si>
    <t>Cjbauer721@gmail.com</t>
  </si>
  <si>
    <t>Christian Bauer</t>
  </si>
  <si>
    <t>Scoutclyde47@gmail.com</t>
  </si>
  <si>
    <t>Scout</t>
  </si>
  <si>
    <t>Scout Clyde</t>
  </si>
  <si>
    <t>St. Francisville</t>
  </si>
  <si>
    <t>lnkeeper3@gmail.com</t>
  </si>
  <si>
    <t>Luke Nielsen</t>
  </si>
  <si>
    <t>sixnewells@verizon.net</t>
  </si>
  <si>
    <t>abelincolnguy7777777@gmail.com</t>
  </si>
  <si>
    <t>Lincoln Newell</t>
  </si>
  <si>
    <t>308 Prowell Drive</t>
  </si>
  <si>
    <t>stephynewell@gmail.com</t>
  </si>
  <si>
    <t>Parker Newell</t>
  </si>
  <si>
    <t>3701 Danforth Dr #1004</t>
  </si>
  <si>
    <t>bhtrimmer@gmail.com</t>
  </si>
  <si>
    <t>PuudDragon@gmail.com</t>
  </si>
  <si>
    <t>Trimmer</t>
  </si>
  <si>
    <t>Lauryn Trimmer</t>
  </si>
  <si>
    <t>130 Calle de la Rosa</t>
  </si>
  <si>
    <t>Killackeys3000@gmail.com</t>
  </si>
  <si>
    <t>killackeys3000@gmail.com</t>
  </si>
  <si>
    <t>Caleb Cole</t>
  </si>
  <si>
    <t>willcholland@gmail.com</t>
  </si>
  <si>
    <t>William Holland</t>
  </si>
  <si>
    <t>margesonfamily@gmail.com</t>
  </si>
  <si>
    <t>tristanmargeson@gmail.com</t>
  </si>
  <si>
    <t>Margeson</t>
  </si>
  <si>
    <t>Tristan Margeson</t>
  </si>
  <si>
    <t>wintershield23@gmail.com</t>
  </si>
  <si>
    <t>Jonathan Scroggins</t>
  </si>
  <si>
    <t>2116 Grayson Rd</t>
  </si>
  <si>
    <t>gecko618@yahoo.com</t>
  </si>
  <si>
    <t>Dmartinez22@wcsmiami.org</t>
  </si>
  <si>
    <t>Dante</t>
  </si>
  <si>
    <t>Dante Martinez</t>
  </si>
  <si>
    <t>8361 SW 153 St</t>
  </si>
  <si>
    <t>Palmetto Bay</t>
  </si>
  <si>
    <t>ariastubblefield@gmail.com</t>
  </si>
  <si>
    <t>Aria</t>
  </si>
  <si>
    <t>Stubblefield</t>
  </si>
  <si>
    <t>Aria Stubblefield</t>
  </si>
  <si>
    <t>1805 Sunset Drive</t>
  </si>
  <si>
    <t>amy.snider38@yahoo.com</t>
  </si>
  <si>
    <t>emmasnider13@gmail.com</t>
  </si>
  <si>
    <t>Emma Snider</t>
  </si>
  <si>
    <t>223 Aspen Trl</t>
  </si>
  <si>
    <t>pmsoccerartist@gmail.com</t>
  </si>
  <si>
    <t>Sarkisian</t>
  </si>
  <si>
    <t>Presley Sarkisian</t>
  </si>
  <si>
    <t>4393-2 White Street</t>
  </si>
  <si>
    <t>Fort Wainwright</t>
  </si>
  <si>
    <t>samuelhilgeman@gmail.com</t>
  </si>
  <si>
    <t>Samuel Hilgeman</t>
  </si>
  <si>
    <t>3961 St. Rt. 132</t>
  </si>
  <si>
    <t>PO BOX 385</t>
  </si>
  <si>
    <t>hellomynameisalynn@gmail.com</t>
  </si>
  <si>
    <t>Paige Hughes</t>
  </si>
  <si>
    <t>436 Clydebank Dr</t>
  </si>
  <si>
    <t>troyandmarsha@yahoo.com</t>
  </si>
  <si>
    <t>jessalyn1607@gmail.com</t>
  </si>
  <si>
    <t>Jessalyn</t>
  </si>
  <si>
    <t>Jessalyn Cummings</t>
  </si>
  <si>
    <t>323 West Main St</t>
  </si>
  <si>
    <t>sophijoy24@gmail.com</t>
  </si>
  <si>
    <t>Sophi</t>
  </si>
  <si>
    <t>Sophi Diehl</t>
  </si>
  <si>
    <t>406 Maple Dr.</t>
  </si>
  <si>
    <t>brook.anderson559@gmail.com</t>
  </si>
  <si>
    <t>Brooklynn Anderson</t>
  </si>
  <si>
    <t>19106 Southport dr.</t>
  </si>
  <si>
    <t>kimpiett@hotmail.com</t>
  </si>
  <si>
    <t>Piett</t>
  </si>
  <si>
    <t>Benjamin Piett</t>
  </si>
  <si>
    <t>206 Hannah Drive</t>
  </si>
  <si>
    <t>Whitinsville</t>
  </si>
  <si>
    <t>chuckbill04@outlook.com</t>
  </si>
  <si>
    <t>Charles Slater</t>
  </si>
  <si>
    <t>6553 Clark</t>
  </si>
  <si>
    <t>juliejp@me.com</t>
  </si>
  <si>
    <t>Herbst</t>
  </si>
  <si>
    <t>Max Herbst</t>
  </si>
  <si>
    <t>4501 North Ocean Blvd.</t>
  </si>
  <si>
    <t>Unit 6</t>
  </si>
  <si>
    <t>Kalmartindale5@gmail.com</t>
  </si>
  <si>
    <t>Kallie Martindale</t>
  </si>
  <si>
    <t>psawyers21@yahoo.com</t>
  </si>
  <si>
    <t>Paul Sawyers</t>
  </si>
  <si>
    <t>byoungbnice@yahoo.com</t>
  </si>
  <si>
    <t>David Young</t>
  </si>
  <si>
    <t>869 W Chestnut Circle</t>
  </si>
  <si>
    <t>beattyd001@hawaii.rr.com</t>
  </si>
  <si>
    <t>sparky89014@gmail.com</t>
  </si>
  <si>
    <t>Daniel Beatty</t>
  </si>
  <si>
    <t>45-122 Alina Pl.</t>
  </si>
  <si>
    <t>Kaneohe</t>
  </si>
  <si>
    <t>dougrblackjr@gmail.com</t>
  </si>
  <si>
    <t>lahelablack@gmail.com</t>
  </si>
  <si>
    <t>Lahela</t>
  </si>
  <si>
    <t>Lahela Black</t>
  </si>
  <si>
    <t>15 Nightingale Trail</t>
  </si>
  <si>
    <t>Enon</t>
  </si>
  <si>
    <t>jeffjenaustin@yahoo.com</t>
  </si>
  <si>
    <t>mercyelizabethaustin@gmail.com</t>
  </si>
  <si>
    <t>Mercy Austin</t>
  </si>
  <si>
    <t>2572 Cardigan Drive</t>
  </si>
  <si>
    <t>hunter.beshears21@gmail.com</t>
  </si>
  <si>
    <t>Hunter Beshears</t>
  </si>
  <si>
    <t>rileyloufreeland@yahoo.com</t>
  </si>
  <si>
    <t>Riley Freeland</t>
  </si>
  <si>
    <t>P.O Box 139</t>
  </si>
  <si>
    <t>23630 Wisehart Rd</t>
  </si>
  <si>
    <t>Caputa</t>
  </si>
  <si>
    <t>markwood121@gmail.com</t>
  </si>
  <si>
    <t>mattboom04@gmail.com</t>
  </si>
  <si>
    <t>Matthew Wood</t>
  </si>
  <si>
    <t>1106 Crestwood Dr</t>
  </si>
  <si>
    <t>carolyn.tye@cox.net</t>
  </si>
  <si>
    <t>belli03.at@gmail.com</t>
  </si>
  <si>
    <t>Tye</t>
  </si>
  <si>
    <t>Allison Tye</t>
  </si>
  <si>
    <t>151 Alpine Drive</t>
  </si>
  <si>
    <t>h.e.murphy03@gmail.com</t>
  </si>
  <si>
    <t>Hannah Murphy</t>
  </si>
  <si>
    <t>17562 Lethridge Circle</t>
  </si>
  <si>
    <t>Round Hill</t>
  </si>
  <si>
    <t>bethany2.taullie2@swink.k12.co.us</t>
  </si>
  <si>
    <t>Taullie</t>
  </si>
  <si>
    <t>Bethany Taullie</t>
  </si>
  <si>
    <t>4 College Court</t>
  </si>
  <si>
    <t>lynnlwhitney@hotmail.com</t>
  </si>
  <si>
    <t>calebiw414@gmail.com</t>
  </si>
  <si>
    <t>Caleb Whitney</t>
  </si>
  <si>
    <t>159 Oakwood Drive</t>
  </si>
  <si>
    <t>immaroszhart@gmail.com</t>
  </si>
  <si>
    <t>Sarah Roszhart</t>
  </si>
  <si>
    <t>kellfam7@sbcglobal.net</t>
  </si>
  <si>
    <t>keller.bekah12@gmail.com</t>
  </si>
  <si>
    <t>Rebekah Keller</t>
  </si>
  <si>
    <t>2727 Stormlake Dr</t>
  </si>
  <si>
    <t>leslie@affordablefamilycottages.com</t>
  </si>
  <si>
    <t>Luke Carpenter</t>
  </si>
  <si>
    <t>6097 Hubbard Rd</t>
  </si>
  <si>
    <t>Jacob Carpenter</t>
  </si>
  <si>
    <t>sarahrider01@gmail.com</t>
  </si>
  <si>
    <t>115 North Union Street</t>
  </si>
  <si>
    <t>Apt 1</t>
  </si>
  <si>
    <t>teamkanoy@gmail.com</t>
  </si>
  <si>
    <t>jakfootball03@gmail.com</t>
  </si>
  <si>
    <t>Kanoy</t>
  </si>
  <si>
    <t>Josiah Kanoy</t>
  </si>
  <si>
    <t>8313 Old Mill Road</t>
  </si>
  <si>
    <t>jbinder@squawcreek.net</t>
  </si>
  <si>
    <t>annacdavis23@gmail.com</t>
  </si>
  <si>
    <t>Anna Davis</t>
  </si>
  <si>
    <t>230 Park Place Ct</t>
  </si>
  <si>
    <t>ckeyston@yahoo.com</t>
  </si>
  <si>
    <t>Keyston</t>
  </si>
  <si>
    <t>Jacob Keyston</t>
  </si>
  <si>
    <t>7752 Thayer Road</t>
  </si>
  <si>
    <t>wieganda748@gmail.com</t>
  </si>
  <si>
    <t>alexandra</t>
  </si>
  <si>
    <t>wiegand</t>
  </si>
  <si>
    <t>alexandra wiegand</t>
  </si>
  <si>
    <t>2514 s. rifle st</t>
  </si>
  <si>
    <t>allisonbrister@yahoo.com</t>
  </si>
  <si>
    <t>Ameliabrister1@yahoo.com</t>
  </si>
  <si>
    <t>Brister</t>
  </si>
  <si>
    <t>Amelia Brister</t>
  </si>
  <si>
    <t>126 blue ridge lane</t>
  </si>
  <si>
    <t>Ellacinman@gmail.com</t>
  </si>
  <si>
    <t>Ella Inman</t>
  </si>
  <si>
    <t>2812 Foxxwood Dr</t>
  </si>
  <si>
    <t>karrierock@gmail.com</t>
  </si>
  <si>
    <t>sailor.rooley@gmail.com</t>
  </si>
  <si>
    <t>Sailor</t>
  </si>
  <si>
    <t>Rooley</t>
  </si>
  <si>
    <t>Sailor Rooley</t>
  </si>
  <si>
    <t>602 Tidesridge Court</t>
  </si>
  <si>
    <t>lewis.thayer@msicentral.net</t>
  </si>
  <si>
    <t>blockheadmcgrizz@gmail.com</t>
  </si>
  <si>
    <t>Zachary Thayer</t>
  </si>
  <si>
    <t>1497 old military Rd SE</t>
  </si>
  <si>
    <t>TENINO</t>
  </si>
  <si>
    <t>MonicaShea@tadmcclellan.com</t>
  </si>
  <si>
    <t>alex@tadmcclellan.com</t>
  </si>
  <si>
    <t>McClellan</t>
  </si>
  <si>
    <t>Alexander McClellan</t>
  </si>
  <si>
    <t>4308 Cherokee Dr</t>
  </si>
  <si>
    <t>humehawk13@gmail.com</t>
  </si>
  <si>
    <t>16555 E. Prairie Wind Ave</t>
  </si>
  <si>
    <t>ls.cargo426@gmail.com</t>
  </si>
  <si>
    <t>arose.cargo@gmail.com</t>
  </si>
  <si>
    <t>Cargo</t>
  </si>
  <si>
    <t>Abigail Cargo</t>
  </si>
  <si>
    <t>426 Olde Farm Rd</t>
  </si>
  <si>
    <t>jmat.cargo@gmail.com</t>
  </si>
  <si>
    <t>Jacob Cargo</t>
  </si>
  <si>
    <t>katherinejdoyle@gmail.com</t>
  </si>
  <si>
    <t>mgdoyle2018@gmail.com</t>
  </si>
  <si>
    <t>Madelyn Doyle</t>
  </si>
  <si>
    <t>116 Farmington Drive</t>
  </si>
  <si>
    <t>dlhogenson@gmail.com</t>
  </si>
  <si>
    <t>NeverQuitD@gmail.com</t>
  </si>
  <si>
    <t>Hogenson</t>
  </si>
  <si>
    <t>Daniel Hogenson</t>
  </si>
  <si>
    <t>936 New Holland Drive</t>
  </si>
  <si>
    <t>flightoftheflamcon14@gmail.com</t>
  </si>
  <si>
    <t>Ian Ciampi</t>
  </si>
  <si>
    <t>walker5pbjs@gmail.com</t>
  </si>
  <si>
    <t>walker5Sarah@gmail.com</t>
  </si>
  <si>
    <t>Sarah Walker</t>
  </si>
  <si>
    <t>chuck@ctilegacy.com</t>
  </si>
  <si>
    <t>kendra.blay03@gmail.com</t>
  </si>
  <si>
    <t>Blaylock</t>
  </si>
  <si>
    <t>Kendra Blaylock</t>
  </si>
  <si>
    <t>10957 County Road 670</t>
  </si>
  <si>
    <t>Blue Ridge</t>
  </si>
  <si>
    <t>eks201@hotmail.com</t>
  </si>
  <si>
    <t>E. Katherine</t>
  </si>
  <si>
    <t>E. Katherine Snyder</t>
  </si>
  <si>
    <t>201 e pomfret st</t>
  </si>
  <si>
    <t>carlisle</t>
  </si>
  <si>
    <t>sara@bozemanmaze.com</t>
  </si>
  <si>
    <t>breezydaysm@gmail.com</t>
  </si>
  <si>
    <t>Sabrina Mandeville</t>
  </si>
  <si>
    <t>626 Milestone Dr.</t>
  </si>
  <si>
    <t>wendi.ccsurprise1@gmail.com</t>
  </si>
  <si>
    <t>Emiluwhoballerina@gmail.com</t>
  </si>
  <si>
    <t>musicalrose03@gmail.com</t>
  </si>
  <si>
    <t>6495 Happy Canyon Rd Apt 37</t>
  </si>
  <si>
    <t>austin.chapman05@gmail.com</t>
  </si>
  <si>
    <t>Austin Chapman</t>
  </si>
  <si>
    <t>rn.betty@gmail.com</t>
  </si>
  <si>
    <t>ryry.mains@gmail.com</t>
  </si>
  <si>
    <t>Ryan Mains</t>
  </si>
  <si>
    <t>1408 Mill Creek Rd</t>
  </si>
  <si>
    <t>dbrewer07@centurytel.net</t>
  </si>
  <si>
    <t>meganb1590@gmail.com</t>
  </si>
  <si>
    <t>Megan Brewer</t>
  </si>
  <si>
    <t>1216 Tennessee Rd</t>
  </si>
  <si>
    <t>emilyeccleston180@gmail.com</t>
  </si>
  <si>
    <t>Eccleston</t>
  </si>
  <si>
    <t>Emily Eccleston</t>
  </si>
  <si>
    <t>1140 Pallisades Drive</t>
  </si>
  <si>
    <t>lydialwy0116@gmail.com</t>
  </si>
  <si>
    <t>Wing Yan Lydia</t>
  </si>
  <si>
    <t>Wing Yan Lydia Lai</t>
  </si>
  <si>
    <t>12587 W 1st Pl. #12</t>
  </si>
  <si>
    <t>socoleman@augusta.edu</t>
  </si>
  <si>
    <t>Sophia Coleman</t>
  </si>
  <si>
    <t>210 Blue Ridge Ct</t>
  </si>
  <si>
    <t>jennandtay25@gmail.com</t>
  </si>
  <si>
    <t>margaretwjoseph@gmail.com</t>
  </si>
  <si>
    <t>Margaret Joseph</t>
  </si>
  <si>
    <t>3006 Lake Forest Drive</t>
  </si>
  <si>
    <t>lukearabie04@gmail.com</t>
  </si>
  <si>
    <t>Luke Arabie</t>
  </si>
  <si>
    <t>649 Cleveland Street</t>
  </si>
  <si>
    <t>taliah.karis@gmail.com</t>
  </si>
  <si>
    <t>Taliah</t>
  </si>
  <si>
    <t>Trimble</t>
  </si>
  <si>
    <t>Taliah Trimble</t>
  </si>
  <si>
    <t>63 Ave 10</t>
  </si>
  <si>
    <t>Stapleton</t>
  </si>
  <si>
    <t>captaincrusherz@gmail.com</t>
  </si>
  <si>
    <t>Jack Posey</t>
  </si>
  <si>
    <t>52337 Johnson Rd.</t>
  </si>
  <si>
    <t>njredhead@att.net</t>
  </si>
  <si>
    <t>ethan.regula@outlook.com</t>
  </si>
  <si>
    <t>Regula</t>
  </si>
  <si>
    <t>Ethan Regula</t>
  </si>
  <si>
    <t>261 Richland Rd</t>
  </si>
  <si>
    <t>jpfashian@gmail.com</t>
  </si>
  <si>
    <t>John Fashian</t>
  </si>
  <si>
    <t>bethanyelianna@gmail.com</t>
  </si>
  <si>
    <t>Bethany Hofer</t>
  </si>
  <si>
    <t>zoehallock@gmail.com</t>
  </si>
  <si>
    <t>Zoe Hallock</t>
  </si>
  <si>
    <t>7620 S Lost Ranger Peak</t>
  </si>
  <si>
    <t>abakirane1282@gmail.com</t>
  </si>
  <si>
    <t>Abakirane1282@gmail.com</t>
  </si>
  <si>
    <t>Adele</t>
  </si>
  <si>
    <t>Bakirane</t>
  </si>
  <si>
    <t>Adele Bakirane</t>
  </si>
  <si>
    <t>4018 N 70th St</t>
  </si>
  <si>
    <t>sorellian-surf@yahoo.com</t>
  </si>
  <si>
    <t>ampknauper258@gmail.com</t>
  </si>
  <si>
    <t>Knauper</t>
  </si>
  <si>
    <t>Alexandra Knauper</t>
  </si>
  <si>
    <t>5852 Hidden Creek Dr</t>
  </si>
  <si>
    <t>samuel.soblessed@gmail.com</t>
  </si>
  <si>
    <t>samuelisdabomb333@gmail.com</t>
  </si>
  <si>
    <t>Samuel Schneider</t>
  </si>
  <si>
    <t>1518 10th street S</t>
  </si>
  <si>
    <t>Nathanfb82@gmail.com</t>
  </si>
  <si>
    <t>jacksoncrew@att.net</t>
  </si>
  <si>
    <t>jacksonjer27@gmail.com</t>
  </si>
  <si>
    <t>Jeremiah Jackson</t>
  </si>
  <si>
    <t>1811 Highway 26</t>
  </si>
  <si>
    <t>ebplumbingnc@gmail.com</t>
  </si>
  <si>
    <t>tbrock436@gmail.com</t>
  </si>
  <si>
    <t>Tyler Brock</t>
  </si>
  <si>
    <t>180 Cinder Cross Way</t>
  </si>
  <si>
    <t>teri@sketchlearning.com</t>
  </si>
  <si>
    <t>alice@kidagility.com</t>
  </si>
  <si>
    <t>Alice Johnson</t>
  </si>
  <si>
    <t>303 Verlin DR</t>
  </si>
  <si>
    <t>benaiahdolence@hotmail.com</t>
  </si>
  <si>
    <t>Dolence</t>
  </si>
  <si>
    <t>Benaiah Dolence</t>
  </si>
  <si>
    <t>15 Foothills Ln</t>
  </si>
  <si>
    <t>Lander</t>
  </si>
  <si>
    <t>sarahrenay4jc1@gmail.com</t>
  </si>
  <si>
    <t>Mullisen</t>
  </si>
  <si>
    <t>Sarah Mullisen</t>
  </si>
  <si>
    <t>107 Econome Ct</t>
  </si>
  <si>
    <t>dhkljeng@comcast.net</t>
  </si>
  <si>
    <t>john00x98@outlook.com</t>
  </si>
  <si>
    <t>Johnathan English</t>
  </si>
  <si>
    <t>225 Jeano Circle</t>
  </si>
  <si>
    <t>infantinok@gmail.com</t>
  </si>
  <si>
    <t>infantinoe17@gmail.com</t>
  </si>
  <si>
    <t>Infantino</t>
  </si>
  <si>
    <t>Erika Infantino</t>
  </si>
  <si>
    <t>10538 E sheena Dr</t>
  </si>
  <si>
    <t>kmbolling@hotmail.com</t>
  </si>
  <si>
    <t>Kmbolling@hotmail.com</t>
  </si>
  <si>
    <t>Abby Bolling</t>
  </si>
  <si>
    <t>12022 Cobblestone Drive</t>
  </si>
  <si>
    <t>planthope73@gmail.com</t>
  </si>
  <si>
    <t>Julianne Dodson</t>
  </si>
  <si>
    <t>5155 Rolling Springs Dr</t>
  </si>
  <si>
    <t>betdmurphy@gmail.com</t>
  </si>
  <si>
    <t>avesballet@gmail.com</t>
  </si>
  <si>
    <t>Ava Murphy</t>
  </si>
  <si>
    <t>7115 Beatline Rd</t>
  </si>
  <si>
    <t>ffuentes.vw@gmail.com</t>
  </si>
  <si>
    <t>sammymf20@gmail.com</t>
  </si>
  <si>
    <t>fuentes</t>
  </si>
  <si>
    <t>samantha fuentes</t>
  </si>
  <si>
    <t>5613 hirsch cir</t>
  </si>
  <si>
    <t>jacob.mateo.f@gmail.com</t>
  </si>
  <si>
    <t>jacob</t>
  </si>
  <si>
    <t>jacob fuentes</t>
  </si>
  <si>
    <t>bfox3854@gmail.com</t>
  </si>
  <si>
    <t>Hazelfox325@gmail.com</t>
  </si>
  <si>
    <t>Mia Fox</t>
  </si>
  <si>
    <t>9505 San Lucas</t>
  </si>
  <si>
    <t>littlea109@yahoo.com</t>
  </si>
  <si>
    <t>Ashley Little</t>
  </si>
  <si>
    <t>4600 Low Ground Ct</t>
  </si>
  <si>
    <t>emmanuellizardo15@gmail.com</t>
  </si>
  <si>
    <t>Lizardo</t>
  </si>
  <si>
    <t>Emmanuel Lizardo</t>
  </si>
  <si>
    <t>4352 Hunting Trail</t>
  </si>
  <si>
    <t>iwassel04@gmail.com</t>
  </si>
  <si>
    <t>Iwassel04@gmail.com</t>
  </si>
  <si>
    <t>Wassel</t>
  </si>
  <si>
    <t>Isabella Wassel</t>
  </si>
  <si>
    <t>14211 Winterset Drive</t>
  </si>
  <si>
    <t>kate@davison.net</t>
  </si>
  <si>
    <t>Davison</t>
  </si>
  <si>
    <t>Kate Davison</t>
  </si>
  <si>
    <t>389 Crestview Drive</t>
  </si>
  <si>
    <t>abbirose1022@gmail.com</t>
  </si>
  <si>
    <t>whisperingpines.ks@gmail.com</t>
  </si>
  <si>
    <t>narwahl41@gmail.com</t>
  </si>
  <si>
    <t>2749 SE 70th St</t>
  </si>
  <si>
    <t>ens.believe24@gmail.com</t>
  </si>
  <si>
    <t>Elisa Smith</t>
  </si>
  <si>
    <t>edwardsaeden@gmail.com</t>
  </si>
  <si>
    <t>Eden Edwards</t>
  </si>
  <si>
    <t>21812 58th Ave</t>
  </si>
  <si>
    <t>New Virgina</t>
  </si>
  <si>
    <t>kl_schlaak@hotmail.com</t>
  </si>
  <si>
    <t>gracieschlaak@gmail.com</t>
  </si>
  <si>
    <t>Schlaak</t>
  </si>
  <si>
    <t>Gracie Schlaak</t>
  </si>
  <si>
    <t>3901 Dove Ct. NE</t>
  </si>
  <si>
    <t>trey.marchbanks@gmail.com</t>
  </si>
  <si>
    <t>dmarchbanks@bvcca.com</t>
  </si>
  <si>
    <t>Marchbanks</t>
  </si>
  <si>
    <t>Miner Marchbanks</t>
  </si>
  <si>
    <t>2710 Lakewell Ln</t>
  </si>
  <si>
    <t>chadwidder@gmail.com</t>
  </si>
  <si>
    <t>ceciruthwidder@gmail.com</t>
  </si>
  <si>
    <t>Ceci</t>
  </si>
  <si>
    <t>Widder</t>
  </si>
  <si>
    <t>Ceci Widder</t>
  </si>
  <si>
    <t>6557 Peppergrass Lane</t>
  </si>
  <si>
    <t>abigailbourg3@gmail.com</t>
  </si>
  <si>
    <t>Abigail Bourg</t>
  </si>
  <si>
    <t>melanieevaughan@gmail.com</t>
  </si>
  <si>
    <t>bradenvaughan111@gmail.com</t>
  </si>
  <si>
    <t>Robert Vaughan</t>
  </si>
  <si>
    <t>1924 Dr Sanders Rd</t>
  </si>
  <si>
    <t>ryan@ryanharkins.com</t>
  </si>
  <si>
    <t>Ryan Harkins</t>
  </si>
  <si>
    <t>725 Jaybee Ave</t>
  </si>
  <si>
    <t>courtneylsanforddesign@gmail.com</t>
  </si>
  <si>
    <t>jsanford004@gmail.com</t>
  </si>
  <si>
    <t>Joshua Sanford</t>
  </si>
  <si>
    <t>1109 High Knoll Ct</t>
  </si>
  <si>
    <t>candhamm3@gmail.com</t>
  </si>
  <si>
    <t>lennonh1021@gmail.com</t>
  </si>
  <si>
    <t>Lennon</t>
  </si>
  <si>
    <t>Lennon Hammett</t>
  </si>
  <si>
    <t>1099 Queensgate Drive SE</t>
  </si>
  <si>
    <t>sadielorick@gmail.com</t>
  </si>
  <si>
    <t>Lorick</t>
  </si>
  <si>
    <t>Sadie Lorick</t>
  </si>
  <si>
    <t>573 Rawl Road</t>
  </si>
  <si>
    <t>wdavidsons6@gmail.com</t>
  </si>
  <si>
    <t>willdavidson9595@gmail.com</t>
  </si>
  <si>
    <t>Will Davidson</t>
  </si>
  <si>
    <t>4243 Creek Water Crossing</t>
  </si>
  <si>
    <t>Flowery Branch</t>
  </si>
  <si>
    <t>springrowells@gmail.com</t>
  </si>
  <si>
    <t>laidebug20@gmail.com</t>
  </si>
  <si>
    <t>Adelaide Rowell</t>
  </si>
  <si>
    <t>17 Belle Air Road</t>
  </si>
  <si>
    <t>brewerfamily4@att.net</t>
  </si>
  <si>
    <t>Audreybrew31@gmail.com</t>
  </si>
  <si>
    <t>Audrey Brewer</t>
  </si>
  <si>
    <t>1209 New Hope Rd</t>
  </si>
  <si>
    <t>Stamford</t>
  </si>
  <si>
    <t>rjlowejr@gmail.com</t>
  </si>
  <si>
    <t>rjlowe5453@gmail.com</t>
  </si>
  <si>
    <t>Robert Lowe III</t>
  </si>
  <si>
    <t>880 Lake Royal Dr</t>
  </si>
  <si>
    <t>paulchiles@gmail.com</t>
  </si>
  <si>
    <t>Chiles.madelyn@gmail.com</t>
  </si>
  <si>
    <t>Madelyn Chiles</t>
  </si>
  <si>
    <t>4510 156th St</t>
  </si>
  <si>
    <t>Chippewa Falls</t>
  </si>
  <si>
    <t>larraschwartz@gmail.com</t>
  </si>
  <si>
    <t>Ellieschwartz15@gmail.com</t>
  </si>
  <si>
    <t>Ellie Schwartz</t>
  </si>
  <si>
    <t>2 Pine Valley Rd SW</t>
  </si>
  <si>
    <t>AidanThomasNovels@gmail.com</t>
  </si>
  <si>
    <t>Aidanthomasnovels@gmail.com</t>
  </si>
  <si>
    <t>Aidan Thomas</t>
  </si>
  <si>
    <t>7781 S. Huron Ct</t>
  </si>
  <si>
    <t>bqcern3548@gmail.com</t>
  </si>
  <si>
    <t>Benjamin Cerny</t>
  </si>
  <si>
    <t>5381 Hog Mountain Rd</t>
  </si>
  <si>
    <t>emmafailmezger@gmail.com</t>
  </si>
  <si>
    <t>Failmezger</t>
  </si>
  <si>
    <t>Emmeline Failmezger</t>
  </si>
  <si>
    <t>2038 LakeShoreDr.</t>
  </si>
  <si>
    <t>charlottegyuro@gmail.com</t>
  </si>
  <si>
    <t>Gyuro</t>
  </si>
  <si>
    <t>Charlotte Gyuro</t>
  </si>
  <si>
    <t>7695 Blue Lake Island Rd</t>
  </si>
  <si>
    <t>Minocqua</t>
  </si>
  <si>
    <t>pudgeac@gmail.com</t>
  </si>
  <si>
    <t>Arianna Carranza</t>
  </si>
  <si>
    <t>kaitlincarranza418@gmail.com</t>
  </si>
  <si>
    <t>Kaitlin Carranza</t>
  </si>
  <si>
    <t>hopeef@icloud.com</t>
  </si>
  <si>
    <t>hferrante02@outlook.com</t>
  </si>
  <si>
    <t>Ferrante</t>
  </si>
  <si>
    <t>Hope Ferrante</t>
  </si>
  <si>
    <t>814 candia court</t>
  </si>
  <si>
    <t>rose  hill</t>
  </si>
  <si>
    <t>jacksonh1000@gmail.com</t>
  </si>
  <si>
    <t>Jackson Hoshiko</t>
  </si>
  <si>
    <t>797 Dodge TRL</t>
  </si>
  <si>
    <t>spakeway@yahoo.com</t>
  </si>
  <si>
    <t>pinkhamsterprtincess@gmail.com</t>
  </si>
  <si>
    <t>Spake</t>
  </si>
  <si>
    <t>Katherine Spake</t>
  </si>
  <si>
    <t>70 S. Shawnee Ridge</t>
  </si>
  <si>
    <t>dougandmechel@comcast.net</t>
  </si>
  <si>
    <t>Mwisel22@outlook.com</t>
  </si>
  <si>
    <t>Wisel</t>
  </si>
  <si>
    <t>Matthew Wisel</t>
  </si>
  <si>
    <t>446 Waynebrook Drive</t>
  </si>
  <si>
    <t>laudermilchblessing34@gmail.com</t>
  </si>
  <si>
    <t>wildcatcolton02@gmail.com</t>
  </si>
  <si>
    <t>Colton Womble</t>
  </si>
  <si>
    <t>kimberleigh111902@gmail.com</t>
  </si>
  <si>
    <t>Kimberleigh</t>
  </si>
  <si>
    <t>DeMott</t>
  </si>
  <si>
    <t>Kimberleigh DeMott</t>
  </si>
  <si>
    <t>7600 S SR 3</t>
  </si>
  <si>
    <t>NA</t>
  </si>
  <si>
    <t>South Milford</t>
  </si>
  <si>
    <t>corbettandkerri@hotmail.com</t>
  </si>
  <si>
    <t>iam.isaacmerrill@gmail.com</t>
  </si>
  <si>
    <t>Isaac Merrill</t>
  </si>
  <si>
    <t>593 Chrisman Mill Road</t>
  </si>
  <si>
    <t>jonahgudzinas@gmail.com</t>
  </si>
  <si>
    <t>Gudzinas</t>
  </si>
  <si>
    <t>Jonah Gudzinas</t>
  </si>
  <si>
    <t>79 S Pleasent st</t>
  </si>
  <si>
    <t>sjbox14@gmail.com</t>
  </si>
  <si>
    <t>Boxberger</t>
  </si>
  <si>
    <t>Seth Boxberger</t>
  </si>
  <si>
    <t>1223 N. Brooks</t>
  </si>
  <si>
    <t>students@legacybiblechurchindiana.org</t>
  </si>
  <si>
    <t>jacob.finney1998@gmail.com</t>
  </si>
  <si>
    <t>Finney</t>
  </si>
  <si>
    <t>Jake Finney</t>
  </si>
  <si>
    <t>2623 acton rd</t>
  </si>
  <si>
    <t>hpeshoff@gmail.com</t>
  </si>
  <si>
    <t>john.peshoff@gmail.com</t>
  </si>
  <si>
    <t>Peshoff</t>
  </si>
  <si>
    <t>John Peshoff</t>
  </si>
  <si>
    <t>132 Old Wire Road</t>
  </si>
  <si>
    <t>cotyr72@gmail.com</t>
  </si>
  <si>
    <t>Jack Ragan</t>
  </si>
  <si>
    <t>102 Ulmer Lane</t>
  </si>
  <si>
    <t>Volleyball102002@yahoo.com</t>
  </si>
  <si>
    <t>Hughbanks BM@icloud.com</t>
  </si>
  <si>
    <t>Hughbanks</t>
  </si>
  <si>
    <t>Brandon Hughbanks</t>
  </si>
  <si>
    <t>904 W Rpad 2 South</t>
  </si>
  <si>
    <t>Chino valley</t>
  </si>
  <si>
    <t>oscarismylizard@gmail.com</t>
  </si>
  <si>
    <t>Michael Ryan</t>
  </si>
  <si>
    <t>5300 Rockford Drive</t>
  </si>
  <si>
    <t>sierraosse@gmail.com</t>
  </si>
  <si>
    <t>Osse</t>
  </si>
  <si>
    <t>Sierra Osse</t>
  </si>
  <si>
    <t>benjigw10@gmail.com</t>
  </si>
  <si>
    <t>Benjamin Wachtman</t>
  </si>
  <si>
    <t>261 N. Union St.</t>
  </si>
  <si>
    <t>teyover@gmail.com</t>
  </si>
  <si>
    <t>Melanieeyover@gmail.com</t>
  </si>
  <si>
    <t>Yover</t>
  </si>
  <si>
    <t>Melanie Yover</t>
  </si>
  <si>
    <t>83693 552nd ave</t>
  </si>
  <si>
    <t>katie.gold03@icloud.com</t>
  </si>
  <si>
    <t>Gold</t>
  </si>
  <si>
    <t>Katie Gold</t>
  </si>
  <si>
    <t>524 Apollo Court</t>
  </si>
  <si>
    <t>siouxbaum@yahoo.com</t>
  </si>
  <si>
    <t>nirad2021@gmail.com</t>
  </si>
  <si>
    <t>Baumgartner</t>
  </si>
  <si>
    <t>Darin Baumgartner</t>
  </si>
  <si>
    <t>62262 &amp;36 Rd</t>
  </si>
  <si>
    <t>emmayvonne1@gmail.com</t>
  </si>
  <si>
    <t>Spence</t>
  </si>
  <si>
    <t>Emma Spence</t>
  </si>
  <si>
    <t>535 washington st</t>
  </si>
  <si>
    <t>Dedham</t>
  </si>
  <si>
    <t>garnerd1@citadel.edu</t>
  </si>
  <si>
    <t>Coopergarner02@gmail.com</t>
  </si>
  <si>
    <t>Cooper Garner</t>
  </si>
  <si>
    <t>245 Forest Trl</t>
  </si>
  <si>
    <t>Isle of Palms</t>
  </si>
  <si>
    <t>hunter.currie77@gmail.com</t>
  </si>
  <si>
    <t>Currie</t>
  </si>
  <si>
    <t>Hunter Currie</t>
  </si>
  <si>
    <t>7021 Hwy. 115</t>
  </si>
  <si>
    <t>Saint Landry</t>
  </si>
  <si>
    <t>Carbotennis@gmail.com</t>
  </si>
  <si>
    <t>Carson Stovall</t>
  </si>
  <si>
    <t>tinkerlocks@gmail.com</t>
  </si>
  <si>
    <t>Sierra Holt</t>
  </si>
  <si>
    <t>shannenbogle@yahoo.com</t>
  </si>
  <si>
    <t>Shannen</t>
  </si>
  <si>
    <t>Bogle</t>
  </si>
  <si>
    <t>Shannen Bogle</t>
  </si>
  <si>
    <t>25 custer drive</t>
  </si>
  <si>
    <t>karisb0807@gmail.com</t>
  </si>
  <si>
    <t>Karis Barthelemy</t>
  </si>
  <si>
    <t>1161 Bacon Ridge Rd</t>
  </si>
  <si>
    <t>Crownsville</t>
  </si>
  <si>
    <t>riobischof3@gmail.com</t>
  </si>
  <si>
    <t>Rio Bischof</t>
  </si>
  <si>
    <t>lewisrashonna@hotmail.com</t>
  </si>
  <si>
    <t>Faythlewis@outlook.com</t>
  </si>
  <si>
    <t>Fayth</t>
  </si>
  <si>
    <t>Fayth Lewis</t>
  </si>
  <si>
    <t>1608 Pleasantville dr.</t>
  </si>
  <si>
    <t>Glen Burnie</t>
  </si>
  <si>
    <t>aspireacademykatie@gmail.com</t>
  </si>
  <si>
    <t>Katie Henderson</t>
  </si>
  <si>
    <t>7470 S Upham st</t>
  </si>
  <si>
    <t>djsmyth@datapeople.com</t>
  </si>
  <si>
    <t>slrsmyth@outlook.com</t>
  </si>
  <si>
    <t>Smyth</t>
  </si>
  <si>
    <t>Landry Smyth</t>
  </si>
  <si>
    <t>6904 Sungold Drive</t>
  </si>
  <si>
    <t>cherish.vining@outlook.com</t>
  </si>
  <si>
    <t>Cherish</t>
  </si>
  <si>
    <t>Vining</t>
  </si>
  <si>
    <t>Cherish Vining</t>
  </si>
  <si>
    <t>12821 W 155th St</t>
  </si>
  <si>
    <t>schyler.vining@outlook.com</t>
  </si>
  <si>
    <t>Schyler</t>
  </si>
  <si>
    <t>Schyler Vining</t>
  </si>
  <si>
    <t>margieosborne@me.com</t>
  </si>
  <si>
    <t>eaosborne211@icloud.com</t>
  </si>
  <si>
    <t>Erin Osborne</t>
  </si>
  <si>
    <t>2862 Hazel Foster Dr.</t>
  </si>
  <si>
    <t>emmie211@icloud.com</t>
  </si>
  <si>
    <t>Emily Osborne</t>
  </si>
  <si>
    <t>camdenjaho@gmail.com</t>
  </si>
  <si>
    <t>Camden Aho</t>
  </si>
  <si>
    <t>8689 New Cut Road</t>
  </si>
  <si>
    <t>Campobello</t>
  </si>
  <si>
    <t>saxton4970@gmail.com</t>
  </si>
  <si>
    <t>osa8021@dmcs.org</t>
  </si>
  <si>
    <t>Olivia Saxton</t>
  </si>
  <si>
    <t>1905 NW Sunset Ln</t>
  </si>
  <si>
    <t>the.matthew.reynolds@outlook.com</t>
  </si>
  <si>
    <t>the.hannah.reynolds@outlook.com</t>
  </si>
  <si>
    <t>Hannah Reynolds</t>
  </si>
  <si>
    <t>jjgranitz@sbcglobal.net</t>
  </si>
  <si>
    <t>evegranitz@icloud.com</t>
  </si>
  <si>
    <t>Marcela</t>
  </si>
  <si>
    <t>Granitz</t>
  </si>
  <si>
    <t>Marcela Granitz</t>
  </si>
  <si>
    <t>6648 Flowstone Way</t>
  </si>
  <si>
    <t>nate.axce03@gmail.com</t>
  </si>
  <si>
    <t>Nathanael Axce</t>
  </si>
  <si>
    <t>1806 Briarcrest Dr. NW</t>
  </si>
  <si>
    <t>mikbon1031@yahoo.com</t>
  </si>
  <si>
    <t>audrey.jones@hchs-community.org</t>
  </si>
  <si>
    <t>Audrey Jones</t>
  </si>
  <si>
    <t>304 W. 33rd St.</t>
  </si>
  <si>
    <t>jerry5anderson77@gmail.com</t>
  </si>
  <si>
    <t>laurenhornick122@gmail.com</t>
  </si>
  <si>
    <t>Hornick</t>
  </si>
  <si>
    <t>Lauren Hornick</t>
  </si>
  <si>
    <t>6150 Cheetah Chase</t>
  </si>
  <si>
    <t>liamnelson1717@gmail.com</t>
  </si>
  <si>
    <t>23708 NE Shamrock Ct</t>
  </si>
  <si>
    <t>Wood Village</t>
  </si>
  <si>
    <t>nelsonkonnor47@gmail.com</t>
  </si>
  <si>
    <t>23708 ne shamrock ct</t>
  </si>
  <si>
    <t>woodvillage</t>
  </si>
  <si>
    <t>learncprnow@hotmail.com</t>
  </si>
  <si>
    <t>Ianna</t>
  </si>
  <si>
    <t>Ianna Harrison</t>
  </si>
  <si>
    <t>9461 Vance Ct</t>
  </si>
  <si>
    <t>joshua.gilliland15@gmail.com</t>
  </si>
  <si>
    <t>Joshua Gilliland</t>
  </si>
  <si>
    <t>hmourylotr@gmail.com</t>
  </si>
  <si>
    <t>Moury</t>
  </si>
  <si>
    <t>Hannah Moury</t>
  </si>
  <si>
    <t>208 Fieldstream North Blvd.</t>
  </si>
  <si>
    <t>emyliemills@gmail.com</t>
  </si>
  <si>
    <t>Emylie</t>
  </si>
  <si>
    <t>Emylie Mills</t>
  </si>
  <si>
    <t>terrysherrie@mail.com</t>
  </si>
  <si>
    <t>Lowder</t>
  </si>
  <si>
    <t>Hunter Lowder</t>
  </si>
  <si>
    <t>13658 Hwy 95 W</t>
  </si>
  <si>
    <t>katedforrest@gmail.com</t>
  </si>
  <si>
    <t>777.annabanana@gmail.com</t>
  </si>
  <si>
    <t>Anna Forrest</t>
  </si>
  <si>
    <t>6430 Buffaloberry Lane</t>
  </si>
  <si>
    <t>steveatt2026@att.net</t>
  </si>
  <si>
    <t>lukepiasecki1@gmail.com</t>
  </si>
  <si>
    <t>Piasecki</t>
  </si>
  <si>
    <t>Luke Piasecki</t>
  </si>
  <si>
    <t>1547 Queens Road West</t>
  </si>
  <si>
    <t>lillieaj0101@gmail.com</t>
  </si>
  <si>
    <t>Jaenchen</t>
  </si>
  <si>
    <t>Lillie Jaenchen</t>
  </si>
  <si>
    <t>2515 Bobolink Road</t>
  </si>
  <si>
    <t>jwdykstra@yahoo.com</t>
  </si>
  <si>
    <t>sjdykstra@icloud.com</t>
  </si>
  <si>
    <t>Simon Dykstra</t>
  </si>
  <si>
    <t>N63W28911 Red Tail Ln</t>
  </si>
  <si>
    <t>jacehous@gmail.com</t>
  </si>
  <si>
    <t>kadehous@gmail.com</t>
  </si>
  <si>
    <t>Kade</t>
  </si>
  <si>
    <t>Kade Houston</t>
  </si>
  <si>
    <t>109 Lyndsey Dr</t>
  </si>
  <si>
    <t>kellerhous@gmail.com</t>
  </si>
  <si>
    <t>Keller Houston</t>
  </si>
  <si>
    <t>theosis777@gmail.com</t>
  </si>
  <si>
    <t>dancer4life375@gmail.com</t>
  </si>
  <si>
    <t>Stidham</t>
  </si>
  <si>
    <t>Abigail Stidham</t>
  </si>
  <si>
    <t>1746 Oakview Way</t>
  </si>
  <si>
    <t>kaijon.cheng@gmail.com</t>
  </si>
  <si>
    <t>Kai-Yue</t>
  </si>
  <si>
    <t>Kai-Yue Cheng</t>
  </si>
  <si>
    <t>josiemunday@hotmail.com</t>
  </si>
  <si>
    <t>Josiemunday@hotmail.com</t>
  </si>
  <si>
    <t>Munday</t>
  </si>
  <si>
    <t>Josie Munday</t>
  </si>
  <si>
    <t>2620 Russell Bond Rd</t>
  </si>
  <si>
    <t>koenluke@hotmail.com</t>
  </si>
  <si>
    <t>Koen</t>
  </si>
  <si>
    <t>Koen Munday</t>
  </si>
  <si>
    <t>vnolot02@gmail.com</t>
  </si>
  <si>
    <t>8061 Young Rd</t>
  </si>
  <si>
    <t>grace.peterson.ks@gmail.com</t>
  </si>
  <si>
    <t>Grace.peterson.ks@gmail.com</t>
  </si>
  <si>
    <t>Grace Peterson</t>
  </si>
  <si>
    <t>12504 West 129th Street</t>
  </si>
  <si>
    <t>mary.peterson.ks@gmail.com</t>
  </si>
  <si>
    <t>Mary.peterson.ks@gmail.com</t>
  </si>
  <si>
    <t>Mary Peterson</t>
  </si>
  <si>
    <t>john.peterson.ks@gmail.com</t>
  </si>
  <si>
    <t>John.peterson.ks@gmail.com</t>
  </si>
  <si>
    <t>John Peterson</t>
  </si>
  <si>
    <t>james.peterson.ks@gmail.com</t>
  </si>
  <si>
    <t>James.peterson.ks@gmail.com</t>
  </si>
  <si>
    <t>James Peterson</t>
  </si>
  <si>
    <t>miriammarch28@gmail.com</t>
  </si>
  <si>
    <t>Miriam Platillero</t>
  </si>
  <si>
    <t>Camino de Marco 22</t>
  </si>
  <si>
    <t>Alicante</t>
  </si>
  <si>
    <t>jenniestephenson3.26@gmail.com</t>
  </si>
  <si>
    <t>Jennie</t>
  </si>
  <si>
    <t>Jennie Stephenson</t>
  </si>
  <si>
    <t>111 Sir Arthur Ct</t>
  </si>
  <si>
    <t>aghinkle@sbcglobal.net</t>
  </si>
  <si>
    <t>1087 Rio Brazos Dr</t>
  </si>
  <si>
    <t>ldillingham@cookinletalaska.org</t>
  </si>
  <si>
    <t>Ldillingham@cookinletalaska.org</t>
  </si>
  <si>
    <t>Dillingham</t>
  </si>
  <si>
    <t>Leah Dillingham</t>
  </si>
  <si>
    <t>33085 Belaire Dr</t>
  </si>
  <si>
    <t>lorawfamily@gmail.com</t>
  </si>
  <si>
    <t>Rwlipod@gmail.com</t>
  </si>
  <si>
    <t>Loraw</t>
  </si>
  <si>
    <t>Ryan Loraw</t>
  </si>
  <si>
    <t>521 N Whitford Rd</t>
  </si>
  <si>
    <t>ahinz2125@gmail.com</t>
  </si>
  <si>
    <t>Hinz</t>
  </si>
  <si>
    <t>Allison Hinz</t>
  </si>
  <si>
    <t>645 Sunderland Ave West</t>
  </si>
  <si>
    <t>carterwcampbell@hotmail.com</t>
  </si>
  <si>
    <t>Carter Campbell</t>
  </si>
  <si>
    <t>228 N Blake Rd</t>
  </si>
  <si>
    <t>amy.newsong@gmail.com</t>
  </si>
  <si>
    <t>michaelhand_ii@protonmail.com</t>
  </si>
  <si>
    <t>Michael Hand</t>
  </si>
  <si>
    <t>3240 Dr. Nichols Rd.</t>
  </si>
  <si>
    <t>rpmcmanus03@gmail.com</t>
  </si>
  <si>
    <t>McManus</t>
  </si>
  <si>
    <t>Rachel McManus</t>
  </si>
  <si>
    <t>447 Fox Lane</t>
  </si>
  <si>
    <t>katie.londini@icloud.com</t>
  </si>
  <si>
    <t>Londini</t>
  </si>
  <si>
    <t>Kathryn Londini</t>
  </si>
  <si>
    <t>9920 Tiffany Drive</t>
  </si>
  <si>
    <t>amber_bergstrom@yahoo.com</t>
  </si>
  <si>
    <t>andreilovescars@gmail.com</t>
  </si>
  <si>
    <t>Bergstrom</t>
  </si>
  <si>
    <t>Andrei Bergstrom</t>
  </si>
  <si>
    <t>3915 Moore Rd</t>
  </si>
  <si>
    <t>benjaminkell@gmail.com</t>
  </si>
  <si>
    <t>lydiagkell@gmail.com</t>
  </si>
  <si>
    <t>Kell</t>
  </si>
  <si>
    <t>Lydia Kell</t>
  </si>
  <si>
    <t>125 N. Creek Trail</t>
  </si>
  <si>
    <t>micah.annnn@gmail.com</t>
  </si>
  <si>
    <t>Micah Barton</t>
  </si>
  <si>
    <t>1568 Lawrence Heights Avenue</t>
  </si>
  <si>
    <t>mattzimmerman21@gmail.com</t>
  </si>
  <si>
    <t>Matthew Zimmerman</t>
  </si>
  <si>
    <t>chocolatechipteddy@gmail.com</t>
  </si>
  <si>
    <t>Lily Ciampi</t>
  </si>
  <si>
    <t>jlsnorth20@gmail.com</t>
  </si>
  <si>
    <t>Josiah Skeate</t>
  </si>
  <si>
    <t>loralynn.skeate@gmail.com</t>
  </si>
  <si>
    <t>Loralynn</t>
  </si>
  <si>
    <t>Loralynn Skeate</t>
  </si>
  <si>
    <t>chisrapert@me.com</t>
  </si>
  <si>
    <t>grapert@icloud.com</t>
  </si>
  <si>
    <t>Rapert</t>
  </si>
  <si>
    <t>Grace Rapert</t>
  </si>
  <si>
    <t>2191 West Caley Avenue</t>
  </si>
  <si>
    <t>s.tigereye16@gmail.com</t>
  </si>
  <si>
    <t>Thurman</t>
  </si>
  <si>
    <t>Samantha Thurman</t>
  </si>
  <si>
    <t>200 NW 76th St</t>
  </si>
  <si>
    <t>Gladstone</t>
  </si>
  <si>
    <t>juliabish01@yahoo.com</t>
  </si>
  <si>
    <t>zbbtex@gmail.com</t>
  </si>
  <si>
    <t>Zachary Bishop</t>
  </si>
  <si>
    <t>918 Noble Champions Way</t>
  </si>
  <si>
    <t>Julianna Chenoweth</t>
  </si>
  <si>
    <t>Natalie@coappraisals.com</t>
  </si>
  <si>
    <t>lizzie.sc83@gmail.com</t>
  </si>
  <si>
    <t>Cordasco</t>
  </si>
  <si>
    <t>Samantha Cordasco</t>
  </si>
  <si>
    <t>390 Buckeye Drive</t>
  </si>
  <si>
    <t>tigertennis22@gmail.com</t>
  </si>
  <si>
    <t>Marriott</t>
  </si>
  <si>
    <t>Jacqueline Marriott</t>
  </si>
  <si>
    <t>20539 Wildbrook Ct</t>
  </si>
  <si>
    <t>pman3b@gmail.com</t>
  </si>
  <si>
    <t>Paul Noel</t>
  </si>
  <si>
    <t>lily.cainn@gmail.com</t>
  </si>
  <si>
    <t>Lily Cain</t>
  </si>
  <si>
    <t>maygansmith@gmail.com</t>
  </si>
  <si>
    <t>Maygansmith@gmail.com</t>
  </si>
  <si>
    <t>Hudson Smith</t>
  </si>
  <si>
    <t>1135 Secretariat Run</t>
  </si>
  <si>
    <t>Awendaw</t>
  </si>
  <si>
    <t>kimfondrensmith81@gmail.com</t>
  </si>
  <si>
    <t>Morgan200418@gmail.com</t>
  </si>
  <si>
    <t>300 Dill Road</t>
  </si>
  <si>
    <t>berrycove7@gmail.com</t>
  </si>
  <si>
    <t>gjraceohn@gmail.com</t>
  </si>
  <si>
    <t>Grace Gleason</t>
  </si>
  <si>
    <t>Berry Cove Rd</t>
  </si>
  <si>
    <t>Lamoine</t>
  </si>
  <si>
    <t>gdavidg2003@gmail.com</t>
  </si>
  <si>
    <t>Gregory Gleason</t>
  </si>
  <si>
    <t>wintermanx24890@gmail.com</t>
  </si>
  <si>
    <t>Jack Larson</t>
  </si>
  <si>
    <t>1519 34th Ave SW</t>
  </si>
  <si>
    <t>rswills12@gmail.com</t>
  </si>
  <si>
    <t>Riley Wills</t>
  </si>
  <si>
    <t>136 Hunt Lane</t>
  </si>
  <si>
    <t>44halojazz@gmail.com</t>
  </si>
  <si>
    <t>James Hunt</t>
  </si>
  <si>
    <t>99761 Mt. Emily Rd</t>
  </si>
  <si>
    <t>julieluvsnate@gmail.com</t>
  </si>
  <si>
    <t>elamb@cookinletacademy.org</t>
  </si>
  <si>
    <t>PO Box 1802</t>
  </si>
  <si>
    <t>Nathaniel Cook</t>
  </si>
  <si>
    <t>krcamp4728@gmail.com</t>
  </si>
  <si>
    <t>Katie Campbell</t>
  </si>
  <si>
    <t>Thompson's Station</t>
  </si>
  <si>
    <t>jeffrey35242@gmail.com</t>
  </si>
  <si>
    <t>Milleranderson35242@yahoo.com</t>
  </si>
  <si>
    <t>Miller Anderson</t>
  </si>
  <si>
    <t>100 Austin Cir</t>
  </si>
  <si>
    <t>jennsillings.js@gmail.com</t>
  </si>
  <si>
    <t>anthonysillings@gmail.com</t>
  </si>
  <si>
    <t>Sillings</t>
  </si>
  <si>
    <t>Anthony Sillings</t>
  </si>
  <si>
    <t>8153 NW 26th Street</t>
  </si>
  <si>
    <t>nathansillings@gmail.com</t>
  </si>
  <si>
    <t>Nathan Sillings</t>
  </si>
  <si>
    <t>mcginley.united@gmail.com</t>
  </si>
  <si>
    <t>garelmcginley@gmail.com</t>
  </si>
  <si>
    <t>Garel</t>
  </si>
  <si>
    <t>McGinley</t>
  </si>
  <si>
    <t>Garel McGinley</t>
  </si>
  <si>
    <t>2597 State Route CC</t>
  </si>
  <si>
    <t>maddiemclaughlin730@gmail.com</t>
  </si>
  <si>
    <t>Madelynn McLaughlin</t>
  </si>
  <si>
    <t>128 Germany Hollow Road</t>
  </si>
  <si>
    <t>pabsemail.@icloud.com</t>
  </si>
  <si>
    <t>Pablo Menendez</t>
  </si>
  <si>
    <t>JonathanESwindell@gmail.com</t>
  </si>
  <si>
    <t>Swindell</t>
  </si>
  <si>
    <t>Jonathan Swindell</t>
  </si>
  <si>
    <t>3252 North Bethel Rd</t>
  </si>
  <si>
    <t>05susanna@gmail.com</t>
  </si>
  <si>
    <t>05Susanna@gmail.com</t>
  </si>
  <si>
    <t>Susanna Howell</t>
  </si>
  <si>
    <t>853 Torrey Pines Circle</t>
  </si>
  <si>
    <t>briannajimenez24.10@gmail.com</t>
  </si>
  <si>
    <t>Brianna Jimenez</t>
  </si>
  <si>
    <t>1814 Princess Dr</t>
  </si>
  <si>
    <t>Claireoliviam123@gmail.com</t>
  </si>
  <si>
    <t>Claire McCarty</t>
  </si>
  <si>
    <t>752 west hill dr.</t>
  </si>
  <si>
    <t>sanonnak@gmail.com</t>
  </si>
  <si>
    <t>Sanonna</t>
  </si>
  <si>
    <t>Newburn</t>
  </si>
  <si>
    <t>Sanonna Newburn</t>
  </si>
  <si>
    <t>1327 Collyer St</t>
  </si>
  <si>
    <t>richcrosby66@gmail.com</t>
  </si>
  <si>
    <t>hollycrosby03@gmail.com</t>
  </si>
  <si>
    <t>Holly Crosby</t>
  </si>
  <si>
    <t>65 County Line Rd</t>
  </si>
  <si>
    <t>kauffmandionte@gmail.com</t>
  </si>
  <si>
    <t>Kauffmandionte@gmail.com</t>
  </si>
  <si>
    <t>Cameron Kauffman</t>
  </si>
  <si>
    <t>217 Bryson Street</t>
  </si>
  <si>
    <t>erinnatalie13@gmail.com</t>
  </si>
  <si>
    <t>Natalie Kauffman</t>
  </si>
  <si>
    <t>217 Bryson St.</t>
  </si>
  <si>
    <t>evan.ryan123@icloud.com</t>
  </si>
  <si>
    <t>Evan.ryan123@yahoo.com</t>
  </si>
  <si>
    <t>Evan Ryan</t>
  </si>
  <si>
    <t>1606 Tiffany st</t>
  </si>
  <si>
    <t>levitryon9@gmail.com</t>
  </si>
  <si>
    <t>Tryon</t>
  </si>
  <si>
    <t>Levi Tryon</t>
  </si>
  <si>
    <t>4392 Cr 7200</t>
  </si>
  <si>
    <t>michaelcampbell268@gmail.com</t>
  </si>
  <si>
    <t>Michael Campbell</t>
  </si>
  <si>
    <t>9125 North St HWY 16</t>
  </si>
  <si>
    <t>Poteet</t>
  </si>
  <si>
    <t>mickeymom72@gmail.com</t>
  </si>
  <si>
    <t>griffinmwong@gmail.com</t>
  </si>
  <si>
    <t>Griffin Wong</t>
  </si>
  <si>
    <t>535 Elizabeth lee dr nw</t>
  </si>
  <si>
    <t>kennethowens81@gmail.com</t>
  </si>
  <si>
    <t>Kenneth Owens</t>
  </si>
  <si>
    <t>505 E Noble Ave</t>
  </si>
  <si>
    <t>cristybran@live.com</t>
  </si>
  <si>
    <t>ryanbran@outlook.com</t>
  </si>
  <si>
    <t>Ryan Kate</t>
  </si>
  <si>
    <t>Ryan Kate Brandenburg</t>
  </si>
  <si>
    <t>152 Cottonwood Drive</t>
  </si>
  <si>
    <t>lecarp07@outlook.com</t>
  </si>
  <si>
    <t>Leslie Carpenter</t>
  </si>
  <si>
    <t>306 N Summit St.</t>
  </si>
  <si>
    <t>kathywhite301@gmail.com</t>
  </si>
  <si>
    <t>zorionaviolet@gmail.com</t>
  </si>
  <si>
    <t>Zoriona</t>
  </si>
  <si>
    <t>Zoriona Miller</t>
  </si>
  <si>
    <t>6651 Cardinal Circle</t>
  </si>
  <si>
    <t>justjoyful@protonmail.com</t>
  </si>
  <si>
    <t>Aaronnoelcrone@gmail.com</t>
  </si>
  <si>
    <t>Aaron Crone</t>
  </si>
  <si>
    <t>454 H L GRAHAM ROAD</t>
  </si>
  <si>
    <t>Quemado</t>
  </si>
  <si>
    <t>aecadio124@gmail.com</t>
  </si>
  <si>
    <t>Adam Crone</t>
  </si>
  <si>
    <t>QUEMADO</t>
  </si>
  <si>
    <t>srschmidt123@gmail.com</t>
  </si>
  <si>
    <t>enschmidt@liberty.edu</t>
  </si>
  <si>
    <t>7025 Taylor Drive</t>
  </si>
  <si>
    <t>katarinasenpai@gmail.com</t>
  </si>
  <si>
    <t>Katarina Morgan</t>
  </si>
  <si>
    <t>evvydk@gmail.com</t>
  </si>
  <si>
    <t>Evelyn Kenniv</t>
  </si>
  <si>
    <t>pumphreykids@gmail.com</t>
  </si>
  <si>
    <t>Pumphrey</t>
  </si>
  <si>
    <t>Abigail Pumphrey</t>
  </si>
  <si>
    <t>6908 Wilton Dr NE</t>
  </si>
  <si>
    <t>pete_edgmon@att.net</t>
  </si>
  <si>
    <t>dakams@msn.com</t>
  </si>
  <si>
    <t>olivia57904@gmail.com</t>
  </si>
  <si>
    <t>Kam</t>
  </si>
  <si>
    <t>Olivia Kam</t>
  </si>
  <si>
    <t>23023 Fonthill Ave</t>
  </si>
  <si>
    <t>thedrepps@yahoo.com</t>
  </si>
  <si>
    <t>ponyinthepasture@gmail.com</t>
  </si>
  <si>
    <t>Adel√©</t>
  </si>
  <si>
    <t>Adel√© Epp</t>
  </si>
  <si>
    <t>1615 S. Lincoln Ave</t>
  </si>
  <si>
    <t>k.bruce@cox.net</t>
  </si>
  <si>
    <t>ctbruce17@icloud.com</t>
  </si>
  <si>
    <t>Carson Bruce</t>
  </si>
  <si>
    <t>3651 S 28th West Ave</t>
  </si>
  <si>
    <t>Lukas Becker</t>
  </si>
  <si>
    <t>karenevoy@hotmail.com</t>
  </si>
  <si>
    <t>kaievoy@hotmail.com</t>
  </si>
  <si>
    <t>Evoy</t>
  </si>
  <si>
    <t>Kai Evoy</t>
  </si>
  <si>
    <t>567 airport road</t>
  </si>
  <si>
    <t>stirling</t>
  </si>
  <si>
    <t>k0K3E0</t>
  </si>
  <si>
    <t>sobczakjp@yahoo.com</t>
  </si>
  <si>
    <t>jossob21@outlook.com</t>
  </si>
  <si>
    <t>Sobczak</t>
  </si>
  <si>
    <t>Josiah Sobczak</t>
  </si>
  <si>
    <t>9200 Clinton Anderson Dr</t>
  </si>
  <si>
    <t>theonederboy@outlook.com</t>
  </si>
  <si>
    <t>Newmann</t>
  </si>
  <si>
    <t>Noah Newmann</t>
  </si>
  <si>
    <t>9700 Divot Dr.</t>
  </si>
  <si>
    <t>jjuzyk@hotmail.com</t>
  </si>
  <si>
    <t>jenniferrdjuzyk@gmail.com</t>
  </si>
  <si>
    <t>Juzyk</t>
  </si>
  <si>
    <t>Jennifer Juzyk</t>
  </si>
  <si>
    <t>535 Jennifer Rd</t>
  </si>
  <si>
    <t>contact@kellymcmullin.com</t>
  </si>
  <si>
    <t>aliashleigh@icloud.com</t>
  </si>
  <si>
    <t>McMullin</t>
  </si>
  <si>
    <t>Alyssa McMullin</t>
  </si>
  <si>
    <t>1307 Cedar Point Dr</t>
  </si>
  <si>
    <t>clairekazuko@gmail.com</t>
  </si>
  <si>
    <t>Claire Oda</t>
  </si>
  <si>
    <t>Mattymanx77@gmail.com</t>
  </si>
  <si>
    <t>Matthew Wright</t>
  </si>
  <si>
    <t>1841 s avenida sirio</t>
  </si>
  <si>
    <t>nickalli@gmail.com</t>
  </si>
  <si>
    <t>Aj.school.acct@gmail.com</t>
  </si>
  <si>
    <t>Alexzander</t>
  </si>
  <si>
    <t>Braaten</t>
  </si>
  <si>
    <t>Alexzander Braaten</t>
  </si>
  <si>
    <t>8721 E Colette ST</t>
  </si>
  <si>
    <t>vep.ledda@gmail.com</t>
  </si>
  <si>
    <t>eledda@cookinletacademy.org</t>
  </si>
  <si>
    <t>Ledda</t>
  </si>
  <si>
    <t>Elyse Ledda</t>
  </si>
  <si>
    <t>37945 Hall Rd.</t>
  </si>
  <si>
    <t>sandberg@triplecrownproducts.com</t>
  </si>
  <si>
    <t>troy.runmd@gmail.com</t>
  </si>
  <si>
    <t>noellea04@icloud.com</t>
  </si>
  <si>
    <t>Smurawa</t>
  </si>
  <si>
    <t>Noelle Smurawa</t>
  </si>
  <si>
    <t>10312 Blue Skies Drive</t>
  </si>
  <si>
    <t>lieselw05@icloud.com</t>
  </si>
  <si>
    <t>Liesel</t>
  </si>
  <si>
    <t>Liesel Smurawa</t>
  </si>
  <si>
    <t>laurele05@icloud.com</t>
  </si>
  <si>
    <t>Laurel Smurawa</t>
  </si>
  <si>
    <t>rebeccakaykern@icloud.com</t>
  </si>
  <si>
    <t>Rebecca Kern</t>
  </si>
  <si>
    <t>563 Park Estates Square</t>
  </si>
  <si>
    <t>hjdoty@gmail.com</t>
  </si>
  <si>
    <t>Jordyn.gutridge@gmail.com</t>
  </si>
  <si>
    <t>Gutridge</t>
  </si>
  <si>
    <t>Jordyn Gutridge</t>
  </si>
  <si>
    <t>16509 NE 79th St</t>
  </si>
  <si>
    <t>kmedlock23@gmail.com</t>
  </si>
  <si>
    <t>Brennanmedlock@gmail.com</t>
  </si>
  <si>
    <t>Medlock</t>
  </si>
  <si>
    <t>Brennan Medlock</t>
  </si>
  <si>
    <t>35053 bend rd</t>
  </si>
  <si>
    <t>Denham springs</t>
  </si>
  <si>
    <t>kaylynfehr@yahoo.com</t>
  </si>
  <si>
    <t>Kaylynfehr@yahoo.com</t>
  </si>
  <si>
    <t>Kaylyn Fehr</t>
  </si>
  <si>
    <t>aravisziakat@gmail.com</t>
  </si>
  <si>
    <t>AravisZia</t>
  </si>
  <si>
    <t>AravisZia Miller</t>
  </si>
  <si>
    <t>ann@rannebarger.net</t>
  </si>
  <si>
    <t>jason@rannebarger.net</t>
  </si>
  <si>
    <t>Rannebarger</t>
  </si>
  <si>
    <t>Jason Rannebarger</t>
  </si>
  <si>
    <t>9444 Haaf Farm Ct.</t>
  </si>
  <si>
    <t>Pickerington</t>
  </si>
  <si>
    <t>katepullen42@gmail.com</t>
  </si>
  <si>
    <t>Katherine Pullen</t>
  </si>
  <si>
    <t>19861 Le Mans Circle</t>
  </si>
  <si>
    <t>TheBeanzer110603@yahoo.com</t>
  </si>
  <si>
    <t>Helmick</t>
  </si>
  <si>
    <t>Alyssa Helmick</t>
  </si>
  <si>
    <t>1544 Shining Ore dr</t>
  </si>
  <si>
    <t>andrew.cedarlane@gmail.com</t>
  </si>
  <si>
    <t>alliejoyanderson@gmail.com</t>
  </si>
  <si>
    <t>Alexandria Anderson</t>
  </si>
  <si>
    <t>4052 Donnigton cir</t>
  </si>
  <si>
    <t>jaredziegler15@gmail.com</t>
  </si>
  <si>
    <t>Jared Ziegler</t>
  </si>
  <si>
    <t>cameronziegler24@gmail.com</t>
  </si>
  <si>
    <t>Cameron Ziegler</t>
  </si>
  <si>
    <t>3 creekside lane</t>
  </si>
  <si>
    <t>hyeminchoi2004@gmail.com</t>
  </si>
  <si>
    <t>Hyemin</t>
  </si>
  <si>
    <t>Hyemin Choi</t>
  </si>
  <si>
    <t>7100 Tourmaline RD NE</t>
  </si>
  <si>
    <t>craig_80012@yahoo.com</t>
  </si>
  <si>
    <t>justin.brautigam@yahoo.com</t>
  </si>
  <si>
    <t>Brautigam</t>
  </si>
  <si>
    <t>Justin Brautigam</t>
  </si>
  <si>
    <t>1615 Hillside Circle</t>
  </si>
  <si>
    <t>rrfpaf@yahoo.com</t>
  </si>
  <si>
    <t>frantz.rachel65@yahoo.com</t>
  </si>
  <si>
    <t>Frantz</t>
  </si>
  <si>
    <t>Rachel Frantz</t>
  </si>
  <si>
    <t>12 Daniel Avenue</t>
  </si>
  <si>
    <t>sophiedotedwards@gmail.com</t>
  </si>
  <si>
    <t>Sophie Edwards</t>
  </si>
  <si>
    <t>aprilshower@rocketmail.com</t>
  </si>
  <si>
    <t>mayflower.allie@gmail.com</t>
  </si>
  <si>
    <t>Allie Little</t>
  </si>
  <si>
    <t>4 MAD TURKEY CROSSING</t>
  </si>
  <si>
    <t>SAVANNAH</t>
  </si>
  <si>
    <t>sealteamvictory@gmail.com</t>
  </si>
  <si>
    <t>trinfl001@gmail.com</t>
  </si>
  <si>
    <t>Fleishman</t>
  </si>
  <si>
    <t>Trinity Fleishman</t>
  </si>
  <si>
    <t>5501 Merchants View Square</t>
  </si>
  <si>
    <t>matthewjw02@gmail.com</t>
  </si>
  <si>
    <t>Wlazlowski</t>
  </si>
  <si>
    <t>Matthew Wlazlowski</t>
  </si>
  <si>
    <t>4104 Tiffany Dr.</t>
  </si>
  <si>
    <t>jenbow25@yahoo.com</t>
  </si>
  <si>
    <t>Schilling</t>
  </si>
  <si>
    <t>Michael Schilling</t>
  </si>
  <si>
    <t>PO BOX 8561</t>
  </si>
  <si>
    <t>Nikiski</t>
  </si>
  <si>
    <t>jacobamy555@gmail.com</t>
  </si>
  <si>
    <t>laurenjrobinson555@gmail.com</t>
  </si>
  <si>
    <t>Lauren Robinson</t>
  </si>
  <si>
    <t>46 Mt Vernon St</t>
  </si>
  <si>
    <t>Saugus</t>
  </si>
  <si>
    <t>Samuel Robinson</t>
  </si>
  <si>
    <t>planetgrebe@aol.com</t>
  </si>
  <si>
    <t>Eerickson@cookinletalaska.org</t>
  </si>
  <si>
    <t>Eddie Erickson</t>
  </si>
  <si>
    <t>P.O. Box 597</t>
  </si>
  <si>
    <t>ingrid4005@mac.com</t>
  </si>
  <si>
    <t>landonv213@icloud.com</t>
  </si>
  <si>
    <t>Vyhmeister</t>
  </si>
  <si>
    <t>Landon Vyhmeister</t>
  </si>
  <si>
    <t>PO Box 923</t>
  </si>
  <si>
    <t>50721 Byington Rd</t>
  </si>
  <si>
    <t>Kasilof</t>
  </si>
  <si>
    <t>anbragg@hotmail.com</t>
  </si>
  <si>
    <t>lydiabragg01@gmail.com</t>
  </si>
  <si>
    <t>Lydia Bragg</t>
  </si>
  <si>
    <t>CMR 480 Box 958</t>
  </si>
  <si>
    <t>bjirutherford@gmail.com</t>
  </si>
  <si>
    <t>tronic203@gmail.com</t>
  </si>
  <si>
    <t>David Rutherford</t>
  </si>
  <si>
    <t>112 E12th street</t>
  </si>
  <si>
    <t>rutherford@gracechurchfdl.org</t>
  </si>
  <si>
    <t>devinjc02@gmail.com</t>
  </si>
  <si>
    <t>Devin Christenson</t>
  </si>
  <si>
    <t>111 E2nd street</t>
  </si>
  <si>
    <t>Fond du lac</t>
  </si>
  <si>
    <t>mindiwikstrom@gmail.com</t>
  </si>
  <si>
    <t>Wikstrom</t>
  </si>
  <si>
    <t>Mindi Wikstrom</t>
  </si>
  <si>
    <t>3365 Orchard Street</t>
  </si>
  <si>
    <t>drtomdevries@gmail.com</t>
  </si>
  <si>
    <t>quinnfordawin@gmail.com</t>
  </si>
  <si>
    <t>deVries</t>
  </si>
  <si>
    <t>Quinn deVries</t>
  </si>
  <si>
    <t>441 N Whitford Rd</t>
  </si>
  <si>
    <t>k.sagal.allgire@gmail.com</t>
  </si>
  <si>
    <t>irene.allgire@gmail.com</t>
  </si>
  <si>
    <t>Allgire</t>
  </si>
  <si>
    <t>Irene Allgire</t>
  </si>
  <si>
    <t>2748 Redick Avenue</t>
  </si>
  <si>
    <t>saprile1776@gmail.com</t>
  </si>
  <si>
    <t>Sarah Aprile</t>
  </si>
  <si>
    <t>joefrescoln@gmail.com</t>
  </si>
  <si>
    <t>jonasfrescoln@gmail.com</t>
  </si>
  <si>
    <t>Frescoln</t>
  </si>
  <si>
    <t>Jonas Frescoln</t>
  </si>
  <si>
    <t>7381 County Road 2980</t>
  </si>
  <si>
    <t>abby</t>
  </si>
  <si>
    <t>fulmer</t>
  </si>
  <si>
    <t>abby fulmer</t>
  </si>
  <si>
    <t>tkpehrson@yahoo.com</t>
  </si>
  <si>
    <t>Nikolaspehrson@gmail.com</t>
  </si>
  <si>
    <t>Nikolas</t>
  </si>
  <si>
    <t>Pehrson</t>
  </si>
  <si>
    <t>Nikolas Pehrson</t>
  </si>
  <si>
    <t>7760 133rd St W</t>
  </si>
  <si>
    <t>alexa.gabriel123@hotmail.com</t>
  </si>
  <si>
    <t>15318 Terry Road</t>
  </si>
  <si>
    <t>Berlin</t>
  </si>
  <si>
    <t>lfmonastra@outlook.com</t>
  </si>
  <si>
    <t>librarycat03@protonmail.com</t>
  </si>
  <si>
    <t>Monastra</t>
  </si>
  <si>
    <t>Sophia Monastra</t>
  </si>
  <si>
    <t>417 McCray Blvd</t>
  </si>
  <si>
    <t>charlottelynsky86@gmail.com</t>
  </si>
  <si>
    <t>isabellabadalamenti@gmail.com</t>
  </si>
  <si>
    <t>Badalamenti</t>
  </si>
  <si>
    <t>Isabella Badalamenti</t>
  </si>
  <si>
    <t>PO Box 963</t>
  </si>
  <si>
    <t>dschantz801@gmail.com</t>
  </si>
  <si>
    <t>Danny Schantz</t>
  </si>
  <si>
    <t>6900 Crystalline Ct SE</t>
  </si>
  <si>
    <t>3322 Old Franklin Rd</t>
  </si>
  <si>
    <t>virginiabrow@gmail.com</t>
  </si>
  <si>
    <t>WilliamsonDR@fuma.org</t>
  </si>
  <si>
    <t>Dominic Williamson</t>
  </si>
  <si>
    <t>FUMA, James Madison Hwy</t>
  </si>
  <si>
    <t>Box 4744</t>
  </si>
  <si>
    <t>Fork Union</t>
  </si>
  <si>
    <t>adam384772@gmail.com</t>
  </si>
  <si>
    <t>Adam Costello</t>
  </si>
  <si>
    <t>22436 Delhi Ave</t>
  </si>
  <si>
    <t>quin.brunner@gmail.com</t>
  </si>
  <si>
    <t>kamryngbrunner@gmail.com</t>
  </si>
  <si>
    <t>Kamryn Brunner</t>
  </si>
  <si>
    <t>18769 Quin Rd</t>
  </si>
  <si>
    <t>Nisland</t>
  </si>
  <si>
    <t>kvondran@students.ccu.edu</t>
  </si>
  <si>
    <t>Vondran</t>
  </si>
  <si>
    <t>Kara Vondran</t>
  </si>
  <si>
    <t>12809 49th Street Court East</t>
  </si>
  <si>
    <t>Kamryn.karmin@gmail.com</t>
  </si>
  <si>
    <t>Karmin</t>
  </si>
  <si>
    <t>Karmin Brunner</t>
  </si>
  <si>
    <t>texway@att.net</t>
  </si>
  <si>
    <t>jqtredway@gmail.com</t>
  </si>
  <si>
    <t>J.</t>
  </si>
  <si>
    <t>Tredway</t>
  </si>
  <si>
    <t>J. Tredway</t>
  </si>
  <si>
    <t>4436 Tapatio Springs Rd.</t>
  </si>
  <si>
    <t>caleb.jones2002@icloud.com</t>
  </si>
  <si>
    <t>Caleb Jones</t>
  </si>
  <si>
    <t>525 Lowery Oaks Trail</t>
  </si>
  <si>
    <t>maeganmamos@yahoo.com</t>
  </si>
  <si>
    <t>Maegan Amos</t>
  </si>
  <si>
    <t>205 Candleston Place</t>
  </si>
  <si>
    <t>thepierrotticlan@gmail.com</t>
  </si>
  <si>
    <t>Jared.pierrotti@gmail.com</t>
  </si>
  <si>
    <t>Pierrotti</t>
  </si>
  <si>
    <t>Jared Pierrotti</t>
  </si>
  <si>
    <t>865 1st Pentecostal Church Road</t>
  </si>
  <si>
    <t>quintginga@gmail.com</t>
  </si>
  <si>
    <t>Kevin Gabriel</t>
  </si>
  <si>
    <t>66 Viking Way</t>
  </si>
  <si>
    <t>mishamoroz1963@gmail.com</t>
  </si>
  <si>
    <t>Moroz</t>
  </si>
  <si>
    <t>Michael Moroz</t>
  </si>
  <si>
    <t>8825 Prelude Way</t>
  </si>
  <si>
    <t>meredithwells7@gmail.com</t>
  </si>
  <si>
    <t>Meredith Wells</t>
  </si>
  <si>
    <t>wcekas@gmail.com</t>
  </si>
  <si>
    <t>abigailhope703@gmail.com</t>
  </si>
  <si>
    <t>2310 Black Bear Ct</t>
  </si>
  <si>
    <t>curliegirlie803@yahoo.com</t>
  </si>
  <si>
    <t>rebekahhonaker@gmail.com</t>
  </si>
  <si>
    <t>Rebekah Honaker</t>
  </si>
  <si>
    <t>707 N Cherry st</t>
  </si>
  <si>
    <t>annawood1066@gmail.com</t>
  </si>
  <si>
    <t>Anna Wood</t>
  </si>
  <si>
    <t>wjkvan@gmail.com</t>
  </si>
  <si>
    <t>kpjrocks@gmail.com</t>
  </si>
  <si>
    <t>Lucy Kvanvig</t>
  </si>
  <si>
    <t>wrightfamily92@aol.com</t>
  </si>
  <si>
    <t>awesomeusername2005@gmail.com</t>
  </si>
  <si>
    <t>Michael Wright</t>
  </si>
  <si>
    <t>2337 Carrick Rd</t>
  </si>
  <si>
    <t>bluedolphin4130@gmail.com</t>
  </si>
  <si>
    <t>Faith Chan</t>
  </si>
  <si>
    <t>51 Marlin Ave E</t>
  </si>
  <si>
    <t>hatchell82@earthlink.net</t>
  </si>
  <si>
    <t>chatchell105@andersonuniversity.edu</t>
  </si>
  <si>
    <t>Post Office Box 1941</t>
  </si>
  <si>
    <t>tpthor4@gmail.com</t>
  </si>
  <si>
    <t>Thor</t>
  </si>
  <si>
    <t>Thor Peterson</t>
  </si>
  <si>
    <t>302 S. Railway</t>
  </si>
  <si>
    <t>jocelynwhite1739@gmail.com</t>
  </si>
  <si>
    <t>jedwhite1739@gmail.com</t>
  </si>
  <si>
    <t>James White</t>
  </si>
  <si>
    <t>1739 Massanetta Springs rd</t>
  </si>
  <si>
    <t>isabellambupp@gmail.com</t>
  </si>
  <si>
    <t>Bupp</t>
  </si>
  <si>
    <t>Isabella Bupp</t>
  </si>
  <si>
    <t>4331 pebble creek blvd</t>
  </si>
  <si>
    <t>carolinelamb33@gmail.com</t>
  </si>
  <si>
    <t>Caroline Lamb</t>
  </si>
  <si>
    <t>1738 Sylvan Hill Rd.</t>
  </si>
  <si>
    <t>Elizabethton</t>
  </si>
  <si>
    <t>mercur1o@optonline.net</t>
  </si>
  <si>
    <t>jcmerc04@gmail.com</t>
  </si>
  <si>
    <t>Mercurio</t>
  </si>
  <si>
    <t>Jonathan Mercurio</t>
  </si>
  <si>
    <t>12 Newport Beach Blvd</t>
  </si>
  <si>
    <t>East Moriches</t>
  </si>
  <si>
    <t>thecorkwells@gmail.com</t>
  </si>
  <si>
    <t>Corkwell</t>
  </si>
  <si>
    <t>Elsa Corkwell</t>
  </si>
  <si>
    <t>aimeestoller@hotmail.com</t>
  </si>
  <si>
    <t>Avia</t>
  </si>
  <si>
    <t>Avia Stoller</t>
  </si>
  <si>
    <t>2850 Station House Way</t>
  </si>
  <si>
    <t>Wayneville</t>
  </si>
  <si>
    <t>jacob.dipasquale@icloud.com</t>
  </si>
  <si>
    <t>Jacob DiPasquale</t>
  </si>
  <si>
    <t>mcoble06@sbcglobal.net</t>
  </si>
  <si>
    <t>lcoble06@sbcglobal.net</t>
  </si>
  <si>
    <t>Landri</t>
  </si>
  <si>
    <t>Coble</t>
  </si>
  <si>
    <t>Landri Coble</t>
  </si>
  <si>
    <t>5004 Weaver Rd</t>
  </si>
  <si>
    <t>chloeafowler1@gmail.com</t>
  </si>
  <si>
    <t>Chloe Fowler</t>
  </si>
  <si>
    <t>12901 Trail Driver St</t>
  </si>
  <si>
    <t>mhale47@midwestern.edu</t>
  </si>
  <si>
    <t>skylar.zavala@myemail.indwes.edu</t>
  </si>
  <si>
    <t>Zavala</t>
  </si>
  <si>
    <t>Skylar Zavala</t>
  </si>
  <si>
    <t>865 Boston Dr</t>
  </si>
  <si>
    <t>misterkellen@gmail.com</t>
  </si>
  <si>
    <t>Kellen Jones</t>
  </si>
  <si>
    <t>7030 Barrimore Drive</t>
  </si>
  <si>
    <t>mmichels1117@yahoo.com</t>
  </si>
  <si>
    <t>dylanmichels@students.ccu.edu</t>
  </si>
  <si>
    <t>Michels</t>
  </si>
  <si>
    <t>Dylan Michels</t>
  </si>
  <si>
    <t>2605 E.Morning Glory Cir.</t>
  </si>
  <si>
    <t>Payson</t>
  </si>
  <si>
    <t>Verote36@gmail.com</t>
  </si>
  <si>
    <t>Vida</t>
  </si>
  <si>
    <t>Vida Rote</t>
  </si>
  <si>
    <t>joshuamichels88@gmail.com</t>
  </si>
  <si>
    <t>Joshua Michels</t>
  </si>
  <si>
    <t>morgansullivan@gmail.com</t>
  </si>
  <si>
    <t>morgansullivan24@gmail.com</t>
  </si>
  <si>
    <t>Morgan Sullivan</t>
  </si>
  <si>
    <t>10290 Absolam Lane</t>
  </si>
  <si>
    <t>PO Box 501</t>
  </si>
  <si>
    <t>Browns Valley</t>
  </si>
  <si>
    <t>IAMedicine79@gmail.com</t>
  </si>
  <si>
    <t>NatalieVet1@gmail.com</t>
  </si>
  <si>
    <t>Natalie Bowie</t>
  </si>
  <si>
    <t>5115  45th Ave N</t>
  </si>
  <si>
    <t>St. Petersburg</t>
  </si>
  <si>
    <t>djsovandyke@alumni.usc.edu</t>
  </si>
  <si>
    <t>davidaaronvandyke@gmail.com</t>
  </si>
  <si>
    <t>Van Dyke</t>
  </si>
  <si>
    <t>David Van Dyke</t>
  </si>
  <si>
    <t>4141 Tranquility Lane</t>
  </si>
  <si>
    <t>blake_luce@yahoo.com</t>
  </si>
  <si>
    <t>Nluce00@gmail.com</t>
  </si>
  <si>
    <t>Nathan Luce</t>
  </si>
  <si>
    <t>1417 Dueling Oaks Dr</t>
  </si>
  <si>
    <t>john@handfam.org</t>
  </si>
  <si>
    <t>John Hand</t>
  </si>
  <si>
    <t>guardianranger13@yahoo.com</t>
  </si>
  <si>
    <t>Kaser</t>
  </si>
  <si>
    <t>Parker Kaser</t>
  </si>
  <si>
    <t>16141 Bluebonnet Dr.</t>
  </si>
  <si>
    <t>levi@handfam.org</t>
  </si>
  <si>
    <t>Levi Hand</t>
  </si>
  <si>
    <t>jillmoloney@gmail.com</t>
  </si>
  <si>
    <t>mollygmoloney@gmail.com</t>
  </si>
  <si>
    <t>Molly Moloney</t>
  </si>
  <si>
    <t>184 E 7th Street</t>
  </si>
  <si>
    <t>jasmine.n.chai@gmail.com</t>
  </si>
  <si>
    <t>matthiaskchai@gmail.com</t>
  </si>
  <si>
    <t>Matthias Chai</t>
  </si>
  <si>
    <t>105 Summer Place Dr</t>
  </si>
  <si>
    <t>lauren.fain1013@gmail.com</t>
  </si>
  <si>
    <t>Fain</t>
  </si>
  <si>
    <t>Lauren Fain</t>
  </si>
  <si>
    <t>904 Lexington Drive</t>
  </si>
  <si>
    <t>dixieboybill@yahoo.com</t>
  </si>
  <si>
    <t>spena7990@gmail.com</t>
  </si>
  <si>
    <t>Pena</t>
  </si>
  <si>
    <t>Stephanie Pena</t>
  </si>
  <si>
    <t>2447 Parkland Dr</t>
  </si>
  <si>
    <t>danielle@fruitsnveggies.org</t>
  </si>
  <si>
    <t>mytriumphjc@gmail.com</t>
  </si>
  <si>
    <t>Joshua Cannon</t>
  </si>
  <si>
    <t>3116 E Palm #22</t>
  </si>
  <si>
    <t>gecoates03@gmail.com</t>
  </si>
  <si>
    <t>Grace Coates</t>
  </si>
  <si>
    <t>1820 Valentine Drive</t>
  </si>
  <si>
    <t>calebbarnett99@gmail.com</t>
  </si>
  <si>
    <t>Caleb Barnett</t>
  </si>
  <si>
    <t>makennahulet@gmail.com</t>
  </si>
  <si>
    <t>Makenna Hulet</t>
  </si>
  <si>
    <t>grace.budill@gmail.com</t>
  </si>
  <si>
    <t>Budill</t>
  </si>
  <si>
    <t>Grace Budill</t>
  </si>
  <si>
    <t>478 Mayfield Ln</t>
  </si>
  <si>
    <t>lcreech6@gmail.com</t>
  </si>
  <si>
    <t>acreech133@gmail.com</t>
  </si>
  <si>
    <t>Ava Creech</t>
  </si>
  <si>
    <t>648 Fieldtrial Circle</t>
  </si>
  <si>
    <t>aubrey@grauel.net</t>
  </si>
  <si>
    <t>Winstead</t>
  </si>
  <si>
    <t>Aubrey Winstead</t>
  </si>
  <si>
    <t>303 Helena Lane</t>
  </si>
  <si>
    <t>Stemberger@OrlandoLawyer.tv</t>
  </si>
  <si>
    <t>benjaminstemberger13@gmail.com</t>
  </si>
  <si>
    <t>Benjamin Stemberger</t>
  </si>
  <si>
    <t>carmelization101@gmail.com</t>
  </si>
  <si>
    <t>Eliza Kautz</t>
  </si>
  <si>
    <t>1795 Bellboy Dr</t>
  </si>
  <si>
    <t>THEENDRAWS@GMAIL.COM</t>
  </si>
  <si>
    <t>emilyendraws@gmail.com</t>
  </si>
  <si>
    <t>Endraws</t>
  </si>
  <si>
    <t>Emily Endraws</t>
  </si>
  <si>
    <t>28681 Malabar rd</t>
  </si>
  <si>
    <t>allaws@winfamilyservices.org</t>
  </si>
  <si>
    <t>dajlaws@aol.com</t>
  </si>
  <si>
    <t>Divinity</t>
  </si>
  <si>
    <t>Laws</t>
  </si>
  <si>
    <t>Divinity Laws</t>
  </si>
  <si>
    <t>1509 Flange Drive</t>
  </si>
  <si>
    <t>TrinityLaws@icloud.com</t>
  </si>
  <si>
    <t>Trinity Laws</t>
  </si>
  <si>
    <t>darrell.bacak@me.com</t>
  </si>
  <si>
    <t>graham.bacak@me.com</t>
  </si>
  <si>
    <t>Bacak</t>
  </si>
  <si>
    <t>Graham Bacak</t>
  </si>
  <si>
    <t>2339 Monarch Terrace Dr</t>
  </si>
  <si>
    <t>Greenitclean@earthlink.net</t>
  </si>
  <si>
    <t>apberk21@gmail.com</t>
  </si>
  <si>
    <t>Berkley</t>
  </si>
  <si>
    <t>Aaron Berkley</t>
  </si>
  <si>
    <t>6621 E Friess Drive</t>
  </si>
  <si>
    <t>jshetler65@gmail.com</t>
  </si>
  <si>
    <t>emma.shetler@gmail.com</t>
  </si>
  <si>
    <t>Shetler</t>
  </si>
  <si>
    <t>Emma Shetler</t>
  </si>
  <si>
    <t>3967 Maple Grove Road</t>
  </si>
  <si>
    <t>Isaacsongster@gmail.com</t>
  </si>
  <si>
    <t>Isaac Songster</t>
  </si>
  <si>
    <t>slmiller.bush@gmail.com</t>
  </si>
  <si>
    <t>Kensia</t>
  </si>
  <si>
    <t>Kensia Bush</t>
  </si>
  <si>
    <t>awesomechloerose@gmail.com</t>
  </si>
  <si>
    <t>Chloe Schultz</t>
  </si>
  <si>
    <t>19346 Green Acres Lane West</t>
  </si>
  <si>
    <t>Redding</t>
  </si>
  <si>
    <t>lillygracerichards@gmail.com</t>
  </si>
  <si>
    <t>Lillian Richards</t>
  </si>
  <si>
    <t>6875 Cameron Rd</t>
  </si>
  <si>
    <t>dtrentadue78@gmail.com</t>
  </si>
  <si>
    <t>thope3232@gmail.com</t>
  </si>
  <si>
    <t>Trentadue</t>
  </si>
  <si>
    <t>Hope Trentadue</t>
  </si>
  <si>
    <t>11940 Old Stone Drive</t>
  </si>
  <si>
    <t>anakin.kirsch@gmail.com</t>
  </si>
  <si>
    <t>Anakin</t>
  </si>
  <si>
    <t>Anakin Kirsch</t>
  </si>
  <si>
    <t>9520 Colebrook St</t>
  </si>
  <si>
    <t>galatians216@me.com</t>
  </si>
  <si>
    <t>shawnleach75@gmail.com</t>
  </si>
  <si>
    <t>206 Cottonwood</t>
  </si>
  <si>
    <t>PO Box 35</t>
  </si>
  <si>
    <t>Minneola</t>
  </si>
  <si>
    <t>ashley@north-trek.com</t>
  </si>
  <si>
    <t>Ashley Hewitt</t>
  </si>
  <si>
    <t>6332 Homestead Lane South</t>
  </si>
  <si>
    <t>jwhitelock@cfdowningtown.com</t>
  </si>
  <si>
    <t>Whitelock</t>
  </si>
  <si>
    <t>Josh Whitelock</t>
  </si>
  <si>
    <t>2 White Horse ln</t>
  </si>
  <si>
    <t>david@focusedliving.com</t>
  </si>
  <si>
    <t>cameronsa02@gmail.com</t>
  </si>
  <si>
    <t>Andes</t>
  </si>
  <si>
    <t>Cameron Andes</t>
  </si>
  <si>
    <t>107 Osborne Lane</t>
  </si>
  <si>
    <t>Irmo</t>
  </si>
  <si>
    <t>Caroline Clayton</t>
  </si>
  <si>
    <t>springpeeper94@gmail.com</t>
  </si>
  <si>
    <t>Autumn Moore</t>
  </si>
  <si>
    <t>jael@punctuate.net</t>
  </si>
  <si>
    <t>Jael Guest</t>
  </si>
  <si>
    <t>3924 Stephens Ridge Way</t>
  </si>
  <si>
    <t>Cane Ridge</t>
  </si>
  <si>
    <t>sgmcswain@gmail.com</t>
  </si>
  <si>
    <t>Maciemcswain@icloud.com</t>
  </si>
  <si>
    <t>McSwain</t>
  </si>
  <si>
    <t>Macie McSwain</t>
  </si>
  <si>
    <t>783 Morningside Drive</t>
  </si>
  <si>
    <t>thammel@ccu.edu</t>
  </si>
  <si>
    <t>Christian Bento</t>
  </si>
  <si>
    <t>32555 Deer Hollow Way</t>
  </si>
  <si>
    <t>Matymcblondie@gmail.com</t>
  </si>
  <si>
    <t>Maty</t>
  </si>
  <si>
    <t>Maty McSwain</t>
  </si>
  <si>
    <t>783 Morningside Dr</t>
  </si>
  <si>
    <t>jhmartin66@icloud.com</t>
  </si>
  <si>
    <t>Mallory Martin</t>
  </si>
  <si>
    <t>meurer.kate@gmail.com</t>
  </si>
  <si>
    <t>Lucymeurer222@gmail.com</t>
  </si>
  <si>
    <t>Meurer</t>
  </si>
  <si>
    <t>Lucy Meurer</t>
  </si>
  <si>
    <t>1266 Ruppel Ln</t>
  </si>
  <si>
    <t>O Fallon</t>
  </si>
  <si>
    <t>coolkid021905@gmail.com</t>
  </si>
  <si>
    <t>Jacob Faulkner</t>
  </si>
  <si>
    <t>tjgramm04@gmail.com</t>
  </si>
  <si>
    <t>Travis Gramm</t>
  </si>
  <si>
    <t>Marielkessbarreras@gmail.com</t>
  </si>
  <si>
    <t>Ajbarreras9@gmail.com</t>
  </si>
  <si>
    <t>Barreras</t>
  </si>
  <si>
    <t>Adam Barreras</t>
  </si>
  <si>
    <t>4505 n 207th circle</t>
  </si>
  <si>
    <t>Justinbarreras35@gmail.com</t>
  </si>
  <si>
    <t>Justin Barreras</t>
  </si>
  <si>
    <t>4505N 207th circle</t>
  </si>
  <si>
    <t>taurielstargazer@gmail.com</t>
  </si>
  <si>
    <t>Rainbolt</t>
  </si>
  <si>
    <t>Jordan Rainbolt</t>
  </si>
  <si>
    <t>1259 Oliver Rd</t>
  </si>
  <si>
    <t>Haughton</t>
  </si>
  <si>
    <t>shanklessteph@aol.com</t>
  </si>
  <si>
    <t>mandrews2013123@gmail.com</t>
  </si>
  <si>
    <t>Marion Andrews</t>
  </si>
  <si>
    <t>3907 Chickadee Trail</t>
  </si>
  <si>
    <t>htenefrancia@yahoo.com</t>
  </si>
  <si>
    <t>mackenzie0dy@gmail.com</t>
  </si>
  <si>
    <t>Dy</t>
  </si>
  <si>
    <t>Mackenzie Dy</t>
  </si>
  <si>
    <t>73-10220 Dunoon Dr</t>
  </si>
  <si>
    <t>V7A1V6</t>
  </si>
  <si>
    <t>stumpb.bd@gmail.com</t>
  </si>
  <si>
    <t>Viktorija</t>
  </si>
  <si>
    <t>Stump</t>
  </si>
  <si>
    <t>Viktorija Stump</t>
  </si>
  <si>
    <t>4929 N 600 W</t>
  </si>
  <si>
    <t>Ligonier</t>
  </si>
  <si>
    <t>hsethwilliams@gmail.com</t>
  </si>
  <si>
    <t>Henry Williams</t>
  </si>
  <si>
    <t>davidntim90@yahoo.com</t>
  </si>
  <si>
    <t>Ntim</t>
  </si>
  <si>
    <t>David Ntim</t>
  </si>
  <si>
    <t>1506 Funny Cide Drive</t>
  </si>
  <si>
    <t>Drgreg@thefamilydentalcenter.com</t>
  </si>
  <si>
    <t>Zachary Gilbaugh</t>
  </si>
  <si>
    <t>Red Oak Dr</t>
  </si>
  <si>
    <t>lsherman@hillsdale.edu</t>
  </si>
  <si>
    <t>Lucas Sherman</t>
  </si>
  <si>
    <t>201 Cullen Way</t>
  </si>
  <si>
    <t>savin10@sbcglobal.net</t>
  </si>
  <si>
    <t>Kaysavino03@gmail.com</t>
  </si>
  <si>
    <t>Savino</t>
  </si>
  <si>
    <t>Kayla Savino</t>
  </si>
  <si>
    <t>3N341 Lakewood Dr</t>
  </si>
  <si>
    <t>West Chicago</t>
  </si>
  <si>
    <t>annasavino320@gmail.com</t>
  </si>
  <si>
    <t>Anna Savino</t>
  </si>
  <si>
    <t>jksodergren@gmail.com</t>
  </si>
  <si>
    <t>Jonah Sodergren</t>
  </si>
  <si>
    <t>33408 746th Ave.</t>
  </si>
  <si>
    <t>lisa@bibleguys.com</t>
  </si>
  <si>
    <t>cathryn@bibleguys.com</t>
  </si>
  <si>
    <t>Wisley</t>
  </si>
  <si>
    <t>Cathryn Wisley</t>
  </si>
  <si>
    <t>7205 Blairview Drive</t>
  </si>
  <si>
    <t>nicksavino2005@gmail.com</t>
  </si>
  <si>
    <t>Nick Savino</t>
  </si>
  <si>
    <t>kreynol@outlook.com</t>
  </si>
  <si>
    <t>Anreynol02@gmail.com</t>
  </si>
  <si>
    <t>Amber Reynolds</t>
  </si>
  <si>
    <t>280 Lancashire Run</t>
  </si>
  <si>
    <t>mdangler@comcast.net</t>
  </si>
  <si>
    <t>eloved@icloud.com</t>
  </si>
  <si>
    <t>Dangler</t>
  </si>
  <si>
    <t>Elizabeth Dangler</t>
  </si>
  <si>
    <t>PO Box 8443</t>
  </si>
  <si>
    <t>Rebekah5268@ksu.edu</t>
  </si>
  <si>
    <t>Rebekah Cauble</t>
  </si>
  <si>
    <t>Kcdangler@icloud.com</t>
  </si>
  <si>
    <t>Katherine Dangler</t>
  </si>
  <si>
    <t>Po Box 8443</t>
  </si>
  <si>
    <t>wmnnmud@hotmail.com</t>
  </si>
  <si>
    <t>terrydhines2@icloud.com</t>
  </si>
  <si>
    <t>Hines</t>
  </si>
  <si>
    <t>Terry Hines</t>
  </si>
  <si>
    <t>477 Grandy Rd</t>
  </si>
  <si>
    <t>Mcminnville</t>
  </si>
  <si>
    <t>ryan.haaan@gmail.com</t>
  </si>
  <si>
    <t>Ryan Han</t>
  </si>
  <si>
    <t>22 Castle Park Way</t>
  </si>
  <si>
    <t>elevation.movement1@gmail.com</t>
  </si>
  <si>
    <t>jaylanicole04@icloud.com</t>
  </si>
  <si>
    <t>Jayla Clark</t>
  </si>
  <si>
    <t>3 Davington Ct</t>
  </si>
  <si>
    <t>douglasjvandyke@gmail.com</t>
  </si>
  <si>
    <t>18582 Oriente Dr.</t>
  </si>
  <si>
    <t>randysmithson@sptc.net</t>
  </si>
  <si>
    <t>Whitsmithson@gmail.com</t>
  </si>
  <si>
    <t>Whit</t>
  </si>
  <si>
    <t>Smithson</t>
  </si>
  <si>
    <t>Whit Smithson</t>
  </si>
  <si>
    <t>5404 165th</t>
  </si>
  <si>
    <t>zhangman@hotmail.com</t>
  </si>
  <si>
    <t>Cui</t>
  </si>
  <si>
    <t>Timothy Cui</t>
  </si>
  <si>
    <t>JLLOCKWOOD@AOL.COM</t>
  </si>
  <si>
    <t>daviohl03@gmail.com</t>
  </si>
  <si>
    <t>David Lockwood</t>
  </si>
  <si>
    <t>6414 73rd Ave NE</t>
  </si>
  <si>
    <t>Solomon98370@gmail.com</t>
  </si>
  <si>
    <t>Solomon Moore</t>
  </si>
  <si>
    <t>2088 sawdust hill riad</t>
  </si>
  <si>
    <t>michcaldwell@yahoo.com</t>
  </si>
  <si>
    <t>CaldwellGBPackers@yahoo.com</t>
  </si>
  <si>
    <t>Liam Caldwell</t>
  </si>
  <si>
    <t>21661 Brookhurst St Apt 240</t>
  </si>
  <si>
    <t>sarahwig@gmail.com</t>
  </si>
  <si>
    <t>keithwig3@gmail.com</t>
  </si>
  <si>
    <t>Wiginton</t>
  </si>
  <si>
    <t>Keith Wiginton</t>
  </si>
  <si>
    <t>510 Stonehaven Drive</t>
  </si>
  <si>
    <t>Claremore</t>
  </si>
  <si>
    <t>jaschippert@gmail.com</t>
  </si>
  <si>
    <t>alex.schippert03@gmail.com</t>
  </si>
  <si>
    <t>Alex Schippert</t>
  </si>
  <si>
    <t>1505 E Tamarack CC TRL</t>
  </si>
  <si>
    <t>daddyschic@gmail.com</t>
  </si>
  <si>
    <t>Daddyschic@gmail.com</t>
  </si>
  <si>
    <t>LukaBella</t>
  </si>
  <si>
    <t>LukaBella Wiebe</t>
  </si>
  <si>
    <t>259 130th</t>
  </si>
  <si>
    <t>Proverbialwoman36@gmail.com</t>
  </si>
  <si>
    <t>Ariea</t>
  </si>
  <si>
    <t>Hickmon</t>
  </si>
  <si>
    <t>Ariea Hickmon</t>
  </si>
  <si>
    <t>411 max William loop</t>
  </si>
  <si>
    <t>emmaarm321@gmail.com</t>
  </si>
  <si>
    <t>Emma Armstrong</t>
  </si>
  <si>
    <t>P.O. BOX 1192</t>
  </si>
  <si>
    <t>aholton06@gmail.com</t>
  </si>
  <si>
    <t>Aholton06@gmail.com</t>
  </si>
  <si>
    <t>350 Landsing ST.</t>
  </si>
  <si>
    <t>Mt hope</t>
  </si>
  <si>
    <t>Averyrafferty@icloud.com</t>
  </si>
  <si>
    <t>Avery Rafferty</t>
  </si>
  <si>
    <t>7393 Prythania Park Dr.</t>
  </si>
  <si>
    <t>lucastingley1@gmail.com</t>
  </si>
  <si>
    <t>Lucas Tingley</t>
  </si>
  <si>
    <t>alimo7654@gmail.com</t>
  </si>
  <si>
    <t>Trlimo36@gmail.com</t>
  </si>
  <si>
    <t>Limozinere</t>
  </si>
  <si>
    <t>Tom Limozinere</t>
  </si>
  <si>
    <t>450 West Farms Rd</t>
  </si>
  <si>
    <t>mrs_meschke@hotmail.com</t>
  </si>
  <si>
    <t>meschkek01@gmail.com</t>
  </si>
  <si>
    <t>Meschke</t>
  </si>
  <si>
    <t>Kirby Meschke</t>
  </si>
  <si>
    <t>3225 19th Street</t>
  </si>
  <si>
    <t>backdoerrs@gmail.com</t>
  </si>
  <si>
    <t>tessa.j.doerr@gmail.com</t>
  </si>
  <si>
    <t>Tessa Doerr</t>
  </si>
  <si>
    <t>10658 SW McKinney St</t>
  </si>
  <si>
    <t>Tualatin</t>
  </si>
  <si>
    <t>josiahmellott@gmail.com</t>
  </si>
  <si>
    <t>Mellott</t>
  </si>
  <si>
    <t>Josiah Mellott</t>
  </si>
  <si>
    <t>3418 70th Ave Ct W</t>
  </si>
  <si>
    <t>c.latifolium@gmail.com</t>
  </si>
  <si>
    <t>Bowser</t>
  </si>
  <si>
    <t>Miriam Bowser</t>
  </si>
  <si>
    <t>sugi@etisource.com</t>
  </si>
  <si>
    <t>glub9123@gmail.com</t>
  </si>
  <si>
    <t>Hendric</t>
  </si>
  <si>
    <t>Samuel Hendric</t>
  </si>
  <si>
    <t>980 Calle Verde</t>
  </si>
  <si>
    <t>exulta.mater@gmail.com</t>
  </si>
  <si>
    <t>bozarth.zachary5@gmail.com</t>
  </si>
  <si>
    <t>Bozarth</t>
  </si>
  <si>
    <t>Zachary Bozarth</t>
  </si>
  <si>
    <t>CMR 480 Box 1206</t>
  </si>
  <si>
    <t>Phillipsdm05@gmail.com</t>
  </si>
  <si>
    <t>David Phillips</t>
  </si>
  <si>
    <t>hgildernick@gmail.com</t>
  </si>
  <si>
    <t>Holly Gildernick</t>
  </si>
  <si>
    <t>barrsa.mva@gmail.com</t>
  </si>
  <si>
    <t>2038 DD Ave</t>
  </si>
  <si>
    <t>merllie@hotmail.com</t>
  </si>
  <si>
    <t>thekailee@outlook.com</t>
  </si>
  <si>
    <t>Letsinger</t>
  </si>
  <si>
    <t>Kailee Letsinger</t>
  </si>
  <si>
    <t>234 Spring Ridge Dr.</t>
  </si>
  <si>
    <t>online@deeringwine.com</t>
  </si>
  <si>
    <t>chaunceymaus@gmail.com</t>
  </si>
  <si>
    <t>Chauncey</t>
  </si>
  <si>
    <t>Maus</t>
  </si>
  <si>
    <t>Chauncey Maus</t>
  </si>
  <si>
    <t>1288 Melody Creek Lane</t>
  </si>
  <si>
    <t>oryoungs@sonic.net</t>
  </si>
  <si>
    <t>ngyoungs@sonic.net</t>
  </si>
  <si>
    <t>Youngs</t>
  </si>
  <si>
    <t>Naomi Youngs</t>
  </si>
  <si>
    <t>615 Benicia Drive</t>
  </si>
  <si>
    <t>g.pianogirl02@gmail.com</t>
  </si>
  <si>
    <t>G.pianogirl02@gmail.com</t>
  </si>
  <si>
    <t>Adcock</t>
  </si>
  <si>
    <t>Gabrielle Adcock</t>
  </si>
  <si>
    <t>11724 Silver Meadow Ct</t>
  </si>
  <si>
    <t>nelson.grace322@gmail.com</t>
  </si>
  <si>
    <t>Grace Nelson</t>
  </si>
  <si>
    <t>2131 Fairways Lane</t>
  </si>
  <si>
    <t>j.schmidgall03@yahoo.com</t>
  </si>
  <si>
    <t>Schmidgall</t>
  </si>
  <si>
    <t>Jessica Schmidgall</t>
  </si>
  <si>
    <t>840.5 Locust Street</t>
  </si>
  <si>
    <t>nicole.slater@hotmail.com</t>
  </si>
  <si>
    <t>Emma.slater09@gmail.com</t>
  </si>
  <si>
    <t>Emma Slater</t>
  </si>
  <si>
    <t>119 Gatewood Ridge Court</t>
  </si>
  <si>
    <t>tforkt@hotmail.com</t>
  </si>
  <si>
    <t>Taylor Kroft</t>
  </si>
  <si>
    <t>Clarkstone Bend</t>
  </si>
  <si>
    <t>rylin.taylor@icloud.com</t>
  </si>
  <si>
    <t>Rylin</t>
  </si>
  <si>
    <t>Rylin Taylor</t>
  </si>
  <si>
    <t>8504 Monad Rd</t>
  </si>
  <si>
    <t>edithmiddle@icloud.com</t>
  </si>
  <si>
    <t>grantmiddlekauff45@gmail.com</t>
  </si>
  <si>
    <t>Middlekauff</t>
  </si>
  <si>
    <t>Grant Middlekauff</t>
  </si>
  <si>
    <t>12625 Fallstaff Lane</t>
  </si>
  <si>
    <t>jsimpson0902@gmail.com</t>
  </si>
  <si>
    <t>Jake Simpson</t>
  </si>
  <si>
    <t>57 Snapdragon Ct</t>
  </si>
  <si>
    <t>Lake Jackson</t>
  </si>
  <si>
    <t>rence_coker@yahoo.com</t>
  </si>
  <si>
    <t>Clarence Coker</t>
  </si>
  <si>
    <t>1027 barr rd</t>
  </si>
  <si>
    <t>elijah.coker@grayca.com</t>
  </si>
  <si>
    <t>Elijah Coker</t>
  </si>
  <si>
    <t>barr rd</t>
  </si>
  <si>
    <t>sixon6@outlook.com</t>
  </si>
  <si>
    <t>Luke Dixon</t>
  </si>
  <si>
    <t>mariselagz@hotmail.com</t>
  </si>
  <si>
    <t>Juanphern110105@gmail.com</t>
  </si>
  <si>
    <t>Juan Pablo</t>
  </si>
  <si>
    <t>Juan Pablo Hernandez</t>
  </si>
  <si>
    <t>2218 S 49th Lane</t>
  </si>
  <si>
    <t>McAllen</t>
  </si>
  <si>
    <t>gaiusilupeju@gmail.com</t>
  </si>
  <si>
    <t>Gaius</t>
  </si>
  <si>
    <t>Ilupeju</t>
  </si>
  <si>
    <t>Gaius Ilupeju</t>
  </si>
  <si>
    <t>1645 Keystone St. #204</t>
  </si>
  <si>
    <t>amcneal106@andersonuniversity.edu</t>
  </si>
  <si>
    <t>Amelia McNeal</t>
  </si>
  <si>
    <t>2102 Bay Street</t>
  </si>
  <si>
    <t>xieyu09@gmail.com</t>
  </si>
  <si>
    <t>ilovekids2014@126.com</t>
  </si>
  <si>
    <t>xie</t>
  </si>
  <si>
    <t>Shayla xie</t>
  </si>
  <si>
    <t>1608 E Palmcroft Drive</t>
  </si>
  <si>
    <t>emthornberry3@gmail.com</t>
  </si>
  <si>
    <t>Thornberry</t>
  </si>
  <si>
    <t>Emma Thornberry</t>
  </si>
  <si>
    <t>310 Sanders Rd</t>
  </si>
  <si>
    <t>xfsophialiu@gmail.com</t>
  </si>
  <si>
    <t>ignitethefuturesuns@gmail.com</t>
  </si>
  <si>
    <t>Ronen</t>
  </si>
  <si>
    <t>Huang</t>
  </si>
  <si>
    <t>Ronen Huang</t>
  </si>
  <si>
    <t>6102 115th PL SE</t>
  </si>
  <si>
    <t>eehuang24@gmail.com</t>
  </si>
  <si>
    <t>Elaine Huang</t>
  </si>
  <si>
    <t>liusherry1387@gmail.com</t>
  </si>
  <si>
    <t>jessehu02@gmail.com</t>
  </si>
  <si>
    <t>Hu</t>
  </si>
  <si>
    <t>Jesse Hu</t>
  </si>
  <si>
    <t>1387 E Canyon Creek Dr</t>
  </si>
  <si>
    <t>joeyhu1387@gmail.com</t>
  </si>
  <si>
    <t>Joseph Hu</t>
  </si>
  <si>
    <t>wuxuebin0928@gmail.com</t>
  </si>
  <si>
    <t>imamanda01@gmail.com</t>
  </si>
  <si>
    <t>Gong</t>
  </si>
  <si>
    <t>Amanda Gong</t>
  </si>
  <si>
    <t>1803 w kingbird dr</t>
  </si>
  <si>
    <t>mjefferson@lbcc.org</t>
  </si>
  <si>
    <t>Marley Jefferson</t>
  </si>
  <si>
    <t>10203 Audrey St</t>
  </si>
  <si>
    <t>marktomlet@gmail.com</t>
  </si>
  <si>
    <t>Tomlet</t>
  </si>
  <si>
    <t>Mark Tomlet</t>
  </si>
  <si>
    <t>332 Cabot RD</t>
  </si>
  <si>
    <t>rrkeany@gmail.com</t>
  </si>
  <si>
    <t>Ryan Keany</t>
  </si>
  <si>
    <t>cindyjo@tx.rr.com</t>
  </si>
  <si>
    <t>glenco@tx.rr.com</t>
  </si>
  <si>
    <t>Glen</t>
  </si>
  <si>
    <t>Cockcroft</t>
  </si>
  <si>
    <t>Glen Cockcroft</t>
  </si>
  <si>
    <t>637 Gene Autry Ln.</t>
  </si>
  <si>
    <t>lucyw_tao@yahoo.com</t>
  </si>
  <si>
    <t>sunnyzhao929@hotmail.com</t>
  </si>
  <si>
    <t>Yizhen</t>
  </si>
  <si>
    <t>Yizhen Zhao</t>
  </si>
  <si>
    <t>24815 NE 25th street</t>
  </si>
  <si>
    <t>dvnshire@gmail.com</t>
  </si>
  <si>
    <t>wylutt@gmail.com</t>
  </si>
  <si>
    <t>Wyatt Luttrell</t>
  </si>
  <si>
    <t>909 Daimler Dr</t>
  </si>
  <si>
    <t>Virginia Bech</t>
  </si>
  <si>
    <t>jennybugsweeney@gmail.com</t>
  </si>
  <si>
    <t>Jennifer Sweeney</t>
  </si>
  <si>
    <t>lauraannekushay@gmail.com</t>
  </si>
  <si>
    <t>Kushay</t>
  </si>
  <si>
    <t>Laura Kushay</t>
  </si>
  <si>
    <t>817 Windsor Court</t>
  </si>
  <si>
    <t>schaferreichart@gmail.com</t>
  </si>
  <si>
    <t>Reichart</t>
  </si>
  <si>
    <t>Schafer Reichart</t>
  </si>
  <si>
    <t>4960 Mount Union Ct</t>
  </si>
  <si>
    <t>eliezergoldman2004@gmail.com</t>
  </si>
  <si>
    <t>Eliezer Goldman</t>
  </si>
  <si>
    <t>4730 Brady Rd</t>
  </si>
  <si>
    <t>miaguest20@gmail.com</t>
  </si>
  <si>
    <t>Mia Guest</t>
  </si>
  <si>
    <t>1392 Vista Escondida ct sw</t>
  </si>
  <si>
    <t>bradybenton@yahoo.com</t>
  </si>
  <si>
    <t>William Benton</t>
  </si>
  <si>
    <t>1506 Chatsworth Ave</t>
  </si>
  <si>
    <t>brendanboll@outlook.com</t>
  </si>
  <si>
    <t>Brendan Bollinger</t>
  </si>
  <si>
    <t>Boston Court</t>
  </si>
  <si>
    <t>juliehalvy@aol.com</t>
  </si>
  <si>
    <t>halvdog@gmail.com</t>
  </si>
  <si>
    <t>Halvorsen</t>
  </si>
  <si>
    <t>Peter Halvorsen</t>
  </si>
  <si>
    <t>20 Seaver Street</t>
  </si>
  <si>
    <t>North Easton</t>
  </si>
  <si>
    <t>elkeogh3@gmail.com</t>
  </si>
  <si>
    <t>cnkeogh1@gmail.com</t>
  </si>
  <si>
    <t>Keogh</t>
  </si>
  <si>
    <t>Caleb Keogh</t>
  </si>
  <si>
    <t>50 Princeton Street</t>
  </si>
  <si>
    <t>lauren.welch99@yahoo.com</t>
  </si>
  <si>
    <t>Samuel Welch</t>
  </si>
  <si>
    <t>emmadowney422@gmail.com</t>
  </si>
  <si>
    <t>Emma Downey</t>
  </si>
  <si>
    <t>192 Arrowhwad Lake Road</t>
  </si>
  <si>
    <t>sbmundy@carolina.rr.com</t>
  </si>
  <si>
    <t>Sbmundy@carolina.rr.com</t>
  </si>
  <si>
    <t>Sarah Mundy</t>
  </si>
  <si>
    <t>201 Pebble Stone Lane</t>
  </si>
  <si>
    <t>joannadherrlin@gmail.com</t>
  </si>
  <si>
    <t>Joanna Herrlin</t>
  </si>
  <si>
    <t>gojax13@gmail.com</t>
  </si>
  <si>
    <t>Jacqueline Gonzales</t>
  </si>
  <si>
    <t>1925 Memphis Dr.</t>
  </si>
  <si>
    <t>peja.kris@gmail.com</t>
  </si>
  <si>
    <t>Peja</t>
  </si>
  <si>
    <t>Peja Ortiz</t>
  </si>
  <si>
    <t>536 N. High St.</t>
  </si>
  <si>
    <t>hsong85@yahoo.com</t>
  </si>
  <si>
    <t>Jimmywen74@gmail.com</t>
  </si>
  <si>
    <t>Jimmy</t>
  </si>
  <si>
    <t>Wen</t>
  </si>
  <si>
    <t>Jimmy Wen</t>
  </si>
  <si>
    <t>1028 E Mountain Vista Drive</t>
  </si>
  <si>
    <t>hannahgracewatterson@gmail.com</t>
  </si>
  <si>
    <t>Hannah Watterson</t>
  </si>
  <si>
    <t>utmckayla03@gmail.com</t>
  </si>
  <si>
    <t>McKayla Francis</t>
  </si>
  <si>
    <t>4235 Little Pond ln</t>
  </si>
  <si>
    <t>Hannah@tiburontechnologies.com</t>
  </si>
  <si>
    <t>Hannah Herbst</t>
  </si>
  <si>
    <t>suzshi03@gmail.com</t>
  </si>
  <si>
    <t>Susannah Hourigan</t>
  </si>
  <si>
    <t>1302 North Crystal Terrace</t>
  </si>
  <si>
    <t>Plant City FL 33563</t>
  </si>
  <si>
    <t>eleeacrowe@icloud.com</t>
  </si>
  <si>
    <t>Eleea</t>
  </si>
  <si>
    <t>Eleea Crowe</t>
  </si>
  <si>
    <t>4229 West Buffalo Rd</t>
  </si>
  <si>
    <t>randiehm@hotmail.com</t>
  </si>
  <si>
    <t>kyleekline12@gmail.com</t>
  </si>
  <si>
    <t>kylee</t>
  </si>
  <si>
    <t>kylee Kline</t>
  </si>
  <si>
    <t>713 Crater lake Circle</t>
  </si>
  <si>
    <t>bncook0618@gmail.com</t>
  </si>
  <si>
    <t>emilyc2498@gmail.com</t>
  </si>
  <si>
    <t>Emily Cook</t>
  </si>
  <si>
    <t>135 Alexander Ave</t>
  </si>
  <si>
    <t>lbeech@penguinrandomhouse.com</t>
  </si>
  <si>
    <t>rbeech2022@gmail.com</t>
  </si>
  <si>
    <t>Beech</t>
  </si>
  <si>
    <t>Robert Beech</t>
  </si>
  <si>
    <t>8755 Country Creek Trail</t>
  </si>
  <si>
    <t>abby graddon</t>
  </si>
  <si>
    <t>myaoser@yahoo.com</t>
  </si>
  <si>
    <t>Joshdy7@gmail.com</t>
  </si>
  <si>
    <t>Davis-Yao</t>
  </si>
  <si>
    <t>Joshua Davis-Yao</t>
  </si>
  <si>
    <t>6914 Enns Lane</t>
  </si>
  <si>
    <t>vvaugahn2020@gmail.com</t>
  </si>
  <si>
    <t>Vvaughan2020@gmail.com</t>
  </si>
  <si>
    <t>Victoria Vaughan</t>
  </si>
  <si>
    <t>13764 Silver Lake Rd</t>
  </si>
  <si>
    <t>graceshellhouse@gmail.com</t>
  </si>
  <si>
    <t>Grace Shellhouse</t>
  </si>
  <si>
    <t>isabelruthjune12@gmail.com</t>
  </si>
  <si>
    <t>Isabel Platillero</t>
  </si>
  <si>
    <t>Charis Grant</t>
  </si>
  <si>
    <t>libby.park@comcast.net</t>
  </si>
  <si>
    <t>thekalanipark@gmail.com</t>
  </si>
  <si>
    <t>Kalani</t>
  </si>
  <si>
    <t>Kalani Park</t>
  </si>
  <si>
    <t>11508-107th St. SW</t>
  </si>
  <si>
    <t>skibunny622@gmail.com</t>
  </si>
  <si>
    <t>Paige Davis</t>
  </si>
  <si>
    <t>7103 south Robb st.</t>
  </si>
  <si>
    <t>idamichelle4life@gmail.com</t>
  </si>
  <si>
    <t>Ida</t>
  </si>
  <si>
    <t>Ida Baker</t>
  </si>
  <si>
    <t>2232 Ridge Drive</t>
  </si>
  <si>
    <t>clpavlovic@yahoo.com</t>
  </si>
  <si>
    <t>Pavlovic</t>
  </si>
  <si>
    <t>Emma Pavlovic</t>
  </si>
  <si>
    <t>125 N. 22nd Pl. Unit 29</t>
  </si>
  <si>
    <t>naomipaints@icloud.com</t>
  </si>
  <si>
    <t>Naomi Trstenjak</t>
  </si>
  <si>
    <t>kellyallisonmartin@yahoo.com</t>
  </si>
  <si>
    <t>Kellyallisonmartin@yahoo.com</t>
  </si>
  <si>
    <t>Gauge</t>
  </si>
  <si>
    <t>Gauge Martin</t>
  </si>
  <si>
    <t>113 Boulevard Dr</t>
  </si>
  <si>
    <t>valerieswack@gmail.com</t>
  </si>
  <si>
    <t>kateswack7@gmail.com</t>
  </si>
  <si>
    <t>Swack</t>
  </si>
  <si>
    <t>Katherine Swack</t>
  </si>
  <si>
    <t>9703 Hunt Club Rd</t>
  </si>
  <si>
    <t>jane.swanson@gmail.com</t>
  </si>
  <si>
    <t>Jane Swanson</t>
  </si>
  <si>
    <t>4335 Riverbirch Run</t>
  </si>
  <si>
    <t>bernadettejstowe@gmail.com</t>
  </si>
  <si>
    <t>Mia Stowe</t>
  </si>
  <si>
    <t>204 Bill Doss Ln</t>
  </si>
  <si>
    <t>mjwood2002@yahoo.com</t>
  </si>
  <si>
    <t>19180 Lochmere Court</t>
  </si>
  <si>
    <t>calebbeepathsingh@gmail.com</t>
  </si>
  <si>
    <t>calebeepathsingh@gmail.com</t>
  </si>
  <si>
    <t>Beepathsingh</t>
  </si>
  <si>
    <t>Caleb Beepathsingh</t>
  </si>
  <si>
    <t>17 Magnollia Bay</t>
  </si>
  <si>
    <t>Jbeepathsingh@gmail.com</t>
  </si>
  <si>
    <t>jbeepathsingh@gmail.com</t>
  </si>
  <si>
    <t>Judah Beepathsingh</t>
  </si>
  <si>
    <t>17 Magnolia Bay</t>
  </si>
  <si>
    <t>rhobdy@fccwv.org</t>
  </si>
  <si>
    <t>benjaminlowe18@yahoo.com</t>
  </si>
  <si>
    <t>Benjamin Lowe</t>
  </si>
  <si>
    <t>24 Longspur Way</t>
  </si>
  <si>
    <t>7ERICKSONS@GMAIL.COM</t>
  </si>
  <si>
    <t>924 east 8th street</t>
  </si>
  <si>
    <t>chattanooga</t>
  </si>
  <si>
    <t>coellisfamily@hotmail.com</t>
  </si>
  <si>
    <t>jonasmatthewellis@gmail.com</t>
  </si>
  <si>
    <t>Jonas Ellis</t>
  </si>
  <si>
    <t>350 S. Parfet St</t>
  </si>
  <si>
    <t>cadelycklama@gmail.com</t>
  </si>
  <si>
    <t>Lycklama</t>
  </si>
  <si>
    <t>Cade Lycklama</t>
  </si>
  <si>
    <t>32218 Big Oak Lane</t>
  </si>
  <si>
    <t>Castaic</t>
  </si>
  <si>
    <t>reierson@comcast.net</t>
  </si>
  <si>
    <t>awwjd@icloud.com</t>
  </si>
  <si>
    <t>Reierson</t>
  </si>
  <si>
    <t>Adam Reierson</t>
  </si>
  <si>
    <t>3900 Scott Street</t>
  </si>
  <si>
    <t>Schiller Park</t>
  </si>
  <si>
    <t>wendow1@gmail.com</t>
  </si>
  <si>
    <t>emailallienow@gmail.com</t>
  </si>
  <si>
    <t>Allison Adams</t>
  </si>
  <si>
    <t>8239 W Phillips Ave</t>
  </si>
  <si>
    <t>scott.neese@gmail.com</t>
  </si>
  <si>
    <t>Josiah.neese@gmail.com</t>
  </si>
  <si>
    <t>Neese</t>
  </si>
  <si>
    <t>Josiah Neese</t>
  </si>
  <si>
    <t>1704 Woodland Cir</t>
  </si>
  <si>
    <t>Prescott</t>
  </si>
  <si>
    <t>carltonlieber@gmail.com</t>
  </si>
  <si>
    <t>Carlton Lieberman</t>
  </si>
  <si>
    <t>520 Downing Ct</t>
  </si>
  <si>
    <t>monroe050104@gmail.com</t>
  </si>
  <si>
    <t>acasualusername@gmail.com</t>
  </si>
  <si>
    <t>Noah Monroe</t>
  </si>
  <si>
    <t>29 Jalan Sendudok</t>
  </si>
  <si>
    <t>bethpennellmccollum@yahoo.com</t>
  </si>
  <si>
    <t>joshrmccollum2003@gmail.com</t>
  </si>
  <si>
    <t>Joshua McCollum</t>
  </si>
  <si>
    <t>1200 Ladera Drive</t>
  </si>
  <si>
    <t>dt316rje@gmail.com</t>
  </si>
  <si>
    <t>Ryley</t>
  </si>
  <si>
    <t>Ryley Edwards</t>
  </si>
  <si>
    <t>13627 Vasili Dr.</t>
  </si>
  <si>
    <t>asbred@frontiernet.net</t>
  </si>
  <si>
    <t>Stetson</t>
  </si>
  <si>
    <t>Bredthauer</t>
  </si>
  <si>
    <t>Stetson Bredthauer</t>
  </si>
  <si>
    <t>105 North 18th St.</t>
  </si>
  <si>
    <t>atdavison7@gmail.com</t>
  </si>
  <si>
    <t>cedavison7@gmail.com</t>
  </si>
  <si>
    <t>Cora Davison</t>
  </si>
  <si>
    <t>322 Highland Springs Loop</t>
  </si>
  <si>
    <t>anniedewing@gmail.com</t>
  </si>
  <si>
    <t>Capridewing@gmail.com</t>
  </si>
  <si>
    <t>Capri</t>
  </si>
  <si>
    <t>Capri Dewing</t>
  </si>
  <si>
    <t>3210 Snow Mountain Heights</t>
  </si>
  <si>
    <t>stephanie.philippe55@gmail.com</t>
  </si>
  <si>
    <t>Stephanie Philippe</t>
  </si>
  <si>
    <t>steve@stevecarroll.com</t>
  </si>
  <si>
    <t>wade.carroll@lhsparker.org</t>
  </si>
  <si>
    <t>Wade Carroll</t>
  </si>
  <si>
    <t>9135 Piney Creek Rd</t>
  </si>
  <si>
    <t>karenjakeglover@gmail.com</t>
  </si>
  <si>
    <t>jakehunterglover@icloud.com</t>
  </si>
  <si>
    <t>Jake Glover</t>
  </si>
  <si>
    <t>65 May Rd</t>
  </si>
  <si>
    <t>Potsdam</t>
  </si>
  <si>
    <t>sheilatheune@usa.net</t>
  </si>
  <si>
    <t>Theune</t>
  </si>
  <si>
    <t>Mark Theune</t>
  </si>
  <si>
    <t>jana.lumbert@theacesinc.com</t>
  </si>
  <si>
    <t>ktlumbert@gmail.com</t>
  </si>
  <si>
    <t>Lumbert</t>
  </si>
  <si>
    <t>Kaitlyn Lumbert</t>
  </si>
  <si>
    <t>15257 SW Queens Lace</t>
  </si>
  <si>
    <t>Rose HIll</t>
  </si>
  <si>
    <t>mikeandambermotsch@gmail.com</t>
  </si>
  <si>
    <t>Madalynnmotsch@park6.org</t>
  </si>
  <si>
    <t>Motsch</t>
  </si>
  <si>
    <t>Madalynn Motsch</t>
  </si>
  <si>
    <t>2008 Public street</t>
  </si>
  <si>
    <t>bethanyhengst@yahoo.com</t>
  </si>
  <si>
    <t>david.l.hengst@gmail.com</t>
  </si>
  <si>
    <t>Hengst</t>
  </si>
  <si>
    <t>David Hengst</t>
  </si>
  <si>
    <t>106 Old Rose Drive</t>
  </si>
  <si>
    <t>Sugar Grove</t>
  </si>
  <si>
    <t>489 Call Drive</t>
  </si>
  <si>
    <t>schapfam@gmail.com</t>
  </si>
  <si>
    <t>braydenrschroeder@gmail.com</t>
  </si>
  <si>
    <t>Brayden Schroeder</t>
  </si>
  <si>
    <t>4500 Greenstone Rd.</t>
  </si>
  <si>
    <t>Placerville</t>
  </si>
  <si>
    <t>Ldweagle1@gmail.com</t>
  </si>
  <si>
    <t>Luke Dwiyono</t>
  </si>
  <si>
    <t>2111 W Redwood Dr</t>
  </si>
  <si>
    <t>shadehob@gmail.com</t>
  </si>
  <si>
    <t>jairuswong@icloud.com</t>
  </si>
  <si>
    <t>Jairus</t>
  </si>
  <si>
    <t>Jairus Wong</t>
  </si>
  <si>
    <t>1812 S Comanche Dr</t>
  </si>
  <si>
    <t>tracyleighj1998@gmail.com</t>
  </si>
  <si>
    <t>22cougarjohnsam@availacademy.org</t>
  </si>
  <si>
    <t>Amanda Johnson</t>
  </si>
  <si>
    <t>Pike Lake Drive</t>
  </si>
  <si>
    <t>dbeethe@ordps.org</t>
  </si>
  <si>
    <t>Dawson Beethe</t>
  </si>
  <si>
    <t>105 S 18th St</t>
  </si>
  <si>
    <t>josephmmacfarlane@gmail.com</t>
  </si>
  <si>
    <t>Macfarlane</t>
  </si>
  <si>
    <t>Joseph Macfarlane</t>
  </si>
  <si>
    <t>3060 Avenida del Sol</t>
  </si>
  <si>
    <t>OliviaNS102@gmail.com</t>
  </si>
  <si>
    <t>16124 Magnolia Trace Pkwy</t>
  </si>
  <si>
    <t>hope.r.strunk@gmail.com</t>
  </si>
  <si>
    <t>Strunk</t>
  </si>
  <si>
    <t>Hope Strunk</t>
  </si>
  <si>
    <t>109 3rd Street</t>
  </si>
  <si>
    <t>Winona Lake</t>
  </si>
  <si>
    <t>annbowdish@myfrcs.org</t>
  </si>
  <si>
    <t>Bowdish</t>
  </si>
  <si>
    <t>Anna Bowdish</t>
  </si>
  <si>
    <t>6555 S. Elm Cir</t>
  </si>
  <si>
    <t>spragendaz@gmail.com</t>
  </si>
  <si>
    <t>lasprague808@icloud.com</t>
  </si>
  <si>
    <t>LeighAnna</t>
  </si>
  <si>
    <t>LeighAnna Sprague</t>
  </si>
  <si>
    <t>15931 Longmeadow Ln</t>
  </si>
  <si>
    <t>caldenteyjenn@gmail.com</t>
  </si>
  <si>
    <t>Noahcaldentey@gmail.com</t>
  </si>
  <si>
    <t>Caldentey</t>
  </si>
  <si>
    <t>Noah Caldentey</t>
  </si>
  <si>
    <t>29470 N 113th Lane</t>
  </si>
  <si>
    <t>Christian Hendric</t>
  </si>
  <si>
    <t>980Calle Verde</t>
  </si>
  <si>
    <t>Ohannahs@icloud.com</t>
  </si>
  <si>
    <t>295 Parke St</t>
  </si>
  <si>
    <t>orashed@andersonuniversity.edu</t>
  </si>
  <si>
    <t>noahr20202@gmail.com</t>
  </si>
  <si>
    <t>Rashed</t>
  </si>
  <si>
    <t>Noah Rashed</t>
  </si>
  <si>
    <t>111 Sea Palms Drive</t>
  </si>
  <si>
    <t>mcnicme@gmail.com</t>
  </si>
  <si>
    <t>Joseph Conte</t>
  </si>
  <si>
    <t>2756 Route 737</t>
  </si>
  <si>
    <t>Kempton</t>
  </si>
  <si>
    <t>rylynnblack09@gmail.com</t>
  </si>
  <si>
    <t>Rylynnblack09@gmail.com</t>
  </si>
  <si>
    <t>Rylynn</t>
  </si>
  <si>
    <t>Rylynn Black</t>
  </si>
  <si>
    <t>6776 Silver Star Lane</t>
  </si>
  <si>
    <t>emmaruetz44@gmail.com</t>
  </si>
  <si>
    <t>Ruetz</t>
  </si>
  <si>
    <t>Emma Ruetz</t>
  </si>
  <si>
    <t>11330 E Deadwood Circle</t>
  </si>
  <si>
    <t>tannerhecht02@gmail.com</t>
  </si>
  <si>
    <t>Hecht</t>
  </si>
  <si>
    <t>Tanner Hecht</t>
  </si>
  <si>
    <t>2209 Willow Creek Pl</t>
  </si>
  <si>
    <t>Wamego</t>
  </si>
  <si>
    <t>ajgetz123@gmail.com</t>
  </si>
  <si>
    <t>Adam Getz</t>
  </si>
  <si>
    <t>409 Ohio St.</t>
  </si>
  <si>
    <t>Wabash</t>
  </si>
  <si>
    <t>erobertson753@gmail.com</t>
  </si>
  <si>
    <t>Ethan Robertson</t>
  </si>
  <si>
    <t>1011 Breckinridge Lane</t>
  </si>
  <si>
    <t>laf.lynch@gmail.com</t>
  </si>
  <si>
    <t>lynch.samuel04@gmail.com</t>
  </si>
  <si>
    <t>Samuel Lynch</t>
  </si>
  <si>
    <t>533 Merrimans Lane</t>
  </si>
  <si>
    <t>sophiaku21@gmail.com</t>
  </si>
  <si>
    <t>Ku</t>
  </si>
  <si>
    <t>Sophia Ku</t>
  </si>
  <si>
    <t>2505 Brookside Dr</t>
  </si>
  <si>
    <t>doni@grandefamily.net</t>
  </si>
  <si>
    <t>nate@grandefamily.net</t>
  </si>
  <si>
    <t>Grande</t>
  </si>
  <si>
    <t>Nathaniel Grande</t>
  </si>
  <si>
    <t>5224 Scotsglen Drive</t>
  </si>
  <si>
    <t>drewnlauren1@sbcglobal.net</t>
  </si>
  <si>
    <t>grantrobbins04@gmail.com</t>
  </si>
  <si>
    <t>Grant Robbins</t>
  </si>
  <si>
    <t>4320 Selkirk Drive West</t>
  </si>
  <si>
    <t>powell.ruthann@gmail.com</t>
  </si>
  <si>
    <t>Jonathanpowell623@gmail.com</t>
  </si>
  <si>
    <t>Jonathan Powell</t>
  </si>
  <si>
    <t>5549 Cynthia Lane</t>
  </si>
  <si>
    <t>jenna.benner@oracle.com</t>
  </si>
  <si>
    <t>piercefbenner@gmail.com</t>
  </si>
  <si>
    <t>Benner</t>
  </si>
  <si>
    <t>Pierce Benner</t>
  </si>
  <si>
    <t>2408 Boyd Ave</t>
  </si>
  <si>
    <t>zachatack123@hotmail.com</t>
  </si>
  <si>
    <t>Zachary France</t>
  </si>
  <si>
    <t>24725 E Crestline PL</t>
  </si>
  <si>
    <t>ridobogo@gmail.com</t>
  </si>
  <si>
    <t>Bouzane</t>
  </si>
  <si>
    <t>Richard Bouzane</t>
  </si>
  <si>
    <t>235A Dayton Rd.</t>
  </si>
  <si>
    <t>Jamesburg</t>
  </si>
  <si>
    <t>thewrights@shorttermtrips.org</t>
  </si>
  <si>
    <t>aaron.wright.21@conestogachristian.net</t>
  </si>
  <si>
    <t>Aaron Wright</t>
  </si>
  <si>
    <t>317 Gwynedd court</t>
  </si>
  <si>
    <t>donnalufftaylor@bellsouth.net</t>
  </si>
  <si>
    <t>madelynnicoletaylor@gmail.com</t>
  </si>
  <si>
    <t>Madelyn Nicole</t>
  </si>
  <si>
    <t>Madelyn Nicole Taylor</t>
  </si>
  <si>
    <t>7835 St Marlo Pkwy.</t>
  </si>
  <si>
    <t>hiraminefamily@gmail.com</t>
  </si>
  <si>
    <t>melodyof7roses@gmail.com</t>
  </si>
  <si>
    <t>Hana Hiramine</t>
  </si>
  <si>
    <t>16182 Timber Meadow Drive</t>
  </si>
  <si>
    <t>ceciliaswete@gmail.com</t>
  </si>
  <si>
    <t>nicosette134@gmail.com</t>
  </si>
  <si>
    <t>Swete</t>
  </si>
  <si>
    <t>Nicole Swete</t>
  </si>
  <si>
    <t>39 peach tree place</t>
  </si>
  <si>
    <t>durango</t>
  </si>
  <si>
    <t>gabybreyer@yahoo.com</t>
  </si>
  <si>
    <t>chloevpaff@gmail.com</t>
  </si>
  <si>
    <t>Paff</t>
  </si>
  <si>
    <t>Chloe Paff</t>
  </si>
  <si>
    <t>27732 Estepona</t>
  </si>
  <si>
    <t>aharnish@sbcglobal.net</t>
  </si>
  <si>
    <t>laurelwreath02@yahoo.com</t>
  </si>
  <si>
    <t>Laurel Harnish</t>
  </si>
  <si>
    <t>32251 Shadow Lake Lane</t>
  </si>
  <si>
    <t>rkeenemd@aol.com</t>
  </si>
  <si>
    <t>brynnjobst@gmail.com</t>
  </si>
  <si>
    <t>BRYNN</t>
  </si>
  <si>
    <t>JOBST</t>
  </si>
  <si>
    <t>BRYNN JOBST</t>
  </si>
  <si>
    <t>921 LOMBARDY DRIVE</t>
  </si>
  <si>
    <t>PLANO</t>
  </si>
  <si>
    <t>babreyer@gmail.com</t>
  </si>
  <si>
    <t>Breyer</t>
  </si>
  <si>
    <t>Bianca Breyer</t>
  </si>
  <si>
    <t>59Toulon</t>
  </si>
  <si>
    <t>Foothill Ranch</t>
  </si>
  <si>
    <t>plparker24@netscape.net</t>
  </si>
  <si>
    <t>benjaminparker@clps.info</t>
  </si>
  <si>
    <t>2421 Winton Terr West</t>
  </si>
  <si>
    <t>amvibeto@gmail.com</t>
  </si>
  <si>
    <t>hgvibeto@icloud.com</t>
  </si>
  <si>
    <t>Vibeto</t>
  </si>
  <si>
    <t>Halle Vibeto</t>
  </si>
  <si>
    <t>3509 21st St SE</t>
  </si>
  <si>
    <t>anh37487@bethel.edu</t>
  </si>
  <si>
    <t>Horak</t>
  </si>
  <si>
    <t>Allison Horak</t>
  </si>
  <si>
    <t>5956 189th St. W.</t>
  </si>
  <si>
    <t>106 Grant AVE NE</t>
  </si>
  <si>
    <t>brickhousebrewer@gmail.com</t>
  </si>
  <si>
    <t>Brewcrew10ka@gmail.com</t>
  </si>
  <si>
    <t>Asher Brewer</t>
  </si>
  <si>
    <t>702 Miami St NW</t>
  </si>
  <si>
    <t>carlyen8@gmail.com</t>
  </si>
  <si>
    <t>119 King Fisher Way</t>
  </si>
  <si>
    <t>nsjames23@hotmail.com</t>
  </si>
  <si>
    <t>zjames@liberty.edu</t>
  </si>
  <si>
    <t>Zack James</t>
  </si>
  <si>
    <t>9137 Hillman Way Dr</t>
  </si>
  <si>
    <t>lovincamplife@yahoo.com</t>
  </si>
  <si>
    <t>Lovincamplife@yahoo.com</t>
  </si>
  <si>
    <t>Gillis</t>
  </si>
  <si>
    <t>Shelby Gillis</t>
  </si>
  <si>
    <t>2683 placid view dr</t>
  </si>
  <si>
    <t>Lake placid</t>
  </si>
  <si>
    <t>nathanasherduke@gmail.com</t>
  </si>
  <si>
    <t>Nathan Duke</t>
  </si>
  <si>
    <t>4207 Adrienne Drive</t>
  </si>
  <si>
    <t>erincruver@icloud.com</t>
  </si>
  <si>
    <t>jscruver19@gmail.com</t>
  </si>
  <si>
    <t>Cruver</t>
  </si>
  <si>
    <t>Josiah Cruver</t>
  </si>
  <si>
    <t>240 Surrey Park Drive</t>
  </si>
  <si>
    <t>camilla_bergstrom@icloud.com</t>
  </si>
  <si>
    <t>Camilla</t>
  </si>
  <si>
    <t>Camilla Bergstrom</t>
  </si>
  <si>
    <t>kimbo2710@aol.com</t>
  </si>
  <si>
    <t>elijah.baggett@westminsterknights.org</t>
  </si>
  <si>
    <t>Baggett</t>
  </si>
  <si>
    <t>Elijah Baggett</t>
  </si>
  <si>
    <t>3112 Lake Highland Lane</t>
  </si>
  <si>
    <t>coralloyd@gmail.com</t>
  </si>
  <si>
    <t>1pelgirl@gmail.com</t>
  </si>
  <si>
    <t>Pearl</t>
  </si>
  <si>
    <t>Loyd</t>
  </si>
  <si>
    <t>Pearl Loyd</t>
  </si>
  <si>
    <t>102 N. Pinecrest Rd.</t>
  </si>
  <si>
    <t>anika.c.erickson@gmail.com</t>
  </si>
  <si>
    <t>Anika Erickson</t>
  </si>
  <si>
    <t>deborahmsolid@gmail.com</t>
  </si>
  <si>
    <t>rickysolid0710@gmail.com</t>
  </si>
  <si>
    <t>Solid</t>
  </si>
  <si>
    <t>Richard Solid</t>
  </si>
  <si>
    <t>310 Fowlkes Trace</t>
  </si>
  <si>
    <t>acarv0512@gmail.com</t>
  </si>
  <si>
    <t>Aidan Carvalho</t>
  </si>
  <si>
    <t>26 Chapel Lake N</t>
  </si>
  <si>
    <t>angelina_garcia@pba.edu</t>
  </si>
  <si>
    <t>xoxolina11@yahoo.com</t>
  </si>
  <si>
    <t>Angelina Garcia</t>
  </si>
  <si>
    <t>591 NW 158th Lane</t>
  </si>
  <si>
    <t>Lewisroise@gmail.com</t>
  </si>
  <si>
    <t>Lewis Roise</t>
  </si>
  <si>
    <t>jlplawrence@msn.com</t>
  </si>
  <si>
    <t>elvhhs@gmail.com</t>
  </si>
  <si>
    <t>Eliana Lawrence</t>
  </si>
  <si>
    <t>1908 Highfield Drive</t>
  </si>
  <si>
    <t>grcadenhead77@gmail.com</t>
  </si>
  <si>
    <t>Grcadenhead77@gmail.com</t>
  </si>
  <si>
    <t>Cadenhead</t>
  </si>
  <si>
    <t>Gabriel Cadenhead</t>
  </si>
  <si>
    <t>1405 Bullard Street</t>
  </si>
  <si>
    <t>Cisco</t>
  </si>
  <si>
    <t>jacobflores278@gmail.com</t>
  </si>
  <si>
    <t>Jacobflores278@gmail.com</t>
  </si>
  <si>
    <t>Jacob Flores</t>
  </si>
  <si>
    <t>1205 Avenue F</t>
  </si>
  <si>
    <t>anabelle.s.c@icloud.com</t>
  </si>
  <si>
    <t>Copeland</t>
  </si>
  <si>
    <t>Anabelle Copeland</t>
  </si>
  <si>
    <t>6397 w Prentice Ave</t>
  </si>
  <si>
    <t>campbelllions04@gmail.com</t>
  </si>
  <si>
    <t>Bryan Campbell</t>
  </si>
  <si>
    <t>22826 Allegro Creek</t>
  </si>
  <si>
    <t>William Naughton</t>
  </si>
  <si>
    <t>1017 Toilet Circle</t>
  </si>
  <si>
    <t>khuzadi2017@gmail.com</t>
  </si>
  <si>
    <t>Hollee</t>
  </si>
  <si>
    <t>Khuzadi</t>
  </si>
  <si>
    <t>Hollee Khuzadi</t>
  </si>
  <si>
    <t>lwinn20@gmail.com</t>
  </si>
  <si>
    <t>Mpwinn19@gmail.com</t>
  </si>
  <si>
    <t>Madali</t>
  </si>
  <si>
    <t>Madali Winn</t>
  </si>
  <si>
    <t>221 Davis Rd</t>
  </si>
  <si>
    <t>Andrewemerson2002@gmail.com</t>
  </si>
  <si>
    <t>Andrew Emerson</t>
  </si>
  <si>
    <t>4781 Nandina Ct NW</t>
  </si>
  <si>
    <t>rthartwig@gmail.com</t>
  </si>
  <si>
    <t>halleroo04@icloud.com</t>
  </si>
  <si>
    <t>Hartwig</t>
  </si>
  <si>
    <t>Halle Hartwig</t>
  </si>
  <si>
    <t>7476 S. Harrison Way</t>
  </si>
  <si>
    <t>sblanton@msais.org</t>
  </si>
  <si>
    <t>asblanton31@gmail.com</t>
  </si>
  <si>
    <t>Austin Blanton</t>
  </si>
  <si>
    <t>83 St Andrews Dr.</t>
  </si>
  <si>
    <t>ce304@live.com</t>
  </si>
  <si>
    <t>cy304@icloud.com</t>
  </si>
  <si>
    <t>Chloe Williams</t>
  </si>
  <si>
    <t>124 Woodside Road</t>
  </si>
  <si>
    <t>registerkaris@gmail.com</t>
  </si>
  <si>
    <t>Register</t>
  </si>
  <si>
    <t>Karis Register</t>
  </si>
  <si>
    <t>196 Huntley Oaks Blvd</t>
  </si>
  <si>
    <t>m.s@titusfamily.com</t>
  </si>
  <si>
    <t>Yoyowen.44@gmail.com</t>
  </si>
  <si>
    <t>Owen Titus</t>
  </si>
  <si>
    <t>3704 Brighton Rd</t>
  </si>
  <si>
    <t>anhbarr@gmail.com</t>
  </si>
  <si>
    <t>yellowsunflowers373@gmail.com</t>
  </si>
  <si>
    <t>Emma Barr</t>
  </si>
  <si>
    <t>14201 E. Idaho Pl.</t>
  </si>
  <si>
    <t>calling135@gmail.com</t>
  </si>
  <si>
    <t>Caleb Barr</t>
  </si>
  <si>
    <t>sandymendoza1228@gmail.com</t>
  </si>
  <si>
    <t>Mendoza</t>
  </si>
  <si>
    <t>Sandy Mendoza</t>
  </si>
  <si>
    <t>8213 Willow Glen Ct</t>
  </si>
  <si>
    <t>melissa@mcmlegal.com</t>
  </si>
  <si>
    <t>rymelvance@gmail.com</t>
  </si>
  <si>
    <t>Ryann</t>
  </si>
  <si>
    <t>Ryann Vance</t>
  </si>
  <si>
    <t>1620 Virginia Place</t>
  </si>
  <si>
    <t>sw71@yahoo.com</t>
  </si>
  <si>
    <t>Zachary04walker@gmail.com</t>
  </si>
  <si>
    <t>Zachary Walker</t>
  </si>
  <si>
    <t>5044 E Stonegate Ct</t>
  </si>
  <si>
    <t>teagan.carrington@gmail.com</t>
  </si>
  <si>
    <t>Carrington</t>
  </si>
  <si>
    <t>Teagan Carrington</t>
  </si>
  <si>
    <t>1920 County Road 6</t>
  </si>
  <si>
    <t>ajspalding6@gmail.com</t>
  </si>
  <si>
    <t>Aaron Spalding</t>
  </si>
  <si>
    <t>1040 Farfields Drive</t>
  </si>
  <si>
    <t>joshbowman010116@gmail.com</t>
  </si>
  <si>
    <t>Joshua Bowman</t>
  </si>
  <si>
    <t>19753 Hagen Knoll Dr</t>
  </si>
  <si>
    <t>cevans@southsidechristian.org</t>
  </si>
  <si>
    <t>tthlophe@sabrenation.org</t>
  </si>
  <si>
    <t>Menzi</t>
  </si>
  <si>
    <t>Hlophe</t>
  </si>
  <si>
    <t>Menzi Hlophe</t>
  </si>
  <si>
    <t>198 Raven Falls Lane</t>
  </si>
  <si>
    <t>lanceclark@twc.com</t>
  </si>
  <si>
    <t>Doc</t>
  </si>
  <si>
    <t>Doc Clark</t>
  </si>
  <si>
    <t>1305 Appius Court</t>
  </si>
  <si>
    <t>douglasfree1@gmail.com</t>
  </si>
  <si>
    <t>Nathanfree03@gmail.com</t>
  </si>
  <si>
    <t>Free</t>
  </si>
  <si>
    <t>Nathaniel Free</t>
  </si>
  <si>
    <t>3109 Samara Dr</t>
  </si>
  <si>
    <t>cckastens@msn.com</t>
  </si>
  <si>
    <t>Kastens</t>
  </si>
  <si>
    <t>Paige Kastens</t>
  </si>
  <si>
    <t>16739 E. Prentice Ave.</t>
  </si>
  <si>
    <t>Emily Kastens</t>
  </si>
  <si>
    <t>Jackson Kastens</t>
  </si>
  <si>
    <t>Harveydoogle87@gmail.com</t>
  </si>
  <si>
    <t>Ross Ruprecht</t>
  </si>
  <si>
    <t>vincentemflores@gmail.com</t>
  </si>
  <si>
    <t>Vincente</t>
  </si>
  <si>
    <t>Vincente Flores</t>
  </si>
  <si>
    <t>christinabarnes516@gmail.com</t>
  </si>
  <si>
    <t>Christina Barnes</t>
  </si>
  <si>
    <t>ajware3@charter.net</t>
  </si>
  <si>
    <t>Daniel Ware</t>
  </si>
  <si>
    <t>511 Wagon Trail</t>
  </si>
  <si>
    <t>taggerungj101@gmail.com</t>
  </si>
  <si>
    <t>John Stannard</t>
  </si>
  <si>
    <t>2801 pepper tree lane</t>
  </si>
  <si>
    <t>sgb.butler@aol.com</t>
  </si>
  <si>
    <t>sgb.butler@yahoo.com</t>
  </si>
  <si>
    <t>Sophie Butler</t>
  </si>
  <si>
    <t>200 Live Oak Dr</t>
  </si>
  <si>
    <t>2whitelilylane@gmail.com</t>
  </si>
  <si>
    <t>Janese</t>
  </si>
  <si>
    <t>Janese Hurst</t>
  </si>
  <si>
    <t>3408 Orrstown Road</t>
  </si>
  <si>
    <t>Orrstown</t>
  </si>
  <si>
    <t>mchstnr046@gmail.com</t>
  </si>
  <si>
    <t>Michelle Steiner</t>
  </si>
  <si>
    <t>9825 n 725 w</t>
  </si>
  <si>
    <t>Roann</t>
  </si>
  <si>
    <t>jt111865@gmail.com</t>
  </si>
  <si>
    <t>josthomas@students.ccu.edu</t>
  </si>
  <si>
    <t>Joshua Thomas</t>
  </si>
  <si>
    <t>2871 hwy 22</t>
  </si>
  <si>
    <t>muscatine</t>
  </si>
  <si>
    <t>kyriemhall@gmail.com</t>
  </si>
  <si>
    <t>Kyrie</t>
  </si>
  <si>
    <t>Kyrie Hall</t>
  </si>
  <si>
    <t>319 73rd St</t>
  </si>
  <si>
    <t>#3</t>
  </si>
  <si>
    <t>myjesusmyjoy@gmail.com</t>
  </si>
  <si>
    <t>hartneyaliya@gmail.com</t>
  </si>
  <si>
    <t>Hartney</t>
  </si>
  <si>
    <t>Aliya Hartney</t>
  </si>
  <si>
    <t>1105 Plain View Dr</t>
  </si>
  <si>
    <t>lynnkelly102@gmail.com</t>
  </si>
  <si>
    <t>Laurenk268@gmail.com</t>
  </si>
  <si>
    <t>Lauren Kelly</t>
  </si>
  <si>
    <t>3106 Dorilton Court</t>
  </si>
  <si>
    <t>changchang.peng@gmail.com</t>
  </si>
  <si>
    <t>jeremyliang9@gmail.com</t>
  </si>
  <si>
    <t>Liang</t>
  </si>
  <si>
    <t>Jeremy Liang</t>
  </si>
  <si>
    <t>136 Mistysugar Trail</t>
  </si>
  <si>
    <t>L4J 8T6</t>
  </si>
  <si>
    <t>parcarlittle@gmail.com</t>
  </si>
  <si>
    <t>davelittle789@gmail.com</t>
  </si>
  <si>
    <t>Davis Little</t>
  </si>
  <si>
    <t>294 Holly Haven Ct</t>
  </si>
  <si>
    <t>Mills River</t>
  </si>
  <si>
    <t>aklaws@icloud.com</t>
  </si>
  <si>
    <t>nsantos4048@gmail.com</t>
  </si>
  <si>
    <t>Nayana</t>
  </si>
  <si>
    <t>Nayana Santos</t>
  </si>
  <si>
    <t>midgelc05@gmail.com</t>
  </si>
  <si>
    <t>Margaret Cummings</t>
  </si>
  <si>
    <t>23 Richardson Rd</t>
  </si>
  <si>
    <t>ramabedri101@gmail.com</t>
  </si>
  <si>
    <t>Rama</t>
  </si>
  <si>
    <t>Rama Bedri</t>
  </si>
  <si>
    <t>6547 Ansonia Court</t>
  </si>
  <si>
    <t>ijynerso@gmail.com</t>
  </si>
  <si>
    <t>Avian</t>
  </si>
  <si>
    <t>Avian Hall</t>
  </si>
  <si>
    <t>319 73rd St.</t>
  </si>
  <si>
    <t>sarahklewis10@gmail.com</t>
  </si>
  <si>
    <t>Sarah Lewis</t>
  </si>
  <si>
    <t>301 Highland Court</t>
  </si>
  <si>
    <t>Double Oak</t>
  </si>
  <si>
    <t>efsaxton@gmail.com</t>
  </si>
  <si>
    <t>Emily Saxton</t>
  </si>
  <si>
    <t>3003 Snelling Ave N</t>
  </si>
  <si>
    <t>shaffer.jn11@gmail.com</t>
  </si>
  <si>
    <t>Shaffer.jn11@gmail.com</t>
  </si>
  <si>
    <t>Christina Shaffer</t>
  </si>
  <si>
    <t>6411 N Desert Foothills dr</t>
  </si>
  <si>
    <t>hannaharnold@adamswells.com</t>
  </si>
  <si>
    <t>evan8895@gmail.com</t>
  </si>
  <si>
    <t>Evan Arnold</t>
  </si>
  <si>
    <t>407 w Mill street</t>
  </si>
  <si>
    <t>jeffjserle@outlook.com</t>
  </si>
  <si>
    <t>Serle</t>
  </si>
  <si>
    <t>Jeffrey Serle</t>
  </si>
  <si>
    <t>14 Creek Bluff Run</t>
  </si>
  <si>
    <t>Flagler Beach</t>
  </si>
  <si>
    <t>marit.langley@gmail.com</t>
  </si>
  <si>
    <t>Wislaf.byron@gmail.com</t>
  </si>
  <si>
    <t>Wislaf</t>
  </si>
  <si>
    <t>Wislaf Byron</t>
  </si>
  <si>
    <t>1303 N 6th St.</t>
  </si>
  <si>
    <t>nastewart60@gmail.com</t>
  </si>
  <si>
    <t>Arden</t>
  </si>
  <si>
    <t>Arden Stewart</t>
  </si>
  <si>
    <t>1422 hilltop terr</t>
  </si>
  <si>
    <t>moody</t>
  </si>
  <si>
    <t>beautifullife093@gmail.com</t>
  </si>
  <si>
    <t>Bella</t>
  </si>
  <si>
    <t>Bella Sanders</t>
  </si>
  <si>
    <t>499 Winding Hollow rd</t>
  </si>
  <si>
    <t>stevenvarblow@outlook.com</t>
  </si>
  <si>
    <t>Steven Maurer</t>
  </si>
  <si>
    <t>rachelholland@gmail.com</t>
  </si>
  <si>
    <t>faitheholland@gmail.com</t>
  </si>
  <si>
    <t>Faith Holland</t>
  </si>
  <si>
    <t>14702 Topaz Ct.</t>
  </si>
  <si>
    <t>Ziggyhartney@gmail.com</t>
  </si>
  <si>
    <t>Ziggy</t>
  </si>
  <si>
    <t>Ziggy Hartney</t>
  </si>
  <si>
    <t>erynv@att.net</t>
  </si>
  <si>
    <t>kade.a.vaughan@gmail.com</t>
  </si>
  <si>
    <t>Kade Vaughan</t>
  </si>
  <si>
    <t>1404 Mica Lane</t>
  </si>
  <si>
    <t>ntbbumgarner@yahoo.com</t>
  </si>
  <si>
    <t>wjbumgar@ncsu.edu</t>
  </si>
  <si>
    <t>Bumgarner</t>
  </si>
  <si>
    <t>Will Bumgarner</t>
  </si>
  <si>
    <t>5116 Bella Ridge Drive</t>
  </si>
  <si>
    <t>ruthmiller22@charter.net</t>
  </si>
  <si>
    <t>millercp1@icloud.com</t>
  </si>
  <si>
    <t>Christopher Miller</t>
  </si>
  <si>
    <t>4 Coventry Ct</t>
  </si>
  <si>
    <t>dweber@segmentalwall.com</t>
  </si>
  <si>
    <t>Cole@5weber.com</t>
  </si>
  <si>
    <t>James Weber</t>
  </si>
  <si>
    <t>14618 Glenkirk Rd</t>
  </si>
  <si>
    <t>llmckay@earthlink.net</t>
  </si>
  <si>
    <t>naomibrook6781@gmail.com</t>
  </si>
  <si>
    <t>Naomi McKay</t>
  </si>
  <si>
    <t>6781 Ocean Road</t>
  </si>
  <si>
    <t>adri.diez.asturias@gmail.com</t>
  </si>
  <si>
    <t>Diez Ferreira</t>
  </si>
  <si>
    <t>Adrian Diez Ferreira</t>
  </si>
  <si>
    <t>Urb.Soto de Llanera</t>
  </si>
  <si>
    <t>C/Los Alamos 13</t>
  </si>
  <si>
    <t>Pruvia</t>
  </si>
  <si>
    <t>Asturias</t>
  </si>
  <si>
    <t>paola@fachisthers.com</t>
  </si>
  <si>
    <t>matthew@fachisthers.com</t>
  </si>
  <si>
    <t>Fachisthers</t>
  </si>
  <si>
    <t>Matthew Fachisthers</t>
  </si>
  <si>
    <t>Falk Trace</t>
  </si>
  <si>
    <t>Caden.shiner@gmail.com</t>
  </si>
  <si>
    <t>Caden Shiner</t>
  </si>
  <si>
    <t>Jminor25@mcstangs.org</t>
  </si>
  <si>
    <t>Jason Minor</t>
  </si>
  <si>
    <t>1407 W Golfcourse Rd</t>
  </si>
  <si>
    <t>jdavis25@mcstangs.org</t>
  </si>
  <si>
    <t>Joel Davis</t>
  </si>
  <si>
    <t>2815 W Shandon Ave</t>
  </si>
  <si>
    <t>jbizik25@mcstangs.org</t>
  </si>
  <si>
    <t>Bizik</t>
  </si>
  <si>
    <t>Jacob Bizik</t>
  </si>
  <si>
    <t>1207 Telluride Dr.</t>
  </si>
  <si>
    <t>robbinmail04@gmail.com</t>
  </si>
  <si>
    <t>Jadavid405@gmail.com</t>
  </si>
  <si>
    <t>Swad</t>
  </si>
  <si>
    <t>Jake Swad</t>
  </si>
  <si>
    <t>3497 Harbor Circle</t>
  </si>
  <si>
    <t>lptavares@optonline.net</t>
  </si>
  <si>
    <t>Davitav@optonline.net</t>
  </si>
  <si>
    <t>David Tavares</t>
  </si>
  <si>
    <t>551 Openaki Road</t>
  </si>
  <si>
    <t>godsgirlshoppy@gmail.com</t>
  </si>
  <si>
    <t>Shoplock</t>
  </si>
  <si>
    <t>Isabel Shoplock</t>
  </si>
  <si>
    <t>4109 W. Spring House Dr.</t>
  </si>
  <si>
    <t>cr.larue@yahoo.com</t>
  </si>
  <si>
    <t>cr.larue03@gmail.com</t>
  </si>
  <si>
    <t>Caleb LaRue</t>
  </si>
  <si>
    <t>211 Sendera Dr</t>
  </si>
  <si>
    <t>Early</t>
  </si>
  <si>
    <t>dave.mellema@sbcglobal.net</t>
  </si>
  <si>
    <t>kenisyn.mellema@gmail.com</t>
  </si>
  <si>
    <t>Kenisyn</t>
  </si>
  <si>
    <t>Mellema</t>
  </si>
  <si>
    <t>Kenisyn Mellema</t>
  </si>
  <si>
    <t>13727 W 82nd Street</t>
  </si>
  <si>
    <t>morganherman1103@gmail.com</t>
  </si>
  <si>
    <t>Morgan Herman</t>
  </si>
  <si>
    <t>416 Deepstream Crossing</t>
  </si>
  <si>
    <t>tjboone@lanicom.com</t>
  </si>
  <si>
    <t>lkboone@lanicom.com</t>
  </si>
  <si>
    <t>Laurie</t>
  </si>
  <si>
    <t>Laurie Boone</t>
  </si>
  <si>
    <t>3010 N Washington Rd</t>
  </si>
  <si>
    <t>weeghefam@yahoo.com</t>
  </si>
  <si>
    <t>Leahvanhooreweghe@gmail.com</t>
  </si>
  <si>
    <t>Van Hooreweghe</t>
  </si>
  <si>
    <t>Leah Van Hooreweghe</t>
  </si>
  <si>
    <t>3335 Blackberry Ln</t>
  </si>
  <si>
    <t>emmak513@icloud.com</t>
  </si>
  <si>
    <t>Emma Wilson</t>
  </si>
  <si>
    <t>1005 SE Westwoods Dr.</t>
  </si>
  <si>
    <t>viviangkellen@gmail.com</t>
  </si>
  <si>
    <t>karen.carlson@carlsonengineeringinc.com</t>
  </si>
  <si>
    <t>elcarls@okstate.edu</t>
  </si>
  <si>
    <t>carlson</t>
  </si>
  <si>
    <t>elizabeth carlson</t>
  </si>
  <si>
    <t>1409 Nettle Lane</t>
  </si>
  <si>
    <t>kmrutler@gmail.com</t>
  </si>
  <si>
    <t>Rutler</t>
  </si>
  <si>
    <t>Kathleen Rutler</t>
  </si>
  <si>
    <t>13750 W 13th Ct N</t>
  </si>
  <si>
    <t>hiamyjo@gmail.com</t>
  </si>
  <si>
    <t>wyguy0414@gmail.com</t>
  </si>
  <si>
    <t>Wyatt Oliver</t>
  </si>
  <si>
    <t>508 Fairdale St</t>
  </si>
  <si>
    <t>gkwilliams14@gmail.com</t>
  </si>
  <si>
    <t>Grace Williams</t>
  </si>
  <si>
    <t>114 thornapple tr</t>
  </si>
  <si>
    <t>delaware</t>
  </si>
  <si>
    <t>kelly48430@icloud.com</t>
  </si>
  <si>
    <t>Isaac12anderson@gmail.com</t>
  </si>
  <si>
    <t>Isaac Anderson</t>
  </si>
  <si>
    <t>johndr@greenimaging.net</t>
  </si>
  <si>
    <t>GrantChristopherDraper@gmail.com</t>
  </si>
  <si>
    <t>Grant Draper</t>
  </si>
  <si>
    <t>7941 Katy Frwy 196</t>
  </si>
  <si>
    <t>marciebharper@gmail.com</t>
  </si>
  <si>
    <t>danielharper1025@gmail.com</t>
  </si>
  <si>
    <t>Daniel Harper</t>
  </si>
  <si>
    <t>3 Belair Terrace</t>
  </si>
  <si>
    <t>michael.natalie@live.com</t>
  </si>
  <si>
    <t>Aidan Boyer</t>
  </si>
  <si>
    <t>224 stone gate court</t>
  </si>
  <si>
    <t>justinandsara@gmail.com</t>
  </si>
  <si>
    <t>allie.hotz@protonmail.com</t>
  </si>
  <si>
    <t>Hotz</t>
  </si>
  <si>
    <t>Allie Hotz</t>
  </si>
  <si>
    <t>3010 Snow Mountain Hts</t>
  </si>
  <si>
    <t>flowers_tl@hotmail.com</t>
  </si>
  <si>
    <t>broflo222@gmail.com</t>
  </si>
  <si>
    <t>Brooklynn Flowers</t>
  </si>
  <si>
    <t>7204 Hunters Ridge Ln</t>
  </si>
  <si>
    <t>caroline@hicksweb.net</t>
  </si>
  <si>
    <t>Caroline Hicks</t>
  </si>
  <si>
    <t>6607 Itasca St</t>
  </si>
  <si>
    <t>calebplat8@gmail.com</t>
  </si>
  <si>
    <t>Calebplat8@gmail.com</t>
  </si>
  <si>
    <t>Caleb Platillero</t>
  </si>
  <si>
    <t>502 E. Lamar Alexander Pkwy</t>
  </si>
  <si>
    <t>summit-min@thelongestemailaddressever.com</t>
  </si>
  <si>
    <t>Endlich</t>
  </si>
  <si>
    <t>Matthew Endlich</t>
  </si>
  <si>
    <t>51 barrington farms ct</t>
  </si>
  <si>
    <t>sharpsburg</t>
  </si>
  <si>
    <t>Bluefalcon2412@gmail.com</t>
  </si>
  <si>
    <t>Samuel Johns</t>
  </si>
  <si>
    <t>6350 Alfred Harrell Highway</t>
  </si>
  <si>
    <t>carrilsa0501@gmail.com</t>
  </si>
  <si>
    <t>d.andre121702@gmail.com</t>
  </si>
  <si>
    <t>Diego Carrillo</t>
  </si>
  <si>
    <t>1906 Summit Drive</t>
  </si>
  <si>
    <t>spetersimes@gmail.com</t>
  </si>
  <si>
    <t>cnpetersimes@gmail.com</t>
  </si>
  <si>
    <t>Petersimes</t>
  </si>
  <si>
    <t>Cole Petersimes</t>
  </si>
  <si>
    <t>6326 N. Section Line</t>
  </si>
  <si>
    <t>Radnor</t>
  </si>
  <si>
    <t>kingchadwell@gmail.com</t>
  </si>
  <si>
    <t>jacksonchadwell@gmail.com</t>
  </si>
  <si>
    <t>Chadwell</t>
  </si>
  <si>
    <t>Jackson Chadwell</t>
  </si>
  <si>
    <t>2313 Dovewoiod Estates Court</t>
  </si>
  <si>
    <t>Jack02iv@gmail.com</t>
  </si>
  <si>
    <t>jake@gracelife.com</t>
  </si>
  <si>
    <t>Ferris</t>
  </si>
  <si>
    <t>Jake Ferris</t>
  </si>
  <si>
    <t>200 Sage Road</t>
  </si>
  <si>
    <t>Chapel Hill</t>
  </si>
  <si>
    <t>toscakinchelow@gmail.com</t>
  </si>
  <si>
    <t>Brokay61@outlook.com</t>
  </si>
  <si>
    <t>Christian Kulendran</t>
  </si>
  <si>
    <t>6100 banyan terrace</t>
  </si>
  <si>
    <t>linxianjin2004@gmail.com</t>
  </si>
  <si>
    <t>LinXian</t>
  </si>
  <si>
    <t>LinXian Jin</t>
  </si>
  <si>
    <t>javasarah74@yahoo.com</t>
  </si>
  <si>
    <t>alliethesweetgirl@yahoo.com</t>
  </si>
  <si>
    <t>Allisan</t>
  </si>
  <si>
    <t>Allisan Jamison</t>
  </si>
  <si>
    <t>17356 E. Crestridge Ave.</t>
  </si>
  <si>
    <t>burberryj26@gmail.com</t>
  </si>
  <si>
    <t>Burberry</t>
  </si>
  <si>
    <t>Jack Burberry</t>
  </si>
  <si>
    <t>22652 SE 271st ST</t>
  </si>
  <si>
    <t>Maple Valley</t>
  </si>
  <si>
    <t>threv@sjlocks.com</t>
  </si>
  <si>
    <t>03dextere@athensk12.org</t>
  </si>
  <si>
    <t>Emma Dexter</t>
  </si>
  <si>
    <t>1161 Rustic Hills Dr</t>
  </si>
  <si>
    <t>Union City</t>
  </si>
  <si>
    <t>stevenazer04@gmail.com</t>
  </si>
  <si>
    <t>azer</t>
  </si>
  <si>
    <t>Steven azer</t>
  </si>
  <si>
    <t>7480 Addison</t>
  </si>
  <si>
    <t>bethanymercedes@gmail.com</t>
  </si>
  <si>
    <t>Bethany Bull</t>
  </si>
  <si>
    <t>11561 N Buntrock Ave</t>
  </si>
  <si>
    <t>Mequon</t>
  </si>
  <si>
    <t>bellastarr11@icloud.com</t>
  </si>
  <si>
    <t>Bellastarr11@icloud.com</t>
  </si>
  <si>
    <t>Bellastarr</t>
  </si>
  <si>
    <t>Jakresky</t>
  </si>
  <si>
    <t>Bellastarr Jakresky</t>
  </si>
  <si>
    <t>38 W Glenlake Ave</t>
  </si>
  <si>
    <t>Roselle</t>
  </si>
  <si>
    <t>soozeecranford@gmail.com</t>
  </si>
  <si>
    <t>Samuel Zornes</t>
  </si>
  <si>
    <t>euphoriathedayspa@yahoo.com</t>
  </si>
  <si>
    <t>christlynbailey@gmail.com</t>
  </si>
  <si>
    <t>Christlyn-June</t>
  </si>
  <si>
    <t>Christlyn-June Bailey</t>
  </si>
  <si>
    <t>12407 Blossomwood Dr</t>
  </si>
  <si>
    <t>Kaitlynmmr7@gmail.com</t>
  </si>
  <si>
    <t>Kaitlyn Ryder</t>
  </si>
  <si>
    <t>2561 Hearth Stone Dr.</t>
  </si>
  <si>
    <t>carolynne@thesilverstream.com</t>
  </si>
  <si>
    <t>jadenlarson3@gmail.com</t>
  </si>
  <si>
    <t>Jaden Larson</t>
  </si>
  <si>
    <t>9680 NE Blackcap LN</t>
  </si>
  <si>
    <t>Newberg</t>
  </si>
  <si>
    <t>larsontoria@gmail.com</t>
  </si>
  <si>
    <t>Toria Larson</t>
  </si>
  <si>
    <t>schultz5fam@gmail.com</t>
  </si>
  <si>
    <t>7charlieschultz7@gmail.com</t>
  </si>
  <si>
    <t>Charlie Schultz</t>
  </si>
  <si>
    <t>14930 Sulky Way</t>
  </si>
  <si>
    <t>jfarms4@verizon.net</t>
  </si>
  <si>
    <t>Landonhoffmanrock@gmail.com</t>
  </si>
  <si>
    <t>Landon Hoffman</t>
  </si>
  <si>
    <t>7148 Poole Jones rd</t>
  </si>
  <si>
    <t>jathanrentfrow@gmail.com</t>
  </si>
  <si>
    <t>Jathanrentfrow@gmail.com</t>
  </si>
  <si>
    <t>Jathan</t>
  </si>
  <si>
    <t>Rentfrow</t>
  </si>
  <si>
    <t>Jathan Rentfrow</t>
  </si>
  <si>
    <t>3200 S Lemay</t>
  </si>
  <si>
    <t>heatherparkhurst76@gmail.com</t>
  </si>
  <si>
    <t>Ethan.parkhurst8112@gmail.com</t>
  </si>
  <si>
    <t>Parkhurst</t>
  </si>
  <si>
    <t>Ethan Parkhurst</t>
  </si>
  <si>
    <t>310 Thelma Dr</t>
  </si>
  <si>
    <t>celk255@gmail.com</t>
  </si>
  <si>
    <t>Konigstein</t>
  </si>
  <si>
    <t>Celina Konigstein</t>
  </si>
  <si>
    <t>PO Box 230</t>
  </si>
  <si>
    <t>canyonmoore04@gmail.com</t>
  </si>
  <si>
    <t>Canyon Moore</t>
  </si>
  <si>
    <t>651 Old Ferry Road</t>
  </si>
  <si>
    <t>christy@christycolemanrealestate.com</t>
  </si>
  <si>
    <t>camillecoleman5665@gmail.com</t>
  </si>
  <si>
    <t>Camille Coleman</t>
  </si>
  <si>
    <t>1024 Victoria Square</t>
  </si>
  <si>
    <t>gilmangolfer@gmail.com</t>
  </si>
  <si>
    <t>Holden</t>
  </si>
  <si>
    <t>Holden Gilman</t>
  </si>
  <si>
    <t>3120 Blue Bell Farms Road</t>
  </si>
  <si>
    <t>tiffany.matthews@hotmail.com</t>
  </si>
  <si>
    <t>looney.tooney@hotmail.com</t>
  </si>
  <si>
    <t>Alana Matthews</t>
  </si>
  <si>
    <t>22041 East Stroll Ave</t>
  </si>
  <si>
    <t>annabelle.castrellon@gmail.com</t>
  </si>
  <si>
    <t>10717 dreher rd</t>
  </si>
  <si>
    <t>Little rock</t>
  </si>
  <si>
    <t>bigmacchristensen@gmail.com</t>
  </si>
  <si>
    <t>Matthew Christensen</t>
  </si>
  <si>
    <t>mahoney.kathleenj@gmail.com</t>
  </si>
  <si>
    <t>kohl@sunsage.com</t>
  </si>
  <si>
    <t>dawson@sunsage.com</t>
  </si>
  <si>
    <t>Dawson Kohl</t>
  </si>
  <si>
    <t>3 Rowan Lane</t>
  </si>
  <si>
    <t>Riverstick</t>
  </si>
  <si>
    <t>Cork</t>
  </si>
  <si>
    <t>P43 CK12</t>
  </si>
  <si>
    <t>atlee@sunsage.com</t>
  </si>
  <si>
    <t>Atlee Kohl</t>
  </si>
  <si>
    <t>lola@sunsage.com</t>
  </si>
  <si>
    <t>Lola</t>
  </si>
  <si>
    <t>Lola Kohl</t>
  </si>
  <si>
    <t>witmersamt@gmail.com</t>
  </si>
  <si>
    <t>Samuel Witmer</t>
  </si>
  <si>
    <t>3800 Krystal Dr.</t>
  </si>
  <si>
    <t>pitkanensofia_@hotmail.com</t>
  </si>
  <si>
    <t>aili.wiggins2@gmail.com</t>
  </si>
  <si>
    <t>Aili</t>
  </si>
  <si>
    <t>Aili Wiggins</t>
  </si>
  <si>
    <t>206 Taft Ave</t>
  </si>
  <si>
    <t>alicesonbarger@gmail.com</t>
  </si>
  <si>
    <t>Aliceson</t>
  </si>
  <si>
    <t>Barger</t>
  </si>
  <si>
    <t>Aliceson Barger</t>
  </si>
  <si>
    <t>180 Potter Br Rd</t>
  </si>
  <si>
    <t>negronco@gmail.com</t>
  </si>
  <si>
    <t>Whitewolfpup777@gmail.com</t>
  </si>
  <si>
    <t>Sara√≠</t>
  </si>
  <si>
    <t>Negr√≥n-Kavetsky</t>
  </si>
  <si>
    <t>Sara√≠ Negr√≥n-Kavetsky</t>
  </si>
  <si>
    <t>12009 Grammar Lane</t>
  </si>
  <si>
    <t>rldgs6@gmail.com</t>
  </si>
  <si>
    <t>Madlyn</t>
  </si>
  <si>
    <t>Dages</t>
  </si>
  <si>
    <t>Madlyn Dages</t>
  </si>
  <si>
    <t>301 E Knott Street</t>
  </si>
  <si>
    <t>jpgood5724@gmail.com</t>
  </si>
  <si>
    <t>Goodlin</t>
  </si>
  <si>
    <t>Joseph Goodlin</t>
  </si>
  <si>
    <t>5724 Hidden Falls Lane</t>
  </si>
  <si>
    <t>ian.m.henderson.0125@gmail.com</t>
  </si>
  <si>
    <t>Ian Henderson</t>
  </si>
  <si>
    <t>16747 Deveronne Circle</t>
  </si>
  <si>
    <t>elijah.t.reitz@gmail.com</t>
  </si>
  <si>
    <t>Elijah Reitz</t>
  </si>
  <si>
    <t>4morepetrichor@gmail.com</t>
  </si>
  <si>
    <t>Rebekah Fliegel</t>
  </si>
  <si>
    <t>13009 E Bethany Place</t>
  </si>
  <si>
    <t>31giftsbylaura@bellsouth.net</t>
  </si>
  <si>
    <t>ryanbailey2003@icloud.com</t>
  </si>
  <si>
    <t>Ryan Bailey</t>
  </si>
  <si>
    <t>123 Jolomic Lane</t>
  </si>
  <si>
    <t>osobieborchert365@gmail.com</t>
  </si>
  <si>
    <t>Osobie</t>
  </si>
  <si>
    <t>Osobie Borchert</t>
  </si>
  <si>
    <t>2614 W. Prospect Rd</t>
  </si>
  <si>
    <t>ktlyn4light@icloud.com</t>
  </si>
  <si>
    <t>Katelyn Holloway</t>
  </si>
  <si>
    <t>11656 Farnese Heights</t>
  </si>
  <si>
    <t>jennifer.duck@amaisd.org</t>
  </si>
  <si>
    <t>Elladuck2@gmail.com</t>
  </si>
  <si>
    <t>Duck</t>
  </si>
  <si>
    <t>Ella Duck</t>
  </si>
  <si>
    <t>2112 Briarwood</t>
  </si>
  <si>
    <t>bkmillar@gmail.com</t>
  </si>
  <si>
    <t>kayamillar.school@gmail.com</t>
  </si>
  <si>
    <t>Kaya</t>
  </si>
  <si>
    <t>Kaya Millar</t>
  </si>
  <si>
    <t>2009 Lanneau Ln</t>
  </si>
  <si>
    <t>Johns Island</t>
  </si>
  <si>
    <t>family@quickpen.net</t>
  </si>
  <si>
    <t>Anna@quickpen.net</t>
  </si>
  <si>
    <t>Anna Allen</t>
  </si>
  <si>
    <t>446 Meadowview Cove</t>
  </si>
  <si>
    <t>West Point</t>
  </si>
  <si>
    <t>julianaday36@gmail.com</t>
  </si>
  <si>
    <t>danielday139@gmail.com</t>
  </si>
  <si>
    <t>Daniel Day</t>
  </si>
  <si>
    <t>10318-139 Street</t>
  </si>
  <si>
    <t>T5N2K4</t>
  </si>
  <si>
    <t>student-app1@outlook.com</t>
  </si>
  <si>
    <t>Junpeng</t>
  </si>
  <si>
    <t>Junpeng Li</t>
  </si>
  <si>
    <t>Rm301 Bld23 No.586 Yinchuan Rd</t>
  </si>
  <si>
    <t>Urumqi</t>
  </si>
  <si>
    <t>Xinjiang</t>
  </si>
  <si>
    <t>ajtwinter@gmail.com</t>
  </si>
  <si>
    <t>Ajtwinter@gmail.com</t>
  </si>
  <si>
    <t>Aaron Joseph</t>
  </si>
  <si>
    <t>Aaron Joseph Winter</t>
  </si>
  <si>
    <t>9903 Johnson Dr.</t>
  </si>
  <si>
    <t>jr@joseramos.nyc</t>
  </si>
  <si>
    <t>aridisaramos@gmail.com</t>
  </si>
  <si>
    <t>Aridis</t>
  </si>
  <si>
    <t>Aridis Ramos</t>
  </si>
  <si>
    <t>1150 Grand Concourse Apt 4L</t>
  </si>
  <si>
    <t>littlebig2003@gmail.com</t>
  </si>
  <si>
    <t>Hauser</t>
  </si>
  <si>
    <t>Connor Hauser</t>
  </si>
  <si>
    <t>8437 Caddis ct.</t>
  </si>
  <si>
    <t>hannahjoymacfarlane@gmail.com</t>
  </si>
  <si>
    <t>Hannah Macfarlane</t>
  </si>
  <si>
    <t>soccergirlab14@gmail.com</t>
  </si>
  <si>
    <t>Baddorf</t>
  </si>
  <si>
    <t>Aria Baddorf</t>
  </si>
  <si>
    <t>418 Pond Cove Court</t>
  </si>
  <si>
    <t>whitewolfpup0707@gmail.com</t>
  </si>
  <si>
    <t>Sarai</t>
  </si>
  <si>
    <t>Negron-Kavetsky</t>
  </si>
  <si>
    <t>Sarai Negron-Kavetsky</t>
  </si>
  <si>
    <t>t.knittel@yahoo.com</t>
  </si>
  <si>
    <t>Knittelacademy@gmail.com</t>
  </si>
  <si>
    <t>Kyle Knittel</t>
  </si>
  <si>
    <t>ellagerster6@gmail.com</t>
  </si>
  <si>
    <t>Gerster</t>
  </si>
  <si>
    <t>Ella Gerster</t>
  </si>
  <si>
    <t>2414 Dallas Creek Court</t>
  </si>
  <si>
    <t>chteacher2014@gmail.com</t>
  </si>
  <si>
    <t>ionsurvolt336@gmail.com</t>
  </si>
  <si>
    <t>Dang</t>
  </si>
  <si>
    <t>Joshua Dang</t>
  </si>
  <si>
    <t>1306 Morrill Ave</t>
  </si>
  <si>
    <t>andihunt2022@gmail.com</t>
  </si>
  <si>
    <t>Andrea Hunt</t>
  </si>
  <si>
    <t>1161 North Division Street</t>
  </si>
  <si>
    <t>kenzietenpas@gmail.com</t>
  </si>
  <si>
    <t>Kenzie Tenpas</t>
  </si>
  <si>
    <t>thesavannahsimpson@gmail.com</t>
  </si>
  <si>
    <t>savannahsimpson@gracelife.church</t>
  </si>
  <si>
    <t>Savannah Simpson</t>
  </si>
  <si>
    <t>501 Clemson Rd</t>
  </si>
  <si>
    <t>wyattthiessen2001@gmail.com</t>
  </si>
  <si>
    <t>wyatthiessen2001@gmail.com</t>
  </si>
  <si>
    <t>Wyatt Thiessen</t>
  </si>
  <si>
    <t>8221 N 73rd pl</t>
  </si>
  <si>
    <t>scottsdale</t>
  </si>
  <si>
    <t>edwardmohr@bellsouth.net</t>
  </si>
  <si>
    <t>Mohr</t>
  </si>
  <si>
    <t>Thomas Mohr</t>
  </si>
  <si>
    <t>PO Box 528</t>
  </si>
  <si>
    <t>Bostwick</t>
  </si>
  <si>
    <t>makgracedunn@gmail.com</t>
  </si>
  <si>
    <t>Makgracedunn@gmail.com</t>
  </si>
  <si>
    <t>Makenna Dunn</t>
  </si>
  <si>
    <t>508 Briarwyck drive</t>
  </si>
  <si>
    <t>mjohnvilla32@gmail.com</t>
  </si>
  <si>
    <t>Villatoro</t>
  </si>
  <si>
    <t>Matthew Villatoro</t>
  </si>
  <si>
    <t>46 meakin ave</t>
  </si>
  <si>
    <t>Rochelle Park</t>
  </si>
  <si>
    <t>eleanoradams03@gmail.com</t>
  </si>
  <si>
    <t>Ellie Adams</t>
  </si>
  <si>
    <t>845 SE High Street</t>
  </si>
  <si>
    <t>Pullman</t>
  </si>
  <si>
    <t>1161 N Lakeshore Dr</t>
  </si>
  <si>
    <t>Ludington</t>
  </si>
  <si>
    <t>brianna.polanco@habronx.org</t>
  </si>
  <si>
    <t>Polanco</t>
  </si>
  <si>
    <t>Brianna Polanco</t>
  </si>
  <si>
    <t>2265 Sedgwick Ave.</t>
  </si>
  <si>
    <t>Apt. 6L</t>
  </si>
  <si>
    <t>sdfertig18@aol.com</t>
  </si>
  <si>
    <t>Sdfertig18@aol.com</t>
  </si>
  <si>
    <t>Fertig</t>
  </si>
  <si>
    <t>Sheridan Fertig</t>
  </si>
  <si>
    <t>8806 Blue Mesa Rd</t>
  </si>
  <si>
    <t>samuelkent103@gmail.com</t>
  </si>
  <si>
    <t>700 Neosho St</t>
  </si>
  <si>
    <t>jenwolfe23@gmail.com</t>
  </si>
  <si>
    <t>bekahloveshockey@gmail.com</t>
  </si>
  <si>
    <t>Rebekah Wolfe</t>
  </si>
  <si>
    <t>1017 Calle De Lepanto</t>
  </si>
  <si>
    <t>nathanael@burleys.org</t>
  </si>
  <si>
    <t>Burley</t>
  </si>
  <si>
    <t>Nathanael Burley</t>
  </si>
  <si>
    <t>570 sw stepien Rd</t>
  </si>
  <si>
    <t>srasatx@att.net</t>
  </si>
  <si>
    <t>eliras2002@gmail.com</t>
  </si>
  <si>
    <t>ELI</t>
  </si>
  <si>
    <t>RASMUSSEN</t>
  </si>
  <si>
    <t>ELI RASMUSSEN</t>
  </si>
  <si>
    <t>121 CHARMSTONE LANE</t>
  </si>
  <si>
    <t>GEORGETOWN</t>
  </si>
  <si>
    <t>nicolena.barnet@gmail.com</t>
  </si>
  <si>
    <t>Nicolena</t>
  </si>
  <si>
    <t>Barnet</t>
  </si>
  <si>
    <t>Nicolena Barnet</t>
  </si>
  <si>
    <t>15313 Vireoglen Ln</t>
  </si>
  <si>
    <t>rubypelley@sbcglobal.net</t>
  </si>
  <si>
    <t>Pelley</t>
  </si>
  <si>
    <t>Ruby Pelley</t>
  </si>
  <si>
    <t>1189 Giesse Drive</t>
  </si>
  <si>
    <t>Mayfield Heights</t>
  </si>
  <si>
    <t>giannagerster@gmail.com</t>
  </si>
  <si>
    <t>Gianna</t>
  </si>
  <si>
    <t>Gianna Gerster</t>
  </si>
  <si>
    <t>2414 Dallas Creek Ct.</t>
  </si>
  <si>
    <t>sethmooney405@gmail.com</t>
  </si>
  <si>
    <t>Seth Mooney</t>
  </si>
  <si>
    <t>20006 Texas Laurel Trl.</t>
  </si>
  <si>
    <t>dannymgstudent@gmail.com</t>
  </si>
  <si>
    <t>Dannymgstudent@gmail.com</t>
  </si>
  <si>
    <t>Miramontes</t>
  </si>
  <si>
    <t>Daniel Miramontes</t>
  </si>
  <si>
    <t>1622 Ensenada way</t>
  </si>
  <si>
    <t>heimane4@yahoo.com</t>
  </si>
  <si>
    <t>Heimane4@yahoo.com</t>
  </si>
  <si>
    <t>Heiman</t>
  </si>
  <si>
    <t>Emma Heiman</t>
  </si>
  <si>
    <t>17 Clinton St</t>
  </si>
  <si>
    <t>Dansville</t>
  </si>
  <si>
    <t>MDROKES@GMAIL.COM</t>
  </si>
  <si>
    <t>opus8four@gmail.com</t>
  </si>
  <si>
    <t>Rokes</t>
  </si>
  <si>
    <t>Alissa Rokes</t>
  </si>
  <si>
    <t>8155 Poco Rd</t>
  </si>
  <si>
    <t>Maggie.yamane@gmail.com</t>
  </si>
  <si>
    <t>Maggie Yamane</t>
  </si>
  <si>
    <t>10539 Endview Dr</t>
  </si>
  <si>
    <t>kieya.hakein@habronx.org</t>
  </si>
  <si>
    <t>Kieya.hakein@habronx.org</t>
  </si>
  <si>
    <t>Kieya</t>
  </si>
  <si>
    <t>Hakein</t>
  </si>
  <si>
    <t>Kieya Hakein</t>
  </si>
  <si>
    <t>837e229th st</t>
  </si>
  <si>
    <t>kristal@timandkris.com</t>
  </si>
  <si>
    <t>kayley.m.franklin@gmail.com</t>
  </si>
  <si>
    <t>Kayley Franklin</t>
  </si>
  <si>
    <t>671 Regas Dr</t>
  </si>
  <si>
    <t>cindysmcquinn@gmail.com</t>
  </si>
  <si>
    <t>aidanjmcquinn@gmail.com</t>
  </si>
  <si>
    <t>McQuinn</t>
  </si>
  <si>
    <t>Aidan McQuinn</t>
  </si>
  <si>
    <t>18420 20th Avenue N</t>
  </si>
  <si>
    <t>jchen1095@gmail.com</t>
  </si>
  <si>
    <t>Jennifer Chen</t>
  </si>
  <si>
    <t>20 Audobon Road</t>
  </si>
  <si>
    <t>mistylynn_barnes@yahoo.com</t>
  </si>
  <si>
    <t>katelyn.barnes16@yahoo.com</t>
  </si>
  <si>
    <t>Katelyn Barnes</t>
  </si>
  <si>
    <t>350 Lower BonAir Road</t>
  </si>
  <si>
    <t>wonjung650118@gmail.com</t>
  </si>
  <si>
    <t>youngpark2802@gmail.com</t>
  </si>
  <si>
    <t>Young Jin</t>
  </si>
  <si>
    <t>Young Jin Park</t>
  </si>
  <si>
    <t>2802 Chelsea Ct.</t>
  </si>
  <si>
    <t>kewen.cslbush@gmail.com</t>
  </si>
  <si>
    <t>Kewen</t>
  </si>
  <si>
    <t>Kewen Bush</t>
  </si>
  <si>
    <t>6989 Cameron Rd.</t>
  </si>
  <si>
    <t>iscoreonyou21@gmail.com</t>
  </si>
  <si>
    <t>Connery</t>
  </si>
  <si>
    <t>Kiley Connery</t>
  </si>
  <si>
    <t>10849 W. Nosean Rd.</t>
  </si>
  <si>
    <t>ashergym02@gmail.com</t>
  </si>
  <si>
    <t>Halsey</t>
  </si>
  <si>
    <t>Asher Halsey</t>
  </si>
  <si>
    <t>7820 Ridgebrook Dr</t>
  </si>
  <si>
    <t>cgrassmyer4cc@gmail.com</t>
  </si>
  <si>
    <t>jmgcreativestudios@gmail.com</t>
  </si>
  <si>
    <t>Grassmyer</t>
  </si>
  <si>
    <t>Jonathan Grassmyer</t>
  </si>
  <si>
    <t>2490 Broad St.</t>
  </si>
  <si>
    <t>bbarlow@wlgbc.com</t>
  </si>
  <si>
    <t>Barlow</t>
  </si>
  <si>
    <t>Bruce Barlow</t>
  </si>
  <si>
    <t>104 Fifth St</t>
  </si>
  <si>
    <t>legoironstar@gmail.com</t>
  </si>
  <si>
    <t>Bohdan</t>
  </si>
  <si>
    <t>Bohdan Rector</t>
  </si>
  <si>
    <t>15231 E Radcliff Dr</t>
  </si>
  <si>
    <t>sandezisrael@gmail.com</t>
  </si>
  <si>
    <t>Israel</t>
  </si>
  <si>
    <t>Sandez</t>
  </si>
  <si>
    <t>Israel Sandez</t>
  </si>
  <si>
    <t>400 Limestone APT 616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</si>
</sst>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Calibri"/>
      <scheme val="minor"/>
    </font>
    <font>
      <b/>
      <sz val="12.0"/>
      <color theme="1"/>
      <name val="Calibri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1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2.67"/>
    <col customWidth="1" min="2" max="2" width="42.78"/>
    <col customWidth="1" min="3" max="3" width="46.0"/>
    <col customWidth="1" min="4" max="4" width="21.44"/>
    <col customWidth="1" min="5" max="5" width="19.67"/>
    <col customWidth="1" min="6" max="6" width="17.44"/>
    <col customWidth="1" min="7" max="7" width="9.67"/>
    <col customWidth="1" min="8" max="8" width="26.33"/>
    <col customWidth="1" min="9" max="9" width="31.33"/>
    <col customWidth="1" min="10" max="10" width="17.67"/>
    <col customWidth="1" min="11" max="11" width="19.78"/>
    <col customWidth="1" min="12" max="12" width="9.44"/>
    <col customWidth="1" min="13" max="13" width="10.0"/>
    <col customWidth="1" min="14" max="14" width="15.3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ht="15.75" customHeight="1">
      <c r="A2" s="2">
        <v>2013.0</v>
      </c>
      <c r="B2" s="2" t="s">
        <v>14</v>
      </c>
      <c r="C2" s="2" t="s">
        <v>14</v>
      </c>
      <c r="D2" s="2" t="str">
        <f>"704-333-4004"</f>
        <v>704-333-4004</v>
      </c>
      <c r="E2" s="2" t="s">
        <v>15</v>
      </c>
      <c r="F2" s="2" t="s">
        <v>16</v>
      </c>
      <c r="G2" s="2" t="str">
        <f>"SR-15"</f>
        <v>SR-15</v>
      </c>
      <c r="H2" s="2" t="s">
        <v>17</v>
      </c>
      <c r="I2" s="2" t="s">
        <v>18</v>
      </c>
      <c r="K2" s="2" t="s">
        <v>19</v>
      </c>
      <c r="L2" s="2" t="s">
        <v>20</v>
      </c>
      <c r="M2" s="2">
        <v>28207.0</v>
      </c>
      <c r="N2" s="2" t="s">
        <v>21</v>
      </c>
    </row>
    <row r="3" ht="15.75" customHeight="1">
      <c r="A3" s="2">
        <v>2013.0</v>
      </c>
      <c r="B3" s="2" t="s">
        <v>22</v>
      </c>
      <c r="C3" s="2" t="s">
        <v>23</v>
      </c>
      <c r="D3" s="2" t="str">
        <f>"616 485-6023"</f>
        <v>616 485-6023</v>
      </c>
      <c r="E3" s="2" t="s">
        <v>24</v>
      </c>
      <c r="F3" s="2" t="s">
        <v>25</v>
      </c>
      <c r="G3" s="2" t="str">
        <f>"SR-13"</f>
        <v>SR-13</v>
      </c>
      <c r="H3" s="2" t="s">
        <v>26</v>
      </c>
      <c r="I3" s="2" t="s">
        <v>27</v>
      </c>
      <c r="K3" s="2" t="s">
        <v>28</v>
      </c>
      <c r="L3" s="2" t="s">
        <v>29</v>
      </c>
      <c r="M3" s="2">
        <v>49301.0</v>
      </c>
      <c r="N3" s="2" t="s">
        <v>21</v>
      </c>
    </row>
    <row r="4" ht="15.75" customHeight="1">
      <c r="A4" s="2">
        <v>2013.0</v>
      </c>
      <c r="B4" s="2" t="s">
        <v>30</v>
      </c>
      <c r="C4" s="2" t="s">
        <v>30</v>
      </c>
      <c r="D4" s="2" t="str">
        <f>"704-442-9383"</f>
        <v>704-442-9383</v>
      </c>
      <c r="E4" s="2" t="s">
        <v>15</v>
      </c>
      <c r="F4" s="2" t="s">
        <v>31</v>
      </c>
      <c r="G4" s="2" t="str">
        <f>"SR-14"</f>
        <v>SR-14</v>
      </c>
      <c r="H4" s="2" t="s">
        <v>32</v>
      </c>
      <c r="I4" s="2" t="s">
        <v>33</v>
      </c>
      <c r="K4" s="2" t="s">
        <v>19</v>
      </c>
      <c r="L4" s="2" t="s">
        <v>20</v>
      </c>
      <c r="M4" s="2">
        <v>28207.0</v>
      </c>
      <c r="N4" s="2" t="s">
        <v>21</v>
      </c>
    </row>
    <row r="5" ht="15.75" customHeight="1">
      <c r="A5" s="2">
        <v>2013.0</v>
      </c>
      <c r="B5" s="2" t="s">
        <v>34</v>
      </c>
      <c r="C5" s="2" t="s">
        <v>35</v>
      </c>
      <c r="D5" s="2" t="str">
        <f>"616-485-0986"</f>
        <v>616-485-0986</v>
      </c>
      <c r="E5" s="2" t="s">
        <v>36</v>
      </c>
      <c r="F5" s="2" t="s">
        <v>37</v>
      </c>
      <c r="G5" s="2" t="str">
        <f>"SR-10"</f>
        <v>SR-10</v>
      </c>
      <c r="H5" s="2" t="s">
        <v>38</v>
      </c>
      <c r="I5" s="2" t="s">
        <v>39</v>
      </c>
      <c r="K5" s="2" t="s">
        <v>40</v>
      </c>
      <c r="L5" s="2" t="s">
        <v>29</v>
      </c>
      <c r="M5" s="2">
        <v>49525.0</v>
      </c>
      <c r="N5" s="2" t="s">
        <v>21</v>
      </c>
    </row>
    <row r="6" ht="15.75" customHeight="1">
      <c r="A6" s="2">
        <v>2013.0</v>
      </c>
      <c r="B6" s="2" t="s">
        <v>41</v>
      </c>
      <c r="C6" s="2" t="s">
        <v>42</v>
      </c>
      <c r="D6" s="2" t="str">
        <f>"517-265-5563"</f>
        <v>517-265-5563</v>
      </c>
      <c r="E6" s="2" t="s">
        <v>43</v>
      </c>
      <c r="F6" s="2" t="s">
        <v>44</v>
      </c>
      <c r="G6" s="2" t="str">
        <f>"SR-35"</f>
        <v>SR-35</v>
      </c>
      <c r="H6" s="2" t="s">
        <v>45</v>
      </c>
      <c r="I6" s="2" t="s">
        <v>46</v>
      </c>
      <c r="K6" s="2" t="s">
        <v>47</v>
      </c>
      <c r="L6" s="2" t="s">
        <v>29</v>
      </c>
      <c r="M6" s="2">
        <v>49221.0</v>
      </c>
      <c r="N6" s="2" t="s">
        <v>21</v>
      </c>
    </row>
    <row r="7" ht="15.75" customHeight="1">
      <c r="A7" s="2">
        <v>2013.0</v>
      </c>
      <c r="B7" s="2" t="s">
        <v>48</v>
      </c>
      <c r="C7" s="2" t="s">
        <v>49</v>
      </c>
      <c r="D7" s="2" t="str">
        <f>"864-414-1130"</f>
        <v>864-414-1130</v>
      </c>
      <c r="E7" s="2" t="s">
        <v>50</v>
      </c>
      <c r="F7" s="2" t="s">
        <v>51</v>
      </c>
      <c r="G7" s="2" t="str">
        <f>"SR-12"</f>
        <v>SR-12</v>
      </c>
      <c r="H7" s="2" t="s">
        <v>52</v>
      </c>
      <c r="I7" s="2" t="s">
        <v>53</v>
      </c>
      <c r="K7" s="2" t="s">
        <v>54</v>
      </c>
      <c r="L7" s="2" t="s">
        <v>55</v>
      </c>
      <c r="M7" s="2">
        <v>29615.0</v>
      </c>
      <c r="N7" s="2" t="s">
        <v>21</v>
      </c>
    </row>
    <row r="8" ht="15.75" customHeight="1">
      <c r="A8" s="2">
        <v>2013.0</v>
      </c>
      <c r="B8" s="2" t="s">
        <v>56</v>
      </c>
      <c r="C8" s="2" t="s">
        <v>56</v>
      </c>
      <c r="D8" s="2" t="str">
        <f>"(320)-235-6456"</f>
        <v>(320)-235-6456</v>
      </c>
      <c r="E8" s="2" t="s">
        <v>57</v>
      </c>
      <c r="F8" s="2" t="s">
        <v>58</v>
      </c>
      <c r="G8" s="2" t="str">
        <f>"SR-26"</f>
        <v>SR-26</v>
      </c>
      <c r="H8" s="2" t="s">
        <v>59</v>
      </c>
      <c r="I8" s="2" t="s">
        <v>60</v>
      </c>
      <c r="K8" s="2" t="s">
        <v>61</v>
      </c>
      <c r="L8" s="2" t="s">
        <v>62</v>
      </c>
      <c r="M8" s="2">
        <v>56201.0</v>
      </c>
      <c r="N8" s="2" t="s">
        <v>21</v>
      </c>
    </row>
    <row r="9" ht="15.75" customHeight="1">
      <c r="A9" s="2">
        <v>2013.0</v>
      </c>
      <c r="B9" s="2" t="s">
        <v>63</v>
      </c>
      <c r="C9" s="2" t="s">
        <v>64</v>
      </c>
      <c r="D9" s="2" t="str">
        <f>"909-815-8756"</f>
        <v>909-815-8756</v>
      </c>
      <c r="E9" s="2" t="s">
        <v>65</v>
      </c>
      <c r="F9" s="2" t="s">
        <v>66</v>
      </c>
      <c r="G9" s="2" t="str">
        <f>"SR-40"</f>
        <v>SR-40</v>
      </c>
      <c r="H9" s="2" t="s">
        <v>67</v>
      </c>
      <c r="I9" s="2" t="s">
        <v>68</v>
      </c>
      <c r="K9" s="2" t="s">
        <v>69</v>
      </c>
      <c r="L9" s="2" t="s">
        <v>70</v>
      </c>
      <c r="M9" s="2">
        <v>99516.0</v>
      </c>
      <c r="N9" s="2" t="s">
        <v>21</v>
      </c>
    </row>
    <row r="10" ht="15.75" customHeight="1">
      <c r="A10" s="2">
        <v>2013.0</v>
      </c>
      <c r="B10" s="2" t="s">
        <v>71</v>
      </c>
      <c r="D10" s="2" t="str">
        <f>"320-235-4893"</f>
        <v>320-235-4893</v>
      </c>
      <c r="E10" s="2" t="s">
        <v>72</v>
      </c>
      <c r="F10" s="2" t="s">
        <v>73</v>
      </c>
      <c r="G10" s="2" t="str">
        <f>"SR-28"</f>
        <v>SR-28</v>
      </c>
      <c r="H10" s="2" t="s">
        <v>74</v>
      </c>
      <c r="I10" s="2" t="s">
        <v>75</v>
      </c>
      <c r="K10" s="2" t="s">
        <v>61</v>
      </c>
      <c r="L10" s="2" t="s">
        <v>62</v>
      </c>
      <c r="M10" s="2">
        <v>56201.0</v>
      </c>
      <c r="N10" s="2" t="s">
        <v>21</v>
      </c>
    </row>
    <row r="11" ht="15.75" customHeight="1">
      <c r="A11" s="2">
        <v>2013.0</v>
      </c>
      <c r="B11" s="2" t="s">
        <v>76</v>
      </c>
      <c r="D11" s="2" t="str">
        <f>""</f>
        <v/>
      </c>
      <c r="E11" s="2" t="s">
        <v>77</v>
      </c>
      <c r="F11" s="2" t="s">
        <v>78</v>
      </c>
      <c r="G11" s="2" t="str">
        <f>"SR-25"</f>
        <v>SR-25</v>
      </c>
      <c r="H11" s="2" t="s">
        <v>79</v>
      </c>
      <c r="N11" s="2" t="s">
        <v>21</v>
      </c>
    </row>
    <row r="12" ht="15.75" customHeight="1">
      <c r="A12" s="2">
        <v>2013.0</v>
      </c>
      <c r="B12" s="2" t="s">
        <v>80</v>
      </c>
      <c r="C12" s="2" t="s">
        <v>80</v>
      </c>
      <c r="D12" s="2" t="str">
        <f>"509-933-4688"</f>
        <v>509-933-4688</v>
      </c>
      <c r="E12" s="2" t="s">
        <v>81</v>
      </c>
      <c r="F12" s="2" t="s">
        <v>82</v>
      </c>
      <c r="G12" s="2" t="str">
        <f>"SR-50"</f>
        <v>SR-50</v>
      </c>
      <c r="H12" s="2" t="s">
        <v>83</v>
      </c>
      <c r="I12" s="2" t="s">
        <v>84</v>
      </c>
      <c r="K12" s="2" t="s">
        <v>85</v>
      </c>
      <c r="L12" s="2" t="s">
        <v>86</v>
      </c>
      <c r="M12" s="2">
        <v>98926.0</v>
      </c>
      <c r="N12" s="2" t="s">
        <v>21</v>
      </c>
    </row>
    <row r="13" ht="15.75" customHeight="1">
      <c r="A13" s="2">
        <v>2013.0</v>
      </c>
      <c r="B13" s="2" t="s">
        <v>87</v>
      </c>
      <c r="C13" s="2" t="s">
        <v>87</v>
      </c>
      <c r="D13" s="2" t="str">
        <f>"320-222-3013"</f>
        <v>320-222-3013</v>
      </c>
      <c r="E13" s="2" t="s">
        <v>88</v>
      </c>
      <c r="F13" s="2" t="s">
        <v>89</v>
      </c>
      <c r="G13" s="2" t="str">
        <f>"SR-52"</f>
        <v>SR-52</v>
      </c>
      <c r="H13" s="2" t="s">
        <v>90</v>
      </c>
      <c r="I13" s="2" t="s">
        <v>91</v>
      </c>
      <c r="K13" s="2" t="s">
        <v>61</v>
      </c>
      <c r="L13" s="2" t="s">
        <v>62</v>
      </c>
      <c r="M13" s="2">
        <v>56201.0</v>
      </c>
      <c r="N13" s="2" t="s">
        <v>21</v>
      </c>
    </row>
    <row r="14" ht="15.75" customHeight="1">
      <c r="A14" s="2">
        <v>2013.0</v>
      </c>
      <c r="B14" s="2" t="s">
        <v>92</v>
      </c>
      <c r="C14" s="2" t="s">
        <v>92</v>
      </c>
      <c r="D14" s="2" t="str">
        <f>"3202904436"</f>
        <v>3202904436</v>
      </c>
      <c r="E14" s="2" t="s">
        <v>93</v>
      </c>
      <c r="F14" s="2" t="s">
        <v>94</v>
      </c>
      <c r="G14" s="2" t="str">
        <f>"SR-34"</f>
        <v>SR-34</v>
      </c>
      <c r="H14" s="2" t="s">
        <v>95</v>
      </c>
      <c r="I14" s="2" t="s">
        <v>96</v>
      </c>
      <c r="K14" s="2" t="s">
        <v>97</v>
      </c>
      <c r="L14" s="2" t="s">
        <v>62</v>
      </c>
      <c r="M14" s="2">
        <v>56362.0</v>
      </c>
      <c r="N14" s="2" t="s">
        <v>21</v>
      </c>
    </row>
    <row r="15" ht="15.75" customHeight="1">
      <c r="A15" s="2">
        <v>2013.0</v>
      </c>
      <c r="B15" s="2" t="s">
        <v>98</v>
      </c>
      <c r="C15" s="2" t="s">
        <v>99</v>
      </c>
      <c r="D15" s="2" t="str">
        <f>"309-256-6404"</f>
        <v>309-256-6404</v>
      </c>
      <c r="E15" s="2" t="s">
        <v>100</v>
      </c>
      <c r="F15" s="2" t="s">
        <v>101</v>
      </c>
      <c r="G15" s="2" t="str">
        <f>"SR-42"</f>
        <v>SR-42</v>
      </c>
      <c r="H15" s="2" t="s">
        <v>102</v>
      </c>
      <c r="I15" s="2" t="s">
        <v>103</v>
      </c>
      <c r="K15" s="2" t="s">
        <v>104</v>
      </c>
      <c r="L15" s="2" t="s">
        <v>105</v>
      </c>
      <c r="M15" s="2">
        <v>61614.0</v>
      </c>
      <c r="N15" s="2" t="s">
        <v>21</v>
      </c>
    </row>
    <row r="16" ht="15.75" customHeight="1">
      <c r="A16" s="2">
        <v>2013.0</v>
      </c>
      <c r="B16" s="2" t="s">
        <v>98</v>
      </c>
      <c r="C16" s="2" t="s">
        <v>106</v>
      </c>
      <c r="D16" s="2" t="str">
        <f>"8475324193"</f>
        <v>8475324193</v>
      </c>
      <c r="E16" s="2" t="s">
        <v>107</v>
      </c>
      <c r="F16" s="2" t="s">
        <v>108</v>
      </c>
      <c r="G16" s="2" t="str">
        <f>"SR-43"</f>
        <v>SR-43</v>
      </c>
      <c r="H16" s="2" t="s">
        <v>109</v>
      </c>
      <c r="I16" s="2" t="s">
        <v>110</v>
      </c>
      <c r="K16" s="2" t="s">
        <v>111</v>
      </c>
      <c r="L16" s="2" t="s">
        <v>105</v>
      </c>
      <c r="M16" s="2">
        <v>61571.0</v>
      </c>
      <c r="N16" s="2" t="s">
        <v>21</v>
      </c>
    </row>
    <row r="17" ht="15.75" customHeight="1">
      <c r="A17" s="2">
        <v>2013.0</v>
      </c>
      <c r="B17" s="2" t="s">
        <v>98</v>
      </c>
      <c r="C17" s="2" t="s">
        <v>112</v>
      </c>
      <c r="D17" s="2" t="str">
        <f>"(309) 673-3959"</f>
        <v>(309) 673-3959</v>
      </c>
      <c r="E17" s="2" t="s">
        <v>113</v>
      </c>
      <c r="F17" s="2" t="s">
        <v>114</v>
      </c>
      <c r="G17" s="2" t="str">
        <f>"SR-45"</f>
        <v>SR-45</v>
      </c>
      <c r="H17" s="2" t="s">
        <v>115</v>
      </c>
      <c r="I17" s="2" t="s">
        <v>116</v>
      </c>
      <c r="K17" s="2" t="s">
        <v>117</v>
      </c>
      <c r="L17" s="2" t="s">
        <v>105</v>
      </c>
      <c r="M17" s="2">
        <v>61604.0</v>
      </c>
      <c r="N17" s="2" t="s">
        <v>21</v>
      </c>
    </row>
    <row r="18" ht="15.75" customHeight="1">
      <c r="A18" s="2">
        <v>2013.0</v>
      </c>
      <c r="B18" s="2" t="s">
        <v>98</v>
      </c>
      <c r="C18" s="2" t="s">
        <v>118</v>
      </c>
      <c r="D18" s="2" t="str">
        <f>"309-696-7016"</f>
        <v>309-696-7016</v>
      </c>
      <c r="E18" s="2" t="s">
        <v>119</v>
      </c>
      <c r="F18" s="2" t="s">
        <v>120</v>
      </c>
      <c r="G18" s="2" t="str">
        <f>"SR-46"</f>
        <v>SR-46</v>
      </c>
      <c r="H18" s="2" t="s">
        <v>121</v>
      </c>
      <c r="I18" s="2" t="s">
        <v>122</v>
      </c>
      <c r="K18" s="2" t="s">
        <v>123</v>
      </c>
      <c r="L18" s="2" t="s">
        <v>105</v>
      </c>
      <c r="M18" s="2">
        <v>61611.0</v>
      </c>
      <c r="N18" s="2" t="s">
        <v>21</v>
      </c>
    </row>
    <row r="19" ht="15.75" customHeight="1">
      <c r="A19" s="2">
        <v>2013.0</v>
      </c>
      <c r="B19" s="2" t="s">
        <v>98</v>
      </c>
      <c r="D19" s="2" t="str">
        <f>""</f>
        <v/>
      </c>
      <c r="E19" s="2" t="s">
        <v>124</v>
      </c>
      <c r="F19" s="2" t="s">
        <v>125</v>
      </c>
      <c r="G19" s="2" t="str">
        <f>"SR-47"</f>
        <v>SR-47</v>
      </c>
      <c r="H19" s="2" t="s">
        <v>126</v>
      </c>
      <c r="N19" s="2" t="s">
        <v>21</v>
      </c>
    </row>
    <row r="20" ht="15.75" customHeight="1">
      <c r="A20" s="2">
        <v>2013.0</v>
      </c>
      <c r="B20" s="2" t="s">
        <v>98</v>
      </c>
      <c r="C20" s="2" t="s">
        <v>127</v>
      </c>
      <c r="D20" s="2" t="str">
        <f>"309-360-3671"</f>
        <v>309-360-3671</v>
      </c>
      <c r="E20" s="2" t="s">
        <v>65</v>
      </c>
      <c r="F20" s="2" t="s">
        <v>128</v>
      </c>
      <c r="G20" s="2" t="str">
        <f>"SR-49"</f>
        <v>SR-49</v>
      </c>
      <c r="H20" s="2" t="s">
        <v>129</v>
      </c>
      <c r="I20" s="2" t="s">
        <v>130</v>
      </c>
      <c r="K20" s="2" t="s">
        <v>104</v>
      </c>
      <c r="L20" s="2" t="s">
        <v>105</v>
      </c>
      <c r="M20" s="2">
        <v>61614.0</v>
      </c>
      <c r="N20" s="2" t="s">
        <v>21</v>
      </c>
    </row>
    <row r="21" ht="15.75" customHeight="1">
      <c r="A21" s="2">
        <v>2013.0</v>
      </c>
      <c r="B21" s="2" t="s">
        <v>98</v>
      </c>
      <c r="C21" s="2" t="s">
        <v>131</v>
      </c>
      <c r="D21" s="2" t="str">
        <f>"309-693-6485"</f>
        <v>309-693-6485</v>
      </c>
      <c r="E21" s="2" t="s">
        <v>132</v>
      </c>
      <c r="F21" s="2" t="s">
        <v>133</v>
      </c>
      <c r="G21" s="2" t="str">
        <f>"SR-53"</f>
        <v>SR-53</v>
      </c>
      <c r="H21" s="2" t="s">
        <v>134</v>
      </c>
      <c r="I21" s="2" t="s">
        <v>135</v>
      </c>
      <c r="K21" s="2" t="s">
        <v>104</v>
      </c>
      <c r="L21" s="2" t="s">
        <v>105</v>
      </c>
      <c r="M21" s="2">
        <v>61614.0</v>
      </c>
      <c r="N21" s="2" t="s">
        <v>21</v>
      </c>
    </row>
    <row r="22" ht="15.75" customHeight="1">
      <c r="A22" s="2">
        <v>2013.0</v>
      </c>
      <c r="B22" s="2" t="s">
        <v>136</v>
      </c>
      <c r="C22" s="2" t="s">
        <v>136</v>
      </c>
      <c r="D22" s="2" t="str">
        <f>"(716) 672-5118"</f>
        <v>(716) 672-5118</v>
      </c>
      <c r="E22" s="2" t="s">
        <v>137</v>
      </c>
      <c r="F22" s="2" t="s">
        <v>138</v>
      </c>
      <c r="G22" s="2" t="str">
        <f>"SR-64"</f>
        <v>SR-64</v>
      </c>
      <c r="H22" s="2" t="s">
        <v>139</v>
      </c>
      <c r="I22" s="2" t="s">
        <v>140</v>
      </c>
      <c r="K22" s="2" t="s">
        <v>141</v>
      </c>
      <c r="L22" s="2" t="s">
        <v>142</v>
      </c>
      <c r="M22" s="2">
        <v>14063.0</v>
      </c>
      <c r="N22" s="2" t="s">
        <v>21</v>
      </c>
    </row>
    <row r="23" ht="15.75" customHeight="1">
      <c r="A23" s="2">
        <v>2013.0</v>
      </c>
      <c r="B23" s="2" t="s">
        <v>143</v>
      </c>
      <c r="C23" s="2" t="s">
        <v>143</v>
      </c>
      <c r="D23" s="2" t="str">
        <f>"812-424-8044"</f>
        <v>812-424-8044</v>
      </c>
      <c r="E23" s="2" t="s">
        <v>144</v>
      </c>
      <c r="F23" s="2" t="s">
        <v>145</v>
      </c>
      <c r="G23" s="2" t="str">
        <f>"SR-68"</f>
        <v>SR-68</v>
      </c>
      <c r="H23" s="2" t="s">
        <v>146</v>
      </c>
      <c r="I23" s="2" t="s">
        <v>147</v>
      </c>
      <c r="K23" s="2" t="s">
        <v>148</v>
      </c>
      <c r="L23" s="2" t="s">
        <v>149</v>
      </c>
      <c r="M23" s="2">
        <v>47712.0</v>
      </c>
      <c r="N23" s="2" t="s">
        <v>21</v>
      </c>
    </row>
    <row r="24" ht="15.75" customHeight="1">
      <c r="A24" s="2">
        <v>2013.0</v>
      </c>
      <c r="B24" s="2" t="s">
        <v>150</v>
      </c>
      <c r="C24" s="2" t="s">
        <v>151</v>
      </c>
      <c r="D24" s="2" t="str">
        <f>"970-846-9759"</f>
        <v>970-846-9759</v>
      </c>
      <c r="E24" s="2" t="s">
        <v>152</v>
      </c>
      <c r="F24" s="2" t="s">
        <v>153</v>
      </c>
      <c r="G24" s="2" t="str">
        <f>"SR-69"</f>
        <v>SR-69</v>
      </c>
      <c r="H24" s="2" t="s">
        <v>154</v>
      </c>
      <c r="I24" s="2" t="s">
        <v>155</v>
      </c>
      <c r="K24" s="2" t="s">
        <v>156</v>
      </c>
      <c r="L24" s="2" t="s">
        <v>157</v>
      </c>
      <c r="M24" s="2">
        <v>80487.0</v>
      </c>
      <c r="N24" s="2" t="s">
        <v>21</v>
      </c>
    </row>
    <row r="25" ht="15.75" customHeight="1">
      <c r="A25" s="2">
        <v>2013.0</v>
      </c>
      <c r="B25" s="2" t="s">
        <v>158</v>
      </c>
      <c r="C25" s="2" t="s">
        <v>159</v>
      </c>
      <c r="D25" s="2" t="str">
        <f>"5713314200"</f>
        <v>5713314200</v>
      </c>
      <c r="E25" s="2" t="s">
        <v>160</v>
      </c>
      <c r="F25" s="2" t="s">
        <v>161</v>
      </c>
      <c r="G25" s="2" t="str">
        <f>"SR-74"</f>
        <v>SR-74</v>
      </c>
      <c r="H25" s="2" t="s">
        <v>162</v>
      </c>
      <c r="I25" s="2" t="s">
        <v>163</v>
      </c>
      <c r="K25" s="2" t="s">
        <v>164</v>
      </c>
      <c r="L25" s="2" t="s">
        <v>165</v>
      </c>
      <c r="M25" s="2">
        <v>20105.0</v>
      </c>
      <c r="N25" s="2" t="s">
        <v>21</v>
      </c>
    </row>
    <row r="26" ht="15.75" customHeight="1">
      <c r="A26" s="2">
        <v>2013.0</v>
      </c>
      <c r="B26" s="2" t="s">
        <v>166</v>
      </c>
      <c r="C26" s="2" t="s">
        <v>166</v>
      </c>
      <c r="D26" s="2" t="str">
        <f>"214-731-9193"</f>
        <v>214-731-9193</v>
      </c>
      <c r="E26" s="2" t="s">
        <v>167</v>
      </c>
      <c r="F26" s="2" t="s">
        <v>168</v>
      </c>
      <c r="G26" s="2" t="str">
        <f>"SR-22"</f>
        <v>SR-22</v>
      </c>
      <c r="H26" s="2" t="s">
        <v>169</v>
      </c>
      <c r="I26" s="2" t="s">
        <v>170</v>
      </c>
      <c r="K26" s="2" t="s">
        <v>171</v>
      </c>
      <c r="L26" s="2" t="s">
        <v>172</v>
      </c>
      <c r="M26" s="2">
        <v>75007.0</v>
      </c>
      <c r="N26" s="2" t="s">
        <v>21</v>
      </c>
    </row>
    <row r="27" ht="15.75" customHeight="1">
      <c r="A27" s="2">
        <v>2013.0</v>
      </c>
      <c r="B27" s="2" t="s">
        <v>173</v>
      </c>
      <c r="C27" s="2" t="s">
        <v>173</v>
      </c>
      <c r="D27" s="2" t="str">
        <f>"7177767072"</f>
        <v>7177767072</v>
      </c>
      <c r="E27" s="2" t="s">
        <v>174</v>
      </c>
      <c r="F27" s="2" t="s">
        <v>175</v>
      </c>
      <c r="G27" s="2" t="str">
        <f>"SR-62"</f>
        <v>SR-62</v>
      </c>
      <c r="H27" s="2" t="s">
        <v>176</v>
      </c>
      <c r="I27" s="2" t="s">
        <v>177</v>
      </c>
      <c r="K27" s="2" t="s">
        <v>178</v>
      </c>
      <c r="L27" s="2" t="s">
        <v>179</v>
      </c>
      <c r="M27" s="2">
        <v>17241.0</v>
      </c>
      <c r="N27" s="2" t="s">
        <v>21</v>
      </c>
    </row>
    <row r="28" ht="15.75" customHeight="1">
      <c r="A28" s="2">
        <v>2013.0</v>
      </c>
      <c r="B28" s="2" t="s">
        <v>180</v>
      </c>
      <c r="C28" s="2" t="s">
        <v>180</v>
      </c>
      <c r="D28" s="2" t="str">
        <f>"7205601102"</f>
        <v>7205601102</v>
      </c>
      <c r="E28" s="2" t="s">
        <v>181</v>
      </c>
      <c r="F28" s="2" t="s">
        <v>182</v>
      </c>
      <c r="G28" s="2" t="str">
        <f>"SR-83"</f>
        <v>SR-83</v>
      </c>
      <c r="H28" s="2" t="s">
        <v>183</v>
      </c>
      <c r="I28" s="2" t="s">
        <v>184</v>
      </c>
      <c r="K28" s="2" t="s">
        <v>185</v>
      </c>
      <c r="L28" s="2" t="s">
        <v>157</v>
      </c>
      <c r="M28" s="2">
        <v>80110.0</v>
      </c>
      <c r="N28" s="2" t="s">
        <v>21</v>
      </c>
    </row>
    <row r="29" ht="15.75" customHeight="1">
      <c r="A29" s="2">
        <v>2013.0</v>
      </c>
      <c r="B29" s="2" t="s">
        <v>186</v>
      </c>
      <c r="C29" s="2" t="s">
        <v>187</v>
      </c>
      <c r="D29" s="2" t="str">
        <f>"920-539-8548"</f>
        <v>920-539-8548</v>
      </c>
      <c r="E29" s="2" t="s">
        <v>188</v>
      </c>
      <c r="F29" s="2" t="s">
        <v>189</v>
      </c>
      <c r="G29" s="2" t="str">
        <f>"SR-84"</f>
        <v>SR-84</v>
      </c>
      <c r="H29" s="2" t="s">
        <v>190</v>
      </c>
      <c r="I29" s="2" t="s">
        <v>191</v>
      </c>
      <c r="K29" s="2" t="s">
        <v>192</v>
      </c>
      <c r="L29" s="2" t="s">
        <v>193</v>
      </c>
      <c r="M29" s="2">
        <v>54937.0</v>
      </c>
      <c r="N29" s="2" t="s">
        <v>21</v>
      </c>
    </row>
    <row r="30" ht="15.75" customHeight="1">
      <c r="A30" s="2">
        <v>2013.0</v>
      </c>
      <c r="B30" s="2" t="s">
        <v>194</v>
      </c>
      <c r="C30" s="2" t="s">
        <v>195</v>
      </c>
      <c r="D30" s="2" t="str">
        <f>"(706)860-6801"</f>
        <v>(706)860-6801</v>
      </c>
      <c r="E30" s="2" t="s">
        <v>144</v>
      </c>
      <c r="F30" s="2" t="s">
        <v>196</v>
      </c>
      <c r="G30" s="2" t="str">
        <f>"SR-90"</f>
        <v>SR-90</v>
      </c>
      <c r="H30" s="2" t="s">
        <v>197</v>
      </c>
      <c r="I30" s="2" t="s">
        <v>198</v>
      </c>
      <c r="K30" s="2" t="s">
        <v>199</v>
      </c>
      <c r="L30" s="2" t="s">
        <v>200</v>
      </c>
      <c r="M30" s="2">
        <v>30907.0</v>
      </c>
      <c r="N30" s="2" t="s">
        <v>21</v>
      </c>
    </row>
    <row r="31" ht="15.75" customHeight="1">
      <c r="A31" s="2">
        <v>2013.0</v>
      </c>
      <c r="B31" s="2" t="s">
        <v>201</v>
      </c>
      <c r="C31" s="2" t="s">
        <v>202</v>
      </c>
      <c r="D31" s="2" t="str">
        <f>"(941) 228-6540"</f>
        <v>(941) 228-6540</v>
      </c>
      <c r="E31" s="2" t="s">
        <v>203</v>
      </c>
      <c r="F31" s="2" t="s">
        <v>204</v>
      </c>
      <c r="G31" s="2" t="str">
        <f>"SR-80"</f>
        <v>SR-80</v>
      </c>
      <c r="H31" s="2" t="s">
        <v>205</v>
      </c>
      <c r="I31" s="2" t="s">
        <v>206</v>
      </c>
      <c r="K31" s="2" t="s">
        <v>207</v>
      </c>
      <c r="L31" s="2" t="s">
        <v>208</v>
      </c>
      <c r="M31" s="2">
        <v>34232.0</v>
      </c>
      <c r="N31" s="2" t="s">
        <v>21</v>
      </c>
    </row>
    <row r="32" ht="15.75" customHeight="1">
      <c r="A32" s="2">
        <v>2013.0</v>
      </c>
      <c r="B32" s="2" t="s">
        <v>209</v>
      </c>
      <c r="C32" s="2" t="s">
        <v>210</v>
      </c>
      <c r="D32" s="2" t="str">
        <f>"8162253204"</f>
        <v>8162253204</v>
      </c>
      <c r="E32" s="2" t="s">
        <v>188</v>
      </c>
      <c r="F32" s="2" t="s">
        <v>160</v>
      </c>
      <c r="G32" s="2" t="str">
        <f>"SR-78"</f>
        <v>SR-78</v>
      </c>
      <c r="H32" s="2" t="s">
        <v>211</v>
      </c>
      <c r="I32" s="2" t="s">
        <v>212</v>
      </c>
      <c r="K32" s="2" t="s">
        <v>213</v>
      </c>
      <c r="L32" s="2" t="s">
        <v>214</v>
      </c>
      <c r="M32" s="2">
        <v>64089.0</v>
      </c>
      <c r="N32" s="2" t="s">
        <v>21</v>
      </c>
    </row>
    <row r="33" ht="15.75" customHeight="1">
      <c r="A33" s="2">
        <v>2013.0</v>
      </c>
      <c r="B33" s="2" t="s">
        <v>215</v>
      </c>
      <c r="C33" s="2" t="s">
        <v>216</v>
      </c>
      <c r="D33" s="2" t="str">
        <f>"206-714-9178"</f>
        <v>206-714-9178</v>
      </c>
      <c r="E33" s="2" t="s">
        <v>217</v>
      </c>
      <c r="F33" s="2" t="s">
        <v>218</v>
      </c>
      <c r="G33" s="2" t="str">
        <f>"SR-97"</f>
        <v>SR-97</v>
      </c>
      <c r="H33" s="2" t="s">
        <v>219</v>
      </c>
      <c r="I33" s="2" t="s">
        <v>220</v>
      </c>
      <c r="K33" s="2" t="s">
        <v>221</v>
      </c>
      <c r="L33" s="2" t="s">
        <v>222</v>
      </c>
      <c r="M33" s="2">
        <v>96204.0</v>
      </c>
      <c r="N33" s="2" t="s">
        <v>21</v>
      </c>
    </row>
    <row r="34" ht="15.75" customHeight="1">
      <c r="A34" s="2">
        <v>2013.0</v>
      </c>
      <c r="B34" s="2" t="s">
        <v>223</v>
      </c>
      <c r="C34" s="2" t="s">
        <v>224</v>
      </c>
      <c r="D34" s="2" t="str">
        <f>"4172746139"</f>
        <v>4172746139</v>
      </c>
      <c r="E34" s="2" t="s">
        <v>225</v>
      </c>
      <c r="F34" s="2" t="s">
        <v>226</v>
      </c>
      <c r="G34" s="2" t="str">
        <f>"SR-93"</f>
        <v>SR-93</v>
      </c>
      <c r="H34" s="2" t="s">
        <v>227</v>
      </c>
      <c r="I34" s="2" t="s">
        <v>228</v>
      </c>
      <c r="K34" s="2" t="s">
        <v>229</v>
      </c>
      <c r="L34" s="2" t="s">
        <v>214</v>
      </c>
      <c r="M34" s="2">
        <v>65775.0</v>
      </c>
      <c r="N34" s="2" t="s">
        <v>21</v>
      </c>
    </row>
    <row r="35" ht="15.75" customHeight="1">
      <c r="A35" s="2">
        <v>2013.0</v>
      </c>
      <c r="B35" s="2" t="s">
        <v>230</v>
      </c>
      <c r="C35" s="2" t="s">
        <v>231</v>
      </c>
      <c r="D35" s="2" t="str">
        <f>"903-527-4467"</f>
        <v>903-527-4467</v>
      </c>
      <c r="E35" s="2" t="s">
        <v>232</v>
      </c>
      <c r="F35" s="2" t="s">
        <v>233</v>
      </c>
      <c r="G35" s="2" t="str">
        <f>"SR-101"</f>
        <v>SR-101</v>
      </c>
      <c r="H35" s="2" t="s">
        <v>234</v>
      </c>
      <c r="I35" s="2" t="s">
        <v>235</v>
      </c>
      <c r="K35" s="2" t="s">
        <v>236</v>
      </c>
      <c r="L35" s="2" t="s">
        <v>172</v>
      </c>
      <c r="M35" s="2">
        <v>75135.0</v>
      </c>
      <c r="N35" s="2" t="s">
        <v>21</v>
      </c>
    </row>
    <row r="36" ht="15.75" customHeight="1">
      <c r="A36" s="2">
        <v>2013.0</v>
      </c>
      <c r="B36" s="2" t="s">
        <v>237</v>
      </c>
      <c r="C36" s="2" t="s">
        <v>238</v>
      </c>
      <c r="D36" s="2" t="str">
        <f>"661 272-0770"</f>
        <v>661 272-0770</v>
      </c>
      <c r="E36" s="2" t="s">
        <v>239</v>
      </c>
      <c r="F36" s="2" t="s">
        <v>240</v>
      </c>
      <c r="G36" s="2" t="str">
        <f>"SR-102"</f>
        <v>SR-102</v>
      </c>
      <c r="H36" s="2" t="s">
        <v>241</v>
      </c>
      <c r="I36" s="2" t="s">
        <v>242</v>
      </c>
      <c r="K36" s="2" t="s">
        <v>243</v>
      </c>
      <c r="L36" s="2" t="s">
        <v>222</v>
      </c>
      <c r="M36" s="2">
        <v>93551.0</v>
      </c>
      <c r="N36" s="2" t="s">
        <v>21</v>
      </c>
    </row>
    <row r="37" ht="15.75" customHeight="1">
      <c r="A37" s="2">
        <v>2013.0</v>
      </c>
      <c r="B37" s="2" t="s">
        <v>244</v>
      </c>
      <c r="C37" s="2" t="s">
        <v>244</v>
      </c>
      <c r="D37" s="2" t="str">
        <f>"1-309-645-4442"</f>
        <v>1-309-645-4442</v>
      </c>
      <c r="E37" s="2" t="s">
        <v>203</v>
      </c>
      <c r="F37" s="2" t="s">
        <v>245</v>
      </c>
      <c r="G37" s="2" t="str">
        <f>"SR-17"</f>
        <v>SR-17</v>
      </c>
      <c r="H37" s="2" t="s">
        <v>246</v>
      </c>
      <c r="I37" s="2" t="s">
        <v>247</v>
      </c>
      <c r="K37" s="2" t="s">
        <v>123</v>
      </c>
      <c r="L37" s="2" t="s">
        <v>105</v>
      </c>
      <c r="M37" s="2">
        <v>61611.0</v>
      </c>
      <c r="N37" s="2" t="s">
        <v>21</v>
      </c>
    </row>
    <row r="38" ht="15.75" customHeight="1">
      <c r="A38" s="2">
        <v>2013.0</v>
      </c>
      <c r="B38" s="2" t="s">
        <v>248</v>
      </c>
      <c r="C38" s="2" t="s">
        <v>249</v>
      </c>
      <c r="D38" s="2" t="str">
        <f>"803-233-3121"</f>
        <v>803-233-3121</v>
      </c>
      <c r="E38" s="2" t="s">
        <v>250</v>
      </c>
      <c r="F38" s="2" t="s">
        <v>251</v>
      </c>
      <c r="G38" s="2" t="str">
        <f>"SR-98"</f>
        <v>SR-98</v>
      </c>
      <c r="H38" s="2" t="s">
        <v>252</v>
      </c>
      <c r="I38" s="2" t="s">
        <v>253</v>
      </c>
      <c r="K38" s="2" t="s">
        <v>254</v>
      </c>
      <c r="L38" s="2" t="s">
        <v>55</v>
      </c>
      <c r="M38" s="2">
        <v>29072.0</v>
      </c>
      <c r="N38" s="2" t="s">
        <v>21</v>
      </c>
    </row>
    <row r="39" ht="15.75" customHeight="1">
      <c r="A39" s="2">
        <v>2013.0</v>
      </c>
      <c r="B39" s="2" t="s">
        <v>255</v>
      </c>
      <c r="C39" s="2" t="s">
        <v>255</v>
      </c>
      <c r="D39" s="2" t="str">
        <f>"925-719-4824"</f>
        <v>925-719-4824</v>
      </c>
      <c r="E39" s="2" t="s">
        <v>144</v>
      </c>
      <c r="F39" s="2" t="s">
        <v>256</v>
      </c>
      <c r="G39" s="2" t="str">
        <f>"SR-108"</f>
        <v>SR-108</v>
      </c>
      <c r="H39" s="2" t="s">
        <v>257</v>
      </c>
      <c r="I39" s="2" t="s">
        <v>258</v>
      </c>
      <c r="K39" s="2" t="s">
        <v>259</v>
      </c>
      <c r="L39" s="2" t="s">
        <v>222</v>
      </c>
      <c r="M39" s="2">
        <v>94583.0</v>
      </c>
      <c r="N39" s="2" t="s">
        <v>21</v>
      </c>
    </row>
    <row r="40" ht="15.75" customHeight="1">
      <c r="A40" s="2">
        <v>2013.0</v>
      </c>
      <c r="B40" s="2" t="s">
        <v>260</v>
      </c>
      <c r="D40" s="2" t="str">
        <f>"320-235-1609"</f>
        <v>320-235-1609</v>
      </c>
      <c r="E40" s="2" t="s">
        <v>261</v>
      </c>
      <c r="F40" s="2" t="s">
        <v>262</v>
      </c>
      <c r="G40" s="2" t="str">
        <f>"SR-31"</f>
        <v>SR-31</v>
      </c>
      <c r="H40" s="2" t="s">
        <v>263</v>
      </c>
      <c r="I40" s="2" t="s">
        <v>264</v>
      </c>
      <c r="K40" s="2" t="s">
        <v>61</v>
      </c>
      <c r="L40" s="2" t="s">
        <v>62</v>
      </c>
      <c r="M40" s="2">
        <v>56201.0</v>
      </c>
      <c r="N40" s="2" t="s">
        <v>21</v>
      </c>
    </row>
    <row r="41" ht="15.75" customHeight="1">
      <c r="A41" s="2">
        <v>2013.0</v>
      </c>
      <c r="B41" s="2" t="s">
        <v>265</v>
      </c>
      <c r="C41" s="2" t="s">
        <v>266</v>
      </c>
      <c r="D41" s="2" t="str">
        <f>"7852727989"</f>
        <v>7852727989</v>
      </c>
      <c r="E41" s="2" t="s">
        <v>267</v>
      </c>
      <c r="F41" s="2" t="s">
        <v>268</v>
      </c>
      <c r="G41" s="2" t="str">
        <f>"SR-112"</f>
        <v>SR-112</v>
      </c>
      <c r="H41" s="2" t="s">
        <v>269</v>
      </c>
      <c r="I41" s="2" t="s">
        <v>270</v>
      </c>
      <c r="K41" s="2" t="s">
        <v>271</v>
      </c>
      <c r="L41" s="2" t="s">
        <v>272</v>
      </c>
      <c r="M41" s="2">
        <v>66614.0</v>
      </c>
      <c r="N41" s="2" t="s">
        <v>21</v>
      </c>
    </row>
    <row r="42" ht="15.75" customHeight="1">
      <c r="A42" s="2">
        <v>2013.0</v>
      </c>
      <c r="B42" s="2" t="s">
        <v>273</v>
      </c>
      <c r="D42" s="2" t="str">
        <f>"6159455905"</f>
        <v>6159455905</v>
      </c>
      <c r="E42" s="2" t="s">
        <v>274</v>
      </c>
      <c r="F42" s="2" t="s">
        <v>275</v>
      </c>
      <c r="G42" s="2" t="str">
        <f>"SR-116"</f>
        <v>SR-116</v>
      </c>
      <c r="H42" s="2" t="s">
        <v>276</v>
      </c>
      <c r="I42" s="2" t="s">
        <v>277</v>
      </c>
      <c r="K42" s="2" t="s">
        <v>278</v>
      </c>
      <c r="L42" s="2" t="s">
        <v>279</v>
      </c>
      <c r="M42" s="2">
        <v>37064.0</v>
      </c>
      <c r="N42" s="2" t="s">
        <v>21</v>
      </c>
    </row>
    <row r="43" ht="15.75" customHeight="1">
      <c r="A43" s="2">
        <v>2013.0</v>
      </c>
      <c r="B43" s="2" t="s">
        <v>280</v>
      </c>
      <c r="C43" s="2" t="s">
        <v>281</v>
      </c>
      <c r="D43" s="2" t="str">
        <f>"4326896323"</f>
        <v>4326896323</v>
      </c>
      <c r="E43" s="2" t="s">
        <v>282</v>
      </c>
      <c r="F43" s="2" t="s">
        <v>283</v>
      </c>
      <c r="G43" s="2" t="str">
        <f>"SR-126"</f>
        <v>SR-126</v>
      </c>
      <c r="H43" s="2" t="s">
        <v>284</v>
      </c>
      <c r="I43" s="2" t="s">
        <v>285</v>
      </c>
      <c r="K43" s="2" t="s">
        <v>286</v>
      </c>
      <c r="L43" s="2" t="s">
        <v>172</v>
      </c>
      <c r="M43" s="2">
        <v>79705.0</v>
      </c>
      <c r="N43" s="2" t="s">
        <v>21</v>
      </c>
    </row>
    <row r="44" ht="15.75" customHeight="1">
      <c r="A44" s="2">
        <v>2013.0</v>
      </c>
      <c r="B44" s="2" t="s">
        <v>287</v>
      </c>
      <c r="C44" s="2" t="s">
        <v>287</v>
      </c>
      <c r="D44" s="2" t="str">
        <f>"562-447-6042"</f>
        <v>562-447-6042</v>
      </c>
      <c r="E44" s="2" t="s">
        <v>288</v>
      </c>
      <c r="F44" s="2" t="s">
        <v>289</v>
      </c>
      <c r="G44" s="2" t="str">
        <f>"SR-125"</f>
        <v>SR-125</v>
      </c>
      <c r="H44" s="2" t="s">
        <v>290</v>
      </c>
      <c r="I44" s="2" t="s">
        <v>291</v>
      </c>
      <c r="J44" s="2" t="s">
        <v>292</v>
      </c>
      <c r="K44" s="2" t="s">
        <v>293</v>
      </c>
      <c r="L44" s="2" t="s">
        <v>222</v>
      </c>
      <c r="M44" s="2">
        <v>93108.0</v>
      </c>
      <c r="N44" s="2" t="s">
        <v>21</v>
      </c>
    </row>
    <row r="45" ht="15.75" customHeight="1">
      <c r="A45" s="2">
        <v>2013.0</v>
      </c>
      <c r="B45" s="2" t="s">
        <v>294</v>
      </c>
      <c r="C45" s="2" t="s">
        <v>294</v>
      </c>
      <c r="D45" s="2" t="str">
        <f>"407-455-4986"</f>
        <v>407-455-4986</v>
      </c>
      <c r="E45" s="2" t="s">
        <v>295</v>
      </c>
      <c r="F45" s="2" t="s">
        <v>296</v>
      </c>
      <c r="G45" s="2" t="str">
        <f>"SR-131"</f>
        <v>SR-131</v>
      </c>
      <c r="H45" s="2" t="s">
        <v>297</v>
      </c>
      <c r="I45" s="2" t="s">
        <v>298</v>
      </c>
      <c r="K45" s="2" t="s">
        <v>299</v>
      </c>
      <c r="L45" s="2" t="s">
        <v>208</v>
      </c>
      <c r="M45" s="2">
        <v>32751.0</v>
      </c>
      <c r="N45" s="2" t="s">
        <v>21</v>
      </c>
    </row>
    <row r="46" ht="15.75" customHeight="1">
      <c r="A46" s="2">
        <v>2013.0</v>
      </c>
      <c r="B46" s="2" t="s">
        <v>300</v>
      </c>
      <c r="C46" s="2" t="s">
        <v>300</v>
      </c>
      <c r="D46" s="2" t="str">
        <f>"586-254-0042"</f>
        <v>586-254-0042</v>
      </c>
      <c r="E46" s="2" t="s">
        <v>301</v>
      </c>
      <c r="F46" s="2" t="s">
        <v>302</v>
      </c>
      <c r="G46" s="2" t="str">
        <f>"SR-132"</f>
        <v>SR-132</v>
      </c>
      <c r="H46" s="2" t="s">
        <v>303</v>
      </c>
      <c r="I46" s="2" t="s">
        <v>304</v>
      </c>
      <c r="K46" s="2" t="s">
        <v>305</v>
      </c>
      <c r="L46" s="2" t="s">
        <v>29</v>
      </c>
      <c r="M46" s="2">
        <v>48314.0</v>
      </c>
      <c r="N46" s="2" t="s">
        <v>21</v>
      </c>
    </row>
    <row r="47" ht="15.75" customHeight="1">
      <c r="A47" s="2">
        <v>2013.0</v>
      </c>
      <c r="B47" s="2" t="s">
        <v>306</v>
      </c>
      <c r="C47" s="2" t="s">
        <v>307</v>
      </c>
      <c r="D47" s="2" t="str">
        <f>"(720)409-9165"</f>
        <v>(720)409-9165</v>
      </c>
      <c r="E47" s="2" t="s">
        <v>308</v>
      </c>
      <c r="F47" s="2" t="s">
        <v>309</v>
      </c>
      <c r="G47" s="2" t="str">
        <f>"SR-105"</f>
        <v>SR-105</v>
      </c>
      <c r="H47" s="2" t="s">
        <v>310</v>
      </c>
      <c r="I47" s="2" t="s">
        <v>311</v>
      </c>
      <c r="K47" s="2" t="s">
        <v>312</v>
      </c>
      <c r="L47" s="2" t="s">
        <v>157</v>
      </c>
      <c r="M47" s="2">
        <v>80106.0</v>
      </c>
      <c r="N47" s="2" t="s">
        <v>21</v>
      </c>
    </row>
    <row r="48" ht="15.75" customHeight="1">
      <c r="A48" s="2">
        <v>2013.0</v>
      </c>
      <c r="B48" s="2" t="s">
        <v>223</v>
      </c>
      <c r="C48" s="2" t="s">
        <v>313</v>
      </c>
      <c r="D48" s="2" t="str">
        <f>"(417) 274-7213"</f>
        <v>(417) 274-7213</v>
      </c>
      <c r="E48" s="2" t="s">
        <v>314</v>
      </c>
      <c r="F48" s="2" t="s">
        <v>315</v>
      </c>
      <c r="G48" s="2" t="str">
        <f>"SR-94"</f>
        <v>SR-94</v>
      </c>
      <c r="H48" s="2" t="s">
        <v>316</v>
      </c>
      <c r="I48" s="2" t="s">
        <v>317</v>
      </c>
      <c r="K48" s="2" t="s">
        <v>229</v>
      </c>
      <c r="L48" s="2" t="s">
        <v>214</v>
      </c>
      <c r="M48" s="2">
        <v>65775.0</v>
      </c>
      <c r="N48" s="2" t="s">
        <v>21</v>
      </c>
    </row>
    <row r="49" ht="15.75" customHeight="1">
      <c r="A49" s="2">
        <v>2013.0</v>
      </c>
      <c r="B49" s="2" t="s">
        <v>318</v>
      </c>
      <c r="C49" s="2" t="s">
        <v>319</v>
      </c>
      <c r="D49" s="2" t="str">
        <f>"4345349203"</f>
        <v>4345349203</v>
      </c>
      <c r="E49" s="2" t="s">
        <v>132</v>
      </c>
      <c r="F49" s="2" t="s">
        <v>320</v>
      </c>
      <c r="G49" s="2" t="str">
        <f>"SR-129"</f>
        <v>SR-129</v>
      </c>
      <c r="H49" s="2" t="s">
        <v>321</v>
      </c>
      <c r="I49" s="2" t="s">
        <v>322</v>
      </c>
      <c r="K49" s="2" t="s">
        <v>323</v>
      </c>
      <c r="L49" s="2" t="s">
        <v>165</v>
      </c>
      <c r="M49" s="2">
        <v>24551.0</v>
      </c>
      <c r="N49" s="2" t="s">
        <v>21</v>
      </c>
    </row>
    <row r="50" ht="15.75" customHeight="1">
      <c r="A50" s="2">
        <v>2013.0</v>
      </c>
      <c r="B50" s="2" t="s">
        <v>324</v>
      </c>
      <c r="C50" s="2" t="s">
        <v>325</v>
      </c>
      <c r="D50" s="2" t="str">
        <f>"941-716-2426"</f>
        <v>941-716-2426</v>
      </c>
      <c r="E50" s="2" t="s">
        <v>326</v>
      </c>
      <c r="F50" s="2" t="s">
        <v>327</v>
      </c>
      <c r="G50" s="2" t="str">
        <f>"SR-109"</f>
        <v>SR-109</v>
      </c>
      <c r="H50" s="2" t="s">
        <v>328</v>
      </c>
      <c r="I50" s="2" t="s">
        <v>329</v>
      </c>
      <c r="K50" s="2" t="s">
        <v>330</v>
      </c>
      <c r="L50" s="2" t="s">
        <v>208</v>
      </c>
      <c r="M50" s="2">
        <v>34293.0</v>
      </c>
      <c r="N50" s="2" t="s">
        <v>21</v>
      </c>
    </row>
    <row r="51" ht="15.75" customHeight="1">
      <c r="A51" s="2">
        <v>2013.0</v>
      </c>
      <c r="B51" s="2" t="s">
        <v>331</v>
      </c>
      <c r="C51" s="2" t="s">
        <v>331</v>
      </c>
      <c r="D51" s="2" t="str">
        <f>"(309)682-1367"</f>
        <v>(309)682-1367</v>
      </c>
      <c r="E51" s="2" t="s">
        <v>332</v>
      </c>
      <c r="F51" s="2" t="s">
        <v>333</v>
      </c>
      <c r="G51" s="2" t="str">
        <f>"SR-111"</f>
        <v>SR-111</v>
      </c>
      <c r="H51" s="2" t="s">
        <v>334</v>
      </c>
      <c r="I51" s="2" t="s">
        <v>335</v>
      </c>
      <c r="K51" s="2" t="s">
        <v>336</v>
      </c>
      <c r="L51" s="2" t="s">
        <v>105</v>
      </c>
      <c r="M51" s="2">
        <v>61616.0</v>
      </c>
      <c r="N51" s="2" t="s">
        <v>21</v>
      </c>
    </row>
    <row r="52" ht="15.75" customHeight="1">
      <c r="A52" s="2">
        <v>2013.0</v>
      </c>
      <c r="B52" s="2" t="s">
        <v>337</v>
      </c>
      <c r="C52" s="2" t="s">
        <v>338</v>
      </c>
      <c r="D52" s="2" t="str">
        <f>"740-965-9911"</f>
        <v>740-965-9911</v>
      </c>
      <c r="E52" s="2" t="s">
        <v>339</v>
      </c>
      <c r="F52" s="2" t="s">
        <v>340</v>
      </c>
      <c r="G52" s="2" t="str">
        <f>"SR-139"</f>
        <v>SR-139</v>
      </c>
      <c r="H52" s="2" t="s">
        <v>341</v>
      </c>
      <c r="I52" s="2" t="s">
        <v>342</v>
      </c>
      <c r="K52" s="2" t="s">
        <v>343</v>
      </c>
      <c r="L52" s="2" t="s">
        <v>344</v>
      </c>
      <c r="M52" s="2">
        <v>43021.0</v>
      </c>
      <c r="N52" s="2" t="s">
        <v>21</v>
      </c>
    </row>
    <row r="53" ht="15.75" customHeight="1">
      <c r="A53" s="2">
        <v>2013.0</v>
      </c>
      <c r="B53" s="2" t="s">
        <v>345</v>
      </c>
      <c r="C53" s="2" t="s">
        <v>346</v>
      </c>
      <c r="D53" s="2" t="str">
        <f>"507-825-5390"</f>
        <v>507-825-5390</v>
      </c>
      <c r="E53" s="2" t="s">
        <v>339</v>
      </c>
      <c r="F53" s="2" t="s">
        <v>347</v>
      </c>
      <c r="G53" s="2" t="str">
        <f>"SR-136"</f>
        <v>SR-136</v>
      </c>
      <c r="H53" s="2" t="s">
        <v>348</v>
      </c>
      <c r="I53" s="2">
        <v>1634.0</v>
      </c>
      <c r="J53" s="2" t="s">
        <v>349</v>
      </c>
      <c r="K53" s="2" t="s">
        <v>350</v>
      </c>
      <c r="L53" s="2" t="s">
        <v>62</v>
      </c>
      <c r="M53" s="2">
        <v>56164.0</v>
      </c>
      <c r="N53" s="2" t="s">
        <v>21</v>
      </c>
    </row>
    <row r="54" ht="15.75" customHeight="1">
      <c r="A54" s="2">
        <v>2013.0</v>
      </c>
      <c r="B54" s="2" t="s">
        <v>351</v>
      </c>
      <c r="C54" s="2" t="s">
        <v>352</v>
      </c>
      <c r="D54" s="2" t="str">
        <f t="shared" ref="D54:D55" si="1">"2143870888"</f>
        <v>2143870888</v>
      </c>
      <c r="E54" s="2" t="s">
        <v>353</v>
      </c>
      <c r="F54" s="2" t="s">
        <v>354</v>
      </c>
      <c r="G54" s="2" t="str">
        <f>"SR-65"</f>
        <v>SR-65</v>
      </c>
      <c r="H54" s="2" t="s">
        <v>355</v>
      </c>
      <c r="I54" s="2" t="s">
        <v>356</v>
      </c>
      <c r="K54" s="2" t="s">
        <v>357</v>
      </c>
      <c r="L54" s="2" t="s">
        <v>172</v>
      </c>
      <c r="M54" s="2">
        <v>75025.0</v>
      </c>
      <c r="N54" s="2" t="s">
        <v>21</v>
      </c>
    </row>
    <row r="55" ht="15.75" customHeight="1">
      <c r="A55" s="2">
        <v>2013.0</v>
      </c>
      <c r="B55" s="2" t="s">
        <v>358</v>
      </c>
      <c r="C55" s="2" t="s">
        <v>358</v>
      </c>
      <c r="D55" s="2" t="str">
        <f t="shared" si="1"/>
        <v>2143870888</v>
      </c>
      <c r="E55" s="2" t="s">
        <v>359</v>
      </c>
      <c r="F55" s="2" t="s">
        <v>360</v>
      </c>
      <c r="G55" s="2" t="str">
        <f>"SR-66"</f>
        <v>SR-66</v>
      </c>
      <c r="H55" s="2" t="s">
        <v>361</v>
      </c>
      <c r="I55" s="2" t="s">
        <v>356</v>
      </c>
      <c r="K55" s="2" t="s">
        <v>362</v>
      </c>
      <c r="L55" s="2" t="s">
        <v>172</v>
      </c>
      <c r="M55" s="2">
        <v>75025.0</v>
      </c>
      <c r="N55" s="2" t="s">
        <v>21</v>
      </c>
    </row>
    <row r="56" ht="15.75" customHeight="1">
      <c r="A56" s="2">
        <v>2013.0</v>
      </c>
      <c r="B56" s="2" t="s">
        <v>345</v>
      </c>
      <c r="C56" s="2" t="s">
        <v>363</v>
      </c>
      <c r="D56" s="2" t="str">
        <f>"507-215-4411"</f>
        <v>507-215-4411</v>
      </c>
      <c r="E56" s="2" t="s">
        <v>160</v>
      </c>
      <c r="F56" s="2" t="s">
        <v>347</v>
      </c>
      <c r="G56" s="2" t="str">
        <f>"SR-140"</f>
        <v>SR-140</v>
      </c>
      <c r="H56" s="2" t="s">
        <v>364</v>
      </c>
      <c r="I56" s="2" t="s">
        <v>365</v>
      </c>
      <c r="K56" s="2" t="s">
        <v>350</v>
      </c>
      <c r="L56" s="2" t="s">
        <v>62</v>
      </c>
      <c r="M56" s="2">
        <v>56164.0</v>
      </c>
      <c r="N56" s="2" t="s">
        <v>21</v>
      </c>
    </row>
    <row r="57" ht="15.75" customHeight="1">
      <c r="A57" s="2">
        <v>2013.0</v>
      </c>
      <c r="B57" s="2" t="s">
        <v>366</v>
      </c>
      <c r="C57" s="2" t="s">
        <v>366</v>
      </c>
      <c r="D57" s="2" t="str">
        <f>"574-896-2557"</f>
        <v>574-896-2557</v>
      </c>
      <c r="E57" s="2" t="s">
        <v>367</v>
      </c>
      <c r="F57" s="2" t="s">
        <v>368</v>
      </c>
      <c r="G57" s="2" t="str">
        <f>"SR-87"</f>
        <v>SR-87</v>
      </c>
      <c r="H57" s="2" t="s">
        <v>369</v>
      </c>
      <c r="I57" s="2" t="s">
        <v>370</v>
      </c>
      <c r="K57" s="2" t="s">
        <v>371</v>
      </c>
      <c r="L57" s="2" t="s">
        <v>149</v>
      </c>
      <c r="M57" s="2">
        <v>46366.0</v>
      </c>
      <c r="N57" s="2" t="s">
        <v>21</v>
      </c>
    </row>
    <row r="58" ht="15.75" customHeight="1">
      <c r="A58" s="2">
        <v>2013.0</v>
      </c>
      <c r="B58" s="2" t="s">
        <v>372</v>
      </c>
      <c r="C58" s="2" t="s">
        <v>372</v>
      </c>
      <c r="D58" s="2" t="str">
        <f>"(907) 2225004"</f>
        <v>(907) 2225004</v>
      </c>
      <c r="E58" s="2" t="s">
        <v>373</v>
      </c>
      <c r="F58" s="2" t="s">
        <v>66</v>
      </c>
      <c r="G58" s="2" t="str">
        <f>"SR-143"</f>
        <v>SR-143</v>
      </c>
      <c r="H58" s="2" t="s">
        <v>374</v>
      </c>
      <c r="I58" s="2" t="s">
        <v>375</v>
      </c>
      <c r="K58" s="2" t="s">
        <v>69</v>
      </c>
      <c r="L58" s="2" t="s">
        <v>70</v>
      </c>
      <c r="M58" s="2">
        <v>99516.0</v>
      </c>
      <c r="N58" s="2" t="s">
        <v>21</v>
      </c>
    </row>
    <row r="59" ht="15.75" customHeight="1">
      <c r="A59" s="2">
        <v>2013.0</v>
      </c>
      <c r="B59" s="2" t="s">
        <v>376</v>
      </c>
      <c r="C59" s="2" t="s">
        <v>377</v>
      </c>
      <c r="D59" s="2" t="str">
        <f>"815-394-2122"</f>
        <v>815-394-2122</v>
      </c>
      <c r="E59" s="2" t="s">
        <v>378</v>
      </c>
      <c r="F59" s="2" t="s">
        <v>379</v>
      </c>
      <c r="G59" s="2" t="str">
        <f>"SR-149"</f>
        <v>SR-149</v>
      </c>
      <c r="H59" s="2" t="s">
        <v>380</v>
      </c>
      <c r="I59" s="2" t="s">
        <v>381</v>
      </c>
      <c r="K59" s="2" t="s">
        <v>382</v>
      </c>
      <c r="L59" s="2" t="s">
        <v>105</v>
      </c>
      <c r="M59" s="2">
        <v>61109.0</v>
      </c>
      <c r="N59" s="2" t="s">
        <v>21</v>
      </c>
    </row>
    <row r="60" ht="15.75" customHeight="1">
      <c r="A60" s="2">
        <v>2013.0</v>
      </c>
      <c r="B60" s="2" t="s">
        <v>383</v>
      </c>
      <c r="C60" s="2" t="s">
        <v>384</v>
      </c>
      <c r="D60" s="2" t="str">
        <f>"317-445-4936"</f>
        <v>317-445-4936</v>
      </c>
      <c r="E60" s="2" t="s">
        <v>385</v>
      </c>
      <c r="F60" s="2" t="s">
        <v>386</v>
      </c>
      <c r="G60" s="2" t="str">
        <f>"SR-148"</f>
        <v>SR-148</v>
      </c>
      <c r="H60" s="2" t="s">
        <v>387</v>
      </c>
      <c r="I60" s="2">
        <v>1307.0</v>
      </c>
      <c r="J60" s="2" t="s">
        <v>388</v>
      </c>
      <c r="K60" s="2" t="s">
        <v>389</v>
      </c>
      <c r="L60" s="2" t="s">
        <v>149</v>
      </c>
      <c r="M60" s="2">
        <v>46112.0</v>
      </c>
      <c r="N60" s="2" t="s">
        <v>21</v>
      </c>
    </row>
    <row r="61" ht="15.75" customHeight="1">
      <c r="A61" s="2">
        <v>2013.0</v>
      </c>
      <c r="B61" s="2" t="s">
        <v>390</v>
      </c>
      <c r="C61" s="2" t="s">
        <v>391</v>
      </c>
      <c r="D61" s="2" t="str">
        <f>"618-392-2936"</f>
        <v>618-392-2936</v>
      </c>
      <c r="E61" s="2" t="s">
        <v>392</v>
      </c>
      <c r="F61" s="2" t="s">
        <v>393</v>
      </c>
      <c r="G61" s="2" t="str">
        <f>"SR-155"</f>
        <v>SR-155</v>
      </c>
      <c r="H61" s="2" t="s">
        <v>394</v>
      </c>
      <c r="I61" s="2" t="s">
        <v>395</v>
      </c>
      <c r="K61" s="2" t="s">
        <v>396</v>
      </c>
      <c r="L61" s="2" t="s">
        <v>105</v>
      </c>
      <c r="M61" s="2">
        <v>62450.0</v>
      </c>
      <c r="N61" s="2" t="s">
        <v>21</v>
      </c>
    </row>
    <row r="62" ht="15.75" customHeight="1">
      <c r="A62" s="2">
        <v>2013.0</v>
      </c>
      <c r="B62" s="2" t="s">
        <v>64</v>
      </c>
      <c r="C62" s="2" t="s">
        <v>64</v>
      </c>
      <c r="D62" s="2" t="str">
        <f>"907-222-5004"</f>
        <v>907-222-5004</v>
      </c>
      <c r="E62" s="2" t="s">
        <v>65</v>
      </c>
      <c r="F62" s="2" t="s">
        <v>66</v>
      </c>
      <c r="G62" s="2" t="str">
        <f>"SR-144"</f>
        <v>SR-144</v>
      </c>
      <c r="H62" s="2" t="s">
        <v>67</v>
      </c>
      <c r="I62" s="2" t="s">
        <v>68</v>
      </c>
      <c r="K62" s="2" t="s">
        <v>69</v>
      </c>
      <c r="L62" s="2" t="s">
        <v>70</v>
      </c>
      <c r="M62" s="2">
        <v>99516.0</v>
      </c>
      <c r="N62" s="2" t="s">
        <v>21</v>
      </c>
    </row>
    <row r="63" ht="15.75" customHeight="1">
      <c r="A63" s="2">
        <v>2013.0</v>
      </c>
      <c r="B63" s="2" t="s">
        <v>397</v>
      </c>
      <c r="C63" s="2" t="s">
        <v>398</v>
      </c>
      <c r="D63" s="2" t="str">
        <f>"954-325-5296"</f>
        <v>954-325-5296</v>
      </c>
      <c r="E63" s="2" t="s">
        <v>250</v>
      </c>
      <c r="F63" s="2" t="s">
        <v>399</v>
      </c>
      <c r="G63" s="2" t="str">
        <f>"SR-99"</f>
        <v>SR-99</v>
      </c>
      <c r="H63" s="2" t="s">
        <v>400</v>
      </c>
      <c r="I63" s="2" t="s">
        <v>401</v>
      </c>
      <c r="K63" s="2" t="s">
        <v>402</v>
      </c>
      <c r="L63" s="2" t="s">
        <v>279</v>
      </c>
      <c r="M63" s="2">
        <v>37174.0</v>
      </c>
      <c r="N63" s="2" t="s">
        <v>21</v>
      </c>
    </row>
    <row r="64" ht="15.75" customHeight="1">
      <c r="A64" s="2">
        <v>2013.0</v>
      </c>
      <c r="B64" s="2" t="s">
        <v>403</v>
      </c>
      <c r="C64" s="2" t="s">
        <v>403</v>
      </c>
      <c r="D64" s="2" t="str">
        <f>"317-690-9148"</f>
        <v>317-690-9148</v>
      </c>
      <c r="E64" s="2" t="s">
        <v>404</v>
      </c>
      <c r="F64" s="2" t="s">
        <v>405</v>
      </c>
      <c r="G64" s="2" t="str">
        <f>"SR-24"</f>
        <v>SR-24</v>
      </c>
      <c r="H64" s="2" t="s">
        <v>406</v>
      </c>
      <c r="I64" s="2" t="s">
        <v>407</v>
      </c>
      <c r="K64" s="2" t="s">
        <v>408</v>
      </c>
      <c r="L64" s="2" t="s">
        <v>149</v>
      </c>
      <c r="M64" s="2">
        <v>46077.0</v>
      </c>
      <c r="N64" s="2" t="s">
        <v>21</v>
      </c>
    </row>
    <row r="65" ht="15.75" customHeight="1">
      <c r="A65" s="2">
        <v>2013.0</v>
      </c>
      <c r="B65" s="2" t="s">
        <v>409</v>
      </c>
      <c r="C65" s="2" t="s">
        <v>410</v>
      </c>
      <c r="D65" s="2" t="str">
        <f>"727-488-2726"</f>
        <v>727-488-2726</v>
      </c>
      <c r="E65" s="2" t="s">
        <v>57</v>
      </c>
      <c r="F65" s="2" t="s">
        <v>411</v>
      </c>
      <c r="G65" s="2" t="str">
        <f>"SR-67"</f>
        <v>SR-67</v>
      </c>
      <c r="H65" s="2" t="s">
        <v>412</v>
      </c>
      <c r="I65" s="2" t="s">
        <v>413</v>
      </c>
      <c r="K65" s="2" t="s">
        <v>414</v>
      </c>
      <c r="L65" s="2" t="s">
        <v>208</v>
      </c>
      <c r="M65" s="2">
        <v>33774.0</v>
      </c>
      <c r="N65" s="2" t="s">
        <v>21</v>
      </c>
    </row>
    <row r="66" ht="15.75" customHeight="1">
      <c r="A66" s="2">
        <v>2013.0</v>
      </c>
      <c r="B66" s="2" t="s">
        <v>415</v>
      </c>
      <c r="C66" s="2" t="s">
        <v>416</v>
      </c>
      <c r="D66" s="2" t="str">
        <f>"6235815181"</f>
        <v>6235815181</v>
      </c>
      <c r="E66" s="2" t="s">
        <v>417</v>
      </c>
      <c r="F66" s="2" t="s">
        <v>418</v>
      </c>
      <c r="G66" s="2" t="str">
        <f>"SR-147"</f>
        <v>SR-147</v>
      </c>
      <c r="H66" s="2" t="s">
        <v>419</v>
      </c>
      <c r="I66" s="2" t="s">
        <v>420</v>
      </c>
      <c r="K66" s="2" t="s">
        <v>421</v>
      </c>
      <c r="L66" s="2" t="s">
        <v>422</v>
      </c>
      <c r="M66" s="2">
        <v>85083.0</v>
      </c>
      <c r="N66" s="2" t="s">
        <v>21</v>
      </c>
    </row>
    <row r="67" ht="15.75" customHeight="1">
      <c r="A67" s="2">
        <v>2013.0</v>
      </c>
      <c r="B67" s="2" t="s">
        <v>423</v>
      </c>
      <c r="C67" s="2" t="s">
        <v>423</v>
      </c>
      <c r="D67" s="2" t="str">
        <f>"320-243-3423"</f>
        <v>320-243-3423</v>
      </c>
      <c r="E67" s="2" t="s">
        <v>72</v>
      </c>
      <c r="F67" s="2" t="s">
        <v>424</v>
      </c>
      <c r="G67" s="2" t="str">
        <f>"SR-30"</f>
        <v>SR-30</v>
      </c>
      <c r="H67" s="2" t="s">
        <v>425</v>
      </c>
      <c r="I67" s="2" t="s">
        <v>426</v>
      </c>
      <c r="K67" s="2" t="s">
        <v>97</v>
      </c>
      <c r="L67" s="2" t="s">
        <v>62</v>
      </c>
      <c r="M67" s="2">
        <v>56362.0</v>
      </c>
      <c r="N67" s="2" t="s">
        <v>21</v>
      </c>
    </row>
    <row r="68" ht="15.75" customHeight="1">
      <c r="A68" s="2">
        <v>2013.0</v>
      </c>
      <c r="B68" s="2" t="s">
        <v>427</v>
      </c>
      <c r="C68" s="2" t="s">
        <v>427</v>
      </c>
      <c r="D68" s="2" t="str">
        <f>"3202120499"</f>
        <v>3202120499</v>
      </c>
      <c r="E68" s="2" t="s">
        <v>428</v>
      </c>
      <c r="F68" s="2" t="s">
        <v>429</v>
      </c>
      <c r="G68" s="2" t="str">
        <f>"SR-32"</f>
        <v>SR-32</v>
      </c>
      <c r="H68" s="2" t="s">
        <v>430</v>
      </c>
      <c r="I68" s="2" t="s">
        <v>431</v>
      </c>
      <c r="K68" s="2" t="s">
        <v>432</v>
      </c>
      <c r="L68" s="2" t="s">
        <v>62</v>
      </c>
      <c r="M68" s="2">
        <v>55310.0</v>
      </c>
      <c r="N68" s="2" t="s">
        <v>21</v>
      </c>
    </row>
    <row r="69" ht="15.75" customHeight="1">
      <c r="A69" s="2">
        <v>2013.0</v>
      </c>
      <c r="B69" s="2" t="s">
        <v>433</v>
      </c>
      <c r="C69" s="2" t="s">
        <v>433</v>
      </c>
      <c r="D69" s="2" t="str">
        <f>"574-249-4164"</f>
        <v>574-249-4164</v>
      </c>
      <c r="E69" s="2" t="s">
        <v>434</v>
      </c>
      <c r="F69" s="2" t="s">
        <v>435</v>
      </c>
      <c r="G69" s="2" t="str">
        <f>"SR-96"</f>
        <v>SR-96</v>
      </c>
      <c r="H69" s="2" t="s">
        <v>436</v>
      </c>
      <c r="I69" s="2" t="s">
        <v>437</v>
      </c>
      <c r="K69" s="2" t="s">
        <v>438</v>
      </c>
      <c r="L69" s="2" t="s">
        <v>149</v>
      </c>
      <c r="M69" s="2">
        <v>46534.0</v>
      </c>
      <c r="N69" s="2" t="s">
        <v>21</v>
      </c>
    </row>
    <row r="70" ht="15.75" customHeight="1">
      <c r="A70" s="2">
        <v>2013.0</v>
      </c>
      <c r="B70" s="2" t="s">
        <v>439</v>
      </c>
      <c r="D70" s="2" t="str">
        <f>"(713) 522-3622"</f>
        <v>(713) 522-3622</v>
      </c>
      <c r="E70" s="2" t="s">
        <v>440</v>
      </c>
      <c r="F70" s="2" t="s">
        <v>441</v>
      </c>
      <c r="G70" s="2" t="str">
        <f>"SR-164"</f>
        <v>SR-164</v>
      </c>
      <c r="H70" s="2" t="s">
        <v>442</v>
      </c>
      <c r="I70" s="2" t="s">
        <v>443</v>
      </c>
      <c r="K70" s="2" t="s">
        <v>444</v>
      </c>
      <c r="L70" s="2" t="s">
        <v>172</v>
      </c>
      <c r="M70" s="2">
        <v>77019.0</v>
      </c>
      <c r="N70" s="2" t="s">
        <v>21</v>
      </c>
    </row>
    <row r="71" ht="15.75" customHeight="1">
      <c r="A71" s="2">
        <v>2013.0</v>
      </c>
      <c r="B71" s="2" t="s">
        <v>445</v>
      </c>
      <c r="C71" s="2" t="s">
        <v>446</v>
      </c>
      <c r="D71" s="2" t="str">
        <f>"904-292-5291"</f>
        <v>904-292-5291</v>
      </c>
      <c r="E71" s="2" t="s">
        <v>447</v>
      </c>
      <c r="F71" s="2" t="s">
        <v>448</v>
      </c>
      <c r="G71" s="2" t="str">
        <f>"SR-145"</f>
        <v>SR-145</v>
      </c>
      <c r="H71" s="2" t="s">
        <v>449</v>
      </c>
      <c r="I71" s="2" t="s">
        <v>450</v>
      </c>
      <c r="K71" s="2" t="s">
        <v>451</v>
      </c>
      <c r="L71" s="2" t="s">
        <v>208</v>
      </c>
      <c r="M71" s="2">
        <v>32258.0</v>
      </c>
      <c r="N71" s="2" t="s">
        <v>21</v>
      </c>
    </row>
    <row r="72" ht="15.75" customHeight="1">
      <c r="A72" s="2">
        <v>2013.0</v>
      </c>
      <c r="B72" s="2" t="s">
        <v>452</v>
      </c>
      <c r="D72" s="2" t="str">
        <f>"(713) 522-3622"</f>
        <v>(713) 522-3622</v>
      </c>
      <c r="E72" s="2" t="s">
        <v>453</v>
      </c>
      <c r="F72" s="2" t="s">
        <v>441</v>
      </c>
      <c r="G72" s="2" t="str">
        <f>"SR-165"</f>
        <v>SR-165</v>
      </c>
      <c r="H72" s="2" t="s">
        <v>454</v>
      </c>
      <c r="I72" s="2" t="s">
        <v>443</v>
      </c>
      <c r="K72" s="2" t="s">
        <v>444</v>
      </c>
      <c r="L72" s="2" t="s">
        <v>172</v>
      </c>
      <c r="M72" s="2">
        <v>77019.0</v>
      </c>
      <c r="N72" s="2" t="s">
        <v>21</v>
      </c>
    </row>
    <row r="73" ht="15.75" customHeight="1">
      <c r="A73" s="2">
        <v>2013.0</v>
      </c>
      <c r="B73" s="2" t="s">
        <v>455</v>
      </c>
      <c r="C73" s="2" t="s">
        <v>455</v>
      </c>
      <c r="D73" s="2" t="str">
        <f>"907-337-4918"</f>
        <v>907-337-4918</v>
      </c>
      <c r="E73" s="2" t="s">
        <v>456</v>
      </c>
      <c r="F73" s="2" t="s">
        <v>457</v>
      </c>
      <c r="G73" s="2" t="str">
        <f>"SR-86"</f>
        <v>SR-86</v>
      </c>
      <c r="H73" s="2" t="s">
        <v>458</v>
      </c>
      <c r="I73" s="2" t="s">
        <v>459</v>
      </c>
      <c r="K73" s="2" t="s">
        <v>69</v>
      </c>
      <c r="L73" s="2" t="s">
        <v>70</v>
      </c>
      <c r="M73" s="2">
        <v>99504.0</v>
      </c>
      <c r="N73" s="2" t="s">
        <v>21</v>
      </c>
    </row>
    <row r="74" ht="15.75" customHeight="1">
      <c r="A74" s="2">
        <v>2013.0</v>
      </c>
      <c r="B74" s="2" t="s">
        <v>445</v>
      </c>
      <c r="C74" s="2" t="s">
        <v>460</v>
      </c>
      <c r="D74" s="2" t="str">
        <f>"904-292-5291"</f>
        <v>904-292-5291</v>
      </c>
      <c r="E74" s="2" t="s">
        <v>461</v>
      </c>
      <c r="F74" s="2" t="s">
        <v>462</v>
      </c>
      <c r="G74" s="2" t="str">
        <f>"SR-154"</f>
        <v>SR-154</v>
      </c>
      <c r="H74" s="2" t="s">
        <v>463</v>
      </c>
      <c r="I74" s="2" t="s">
        <v>450</v>
      </c>
      <c r="K74" s="2" t="s">
        <v>451</v>
      </c>
      <c r="L74" s="2" t="s">
        <v>208</v>
      </c>
      <c r="M74" s="2">
        <v>32258.0</v>
      </c>
      <c r="N74" s="2" t="s">
        <v>21</v>
      </c>
    </row>
    <row r="75" ht="15.75" customHeight="1">
      <c r="A75" s="2">
        <v>2013.0</v>
      </c>
      <c r="B75" s="2" t="s">
        <v>464</v>
      </c>
      <c r="C75" s="2" t="s">
        <v>464</v>
      </c>
      <c r="D75" s="2" t="str">
        <f>"727-266-4492"</f>
        <v>727-266-4492</v>
      </c>
      <c r="E75" s="2" t="s">
        <v>465</v>
      </c>
      <c r="F75" s="2" t="s">
        <v>466</v>
      </c>
      <c r="G75" s="2" t="str">
        <f>"SR-55"</f>
        <v>SR-55</v>
      </c>
      <c r="H75" s="2" t="s">
        <v>467</v>
      </c>
      <c r="I75" s="2" t="s">
        <v>468</v>
      </c>
      <c r="K75" s="2" t="s">
        <v>469</v>
      </c>
      <c r="L75" s="2" t="s">
        <v>208</v>
      </c>
      <c r="M75" s="2">
        <v>33767.0</v>
      </c>
      <c r="N75" s="2" t="s">
        <v>21</v>
      </c>
    </row>
    <row r="76" ht="15.75" customHeight="1">
      <c r="A76" s="2">
        <v>2013.0</v>
      </c>
      <c r="B76" s="2" t="s">
        <v>470</v>
      </c>
      <c r="D76" s="2" t="str">
        <f>"4848600509"</f>
        <v>4848600509</v>
      </c>
      <c r="E76" s="2" t="s">
        <v>471</v>
      </c>
      <c r="F76" s="2" t="s">
        <v>472</v>
      </c>
      <c r="G76" s="2" t="str">
        <f>"SR-181"</f>
        <v>SR-181</v>
      </c>
      <c r="H76" s="2" t="s">
        <v>473</v>
      </c>
      <c r="I76" s="2" t="s">
        <v>474</v>
      </c>
      <c r="K76" s="2" t="s">
        <v>475</v>
      </c>
      <c r="L76" s="2" t="s">
        <v>172</v>
      </c>
      <c r="M76" s="2">
        <v>75098.0</v>
      </c>
      <c r="N76" s="2" t="s">
        <v>21</v>
      </c>
    </row>
    <row r="77" ht="15.75" customHeight="1">
      <c r="A77" s="2">
        <v>2013.0</v>
      </c>
      <c r="B77" s="2" t="s">
        <v>476</v>
      </c>
      <c r="C77" s="2" t="s">
        <v>477</v>
      </c>
      <c r="D77" s="2" t="str">
        <f>"8062907617"</f>
        <v>8062907617</v>
      </c>
      <c r="E77" s="2" t="s">
        <v>478</v>
      </c>
      <c r="F77" s="2" t="s">
        <v>479</v>
      </c>
      <c r="G77" s="2" t="str">
        <f>"SR-199"</f>
        <v>SR-199</v>
      </c>
      <c r="H77" s="2" t="s">
        <v>480</v>
      </c>
      <c r="I77" s="2" t="s">
        <v>481</v>
      </c>
      <c r="K77" s="2" t="s">
        <v>482</v>
      </c>
      <c r="L77" s="2" t="s">
        <v>172</v>
      </c>
      <c r="M77" s="2">
        <v>79104.0</v>
      </c>
      <c r="N77" s="2" t="s">
        <v>21</v>
      </c>
    </row>
    <row r="78" ht="15.75" customHeight="1">
      <c r="A78" s="2">
        <v>2013.0</v>
      </c>
      <c r="B78" s="2" t="s">
        <v>483</v>
      </c>
      <c r="C78" s="2" t="s">
        <v>484</v>
      </c>
      <c r="D78" s="2" t="str">
        <f>"614-353-3831"</f>
        <v>614-353-3831</v>
      </c>
      <c r="E78" s="2" t="s">
        <v>485</v>
      </c>
      <c r="F78" s="2" t="s">
        <v>486</v>
      </c>
      <c r="G78" s="2" t="str">
        <f>"SR-204"</f>
        <v>SR-204</v>
      </c>
      <c r="H78" s="2" t="s">
        <v>487</v>
      </c>
      <c r="I78" s="2" t="s">
        <v>488</v>
      </c>
      <c r="K78" s="2" t="s">
        <v>489</v>
      </c>
      <c r="L78" s="2" t="s">
        <v>344</v>
      </c>
      <c r="M78" s="2">
        <v>43081.0</v>
      </c>
      <c r="N78" s="2" t="s">
        <v>21</v>
      </c>
    </row>
    <row r="79" ht="15.75" customHeight="1">
      <c r="A79" s="2">
        <v>2013.0</v>
      </c>
      <c r="B79" s="2" t="s">
        <v>490</v>
      </c>
      <c r="C79" s="2" t="s">
        <v>491</v>
      </c>
      <c r="D79" s="2" t="str">
        <f>"3092468642"</f>
        <v>3092468642</v>
      </c>
      <c r="E79" s="2" t="s">
        <v>492</v>
      </c>
      <c r="F79" s="2" t="s">
        <v>493</v>
      </c>
      <c r="G79" s="2" t="str">
        <f>"SR-212"</f>
        <v>SR-212</v>
      </c>
      <c r="H79" s="2" t="s">
        <v>494</v>
      </c>
      <c r="I79" s="2" t="s">
        <v>495</v>
      </c>
      <c r="K79" s="2" t="s">
        <v>496</v>
      </c>
      <c r="L79" s="2" t="s">
        <v>105</v>
      </c>
      <c r="M79" s="2">
        <v>61540.0</v>
      </c>
      <c r="N79" s="2" t="s">
        <v>21</v>
      </c>
    </row>
    <row r="80" ht="15.75" customHeight="1">
      <c r="A80" s="2">
        <v>2013.0</v>
      </c>
      <c r="B80" s="2" t="s">
        <v>497</v>
      </c>
      <c r="C80" s="2" t="s">
        <v>497</v>
      </c>
      <c r="D80" s="2" t="str">
        <f>"9526573416"</f>
        <v>9526573416</v>
      </c>
      <c r="E80" s="2" t="s">
        <v>239</v>
      </c>
      <c r="F80" s="2" t="s">
        <v>498</v>
      </c>
      <c r="G80" s="2" t="str">
        <f>"SR-211"</f>
        <v>SR-211</v>
      </c>
      <c r="H80" s="2" t="s">
        <v>499</v>
      </c>
      <c r="I80" s="2" t="s">
        <v>500</v>
      </c>
      <c r="K80" s="2" t="s">
        <v>501</v>
      </c>
      <c r="L80" s="2" t="s">
        <v>62</v>
      </c>
      <c r="M80" s="2">
        <v>55123.0</v>
      </c>
      <c r="N80" s="2" t="s">
        <v>21</v>
      </c>
    </row>
    <row r="81" ht="15.75" customHeight="1">
      <c r="A81" s="2">
        <v>2013.0</v>
      </c>
      <c r="B81" s="2" t="s">
        <v>502</v>
      </c>
      <c r="C81" s="2" t="s">
        <v>502</v>
      </c>
      <c r="D81" s="2" t="str">
        <f>"719-484-0307"</f>
        <v>719-484-0307</v>
      </c>
      <c r="E81" s="2" t="s">
        <v>503</v>
      </c>
      <c r="F81" s="2" t="s">
        <v>504</v>
      </c>
      <c r="G81" s="2" t="str">
        <f>"SR-176"</f>
        <v>SR-176</v>
      </c>
      <c r="H81" s="2" t="s">
        <v>505</v>
      </c>
      <c r="I81" s="2" t="s">
        <v>506</v>
      </c>
      <c r="K81" s="2" t="s">
        <v>507</v>
      </c>
      <c r="L81" s="2" t="s">
        <v>157</v>
      </c>
      <c r="M81" s="2">
        <v>80132.0</v>
      </c>
      <c r="N81" s="2" t="s">
        <v>21</v>
      </c>
    </row>
    <row r="82" ht="15.75" customHeight="1">
      <c r="A82" s="2">
        <v>2013.0</v>
      </c>
      <c r="B82" s="2" t="s">
        <v>508</v>
      </c>
      <c r="C82" s="2" t="s">
        <v>509</v>
      </c>
      <c r="D82" s="2" t="str">
        <f>"727-418-8842"</f>
        <v>727-418-8842</v>
      </c>
      <c r="E82" s="2" t="s">
        <v>510</v>
      </c>
      <c r="F82" s="2" t="s">
        <v>511</v>
      </c>
      <c r="G82" s="2" t="str">
        <f>"SR-54"</f>
        <v>SR-54</v>
      </c>
      <c r="H82" s="2" t="s">
        <v>512</v>
      </c>
      <c r="I82" s="2" t="s">
        <v>513</v>
      </c>
      <c r="K82" s="2" t="s">
        <v>469</v>
      </c>
      <c r="L82" s="2" t="s">
        <v>208</v>
      </c>
      <c r="M82" s="2">
        <v>33755.0</v>
      </c>
      <c r="N82" s="2" t="s">
        <v>21</v>
      </c>
    </row>
    <row r="83" ht="15.75" customHeight="1">
      <c r="A83" s="2">
        <v>2013.0</v>
      </c>
      <c r="B83" s="2" t="s">
        <v>514</v>
      </c>
      <c r="C83" s="2" t="s">
        <v>514</v>
      </c>
      <c r="D83" s="2" t="str">
        <f>"7206293072"</f>
        <v>7206293072</v>
      </c>
      <c r="E83" s="2" t="s">
        <v>515</v>
      </c>
      <c r="F83" s="2" t="s">
        <v>516</v>
      </c>
      <c r="G83" s="2" t="str">
        <f>"SR-220"</f>
        <v>SR-220</v>
      </c>
      <c r="H83" s="2" t="s">
        <v>517</v>
      </c>
      <c r="I83" s="2" t="s">
        <v>518</v>
      </c>
      <c r="K83" s="2" t="s">
        <v>519</v>
      </c>
      <c r="L83" s="2" t="s">
        <v>157</v>
      </c>
      <c r="M83" s="2">
        <v>80465.0</v>
      </c>
      <c r="N83" s="2" t="s">
        <v>21</v>
      </c>
    </row>
    <row r="84" ht="15.75" customHeight="1">
      <c r="A84" s="2">
        <v>2013.0</v>
      </c>
      <c r="B84" s="2" t="s">
        <v>520</v>
      </c>
      <c r="C84" s="2" t="s">
        <v>520</v>
      </c>
      <c r="D84" s="2" t="str">
        <f>"4078653682"</f>
        <v>4078653682</v>
      </c>
      <c r="E84" s="2" t="s">
        <v>521</v>
      </c>
      <c r="F84" s="2" t="s">
        <v>522</v>
      </c>
      <c r="G84" s="2" t="str">
        <f>"SR-222"</f>
        <v>SR-222</v>
      </c>
      <c r="H84" s="2" t="s">
        <v>523</v>
      </c>
      <c r="I84" s="2" t="s">
        <v>524</v>
      </c>
      <c r="K84" s="2" t="s">
        <v>525</v>
      </c>
      <c r="L84" s="2" t="s">
        <v>208</v>
      </c>
      <c r="M84" s="2">
        <v>32750.0</v>
      </c>
      <c r="N84" s="2" t="s">
        <v>21</v>
      </c>
    </row>
    <row r="85" ht="15.75" customHeight="1">
      <c r="A85" s="2">
        <v>2013.0</v>
      </c>
      <c r="B85" s="2" t="s">
        <v>526</v>
      </c>
      <c r="C85" s="2" t="s">
        <v>527</v>
      </c>
      <c r="D85" s="2" t="str">
        <f>"719-488-8822"</f>
        <v>719-488-8822</v>
      </c>
      <c r="E85" s="2" t="s">
        <v>528</v>
      </c>
      <c r="F85" s="2" t="s">
        <v>529</v>
      </c>
      <c r="G85" s="2" t="str">
        <f>"SR-167"</f>
        <v>SR-167</v>
      </c>
      <c r="H85" s="2" t="s">
        <v>530</v>
      </c>
      <c r="I85" s="2" t="s">
        <v>531</v>
      </c>
      <c r="K85" s="2" t="s">
        <v>507</v>
      </c>
      <c r="L85" s="2" t="s">
        <v>157</v>
      </c>
      <c r="M85" s="2">
        <v>80132.0</v>
      </c>
      <c r="N85" s="2" t="s">
        <v>21</v>
      </c>
    </row>
    <row r="86" ht="15.75" customHeight="1">
      <c r="A86" s="2">
        <v>2013.0</v>
      </c>
      <c r="B86" s="2" t="s">
        <v>532</v>
      </c>
      <c r="C86" s="2" t="s">
        <v>533</v>
      </c>
      <c r="D86" s="2" t="str">
        <f>"334-270-2092"</f>
        <v>334-270-2092</v>
      </c>
      <c r="E86" s="2" t="s">
        <v>534</v>
      </c>
      <c r="F86" s="2" t="s">
        <v>535</v>
      </c>
      <c r="G86" s="2" t="str">
        <f>"SR-228"</f>
        <v>SR-228</v>
      </c>
      <c r="H86" s="2" t="s">
        <v>536</v>
      </c>
      <c r="I86" s="2" t="s">
        <v>537</v>
      </c>
      <c r="K86" s="2" t="s">
        <v>538</v>
      </c>
      <c r="L86" s="2" t="s">
        <v>539</v>
      </c>
      <c r="M86" s="2">
        <v>36109.0</v>
      </c>
      <c r="N86" s="2" t="s">
        <v>21</v>
      </c>
    </row>
    <row r="87" ht="15.75" customHeight="1">
      <c r="A87" s="2">
        <v>2013.0</v>
      </c>
      <c r="B87" s="2" t="s">
        <v>540</v>
      </c>
      <c r="C87" s="2" t="s">
        <v>541</v>
      </c>
      <c r="D87" s="2" t="str">
        <f>"7705975104"</f>
        <v>7705975104</v>
      </c>
      <c r="E87" s="2" t="s">
        <v>542</v>
      </c>
      <c r="F87" s="2" t="s">
        <v>543</v>
      </c>
      <c r="G87" s="2" t="str">
        <f>"SR-227"</f>
        <v>SR-227</v>
      </c>
      <c r="H87" s="2" t="s">
        <v>544</v>
      </c>
      <c r="I87" s="2" t="s">
        <v>545</v>
      </c>
      <c r="K87" s="2" t="s">
        <v>546</v>
      </c>
      <c r="L87" s="2" t="s">
        <v>200</v>
      </c>
      <c r="M87" s="2">
        <v>30253.0</v>
      </c>
      <c r="N87" s="2" t="s">
        <v>21</v>
      </c>
    </row>
    <row r="88" ht="15.75" customHeight="1">
      <c r="A88" s="2">
        <v>2013.0</v>
      </c>
      <c r="B88" s="2" t="s">
        <v>547</v>
      </c>
      <c r="C88" s="2" t="s">
        <v>548</v>
      </c>
      <c r="D88" s="2" t="str">
        <f>"360-402-6972"</f>
        <v>360-402-6972</v>
      </c>
      <c r="E88" s="2" t="s">
        <v>549</v>
      </c>
      <c r="F88" s="2" t="s">
        <v>550</v>
      </c>
      <c r="G88" s="2" t="str">
        <f>"SR-141"</f>
        <v>SR-141</v>
      </c>
      <c r="H88" s="2" t="s">
        <v>551</v>
      </c>
      <c r="I88" s="2" t="s">
        <v>552</v>
      </c>
      <c r="K88" s="2" t="s">
        <v>553</v>
      </c>
      <c r="L88" s="2" t="s">
        <v>86</v>
      </c>
      <c r="M88" s="2">
        <v>98503.0</v>
      </c>
      <c r="N88" s="2" t="s">
        <v>21</v>
      </c>
    </row>
    <row r="89" ht="15.75" customHeight="1">
      <c r="A89" s="2">
        <v>2013.0</v>
      </c>
      <c r="B89" s="2" t="s">
        <v>554</v>
      </c>
      <c r="C89" s="2" t="s">
        <v>555</v>
      </c>
      <c r="D89" s="2" t="str">
        <f>"(515) 289-0501"</f>
        <v>(515) 289-0501</v>
      </c>
      <c r="E89" s="2" t="s">
        <v>50</v>
      </c>
      <c r="F89" s="2" t="s">
        <v>556</v>
      </c>
      <c r="G89" s="2" t="str">
        <f>"SR-226"</f>
        <v>SR-226</v>
      </c>
      <c r="H89" s="2" t="s">
        <v>557</v>
      </c>
      <c r="I89" s="2" t="s">
        <v>558</v>
      </c>
      <c r="K89" s="2" t="s">
        <v>559</v>
      </c>
      <c r="L89" s="2" t="s">
        <v>560</v>
      </c>
      <c r="M89" s="2">
        <v>50023.0</v>
      </c>
      <c r="N89" s="2" t="s">
        <v>21</v>
      </c>
    </row>
    <row r="90" ht="15.75" customHeight="1">
      <c r="A90" s="2">
        <v>2013.0</v>
      </c>
      <c r="B90" s="2" t="s">
        <v>561</v>
      </c>
      <c r="C90" s="2" t="s">
        <v>561</v>
      </c>
      <c r="D90" s="2" t="str">
        <f>"774-200-4519"</f>
        <v>774-200-4519</v>
      </c>
      <c r="E90" s="2" t="s">
        <v>562</v>
      </c>
      <c r="F90" s="2" t="s">
        <v>563</v>
      </c>
      <c r="G90" s="2" t="str">
        <f>"SR-118"</f>
        <v>SR-118</v>
      </c>
      <c r="H90" s="2" t="s">
        <v>564</v>
      </c>
      <c r="I90" s="2" t="s">
        <v>565</v>
      </c>
      <c r="J90" s="2" t="s">
        <v>566</v>
      </c>
      <c r="K90" s="2" t="s">
        <v>567</v>
      </c>
      <c r="L90" s="2" t="s">
        <v>208</v>
      </c>
      <c r="M90" s="2">
        <v>33708.0</v>
      </c>
      <c r="N90" s="2" t="s">
        <v>21</v>
      </c>
    </row>
    <row r="91" ht="15.75" customHeight="1">
      <c r="A91" s="2">
        <v>2013.0</v>
      </c>
      <c r="B91" s="2" t="s">
        <v>568</v>
      </c>
      <c r="C91" s="2" t="s">
        <v>568</v>
      </c>
      <c r="D91" s="2" t="str">
        <f>"785-524-4301"</f>
        <v>785-524-4301</v>
      </c>
      <c r="E91" s="2" t="s">
        <v>132</v>
      </c>
      <c r="F91" s="2" t="s">
        <v>569</v>
      </c>
      <c r="G91" s="2" t="str">
        <f>"SR-250"</f>
        <v>SR-250</v>
      </c>
      <c r="H91" s="2" t="s">
        <v>570</v>
      </c>
      <c r="I91" s="2" t="s">
        <v>571</v>
      </c>
      <c r="K91" s="2" t="s">
        <v>572</v>
      </c>
      <c r="L91" s="2" t="s">
        <v>272</v>
      </c>
      <c r="M91" s="2">
        <v>67455.0</v>
      </c>
      <c r="N91" s="2" t="s">
        <v>21</v>
      </c>
    </row>
    <row r="92" ht="15.75" customHeight="1">
      <c r="A92" s="2">
        <v>2013.0</v>
      </c>
      <c r="B92" s="2" t="s">
        <v>573</v>
      </c>
      <c r="C92" s="2" t="s">
        <v>574</v>
      </c>
      <c r="D92" s="2" t="str">
        <f>"404-775-7638"</f>
        <v>404-775-7638</v>
      </c>
      <c r="E92" s="2" t="s">
        <v>339</v>
      </c>
      <c r="F92" s="2" t="s">
        <v>575</v>
      </c>
      <c r="G92" s="2" t="str">
        <f>"SR-252"</f>
        <v>SR-252</v>
      </c>
      <c r="H92" s="2" t="s">
        <v>576</v>
      </c>
      <c r="I92" s="2" t="s">
        <v>577</v>
      </c>
      <c r="K92" s="2" t="s">
        <v>578</v>
      </c>
      <c r="L92" s="2" t="s">
        <v>200</v>
      </c>
      <c r="M92" s="2">
        <v>30290.0</v>
      </c>
      <c r="N92" s="2" t="s">
        <v>21</v>
      </c>
    </row>
    <row r="93" ht="15.75" customHeight="1">
      <c r="A93" s="2">
        <v>2013.0</v>
      </c>
      <c r="B93" s="2" t="s">
        <v>573</v>
      </c>
      <c r="C93" s="2" t="s">
        <v>579</v>
      </c>
      <c r="D93" s="2" t="str">
        <f>"404-791-2509"</f>
        <v>404-791-2509</v>
      </c>
      <c r="E93" s="2" t="s">
        <v>580</v>
      </c>
      <c r="F93" s="2" t="s">
        <v>575</v>
      </c>
      <c r="G93" s="2" t="str">
        <f>"SR-254"</f>
        <v>SR-254</v>
      </c>
      <c r="H93" s="2" t="s">
        <v>581</v>
      </c>
      <c r="I93" s="2" t="s">
        <v>577</v>
      </c>
      <c r="K93" s="2" t="s">
        <v>578</v>
      </c>
      <c r="L93" s="2" t="s">
        <v>200</v>
      </c>
      <c r="M93" s="2">
        <v>30290.0</v>
      </c>
      <c r="N93" s="2" t="s">
        <v>21</v>
      </c>
    </row>
    <row r="94" ht="15.75" customHeight="1">
      <c r="A94" s="2">
        <v>2013.0</v>
      </c>
      <c r="B94" s="2" t="s">
        <v>582</v>
      </c>
      <c r="C94" s="2" t="s">
        <v>583</v>
      </c>
      <c r="D94" s="2" t="str">
        <f>"574 8965329"</f>
        <v>574 8965329</v>
      </c>
      <c r="E94" s="2" t="s">
        <v>584</v>
      </c>
      <c r="F94" s="2" t="s">
        <v>585</v>
      </c>
      <c r="G94" s="2" t="str">
        <f>"SR-257"</f>
        <v>SR-257</v>
      </c>
      <c r="H94" s="2" t="s">
        <v>586</v>
      </c>
      <c r="I94" s="2" t="s">
        <v>587</v>
      </c>
      <c r="K94" s="2" t="s">
        <v>371</v>
      </c>
      <c r="L94" s="2" t="s">
        <v>149</v>
      </c>
      <c r="M94" s="2">
        <v>46366.0</v>
      </c>
      <c r="N94" s="2" t="s">
        <v>21</v>
      </c>
    </row>
    <row r="95" ht="15.75" customHeight="1">
      <c r="A95" s="2">
        <v>2013.0</v>
      </c>
      <c r="B95" s="2" t="s">
        <v>588</v>
      </c>
      <c r="C95" s="2" t="s">
        <v>589</v>
      </c>
      <c r="D95" s="2" t="str">
        <f>"5406650664"</f>
        <v>5406650664</v>
      </c>
      <c r="E95" s="2" t="s">
        <v>590</v>
      </c>
      <c r="F95" s="2" t="s">
        <v>591</v>
      </c>
      <c r="G95" s="2" t="str">
        <f>"SR-249"</f>
        <v>SR-249</v>
      </c>
      <c r="H95" s="2" t="s">
        <v>592</v>
      </c>
      <c r="I95" s="2" t="s">
        <v>593</v>
      </c>
      <c r="K95" s="2" t="s">
        <v>594</v>
      </c>
      <c r="L95" s="2" t="s">
        <v>165</v>
      </c>
      <c r="M95" s="2">
        <v>22601.0</v>
      </c>
      <c r="N95" s="2" t="s">
        <v>21</v>
      </c>
    </row>
    <row r="96" ht="15.75" customHeight="1">
      <c r="A96" s="2">
        <v>2013.0</v>
      </c>
      <c r="B96" s="2" t="s">
        <v>595</v>
      </c>
      <c r="C96" s="2" t="s">
        <v>595</v>
      </c>
      <c r="D96" s="2" t="str">
        <f>"713-857-2072"</f>
        <v>713-857-2072</v>
      </c>
      <c r="E96" s="2" t="s">
        <v>596</v>
      </c>
      <c r="F96" s="2" t="s">
        <v>597</v>
      </c>
      <c r="G96" s="2" t="str">
        <f>"SR-260"</f>
        <v>SR-260</v>
      </c>
      <c r="H96" s="2" t="s">
        <v>598</v>
      </c>
      <c r="I96" s="2" t="s">
        <v>599</v>
      </c>
      <c r="K96" s="2" t="s">
        <v>600</v>
      </c>
      <c r="L96" s="2" t="s">
        <v>172</v>
      </c>
      <c r="M96" s="2">
        <v>77571.0</v>
      </c>
      <c r="N96" s="2" t="s">
        <v>21</v>
      </c>
    </row>
    <row r="97" ht="15.75" customHeight="1">
      <c r="A97" s="2">
        <v>2013.0</v>
      </c>
      <c r="B97" s="2" t="s">
        <v>601</v>
      </c>
      <c r="C97" s="2" t="s">
        <v>602</v>
      </c>
      <c r="D97" s="2" t="str">
        <f>"316-665-0786"</f>
        <v>316-665-0786</v>
      </c>
      <c r="E97" s="2" t="s">
        <v>590</v>
      </c>
      <c r="F97" s="2" t="s">
        <v>603</v>
      </c>
      <c r="G97" s="2" t="str">
        <f>"SR-261"</f>
        <v>SR-261</v>
      </c>
      <c r="H97" s="2" t="s">
        <v>604</v>
      </c>
      <c r="I97" s="2" t="s">
        <v>605</v>
      </c>
      <c r="K97" s="2" t="s">
        <v>606</v>
      </c>
      <c r="L97" s="2" t="s">
        <v>272</v>
      </c>
      <c r="M97" s="2">
        <v>67212.0</v>
      </c>
      <c r="N97" s="2" t="s">
        <v>21</v>
      </c>
    </row>
    <row r="98" ht="15.75" customHeight="1">
      <c r="A98" s="2">
        <v>2013.0</v>
      </c>
      <c r="B98" s="2" t="s">
        <v>601</v>
      </c>
      <c r="C98" s="2" t="s">
        <v>607</v>
      </c>
      <c r="D98" s="2" t="str">
        <f>"316-665-2952"</f>
        <v>316-665-2952</v>
      </c>
      <c r="E98" s="2" t="s">
        <v>386</v>
      </c>
      <c r="F98" s="2" t="s">
        <v>603</v>
      </c>
      <c r="G98" s="2" t="str">
        <f>"SR-262"</f>
        <v>SR-262</v>
      </c>
      <c r="H98" s="2" t="s">
        <v>608</v>
      </c>
      <c r="I98" s="2" t="s">
        <v>605</v>
      </c>
      <c r="K98" s="2" t="s">
        <v>606</v>
      </c>
      <c r="L98" s="2" t="s">
        <v>272</v>
      </c>
      <c r="M98" s="2">
        <v>67212.0</v>
      </c>
      <c r="N98" s="2" t="s">
        <v>21</v>
      </c>
    </row>
    <row r="99" ht="15.75" customHeight="1">
      <c r="A99" s="2">
        <v>2013.0</v>
      </c>
      <c r="B99" s="2" t="s">
        <v>609</v>
      </c>
      <c r="C99" s="2" t="s">
        <v>610</v>
      </c>
      <c r="D99" s="2" t="str">
        <f>"2145577472"</f>
        <v>2145577472</v>
      </c>
      <c r="E99" s="2" t="s">
        <v>611</v>
      </c>
      <c r="F99" s="2" t="s">
        <v>612</v>
      </c>
      <c r="G99" s="2" t="str">
        <f>"SR-157"</f>
        <v>SR-157</v>
      </c>
      <c r="H99" s="2" t="s">
        <v>613</v>
      </c>
      <c r="I99" s="2" t="s">
        <v>614</v>
      </c>
      <c r="K99" s="2" t="s">
        <v>615</v>
      </c>
      <c r="L99" s="2" t="s">
        <v>172</v>
      </c>
      <c r="M99" s="2">
        <v>75070.0</v>
      </c>
      <c r="N99" s="2" t="s">
        <v>21</v>
      </c>
    </row>
    <row r="100" ht="15.75" customHeight="1">
      <c r="A100" s="2">
        <v>2013.0</v>
      </c>
      <c r="B100" s="2" t="s">
        <v>616</v>
      </c>
      <c r="C100" s="2" t="s">
        <v>616</v>
      </c>
      <c r="D100" s="2" t="str">
        <f>"970-482-6541"</f>
        <v>970-482-6541</v>
      </c>
      <c r="E100" s="2" t="s">
        <v>385</v>
      </c>
      <c r="F100" s="2" t="s">
        <v>617</v>
      </c>
      <c r="G100" s="2" t="str">
        <f>"SR-267"</f>
        <v>SR-267</v>
      </c>
      <c r="H100" s="2" t="s">
        <v>618</v>
      </c>
      <c r="I100" s="2" t="s">
        <v>619</v>
      </c>
      <c r="K100" s="2" t="s">
        <v>620</v>
      </c>
      <c r="L100" s="2" t="s">
        <v>157</v>
      </c>
      <c r="M100" s="2">
        <v>80535.0</v>
      </c>
      <c r="N100" s="2" t="s">
        <v>21</v>
      </c>
    </row>
    <row r="101" ht="15.75" customHeight="1">
      <c r="A101" s="2">
        <v>2013.0</v>
      </c>
      <c r="B101" s="2" t="s">
        <v>621</v>
      </c>
      <c r="C101" s="2" t="s">
        <v>621</v>
      </c>
      <c r="D101" s="2" t="str">
        <f>"(952) 955-3299"</f>
        <v>(952) 955-3299</v>
      </c>
      <c r="E101" s="2" t="s">
        <v>622</v>
      </c>
      <c r="F101" s="2" t="s">
        <v>623</v>
      </c>
      <c r="G101" s="2" t="str">
        <f>"SR-156"</f>
        <v>SR-156</v>
      </c>
      <c r="H101" s="2" t="s">
        <v>624</v>
      </c>
      <c r="I101" s="2" t="s">
        <v>625</v>
      </c>
      <c r="K101" s="2" t="s">
        <v>626</v>
      </c>
      <c r="L101" s="2" t="s">
        <v>62</v>
      </c>
      <c r="M101" s="2">
        <v>55388.0</v>
      </c>
      <c r="N101" s="2" t="s">
        <v>21</v>
      </c>
    </row>
    <row r="102" ht="15.75" customHeight="1">
      <c r="A102" s="2">
        <v>2013.0</v>
      </c>
      <c r="B102" s="2" t="s">
        <v>627</v>
      </c>
      <c r="C102" s="2" t="s">
        <v>628</v>
      </c>
      <c r="D102" s="2" t="str">
        <f>"210-598-2371"</f>
        <v>210-598-2371</v>
      </c>
      <c r="E102" s="2" t="s">
        <v>580</v>
      </c>
      <c r="F102" s="2" t="s">
        <v>629</v>
      </c>
      <c r="G102" s="2" t="str">
        <f>"SR-161"</f>
        <v>SR-161</v>
      </c>
      <c r="H102" s="2" t="s">
        <v>630</v>
      </c>
      <c r="I102" s="2" t="s">
        <v>631</v>
      </c>
      <c r="K102" s="2" t="s">
        <v>632</v>
      </c>
      <c r="L102" s="2" t="s">
        <v>172</v>
      </c>
      <c r="M102" s="2">
        <v>78230.0</v>
      </c>
      <c r="N102" s="2" t="s">
        <v>21</v>
      </c>
    </row>
    <row r="103" ht="15.75" customHeight="1">
      <c r="A103" s="2">
        <v>2013.0</v>
      </c>
      <c r="B103" s="2" t="s">
        <v>633</v>
      </c>
      <c r="C103" s="2" t="s">
        <v>633</v>
      </c>
      <c r="D103" s="2" t="str">
        <f>"574-806-5325"</f>
        <v>574-806-5325</v>
      </c>
      <c r="E103" s="2" t="s">
        <v>634</v>
      </c>
      <c r="F103" s="2" t="s">
        <v>585</v>
      </c>
      <c r="G103" s="2" t="str">
        <f>"SR-258"</f>
        <v>SR-258</v>
      </c>
      <c r="H103" s="2" t="s">
        <v>635</v>
      </c>
      <c r="I103" s="2" t="s">
        <v>636</v>
      </c>
      <c r="K103" s="2" t="s">
        <v>371</v>
      </c>
      <c r="L103" s="2" t="s">
        <v>149</v>
      </c>
      <c r="M103" s="2">
        <v>46366.0</v>
      </c>
      <c r="N103" s="2" t="s">
        <v>21</v>
      </c>
    </row>
    <row r="104" ht="15.75" customHeight="1">
      <c r="A104" s="2">
        <v>2013.0</v>
      </c>
      <c r="B104" s="2" t="s">
        <v>637</v>
      </c>
      <c r="C104" s="2" t="s">
        <v>637</v>
      </c>
      <c r="D104" s="2" t="str">
        <f>"4096706591"</f>
        <v>4096706591</v>
      </c>
      <c r="E104" s="2" t="s">
        <v>638</v>
      </c>
      <c r="F104" s="2" t="s">
        <v>639</v>
      </c>
      <c r="G104" s="2" t="str">
        <f>"SR-152"</f>
        <v>SR-152</v>
      </c>
      <c r="H104" s="2" t="s">
        <v>640</v>
      </c>
      <c r="I104" s="2" t="s">
        <v>641</v>
      </c>
      <c r="K104" s="2" t="s">
        <v>642</v>
      </c>
      <c r="L104" s="2" t="s">
        <v>172</v>
      </c>
      <c r="M104" s="2">
        <v>77632.0</v>
      </c>
      <c r="N104" s="2" t="s">
        <v>21</v>
      </c>
    </row>
    <row r="105" ht="15.75" customHeight="1">
      <c r="A105" s="2">
        <v>2013.0</v>
      </c>
      <c r="B105" s="2" t="s">
        <v>643</v>
      </c>
      <c r="C105" s="2" t="s">
        <v>643</v>
      </c>
      <c r="D105" s="2" t="str">
        <f>"(715)-449-4040"</f>
        <v>(715)-449-4040</v>
      </c>
      <c r="E105" s="2" t="s">
        <v>644</v>
      </c>
      <c r="F105" s="2" t="s">
        <v>645</v>
      </c>
      <c r="G105" s="2" t="str">
        <f>"SR-236"</f>
        <v>SR-236</v>
      </c>
      <c r="H105" s="2" t="s">
        <v>646</v>
      </c>
      <c r="I105" s="2" t="s">
        <v>647</v>
      </c>
      <c r="K105" s="2" t="s">
        <v>648</v>
      </c>
      <c r="L105" s="2" t="s">
        <v>193</v>
      </c>
      <c r="M105" s="2">
        <v>54499.0</v>
      </c>
      <c r="N105" s="2" t="s">
        <v>21</v>
      </c>
    </row>
    <row r="106" ht="15.75" customHeight="1">
      <c r="A106" s="2">
        <v>2013.0</v>
      </c>
      <c r="B106" s="2" t="s">
        <v>649</v>
      </c>
      <c r="C106" s="2" t="s">
        <v>650</v>
      </c>
      <c r="D106" s="2" t="str">
        <f>"970-567-9667"</f>
        <v>970-567-9667</v>
      </c>
      <c r="E106" s="2" t="s">
        <v>651</v>
      </c>
      <c r="F106" s="2" t="s">
        <v>652</v>
      </c>
      <c r="G106" s="2" t="str">
        <f>"SR-265"</f>
        <v>SR-265</v>
      </c>
      <c r="H106" s="2" t="s">
        <v>653</v>
      </c>
      <c r="I106" s="2" t="s">
        <v>654</v>
      </c>
      <c r="J106" s="2" t="s">
        <v>655</v>
      </c>
      <c r="K106" s="2" t="s">
        <v>656</v>
      </c>
      <c r="L106" s="2" t="s">
        <v>157</v>
      </c>
      <c r="M106" s="2">
        <v>80525.0</v>
      </c>
      <c r="N106" s="2" t="s">
        <v>21</v>
      </c>
    </row>
    <row r="107" ht="15.75" customHeight="1">
      <c r="A107" s="2">
        <v>2013.0</v>
      </c>
      <c r="B107" s="2" t="s">
        <v>657</v>
      </c>
      <c r="C107" s="2" t="s">
        <v>658</v>
      </c>
      <c r="D107" s="2" t="str">
        <f>"3343566482"</f>
        <v>3343566482</v>
      </c>
      <c r="E107" s="2" t="s">
        <v>659</v>
      </c>
      <c r="F107" s="2" t="s">
        <v>660</v>
      </c>
      <c r="G107" s="2" t="str">
        <f>"SR-269"</f>
        <v>SR-269</v>
      </c>
      <c r="H107" s="2" t="s">
        <v>661</v>
      </c>
      <c r="I107" s="2" t="s">
        <v>662</v>
      </c>
      <c r="K107" s="2" t="s">
        <v>663</v>
      </c>
      <c r="L107" s="2" t="s">
        <v>539</v>
      </c>
      <c r="M107" s="2">
        <v>36113.0</v>
      </c>
      <c r="N107" s="2" t="s">
        <v>21</v>
      </c>
    </row>
    <row r="108" ht="15.75" customHeight="1">
      <c r="A108" s="2">
        <v>2013.0</v>
      </c>
      <c r="B108" s="2" t="s">
        <v>664</v>
      </c>
      <c r="C108" s="2" t="s">
        <v>665</v>
      </c>
      <c r="D108" s="2" t="str">
        <f>"715-384-7998"</f>
        <v>715-384-7998</v>
      </c>
      <c r="E108" s="2" t="s">
        <v>666</v>
      </c>
      <c r="F108" s="2" t="s">
        <v>645</v>
      </c>
      <c r="G108" s="2" t="str">
        <f>"SR-272"</f>
        <v>SR-272</v>
      </c>
      <c r="H108" s="2" t="s">
        <v>667</v>
      </c>
      <c r="I108" s="2" t="s">
        <v>668</v>
      </c>
      <c r="K108" s="2" t="s">
        <v>669</v>
      </c>
      <c r="L108" s="2" t="s">
        <v>193</v>
      </c>
      <c r="M108" s="2">
        <v>54449.0</v>
      </c>
      <c r="N108" s="2" t="s">
        <v>21</v>
      </c>
    </row>
    <row r="109" ht="15.75" customHeight="1">
      <c r="A109" s="2">
        <v>2013.0</v>
      </c>
      <c r="B109" s="2" t="s">
        <v>670</v>
      </c>
      <c r="C109" s="2" t="s">
        <v>671</v>
      </c>
      <c r="D109" s="2" t="str">
        <f>"7277482207"</f>
        <v>7277482207</v>
      </c>
      <c r="E109" s="2" t="s">
        <v>373</v>
      </c>
      <c r="F109" s="2" t="s">
        <v>672</v>
      </c>
      <c r="G109" s="2" t="str">
        <f>"SR-282"</f>
        <v>SR-282</v>
      </c>
      <c r="H109" s="2" t="s">
        <v>673</v>
      </c>
      <c r="I109" s="2" t="s">
        <v>674</v>
      </c>
      <c r="K109" s="2" t="s">
        <v>675</v>
      </c>
      <c r="L109" s="2" t="s">
        <v>208</v>
      </c>
      <c r="M109" s="2">
        <v>33756.0</v>
      </c>
      <c r="N109" s="2" t="s">
        <v>21</v>
      </c>
    </row>
    <row r="110" ht="15.75" customHeight="1">
      <c r="A110" s="2">
        <v>2013.0</v>
      </c>
      <c r="B110" s="2" t="s">
        <v>676</v>
      </c>
      <c r="C110" s="2" t="s">
        <v>677</v>
      </c>
      <c r="D110" s="2" t="str">
        <f>"7203481612"</f>
        <v>7203481612</v>
      </c>
      <c r="E110" s="2" t="s">
        <v>678</v>
      </c>
      <c r="F110" s="2" t="s">
        <v>679</v>
      </c>
      <c r="G110" s="2" t="str">
        <f>"SR-242"</f>
        <v>SR-242</v>
      </c>
      <c r="H110" s="2" t="s">
        <v>680</v>
      </c>
      <c r="I110" s="2" t="s">
        <v>681</v>
      </c>
      <c r="K110" s="2" t="s">
        <v>682</v>
      </c>
      <c r="L110" s="2" t="s">
        <v>157</v>
      </c>
      <c r="M110" s="2">
        <v>80126.0</v>
      </c>
      <c r="N110" s="2" t="s">
        <v>21</v>
      </c>
    </row>
    <row r="111" ht="15.75" customHeight="1">
      <c r="A111" s="2">
        <v>2013.0</v>
      </c>
      <c r="B111" s="2" t="s">
        <v>683</v>
      </c>
      <c r="C111" s="2" t="s">
        <v>683</v>
      </c>
      <c r="D111" s="2" t="str">
        <f>"8046733998"</f>
        <v>8046733998</v>
      </c>
      <c r="E111" s="2" t="s">
        <v>684</v>
      </c>
      <c r="F111" s="2" t="s">
        <v>685</v>
      </c>
      <c r="G111" s="2" t="str">
        <f>"SR-113"</f>
        <v>SR-113</v>
      </c>
      <c r="H111" s="2" t="s">
        <v>686</v>
      </c>
      <c r="I111" s="2" t="s">
        <v>687</v>
      </c>
      <c r="K111" s="2" t="s">
        <v>688</v>
      </c>
      <c r="L111" s="2" t="s">
        <v>165</v>
      </c>
      <c r="M111" s="2">
        <v>23229.0</v>
      </c>
      <c r="N111" s="2" t="s">
        <v>21</v>
      </c>
    </row>
    <row r="112" ht="15.75" customHeight="1">
      <c r="A112" s="2">
        <v>2013.0</v>
      </c>
      <c r="B112" s="2" t="s">
        <v>689</v>
      </c>
      <c r="C112" s="2" t="s">
        <v>689</v>
      </c>
      <c r="D112" s="2" t="str">
        <f>"3202310447"</f>
        <v>3202310447</v>
      </c>
      <c r="E112" s="2" t="s">
        <v>24</v>
      </c>
      <c r="F112" s="2" t="s">
        <v>690</v>
      </c>
      <c r="G112" s="2" t="str">
        <f>"SR-27"</f>
        <v>SR-27</v>
      </c>
      <c r="H112" s="2" t="s">
        <v>691</v>
      </c>
      <c r="I112" s="2" t="s">
        <v>692</v>
      </c>
      <c r="K112" s="2" t="s">
        <v>61</v>
      </c>
      <c r="L112" s="2" t="s">
        <v>62</v>
      </c>
      <c r="M112" s="2">
        <v>56201.0</v>
      </c>
      <c r="N112" s="2" t="s">
        <v>21</v>
      </c>
    </row>
    <row r="113" ht="15.75" customHeight="1">
      <c r="A113" s="2">
        <v>2013.0</v>
      </c>
      <c r="B113" s="2" t="s">
        <v>693</v>
      </c>
      <c r="C113" s="2" t="s">
        <v>694</v>
      </c>
      <c r="D113" s="2" t="str">
        <f>"951-324-0095"</f>
        <v>951-324-0095</v>
      </c>
      <c r="E113" s="2" t="s">
        <v>695</v>
      </c>
      <c r="F113" s="2" t="s">
        <v>696</v>
      </c>
      <c r="G113" s="2" t="str">
        <f>"SR-36"</f>
        <v>SR-36</v>
      </c>
      <c r="H113" s="2" t="s">
        <v>697</v>
      </c>
      <c r="I113" s="2" t="s">
        <v>698</v>
      </c>
      <c r="J113" s="2" t="s">
        <v>699</v>
      </c>
      <c r="K113" s="2" t="s">
        <v>700</v>
      </c>
      <c r="L113" s="2" t="s">
        <v>701</v>
      </c>
      <c r="M113" s="2">
        <v>7173.0</v>
      </c>
      <c r="N113" s="2" t="s">
        <v>702</v>
      </c>
    </row>
    <row r="114" ht="15.75" customHeight="1">
      <c r="A114" s="2">
        <v>2013.0</v>
      </c>
      <c r="B114" s="2" t="s">
        <v>703</v>
      </c>
      <c r="C114" s="2" t="s">
        <v>704</v>
      </c>
      <c r="D114" s="2" t="str">
        <f>"9163665946"</f>
        <v>9163665946</v>
      </c>
      <c r="E114" s="2" t="s">
        <v>705</v>
      </c>
      <c r="F114" s="2" t="s">
        <v>529</v>
      </c>
      <c r="G114" s="2" t="str">
        <f>"SR-170"</f>
        <v>SR-170</v>
      </c>
      <c r="H114" s="2" t="s">
        <v>706</v>
      </c>
      <c r="I114" s="2" t="s">
        <v>707</v>
      </c>
      <c r="K114" s="2" t="s">
        <v>708</v>
      </c>
      <c r="L114" s="2" t="s">
        <v>222</v>
      </c>
      <c r="M114" s="2">
        <v>95670.0</v>
      </c>
      <c r="N114" s="2" t="s">
        <v>21</v>
      </c>
    </row>
    <row r="115" ht="15.75" customHeight="1">
      <c r="A115" s="2">
        <v>2013.0</v>
      </c>
      <c r="B115" s="2" t="s">
        <v>709</v>
      </c>
      <c r="C115" s="2" t="s">
        <v>710</v>
      </c>
      <c r="D115" s="2" t="str">
        <f>"318-254-5349"</f>
        <v>318-254-5349</v>
      </c>
      <c r="E115" s="2" t="s">
        <v>651</v>
      </c>
      <c r="F115" s="2" t="s">
        <v>711</v>
      </c>
      <c r="G115" s="2" t="str">
        <f>"SR-185"</f>
        <v>SR-185</v>
      </c>
      <c r="H115" s="2" t="s">
        <v>712</v>
      </c>
      <c r="I115" s="2" t="s">
        <v>713</v>
      </c>
      <c r="K115" s="2" t="s">
        <v>714</v>
      </c>
      <c r="L115" s="2" t="s">
        <v>715</v>
      </c>
      <c r="M115" s="2">
        <v>71270.0</v>
      </c>
      <c r="N115" s="2" t="s">
        <v>21</v>
      </c>
    </row>
    <row r="116" ht="15.75" customHeight="1">
      <c r="A116" s="2">
        <v>2013.0</v>
      </c>
      <c r="B116" s="2" t="s">
        <v>716</v>
      </c>
      <c r="C116" s="2" t="s">
        <v>717</v>
      </c>
      <c r="D116" s="2" t="str">
        <f>"318-202-5322"</f>
        <v>318-202-5322</v>
      </c>
      <c r="E116" s="2" t="s">
        <v>534</v>
      </c>
      <c r="F116" s="2" t="s">
        <v>718</v>
      </c>
      <c r="G116" s="2" t="str">
        <f>"SR-295"</f>
        <v>SR-295</v>
      </c>
      <c r="H116" s="2" t="s">
        <v>719</v>
      </c>
      <c r="I116" s="2" t="s">
        <v>720</v>
      </c>
      <c r="K116" s="2" t="s">
        <v>714</v>
      </c>
      <c r="L116" s="2" t="s">
        <v>715</v>
      </c>
      <c r="M116" s="2">
        <v>71270.0</v>
      </c>
      <c r="N116" s="2" t="s">
        <v>21</v>
      </c>
    </row>
    <row r="117" ht="15.75" customHeight="1">
      <c r="A117" s="2">
        <v>2013.0</v>
      </c>
      <c r="B117" s="2" t="s">
        <v>721</v>
      </c>
      <c r="C117" s="2" t="s">
        <v>722</v>
      </c>
      <c r="D117" s="2" t="str">
        <f>"318-247-1399"</f>
        <v>318-247-1399</v>
      </c>
      <c r="E117" s="2" t="s">
        <v>723</v>
      </c>
      <c r="F117" s="2" t="s">
        <v>724</v>
      </c>
      <c r="G117" s="2" t="str">
        <f>"SR-297"</f>
        <v>SR-297</v>
      </c>
      <c r="H117" s="2" t="s">
        <v>725</v>
      </c>
      <c r="I117" s="2" t="s">
        <v>726</v>
      </c>
      <c r="K117" s="2" t="s">
        <v>714</v>
      </c>
      <c r="L117" s="2" t="s">
        <v>715</v>
      </c>
      <c r="M117" s="2">
        <v>71270.0</v>
      </c>
      <c r="N117" s="2" t="s">
        <v>21</v>
      </c>
    </row>
    <row r="118" ht="15.75" customHeight="1">
      <c r="A118" s="2">
        <v>2013.0</v>
      </c>
      <c r="B118" s="2" t="s">
        <v>727</v>
      </c>
      <c r="C118" s="2" t="s">
        <v>727</v>
      </c>
      <c r="D118" s="2" t="str">
        <f>"8129299576"</f>
        <v>8129299576</v>
      </c>
      <c r="E118" s="2" t="s">
        <v>718</v>
      </c>
      <c r="F118" s="2" t="s">
        <v>728</v>
      </c>
      <c r="G118" s="2" t="str">
        <f>"SR-196"</f>
        <v>SR-196</v>
      </c>
      <c r="H118" s="2" t="s">
        <v>729</v>
      </c>
      <c r="I118" s="2" t="s">
        <v>730</v>
      </c>
      <c r="K118" s="2" t="s">
        <v>731</v>
      </c>
      <c r="L118" s="2" t="s">
        <v>149</v>
      </c>
      <c r="M118" s="2">
        <v>47448.0</v>
      </c>
      <c r="N118" s="2" t="s">
        <v>21</v>
      </c>
    </row>
    <row r="119" ht="15.75" customHeight="1">
      <c r="A119" s="2">
        <v>2013.0</v>
      </c>
      <c r="B119" s="2" t="s">
        <v>732</v>
      </c>
      <c r="C119" s="2" t="s">
        <v>732</v>
      </c>
      <c r="D119" s="2" t="str">
        <f>"9163665946"</f>
        <v>9163665946</v>
      </c>
      <c r="E119" s="2" t="s">
        <v>733</v>
      </c>
      <c r="F119" s="2" t="s">
        <v>529</v>
      </c>
      <c r="G119" s="2" t="str">
        <f>"SR-304"</f>
        <v>SR-304</v>
      </c>
      <c r="H119" s="2" t="s">
        <v>734</v>
      </c>
      <c r="I119" s="2" t="s">
        <v>707</v>
      </c>
      <c r="K119" s="2" t="s">
        <v>708</v>
      </c>
      <c r="L119" s="2" t="s">
        <v>222</v>
      </c>
      <c r="M119" s="2">
        <v>95670.0</v>
      </c>
      <c r="N119" s="2" t="s">
        <v>21</v>
      </c>
    </row>
    <row r="120" ht="15.75" customHeight="1">
      <c r="A120" s="2">
        <v>2013.0</v>
      </c>
      <c r="B120" s="2" t="s">
        <v>735</v>
      </c>
      <c r="C120" s="2" t="s">
        <v>736</v>
      </c>
      <c r="D120" s="2" t="str">
        <f>"972-641-3916"</f>
        <v>972-641-3916</v>
      </c>
      <c r="E120" s="2" t="s">
        <v>453</v>
      </c>
      <c r="F120" s="2" t="s">
        <v>737</v>
      </c>
      <c r="G120" s="2" t="str">
        <f>"SR-306"</f>
        <v>SR-306</v>
      </c>
      <c r="H120" s="2" t="s">
        <v>738</v>
      </c>
      <c r="I120" s="2" t="s">
        <v>739</v>
      </c>
      <c r="K120" s="2" t="s">
        <v>740</v>
      </c>
      <c r="L120" s="2" t="s">
        <v>172</v>
      </c>
      <c r="M120" s="2">
        <v>75050.0</v>
      </c>
      <c r="N120" s="2" t="s">
        <v>21</v>
      </c>
    </row>
    <row r="121" ht="15.75" customHeight="1">
      <c r="A121" s="2">
        <v>2013.0</v>
      </c>
      <c r="B121" s="2" t="s">
        <v>741</v>
      </c>
      <c r="C121" s="2" t="s">
        <v>742</v>
      </c>
      <c r="D121" s="2" t="str">
        <f t="shared" ref="D121:D122" si="2">"7272714025"</f>
        <v>7272714025</v>
      </c>
      <c r="E121" s="2" t="s">
        <v>743</v>
      </c>
      <c r="F121" s="2" t="s">
        <v>744</v>
      </c>
      <c r="G121" s="2" t="str">
        <f>"SR-290"</f>
        <v>SR-290</v>
      </c>
      <c r="H121" s="2" t="s">
        <v>745</v>
      </c>
      <c r="I121" s="2" t="s">
        <v>746</v>
      </c>
      <c r="K121" s="2" t="s">
        <v>469</v>
      </c>
      <c r="L121" s="2" t="s">
        <v>208</v>
      </c>
      <c r="M121" s="2">
        <v>33756.0</v>
      </c>
      <c r="N121" s="2" t="s">
        <v>21</v>
      </c>
    </row>
    <row r="122" ht="15.75" customHeight="1">
      <c r="A122" s="2">
        <v>2013.0</v>
      </c>
      <c r="B122" s="2" t="s">
        <v>741</v>
      </c>
      <c r="C122" s="2" t="s">
        <v>747</v>
      </c>
      <c r="D122" s="2" t="str">
        <f t="shared" si="2"/>
        <v>7272714025</v>
      </c>
      <c r="E122" s="2" t="s">
        <v>748</v>
      </c>
      <c r="F122" s="2" t="s">
        <v>744</v>
      </c>
      <c r="G122" s="2" t="str">
        <f>"SR-291"</f>
        <v>SR-291</v>
      </c>
      <c r="H122" s="2" t="s">
        <v>749</v>
      </c>
      <c r="I122" s="2" t="s">
        <v>746</v>
      </c>
      <c r="K122" s="2" t="s">
        <v>469</v>
      </c>
      <c r="L122" s="2" t="s">
        <v>208</v>
      </c>
      <c r="M122" s="2">
        <v>33756.0</v>
      </c>
      <c r="N122" s="2" t="s">
        <v>21</v>
      </c>
    </row>
    <row r="123" ht="15.75" customHeight="1">
      <c r="A123" s="2">
        <v>2013.0</v>
      </c>
      <c r="B123" s="2" t="s">
        <v>750</v>
      </c>
      <c r="C123" s="2" t="s">
        <v>750</v>
      </c>
      <c r="D123" s="2" t="str">
        <f>"4023141390"</f>
        <v>4023141390</v>
      </c>
      <c r="E123" s="2" t="s">
        <v>751</v>
      </c>
      <c r="F123" s="2" t="s">
        <v>752</v>
      </c>
      <c r="G123" s="2" t="str">
        <f>"SR-247"</f>
        <v>SR-247</v>
      </c>
      <c r="H123" s="2" t="s">
        <v>753</v>
      </c>
      <c r="I123" s="2" t="s">
        <v>754</v>
      </c>
      <c r="J123" s="2" t="s">
        <v>755</v>
      </c>
      <c r="K123" s="2" t="s">
        <v>756</v>
      </c>
      <c r="L123" s="2" t="s">
        <v>757</v>
      </c>
      <c r="M123" s="2">
        <v>68372.0</v>
      </c>
      <c r="N123" s="2" t="s">
        <v>21</v>
      </c>
    </row>
    <row r="124" ht="15.75" customHeight="1">
      <c r="A124" s="2">
        <v>2013.0</v>
      </c>
      <c r="B124" s="2" t="s">
        <v>758</v>
      </c>
      <c r="D124" s="2" t="str">
        <f>"(435)-881-7593"</f>
        <v>(435)-881-7593</v>
      </c>
      <c r="E124" s="2" t="s">
        <v>759</v>
      </c>
      <c r="F124" s="2" t="s">
        <v>72</v>
      </c>
      <c r="G124" s="2" t="str">
        <f>"SR-266"</f>
        <v>SR-266</v>
      </c>
      <c r="H124" s="2" t="s">
        <v>760</v>
      </c>
      <c r="I124" s="2" t="s">
        <v>761</v>
      </c>
      <c r="K124" s="2" t="s">
        <v>762</v>
      </c>
      <c r="L124" s="2" t="s">
        <v>763</v>
      </c>
      <c r="M124" s="2">
        <v>84341.0</v>
      </c>
      <c r="N124" s="2" t="s">
        <v>21</v>
      </c>
    </row>
    <row r="125" ht="15.75" customHeight="1">
      <c r="A125" s="2">
        <v>2013.0</v>
      </c>
      <c r="B125" s="2" t="s">
        <v>764</v>
      </c>
      <c r="C125" s="2" t="s">
        <v>765</v>
      </c>
      <c r="D125" s="2" t="str">
        <f>"8082502324"</f>
        <v>8082502324</v>
      </c>
      <c r="E125" s="2" t="s">
        <v>386</v>
      </c>
      <c r="F125" s="2" t="s">
        <v>766</v>
      </c>
      <c r="G125" s="2" t="str">
        <f>"SR-287"</f>
        <v>SR-287</v>
      </c>
      <c r="H125" s="2" t="s">
        <v>767</v>
      </c>
      <c r="I125" s="2" t="s">
        <v>768</v>
      </c>
      <c r="K125" s="2" t="s">
        <v>769</v>
      </c>
      <c r="L125" s="2" t="s">
        <v>770</v>
      </c>
      <c r="M125" s="2">
        <v>96779.0</v>
      </c>
      <c r="N125" s="2" t="s">
        <v>21</v>
      </c>
    </row>
    <row r="126" ht="15.75" customHeight="1">
      <c r="A126" s="2">
        <v>2013.0</v>
      </c>
      <c r="B126" s="2" t="s">
        <v>771</v>
      </c>
      <c r="C126" s="2" t="s">
        <v>771</v>
      </c>
      <c r="D126" s="2" t="str">
        <f>"404-791-4304"</f>
        <v>404-791-4304</v>
      </c>
      <c r="E126" s="2" t="s">
        <v>678</v>
      </c>
      <c r="F126" s="2" t="s">
        <v>772</v>
      </c>
      <c r="G126" s="2" t="str">
        <f>"SR-280"</f>
        <v>SR-280</v>
      </c>
      <c r="H126" s="2" t="s">
        <v>773</v>
      </c>
      <c r="I126" s="2" t="s">
        <v>774</v>
      </c>
      <c r="K126" s="2" t="s">
        <v>775</v>
      </c>
      <c r="L126" s="2" t="s">
        <v>200</v>
      </c>
      <c r="M126" s="2">
        <v>30277.0</v>
      </c>
      <c r="N126" s="2" t="s">
        <v>21</v>
      </c>
    </row>
    <row r="127" ht="15.75" customHeight="1">
      <c r="A127" s="2">
        <v>2013.0</v>
      </c>
      <c r="B127" s="2" t="s">
        <v>776</v>
      </c>
      <c r="C127" s="2" t="s">
        <v>777</v>
      </c>
      <c r="D127" s="2" t="str">
        <f>"325-829-0528"</f>
        <v>325-829-0528</v>
      </c>
      <c r="E127" s="2" t="s">
        <v>705</v>
      </c>
      <c r="F127" s="2" t="s">
        <v>778</v>
      </c>
      <c r="G127" s="2" t="str">
        <f>"SR-294"</f>
        <v>SR-294</v>
      </c>
      <c r="H127" s="2" t="s">
        <v>779</v>
      </c>
      <c r="I127" s="2" t="s">
        <v>780</v>
      </c>
      <c r="K127" s="2" t="s">
        <v>781</v>
      </c>
      <c r="L127" s="2" t="s">
        <v>172</v>
      </c>
      <c r="M127" s="2">
        <v>79602.0</v>
      </c>
      <c r="N127" s="2" t="s">
        <v>21</v>
      </c>
    </row>
    <row r="128" ht="15.75" customHeight="1">
      <c r="A128" s="2">
        <v>2013.0</v>
      </c>
      <c r="B128" s="2" t="s">
        <v>782</v>
      </c>
      <c r="C128" s="2" t="s">
        <v>783</v>
      </c>
      <c r="D128" s="2" t="str">
        <f>"575-545-3610"</f>
        <v>575-545-3610</v>
      </c>
      <c r="E128" s="2" t="s">
        <v>385</v>
      </c>
      <c r="F128" s="2" t="s">
        <v>784</v>
      </c>
      <c r="G128" s="2" t="str">
        <f>"SR-305"</f>
        <v>SR-305</v>
      </c>
      <c r="H128" s="2" t="s">
        <v>785</v>
      </c>
      <c r="I128" s="2" t="s">
        <v>786</v>
      </c>
      <c r="J128" s="2" t="s">
        <v>787</v>
      </c>
      <c r="K128" s="2" t="s">
        <v>788</v>
      </c>
      <c r="L128" s="2" t="s">
        <v>789</v>
      </c>
      <c r="M128" s="2">
        <v>88042.0</v>
      </c>
      <c r="N128" s="2" t="s">
        <v>21</v>
      </c>
    </row>
    <row r="129" ht="15.75" customHeight="1">
      <c r="A129" s="2">
        <v>2013.0</v>
      </c>
      <c r="B129" s="2" t="s">
        <v>790</v>
      </c>
      <c r="C129" s="2" t="s">
        <v>791</v>
      </c>
      <c r="D129" s="2" t="str">
        <f>"505-717-4133"</f>
        <v>505-717-4133</v>
      </c>
      <c r="E129" s="2" t="s">
        <v>792</v>
      </c>
      <c r="F129" s="2" t="s">
        <v>793</v>
      </c>
      <c r="G129" s="2" t="str">
        <f>"SR-188"</f>
        <v>SR-188</v>
      </c>
      <c r="H129" s="2" t="s">
        <v>794</v>
      </c>
      <c r="I129" s="2" t="s">
        <v>795</v>
      </c>
      <c r="K129" s="2" t="s">
        <v>796</v>
      </c>
      <c r="L129" s="2" t="s">
        <v>789</v>
      </c>
      <c r="M129" s="2">
        <v>87042.0</v>
      </c>
      <c r="N129" s="2" t="s">
        <v>21</v>
      </c>
    </row>
    <row r="130" ht="15.75" customHeight="1">
      <c r="A130" s="2">
        <v>2013.0</v>
      </c>
      <c r="B130" s="2" t="s">
        <v>797</v>
      </c>
      <c r="C130" s="2" t="s">
        <v>798</v>
      </c>
      <c r="D130" s="2" t="str">
        <f>"651-739-2654"</f>
        <v>651-739-2654</v>
      </c>
      <c r="E130" s="2" t="s">
        <v>799</v>
      </c>
      <c r="F130" s="2" t="s">
        <v>800</v>
      </c>
      <c r="G130" s="2" t="str">
        <f>"SR-312"</f>
        <v>SR-312</v>
      </c>
      <c r="H130" s="2" t="s">
        <v>801</v>
      </c>
      <c r="I130" s="2" t="s">
        <v>802</v>
      </c>
      <c r="K130" s="2" t="s">
        <v>803</v>
      </c>
      <c r="L130" s="2" t="s">
        <v>62</v>
      </c>
      <c r="M130" s="2">
        <v>55119.0</v>
      </c>
      <c r="N130" s="2" t="s">
        <v>21</v>
      </c>
    </row>
    <row r="131" ht="15.75" customHeight="1">
      <c r="A131" s="2">
        <v>2013.0</v>
      </c>
      <c r="B131" s="2" t="s">
        <v>804</v>
      </c>
      <c r="C131" s="2" t="s">
        <v>805</v>
      </c>
      <c r="D131" s="2" t="str">
        <f>"719-229-1479"</f>
        <v>719-229-1479</v>
      </c>
      <c r="E131" s="2" t="s">
        <v>651</v>
      </c>
      <c r="F131" s="2" t="s">
        <v>806</v>
      </c>
      <c r="G131" s="2" t="str">
        <f>"SR-38"</f>
        <v>SR-38</v>
      </c>
      <c r="H131" s="2" t="s">
        <v>807</v>
      </c>
      <c r="I131" s="2" t="s">
        <v>808</v>
      </c>
      <c r="K131" s="2" t="s">
        <v>809</v>
      </c>
      <c r="L131" s="2" t="s">
        <v>157</v>
      </c>
      <c r="M131" s="2">
        <v>80921.0</v>
      </c>
      <c r="N131" s="2" t="s">
        <v>21</v>
      </c>
    </row>
    <row r="132" ht="15.75" customHeight="1">
      <c r="A132" s="2">
        <v>2013.0</v>
      </c>
      <c r="B132" s="2" t="s">
        <v>810</v>
      </c>
      <c r="C132" s="2" t="s">
        <v>810</v>
      </c>
      <c r="D132" s="2" t="str">
        <f>"320-444-2046"</f>
        <v>320-444-2046</v>
      </c>
      <c r="E132" s="2" t="s">
        <v>811</v>
      </c>
      <c r="F132" s="2" t="s">
        <v>812</v>
      </c>
      <c r="G132" s="2" t="str">
        <f>"SR-33"</f>
        <v>SR-33</v>
      </c>
      <c r="H132" s="2" t="s">
        <v>813</v>
      </c>
      <c r="I132" s="2" t="s">
        <v>814</v>
      </c>
      <c r="K132" s="2" t="s">
        <v>61</v>
      </c>
      <c r="L132" s="2" t="s">
        <v>62</v>
      </c>
      <c r="M132" s="2">
        <v>56201.0</v>
      </c>
      <c r="N132" s="2" t="s">
        <v>21</v>
      </c>
    </row>
    <row r="133" ht="15.75" customHeight="1">
      <c r="A133" s="2">
        <v>2013.0</v>
      </c>
      <c r="B133" s="2" t="s">
        <v>815</v>
      </c>
      <c r="C133" s="2" t="s">
        <v>816</v>
      </c>
      <c r="D133" s="2" t="str">
        <f>"828-328-5168"</f>
        <v>828-328-5168</v>
      </c>
      <c r="E133" s="2" t="s">
        <v>817</v>
      </c>
      <c r="F133" s="2" t="s">
        <v>818</v>
      </c>
      <c r="G133" s="2" t="str">
        <f>"SR-159"</f>
        <v>SR-159</v>
      </c>
      <c r="H133" s="2" t="s">
        <v>819</v>
      </c>
      <c r="I133" s="2" t="s">
        <v>820</v>
      </c>
      <c r="K133" s="2" t="s">
        <v>821</v>
      </c>
      <c r="L133" s="2" t="s">
        <v>20</v>
      </c>
      <c r="M133" s="2">
        <v>28601.0</v>
      </c>
      <c r="N133" s="2" t="s">
        <v>21</v>
      </c>
    </row>
    <row r="134" ht="15.75" customHeight="1">
      <c r="A134" s="2">
        <v>2013.0</v>
      </c>
      <c r="B134" s="2" t="s">
        <v>822</v>
      </c>
      <c r="C134" s="2" t="s">
        <v>823</v>
      </c>
      <c r="D134" s="2" t="str">
        <f>"2692404679"</f>
        <v>2692404679</v>
      </c>
      <c r="E134" s="2" t="s">
        <v>824</v>
      </c>
      <c r="F134" s="2" t="s">
        <v>825</v>
      </c>
      <c r="G134" s="2" t="str">
        <f>"SR-310"</f>
        <v>SR-310</v>
      </c>
      <c r="H134" s="2" t="s">
        <v>826</v>
      </c>
      <c r="I134" s="2" t="s">
        <v>827</v>
      </c>
      <c r="K134" s="2" t="s">
        <v>828</v>
      </c>
      <c r="L134" s="2" t="s">
        <v>29</v>
      </c>
      <c r="M134" s="2">
        <v>49102.0</v>
      </c>
      <c r="N134" s="2" t="s">
        <v>21</v>
      </c>
    </row>
    <row r="135" ht="15.75" customHeight="1">
      <c r="A135" s="2">
        <v>2013.0</v>
      </c>
      <c r="B135" s="2" t="s">
        <v>829</v>
      </c>
      <c r="C135" s="2" t="s">
        <v>829</v>
      </c>
      <c r="D135" s="2" t="str">
        <f>"5737478906"</f>
        <v>5737478906</v>
      </c>
      <c r="E135" s="2" t="s">
        <v>830</v>
      </c>
      <c r="F135" s="2" t="s">
        <v>831</v>
      </c>
      <c r="G135" s="2" t="str">
        <f>"SR-162"</f>
        <v>SR-162</v>
      </c>
      <c r="H135" s="2" t="s">
        <v>832</v>
      </c>
      <c r="I135" s="2" t="s">
        <v>833</v>
      </c>
      <c r="K135" s="2" t="s">
        <v>834</v>
      </c>
      <c r="L135" s="2" t="s">
        <v>214</v>
      </c>
      <c r="M135" s="2">
        <v>63640.0</v>
      </c>
      <c r="N135" s="2" t="s">
        <v>21</v>
      </c>
    </row>
    <row r="136" ht="15.75" customHeight="1">
      <c r="A136" s="2">
        <v>2013.0</v>
      </c>
      <c r="B136" s="2" t="s">
        <v>835</v>
      </c>
      <c r="C136" s="2" t="s">
        <v>835</v>
      </c>
      <c r="D136" s="2" t="str">
        <f>"15807164507"</f>
        <v>15807164507</v>
      </c>
      <c r="E136" s="2" t="s">
        <v>453</v>
      </c>
      <c r="F136" s="2" t="s">
        <v>836</v>
      </c>
      <c r="G136" s="2" t="str">
        <f>"SR-313"</f>
        <v>SR-313</v>
      </c>
      <c r="H136" s="2" t="s">
        <v>837</v>
      </c>
      <c r="I136" s="2" t="s">
        <v>838</v>
      </c>
      <c r="K136" s="2" t="s">
        <v>839</v>
      </c>
      <c r="L136" s="2" t="s">
        <v>840</v>
      </c>
      <c r="M136" s="2">
        <v>74641.0</v>
      </c>
      <c r="N136" s="2" t="s">
        <v>21</v>
      </c>
    </row>
    <row r="137" ht="15.75" customHeight="1">
      <c r="A137" s="2">
        <v>2013.0</v>
      </c>
      <c r="B137" s="2" t="s">
        <v>841</v>
      </c>
      <c r="C137" s="2" t="s">
        <v>842</v>
      </c>
      <c r="D137" s="2" t="str">
        <f>"252-237-8438"</f>
        <v>252-237-8438</v>
      </c>
      <c r="E137" s="2" t="s">
        <v>843</v>
      </c>
      <c r="F137" s="2" t="s">
        <v>844</v>
      </c>
      <c r="G137" s="2" t="str">
        <f>"SR-337"</f>
        <v>SR-337</v>
      </c>
      <c r="H137" s="2" t="s">
        <v>845</v>
      </c>
      <c r="I137" s="2" t="s">
        <v>846</v>
      </c>
      <c r="K137" s="2" t="s">
        <v>847</v>
      </c>
      <c r="L137" s="2" t="s">
        <v>20</v>
      </c>
      <c r="M137" s="2">
        <v>27893.0</v>
      </c>
      <c r="N137" s="2" t="s">
        <v>21</v>
      </c>
    </row>
    <row r="138" ht="15.75" customHeight="1">
      <c r="A138" s="2">
        <v>2013.0</v>
      </c>
      <c r="B138" s="2" t="s">
        <v>848</v>
      </c>
      <c r="C138" s="2" t="s">
        <v>849</v>
      </c>
      <c r="D138" s="2" t="str">
        <f>"8124382158"</f>
        <v>8124382158</v>
      </c>
      <c r="E138" s="2" t="s">
        <v>288</v>
      </c>
      <c r="F138" s="2" t="s">
        <v>850</v>
      </c>
      <c r="G138" s="2" t="str">
        <f>"SR-339"</f>
        <v>SR-339</v>
      </c>
      <c r="H138" s="2" t="s">
        <v>851</v>
      </c>
      <c r="I138" s="2" t="s">
        <v>852</v>
      </c>
      <c r="K138" s="2" t="s">
        <v>853</v>
      </c>
      <c r="L138" s="2" t="s">
        <v>149</v>
      </c>
      <c r="M138" s="2">
        <v>47040.0</v>
      </c>
      <c r="N138" s="2" t="s">
        <v>21</v>
      </c>
    </row>
    <row r="139" ht="15.75" customHeight="1">
      <c r="A139" s="2">
        <v>2013.0</v>
      </c>
      <c r="B139" s="2" t="s">
        <v>854</v>
      </c>
      <c r="C139" s="2" t="s">
        <v>854</v>
      </c>
      <c r="D139" s="2" t="str">
        <f>"15074853028"</f>
        <v>15074853028</v>
      </c>
      <c r="E139" s="2" t="s">
        <v>855</v>
      </c>
      <c r="F139" s="2" t="s">
        <v>856</v>
      </c>
      <c r="G139" s="2" t="str">
        <f>"SR-251"</f>
        <v>SR-251</v>
      </c>
      <c r="H139" s="2" t="s">
        <v>857</v>
      </c>
      <c r="I139" s="2" t="s">
        <v>858</v>
      </c>
      <c r="K139" s="2" t="s">
        <v>859</v>
      </c>
      <c r="L139" s="2" t="s">
        <v>62</v>
      </c>
      <c r="M139" s="2">
        <v>56297.0</v>
      </c>
      <c r="N139" s="2" t="s">
        <v>21</v>
      </c>
    </row>
    <row r="140" ht="15.75" customHeight="1">
      <c r="A140" s="2">
        <v>2013.0</v>
      </c>
      <c r="B140" s="2" t="s">
        <v>860</v>
      </c>
      <c r="C140" s="2" t="s">
        <v>861</v>
      </c>
      <c r="D140" s="2" t="str">
        <f>"804-749-8438"</f>
        <v>804-749-8438</v>
      </c>
      <c r="E140" s="2" t="s">
        <v>862</v>
      </c>
      <c r="F140" s="2" t="s">
        <v>863</v>
      </c>
      <c r="G140" s="2" t="str">
        <f>"SR-274"</f>
        <v>SR-274</v>
      </c>
      <c r="H140" s="2" t="s">
        <v>864</v>
      </c>
      <c r="I140" s="2" t="s">
        <v>865</v>
      </c>
      <c r="K140" s="2" t="s">
        <v>866</v>
      </c>
      <c r="L140" s="2" t="s">
        <v>165</v>
      </c>
      <c r="M140" s="2">
        <v>23102.0</v>
      </c>
      <c r="N140" s="2" t="s">
        <v>21</v>
      </c>
    </row>
    <row r="141" ht="15.75" customHeight="1">
      <c r="A141" s="2">
        <v>2013.0</v>
      </c>
      <c r="B141" s="2" t="s">
        <v>867</v>
      </c>
      <c r="C141" s="2" t="s">
        <v>867</v>
      </c>
      <c r="D141" s="2" t="str">
        <f>"225-610-7557"</f>
        <v>225-610-7557</v>
      </c>
      <c r="E141" s="2" t="s">
        <v>485</v>
      </c>
      <c r="F141" s="2" t="s">
        <v>868</v>
      </c>
      <c r="G141" s="2" t="str">
        <f>"SR-347"</f>
        <v>SR-347</v>
      </c>
      <c r="H141" s="2" t="s">
        <v>869</v>
      </c>
      <c r="I141" s="2" t="s">
        <v>870</v>
      </c>
      <c r="K141" s="2" t="s">
        <v>871</v>
      </c>
      <c r="L141" s="2" t="s">
        <v>715</v>
      </c>
      <c r="M141" s="2">
        <v>70767.0</v>
      </c>
      <c r="N141" s="2" t="s">
        <v>21</v>
      </c>
    </row>
    <row r="142" ht="15.75" customHeight="1">
      <c r="A142" s="2">
        <v>2013.0</v>
      </c>
      <c r="B142" s="2" t="s">
        <v>872</v>
      </c>
      <c r="C142" s="2" t="s">
        <v>872</v>
      </c>
      <c r="D142" s="2" t="str">
        <f>"419-606-6512"</f>
        <v>419-606-6512</v>
      </c>
      <c r="E142" s="2" t="s">
        <v>873</v>
      </c>
      <c r="F142" s="2" t="s">
        <v>874</v>
      </c>
      <c r="G142" s="2" t="str">
        <f>"SR-316"</f>
        <v>SR-316</v>
      </c>
      <c r="H142" s="2" t="s">
        <v>875</v>
      </c>
      <c r="I142" s="2" t="s">
        <v>876</v>
      </c>
      <c r="K142" s="2" t="s">
        <v>877</v>
      </c>
      <c r="L142" s="2" t="s">
        <v>344</v>
      </c>
      <c r="M142" s="2">
        <v>44866.0</v>
      </c>
      <c r="N142" s="2" t="s">
        <v>21</v>
      </c>
    </row>
    <row r="143" ht="15.75" customHeight="1">
      <c r="A143" s="2">
        <v>2013.0</v>
      </c>
      <c r="B143" s="2" t="s">
        <v>878</v>
      </c>
      <c r="C143" s="2" t="s">
        <v>878</v>
      </c>
      <c r="D143" s="2" t="str">
        <f>"817-213-7378"</f>
        <v>817-213-7378</v>
      </c>
      <c r="E143" s="2" t="s">
        <v>261</v>
      </c>
      <c r="F143" s="2" t="s">
        <v>879</v>
      </c>
      <c r="G143" s="2" t="str">
        <f>"SR-327"</f>
        <v>SR-327</v>
      </c>
      <c r="H143" s="2" t="s">
        <v>880</v>
      </c>
      <c r="I143" s="2" t="s">
        <v>881</v>
      </c>
      <c r="K143" s="2" t="s">
        <v>882</v>
      </c>
      <c r="L143" s="2" t="s">
        <v>172</v>
      </c>
      <c r="M143" s="2">
        <v>76001.0</v>
      </c>
      <c r="N143" s="2" t="s">
        <v>21</v>
      </c>
    </row>
    <row r="144" ht="15.75" customHeight="1">
      <c r="A144" s="2">
        <v>2013.0</v>
      </c>
      <c r="B144" s="2" t="s">
        <v>883</v>
      </c>
      <c r="C144" s="2" t="s">
        <v>884</v>
      </c>
      <c r="D144" s="2" t="str">
        <f>"817-948-6203"</f>
        <v>817-948-6203</v>
      </c>
      <c r="E144" s="2" t="s">
        <v>203</v>
      </c>
      <c r="F144" s="2" t="s">
        <v>522</v>
      </c>
      <c r="G144" s="2" t="str">
        <f>"SR-344"</f>
        <v>SR-344</v>
      </c>
      <c r="H144" s="2" t="s">
        <v>885</v>
      </c>
      <c r="I144" s="2" t="s">
        <v>886</v>
      </c>
      <c r="K144" s="2" t="s">
        <v>887</v>
      </c>
      <c r="L144" s="2" t="s">
        <v>172</v>
      </c>
      <c r="M144" s="2">
        <v>76063.0</v>
      </c>
      <c r="N144" s="2" t="s">
        <v>21</v>
      </c>
    </row>
    <row r="145" ht="15.75" customHeight="1">
      <c r="A145" s="2">
        <v>2013.0</v>
      </c>
      <c r="B145" s="2" t="s">
        <v>888</v>
      </c>
      <c r="C145" s="2" t="s">
        <v>889</v>
      </c>
      <c r="D145" s="2" t="str">
        <f>"719-687-8269"</f>
        <v>719-687-8269</v>
      </c>
      <c r="E145" s="2" t="s">
        <v>890</v>
      </c>
      <c r="F145" s="2" t="s">
        <v>891</v>
      </c>
      <c r="G145" s="2" t="str">
        <f>"SR-356"</f>
        <v>SR-356</v>
      </c>
      <c r="H145" s="2" t="s">
        <v>892</v>
      </c>
      <c r="I145" s="2" t="s">
        <v>893</v>
      </c>
      <c r="K145" s="2" t="s">
        <v>894</v>
      </c>
      <c r="L145" s="2" t="s">
        <v>157</v>
      </c>
      <c r="M145" s="2">
        <v>80863.0</v>
      </c>
      <c r="N145" s="2" t="s">
        <v>21</v>
      </c>
    </row>
    <row r="146" ht="15.75" customHeight="1">
      <c r="A146" s="2">
        <v>2013.0</v>
      </c>
      <c r="B146" s="2" t="s">
        <v>895</v>
      </c>
      <c r="C146" s="2" t="s">
        <v>896</v>
      </c>
      <c r="D146" s="2" t="str">
        <f>"15078280776"</f>
        <v>15078280776</v>
      </c>
      <c r="E146" s="2" t="s">
        <v>897</v>
      </c>
      <c r="F146" s="2" t="s">
        <v>898</v>
      </c>
      <c r="G146" s="2" t="str">
        <f>"SR-191"</f>
        <v>SR-191</v>
      </c>
      <c r="H146" s="2" t="s">
        <v>899</v>
      </c>
      <c r="I146" s="2" t="s">
        <v>900</v>
      </c>
      <c r="K146" s="2" t="s">
        <v>133</v>
      </c>
      <c r="L146" s="2" t="s">
        <v>62</v>
      </c>
      <c r="M146" s="2">
        <v>56175.0</v>
      </c>
      <c r="N146" s="2" t="s">
        <v>21</v>
      </c>
    </row>
    <row r="147" ht="15.75" customHeight="1">
      <c r="A147" s="2">
        <v>2013.0</v>
      </c>
      <c r="B147" s="2" t="s">
        <v>901</v>
      </c>
      <c r="C147" s="2" t="s">
        <v>901</v>
      </c>
      <c r="D147" s="2" t="str">
        <f>"321 253-3993"</f>
        <v>321 253-3993</v>
      </c>
      <c r="E147" s="2" t="s">
        <v>902</v>
      </c>
      <c r="F147" s="2" t="s">
        <v>903</v>
      </c>
      <c r="G147" s="2" t="str">
        <f>"SR-301"</f>
        <v>SR-301</v>
      </c>
      <c r="H147" s="2" t="s">
        <v>904</v>
      </c>
      <c r="I147" s="2" t="s">
        <v>905</v>
      </c>
      <c r="K147" s="2" t="s">
        <v>906</v>
      </c>
      <c r="L147" s="2" t="s">
        <v>208</v>
      </c>
      <c r="M147" s="2">
        <v>32934.0</v>
      </c>
      <c r="N147" s="2" t="s">
        <v>21</v>
      </c>
    </row>
    <row r="148" ht="15.75" customHeight="1">
      <c r="A148" s="2">
        <v>2013.0</v>
      </c>
      <c r="B148" s="2" t="s">
        <v>907</v>
      </c>
      <c r="C148" s="2" t="s">
        <v>907</v>
      </c>
      <c r="D148" s="2" t="str">
        <f>"815-762-7958"</f>
        <v>815-762-7958</v>
      </c>
      <c r="E148" s="2" t="s">
        <v>908</v>
      </c>
      <c r="F148" s="2" t="s">
        <v>909</v>
      </c>
      <c r="G148" s="2" t="str">
        <f>"SR-124"</f>
        <v>SR-124</v>
      </c>
      <c r="H148" s="2" t="s">
        <v>910</v>
      </c>
      <c r="I148" s="2" t="s">
        <v>911</v>
      </c>
      <c r="K148" s="2" t="s">
        <v>912</v>
      </c>
      <c r="L148" s="2" t="s">
        <v>105</v>
      </c>
      <c r="M148" s="2">
        <v>60115.0</v>
      </c>
      <c r="N148" s="2" t="s">
        <v>21</v>
      </c>
    </row>
    <row r="149" ht="15.75" customHeight="1">
      <c r="A149" s="2">
        <v>2013.0</v>
      </c>
      <c r="B149" s="2" t="s">
        <v>913</v>
      </c>
      <c r="C149" s="2" t="s">
        <v>914</v>
      </c>
      <c r="D149" s="2" t="str">
        <f>"605-370-8601"</f>
        <v>605-370-8601</v>
      </c>
      <c r="E149" s="2" t="s">
        <v>915</v>
      </c>
      <c r="F149" s="2" t="s">
        <v>916</v>
      </c>
      <c r="G149" s="2" t="str">
        <f>"SR-374"</f>
        <v>SR-374</v>
      </c>
      <c r="H149" s="2" t="s">
        <v>917</v>
      </c>
      <c r="I149" s="2" t="s">
        <v>918</v>
      </c>
      <c r="K149" s="2" t="s">
        <v>919</v>
      </c>
      <c r="L149" s="2" t="s">
        <v>920</v>
      </c>
      <c r="M149" s="2">
        <v>57108.0</v>
      </c>
      <c r="N149" s="2" t="s">
        <v>21</v>
      </c>
    </row>
    <row r="150" ht="15.75" customHeight="1">
      <c r="A150" s="2">
        <v>2013.0</v>
      </c>
      <c r="B150" s="2" t="s">
        <v>921</v>
      </c>
      <c r="C150" s="2" t="s">
        <v>921</v>
      </c>
      <c r="D150" s="2" t="str">
        <f>"605-214-6483"</f>
        <v>605-214-6483</v>
      </c>
      <c r="E150" s="2" t="s">
        <v>922</v>
      </c>
      <c r="F150" s="2" t="s">
        <v>916</v>
      </c>
      <c r="G150" s="2" t="str">
        <f>"SR-375"</f>
        <v>SR-375</v>
      </c>
      <c r="H150" s="2" t="s">
        <v>923</v>
      </c>
      <c r="I150" s="2" t="s">
        <v>924</v>
      </c>
      <c r="K150" s="2" t="s">
        <v>919</v>
      </c>
      <c r="L150" s="2" t="s">
        <v>920</v>
      </c>
      <c r="M150" s="2">
        <v>57108.0</v>
      </c>
      <c r="N150" s="2" t="s">
        <v>21</v>
      </c>
    </row>
    <row r="151" ht="15.75" customHeight="1">
      <c r="A151" s="2">
        <v>2013.0</v>
      </c>
      <c r="B151" s="2" t="s">
        <v>925</v>
      </c>
      <c r="D151" s="2" t="str">
        <f>"3166342479"</f>
        <v>3166342479</v>
      </c>
      <c r="E151" s="2" t="s">
        <v>926</v>
      </c>
      <c r="F151" s="2" t="s">
        <v>927</v>
      </c>
      <c r="G151" s="2" t="str">
        <f>"SR-232"</f>
        <v>SR-232</v>
      </c>
      <c r="H151" s="2" t="s">
        <v>928</v>
      </c>
      <c r="I151" s="2" t="s">
        <v>929</v>
      </c>
      <c r="K151" s="2" t="s">
        <v>606</v>
      </c>
      <c r="L151" s="2" t="s">
        <v>272</v>
      </c>
      <c r="M151" s="2">
        <v>67226.0</v>
      </c>
      <c r="N151" s="2" t="s">
        <v>21</v>
      </c>
    </row>
    <row r="152" ht="15.75" customHeight="1">
      <c r="A152" s="2">
        <v>2013.0</v>
      </c>
      <c r="B152" s="2" t="s">
        <v>930</v>
      </c>
      <c r="C152" s="2" t="s">
        <v>930</v>
      </c>
      <c r="D152" s="2" t="str">
        <f>"6304327617"</f>
        <v>6304327617</v>
      </c>
      <c r="E152" s="2" t="s">
        <v>931</v>
      </c>
      <c r="F152" s="2" t="s">
        <v>932</v>
      </c>
      <c r="G152" s="2" t="str">
        <f>"SR-372"</f>
        <v>SR-372</v>
      </c>
      <c r="H152" s="2" t="s">
        <v>933</v>
      </c>
      <c r="I152" s="2" t="s">
        <v>934</v>
      </c>
      <c r="K152" s="2" t="s">
        <v>935</v>
      </c>
      <c r="L152" s="2" t="s">
        <v>105</v>
      </c>
      <c r="M152" s="2">
        <v>60190.0</v>
      </c>
      <c r="N152" s="2" t="s">
        <v>21</v>
      </c>
    </row>
    <row r="153" ht="15.75" customHeight="1">
      <c r="A153" s="2">
        <v>2013.0</v>
      </c>
      <c r="B153" s="2" t="s">
        <v>936</v>
      </c>
      <c r="C153" s="2" t="s">
        <v>937</v>
      </c>
      <c r="D153" s="2" t="str">
        <f>"651-757-5297"</f>
        <v>651-757-5297</v>
      </c>
      <c r="E153" s="2" t="s">
        <v>938</v>
      </c>
      <c r="F153" s="2" t="s">
        <v>939</v>
      </c>
      <c r="G153" s="2" t="str">
        <f>"SR-380"</f>
        <v>SR-380</v>
      </c>
      <c r="H153" s="2" t="s">
        <v>940</v>
      </c>
      <c r="I153" s="2" t="s">
        <v>941</v>
      </c>
      <c r="K153" s="2" t="s">
        <v>942</v>
      </c>
      <c r="L153" s="2" t="s">
        <v>62</v>
      </c>
      <c r="M153" s="2">
        <v>55126.0</v>
      </c>
      <c r="N153" s="2" t="s">
        <v>21</v>
      </c>
    </row>
    <row r="154" ht="15.75" customHeight="1">
      <c r="A154" s="2">
        <v>2013.0</v>
      </c>
      <c r="B154" s="2" t="s">
        <v>943</v>
      </c>
      <c r="C154" s="2" t="s">
        <v>944</v>
      </c>
      <c r="D154" s="2" t="str">
        <f>"614-891-1479"</f>
        <v>614-891-1479</v>
      </c>
      <c r="E154" s="2" t="s">
        <v>373</v>
      </c>
      <c r="F154" s="2" t="s">
        <v>945</v>
      </c>
      <c r="G154" s="2" t="str">
        <f>"SR-383"</f>
        <v>SR-383</v>
      </c>
      <c r="H154" s="2" t="s">
        <v>946</v>
      </c>
      <c r="I154" s="2" t="s">
        <v>947</v>
      </c>
      <c r="K154" s="2" t="s">
        <v>489</v>
      </c>
      <c r="L154" s="2" t="s">
        <v>344</v>
      </c>
      <c r="M154" s="2">
        <v>43081.0</v>
      </c>
      <c r="N154" s="2" t="s">
        <v>21</v>
      </c>
    </row>
    <row r="155" ht="15.75" customHeight="1">
      <c r="A155" s="2">
        <v>2013.0</v>
      </c>
      <c r="B155" s="2" t="s">
        <v>948</v>
      </c>
      <c r="D155" s="2" t="str">
        <f>"9018292685"</f>
        <v>9018292685</v>
      </c>
      <c r="E155" s="2" t="s">
        <v>949</v>
      </c>
      <c r="F155" s="2" t="s">
        <v>950</v>
      </c>
      <c r="G155" s="2" t="str">
        <f>"SR-381"</f>
        <v>SR-381</v>
      </c>
      <c r="H155" s="2" t="s">
        <v>951</v>
      </c>
      <c r="I155" s="2" t="s">
        <v>952</v>
      </c>
      <c r="K155" s="2" t="s">
        <v>882</v>
      </c>
      <c r="L155" s="2" t="s">
        <v>279</v>
      </c>
      <c r="M155" s="2">
        <v>38002.0</v>
      </c>
      <c r="N155" s="2" t="s">
        <v>21</v>
      </c>
    </row>
    <row r="156" ht="15.75" customHeight="1">
      <c r="A156" s="2">
        <v>2013.0</v>
      </c>
      <c r="B156" s="2" t="s">
        <v>953</v>
      </c>
      <c r="C156" s="2" t="s">
        <v>954</v>
      </c>
      <c r="D156" s="2" t="str">
        <f>"517-372-0534"</f>
        <v>517-372-0534</v>
      </c>
      <c r="E156" s="2" t="s">
        <v>955</v>
      </c>
      <c r="F156" s="2" t="s">
        <v>956</v>
      </c>
      <c r="G156" s="2" t="str">
        <f>"SR-382"</f>
        <v>SR-382</v>
      </c>
      <c r="H156" s="2" t="s">
        <v>957</v>
      </c>
      <c r="I156" s="2" t="s">
        <v>958</v>
      </c>
      <c r="K156" s="2" t="s">
        <v>959</v>
      </c>
      <c r="L156" s="2" t="s">
        <v>29</v>
      </c>
      <c r="M156" s="2">
        <v>48910.0</v>
      </c>
      <c r="N156" s="2" t="s">
        <v>21</v>
      </c>
    </row>
    <row r="157" ht="15.75" customHeight="1">
      <c r="A157" s="2">
        <v>2013.0</v>
      </c>
      <c r="B157" s="2" t="s">
        <v>960</v>
      </c>
      <c r="C157" s="2" t="s">
        <v>961</v>
      </c>
      <c r="D157" s="2" t="str">
        <f>"2069531569"</f>
        <v>2069531569</v>
      </c>
      <c r="E157" s="2" t="s">
        <v>862</v>
      </c>
      <c r="F157" s="2" t="s">
        <v>962</v>
      </c>
      <c r="G157" s="2" t="str">
        <f>"SR-385"</f>
        <v>SR-385</v>
      </c>
      <c r="H157" s="2" t="s">
        <v>963</v>
      </c>
      <c r="I157" s="2" t="s">
        <v>964</v>
      </c>
      <c r="K157" s="2" t="s">
        <v>965</v>
      </c>
      <c r="L157" s="2" t="s">
        <v>86</v>
      </c>
      <c r="M157" s="2">
        <v>98036.0</v>
      </c>
      <c r="N157" s="2" t="s">
        <v>21</v>
      </c>
    </row>
    <row r="158" ht="15.75" customHeight="1">
      <c r="A158" s="2">
        <v>2013.0</v>
      </c>
      <c r="B158" s="2" t="s">
        <v>966</v>
      </c>
      <c r="C158" s="2" t="s">
        <v>966</v>
      </c>
      <c r="D158" s="2" t="str">
        <f>"(815) 757-0025"</f>
        <v>(815) 757-0025</v>
      </c>
      <c r="E158" s="2" t="s">
        <v>167</v>
      </c>
      <c r="F158" s="2" t="s">
        <v>967</v>
      </c>
      <c r="G158" s="2" t="str">
        <f>"SR-63"</f>
        <v>SR-63</v>
      </c>
      <c r="H158" s="2" t="s">
        <v>968</v>
      </c>
      <c r="I158" s="2" t="s">
        <v>969</v>
      </c>
      <c r="K158" s="2" t="s">
        <v>970</v>
      </c>
      <c r="L158" s="2" t="s">
        <v>105</v>
      </c>
      <c r="M158" s="2">
        <v>60556.0</v>
      </c>
      <c r="N158" s="2" t="s">
        <v>21</v>
      </c>
    </row>
    <row r="159" ht="15.75" customHeight="1">
      <c r="A159" s="2">
        <v>2013.0</v>
      </c>
      <c r="B159" s="2" t="s">
        <v>971</v>
      </c>
      <c r="C159" s="2" t="s">
        <v>972</v>
      </c>
      <c r="D159" s="2" t="str">
        <f>"316-619-5206"</f>
        <v>316-619-5206</v>
      </c>
      <c r="E159" s="2" t="s">
        <v>908</v>
      </c>
      <c r="F159" s="2" t="s">
        <v>457</v>
      </c>
      <c r="G159" s="2" t="str">
        <f>"SR-315"</f>
        <v>SR-315</v>
      </c>
      <c r="H159" s="2" t="s">
        <v>973</v>
      </c>
      <c r="I159" s="2" t="s">
        <v>974</v>
      </c>
      <c r="K159" s="2" t="s">
        <v>975</v>
      </c>
      <c r="L159" s="2" t="s">
        <v>157</v>
      </c>
      <c r="M159" s="2">
        <v>80831.0</v>
      </c>
      <c r="N159" s="2" t="s">
        <v>21</v>
      </c>
    </row>
    <row r="160" ht="15.75" customHeight="1">
      <c r="A160" s="2">
        <v>2013.0</v>
      </c>
      <c r="B160" s="2" t="s">
        <v>976</v>
      </c>
      <c r="C160" s="2" t="s">
        <v>976</v>
      </c>
      <c r="D160" s="2" t="str">
        <f>"507-829-8092"</f>
        <v>507-829-8092</v>
      </c>
      <c r="E160" s="2" t="s">
        <v>977</v>
      </c>
      <c r="F160" s="2" t="s">
        <v>978</v>
      </c>
      <c r="G160" s="2" t="str">
        <f>"SR-213"</f>
        <v>SR-213</v>
      </c>
      <c r="H160" s="2" t="s">
        <v>979</v>
      </c>
      <c r="I160" s="2" t="s">
        <v>980</v>
      </c>
      <c r="K160" s="2" t="s">
        <v>133</v>
      </c>
      <c r="L160" s="2" t="s">
        <v>62</v>
      </c>
      <c r="M160" s="2">
        <v>56175.0</v>
      </c>
      <c r="N160" s="2" t="s">
        <v>21</v>
      </c>
    </row>
    <row r="161" ht="15.75" customHeight="1">
      <c r="A161" s="2">
        <v>2013.0</v>
      </c>
      <c r="B161" s="2" t="s">
        <v>981</v>
      </c>
      <c r="C161" s="2" t="s">
        <v>982</v>
      </c>
      <c r="D161" s="2" t="str">
        <f>"3033463294"</f>
        <v>3033463294</v>
      </c>
      <c r="E161" s="2" t="s">
        <v>983</v>
      </c>
      <c r="F161" s="2" t="s">
        <v>984</v>
      </c>
      <c r="G161" s="2" t="str">
        <f>"SR-397"</f>
        <v>SR-397</v>
      </c>
      <c r="H161" s="2" t="s">
        <v>985</v>
      </c>
      <c r="I161" s="2" t="s">
        <v>986</v>
      </c>
      <c r="K161" s="2" t="s">
        <v>682</v>
      </c>
      <c r="L161" s="2" t="s">
        <v>157</v>
      </c>
      <c r="M161" s="2">
        <v>80126.0</v>
      </c>
      <c r="N161" s="2" t="s">
        <v>21</v>
      </c>
    </row>
    <row r="162" ht="15.75" customHeight="1">
      <c r="A162" s="2">
        <v>2013.0</v>
      </c>
      <c r="B162" s="2" t="s">
        <v>987</v>
      </c>
      <c r="C162" s="2" t="s">
        <v>987</v>
      </c>
      <c r="D162" s="2" t="str">
        <f>"303-290-8660"</f>
        <v>303-290-8660</v>
      </c>
      <c r="E162" s="2" t="s">
        <v>988</v>
      </c>
      <c r="F162" s="2" t="s">
        <v>989</v>
      </c>
      <c r="G162" s="2" t="str">
        <f>"SR-395"</f>
        <v>SR-395</v>
      </c>
      <c r="H162" s="2" t="s">
        <v>990</v>
      </c>
      <c r="I162" s="2" t="s">
        <v>991</v>
      </c>
      <c r="K162" s="2" t="s">
        <v>992</v>
      </c>
      <c r="L162" s="2" t="s">
        <v>157</v>
      </c>
      <c r="M162" s="2">
        <v>80122.0</v>
      </c>
      <c r="N162" s="2" t="s">
        <v>21</v>
      </c>
    </row>
    <row r="163" ht="15.75" customHeight="1">
      <c r="A163" s="2">
        <v>2013.0</v>
      </c>
      <c r="B163" s="2" t="s">
        <v>993</v>
      </c>
      <c r="D163" s="2" t="str">
        <f>"5188972159"</f>
        <v>5188972159</v>
      </c>
      <c r="E163" s="2" t="s">
        <v>994</v>
      </c>
      <c r="F163" s="2" t="s">
        <v>995</v>
      </c>
      <c r="G163" s="2" t="str">
        <f>"SR-256"</f>
        <v>SR-256</v>
      </c>
      <c r="H163" s="2" t="s">
        <v>996</v>
      </c>
      <c r="I163" s="2" t="s">
        <v>997</v>
      </c>
      <c r="K163" s="2" t="s">
        <v>998</v>
      </c>
      <c r="L163" s="2" t="s">
        <v>142</v>
      </c>
      <c r="M163" s="2">
        <v>12983.0</v>
      </c>
      <c r="N163" s="2" t="s">
        <v>21</v>
      </c>
    </row>
    <row r="164" ht="15.75" customHeight="1">
      <c r="A164" s="2">
        <v>2013.0</v>
      </c>
      <c r="B164" s="2" t="s">
        <v>999</v>
      </c>
      <c r="C164" s="2" t="s">
        <v>999</v>
      </c>
      <c r="D164" s="2" t="str">
        <f>"2066077578"</f>
        <v>2066077578</v>
      </c>
      <c r="E164" s="2" t="s">
        <v>1000</v>
      </c>
      <c r="F164" s="2" t="s">
        <v>1001</v>
      </c>
      <c r="G164" s="2" t="str">
        <f>"SR-309"</f>
        <v>SR-309</v>
      </c>
      <c r="H164" s="2" t="s">
        <v>1002</v>
      </c>
      <c r="I164" s="2" t="s">
        <v>1003</v>
      </c>
      <c r="K164" s="2" t="s">
        <v>1004</v>
      </c>
      <c r="L164" s="2" t="s">
        <v>86</v>
      </c>
      <c r="M164" s="2">
        <v>98155.0</v>
      </c>
      <c r="N164" s="2" t="s">
        <v>21</v>
      </c>
    </row>
    <row r="165" ht="15.75" customHeight="1">
      <c r="A165" s="2">
        <v>2013.0</v>
      </c>
      <c r="B165" s="2" t="s">
        <v>1005</v>
      </c>
      <c r="C165" s="2" t="s">
        <v>1006</v>
      </c>
      <c r="D165" s="2" t="str">
        <f>"870-260-2704"</f>
        <v>870-260-2704</v>
      </c>
      <c r="E165" s="2" t="s">
        <v>1007</v>
      </c>
      <c r="F165" s="2" t="s">
        <v>1008</v>
      </c>
      <c r="G165" s="2" t="str">
        <f>"SR-405"</f>
        <v>SR-405</v>
      </c>
      <c r="H165" s="2" t="s">
        <v>1009</v>
      </c>
      <c r="I165" s="2" t="s">
        <v>1010</v>
      </c>
      <c r="K165" s="2" t="s">
        <v>1011</v>
      </c>
      <c r="L165" s="2" t="s">
        <v>1012</v>
      </c>
      <c r="M165" s="2">
        <v>71923.0</v>
      </c>
      <c r="N165" s="2" t="s">
        <v>21</v>
      </c>
    </row>
    <row r="166" ht="15.75" customHeight="1">
      <c r="A166" s="2">
        <v>2013.0</v>
      </c>
      <c r="B166" s="2" t="s">
        <v>1013</v>
      </c>
      <c r="C166" s="2" t="s">
        <v>1014</v>
      </c>
      <c r="D166" s="2" t="str">
        <f>"952-831-3281"</f>
        <v>952-831-3281</v>
      </c>
      <c r="E166" s="2" t="s">
        <v>1015</v>
      </c>
      <c r="F166" s="2" t="s">
        <v>1016</v>
      </c>
      <c r="G166" s="2" t="str">
        <f>"SR-263"</f>
        <v>SR-263</v>
      </c>
      <c r="H166" s="2" t="s">
        <v>1017</v>
      </c>
      <c r="I166" s="2" t="s">
        <v>1018</v>
      </c>
      <c r="K166" s="2" t="s">
        <v>1019</v>
      </c>
      <c r="L166" s="2" t="s">
        <v>62</v>
      </c>
      <c r="M166" s="2">
        <v>55437.0</v>
      </c>
      <c r="N166" s="2" t="s">
        <v>21</v>
      </c>
    </row>
    <row r="167" ht="15.75" customHeight="1">
      <c r="A167" s="2">
        <v>2013.0</v>
      </c>
      <c r="B167" s="2" t="s">
        <v>1020</v>
      </c>
      <c r="C167" s="2" t="s">
        <v>1021</v>
      </c>
      <c r="D167" s="2" t="str">
        <f>"316-788-7280"</f>
        <v>316-788-7280</v>
      </c>
      <c r="E167" s="2" t="s">
        <v>1022</v>
      </c>
      <c r="F167" s="2" t="s">
        <v>1023</v>
      </c>
      <c r="G167" s="2" t="str">
        <f>"SR-91"</f>
        <v>SR-91</v>
      </c>
      <c r="H167" s="2" t="s">
        <v>1024</v>
      </c>
      <c r="I167" s="2" t="s">
        <v>1025</v>
      </c>
      <c r="K167" s="2" t="s">
        <v>1026</v>
      </c>
      <c r="L167" s="2" t="s">
        <v>272</v>
      </c>
      <c r="M167" s="2">
        <v>67037.0</v>
      </c>
      <c r="N167" s="2" t="s">
        <v>21</v>
      </c>
    </row>
    <row r="168" ht="15.75" customHeight="1">
      <c r="A168" s="2">
        <v>2013.0</v>
      </c>
      <c r="B168" s="2" t="s">
        <v>1027</v>
      </c>
      <c r="C168" s="2" t="s">
        <v>1027</v>
      </c>
      <c r="D168" s="2" t="str">
        <f>"3616766497"</f>
        <v>3616766497</v>
      </c>
      <c r="E168" s="2" t="s">
        <v>1028</v>
      </c>
      <c r="F168" s="2" t="s">
        <v>1029</v>
      </c>
      <c r="G168" s="2" t="str">
        <f>"SR-407"</f>
        <v>SR-407</v>
      </c>
      <c r="H168" s="2" t="s">
        <v>1030</v>
      </c>
      <c r="I168" s="2" t="s">
        <v>1031</v>
      </c>
      <c r="K168" s="2" t="s">
        <v>1032</v>
      </c>
      <c r="L168" s="2" t="s">
        <v>172</v>
      </c>
      <c r="M168" s="2">
        <v>77904.0</v>
      </c>
      <c r="N168" s="2" t="s">
        <v>21</v>
      </c>
    </row>
    <row r="169" ht="15.75" customHeight="1">
      <c r="A169" s="2">
        <v>2013.0</v>
      </c>
      <c r="B169" s="2" t="s">
        <v>1033</v>
      </c>
      <c r="C169" s="2" t="s">
        <v>1033</v>
      </c>
      <c r="D169" s="2" t="str">
        <f>"361-572-0821"</f>
        <v>361-572-0821</v>
      </c>
      <c r="E169" s="2" t="s">
        <v>453</v>
      </c>
      <c r="F169" s="2" t="s">
        <v>1034</v>
      </c>
      <c r="G169" s="2" t="str">
        <f>"SR-403"</f>
        <v>SR-403</v>
      </c>
      <c r="H169" s="2" t="s">
        <v>1035</v>
      </c>
      <c r="I169" s="2" t="s">
        <v>1036</v>
      </c>
      <c r="K169" s="2" t="s">
        <v>1032</v>
      </c>
      <c r="L169" s="2" t="s">
        <v>172</v>
      </c>
      <c r="M169" s="2">
        <v>77904.0</v>
      </c>
      <c r="N169" s="2" t="s">
        <v>21</v>
      </c>
    </row>
    <row r="170" ht="15.75" customHeight="1">
      <c r="A170" s="2">
        <v>2013.0</v>
      </c>
      <c r="B170" s="2" t="s">
        <v>1037</v>
      </c>
      <c r="C170" s="2" t="s">
        <v>1038</v>
      </c>
      <c r="D170" s="2" t="str">
        <f>"(623)218-8585"</f>
        <v>(623)218-8585</v>
      </c>
      <c r="E170" s="2" t="s">
        <v>1039</v>
      </c>
      <c r="F170" s="2" t="s">
        <v>1040</v>
      </c>
      <c r="G170" s="2" t="str">
        <f>"SR-138"</f>
        <v>SR-138</v>
      </c>
      <c r="H170" s="2" t="s">
        <v>1041</v>
      </c>
      <c r="I170" s="2" t="s">
        <v>1042</v>
      </c>
      <c r="K170" s="2" t="s">
        <v>104</v>
      </c>
      <c r="L170" s="2" t="s">
        <v>422</v>
      </c>
      <c r="M170" s="2">
        <v>85345.0</v>
      </c>
      <c r="N170" s="2" t="s">
        <v>21</v>
      </c>
    </row>
    <row r="171" ht="15.75" customHeight="1">
      <c r="A171" s="2">
        <v>2013.0</v>
      </c>
      <c r="B171" s="2" t="s">
        <v>1043</v>
      </c>
      <c r="C171" s="2" t="s">
        <v>1043</v>
      </c>
      <c r="D171" s="2" t="str">
        <f>"(970) 962-9552"</f>
        <v>(970) 962-9552</v>
      </c>
      <c r="E171" s="2" t="s">
        <v>1044</v>
      </c>
      <c r="F171" s="2" t="s">
        <v>1045</v>
      </c>
      <c r="G171" s="2" t="str">
        <f>"SR-115"</f>
        <v>SR-115</v>
      </c>
      <c r="H171" s="2" t="s">
        <v>1046</v>
      </c>
      <c r="I171" s="2" t="s">
        <v>1047</v>
      </c>
      <c r="K171" s="2" t="s">
        <v>1048</v>
      </c>
      <c r="L171" s="2" t="s">
        <v>157</v>
      </c>
      <c r="M171" s="2">
        <v>80538.0</v>
      </c>
      <c r="N171" s="2" t="s">
        <v>21</v>
      </c>
    </row>
    <row r="172" ht="15.75" customHeight="1">
      <c r="A172" s="2">
        <v>2013.0</v>
      </c>
      <c r="B172" s="2" t="s">
        <v>1049</v>
      </c>
      <c r="C172" s="2" t="s">
        <v>1050</v>
      </c>
      <c r="D172" s="2" t="str">
        <f>"303-941-0781"</f>
        <v>303-941-0781</v>
      </c>
      <c r="E172" s="2" t="s">
        <v>1051</v>
      </c>
      <c r="F172" s="2" t="s">
        <v>701</v>
      </c>
      <c r="G172" s="2" t="str">
        <f>"SR-410"</f>
        <v>SR-410</v>
      </c>
      <c r="H172" s="2" t="s">
        <v>1052</v>
      </c>
      <c r="I172" s="2" t="s">
        <v>1053</v>
      </c>
      <c r="K172" s="2" t="s">
        <v>1054</v>
      </c>
      <c r="L172" s="2" t="s">
        <v>157</v>
      </c>
      <c r="M172" s="2">
        <v>80138.0</v>
      </c>
      <c r="N172" s="2" t="s">
        <v>21</v>
      </c>
    </row>
    <row r="173" ht="15.75" customHeight="1">
      <c r="A173" s="2">
        <v>2013.0</v>
      </c>
      <c r="B173" s="2" t="s">
        <v>1055</v>
      </c>
      <c r="C173" s="2" t="s">
        <v>1055</v>
      </c>
      <c r="D173" s="2" t="str">
        <f>"4058221769"</f>
        <v>4058221769</v>
      </c>
      <c r="E173" s="2" t="s">
        <v>1056</v>
      </c>
      <c r="F173" s="2" t="s">
        <v>1057</v>
      </c>
      <c r="G173" s="2" t="str">
        <f>"SR-362"</f>
        <v>SR-362</v>
      </c>
      <c r="H173" s="2" t="s">
        <v>1058</v>
      </c>
      <c r="I173" s="2" t="s">
        <v>1059</v>
      </c>
      <c r="K173" s="2" t="s">
        <v>1060</v>
      </c>
      <c r="L173" s="2" t="s">
        <v>1061</v>
      </c>
      <c r="N173" s="2" t="s">
        <v>1062</v>
      </c>
    </row>
    <row r="174" ht="15.75" customHeight="1">
      <c r="A174" s="2">
        <v>2013.0</v>
      </c>
      <c r="B174" s="2" t="s">
        <v>1063</v>
      </c>
      <c r="C174" s="2" t="s">
        <v>1063</v>
      </c>
      <c r="D174" s="2" t="str">
        <f>"913.764.5106"</f>
        <v>913.764.5106</v>
      </c>
      <c r="E174" s="2" t="s">
        <v>43</v>
      </c>
      <c r="F174" s="2" t="s">
        <v>1064</v>
      </c>
      <c r="G174" s="2" t="str">
        <f>"SR-419"</f>
        <v>SR-419</v>
      </c>
      <c r="H174" s="2" t="s">
        <v>1065</v>
      </c>
      <c r="I174" s="2" t="s">
        <v>1066</v>
      </c>
      <c r="K174" s="2" t="s">
        <v>1067</v>
      </c>
      <c r="L174" s="2" t="s">
        <v>272</v>
      </c>
      <c r="M174" s="2">
        <v>66061.0</v>
      </c>
      <c r="N174" s="2" t="s">
        <v>21</v>
      </c>
    </row>
    <row r="175" ht="15.75" customHeight="1">
      <c r="A175" s="2">
        <v>2013.0</v>
      </c>
      <c r="B175" s="2" t="s">
        <v>1068</v>
      </c>
      <c r="C175" s="2" t="s">
        <v>1069</v>
      </c>
      <c r="D175" s="2" t="str">
        <f>"6125216207"</f>
        <v>6125216207</v>
      </c>
      <c r="E175" s="2" t="s">
        <v>301</v>
      </c>
      <c r="F175" s="2" t="s">
        <v>1070</v>
      </c>
      <c r="G175" s="2" t="str">
        <f>"SR-421"</f>
        <v>SR-421</v>
      </c>
      <c r="H175" s="2" t="s">
        <v>1071</v>
      </c>
      <c r="I175" s="2" t="s">
        <v>1072</v>
      </c>
      <c r="K175" s="2" t="s">
        <v>1073</v>
      </c>
      <c r="L175" s="2" t="s">
        <v>62</v>
      </c>
      <c r="M175" s="2">
        <v>55412.0</v>
      </c>
      <c r="N175" s="2" t="s">
        <v>21</v>
      </c>
    </row>
    <row r="176" ht="15.75" customHeight="1">
      <c r="A176" s="2">
        <v>2013.0</v>
      </c>
      <c r="B176" s="2" t="s">
        <v>1074</v>
      </c>
      <c r="C176" s="2" t="s">
        <v>1075</v>
      </c>
      <c r="D176" s="2" t="str">
        <f>"262-691-9709"</f>
        <v>262-691-9709</v>
      </c>
      <c r="E176" s="2" t="s">
        <v>1076</v>
      </c>
      <c r="F176" s="2" t="s">
        <v>1077</v>
      </c>
      <c r="G176" s="2" t="str">
        <f>"SR-77"</f>
        <v>SR-77</v>
      </c>
      <c r="H176" s="2" t="s">
        <v>1078</v>
      </c>
      <c r="I176" s="2" t="s">
        <v>1079</v>
      </c>
      <c r="K176" s="2" t="s">
        <v>1080</v>
      </c>
      <c r="L176" s="2" t="s">
        <v>193</v>
      </c>
      <c r="M176" s="2">
        <v>53072.0</v>
      </c>
      <c r="N176" s="2" t="s">
        <v>21</v>
      </c>
    </row>
    <row r="177" ht="15.75" customHeight="1">
      <c r="A177" s="2">
        <v>2013.0</v>
      </c>
      <c r="B177" s="2" t="s">
        <v>1081</v>
      </c>
      <c r="C177" s="2" t="s">
        <v>1082</v>
      </c>
      <c r="D177" s="2" t="str">
        <f>"817-575-7635"</f>
        <v>817-575-7635</v>
      </c>
      <c r="E177" s="2" t="s">
        <v>1022</v>
      </c>
      <c r="F177" s="2" t="s">
        <v>1083</v>
      </c>
      <c r="G177" s="2" t="str">
        <f>"SR-333"</f>
        <v>SR-333</v>
      </c>
      <c r="H177" s="2" t="s">
        <v>1084</v>
      </c>
      <c r="I177" s="2" t="s">
        <v>1085</v>
      </c>
      <c r="K177" s="2" t="s">
        <v>882</v>
      </c>
      <c r="L177" s="2" t="s">
        <v>172</v>
      </c>
      <c r="M177" s="2">
        <v>76016.0</v>
      </c>
      <c r="N177" s="2" t="s">
        <v>21</v>
      </c>
    </row>
    <row r="178" ht="15.75" customHeight="1">
      <c r="A178" s="2">
        <v>2013.0</v>
      </c>
      <c r="B178" s="2" t="s">
        <v>1086</v>
      </c>
      <c r="C178" s="2" t="s">
        <v>1087</v>
      </c>
      <c r="D178" s="2" t="str">
        <f>"330-874-4539"</f>
        <v>330-874-4539</v>
      </c>
      <c r="E178" s="2" t="s">
        <v>1088</v>
      </c>
      <c r="F178" s="2" t="s">
        <v>737</v>
      </c>
      <c r="G178" s="2" t="str">
        <f>"SR-353"</f>
        <v>SR-353</v>
      </c>
      <c r="H178" s="2" t="s">
        <v>1089</v>
      </c>
      <c r="I178" s="2" t="s">
        <v>1090</v>
      </c>
      <c r="K178" s="2" t="s">
        <v>1091</v>
      </c>
      <c r="L178" s="2" t="s">
        <v>344</v>
      </c>
      <c r="M178" s="2">
        <v>44612.0</v>
      </c>
      <c r="N178" s="2" t="s">
        <v>21</v>
      </c>
    </row>
    <row r="179" ht="15.75" customHeight="1">
      <c r="A179" s="2">
        <v>2013.0</v>
      </c>
      <c r="B179" s="2" t="s">
        <v>1092</v>
      </c>
      <c r="C179" s="2" t="s">
        <v>1093</v>
      </c>
      <c r="D179" s="2" t="str">
        <f>"407-782-3101"</f>
        <v>407-782-3101</v>
      </c>
      <c r="E179" s="2" t="s">
        <v>1094</v>
      </c>
      <c r="F179" s="2" t="s">
        <v>1095</v>
      </c>
      <c r="G179" s="2" t="str">
        <f>"SR-151"</f>
        <v>SR-151</v>
      </c>
      <c r="H179" s="2" t="s">
        <v>1096</v>
      </c>
      <c r="I179" s="2" t="s">
        <v>1097</v>
      </c>
      <c r="K179" s="2" t="s">
        <v>1098</v>
      </c>
      <c r="L179" s="2" t="s">
        <v>208</v>
      </c>
      <c r="M179" s="2">
        <v>32712.0</v>
      </c>
      <c r="N179" s="2" t="s">
        <v>21</v>
      </c>
    </row>
    <row r="180" ht="15.75" customHeight="1">
      <c r="A180" s="2">
        <v>2013.0</v>
      </c>
      <c r="B180" s="2" t="s">
        <v>1099</v>
      </c>
      <c r="C180" s="2" t="s">
        <v>1100</v>
      </c>
      <c r="D180" s="2" t="str">
        <f>"5403499444"</f>
        <v>5403499444</v>
      </c>
      <c r="E180" s="2" t="s">
        <v>203</v>
      </c>
      <c r="F180" s="2" t="s">
        <v>1101</v>
      </c>
      <c r="G180" s="2" t="str">
        <f>"SR-430"</f>
        <v>SR-430</v>
      </c>
      <c r="H180" s="2" t="s">
        <v>1102</v>
      </c>
      <c r="I180" s="2" t="s">
        <v>1103</v>
      </c>
      <c r="K180" s="2" t="s">
        <v>1104</v>
      </c>
      <c r="L180" s="2" t="s">
        <v>165</v>
      </c>
      <c r="M180" s="2">
        <v>20187.0</v>
      </c>
      <c r="N180" s="2" t="s">
        <v>21</v>
      </c>
    </row>
    <row r="181" ht="15.75" customHeight="1">
      <c r="A181" s="2">
        <v>2013.0</v>
      </c>
      <c r="B181" s="2" t="s">
        <v>1105</v>
      </c>
      <c r="C181" s="2" t="s">
        <v>1106</v>
      </c>
      <c r="D181" s="2" t="str">
        <f>"919-309-0868"</f>
        <v>919-309-0868</v>
      </c>
      <c r="E181" s="2" t="s">
        <v>1107</v>
      </c>
      <c r="F181" s="2" t="s">
        <v>1108</v>
      </c>
      <c r="G181" s="2" t="str">
        <f>"SR-441"</f>
        <v>SR-441</v>
      </c>
      <c r="H181" s="2" t="s">
        <v>1109</v>
      </c>
      <c r="I181" s="2" t="s">
        <v>1110</v>
      </c>
      <c r="K181" s="2" t="s">
        <v>1111</v>
      </c>
      <c r="L181" s="2" t="s">
        <v>20</v>
      </c>
      <c r="M181" s="2">
        <v>27712.0</v>
      </c>
      <c r="N181" s="2" t="s">
        <v>21</v>
      </c>
    </row>
    <row r="182" ht="15.75" customHeight="1">
      <c r="A182" s="2">
        <v>2013.0</v>
      </c>
      <c r="B182" s="2" t="s">
        <v>1112</v>
      </c>
      <c r="C182" s="2" t="s">
        <v>1113</v>
      </c>
      <c r="D182" s="2" t="str">
        <f>"901-218-2469"</f>
        <v>901-218-2469</v>
      </c>
      <c r="E182" s="2" t="s">
        <v>1114</v>
      </c>
      <c r="F182" s="2" t="s">
        <v>1115</v>
      </c>
      <c r="G182" s="2" t="str">
        <f>"SR-379"</f>
        <v>SR-379</v>
      </c>
      <c r="H182" s="2" t="s">
        <v>1116</v>
      </c>
      <c r="I182" s="2" t="s">
        <v>1117</v>
      </c>
      <c r="K182" s="2" t="s">
        <v>882</v>
      </c>
      <c r="L182" s="2" t="s">
        <v>279</v>
      </c>
      <c r="M182" s="2">
        <v>38002.0</v>
      </c>
      <c r="N182" s="2" t="s">
        <v>21</v>
      </c>
    </row>
    <row r="183" ht="15.75" customHeight="1">
      <c r="A183" s="2">
        <v>2013.0</v>
      </c>
      <c r="B183" s="2" t="s">
        <v>1118</v>
      </c>
      <c r="C183" s="2" t="s">
        <v>1118</v>
      </c>
      <c r="D183" s="2" t="str">
        <f>"8066877331"</f>
        <v>8066877331</v>
      </c>
      <c r="E183" s="2" t="s">
        <v>465</v>
      </c>
      <c r="F183" s="2" t="s">
        <v>1101</v>
      </c>
      <c r="G183" s="2" t="str">
        <f>"SR-377"</f>
        <v>SR-377</v>
      </c>
      <c r="H183" s="2" t="s">
        <v>1119</v>
      </c>
      <c r="I183" s="2" t="s">
        <v>1120</v>
      </c>
      <c r="K183" s="2" t="s">
        <v>1121</v>
      </c>
      <c r="L183" s="2" t="s">
        <v>172</v>
      </c>
      <c r="M183" s="2">
        <v>79424.0</v>
      </c>
      <c r="N183" s="2" t="s">
        <v>21</v>
      </c>
    </row>
    <row r="184" ht="15.75" customHeight="1">
      <c r="A184" s="2">
        <v>2013.0</v>
      </c>
      <c r="B184" s="2" t="s">
        <v>1122</v>
      </c>
      <c r="C184" s="2" t="s">
        <v>1123</v>
      </c>
      <c r="D184" s="2" t="str">
        <f>"719-264-9564"</f>
        <v>719-264-9564</v>
      </c>
      <c r="E184" s="2" t="s">
        <v>638</v>
      </c>
      <c r="F184" s="2" t="s">
        <v>1124</v>
      </c>
      <c r="G184" s="2" t="str">
        <f>"SR-431"</f>
        <v>SR-431</v>
      </c>
      <c r="H184" s="2" t="s">
        <v>1125</v>
      </c>
      <c r="I184" s="2" t="s">
        <v>1126</v>
      </c>
      <c r="K184" s="2" t="s">
        <v>1127</v>
      </c>
      <c r="L184" s="2" t="s">
        <v>157</v>
      </c>
      <c r="M184" s="2">
        <v>80814.0</v>
      </c>
      <c r="N184" s="2" t="s">
        <v>21</v>
      </c>
    </row>
    <row r="185" ht="15.75" customHeight="1">
      <c r="A185" s="2">
        <v>2013.0</v>
      </c>
      <c r="B185" s="2" t="s">
        <v>1128</v>
      </c>
      <c r="D185" s="2" t="str">
        <f>"(602)773-3535"</f>
        <v>(602)773-3535</v>
      </c>
      <c r="E185" s="2" t="s">
        <v>1129</v>
      </c>
      <c r="F185" s="2" t="s">
        <v>1130</v>
      </c>
      <c r="G185" s="2" t="str">
        <f>"SR-447"</f>
        <v>SR-447</v>
      </c>
      <c r="H185" s="2" t="s">
        <v>1131</v>
      </c>
      <c r="I185" s="2" t="s">
        <v>1132</v>
      </c>
      <c r="K185" s="2" t="s">
        <v>1133</v>
      </c>
      <c r="L185" s="2" t="s">
        <v>422</v>
      </c>
      <c r="M185" s="2">
        <v>85304.0</v>
      </c>
      <c r="N185" s="2" t="s">
        <v>21</v>
      </c>
    </row>
    <row r="186" ht="15.75" customHeight="1">
      <c r="A186" s="2">
        <v>2013.0</v>
      </c>
      <c r="B186" s="2" t="s">
        <v>1134</v>
      </c>
      <c r="C186" s="2" t="s">
        <v>1134</v>
      </c>
      <c r="D186" s="2" t="str">
        <f>"4197687601"</f>
        <v>4197687601</v>
      </c>
      <c r="E186" s="2" t="s">
        <v>1135</v>
      </c>
      <c r="F186" s="2" t="s">
        <v>863</v>
      </c>
      <c r="G186" s="2" t="str">
        <f>"SR-391"</f>
        <v>SR-391</v>
      </c>
      <c r="H186" s="2" t="s">
        <v>1136</v>
      </c>
      <c r="I186" s="2" t="s">
        <v>1137</v>
      </c>
      <c r="K186" s="2" t="s">
        <v>1138</v>
      </c>
      <c r="L186" s="2" t="s">
        <v>344</v>
      </c>
      <c r="M186" s="2">
        <v>43019.0</v>
      </c>
      <c r="N186" s="2" t="s">
        <v>21</v>
      </c>
    </row>
    <row r="187" ht="15.75" customHeight="1">
      <c r="A187" s="2">
        <v>2013.0</v>
      </c>
      <c r="B187" s="2" t="s">
        <v>1139</v>
      </c>
      <c r="C187" s="2" t="s">
        <v>1140</v>
      </c>
      <c r="D187" s="2" t="str">
        <f t="shared" ref="D187:D188" si="3">"585-396-7362"</f>
        <v>585-396-7362</v>
      </c>
      <c r="E187" s="2" t="s">
        <v>1141</v>
      </c>
      <c r="F187" s="2" t="s">
        <v>1142</v>
      </c>
      <c r="G187" s="2" t="str">
        <f>"SR-449"</f>
        <v>SR-449</v>
      </c>
      <c r="H187" s="2" t="s">
        <v>1143</v>
      </c>
      <c r="I187" s="2" t="s">
        <v>1144</v>
      </c>
      <c r="K187" s="2" t="s">
        <v>1145</v>
      </c>
      <c r="L187" s="2" t="s">
        <v>142</v>
      </c>
      <c r="M187" s="2">
        <v>14424.0</v>
      </c>
      <c r="N187" s="2" t="s">
        <v>21</v>
      </c>
    </row>
    <row r="188" ht="15.75" customHeight="1">
      <c r="A188" s="2">
        <v>2013.0</v>
      </c>
      <c r="B188" s="2" t="s">
        <v>1139</v>
      </c>
      <c r="C188" s="2" t="s">
        <v>1146</v>
      </c>
      <c r="D188" s="2" t="str">
        <f t="shared" si="3"/>
        <v>585-396-7362</v>
      </c>
      <c r="E188" s="2" t="s">
        <v>453</v>
      </c>
      <c r="F188" s="2" t="s">
        <v>1142</v>
      </c>
      <c r="G188" s="2" t="str">
        <f>"SR-450"</f>
        <v>SR-450</v>
      </c>
      <c r="H188" s="2" t="s">
        <v>1147</v>
      </c>
      <c r="I188" s="2" t="s">
        <v>1144</v>
      </c>
      <c r="K188" s="2" t="s">
        <v>1145</v>
      </c>
      <c r="L188" s="2" t="s">
        <v>142</v>
      </c>
      <c r="M188" s="2">
        <v>14424.0</v>
      </c>
      <c r="N188" s="2" t="s">
        <v>21</v>
      </c>
    </row>
    <row r="189" ht="15.75" customHeight="1">
      <c r="A189" s="2">
        <v>2013.0</v>
      </c>
      <c r="B189" s="2" t="s">
        <v>1148</v>
      </c>
      <c r="C189" s="2" t="s">
        <v>1149</v>
      </c>
      <c r="D189" s="2" t="str">
        <f>"419-289-2192"</f>
        <v>419-289-2192</v>
      </c>
      <c r="E189" s="2" t="s">
        <v>1150</v>
      </c>
      <c r="F189" s="2" t="s">
        <v>1151</v>
      </c>
      <c r="G189" s="2" t="str">
        <f>"SR-415"</f>
        <v>SR-415</v>
      </c>
      <c r="H189" s="2" t="s">
        <v>1152</v>
      </c>
      <c r="I189" s="2" t="s">
        <v>1153</v>
      </c>
      <c r="K189" s="2" t="s">
        <v>1154</v>
      </c>
      <c r="L189" s="2" t="s">
        <v>344</v>
      </c>
      <c r="M189" s="2">
        <v>44805.0</v>
      </c>
      <c r="N189" s="2" t="s">
        <v>21</v>
      </c>
    </row>
    <row r="190" ht="15.75" customHeight="1">
      <c r="A190" s="2">
        <v>2013.0</v>
      </c>
      <c r="B190" s="2" t="s">
        <v>1063</v>
      </c>
      <c r="C190" s="2" t="s">
        <v>1155</v>
      </c>
      <c r="D190" s="2" t="str">
        <f>"913-764-5106"</f>
        <v>913-764-5106</v>
      </c>
      <c r="E190" s="2" t="s">
        <v>1156</v>
      </c>
      <c r="F190" s="2" t="s">
        <v>1064</v>
      </c>
      <c r="G190" s="2" t="str">
        <f>"SR-328"</f>
        <v>SR-328</v>
      </c>
      <c r="H190" s="2" t="s">
        <v>1157</v>
      </c>
      <c r="I190" s="2" t="s">
        <v>1066</v>
      </c>
      <c r="K190" s="2" t="s">
        <v>1067</v>
      </c>
      <c r="L190" s="2" t="s">
        <v>272</v>
      </c>
      <c r="M190" s="2">
        <v>66061.0</v>
      </c>
      <c r="N190" s="2" t="s">
        <v>21</v>
      </c>
    </row>
    <row r="191" ht="15.75" customHeight="1">
      <c r="A191" s="2">
        <v>2013.0</v>
      </c>
      <c r="B191" s="2" t="s">
        <v>1158</v>
      </c>
      <c r="C191" s="2" t="s">
        <v>1158</v>
      </c>
      <c r="D191" s="2" t="str">
        <f>"4695695833"</f>
        <v>4695695833</v>
      </c>
      <c r="E191" s="2" t="s">
        <v>1159</v>
      </c>
      <c r="F191" s="2" t="s">
        <v>1040</v>
      </c>
      <c r="G191" s="2" t="str">
        <f>"SR-351"</f>
        <v>SR-351</v>
      </c>
      <c r="H191" s="2" t="s">
        <v>1160</v>
      </c>
      <c r="I191" s="2" t="s">
        <v>1161</v>
      </c>
      <c r="K191" s="2" t="s">
        <v>1162</v>
      </c>
      <c r="L191" s="2" t="s">
        <v>172</v>
      </c>
      <c r="M191" s="2">
        <v>75089.0</v>
      </c>
      <c r="N191" s="2" t="s">
        <v>21</v>
      </c>
    </row>
    <row r="192" ht="15.75" customHeight="1">
      <c r="A192" s="2">
        <v>2013.0</v>
      </c>
      <c r="B192" s="2" t="s">
        <v>1163</v>
      </c>
      <c r="D192" s="2" t="str">
        <f>"(262)443-7969"</f>
        <v>(262)443-7969</v>
      </c>
      <c r="E192" s="2" t="s">
        <v>1164</v>
      </c>
      <c r="F192" s="2" t="s">
        <v>1045</v>
      </c>
      <c r="G192" s="2" t="str">
        <f>"SR-308"</f>
        <v>SR-308</v>
      </c>
      <c r="H192" s="2" t="s">
        <v>1165</v>
      </c>
      <c r="I192" s="2" t="s">
        <v>1166</v>
      </c>
      <c r="K192" s="2" t="s">
        <v>1167</v>
      </c>
      <c r="L192" s="2" t="s">
        <v>193</v>
      </c>
      <c r="M192" s="2">
        <v>53066.0</v>
      </c>
      <c r="N192" s="2" t="s">
        <v>21</v>
      </c>
    </row>
    <row r="193" ht="15.75" customHeight="1">
      <c r="A193" s="2">
        <v>2013.0</v>
      </c>
      <c r="B193" s="2" t="s">
        <v>1168</v>
      </c>
      <c r="C193" s="2" t="s">
        <v>1168</v>
      </c>
      <c r="D193" s="2" t="str">
        <f>"205-834-5341"</f>
        <v>205-834-5341</v>
      </c>
      <c r="E193" s="2" t="s">
        <v>1169</v>
      </c>
      <c r="F193" s="2" t="s">
        <v>1170</v>
      </c>
      <c r="G193" s="2" t="str">
        <f>"SR-389"</f>
        <v>SR-389</v>
      </c>
      <c r="H193" s="2" t="s">
        <v>1171</v>
      </c>
      <c r="I193" s="2" t="s">
        <v>1172</v>
      </c>
      <c r="K193" s="2" t="s">
        <v>1173</v>
      </c>
      <c r="L193" s="2" t="s">
        <v>539</v>
      </c>
      <c r="M193" s="2">
        <v>35242.0</v>
      </c>
      <c r="N193" s="2" t="s">
        <v>21</v>
      </c>
    </row>
    <row r="194" ht="15.75" customHeight="1">
      <c r="A194" s="2">
        <v>2013.0</v>
      </c>
      <c r="B194" s="2" t="s">
        <v>1174</v>
      </c>
      <c r="C194" s="2" t="s">
        <v>1174</v>
      </c>
      <c r="D194" s="2" t="str">
        <f>"765-586-6183"</f>
        <v>765-586-6183</v>
      </c>
      <c r="E194" s="2" t="s">
        <v>908</v>
      </c>
      <c r="F194" s="2" t="s">
        <v>1175</v>
      </c>
      <c r="G194" s="2" t="str">
        <f>"SR-463"</f>
        <v>SR-463</v>
      </c>
      <c r="H194" s="2" t="s">
        <v>1176</v>
      </c>
      <c r="I194" s="2" t="s">
        <v>1177</v>
      </c>
      <c r="K194" s="2" t="s">
        <v>1178</v>
      </c>
      <c r="L194" s="2" t="s">
        <v>149</v>
      </c>
      <c r="M194" s="2">
        <v>47905.0</v>
      </c>
      <c r="N194" s="2" t="s">
        <v>21</v>
      </c>
    </row>
    <row r="195" ht="15.75" customHeight="1">
      <c r="A195" s="2">
        <v>2013.0</v>
      </c>
      <c r="B195" s="2" t="s">
        <v>1179</v>
      </c>
      <c r="C195" s="2" t="s">
        <v>1179</v>
      </c>
      <c r="D195" s="2" t="str">
        <f>"7722145252"</f>
        <v>7722145252</v>
      </c>
      <c r="E195" s="2" t="s">
        <v>1180</v>
      </c>
      <c r="F195" s="2" t="s">
        <v>1181</v>
      </c>
      <c r="G195" s="2" t="str">
        <f>"SR-465"</f>
        <v>SR-465</v>
      </c>
      <c r="H195" s="2" t="s">
        <v>1182</v>
      </c>
      <c r="I195" s="2" t="s">
        <v>1183</v>
      </c>
      <c r="K195" s="2" t="s">
        <v>504</v>
      </c>
      <c r="L195" s="2" t="s">
        <v>208</v>
      </c>
      <c r="M195" s="2">
        <v>34997.0</v>
      </c>
      <c r="N195" s="2" t="s">
        <v>21</v>
      </c>
    </row>
    <row r="196" ht="15.75" customHeight="1">
      <c r="A196" s="2">
        <v>2013.0</v>
      </c>
      <c r="B196" s="2" t="s">
        <v>1184</v>
      </c>
      <c r="C196" s="2" t="s">
        <v>1184</v>
      </c>
      <c r="D196" s="2" t="str">
        <f>"3175186298"</f>
        <v>3175186298</v>
      </c>
      <c r="E196" s="2" t="s">
        <v>908</v>
      </c>
      <c r="F196" s="2" t="s">
        <v>1185</v>
      </c>
      <c r="G196" s="2" t="str">
        <f>"SR-467"</f>
        <v>SR-467</v>
      </c>
      <c r="H196" s="2" t="s">
        <v>1186</v>
      </c>
      <c r="I196" s="2" t="s">
        <v>1187</v>
      </c>
      <c r="K196" s="2" t="s">
        <v>1188</v>
      </c>
      <c r="L196" s="2" t="s">
        <v>149</v>
      </c>
      <c r="M196" s="2">
        <v>46240.0</v>
      </c>
      <c r="N196" s="2" t="s">
        <v>21</v>
      </c>
    </row>
    <row r="197" ht="15.75" customHeight="1">
      <c r="A197" s="2">
        <v>2013.0</v>
      </c>
      <c r="B197" s="2" t="s">
        <v>1189</v>
      </c>
      <c r="C197" s="2" t="s">
        <v>1189</v>
      </c>
      <c r="D197" s="2" t="str">
        <f>"480-275-1753"</f>
        <v>480-275-1753</v>
      </c>
      <c r="E197" s="2" t="s">
        <v>1190</v>
      </c>
      <c r="F197" s="2" t="s">
        <v>1191</v>
      </c>
      <c r="G197" s="2" t="str">
        <f>"SR-471"</f>
        <v>SR-471</v>
      </c>
      <c r="H197" s="2" t="s">
        <v>1192</v>
      </c>
      <c r="I197" s="2" t="s">
        <v>1193</v>
      </c>
      <c r="K197" s="2" t="s">
        <v>1194</v>
      </c>
      <c r="L197" s="2" t="s">
        <v>222</v>
      </c>
      <c r="M197" s="2">
        <v>93063.0</v>
      </c>
      <c r="N197" s="2" t="s">
        <v>21</v>
      </c>
    </row>
    <row r="198" ht="15.75" customHeight="1">
      <c r="A198" s="2">
        <v>2013.0</v>
      </c>
      <c r="B198" s="2" t="s">
        <v>1195</v>
      </c>
      <c r="C198" s="2" t="s">
        <v>1196</v>
      </c>
      <c r="D198" s="2" t="str">
        <f>"269-982-1938"</f>
        <v>269-982-1938</v>
      </c>
      <c r="E198" s="2" t="s">
        <v>1197</v>
      </c>
      <c r="F198" s="2" t="s">
        <v>1198</v>
      </c>
      <c r="G198" s="2" t="str">
        <f>"SR-473"</f>
        <v>SR-473</v>
      </c>
      <c r="H198" s="2" t="s">
        <v>1199</v>
      </c>
      <c r="I198" s="2">
        <v>517.0</v>
      </c>
      <c r="J198" s="2" t="s">
        <v>1200</v>
      </c>
      <c r="K198" s="2" t="s">
        <v>1201</v>
      </c>
      <c r="L198" s="2" t="s">
        <v>29</v>
      </c>
      <c r="M198" s="2">
        <v>49085.0</v>
      </c>
      <c r="N198" s="2" t="s">
        <v>21</v>
      </c>
    </row>
    <row r="199" ht="15.75" customHeight="1">
      <c r="A199" s="2">
        <v>2013.0</v>
      </c>
      <c r="B199" s="2" t="s">
        <v>1202</v>
      </c>
      <c r="C199" s="2" t="s">
        <v>1202</v>
      </c>
      <c r="D199" s="2" t="str">
        <f>"9548013651"</f>
        <v>9548013651</v>
      </c>
      <c r="E199" s="2" t="s">
        <v>1032</v>
      </c>
      <c r="F199" s="2" t="s">
        <v>1203</v>
      </c>
      <c r="G199" s="2" t="str">
        <f>"SR-454"</f>
        <v>SR-454</v>
      </c>
      <c r="H199" s="2" t="s">
        <v>1204</v>
      </c>
      <c r="I199" s="2" t="s">
        <v>1205</v>
      </c>
      <c r="K199" s="2" t="s">
        <v>1206</v>
      </c>
      <c r="L199" s="2" t="s">
        <v>208</v>
      </c>
      <c r="M199" s="2">
        <v>33060.0</v>
      </c>
      <c r="N199" s="2" t="s">
        <v>21</v>
      </c>
    </row>
    <row r="200" ht="15.75" customHeight="1">
      <c r="A200" s="2">
        <v>2013.0</v>
      </c>
      <c r="B200" s="2" t="s">
        <v>1207</v>
      </c>
      <c r="C200" s="2" t="s">
        <v>1207</v>
      </c>
      <c r="D200" s="2" t="str">
        <f>"920 960 5712"</f>
        <v>920 960 5712</v>
      </c>
      <c r="E200" s="2" t="s">
        <v>1208</v>
      </c>
      <c r="F200" s="2" t="s">
        <v>1209</v>
      </c>
      <c r="G200" s="2" t="str">
        <f>"SR-121"</f>
        <v>SR-121</v>
      </c>
      <c r="H200" s="2" t="s">
        <v>1210</v>
      </c>
      <c r="I200" s="2" t="s">
        <v>1211</v>
      </c>
      <c r="K200" s="2" t="s">
        <v>192</v>
      </c>
      <c r="L200" s="2" t="s">
        <v>193</v>
      </c>
      <c r="M200" s="2">
        <v>54935.0</v>
      </c>
      <c r="N200" s="2" t="s">
        <v>21</v>
      </c>
    </row>
    <row r="201" ht="15.75" customHeight="1">
      <c r="A201" s="2">
        <v>2013.0</v>
      </c>
      <c r="B201" s="2" t="s">
        <v>1212</v>
      </c>
      <c r="C201" s="2" t="s">
        <v>1213</v>
      </c>
      <c r="D201" s="2" t="str">
        <f>"316-516-3858"</f>
        <v>316-516-3858</v>
      </c>
      <c r="E201" s="2" t="s">
        <v>651</v>
      </c>
      <c r="F201" s="2" t="s">
        <v>1214</v>
      </c>
      <c r="G201" s="2" t="str">
        <f>"SR-475"</f>
        <v>SR-475</v>
      </c>
      <c r="H201" s="2" t="s">
        <v>1215</v>
      </c>
      <c r="I201" s="2" t="s">
        <v>1216</v>
      </c>
      <c r="K201" s="2" t="s">
        <v>1217</v>
      </c>
      <c r="L201" s="2" t="s">
        <v>272</v>
      </c>
      <c r="M201" s="2">
        <v>67154.0</v>
      </c>
      <c r="N201" s="2" t="s">
        <v>21</v>
      </c>
    </row>
    <row r="202" ht="15.75" customHeight="1">
      <c r="A202" s="2">
        <v>2013.0</v>
      </c>
      <c r="B202" s="2" t="s">
        <v>1218</v>
      </c>
      <c r="C202" s="2" t="s">
        <v>1219</v>
      </c>
      <c r="D202" s="2" t="str">
        <f>"303-521-4959"</f>
        <v>303-521-4959</v>
      </c>
      <c r="E202" s="2" t="s">
        <v>1015</v>
      </c>
      <c r="F202" s="2" t="s">
        <v>1220</v>
      </c>
      <c r="G202" s="2" t="str">
        <f>"SR-492"</f>
        <v>SR-492</v>
      </c>
      <c r="H202" s="2" t="s">
        <v>1221</v>
      </c>
      <c r="I202" s="2" t="s">
        <v>1222</v>
      </c>
      <c r="K202" s="2" t="s">
        <v>1223</v>
      </c>
      <c r="L202" s="2" t="s">
        <v>157</v>
      </c>
      <c r="M202" s="2">
        <v>80433.0</v>
      </c>
      <c r="N202" s="2" t="s">
        <v>21</v>
      </c>
    </row>
    <row r="203" ht="15.75" customHeight="1">
      <c r="A203" s="2">
        <v>2013.0</v>
      </c>
      <c r="B203" s="2" t="s">
        <v>1224</v>
      </c>
      <c r="C203" s="2" t="s">
        <v>1225</v>
      </c>
      <c r="D203" s="2" t="str">
        <f>"6264410470"</f>
        <v>6264410470</v>
      </c>
      <c r="E203" s="2" t="s">
        <v>1226</v>
      </c>
      <c r="F203" s="2" t="s">
        <v>1227</v>
      </c>
      <c r="G203" s="2" t="str">
        <f>"SR-490"</f>
        <v>SR-490</v>
      </c>
      <c r="H203" s="2" t="s">
        <v>1228</v>
      </c>
      <c r="I203" s="2" t="s">
        <v>1229</v>
      </c>
      <c r="K203" s="2" t="s">
        <v>1230</v>
      </c>
      <c r="L203" s="2" t="s">
        <v>222</v>
      </c>
      <c r="M203" s="2">
        <v>91030.0</v>
      </c>
      <c r="N203" s="2" t="s">
        <v>21</v>
      </c>
    </row>
    <row r="204" ht="15.75" customHeight="1">
      <c r="A204" s="2">
        <v>2013.0</v>
      </c>
      <c r="B204" s="2" t="s">
        <v>1231</v>
      </c>
      <c r="C204" s="2" t="s">
        <v>1232</v>
      </c>
      <c r="D204" s="2" t="str">
        <f>"859-229-7679"</f>
        <v>859-229-7679</v>
      </c>
      <c r="E204" s="2" t="s">
        <v>1233</v>
      </c>
      <c r="F204" s="2" t="s">
        <v>696</v>
      </c>
      <c r="G204" s="2" t="str">
        <f>"SR-292"</f>
        <v>SR-292</v>
      </c>
      <c r="H204" s="2" t="s">
        <v>1234</v>
      </c>
      <c r="I204" s="2" t="s">
        <v>1235</v>
      </c>
      <c r="K204" s="2" t="s">
        <v>254</v>
      </c>
      <c r="L204" s="2" t="s">
        <v>1236</v>
      </c>
      <c r="M204" s="2">
        <v>40513.0</v>
      </c>
      <c r="N204" s="2" t="s">
        <v>21</v>
      </c>
    </row>
    <row r="205" ht="15.75" customHeight="1">
      <c r="A205" s="2">
        <v>2013.0</v>
      </c>
      <c r="B205" s="2" t="s">
        <v>1237</v>
      </c>
      <c r="C205" s="2" t="s">
        <v>1238</v>
      </c>
      <c r="D205" s="2" t="str">
        <f>"336-3769289"</f>
        <v>336-3769289</v>
      </c>
      <c r="E205" s="2" t="s">
        <v>1239</v>
      </c>
      <c r="F205" s="2" t="s">
        <v>1240</v>
      </c>
      <c r="G205" s="2" t="str">
        <f>"SR-216"</f>
        <v>SR-216</v>
      </c>
      <c r="H205" s="2" t="s">
        <v>1241</v>
      </c>
      <c r="I205" s="2" t="s">
        <v>1242</v>
      </c>
      <c r="K205" s="2" t="s">
        <v>1243</v>
      </c>
      <c r="L205" s="2" t="s">
        <v>20</v>
      </c>
      <c r="M205" s="2">
        <v>27253.0</v>
      </c>
      <c r="N205" s="2" t="s">
        <v>21</v>
      </c>
    </row>
    <row r="206" ht="15.75" customHeight="1">
      <c r="A206" s="2">
        <v>2013.0</v>
      </c>
      <c r="B206" s="2" t="s">
        <v>1244</v>
      </c>
      <c r="D206" s="2" t="str">
        <f>"512-918-1602"</f>
        <v>512-918-1602</v>
      </c>
      <c r="E206" s="2" t="s">
        <v>1245</v>
      </c>
      <c r="F206" s="2" t="s">
        <v>1246</v>
      </c>
      <c r="G206" s="2" t="str">
        <f>"SR-320"</f>
        <v>SR-320</v>
      </c>
      <c r="H206" s="2" t="s">
        <v>1247</v>
      </c>
      <c r="I206" s="2" t="s">
        <v>1248</v>
      </c>
      <c r="K206" s="2" t="s">
        <v>1249</v>
      </c>
      <c r="L206" s="2" t="s">
        <v>172</v>
      </c>
      <c r="M206" s="2">
        <v>78613.0</v>
      </c>
      <c r="N206" s="2" t="s">
        <v>21</v>
      </c>
    </row>
    <row r="207" ht="15.75" customHeight="1">
      <c r="A207" s="2">
        <v>2013.0</v>
      </c>
      <c r="B207" s="2" t="s">
        <v>1250</v>
      </c>
      <c r="C207" s="2" t="s">
        <v>1250</v>
      </c>
      <c r="D207" s="2" t="str">
        <f>"2148038303"</f>
        <v>2148038303</v>
      </c>
      <c r="E207" s="2" t="s">
        <v>1251</v>
      </c>
      <c r="F207" s="2" t="s">
        <v>1252</v>
      </c>
      <c r="G207" s="2" t="str">
        <f>"SR-394"</f>
        <v>SR-394</v>
      </c>
      <c r="H207" s="2" t="s">
        <v>1253</v>
      </c>
      <c r="I207" s="2" t="s">
        <v>1254</v>
      </c>
      <c r="K207" s="2" t="s">
        <v>1255</v>
      </c>
      <c r="L207" s="2" t="s">
        <v>172</v>
      </c>
      <c r="M207" s="2">
        <v>75225.0</v>
      </c>
      <c r="N207" s="2" t="s">
        <v>21</v>
      </c>
    </row>
    <row r="208" ht="15.75" customHeight="1">
      <c r="A208" s="2">
        <v>2013.0</v>
      </c>
      <c r="B208" s="2" t="s">
        <v>1256</v>
      </c>
      <c r="C208" s="2" t="s">
        <v>1256</v>
      </c>
      <c r="D208" s="2" t="str">
        <f>"8177317533"</f>
        <v>8177317533</v>
      </c>
      <c r="E208" s="2" t="s">
        <v>1257</v>
      </c>
      <c r="F208" s="2" t="s">
        <v>1064</v>
      </c>
      <c r="G208" s="2" t="str">
        <f>"SR-500"</f>
        <v>SR-500</v>
      </c>
      <c r="H208" s="2" t="s">
        <v>1258</v>
      </c>
      <c r="I208" s="2" t="s">
        <v>1259</v>
      </c>
      <c r="K208" s="2" t="s">
        <v>1260</v>
      </c>
      <c r="L208" s="2" t="s">
        <v>172</v>
      </c>
      <c r="M208" s="2">
        <v>76107.0</v>
      </c>
      <c r="N208" s="2" t="s">
        <v>21</v>
      </c>
    </row>
    <row r="209" ht="15.75" customHeight="1">
      <c r="A209" s="2">
        <v>2013.0</v>
      </c>
      <c r="B209" s="2" t="s">
        <v>1261</v>
      </c>
      <c r="C209" s="2" t="s">
        <v>1262</v>
      </c>
      <c r="D209" s="2" t="str">
        <f>"952-943-2802"</f>
        <v>952-943-2802</v>
      </c>
      <c r="E209" s="2" t="s">
        <v>1263</v>
      </c>
      <c r="F209" s="2" t="s">
        <v>1264</v>
      </c>
      <c r="G209" s="2" t="str">
        <f>"SR-416"</f>
        <v>SR-416</v>
      </c>
      <c r="H209" s="2" t="s">
        <v>1265</v>
      </c>
      <c r="I209" s="2" t="s">
        <v>1266</v>
      </c>
      <c r="K209" s="2" t="s">
        <v>1019</v>
      </c>
      <c r="L209" s="2" t="s">
        <v>62</v>
      </c>
      <c r="M209" s="2">
        <v>55438.0</v>
      </c>
      <c r="N209" s="2" t="s">
        <v>21</v>
      </c>
    </row>
    <row r="210" ht="15.75" customHeight="1">
      <c r="A210" s="2">
        <v>2013.0</v>
      </c>
      <c r="B210" s="2" t="s">
        <v>1267</v>
      </c>
      <c r="C210" s="2" t="s">
        <v>1268</v>
      </c>
      <c r="D210" s="2" t="str">
        <f>"305-878-8061"</f>
        <v>305-878-8061</v>
      </c>
      <c r="E210" s="2" t="s">
        <v>203</v>
      </c>
      <c r="F210" s="2" t="s">
        <v>1269</v>
      </c>
      <c r="G210" s="2" t="str">
        <f>"SR-515"</f>
        <v>SR-515</v>
      </c>
      <c r="H210" s="2" t="s">
        <v>1270</v>
      </c>
      <c r="I210" s="2" t="s">
        <v>1271</v>
      </c>
      <c r="K210" s="2" t="s">
        <v>1272</v>
      </c>
      <c r="L210" s="2" t="s">
        <v>208</v>
      </c>
      <c r="M210" s="2">
        <v>33155.0</v>
      </c>
      <c r="N210" s="2" t="s">
        <v>21</v>
      </c>
    </row>
    <row r="211" ht="15.75" customHeight="1">
      <c r="A211" s="2">
        <v>2013.0</v>
      </c>
      <c r="B211" s="2" t="s">
        <v>1273</v>
      </c>
      <c r="C211" s="2" t="s">
        <v>1273</v>
      </c>
      <c r="D211" s="2" t="str">
        <f>"19312892762"</f>
        <v>19312892762</v>
      </c>
      <c r="E211" s="2" t="s">
        <v>1274</v>
      </c>
      <c r="F211" s="2" t="s">
        <v>1275</v>
      </c>
      <c r="G211" s="2" t="str">
        <f>"SR-504"</f>
        <v>SR-504</v>
      </c>
      <c r="H211" s="2" t="s">
        <v>1276</v>
      </c>
      <c r="I211" s="2" t="s">
        <v>1277</v>
      </c>
      <c r="K211" s="2" t="s">
        <v>1278</v>
      </c>
      <c r="L211" s="2" t="s">
        <v>279</v>
      </c>
      <c r="M211" s="2">
        <v>37061.0</v>
      </c>
      <c r="N211" s="2" t="s">
        <v>21</v>
      </c>
    </row>
    <row r="212" ht="15.75" customHeight="1">
      <c r="A212" s="2">
        <v>2013.0</v>
      </c>
      <c r="B212" s="2" t="s">
        <v>1279</v>
      </c>
      <c r="C212" s="2" t="s">
        <v>1280</v>
      </c>
      <c r="D212" s="2" t="str">
        <f>"9196065351"</f>
        <v>9196065351</v>
      </c>
      <c r="E212" s="2" t="s">
        <v>1281</v>
      </c>
      <c r="F212" s="2" t="s">
        <v>1282</v>
      </c>
      <c r="G212" s="2" t="str">
        <f>"SR-520"</f>
        <v>SR-520</v>
      </c>
      <c r="H212" s="2" t="s">
        <v>1283</v>
      </c>
      <c r="I212" s="2" t="s">
        <v>1284</v>
      </c>
      <c r="K212" s="2" t="s">
        <v>1285</v>
      </c>
      <c r="L212" s="2" t="s">
        <v>20</v>
      </c>
      <c r="M212" s="2">
        <v>27278.0</v>
      </c>
      <c r="N212" s="2" t="s">
        <v>21</v>
      </c>
    </row>
    <row r="213" ht="15.75" customHeight="1">
      <c r="A213" s="2">
        <v>2013.0</v>
      </c>
      <c r="B213" s="2" t="s">
        <v>1286</v>
      </c>
      <c r="C213" s="2" t="s">
        <v>1287</v>
      </c>
      <c r="D213" s="2" t="str">
        <f>"210-602-9929"</f>
        <v>210-602-9929</v>
      </c>
      <c r="E213" s="2" t="s">
        <v>1288</v>
      </c>
      <c r="F213" s="2" t="s">
        <v>1289</v>
      </c>
      <c r="G213" s="2" t="str">
        <f>"SR-508"</f>
        <v>SR-508</v>
      </c>
      <c r="H213" s="2" t="s">
        <v>1290</v>
      </c>
      <c r="I213" s="2" t="s">
        <v>1291</v>
      </c>
      <c r="K213" s="2" t="s">
        <v>1292</v>
      </c>
      <c r="L213" s="2" t="s">
        <v>172</v>
      </c>
      <c r="M213" s="2">
        <v>78006.0</v>
      </c>
      <c r="N213" s="2" t="s">
        <v>21</v>
      </c>
    </row>
    <row r="214" ht="15.75" customHeight="1">
      <c r="A214" s="2">
        <v>2013.0</v>
      </c>
      <c r="B214" s="2" t="s">
        <v>1293</v>
      </c>
      <c r="C214" s="2" t="s">
        <v>1294</v>
      </c>
      <c r="D214" s="2" t="str">
        <f>"3037943467"</f>
        <v>3037943467</v>
      </c>
      <c r="E214" s="2" t="s">
        <v>1295</v>
      </c>
      <c r="F214" s="2" t="s">
        <v>1296</v>
      </c>
      <c r="G214" s="2" t="str">
        <f>"SR-522"</f>
        <v>SR-522</v>
      </c>
      <c r="H214" s="2" t="s">
        <v>1297</v>
      </c>
      <c r="I214" s="2" t="s">
        <v>1298</v>
      </c>
      <c r="K214" s="2" t="s">
        <v>185</v>
      </c>
      <c r="L214" s="2" t="s">
        <v>157</v>
      </c>
      <c r="M214" s="2">
        <v>80110.0</v>
      </c>
      <c r="N214" s="2" t="s">
        <v>21</v>
      </c>
    </row>
    <row r="215" ht="15.75" customHeight="1">
      <c r="A215" s="2">
        <v>2013.0</v>
      </c>
      <c r="B215" s="2" t="s">
        <v>1299</v>
      </c>
      <c r="C215" s="2" t="s">
        <v>1300</v>
      </c>
      <c r="D215" s="2" t="str">
        <f>"9522708070"</f>
        <v>9522708070</v>
      </c>
      <c r="E215" s="2" t="s">
        <v>1301</v>
      </c>
      <c r="F215" s="2" t="s">
        <v>1302</v>
      </c>
      <c r="G215" s="2" t="str">
        <f>"SR-453"</f>
        <v>SR-453</v>
      </c>
      <c r="H215" s="2" t="s">
        <v>1303</v>
      </c>
      <c r="I215" s="2" t="s">
        <v>1304</v>
      </c>
      <c r="K215" s="2" t="s">
        <v>1019</v>
      </c>
      <c r="L215" s="2" t="s">
        <v>62</v>
      </c>
      <c r="M215" s="2">
        <v>55437.0</v>
      </c>
      <c r="N215" s="2" t="s">
        <v>21</v>
      </c>
    </row>
    <row r="216" ht="15.75" customHeight="1">
      <c r="A216" s="2">
        <v>2013.0</v>
      </c>
      <c r="B216" s="2" t="s">
        <v>1305</v>
      </c>
      <c r="C216" s="2" t="s">
        <v>1305</v>
      </c>
      <c r="D216" s="2" t="str">
        <f>"320-894-8050"</f>
        <v>320-894-8050</v>
      </c>
      <c r="E216" s="2" t="s">
        <v>1306</v>
      </c>
      <c r="F216" s="2" t="s">
        <v>1307</v>
      </c>
      <c r="G216" s="2" t="str">
        <f>"SR-511"</f>
        <v>SR-511</v>
      </c>
      <c r="H216" s="2" t="s">
        <v>1308</v>
      </c>
      <c r="I216" s="2" t="s">
        <v>1309</v>
      </c>
      <c r="K216" s="2" t="s">
        <v>61</v>
      </c>
      <c r="L216" s="2" t="s">
        <v>62</v>
      </c>
      <c r="M216" s="2">
        <v>56201.0</v>
      </c>
      <c r="N216" s="2" t="s">
        <v>21</v>
      </c>
    </row>
    <row r="217" ht="15.75" customHeight="1">
      <c r="A217" s="2">
        <v>2013.0</v>
      </c>
      <c r="B217" s="2" t="s">
        <v>1310</v>
      </c>
      <c r="D217" s="2" t="str">
        <f>"8163920094"</f>
        <v>8163920094</v>
      </c>
      <c r="E217" s="2" t="s">
        <v>1311</v>
      </c>
      <c r="F217" s="2" t="s">
        <v>1312</v>
      </c>
      <c r="G217" s="2" t="str">
        <f>"SR-524"</f>
        <v>SR-524</v>
      </c>
      <c r="H217" s="2" t="s">
        <v>1313</v>
      </c>
      <c r="I217" s="2" t="s">
        <v>1314</v>
      </c>
      <c r="K217" s="2" t="s">
        <v>1315</v>
      </c>
      <c r="L217" s="2" t="s">
        <v>214</v>
      </c>
      <c r="M217" s="2">
        <v>64012.0</v>
      </c>
      <c r="N217" s="2" t="s">
        <v>21</v>
      </c>
    </row>
    <row r="218" ht="15.75" customHeight="1">
      <c r="A218" s="2">
        <v>2013.0</v>
      </c>
      <c r="B218" s="2" t="s">
        <v>1316</v>
      </c>
      <c r="C218" s="2" t="s">
        <v>1317</v>
      </c>
      <c r="D218" s="2" t="str">
        <f>"651-247-5006"</f>
        <v>651-247-5006</v>
      </c>
      <c r="E218" s="2" t="s">
        <v>1263</v>
      </c>
      <c r="F218" s="2" t="s">
        <v>1318</v>
      </c>
      <c r="G218" s="2" t="str">
        <f>"SR-360"</f>
        <v>SR-360</v>
      </c>
      <c r="H218" s="2" t="s">
        <v>1319</v>
      </c>
      <c r="I218" s="2" t="s">
        <v>1320</v>
      </c>
      <c r="K218" s="2" t="s">
        <v>1321</v>
      </c>
      <c r="L218" s="2" t="s">
        <v>62</v>
      </c>
      <c r="M218" s="2">
        <v>55372.0</v>
      </c>
      <c r="N218" s="2" t="s">
        <v>21</v>
      </c>
    </row>
    <row r="219" ht="15.75" customHeight="1">
      <c r="A219" s="2">
        <v>2013.0</v>
      </c>
      <c r="B219" s="2" t="s">
        <v>1322</v>
      </c>
      <c r="C219" s="2" t="s">
        <v>1323</v>
      </c>
      <c r="D219" s="2" t="str">
        <f t="shared" ref="D219:D220" si="4">"641-587-2041"</f>
        <v>641-587-2041</v>
      </c>
      <c r="E219" s="2" t="s">
        <v>1324</v>
      </c>
      <c r="F219" s="2" t="s">
        <v>1325</v>
      </c>
      <c r="G219" s="2" t="str">
        <f>"SR-501"</f>
        <v>SR-501</v>
      </c>
      <c r="H219" s="2" t="s">
        <v>1326</v>
      </c>
      <c r="I219" s="2" t="s">
        <v>1327</v>
      </c>
      <c r="K219" s="2" t="s">
        <v>1328</v>
      </c>
      <c r="L219" s="2" t="s">
        <v>560</v>
      </c>
      <c r="M219" s="2">
        <v>50449.0</v>
      </c>
      <c r="N219" s="2" t="s">
        <v>21</v>
      </c>
    </row>
    <row r="220" ht="15.75" customHeight="1">
      <c r="A220" s="2">
        <v>2013.0</v>
      </c>
      <c r="B220" s="2" t="s">
        <v>1322</v>
      </c>
      <c r="C220" s="2" t="s">
        <v>1329</v>
      </c>
      <c r="D220" s="2" t="str">
        <f t="shared" si="4"/>
        <v>641-587-2041</v>
      </c>
      <c r="E220" s="2" t="s">
        <v>217</v>
      </c>
      <c r="F220" s="2" t="s">
        <v>1325</v>
      </c>
      <c r="G220" s="2" t="str">
        <f>"SR-502"</f>
        <v>SR-502</v>
      </c>
      <c r="H220" s="2" t="s">
        <v>1330</v>
      </c>
      <c r="I220" s="2" t="s">
        <v>1327</v>
      </c>
      <c r="K220" s="2" t="s">
        <v>1328</v>
      </c>
      <c r="L220" s="2" t="s">
        <v>560</v>
      </c>
      <c r="M220" s="2">
        <v>50449.0</v>
      </c>
      <c r="N220" s="2" t="s">
        <v>21</v>
      </c>
    </row>
    <row r="221" ht="15.75" customHeight="1">
      <c r="A221" s="2">
        <v>2013.0</v>
      </c>
      <c r="B221" s="2" t="s">
        <v>1331</v>
      </c>
      <c r="C221" s="2" t="s">
        <v>1331</v>
      </c>
      <c r="D221" s="2" t="str">
        <f>"9072625205"</f>
        <v>9072625205</v>
      </c>
      <c r="E221" s="2" t="s">
        <v>1332</v>
      </c>
      <c r="F221" s="2" t="s">
        <v>1333</v>
      </c>
      <c r="G221" s="2" t="str">
        <f>"SR-480"</f>
        <v>SR-480</v>
      </c>
      <c r="H221" s="2" t="s">
        <v>1334</v>
      </c>
      <c r="I221" s="2" t="s">
        <v>1335</v>
      </c>
      <c r="J221" s="2" t="s">
        <v>1335</v>
      </c>
      <c r="K221" s="2" t="s">
        <v>1336</v>
      </c>
      <c r="L221" s="2" t="s">
        <v>70</v>
      </c>
      <c r="M221" s="2">
        <v>99669.0</v>
      </c>
      <c r="N221" s="2" t="s">
        <v>21</v>
      </c>
    </row>
    <row r="222" ht="15.75" customHeight="1">
      <c r="A222" s="2">
        <v>2013.0</v>
      </c>
      <c r="B222" s="2" t="s">
        <v>1337</v>
      </c>
      <c r="D222" s="2" t="str">
        <f>"907-262-2173"</f>
        <v>907-262-2173</v>
      </c>
      <c r="E222" s="2" t="s">
        <v>1338</v>
      </c>
      <c r="F222" s="2" t="s">
        <v>1339</v>
      </c>
      <c r="G222" s="2" t="str">
        <f>"SR-486"</f>
        <v>SR-486</v>
      </c>
      <c r="H222" s="2" t="s">
        <v>1340</v>
      </c>
      <c r="I222" s="2" t="s">
        <v>1341</v>
      </c>
      <c r="K222" s="2" t="s">
        <v>1336</v>
      </c>
      <c r="L222" s="2" t="s">
        <v>70</v>
      </c>
      <c r="M222" s="2">
        <v>99669.0</v>
      </c>
      <c r="N222" s="2" t="s">
        <v>21</v>
      </c>
    </row>
    <row r="223" ht="15.75" customHeight="1">
      <c r="A223" s="2">
        <v>2013.0</v>
      </c>
      <c r="B223" s="2" t="s">
        <v>1342</v>
      </c>
      <c r="C223" s="2" t="s">
        <v>1343</v>
      </c>
      <c r="D223" s="2" t="str">
        <f>"9072529516"</f>
        <v>9072529516</v>
      </c>
      <c r="E223" s="2" t="s">
        <v>288</v>
      </c>
      <c r="F223" s="2" t="s">
        <v>1344</v>
      </c>
      <c r="G223" s="2" t="str">
        <f>"SR-481"</f>
        <v>SR-481</v>
      </c>
      <c r="H223" s="2" t="s">
        <v>1345</v>
      </c>
      <c r="I223" s="2">
        <v>36315.0</v>
      </c>
      <c r="K223" s="2" t="s">
        <v>1336</v>
      </c>
      <c r="L223" s="2" t="s">
        <v>70</v>
      </c>
      <c r="M223" s="2">
        <v>99669.0</v>
      </c>
      <c r="N223" s="2" t="s">
        <v>21</v>
      </c>
    </row>
    <row r="224" ht="15.75" customHeight="1">
      <c r="A224" s="2">
        <v>2013.0</v>
      </c>
      <c r="B224" s="2" t="s">
        <v>1346</v>
      </c>
      <c r="D224" s="2" t="str">
        <f>"(907)-394-3524"</f>
        <v>(907)-394-3524</v>
      </c>
      <c r="E224" s="2" t="s">
        <v>1347</v>
      </c>
      <c r="F224" s="2" t="s">
        <v>1348</v>
      </c>
      <c r="G224" s="2" t="str">
        <f>"SR-482"</f>
        <v>SR-482</v>
      </c>
      <c r="H224" s="2" t="s">
        <v>1349</v>
      </c>
      <c r="I224" s="2" t="s">
        <v>1350</v>
      </c>
      <c r="K224" s="2" t="s">
        <v>1336</v>
      </c>
      <c r="L224" s="2" t="s">
        <v>70</v>
      </c>
      <c r="M224" s="2">
        <v>99669.0</v>
      </c>
      <c r="N224" s="2" t="s">
        <v>21</v>
      </c>
    </row>
    <row r="225" ht="15.75" customHeight="1">
      <c r="A225" s="2">
        <v>2013.0</v>
      </c>
      <c r="B225" s="2" t="s">
        <v>1351</v>
      </c>
      <c r="C225" s="2" t="s">
        <v>1351</v>
      </c>
      <c r="D225" s="2" t="str">
        <f>"(907) 262-8392"</f>
        <v>(907) 262-8392</v>
      </c>
      <c r="E225" s="2" t="s">
        <v>705</v>
      </c>
      <c r="F225" s="2" t="s">
        <v>1352</v>
      </c>
      <c r="G225" s="2" t="str">
        <f>"SR-479"</f>
        <v>SR-479</v>
      </c>
      <c r="H225" s="2" t="s">
        <v>1353</v>
      </c>
      <c r="I225" s="2" t="s">
        <v>1354</v>
      </c>
      <c r="J225" s="2" t="s">
        <v>1354</v>
      </c>
      <c r="K225" s="2" t="s">
        <v>1336</v>
      </c>
      <c r="L225" s="2" t="s">
        <v>70</v>
      </c>
      <c r="M225" s="2">
        <v>99669.0</v>
      </c>
      <c r="N225" s="2" t="s">
        <v>21</v>
      </c>
    </row>
    <row r="226" ht="15.75" customHeight="1">
      <c r="A226" s="2">
        <v>2013.0</v>
      </c>
      <c r="B226" s="2" t="s">
        <v>1355</v>
      </c>
      <c r="C226" s="2" t="s">
        <v>1355</v>
      </c>
      <c r="D226" s="2" t="str">
        <f>"907-262-9495"</f>
        <v>907-262-9495</v>
      </c>
      <c r="E226" s="2" t="s">
        <v>1356</v>
      </c>
      <c r="F226" s="2" t="s">
        <v>1357</v>
      </c>
      <c r="G226" s="2" t="str">
        <f>"SR-483"</f>
        <v>SR-483</v>
      </c>
      <c r="H226" s="2" t="s">
        <v>1358</v>
      </c>
      <c r="I226" s="2" t="s">
        <v>1359</v>
      </c>
      <c r="K226" s="2" t="s">
        <v>1360</v>
      </c>
      <c r="L226" s="2" t="s">
        <v>70</v>
      </c>
      <c r="M226" s="2">
        <v>99611.0</v>
      </c>
      <c r="N226" s="2" t="s">
        <v>21</v>
      </c>
    </row>
    <row r="227" ht="15.75" customHeight="1">
      <c r="A227" s="2">
        <v>2013.0</v>
      </c>
      <c r="B227" s="2" t="s">
        <v>1361</v>
      </c>
      <c r="C227" s="2" t="s">
        <v>1361</v>
      </c>
      <c r="D227" s="2" t="str">
        <f>"9072626798"</f>
        <v>9072626798</v>
      </c>
      <c r="E227" s="2" t="s">
        <v>1362</v>
      </c>
      <c r="F227" s="2" t="s">
        <v>1363</v>
      </c>
      <c r="G227" s="2" t="str">
        <f>"SR-484"</f>
        <v>SR-484</v>
      </c>
      <c r="H227" s="2" t="s">
        <v>1364</v>
      </c>
      <c r="I227" s="2" t="s">
        <v>1365</v>
      </c>
      <c r="J227" s="2" t="s">
        <v>1366</v>
      </c>
      <c r="K227" s="2" t="s">
        <v>1336</v>
      </c>
      <c r="L227" s="2" t="s">
        <v>70</v>
      </c>
      <c r="M227" s="2">
        <v>99669.0</v>
      </c>
      <c r="N227" s="2" t="s">
        <v>21</v>
      </c>
    </row>
    <row r="228" ht="15.75" customHeight="1">
      <c r="A228" s="2">
        <v>2013.0</v>
      </c>
      <c r="B228" s="2" t="s">
        <v>1367</v>
      </c>
      <c r="C228" s="2" t="s">
        <v>1367</v>
      </c>
      <c r="D228" s="2" t="str">
        <f>"9072831610"</f>
        <v>9072831610</v>
      </c>
      <c r="E228" s="2" t="s">
        <v>824</v>
      </c>
      <c r="F228" s="2" t="s">
        <v>1368</v>
      </c>
      <c r="G228" s="2" t="str">
        <f>"SR-477"</f>
        <v>SR-477</v>
      </c>
      <c r="H228" s="2" t="s">
        <v>1369</v>
      </c>
      <c r="I228" s="2" t="s">
        <v>1370</v>
      </c>
      <c r="K228" s="2" t="s">
        <v>1360</v>
      </c>
      <c r="L228" s="2" t="s">
        <v>70</v>
      </c>
      <c r="M228" s="2">
        <v>99611.0</v>
      </c>
      <c r="N228" s="2" t="s">
        <v>21</v>
      </c>
    </row>
    <row r="229" ht="15.75" customHeight="1">
      <c r="A229" s="2">
        <v>2013.0</v>
      </c>
      <c r="B229" s="2" t="s">
        <v>1371</v>
      </c>
      <c r="C229" s="2" t="s">
        <v>1371</v>
      </c>
      <c r="D229" s="2" t="str">
        <f>"9072626169"</f>
        <v>9072626169</v>
      </c>
      <c r="E229" s="2" t="s">
        <v>1372</v>
      </c>
      <c r="F229" s="2" t="s">
        <v>1373</v>
      </c>
      <c r="G229" s="2" t="str">
        <f>"SR-478"</f>
        <v>SR-478</v>
      </c>
      <c r="H229" s="2" t="s">
        <v>1374</v>
      </c>
      <c r="I229" s="2" t="s">
        <v>1375</v>
      </c>
      <c r="K229" s="2" t="s">
        <v>1376</v>
      </c>
      <c r="L229" s="2" t="s">
        <v>70</v>
      </c>
      <c r="M229" s="2">
        <v>99669.0</v>
      </c>
      <c r="N229" s="2" t="s">
        <v>21</v>
      </c>
    </row>
    <row r="230" ht="15.75" customHeight="1">
      <c r="A230" s="2">
        <v>2013.0</v>
      </c>
      <c r="B230" s="2" t="s">
        <v>1377</v>
      </c>
      <c r="C230" s="2" t="s">
        <v>1377</v>
      </c>
      <c r="D230" s="2" t="str">
        <f>"9073946138"</f>
        <v>9073946138</v>
      </c>
      <c r="E230" s="2" t="s">
        <v>1378</v>
      </c>
      <c r="F230" s="2" t="s">
        <v>1379</v>
      </c>
      <c r="G230" s="2" t="str">
        <f>"SR-485"</f>
        <v>SR-485</v>
      </c>
      <c r="H230" s="2" t="s">
        <v>1380</v>
      </c>
      <c r="I230" s="2" t="s">
        <v>1381</v>
      </c>
      <c r="K230" s="2" t="s">
        <v>1336</v>
      </c>
      <c r="L230" s="2" t="s">
        <v>70</v>
      </c>
      <c r="M230" s="2">
        <v>99669.0</v>
      </c>
      <c r="N230" s="2" t="s">
        <v>21</v>
      </c>
    </row>
    <row r="231" ht="15.75" customHeight="1">
      <c r="A231" s="2">
        <v>2013.0</v>
      </c>
      <c r="B231" s="2" t="s">
        <v>1382</v>
      </c>
      <c r="C231" s="2" t="s">
        <v>1382</v>
      </c>
      <c r="D231" s="2" t="str">
        <f>"907262286"</f>
        <v>907262286</v>
      </c>
      <c r="E231" s="2" t="s">
        <v>386</v>
      </c>
      <c r="F231" s="2" t="s">
        <v>1383</v>
      </c>
      <c r="G231" s="2" t="str">
        <f>"SR-476"</f>
        <v>SR-476</v>
      </c>
      <c r="H231" s="2" t="s">
        <v>1384</v>
      </c>
      <c r="I231" s="2" t="s">
        <v>1385</v>
      </c>
      <c r="J231" s="2" t="s">
        <v>1386</v>
      </c>
      <c r="K231" s="2" t="s">
        <v>1387</v>
      </c>
      <c r="L231" s="2" t="s">
        <v>70</v>
      </c>
      <c r="M231" s="2">
        <v>99672.0</v>
      </c>
      <c r="N231" s="2" t="s">
        <v>21</v>
      </c>
    </row>
    <row r="232" ht="15.75" customHeight="1">
      <c r="A232" s="2">
        <v>2013.0</v>
      </c>
      <c r="B232" s="2" t="s">
        <v>1388</v>
      </c>
      <c r="D232" s="2" t="str">
        <f>"907-283-9344"</f>
        <v>907-283-9344</v>
      </c>
      <c r="E232" s="2" t="s">
        <v>1389</v>
      </c>
      <c r="F232" s="2" t="s">
        <v>1390</v>
      </c>
      <c r="G232" s="2" t="str">
        <f>"SR-487"</f>
        <v>SR-487</v>
      </c>
      <c r="H232" s="2" t="s">
        <v>1391</v>
      </c>
      <c r="I232" s="2" t="s">
        <v>1392</v>
      </c>
      <c r="K232" s="2" t="s">
        <v>1360</v>
      </c>
      <c r="L232" s="2" t="s">
        <v>70</v>
      </c>
      <c r="M232" s="2">
        <v>99611.0</v>
      </c>
      <c r="N232" s="2" t="s">
        <v>21</v>
      </c>
    </row>
    <row r="233" ht="15.75" customHeight="1">
      <c r="A233" s="2">
        <v>2013.0</v>
      </c>
      <c r="B233" s="2" t="s">
        <v>1393</v>
      </c>
      <c r="C233" s="2" t="s">
        <v>1394</v>
      </c>
      <c r="D233" s="2" t="str">
        <f>"303-953-2310"</f>
        <v>303-953-2310</v>
      </c>
      <c r="E233" s="2" t="s">
        <v>843</v>
      </c>
      <c r="F233" s="2" t="s">
        <v>1395</v>
      </c>
      <c r="G233" s="2" t="str">
        <f>"SR-535"</f>
        <v>SR-535</v>
      </c>
      <c r="H233" s="2" t="s">
        <v>1396</v>
      </c>
      <c r="I233" s="2" t="s">
        <v>1397</v>
      </c>
      <c r="K233" s="2" t="s">
        <v>1398</v>
      </c>
      <c r="L233" s="2" t="s">
        <v>157</v>
      </c>
      <c r="M233" s="2">
        <v>80108.0</v>
      </c>
      <c r="N233" s="2" t="s">
        <v>21</v>
      </c>
    </row>
    <row r="234" ht="15.75" customHeight="1">
      <c r="A234" s="2">
        <v>2013.0</v>
      </c>
      <c r="B234" s="2" t="s">
        <v>1399</v>
      </c>
      <c r="C234" s="2" t="s">
        <v>1399</v>
      </c>
      <c r="D234" s="2" t="str">
        <f>"(318) 443-3823"</f>
        <v>(318) 443-3823</v>
      </c>
      <c r="E234" s="2" t="s">
        <v>1400</v>
      </c>
      <c r="F234" s="2" t="s">
        <v>639</v>
      </c>
      <c r="G234" s="2" t="str">
        <f>"SR-518"</f>
        <v>SR-518</v>
      </c>
      <c r="H234" s="2" t="s">
        <v>1401</v>
      </c>
      <c r="I234" s="2" t="s">
        <v>1402</v>
      </c>
      <c r="K234" s="2" t="s">
        <v>1403</v>
      </c>
      <c r="L234" s="2" t="s">
        <v>715</v>
      </c>
      <c r="M234" s="2">
        <v>71360.0</v>
      </c>
      <c r="N234" s="2" t="s">
        <v>21</v>
      </c>
    </row>
    <row r="235" ht="15.75" customHeight="1">
      <c r="A235" s="2">
        <v>2013.0</v>
      </c>
      <c r="B235" s="2" t="s">
        <v>1404</v>
      </c>
      <c r="C235" s="2" t="s">
        <v>1404</v>
      </c>
      <c r="D235" s="2" t="str">
        <f>"423-650-1870"</f>
        <v>423-650-1870</v>
      </c>
      <c r="E235" s="2" t="s">
        <v>1032</v>
      </c>
      <c r="F235" s="2" t="s">
        <v>1405</v>
      </c>
      <c r="G235" s="2" t="str">
        <f>"SR-538"</f>
        <v>SR-538</v>
      </c>
      <c r="H235" s="2" t="s">
        <v>1406</v>
      </c>
      <c r="I235" s="2" t="s">
        <v>1407</v>
      </c>
      <c r="K235" s="2" t="s">
        <v>1408</v>
      </c>
      <c r="L235" s="2" t="s">
        <v>279</v>
      </c>
      <c r="M235" s="2">
        <v>37312.0</v>
      </c>
      <c r="N235" s="2" t="s">
        <v>21</v>
      </c>
    </row>
    <row r="236" ht="15.75" customHeight="1">
      <c r="A236" s="2">
        <v>2013.0</v>
      </c>
      <c r="B236" s="2" t="s">
        <v>1409</v>
      </c>
      <c r="C236" s="2" t="s">
        <v>1409</v>
      </c>
      <c r="D236" s="2" t="str">
        <f>"5097701534"</f>
        <v>5097701534</v>
      </c>
      <c r="E236" s="2" t="s">
        <v>386</v>
      </c>
      <c r="F236" s="2" t="s">
        <v>1410</v>
      </c>
      <c r="G236" s="2" t="str">
        <f>"SR-545"</f>
        <v>SR-545</v>
      </c>
      <c r="H236" s="2" t="s">
        <v>1411</v>
      </c>
      <c r="I236" s="2" t="s">
        <v>1412</v>
      </c>
      <c r="K236" s="2" t="s">
        <v>1413</v>
      </c>
      <c r="L236" s="2" t="s">
        <v>86</v>
      </c>
      <c r="M236" s="2">
        <v>99212.0</v>
      </c>
      <c r="N236" s="2" t="s">
        <v>21</v>
      </c>
    </row>
    <row r="237" ht="15.75" customHeight="1">
      <c r="A237" s="2">
        <v>2013.0</v>
      </c>
      <c r="B237" s="2" t="s">
        <v>1414</v>
      </c>
      <c r="C237" s="2" t="s">
        <v>1415</v>
      </c>
      <c r="D237" s="2" t="str">
        <f>"702-610-1802"</f>
        <v>702-610-1802</v>
      </c>
      <c r="E237" s="2" t="s">
        <v>301</v>
      </c>
      <c r="F237" s="2" t="s">
        <v>1416</v>
      </c>
      <c r="G237" s="2" t="str">
        <f>"SR-546"</f>
        <v>SR-546</v>
      </c>
      <c r="H237" s="2" t="s">
        <v>1417</v>
      </c>
      <c r="I237" s="2" t="s">
        <v>1418</v>
      </c>
      <c r="K237" s="2" t="s">
        <v>309</v>
      </c>
      <c r="L237" s="2" t="s">
        <v>1419</v>
      </c>
      <c r="M237" s="2">
        <v>89014.0</v>
      </c>
      <c r="N237" s="2" t="s">
        <v>21</v>
      </c>
    </row>
    <row r="238" ht="15.75" customHeight="1">
      <c r="A238" s="2">
        <v>2013.0</v>
      </c>
      <c r="B238" s="2" t="s">
        <v>1420</v>
      </c>
      <c r="C238" s="2" t="s">
        <v>1421</v>
      </c>
      <c r="D238" s="2" t="str">
        <f>"727-804-8268"</f>
        <v>727-804-8268</v>
      </c>
      <c r="E238" s="2" t="s">
        <v>1422</v>
      </c>
      <c r="F238" s="2" t="s">
        <v>1423</v>
      </c>
      <c r="G238" s="2" t="str">
        <f>"SR-122"</f>
        <v>SR-122</v>
      </c>
      <c r="H238" s="2" t="s">
        <v>1424</v>
      </c>
      <c r="I238" s="2" t="s">
        <v>1425</v>
      </c>
      <c r="K238" s="2" t="s">
        <v>414</v>
      </c>
      <c r="L238" s="2" t="s">
        <v>208</v>
      </c>
      <c r="M238" s="2">
        <v>33773.0</v>
      </c>
      <c r="N238" s="2" t="s">
        <v>21</v>
      </c>
    </row>
    <row r="239" ht="15.75" customHeight="1">
      <c r="A239" s="2">
        <v>2013.0</v>
      </c>
      <c r="B239" s="2" t="s">
        <v>1426</v>
      </c>
      <c r="C239" s="2" t="s">
        <v>1427</v>
      </c>
      <c r="D239" s="2" t="str">
        <f>"(540)465-5458"</f>
        <v>(540)465-5458</v>
      </c>
      <c r="E239" s="2" t="s">
        <v>160</v>
      </c>
      <c r="F239" s="2" t="s">
        <v>1428</v>
      </c>
      <c r="G239" s="2" t="str">
        <f>"SR-543"</f>
        <v>SR-543</v>
      </c>
      <c r="H239" s="2" t="s">
        <v>1429</v>
      </c>
      <c r="I239" s="2" t="s">
        <v>1430</v>
      </c>
      <c r="K239" s="2" t="s">
        <v>1431</v>
      </c>
      <c r="L239" s="2" t="s">
        <v>165</v>
      </c>
      <c r="M239" s="2">
        <v>22657.0</v>
      </c>
      <c r="N239" s="2" t="s">
        <v>21</v>
      </c>
    </row>
    <row r="240" ht="15.75" customHeight="1">
      <c r="A240" s="2">
        <v>2013.0</v>
      </c>
      <c r="B240" s="2" t="s">
        <v>1432</v>
      </c>
      <c r="C240" s="2" t="s">
        <v>1433</v>
      </c>
      <c r="D240" s="2" t="str">
        <f>"804-346-2110"</f>
        <v>804-346-2110</v>
      </c>
      <c r="E240" s="2" t="s">
        <v>1434</v>
      </c>
      <c r="F240" s="2" t="s">
        <v>1435</v>
      </c>
      <c r="G240" s="2" t="str">
        <f>"SR-326"</f>
        <v>SR-326</v>
      </c>
      <c r="H240" s="2" t="s">
        <v>1436</v>
      </c>
      <c r="I240" s="2" t="s">
        <v>1437</v>
      </c>
      <c r="K240" s="2" t="s">
        <v>1438</v>
      </c>
      <c r="L240" s="2" t="s">
        <v>165</v>
      </c>
      <c r="M240" s="2">
        <v>23238.0</v>
      </c>
      <c r="N240" s="2" t="s">
        <v>21</v>
      </c>
    </row>
    <row r="241" ht="15.75" customHeight="1">
      <c r="A241" s="2">
        <v>2013.0</v>
      </c>
      <c r="B241" s="2" t="s">
        <v>1439</v>
      </c>
      <c r="C241" s="2" t="s">
        <v>1439</v>
      </c>
      <c r="D241" s="2" t="str">
        <f>"9098601796"</f>
        <v>9098601796</v>
      </c>
      <c r="E241" s="2" t="s">
        <v>1440</v>
      </c>
      <c r="F241" s="2" t="s">
        <v>1441</v>
      </c>
      <c r="G241" s="2" t="str">
        <f>"SR-106"</f>
        <v>SR-106</v>
      </c>
      <c r="H241" s="2" t="s">
        <v>1442</v>
      </c>
      <c r="I241" s="2" t="s">
        <v>1443</v>
      </c>
      <c r="K241" s="2" t="s">
        <v>1444</v>
      </c>
      <c r="L241" s="2" t="s">
        <v>222</v>
      </c>
      <c r="M241" s="2">
        <v>91765.0</v>
      </c>
      <c r="N241" s="2" t="s">
        <v>21</v>
      </c>
    </row>
    <row r="242" ht="15.75" customHeight="1">
      <c r="A242" s="2">
        <v>2013.0</v>
      </c>
      <c r="B242" s="2" t="s">
        <v>1445</v>
      </c>
      <c r="C242" s="2" t="s">
        <v>1446</v>
      </c>
      <c r="D242" s="2" t="str">
        <f>"(785) 228-0671"</f>
        <v>(785) 228-0671</v>
      </c>
      <c r="E242" s="2" t="s">
        <v>465</v>
      </c>
      <c r="F242" s="2" t="s">
        <v>283</v>
      </c>
      <c r="G242" s="2" t="str">
        <f>"SR-369"</f>
        <v>SR-369</v>
      </c>
      <c r="H242" s="2" t="s">
        <v>1447</v>
      </c>
      <c r="I242" s="2" t="s">
        <v>1448</v>
      </c>
      <c r="K242" s="2" t="s">
        <v>271</v>
      </c>
      <c r="L242" s="2" t="s">
        <v>272</v>
      </c>
      <c r="M242" s="2">
        <v>66610.0</v>
      </c>
      <c r="N242" s="2" t="s">
        <v>21</v>
      </c>
    </row>
    <row r="243" ht="15.75" customHeight="1">
      <c r="A243" s="2">
        <v>2013.0</v>
      </c>
      <c r="B243" s="2" t="s">
        <v>1449</v>
      </c>
      <c r="C243" s="2" t="s">
        <v>1449</v>
      </c>
      <c r="D243" s="2" t="str">
        <f>"8062528054"</f>
        <v>8062528054</v>
      </c>
      <c r="E243" s="2" t="s">
        <v>1450</v>
      </c>
      <c r="F243" s="2" t="s">
        <v>1451</v>
      </c>
      <c r="G243" s="2" t="str">
        <f>"SR-555"</f>
        <v>SR-555</v>
      </c>
      <c r="H243" s="2" t="s">
        <v>1452</v>
      </c>
      <c r="I243" s="2" t="s">
        <v>1453</v>
      </c>
      <c r="K243" s="2" t="s">
        <v>1121</v>
      </c>
      <c r="L243" s="2" t="s">
        <v>172</v>
      </c>
      <c r="M243" s="2">
        <v>79413.0</v>
      </c>
      <c r="N243" s="2" t="s">
        <v>21</v>
      </c>
    </row>
    <row r="244" ht="15.75" customHeight="1">
      <c r="A244" s="2">
        <v>2013.0</v>
      </c>
      <c r="B244" s="2" t="s">
        <v>1454</v>
      </c>
      <c r="D244" s="2" t="str">
        <f>"641 430 8415"</f>
        <v>641 430 8415</v>
      </c>
      <c r="E244" s="2" t="s">
        <v>1455</v>
      </c>
      <c r="F244" s="2" t="s">
        <v>1456</v>
      </c>
      <c r="G244" s="2" t="str">
        <f>"SR-549"</f>
        <v>SR-549</v>
      </c>
      <c r="H244" s="2" t="s">
        <v>1457</v>
      </c>
      <c r="I244" s="2" t="s">
        <v>1458</v>
      </c>
      <c r="K244" s="2" t="s">
        <v>1328</v>
      </c>
      <c r="L244" s="2" t="s">
        <v>560</v>
      </c>
      <c r="M244" s="2">
        <v>50449.0</v>
      </c>
      <c r="N244" s="2" t="s">
        <v>21</v>
      </c>
    </row>
    <row r="245" ht="15.75" customHeight="1">
      <c r="A245" s="2">
        <v>2013.0</v>
      </c>
      <c r="B245" s="2" t="s">
        <v>1459</v>
      </c>
      <c r="C245" s="2" t="s">
        <v>1459</v>
      </c>
      <c r="D245" s="2" t="str">
        <f>"989-777-6832"</f>
        <v>989-777-6832</v>
      </c>
      <c r="E245" s="2" t="s">
        <v>1460</v>
      </c>
      <c r="F245" s="2" t="s">
        <v>1461</v>
      </c>
      <c r="G245" s="2" t="str">
        <f>"SR-559"</f>
        <v>SR-559</v>
      </c>
      <c r="H245" s="2" t="s">
        <v>1462</v>
      </c>
      <c r="I245" s="2" t="s">
        <v>1463</v>
      </c>
      <c r="K245" s="2" t="s">
        <v>1464</v>
      </c>
      <c r="L245" s="2" t="s">
        <v>29</v>
      </c>
      <c r="M245" s="2">
        <v>48722.0</v>
      </c>
      <c r="N245" s="2" t="s">
        <v>21</v>
      </c>
    </row>
    <row r="246" ht="15.75" customHeight="1">
      <c r="A246" s="2">
        <v>2013.0</v>
      </c>
      <c r="B246" s="2" t="s">
        <v>1465</v>
      </c>
      <c r="C246" s="2" t="s">
        <v>1466</v>
      </c>
      <c r="D246" s="2" t="str">
        <f>"402-573-5932"</f>
        <v>402-573-5932</v>
      </c>
      <c r="E246" s="2" t="s">
        <v>160</v>
      </c>
      <c r="F246" s="2" t="s">
        <v>1467</v>
      </c>
      <c r="G246" s="2" t="str">
        <f>"SR-534"</f>
        <v>SR-534</v>
      </c>
      <c r="H246" s="2" t="s">
        <v>1468</v>
      </c>
      <c r="I246" s="2" t="s">
        <v>1469</v>
      </c>
      <c r="K246" s="2" t="s">
        <v>1470</v>
      </c>
      <c r="L246" s="2" t="s">
        <v>757</v>
      </c>
      <c r="M246" s="2">
        <v>68152.0</v>
      </c>
      <c r="N246" s="2" t="s">
        <v>21</v>
      </c>
    </row>
    <row r="247" ht="15.75" customHeight="1">
      <c r="A247" s="2">
        <v>2013.0</v>
      </c>
      <c r="B247" s="2" t="s">
        <v>1471</v>
      </c>
      <c r="C247" s="2" t="s">
        <v>1472</v>
      </c>
      <c r="D247" s="2" t="str">
        <f>"952-997-6254"</f>
        <v>952-997-6254</v>
      </c>
      <c r="E247" s="2" t="s">
        <v>651</v>
      </c>
      <c r="F247" s="2" t="s">
        <v>1473</v>
      </c>
      <c r="G247" s="2" t="str">
        <f>"SR-469"</f>
        <v>SR-469</v>
      </c>
      <c r="H247" s="2" t="s">
        <v>1474</v>
      </c>
      <c r="I247" s="2" t="s">
        <v>1475</v>
      </c>
      <c r="K247" s="2" t="s">
        <v>1019</v>
      </c>
      <c r="L247" s="2" t="s">
        <v>62</v>
      </c>
      <c r="M247" s="2">
        <v>55438.0</v>
      </c>
      <c r="N247" s="2" t="s">
        <v>21</v>
      </c>
    </row>
    <row r="248" ht="15.75" customHeight="1">
      <c r="A248" s="2">
        <v>2013.0</v>
      </c>
      <c r="B248" s="2" t="s">
        <v>1476</v>
      </c>
      <c r="C248" s="2" t="s">
        <v>1476</v>
      </c>
      <c r="D248" s="2" t="str">
        <f>"970-744-2267"</f>
        <v>970-744-2267</v>
      </c>
      <c r="E248" s="2" t="s">
        <v>596</v>
      </c>
      <c r="F248" s="2" t="s">
        <v>1477</v>
      </c>
      <c r="G248" s="2" t="str">
        <f>"SR-558"</f>
        <v>SR-558</v>
      </c>
      <c r="H248" s="2" t="s">
        <v>1478</v>
      </c>
      <c r="I248" s="2" t="s">
        <v>1479</v>
      </c>
      <c r="K248" s="2" t="s">
        <v>1480</v>
      </c>
      <c r="L248" s="2" t="s">
        <v>157</v>
      </c>
      <c r="M248" s="2">
        <v>80534.0</v>
      </c>
      <c r="N248" s="2" t="s">
        <v>21</v>
      </c>
    </row>
    <row r="249" ht="15.75" customHeight="1">
      <c r="A249" s="2">
        <v>2013.0</v>
      </c>
      <c r="B249" s="2" t="s">
        <v>1481</v>
      </c>
      <c r="C249" s="2" t="s">
        <v>1482</v>
      </c>
      <c r="D249" s="2" t="str">
        <f>"318-251-1205"</f>
        <v>318-251-1205</v>
      </c>
      <c r="E249" s="2" t="s">
        <v>1483</v>
      </c>
      <c r="F249" s="2" t="s">
        <v>1484</v>
      </c>
      <c r="G249" s="2" t="str">
        <f>"SR-359"</f>
        <v>SR-359</v>
      </c>
      <c r="H249" s="2" t="s">
        <v>1485</v>
      </c>
      <c r="I249" s="2" t="s">
        <v>1486</v>
      </c>
      <c r="K249" s="2" t="s">
        <v>714</v>
      </c>
      <c r="L249" s="2" t="s">
        <v>715</v>
      </c>
      <c r="M249" s="2">
        <v>71270.0</v>
      </c>
      <c r="N249" s="2" t="s">
        <v>21</v>
      </c>
    </row>
    <row r="250" ht="15.75" customHeight="1">
      <c r="A250" s="2">
        <v>2013.0</v>
      </c>
      <c r="B250" s="2" t="s">
        <v>1487</v>
      </c>
      <c r="D250" s="2" t="str">
        <f>"9529490444"</f>
        <v>9529490444</v>
      </c>
      <c r="E250" s="2" t="s">
        <v>282</v>
      </c>
      <c r="F250" s="2" t="s">
        <v>486</v>
      </c>
      <c r="G250" s="2" t="str">
        <f>"SR-569"</f>
        <v>SR-569</v>
      </c>
      <c r="H250" s="2" t="s">
        <v>1488</v>
      </c>
      <c r="I250" s="2" t="s">
        <v>1489</v>
      </c>
      <c r="K250" s="2" t="s">
        <v>1490</v>
      </c>
      <c r="L250" s="2" t="s">
        <v>62</v>
      </c>
      <c r="M250" s="2">
        <v>55347.0</v>
      </c>
      <c r="N250" s="2" t="s">
        <v>21</v>
      </c>
    </row>
    <row r="251" ht="15.75" customHeight="1">
      <c r="A251" s="2">
        <v>2013.0</v>
      </c>
      <c r="B251" s="2" t="s">
        <v>1491</v>
      </c>
      <c r="C251" s="2" t="s">
        <v>1492</v>
      </c>
      <c r="D251" s="2" t="str">
        <f>"515-490-7579"</f>
        <v>515-490-7579</v>
      </c>
      <c r="E251" s="2" t="s">
        <v>1493</v>
      </c>
      <c r="F251" s="2" t="s">
        <v>950</v>
      </c>
      <c r="G251" s="2" t="str">
        <f>"SR-561"</f>
        <v>SR-561</v>
      </c>
      <c r="H251" s="2" t="s">
        <v>1494</v>
      </c>
      <c r="I251" s="2" t="s">
        <v>1495</v>
      </c>
      <c r="K251" s="2" t="s">
        <v>1496</v>
      </c>
      <c r="L251" s="2" t="s">
        <v>560</v>
      </c>
      <c r="M251" s="2">
        <v>50220.0</v>
      </c>
      <c r="N251" s="2" t="s">
        <v>21</v>
      </c>
    </row>
    <row r="252" ht="15.75" customHeight="1">
      <c r="A252" s="2">
        <v>2013.0</v>
      </c>
      <c r="B252" s="2" t="s">
        <v>1497</v>
      </c>
      <c r="C252" s="2" t="s">
        <v>1498</v>
      </c>
      <c r="D252" s="2" t="str">
        <f>"303 423-3843"</f>
        <v>303 423-3843</v>
      </c>
      <c r="E252" s="2" t="s">
        <v>385</v>
      </c>
      <c r="F252" s="2" t="s">
        <v>1499</v>
      </c>
      <c r="G252" s="2" t="str">
        <f>"SR-567"</f>
        <v>SR-567</v>
      </c>
      <c r="H252" s="2" t="s">
        <v>1500</v>
      </c>
      <c r="I252" s="2" t="s">
        <v>1501</v>
      </c>
      <c r="K252" s="2" t="s">
        <v>1502</v>
      </c>
      <c r="L252" s="2" t="s">
        <v>157</v>
      </c>
      <c r="M252" s="2">
        <v>80004.0</v>
      </c>
      <c r="N252" s="2" t="s">
        <v>21</v>
      </c>
    </row>
    <row r="253" ht="15.75" customHeight="1">
      <c r="A253" s="2">
        <v>2013.0</v>
      </c>
      <c r="B253" s="2" t="s">
        <v>1503</v>
      </c>
      <c r="C253" s="2" t="s">
        <v>1504</v>
      </c>
      <c r="D253" s="2" t="str">
        <f>"4024765541"</f>
        <v>4024765541</v>
      </c>
      <c r="E253" s="2" t="s">
        <v>751</v>
      </c>
      <c r="F253" s="2" t="s">
        <v>1505</v>
      </c>
      <c r="G253" s="2" t="str">
        <f>"SR-532"</f>
        <v>SR-532</v>
      </c>
      <c r="H253" s="2" t="s">
        <v>1506</v>
      </c>
      <c r="I253" s="2" t="s">
        <v>1507</v>
      </c>
      <c r="K253" s="2" t="s">
        <v>572</v>
      </c>
      <c r="L253" s="2" t="s">
        <v>757</v>
      </c>
      <c r="M253" s="2">
        <v>68521.0</v>
      </c>
      <c r="N253" s="2" t="s">
        <v>21</v>
      </c>
    </row>
    <row r="254" ht="15.75" customHeight="1">
      <c r="A254" s="2">
        <v>2013.0</v>
      </c>
      <c r="B254" s="2" t="s">
        <v>1508</v>
      </c>
      <c r="C254" s="2" t="s">
        <v>1509</v>
      </c>
      <c r="D254" s="2" t="str">
        <f>"8437080348"</f>
        <v>8437080348</v>
      </c>
      <c r="E254" s="2" t="s">
        <v>1510</v>
      </c>
      <c r="F254" s="2" t="s">
        <v>1511</v>
      </c>
      <c r="G254" s="2" t="str">
        <f>"SR-432"</f>
        <v>SR-432</v>
      </c>
      <c r="H254" s="2" t="s">
        <v>1512</v>
      </c>
      <c r="I254" s="2" t="s">
        <v>1513</v>
      </c>
      <c r="K254" s="2" t="s">
        <v>1514</v>
      </c>
      <c r="L254" s="2" t="s">
        <v>55</v>
      </c>
      <c r="M254" s="2">
        <v>29449.0</v>
      </c>
      <c r="N254" s="2" t="s">
        <v>21</v>
      </c>
    </row>
    <row r="255" ht="15.75" customHeight="1">
      <c r="A255" s="2">
        <v>2013.0</v>
      </c>
      <c r="B255" s="2" t="s">
        <v>1515</v>
      </c>
      <c r="C255" s="2" t="s">
        <v>1516</v>
      </c>
      <c r="D255" s="2" t="str">
        <f>"3033665297"</f>
        <v>3033665297</v>
      </c>
      <c r="E255" s="2" t="s">
        <v>590</v>
      </c>
      <c r="F255" s="2" t="s">
        <v>1517</v>
      </c>
      <c r="G255" s="2" t="str">
        <f>"SR-343"</f>
        <v>SR-343</v>
      </c>
      <c r="H255" s="2" t="s">
        <v>1518</v>
      </c>
      <c r="I255" s="2" t="s">
        <v>1519</v>
      </c>
      <c r="K255" s="2" t="s">
        <v>1520</v>
      </c>
      <c r="L255" s="2" t="s">
        <v>157</v>
      </c>
      <c r="M255" s="2">
        <v>80011.0</v>
      </c>
      <c r="N255" s="2" t="s">
        <v>21</v>
      </c>
    </row>
    <row r="256" ht="15.75" customHeight="1">
      <c r="A256" s="2">
        <v>2013.0</v>
      </c>
      <c r="B256" s="2" t="s">
        <v>1521</v>
      </c>
      <c r="C256" s="2" t="s">
        <v>1522</v>
      </c>
      <c r="D256" s="2" t="str">
        <f>"765-621-0007"</f>
        <v>765-621-0007</v>
      </c>
      <c r="E256" s="2" t="s">
        <v>1523</v>
      </c>
      <c r="F256" s="2" t="s">
        <v>1524</v>
      </c>
      <c r="G256" s="2" t="str">
        <f>"SR-336"</f>
        <v>SR-336</v>
      </c>
      <c r="H256" s="2" t="s">
        <v>1525</v>
      </c>
      <c r="I256" s="2" t="s">
        <v>1526</v>
      </c>
      <c r="K256" s="2" t="s">
        <v>984</v>
      </c>
      <c r="L256" s="2" t="s">
        <v>149</v>
      </c>
      <c r="M256" s="2">
        <v>46011.0</v>
      </c>
      <c r="N256" s="2" t="s">
        <v>21</v>
      </c>
    </row>
    <row r="257" ht="15.75" customHeight="1">
      <c r="A257" s="2">
        <v>2013.0</v>
      </c>
      <c r="B257" s="2" t="s">
        <v>1527</v>
      </c>
      <c r="C257" s="2" t="s">
        <v>1528</v>
      </c>
      <c r="D257" s="2" t="str">
        <f>"815-941-1162"</f>
        <v>815-941-1162</v>
      </c>
      <c r="E257" s="2" t="s">
        <v>1529</v>
      </c>
      <c r="F257" s="2" t="s">
        <v>1530</v>
      </c>
      <c r="G257" s="2" t="str">
        <f>"SR-586"</f>
        <v>SR-586</v>
      </c>
      <c r="H257" s="2" t="s">
        <v>1531</v>
      </c>
      <c r="I257" s="2" t="s">
        <v>1532</v>
      </c>
      <c r="K257" s="2" t="s">
        <v>1533</v>
      </c>
      <c r="L257" s="2" t="s">
        <v>105</v>
      </c>
      <c r="M257" s="2">
        <v>60450.0</v>
      </c>
      <c r="N257" s="2" t="s">
        <v>21</v>
      </c>
    </row>
    <row r="258" ht="15.75" customHeight="1">
      <c r="A258" s="2">
        <v>2013.0</v>
      </c>
      <c r="B258" s="2" t="s">
        <v>1534</v>
      </c>
      <c r="C258" s="2" t="s">
        <v>1534</v>
      </c>
      <c r="D258" s="2" t="str">
        <f>"(307) 234-2603"</f>
        <v>(307) 234-2603</v>
      </c>
      <c r="E258" s="2" t="s">
        <v>1535</v>
      </c>
      <c r="F258" s="2" t="s">
        <v>1536</v>
      </c>
      <c r="G258" s="2" t="str">
        <f>"SR-587"</f>
        <v>SR-587</v>
      </c>
      <c r="H258" s="2" t="s">
        <v>1537</v>
      </c>
      <c r="I258" s="2" t="s">
        <v>1538</v>
      </c>
      <c r="K258" s="2" t="s">
        <v>1539</v>
      </c>
      <c r="L258" s="2" t="s">
        <v>1540</v>
      </c>
      <c r="M258" s="2">
        <v>82601.0</v>
      </c>
      <c r="N258" s="2" t="s">
        <v>21</v>
      </c>
    </row>
    <row r="259" ht="15.75" customHeight="1">
      <c r="A259" s="2">
        <v>2013.0</v>
      </c>
      <c r="B259" s="2" t="s">
        <v>1541</v>
      </c>
      <c r="C259" s="2" t="s">
        <v>1542</v>
      </c>
      <c r="D259" s="2" t="str">
        <f>"405-844-0822"</f>
        <v>405-844-0822</v>
      </c>
      <c r="E259" s="2" t="s">
        <v>100</v>
      </c>
      <c r="F259" s="2" t="s">
        <v>1543</v>
      </c>
      <c r="G259" s="2" t="str">
        <f>"SR-278"</f>
        <v>SR-278</v>
      </c>
      <c r="H259" s="2" t="s">
        <v>1544</v>
      </c>
      <c r="I259" s="2" t="s">
        <v>1545</v>
      </c>
      <c r="K259" s="2" t="s">
        <v>1546</v>
      </c>
      <c r="L259" s="2" t="s">
        <v>840</v>
      </c>
      <c r="M259" s="2">
        <v>73013.0</v>
      </c>
      <c r="N259" s="2" t="s">
        <v>21</v>
      </c>
    </row>
    <row r="260" ht="15.75" customHeight="1">
      <c r="A260" s="2">
        <v>2013.0</v>
      </c>
      <c r="B260" s="2" t="s">
        <v>1547</v>
      </c>
      <c r="C260" s="2" t="s">
        <v>1547</v>
      </c>
      <c r="D260" s="2" t="str">
        <f>"9072623142"</f>
        <v>9072623142</v>
      </c>
      <c r="E260" s="2" t="s">
        <v>1548</v>
      </c>
      <c r="F260" s="2" t="s">
        <v>1549</v>
      </c>
      <c r="G260" s="2" t="str">
        <f>"SR-580"</f>
        <v>SR-580</v>
      </c>
      <c r="H260" s="2" t="s">
        <v>1550</v>
      </c>
      <c r="I260" s="2" t="s">
        <v>1551</v>
      </c>
      <c r="K260" s="2" t="s">
        <v>1387</v>
      </c>
      <c r="L260" s="2" t="s">
        <v>70</v>
      </c>
      <c r="M260" s="2">
        <v>99672.0</v>
      </c>
      <c r="N260" s="2" t="s">
        <v>21</v>
      </c>
    </row>
    <row r="261" ht="15.75" customHeight="1">
      <c r="A261" s="2">
        <v>2013.0</v>
      </c>
      <c r="B261" s="2" t="s">
        <v>1552</v>
      </c>
      <c r="C261" s="2" t="s">
        <v>1553</v>
      </c>
      <c r="D261" s="2" t="str">
        <f>"970-576-6365"</f>
        <v>970-576-6365</v>
      </c>
      <c r="E261" s="2" t="s">
        <v>1554</v>
      </c>
      <c r="F261" s="2" t="s">
        <v>1555</v>
      </c>
      <c r="G261" s="2" t="str">
        <f>"SR-581"</f>
        <v>SR-581</v>
      </c>
      <c r="H261" s="2" t="s">
        <v>1556</v>
      </c>
      <c r="I261" s="2" t="s">
        <v>1557</v>
      </c>
      <c r="K261" s="2" t="s">
        <v>1558</v>
      </c>
      <c r="L261" s="2" t="s">
        <v>157</v>
      </c>
      <c r="M261" s="2">
        <v>80634.0</v>
      </c>
      <c r="N261" s="2" t="s">
        <v>21</v>
      </c>
    </row>
    <row r="262" ht="15.75" customHeight="1">
      <c r="A262" s="2">
        <v>2013.0</v>
      </c>
      <c r="B262" s="2" t="s">
        <v>1559</v>
      </c>
      <c r="C262" s="2" t="s">
        <v>1560</v>
      </c>
      <c r="D262" s="2" t="str">
        <f>"425-861-7280"</f>
        <v>425-861-7280</v>
      </c>
      <c r="E262" s="2" t="s">
        <v>239</v>
      </c>
      <c r="F262" s="2" t="s">
        <v>1561</v>
      </c>
      <c r="G262" s="2" t="str">
        <f>"SR-413"</f>
        <v>SR-413</v>
      </c>
      <c r="H262" s="2" t="s">
        <v>1562</v>
      </c>
      <c r="I262" s="2" t="s">
        <v>1563</v>
      </c>
      <c r="K262" s="2" t="s">
        <v>1564</v>
      </c>
      <c r="L262" s="2" t="s">
        <v>86</v>
      </c>
      <c r="M262" s="2">
        <v>98052.0</v>
      </c>
      <c r="N262" s="2" t="s">
        <v>21</v>
      </c>
    </row>
    <row r="263" ht="15.75" customHeight="1">
      <c r="A263" s="2">
        <v>2013.0</v>
      </c>
      <c r="B263" s="2" t="s">
        <v>1565</v>
      </c>
      <c r="C263" s="2" t="s">
        <v>1566</v>
      </c>
      <c r="D263" s="2" t="str">
        <f>"863.602.6210"</f>
        <v>863.602.6210</v>
      </c>
      <c r="E263" s="2" t="s">
        <v>584</v>
      </c>
      <c r="F263" s="2" t="s">
        <v>1567</v>
      </c>
      <c r="G263" s="2" t="str">
        <f>"SR-542"</f>
        <v>SR-542</v>
      </c>
      <c r="H263" s="2" t="s">
        <v>1568</v>
      </c>
      <c r="I263" s="2" t="s">
        <v>1569</v>
      </c>
      <c r="K263" s="2" t="s">
        <v>1570</v>
      </c>
      <c r="L263" s="2" t="s">
        <v>208</v>
      </c>
      <c r="M263" s="2">
        <v>33803.0</v>
      </c>
      <c r="N263" s="2" t="s">
        <v>21</v>
      </c>
    </row>
    <row r="264" ht="15.75" customHeight="1">
      <c r="A264" s="2">
        <v>2013.0</v>
      </c>
      <c r="B264" s="2" t="s">
        <v>1571</v>
      </c>
      <c r="C264" s="2" t="s">
        <v>1572</v>
      </c>
      <c r="D264" s="2" t="str">
        <f>"813-752-5720"</f>
        <v>813-752-5720</v>
      </c>
      <c r="E264" s="2" t="s">
        <v>261</v>
      </c>
      <c r="F264" s="2" t="s">
        <v>1573</v>
      </c>
      <c r="G264" s="2" t="str">
        <f>"SR-592"</f>
        <v>SR-592</v>
      </c>
      <c r="H264" s="2" t="s">
        <v>1574</v>
      </c>
      <c r="I264" s="2" t="s">
        <v>1575</v>
      </c>
      <c r="K264" s="2" t="s">
        <v>1576</v>
      </c>
      <c r="L264" s="2" t="s">
        <v>208</v>
      </c>
      <c r="M264" s="2">
        <v>33566.0</v>
      </c>
      <c r="N264" s="2" t="s">
        <v>21</v>
      </c>
    </row>
    <row r="265" ht="15.75" customHeight="1">
      <c r="A265" s="2">
        <v>2013.0</v>
      </c>
      <c r="B265" s="2" t="s">
        <v>1577</v>
      </c>
      <c r="C265" s="2" t="s">
        <v>1578</v>
      </c>
      <c r="D265" s="2" t="str">
        <f>"620-275-2729"</f>
        <v>620-275-2729</v>
      </c>
      <c r="E265" s="2" t="s">
        <v>1579</v>
      </c>
      <c r="F265" s="2" t="s">
        <v>1580</v>
      </c>
      <c r="G265" s="2" t="str">
        <f>"SR-498"</f>
        <v>SR-498</v>
      </c>
      <c r="H265" s="2" t="s">
        <v>1581</v>
      </c>
      <c r="I265" s="2" t="s">
        <v>1582</v>
      </c>
      <c r="K265" s="2" t="s">
        <v>1583</v>
      </c>
      <c r="L265" s="2" t="s">
        <v>272</v>
      </c>
      <c r="M265" s="2">
        <v>67846.0</v>
      </c>
      <c r="N265" s="2" t="s">
        <v>21</v>
      </c>
    </row>
    <row r="266" ht="15.75" customHeight="1">
      <c r="A266" s="2">
        <v>2013.0</v>
      </c>
      <c r="B266" s="2" t="s">
        <v>1584</v>
      </c>
      <c r="C266" s="2" t="s">
        <v>1584</v>
      </c>
      <c r="D266" s="2" t="str">
        <f>"620-276-4348"</f>
        <v>620-276-4348</v>
      </c>
      <c r="E266" s="2" t="s">
        <v>1585</v>
      </c>
      <c r="F266" s="2" t="s">
        <v>1586</v>
      </c>
      <c r="G266" s="2" t="str">
        <f>"SR-497"</f>
        <v>SR-497</v>
      </c>
      <c r="H266" s="2" t="s">
        <v>1587</v>
      </c>
      <c r="I266" s="2" t="s">
        <v>1588</v>
      </c>
      <c r="K266" s="2" t="s">
        <v>1583</v>
      </c>
      <c r="L266" s="2" t="s">
        <v>272</v>
      </c>
      <c r="M266" s="2">
        <v>67846.0</v>
      </c>
      <c r="N266" s="2" t="s">
        <v>21</v>
      </c>
    </row>
    <row r="267" ht="15.75" customHeight="1">
      <c r="A267" s="2">
        <v>2013.0</v>
      </c>
      <c r="B267" s="2" t="s">
        <v>1589</v>
      </c>
      <c r="C267" s="2" t="s">
        <v>1589</v>
      </c>
      <c r="D267" s="2" t="str">
        <f>"4806218527"</f>
        <v>4806218527</v>
      </c>
      <c r="E267" s="2" t="s">
        <v>1263</v>
      </c>
      <c r="F267" s="2" t="s">
        <v>1590</v>
      </c>
      <c r="G267" s="2" t="str">
        <f>"SR-526"</f>
        <v>SR-526</v>
      </c>
      <c r="H267" s="2" t="s">
        <v>1591</v>
      </c>
      <c r="I267" s="2" t="s">
        <v>1592</v>
      </c>
      <c r="K267" s="2" t="s">
        <v>1593</v>
      </c>
      <c r="L267" s="2" t="s">
        <v>422</v>
      </c>
      <c r="M267" s="2">
        <v>85260.0</v>
      </c>
      <c r="N267" s="2" t="s">
        <v>21</v>
      </c>
    </row>
    <row r="268" ht="15.75" customHeight="1">
      <c r="A268" s="2">
        <v>2013.0</v>
      </c>
      <c r="B268" s="2" t="s">
        <v>1594</v>
      </c>
      <c r="C268" s="2" t="s">
        <v>1594</v>
      </c>
      <c r="D268" s="2" t="str">
        <f>"(204) 434-9151"</f>
        <v>(204) 434-9151</v>
      </c>
      <c r="E268" s="2" t="s">
        <v>1595</v>
      </c>
      <c r="F268" s="2" t="s">
        <v>1596</v>
      </c>
      <c r="G268" s="2" t="str">
        <f>"SR-70"</f>
        <v>SR-70</v>
      </c>
      <c r="H268" s="2" t="s">
        <v>1597</v>
      </c>
      <c r="I268" s="2" t="s">
        <v>1598</v>
      </c>
      <c r="K268" s="2" t="s">
        <v>1599</v>
      </c>
      <c r="L268" s="2" t="s">
        <v>1600</v>
      </c>
      <c r="M268" s="2" t="s">
        <v>1601</v>
      </c>
      <c r="N268" s="2" t="s">
        <v>1602</v>
      </c>
    </row>
    <row r="269" ht="15.75" customHeight="1">
      <c r="A269" s="2">
        <v>2013.0</v>
      </c>
      <c r="B269" s="2" t="s">
        <v>1603</v>
      </c>
      <c r="C269" s="2" t="s">
        <v>1603</v>
      </c>
      <c r="D269" s="2" t="str">
        <f>"573-294-7357"</f>
        <v>573-294-7357</v>
      </c>
      <c r="E269" s="2" t="s">
        <v>1604</v>
      </c>
      <c r="F269" s="2" t="s">
        <v>1605</v>
      </c>
      <c r="G269" s="2" t="str">
        <f>"SR-548"</f>
        <v>SR-548</v>
      </c>
      <c r="H269" s="2" t="s">
        <v>1606</v>
      </c>
      <c r="I269" s="2" t="s">
        <v>1607</v>
      </c>
      <c r="K269" s="2" t="s">
        <v>519</v>
      </c>
      <c r="L269" s="2" t="s">
        <v>214</v>
      </c>
      <c r="M269" s="2">
        <v>65061.0</v>
      </c>
      <c r="N269" s="2" t="s">
        <v>21</v>
      </c>
    </row>
    <row r="270" ht="15.75" customHeight="1">
      <c r="A270" s="2">
        <v>2013.0</v>
      </c>
      <c r="B270" s="2" t="s">
        <v>1608</v>
      </c>
      <c r="C270" s="2" t="s">
        <v>1608</v>
      </c>
      <c r="D270" s="2" t="str">
        <f>"7044430190"</f>
        <v>7044430190</v>
      </c>
      <c r="E270" s="2" t="s">
        <v>250</v>
      </c>
      <c r="F270" s="2" t="s">
        <v>1609</v>
      </c>
      <c r="G270" s="2" t="str">
        <f>"SR-601"</f>
        <v>SR-601</v>
      </c>
      <c r="H270" s="2" t="s">
        <v>1610</v>
      </c>
      <c r="I270" s="2" t="s">
        <v>1611</v>
      </c>
      <c r="K270" s="2" t="s">
        <v>1612</v>
      </c>
      <c r="L270" s="2" t="s">
        <v>20</v>
      </c>
      <c r="M270" s="2">
        <v>28105.0</v>
      </c>
      <c r="N270" s="2" t="s">
        <v>21</v>
      </c>
    </row>
    <row r="271" ht="15.75" customHeight="1">
      <c r="A271" s="2">
        <v>2013.0</v>
      </c>
      <c r="B271" s="2" t="s">
        <v>1613</v>
      </c>
      <c r="C271" s="2" t="s">
        <v>1613</v>
      </c>
      <c r="D271" s="2" t="str">
        <f>"7632768679"</f>
        <v>7632768679</v>
      </c>
      <c r="E271" s="2" t="s">
        <v>1614</v>
      </c>
      <c r="F271" s="2" t="s">
        <v>1615</v>
      </c>
      <c r="G271" s="2" t="str">
        <f>"SR-396"</f>
        <v>SR-396</v>
      </c>
      <c r="H271" s="2" t="s">
        <v>1616</v>
      </c>
      <c r="I271" s="2">
        <v>11409.0</v>
      </c>
      <c r="J271" s="2" t="s">
        <v>1617</v>
      </c>
      <c r="K271" s="2" t="s">
        <v>1618</v>
      </c>
      <c r="L271" s="2" t="s">
        <v>62</v>
      </c>
      <c r="M271" s="2">
        <v>55433.0</v>
      </c>
      <c r="N271" s="2" t="s">
        <v>21</v>
      </c>
    </row>
    <row r="272" ht="15.75" customHeight="1">
      <c r="A272" s="2">
        <v>2013.0</v>
      </c>
      <c r="B272" s="2" t="s">
        <v>1619</v>
      </c>
      <c r="C272" s="2" t="s">
        <v>1619</v>
      </c>
      <c r="D272" s="2" t="str">
        <f>"12023406292"</f>
        <v>12023406292</v>
      </c>
      <c r="E272" s="2" t="s">
        <v>1620</v>
      </c>
      <c r="F272" s="2" t="s">
        <v>1621</v>
      </c>
      <c r="G272" s="2" t="str">
        <f>"SR-499"</f>
        <v>SR-499</v>
      </c>
      <c r="H272" s="2" t="s">
        <v>1622</v>
      </c>
      <c r="I272" s="2" t="s">
        <v>1623</v>
      </c>
      <c r="K272" s="2" t="s">
        <v>1624</v>
      </c>
      <c r="L272" s="2" t="s">
        <v>1625</v>
      </c>
      <c r="M272" s="2">
        <v>360181.0</v>
      </c>
      <c r="N272" s="2" t="s">
        <v>1626</v>
      </c>
    </row>
    <row r="273" ht="15.75" customHeight="1">
      <c r="A273" s="2">
        <v>2013.0</v>
      </c>
      <c r="B273" s="2" t="s">
        <v>1627</v>
      </c>
      <c r="C273" s="2" t="s">
        <v>1628</v>
      </c>
      <c r="D273" s="2" t="str">
        <f>"(970) 686-2419"</f>
        <v>(970) 686-2419</v>
      </c>
      <c r="E273" s="2" t="s">
        <v>955</v>
      </c>
      <c r="F273" s="2" t="s">
        <v>1629</v>
      </c>
      <c r="G273" s="2" t="str">
        <f>"SR-600"</f>
        <v>SR-600</v>
      </c>
      <c r="H273" s="2" t="s">
        <v>1630</v>
      </c>
      <c r="I273" s="2" t="s">
        <v>1631</v>
      </c>
      <c r="K273" s="2" t="s">
        <v>1632</v>
      </c>
      <c r="L273" s="2" t="s">
        <v>157</v>
      </c>
      <c r="M273" s="2">
        <v>80550.0</v>
      </c>
      <c r="N273" s="2" t="s">
        <v>21</v>
      </c>
    </row>
    <row r="274" ht="15.75" customHeight="1">
      <c r="A274" s="2">
        <v>2013.0</v>
      </c>
      <c r="B274" s="2" t="s">
        <v>1633</v>
      </c>
      <c r="C274" s="2" t="s">
        <v>1634</v>
      </c>
      <c r="D274" s="2" t="str">
        <f>"254 977 7456"</f>
        <v>254 977 7456</v>
      </c>
      <c r="E274" s="2" t="s">
        <v>1635</v>
      </c>
      <c r="F274" s="2" t="s">
        <v>1636</v>
      </c>
      <c r="G274" s="2" t="str">
        <f>"SR-577"</f>
        <v>SR-577</v>
      </c>
      <c r="H274" s="2" t="s">
        <v>1637</v>
      </c>
      <c r="I274" s="2" t="s">
        <v>1638</v>
      </c>
      <c r="K274" s="2" t="s">
        <v>1639</v>
      </c>
      <c r="L274" s="2" t="s">
        <v>172</v>
      </c>
      <c r="M274" s="2">
        <v>76401.0</v>
      </c>
      <c r="N274" s="2" t="s">
        <v>21</v>
      </c>
    </row>
    <row r="275" ht="15.75" customHeight="1">
      <c r="A275" s="2">
        <v>2013.0</v>
      </c>
      <c r="B275" s="2" t="s">
        <v>1640</v>
      </c>
      <c r="C275" s="2" t="s">
        <v>1641</v>
      </c>
      <c r="D275" s="2" t="str">
        <f>"563-652-4154"</f>
        <v>563-652-4154</v>
      </c>
      <c r="E275" s="2" t="s">
        <v>1642</v>
      </c>
      <c r="F275" s="2" t="s">
        <v>1643</v>
      </c>
      <c r="G275" s="2" t="str">
        <f>"SR-609"</f>
        <v>SR-609</v>
      </c>
      <c r="H275" s="2" t="s">
        <v>1644</v>
      </c>
      <c r="I275" s="2" t="s">
        <v>1645</v>
      </c>
      <c r="K275" s="2" t="s">
        <v>1646</v>
      </c>
      <c r="L275" s="2" t="s">
        <v>560</v>
      </c>
      <c r="M275" s="2">
        <v>52060.0</v>
      </c>
      <c r="N275" s="2" t="s">
        <v>21</v>
      </c>
    </row>
    <row r="276" ht="15.75" customHeight="1">
      <c r="A276" s="2">
        <v>2013.0</v>
      </c>
      <c r="B276" s="2" t="s">
        <v>1647</v>
      </c>
      <c r="C276" s="2" t="s">
        <v>1647</v>
      </c>
      <c r="D276" s="2" t="str">
        <f>"(719) 328-9606"</f>
        <v>(719) 328-9606</v>
      </c>
      <c r="E276" s="2" t="s">
        <v>282</v>
      </c>
      <c r="F276" s="2" t="s">
        <v>1648</v>
      </c>
      <c r="G276" s="2" t="str">
        <f>"SR-589"</f>
        <v>SR-589</v>
      </c>
      <c r="H276" s="2" t="s">
        <v>1649</v>
      </c>
      <c r="I276" s="2" t="s">
        <v>1650</v>
      </c>
      <c r="K276" s="2" t="s">
        <v>809</v>
      </c>
      <c r="L276" s="2" t="s">
        <v>157</v>
      </c>
      <c r="M276" s="2">
        <v>80904.0</v>
      </c>
      <c r="N276" s="2" t="s">
        <v>21</v>
      </c>
    </row>
    <row r="277" ht="15.75" customHeight="1">
      <c r="A277" s="2">
        <v>2013.0</v>
      </c>
      <c r="B277" s="2" t="s">
        <v>1651</v>
      </c>
      <c r="C277" s="2" t="s">
        <v>1652</v>
      </c>
      <c r="D277" s="2" t="str">
        <f>"952-447-7282"</f>
        <v>952-447-7282</v>
      </c>
      <c r="E277" s="2" t="s">
        <v>718</v>
      </c>
      <c r="F277" s="2" t="s">
        <v>1653</v>
      </c>
      <c r="G277" s="2" t="str">
        <f>"SR-597"</f>
        <v>SR-597</v>
      </c>
      <c r="H277" s="2" t="s">
        <v>1654</v>
      </c>
      <c r="I277" s="2" t="s">
        <v>1655</v>
      </c>
      <c r="K277" s="2" t="s">
        <v>1321</v>
      </c>
      <c r="L277" s="2" t="s">
        <v>62</v>
      </c>
      <c r="M277" s="2">
        <v>55372.0</v>
      </c>
      <c r="N277" s="2" t="s">
        <v>21</v>
      </c>
    </row>
    <row r="278" ht="15.75" customHeight="1">
      <c r="A278" s="2">
        <v>2013.0</v>
      </c>
      <c r="B278" s="2" t="s">
        <v>1656</v>
      </c>
      <c r="C278" s="2" t="s">
        <v>1657</v>
      </c>
      <c r="D278" s="2" t="str">
        <f>"512-260-1888"</f>
        <v>512-260-1888</v>
      </c>
      <c r="E278" s="2" t="s">
        <v>1658</v>
      </c>
      <c r="F278" s="2" t="s">
        <v>1659</v>
      </c>
      <c r="G278" s="2" t="str">
        <f>"SR-621"</f>
        <v>SR-621</v>
      </c>
      <c r="H278" s="2" t="s">
        <v>1660</v>
      </c>
      <c r="I278" s="2" t="s">
        <v>1661</v>
      </c>
      <c r="K278" s="2" t="s">
        <v>1662</v>
      </c>
      <c r="L278" s="2" t="s">
        <v>172</v>
      </c>
      <c r="M278" s="2">
        <v>78645.0</v>
      </c>
      <c r="N278" s="2" t="s">
        <v>21</v>
      </c>
    </row>
    <row r="279" ht="15.75" customHeight="1">
      <c r="A279" s="2">
        <v>2013.0</v>
      </c>
      <c r="B279" s="2" t="s">
        <v>1663</v>
      </c>
      <c r="D279" s="2" t="str">
        <f>""</f>
        <v/>
      </c>
      <c r="E279" s="2" t="s">
        <v>1664</v>
      </c>
      <c r="F279" s="2" t="s">
        <v>1665</v>
      </c>
      <c r="G279" s="2" t="str">
        <f>"SR-602"</f>
        <v>SR-602</v>
      </c>
      <c r="H279" s="2" t="s">
        <v>1666</v>
      </c>
      <c r="N279" s="2" t="s">
        <v>21</v>
      </c>
    </row>
    <row r="280" ht="15.75" customHeight="1">
      <c r="A280" s="2">
        <v>2013.0</v>
      </c>
      <c r="B280" s="2" t="s">
        <v>1667</v>
      </c>
      <c r="C280" s="2" t="s">
        <v>1668</v>
      </c>
      <c r="D280" s="2" t="str">
        <f>"952-881-5640"</f>
        <v>952-881-5640</v>
      </c>
      <c r="E280" s="2" t="s">
        <v>124</v>
      </c>
      <c r="F280" s="2" t="s">
        <v>1669</v>
      </c>
      <c r="G280" s="2" t="str">
        <f>"SR-584"</f>
        <v>SR-584</v>
      </c>
      <c r="H280" s="2" t="s">
        <v>1670</v>
      </c>
      <c r="I280" s="2" t="s">
        <v>1671</v>
      </c>
      <c r="K280" s="2" t="s">
        <v>1019</v>
      </c>
      <c r="L280" s="2" t="s">
        <v>62</v>
      </c>
      <c r="M280" s="2">
        <v>55437.0</v>
      </c>
      <c r="N280" s="2" t="s">
        <v>21</v>
      </c>
    </row>
    <row r="281" ht="15.75" customHeight="1">
      <c r="A281" s="2">
        <v>2013.0</v>
      </c>
      <c r="B281" s="2" t="s">
        <v>1672</v>
      </c>
      <c r="C281" s="2" t="s">
        <v>1673</v>
      </c>
      <c r="D281" s="2" t="str">
        <f t="shared" ref="D281:D282" si="5">"4254891020"</f>
        <v>4254891020</v>
      </c>
      <c r="E281" s="2" t="s">
        <v>843</v>
      </c>
      <c r="F281" s="2" t="s">
        <v>1674</v>
      </c>
      <c r="G281" s="2" t="str">
        <f>"SR-437"</f>
        <v>SR-437</v>
      </c>
      <c r="H281" s="2" t="s">
        <v>1675</v>
      </c>
      <c r="I281" s="2" t="s">
        <v>1676</v>
      </c>
      <c r="K281" s="2" t="s">
        <v>1677</v>
      </c>
      <c r="L281" s="2" t="s">
        <v>86</v>
      </c>
      <c r="M281" s="2">
        <v>98011.0</v>
      </c>
      <c r="N281" s="2" t="s">
        <v>21</v>
      </c>
    </row>
    <row r="282" ht="15.75" customHeight="1">
      <c r="A282" s="2">
        <v>2013.0</v>
      </c>
      <c r="B282" s="2" t="s">
        <v>1672</v>
      </c>
      <c r="C282" s="2" t="s">
        <v>1678</v>
      </c>
      <c r="D282" s="2" t="str">
        <f t="shared" si="5"/>
        <v>4254891020</v>
      </c>
      <c r="E282" s="2" t="s">
        <v>453</v>
      </c>
      <c r="F282" s="2" t="s">
        <v>1674</v>
      </c>
      <c r="G282" s="2" t="str">
        <f>"SR-438"</f>
        <v>SR-438</v>
      </c>
      <c r="H282" s="2" t="s">
        <v>1679</v>
      </c>
      <c r="I282" s="2" t="s">
        <v>1676</v>
      </c>
      <c r="K282" s="2" t="s">
        <v>1677</v>
      </c>
      <c r="L282" s="2" t="s">
        <v>86</v>
      </c>
      <c r="M282" s="2">
        <v>98011.0</v>
      </c>
      <c r="N282" s="2" t="s">
        <v>21</v>
      </c>
    </row>
    <row r="283" ht="15.75" customHeight="1">
      <c r="A283" s="2">
        <v>2013.0</v>
      </c>
      <c r="B283" s="2" t="s">
        <v>1680</v>
      </c>
      <c r="C283" s="2" t="s">
        <v>1681</v>
      </c>
      <c r="D283" s="2" t="str">
        <f>"770.591.8172"</f>
        <v>770.591.8172</v>
      </c>
      <c r="E283" s="2" t="s">
        <v>1682</v>
      </c>
      <c r="F283" s="2" t="s">
        <v>1054</v>
      </c>
      <c r="G283" s="2" t="str">
        <f>"SR-626"</f>
        <v>SR-626</v>
      </c>
      <c r="H283" s="2" t="s">
        <v>1683</v>
      </c>
      <c r="I283" s="2" t="s">
        <v>1684</v>
      </c>
      <c r="K283" s="2" t="s">
        <v>1685</v>
      </c>
      <c r="L283" s="2" t="s">
        <v>200</v>
      </c>
      <c r="M283" s="2">
        <v>30189.0</v>
      </c>
      <c r="N283" s="2" t="s">
        <v>21</v>
      </c>
    </row>
    <row r="284" ht="15.75" customHeight="1">
      <c r="A284" s="2">
        <v>2013.0</v>
      </c>
      <c r="B284" s="2" t="s">
        <v>1686</v>
      </c>
      <c r="C284" s="2" t="s">
        <v>1687</v>
      </c>
      <c r="D284" s="2" t="str">
        <f t="shared" ref="D284:D285" si="6">"770-456-7626"</f>
        <v>770-456-7626</v>
      </c>
      <c r="E284" s="2" t="s">
        <v>1688</v>
      </c>
      <c r="F284" s="2" t="s">
        <v>1689</v>
      </c>
      <c r="G284" s="2" t="str">
        <f>"SR-631"</f>
        <v>SR-631</v>
      </c>
      <c r="H284" s="2" t="s">
        <v>1690</v>
      </c>
      <c r="I284" s="2" t="s">
        <v>1691</v>
      </c>
      <c r="K284" s="2" t="s">
        <v>1692</v>
      </c>
      <c r="L284" s="2" t="s">
        <v>200</v>
      </c>
      <c r="M284" s="2">
        <v>30180.0</v>
      </c>
      <c r="N284" s="2" t="s">
        <v>21</v>
      </c>
    </row>
    <row r="285" ht="15.75" customHeight="1">
      <c r="A285" s="2">
        <v>2013.0</v>
      </c>
      <c r="B285" s="2" t="s">
        <v>1686</v>
      </c>
      <c r="C285" s="2" t="s">
        <v>1693</v>
      </c>
      <c r="D285" s="2" t="str">
        <f t="shared" si="6"/>
        <v>770-456-7626</v>
      </c>
      <c r="E285" s="2" t="s">
        <v>1694</v>
      </c>
      <c r="F285" s="2" t="s">
        <v>1689</v>
      </c>
      <c r="G285" s="2" t="str">
        <f>"SR-632"</f>
        <v>SR-632</v>
      </c>
      <c r="H285" s="2" t="s">
        <v>1695</v>
      </c>
      <c r="I285" s="2" t="s">
        <v>1691</v>
      </c>
      <c r="K285" s="2" t="s">
        <v>1692</v>
      </c>
      <c r="L285" s="2" t="s">
        <v>200</v>
      </c>
      <c r="M285" s="2">
        <v>30180.0</v>
      </c>
      <c r="N285" s="2" t="s">
        <v>21</v>
      </c>
    </row>
    <row r="286" ht="15.75" customHeight="1">
      <c r="A286" s="2">
        <v>2013.0</v>
      </c>
      <c r="B286" s="2" t="s">
        <v>1696</v>
      </c>
      <c r="D286" s="2" t="str">
        <f>"7192019938"</f>
        <v>7192019938</v>
      </c>
      <c r="E286" s="2" t="s">
        <v>1697</v>
      </c>
      <c r="F286" s="2" t="s">
        <v>1698</v>
      </c>
      <c r="G286" s="2" t="str">
        <f>"SR-634"</f>
        <v>SR-634</v>
      </c>
      <c r="H286" s="2" t="s">
        <v>1699</v>
      </c>
      <c r="I286" s="2" t="s">
        <v>1700</v>
      </c>
      <c r="K286" s="2" t="s">
        <v>809</v>
      </c>
      <c r="L286" s="2" t="s">
        <v>157</v>
      </c>
      <c r="M286" s="2">
        <v>80915.0</v>
      </c>
      <c r="N286" s="2" t="s">
        <v>21</v>
      </c>
    </row>
    <row r="287" ht="15.75" customHeight="1">
      <c r="A287" s="2">
        <v>2013.0</v>
      </c>
      <c r="B287" s="2" t="s">
        <v>1701</v>
      </c>
      <c r="C287" s="2" t="s">
        <v>1701</v>
      </c>
      <c r="D287" s="2" t="str">
        <f>"906 828-3175"</f>
        <v>906 828-3175</v>
      </c>
      <c r="E287" s="2" t="s">
        <v>1702</v>
      </c>
      <c r="F287" s="2" t="s">
        <v>1703</v>
      </c>
      <c r="G287" s="2" t="str">
        <f>"SR-568"</f>
        <v>SR-568</v>
      </c>
      <c r="H287" s="2" t="s">
        <v>1704</v>
      </c>
      <c r="I287" s="2" t="s">
        <v>1705</v>
      </c>
      <c r="K287" s="2" t="s">
        <v>1706</v>
      </c>
      <c r="L287" s="2" t="s">
        <v>29</v>
      </c>
      <c r="M287" s="2">
        <v>49870.0</v>
      </c>
      <c r="N287" s="2" t="s">
        <v>21</v>
      </c>
    </row>
    <row r="288" ht="15.75" customHeight="1">
      <c r="A288" s="2">
        <v>2013.0</v>
      </c>
      <c r="B288" s="2" t="s">
        <v>1707</v>
      </c>
      <c r="C288" s="2" t="s">
        <v>1707</v>
      </c>
      <c r="D288" s="2" t="str">
        <f>"970-389-2415"</f>
        <v>970-389-2415</v>
      </c>
      <c r="E288" s="2" t="s">
        <v>1263</v>
      </c>
      <c r="F288" s="2" t="s">
        <v>1708</v>
      </c>
      <c r="G288" s="2" t="str">
        <f>"SR-637"</f>
        <v>SR-637</v>
      </c>
      <c r="H288" s="2" t="s">
        <v>1709</v>
      </c>
      <c r="I288" s="2" t="s">
        <v>1710</v>
      </c>
      <c r="K288" s="2" t="s">
        <v>1711</v>
      </c>
      <c r="L288" s="2" t="s">
        <v>157</v>
      </c>
      <c r="M288" s="2">
        <v>80424.0</v>
      </c>
      <c r="N288" s="2" t="s">
        <v>21</v>
      </c>
    </row>
    <row r="289" ht="15.75" customHeight="1">
      <c r="A289" s="2">
        <v>2013.0</v>
      </c>
      <c r="B289" s="2" t="s">
        <v>1712</v>
      </c>
      <c r="C289" s="2" t="s">
        <v>1712</v>
      </c>
      <c r="D289" s="2" t="str">
        <f>"469-563-8509"</f>
        <v>469-563-8509</v>
      </c>
      <c r="E289" s="2" t="s">
        <v>301</v>
      </c>
      <c r="F289" s="2" t="s">
        <v>1713</v>
      </c>
      <c r="G289" s="2" t="str">
        <f>"SR-638"</f>
        <v>SR-638</v>
      </c>
      <c r="H289" s="2" t="s">
        <v>1714</v>
      </c>
      <c r="I289" s="2" t="s">
        <v>1715</v>
      </c>
      <c r="J289" s="2" t="s">
        <v>1715</v>
      </c>
      <c r="K289" s="2" t="s">
        <v>1255</v>
      </c>
      <c r="L289" s="2" t="s">
        <v>172</v>
      </c>
      <c r="M289" s="2">
        <v>75230.0</v>
      </c>
      <c r="N289" s="2" t="s">
        <v>21</v>
      </c>
    </row>
    <row r="290" ht="15.75" customHeight="1">
      <c r="A290" s="2">
        <v>2013.0</v>
      </c>
      <c r="B290" s="2" t="s">
        <v>1716</v>
      </c>
      <c r="C290" s="2" t="s">
        <v>1717</v>
      </c>
      <c r="D290" s="2" t="str">
        <f>"6018546742"</f>
        <v>6018546742</v>
      </c>
      <c r="E290" s="2" t="s">
        <v>124</v>
      </c>
      <c r="F290" s="2" t="s">
        <v>1718</v>
      </c>
      <c r="G290" s="2" t="str">
        <f>"SR-458"</f>
        <v>SR-458</v>
      </c>
      <c r="H290" s="2" t="s">
        <v>1719</v>
      </c>
      <c r="I290" s="2" t="s">
        <v>1720</v>
      </c>
      <c r="K290" s="2" t="s">
        <v>1721</v>
      </c>
      <c r="L290" s="2" t="s">
        <v>1722</v>
      </c>
      <c r="M290" s="2">
        <v>39145.0</v>
      </c>
      <c r="N290" s="2" t="s">
        <v>21</v>
      </c>
    </row>
    <row r="291" ht="15.75" customHeight="1">
      <c r="A291" s="2">
        <v>2013.0</v>
      </c>
      <c r="B291" s="2" t="s">
        <v>1723</v>
      </c>
      <c r="C291" s="2" t="s">
        <v>1724</v>
      </c>
      <c r="D291" s="2" t="str">
        <f>"907-622-8827"</f>
        <v>907-622-8827</v>
      </c>
      <c r="E291" s="2" t="s">
        <v>1725</v>
      </c>
      <c r="F291" s="2" t="s">
        <v>1726</v>
      </c>
      <c r="G291" s="2" t="str">
        <f>"SR-135"</f>
        <v>SR-135</v>
      </c>
      <c r="H291" s="2" t="s">
        <v>1727</v>
      </c>
      <c r="I291" s="2" t="s">
        <v>1728</v>
      </c>
      <c r="K291" s="2" t="s">
        <v>1729</v>
      </c>
      <c r="L291" s="2" t="s">
        <v>70</v>
      </c>
      <c r="M291" s="2">
        <v>99577.0</v>
      </c>
      <c r="N291" s="2" t="s">
        <v>21</v>
      </c>
    </row>
    <row r="292" ht="15.75" customHeight="1">
      <c r="A292" s="2">
        <v>2013.0</v>
      </c>
      <c r="B292" s="2" t="s">
        <v>1730</v>
      </c>
      <c r="C292" s="2" t="s">
        <v>1731</v>
      </c>
      <c r="D292" s="2" t="str">
        <f>"405-216-8884"</f>
        <v>405-216-8884</v>
      </c>
      <c r="E292" s="2" t="s">
        <v>1732</v>
      </c>
      <c r="F292" s="2" t="s">
        <v>1733</v>
      </c>
      <c r="G292" s="2" t="str">
        <f>"SR-423"</f>
        <v>SR-423</v>
      </c>
      <c r="H292" s="2" t="s">
        <v>1734</v>
      </c>
      <c r="I292" s="2" t="s">
        <v>1735</v>
      </c>
      <c r="K292" s="2" t="s">
        <v>1546</v>
      </c>
      <c r="L292" s="2" t="s">
        <v>840</v>
      </c>
      <c r="M292" s="2">
        <v>73013.0</v>
      </c>
      <c r="N292" s="2" t="s">
        <v>21</v>
      </c>
    </row>
    <row r="293" ht="15.75" customHeight="1">
      <c r="A293" s="2">
        <v>2013.0</v>
      </c>
      <c r="B293" s="2" t="s">
        <v>1736</v>
      </c>
      <c r="C293" s="2" t="s">
        <v>1737</v>
      </c>
      <c r="D293" s="2" t="str">
        <f>"9528954091"</f>
        <v>9528954091</v>
      </c>
      <c r="E293" s="2" t="s">
        <v>1738</v>
      </c>
      <c r="F293" s="2" t="s">
        <v>1739</v>
      </c>
      <c r="G293" s="2" t="str">
        <f>"SR-623"</f>
        <v>SR-623</v>
      </c>
      <c r="H293" s="2" t="s">
        <v>1740</v>
      </c>
      <c r="I293" s="2" t="s">
        <v>1741</v>
      </c>
      <c r="K293" s="2" t="s">
        <v>1742</v>
      </c>
      <c r="L293" s="2" t="s">
        <v>62</v>
      </c>
      <c r="M293" s="2">
        <v>55337.0</v>
      </c>
      <c r="N293" s="2" t="s">
        <v>21</v>
      </c>
    </row>
    <row r="294" ht="15.75" customHeight="1">
      <c r="A294" s="2">
        <v>2013.0</v>
      </c>
      <c r="B294" s="2" t="s">
        <v>1730</v>
      </c>
      <c r="C294" s="2" t="s">
        <v>1743</v>
      </c>
      <c r="D294" s="2" t="str">
        <f>"405-216-8884"</f>
        <v>405-216-8884</v>
      </c>
      <c r="E294" s="2" t="s">
        <v>1744</v>
      </c>
      <c r="F294" s="2" t="s">
        <v>1733</v>
      </c>
      <c r="G294" s="2" t="str">
        <f>"SR-422"</f>
        <v>SR-422</v>
      </c>
      <c r="H294" s="2" t="s">
        <v>1745</v>
      </c>
      <c r="I294" s="2" t="s">
        <v>1735</v>
      </c>
      <c r="K294" s="2" t="s">
        <v>1546</v>
      </c>
      <c r="L294" s="2" t="s">
        <v>840</v>
      </c>
      <c r="M294" s="2">
        <v>73013.0</v>
      </c>
      <c r="N294" s="2" t="s">
        <v>21</v>
      </c>
    </row>
    <row r="295" ht="15.75" customHeight="1">
      <c r="A295" s="2">
        <v>2013.0</v>
      </c>
      <c r="B295" s="2" t="s">
        <v>1746</v>
      </c>
      <c r="D295" s="2" t="str">
        <f>""</f>
        <v/>
      </c>
      <c r="E295" s="2" t="s">
        <v>261</v>
      </c>
      <c r="F295" s="2" t="s">
        <v>1747</v>
      </c>
      <c r="G295" s="2" t="str">
        <f>"SR-354"</f>
        <v>SR-354</v>
      </c>
      <c r="H295" s="2" t="s">
        <v>1748</v>
      </c>
    </row>
    <row r="296" ht="15.75" customHeight="1">
      <c r="A296" s="2">
        <v>2013.0</v>
      </c>
      <c r="B296" s="2" t="s">
        <v>1749</v>
      </c>
      <c r="C296" s="2" t="s">
        <v>1750</v>
      </c>
      <c r="D296" s="2" t="str">
        <f>"907 622-0335"</f>
        <v>907 622-0335</v>
      </c>
      <c r="E296" s="2" t="s">
        <v>1751</v>
      </c>
      <c r="F296" s="2" t="s">
        <v>1752</v>
      </c>
      <c r="G296" s="2" t="str">
        <f>"SR-646"</f>
        <v>SR-646</v>
      </c>
      <c r="H296" s="2" t="s">
        <v>1753</v>
      </c>
      <c r="I296" s="2" t="s">
        <v>1754</v>
      </c>
      <c r="K296" s="2" t="s">
        <v>1729</v>
      </c>
      <c r="L296" s="2" t="s">
        <v>70</v>
      </c>
      <c r="M296" s="2">
        <v>99577.0</v>
      </c>
      <c r="N296" s="2" t="s">
        <v>21</v>
      </c>
    </row>
    <row r="297" ht="15.75" customHeight="1">
      <c r="A297" s="2">
        <v>2013.0</v>
      </c>
      <c r="B297" s="2" t="s">
        <v>1755</v>
      </c>
      <c r="D297" s="2" t="str">
        <f>"5017738860"</f>
        <v>5017738860</v>
      </c>
      <c r="E297" s="2" t="s">
        <v>485</v>
      </c>
      <c r="F297" s="2" t="s">
        <v>1756</v>
      </c>
      <c r="G297" s="2" t="str">
        <f>"SR-321"</f>
        <v>SR-321</v>
      </c>
      <c r="H297" s="2" t="s">
        <v>1757</v>
      </c>
      <c r="I297" s="2" t="s">
        <v>1758</v>
      </c>
      <c r="K297" s="2" t="s">
        <v>1759</v>
      </c>
      <c r="L297" s="2" t="s">
        <v>1012</v>
      </c>
      <c r="M297" s="2">
        <v>72212.0</v>
      </c>
      <c r="N297" s="2" t="s">
        <v>21</v>
      </c>
    </row>
    <row r="298" ht="15.75" customHeight="1">
      <c r="A298" s="2">
        <v>2013.0</v>
      </c>
      <c r="B298" s="2" t="s">
        <v>1760</v>
      </c>
      <c r="D298" s="2" t="str">
        <f>"6122096548"</f>
        <v>6122096548</v>
      </c>
      <c r="E298" s="2" t="s">
        <v>1761</v>
      </c>
      <c r="F298" s="2" t="s">
        <v>1762</v>
      </c>
      <c r="G298" s="2" t="str">
        <f>"SR-648"</f>
        <v>SR-648</v>
      </c>
      <c r="H298" s="2" t="s">
        <v>1763</v>
      </c>
      <c r="I298" s="2" t="s">
        <v>1764</v>
      </c>
      <c r="K298" s="2" t="s">
        <v>1765</v>
      </c>
      <c r="L298" s="2" t="s">
        <v>62</v>
      </c>
      <c r="M298" s="2">
        <v>55378.0</v>
      </c>
      <c r="N298" s="2" t="s">
        <v>21</v>
      </c>
    </row>
    <row r="299" ht="15.75" customHeight="1">
      <c r="A299" s="2">
        <v>2013.0</v>
      </c>
      <c r="B299" s="2" t="s">
        <v>1766</v>
      </c>
      <c r="D299" s="2" t="str">
        <f>"3523158636"</f>
        <v>3523158636</v>
      </c>
      <c r="E299" s="2" t="s">
        <v>1767</v>
      </c>
      <c r="F299" s="2" t="s">
        <v>1768</v>
      </c>
      <c r="G299" s="2" t="str">
        <f>"SR-615"</f>
        <v>SR-615</v>
      </c>
      <c r="H299" s="2" t="s">
        <v>1769</v>
      </c>
      <c r="I299" s="2" t="s">
        <v>1770</v>
      </c>
      <c r="K299" s="2" t="s">
        <v>1771</v>
      </c>
      <c r="L299" s="2" t="s">
        <v>208</v>
      </c>
      <c r="M299" s="2">
        <v>34731.0</v>
      </c>
      <c r="N299" s="2" t="s">
        <v>21</v>
      </c>
    </row>
    <row r="300" ht="15.75" customHeight="1">
      <c r="A300" s="2">
        <v>2013.0</v>
      </c>
      <c r="B300" s="2" t="s">
        <v>1772</v>
      </c>
      <c r="D300" s="2" t="str">
        <f>"9207635153"</f>
        <v>9207635153</v>
      </c>
      <c r="E300" s="2" t="s">
        <v>922</v>
      </c>
      <c r="F300" s="2" t="s">
        <v>1773</v>
      </c>
      <c r="G300" s="2" t="str">
        <f>"SR-528"</f>
        <v>SR-528</v>
      </c>
      <c r="H300" s="2" t="s">
        <v>1774</v>
      </c>
      <c r="I300" s="2" t="s">
        <v>1775</v>
      </c>
      <c r="K300" s="2" t="s">
        <v>1776</v>
      </c>
      <c r="L300" s="2" t="s">
        <v>193</v>
      </c>
      <c r="M300" s="2">
        <v>53963.0</v>
      </c>
      <c r="N300" s="2" t="s">
        <v>21</v>
      </c>
    </row>
    <row r="301" ht="15.75" customHeight="1">
      <c r="A301" s="2">
        <v>2013.0</v>
      </c>
      <c r="B301" s="2" t="s">
        <v>1777</v>
      </c>
      <c r="C301" s="2" t="s">
        <v>1777</v>
      </c>
      <c r="D301" s="2" t="str">
        <f>"765-643-2717"</f>
        <v>765-643-2717</v>
      </c>
      <c r="E301" s="2" t="s">
        <v>167</v>
      </c>
      <c r="F301" s="2" t="s">
        <v>1778</v>
      </c>
      <c r="G301" s="2" t="str">
        <f>"SR-402"</f>
        <v>SR-402</v>
      </c>
      <c r="H301" s="2" t="s">
        <v>1779</v>
      </c>
      <c r="I301" s="2" t="s">
        <v>1780</v>
      </c>
      <c r="K301" s="2" t="s">
        <v>984</v>
      </c>
      <c r="L301" s="2" t="s">
        <v>149</v>
      </c>
      <c r="M301" s="2">
        <v>46011.0</v>
      </c>
      <c r="N301" s="2" t="s">
        <v>21</v>
      </c>
    </row>
    <row r="302" ht="15.75" customHeight="1">
      <c r="A302" s="2">
        <v>2013.0</v>
      </c>
      <c r="B302" s="2" t="s">
        <v>1781</v>
      </c>
      <c r="C302" s="2" t="s">
        <v>1781</v>
      </c>
      <c r="D302" s="2" t="str">
        <f>"719-380-7712"</f>
        <v>719-380-7712</v>
      </c>
      <c r="E302" s="2" t="s">
        <v>1782</v>
      </c>
      <c r="F302" s="2" t="s">
        <v>1783</v>
      </c>
      <c r="G302" s="2" t="str">
        <f>"SR-590"</f>
        <v>SR-590</v>
      </c>
      <c r="H302" s="2" t="s">
        <v>1784</v>
      </c>
      <c r="I302" s="2" t="s">
        <v>1785</v>
      </c>
      <c r="K302" s="2" t="s">
        <v>809</v>
      </c>
      <c r="L302" s="2" t="s">
        <v>157</v>
      </c>
      <c r="M302" s="2">
        <v>80915.0</v>
      </c>
      <c r="N302" s="2" t="s">
        <v>21</v>
      </c>
    </row>
    <row r="303" ht="15.75" customHeight="1">
      <c r="A303" s="2">
        <v>2013.0</v>
      </c>
      <c r="B303" s="2" t="s">
        <v>1786</v>
      </c>
      <c r="C303" s="2" t="s">
        <v>1787</v>
      </c>
      <c r="D303" s="2" t="str">
        <f>"608 676 6082"</f>
        <v>608 676 6082</v>
      </c>
      <c r="E303" s="2" t="s">
        <v>678</v>
      </c>
      <c r="F303" s="2" t="s">
        <v>1788</v>
      </c>
      <c r="G303" s="2" t="str">
        <f>"SR-658"</f>
        <v>SR-658</v>
      </c>
      <c r="H303" s="2" t="s">
        <v>1789</v>
      </c>
      <c r="I303" s="2" t="s">
        <v>1790</v>
      </c>
      <c r="K303" s="2" t="s">
        <v>1791</v>
      </c>
      <c r="L303" s="2" t="s">
        <v>193</v>
      </c>
      <c r="M303" s="2">
        <v>53525.0</v>
      </c>
      <c r="N303" s="2" t="s">
        <v>21</v>
      </c>
    </row>
    <row r="304" ht="15.75" customHeight="1">
      <c r="A304" s="2">
        <v>2013.0</v>
      </c>
      <c r="B304" s="2" t="s">
        <v>1792</v>
      </c>
      <c r="C304" s="2" t="s">
        <v>1792</v>
      </c>
      <c r="D304" s="2" t="str">
        <f>"(985) 237-8321"</f>
        <v>(985) 237-8321</v>
      </c>
      <c r="E304" s="2" t="s">
        <v>385</v>
      </c>
      <c r="F304" s="2" t="s">
        <v>1793</v>
      </c>
      <c r="G304" s="2" t="str">
        <f>"SR-659"</f>
        <v>SR-659</v>
      </c>
      <c r="H304" s="2" t="s">
        <v>1794</v>
      </c>
      <c r="I304" s="2" t="s">
        <v>1795</v>
      </c>
      <c r="K304" s="2" t="s">
        <v>1796</v>
      </c>
      <c r="L304" s="2" t="s">
        <v>715</v>
      </c>
      <c r="M304" s="2">
        <v>70471.0</v>
      </c>
      <c r="N304" s="2" t="s">
        <v>21</v>
      </c>
    </row>
    <row r="305" ht="15.75" customHeight="1">
      <c r="A305" s="2">
        <v>2013.0</v>
      </c>
      <c r="B305" s="2" t="s">
        <v>1797</v>
      </c>
      <c r="C305" s="2" t="s">
        <v>1798</v>
      </c>
      <c r="D305" s="2" t="str">
        <f>"859 361-8688"</f>
        <v>859 361-8688</v>
      </c>
      <c r="E305" s="2" t="s">
        <v>1799</v>
      </c>
      <c r="F305" s="2" t="s">
        <v>538</v>
      </c>
      <c r="G305" s="2" t="str">
        <f>"SR-370"</f>
        <v>SR-370</v>
      </c>
      <c r="H305" s="2" t="s">
        <v>1800</v>
      </c>
      <c r="I305" s="2" t="s">
        <v>1801</v>
      </c>
      <c r="K305" s="2" t="s">
        <v>254</v>
      </c>
      <c r="L305" s="2" t="s">
        <v>1236</v>
      </c>
      <c r="M305" s="2">
        <v>40504.0</v>
      </c>
      <c r="N305" s="2" t="s">
        <v>21</v>
      </c>
    </row>
    <row r="306" ht="15.75" customHeight="1">
      <c r="A306" s="2">
        <v>2013.0</v>
      </c>
      <c r="B306" s="2" t="s">
        <v>1802</v>
      </c>
      <c r="C306" s="2" t="s">
        <v>1802</v>
      </c>
      <c r="D306" s="2" t="str">
        <f>"785-587-0291"</f>
        <v>785-587-0291</v>
      </c>
      <c r="E306" s="2" t="s">
        <v>1803</v>
      </c>
      <c r="F306" s="2" t="s">
        <v>1804</v>
      </c>
      <c r="G306" s="2" t="str">
        <f>"SR-594"</f>
        <v>SR-594</v>
      </c>
      <c r="H306" s="2" t="s">
        <v>1805</v>
      </c>
      <c r="I306" s="2" t="s">
        <v>1806</v>
      </c>
      <c r="K306" s="2" t="s">
        <v>1807</v>
      </c>
      <c r="L306" s="2" t="s">
        <v>272</v>
      </c>
      <c r="M306" s="2">
        <v>66503.0</v>
      </c>
      <c r="N306" s="2" t="s">
        <v>21</v>
      </c>
    </row>
    <row r="307" ht="15.75" customHeight="1">
      <c r="A307" s="2">
        <v>2013.0</v>
      </c>
      <c r="B307" s="2" t="s">
        <v>1808</v>
      </c>
      <c r="C307" s="2" t="s">
        <v>1809</v>
      </c>
      <c r="D307" s="2" t="str">
        <f>"816-943-8116"</f>
        <v>816-943-8116</v>
      </c>
      <c r="E307" s="2" t="s">
        <v>1810</v>
      </c>
      <c r="F307" s="2" t="s">
        <v>1811</v>
      </c>
      <c r="G307" s="2" t="str">
        <f>"SR-442"</f>
        <v>SR-442</v>
      </c>
      <c r="H307" s="2" t="s">
        <v>1812</v>
      </c>
      <c r="I307" s="2" t="s">
        <v>1813</v>
      </c>
      <c r="K307" s="2" t="s">
        <v>1814</v>
      </c>
      <c r="L307" s="2" t="s">
        <v>214</v>
      </c>
      <c r="M307" s="2">
        <v>64146.0</v>
      </c>
      <c r="N307" s="2" t="s">
        <v>21</v>
      </c>
    </row>
    <row r="308" ht="15.75" customHeight="1">
      <c r="A308" s="2">
        <v>2013.0</v>
      </c>
      <c r="B308" s="2" t="s">
        <v>1815</v>
      </c>
      <c r="C308" s="2" t="s">
        <v>1816</v>
      </c>
      <c r="D308" s="2" t="str">
        <f>"209-223-9642"</f>
        <v>209-223-9642</v>
      </c>
      <c r="E308" s="2" t="s">
        <v>339</v>
      </c>
      <c r="F308" s="2" t="s">
        <v>1817</v>
      </c>
      <c r="G308" s="2" t="str">
        <f>"SR-660"</f>
        <v>SR-660</v>
      </c>
      <c r="H308" s="2" t="s">
        <v>1818</v>
      </c>
      <c r="I308" s="2" t="s">
        <v>1819</v>
      </c>
      <c r="K308" s="2" t="s">
        <v>1257</v>
      </c>
      <c r="L308" s="2" t="s">
        <v>222</v>
      </c>
      <c r="M308" s="2">
        <v>95642.0</v>
      </c>
      <c r="N308" s="2" t="s">
        <v>21</v>
      </c>
    </row>
    <row r="309" ht="15.75" customHeight="1">
      <c r="A309" s="2">
        <v>2013.0</v>
      </c>
      <c r="B309" s="2" t="s">
        <v>1820</v>
      </c>
      <c r="C309" s="2" t="s">
        <v>1820</v>
      </c>
      <c r="D309" s="2" t="str">
        <f>"6124813703"</f>
        <v>6124813703</v>
      </c>
      <c r="E309" s="2" t="s">
        <v>1821</v>
      </c>
      <c r="F309" s="2" t="s">
        <v>1822</v>
      </c>
      <c r="G309" s="2" t="str">
        <f>"SR-619"</f>
        <v>SR-619</v>
      </c>
      <c r="H309" s="2" t="s">
        <v>1823</v>
      </c>
      <c r="I309" s="2" t="s">
        <v>1824</v>
      </c>
      <c r="K309" s="2" t="s">
        <v>1825</v>
      </c>
      <c r="L309" s="2" t="s">
        <v>62</v>
      </c>
      <c r="M309" s="2">
        <v>55372.0</v>
      </c>
      <c r="N309" s="2" t="s">
        <v>21</v>
      </c>
    </row>
    <row r="310" ht="15.75" customHeight="1">
      <c r="A310" s="2">
        <v>2013.0</v>
      </c>
      <c r="B310" s="2" t="s">
        <v>1826</v>
      </c>
      <c r="C310" s="2" t="s">
        <v>1826</v>
      </c>
      <c r="D310" s="2" t="str">
        <f>"7274187955"</f>
        <v>7274187955</v>
      </c>
      <c r="E310" s="2" t="s">
        <v>132</v>
      </c>
      <c r="F310" s="2" t="s">
        <v>1827</v>
      </c>
      <c r="G310" s="2" t="str">
        <f>"SR-390"</f>
        <v>SR-390</v>
      </c>
      <c r="H310" s="2" t="s">
        <v>1828</v>
      </c>
      <c r="I310" s="2" t="s">
        <v>1829</v>
      </c>
      <c r="K310" s="2" t="s">
        <v>414</v>
      </c>
      <c r="L310" s="2" t="s">
        <v>208</v>
      </c>
      <c r="M310" s="2">
        <v>33773.0</v>
      </c>
      <c r="N310" s="2" t="s">
        <v>21</v>
      </c>
    </row>
    <row r="311" ht="15.75" customHeight="1">
      <c r="A311" s="2">
        <v>2013.0</v>
      </c>
      <c r="B311" s="2" t="s">
        <v>1830</v>
      </c>
      <c r="C311" s="2" t="s">
        <v>1830</v>
      </c>
      <c r="D311" s="2" t="str">
        <f>"920-933-3844"</f>
        <v>920-933-3844</v>
      </c>
      <c r="E311" s="2" t="s">
        <v>1831</v>
      </c>
      <c r="F311" s="2" t="s">
        <v>1832</v>
      </c>
      <c r="G311" s="2" t="str">
        <f>"SR-663"</f>
        <v>SR-663</v>
      </c>
      <c r="H311" s="2" t="s">
        <v>1833</v>
      </c>
      <c r="I311" s="2" t="s">
        <v>1834</v>
      </c>
      <c r="K311" s="2" t="s">
        <v>192</v>
      </c>
      <c r="L311" s="2" t="s">
        <v>193</v>
      </c>
      <c r="M311" s="2">
        <v>54937.0</v>
      </c>
      <c r="N311" s="2" t="s">
        <v>21</v>
      </c>
    </row>
    <row r="312" ht="15.75" customHeight="1">
      <c r="A312" s="2">
        <v>2013.0</v>
      </c>
      <c r="B312" s="2" t="s">
        <v>1835</v>
      </c>
      <c r="C312" s="2" t="s">
        <v>1836</v>
      </c>
      <c r="D312" s="2" t="str">
        <f>"660-956-0109"</f>
        <v>660-956-0109</v>
      </c>
      <c r="E312" s="2" t="s">
        <v>137</v>
      </c>
      <c r="F312" s="2" t="s">
        <v>1151</v>
      </c>
      <c r="G312" s="2" t="str">
        <f>"SR-664"</f>
        <v>SR-664</v>
      </c>
      <c r="H312" s="2" t="s">
        <v>1837</v>
      </c>
      <c r="I312" s="2" t="s">
        <v>1838</v>
      </c>
      <c r="K312" s="2" t="s">
        <v>1839</v>
      </c>
      <c r="L312" s="2" t="s">
        <v>214</v>
      </c>
      <c r="M312" s="2">
        <v>65046.0</v>
      </c>
      <c r="N312" s="2" t="s">
        <v>21</v>
      </c>
    </row>
    <row r="313" ht="15.75" customHeight="1">
      <c r="A313" s="2">
        <v>2013.0</v>
      </c>
      <c r="B313" s="2" t="s">
        <v>1840</v>
      </c>
      <c r="C313" s="2" t="s">
        <v>1841</v>
      </c>
      <c r="D313" s="2" t="str">
        <f>"409-767-6289"</f>
        <v>409-767-6289</v>
      </c>
      <c r="E313" s="2" t="s">
        <v>1842</v>
      </c>
      <c r="F313" s="2" t="s">
        <v>1843</v>
      </c>
      <c r="G313" s="2" t="str">
        <f>"SR-668"</f>
        <v>SR-668</v>
      </c>
      <c r="H313" s="2" t="s">
        <v>1844</v>
      </c>
      <c r="I313" s="2" t="s">
        <v>1845</v>
      </c>
      <c r="K313" s="2" t="s">
        <v>1846</v>
      </c>
      <c r="L313" s="2" t="s">
        <v>208</v>
      </c>
      <c r="M313" s="2">
        <v>33544.0</v>
      </c>
      <c r="N313" s="2" t="s">
        <v>21</v>
      </c>
    </row>
    <row r="314" ht="15.75" customHeight="1">
      <c r="A314" s="2">
        <v>2013.0</v>
      </c>
      <c r="B314" s="2" t="s">
        <v>1847</v>
      </c>
      <c r="C314" s="2" t="s">
        <v>1847</v>
      </c>
      <c r="D314" s="2" t="str">
        <f>"952 890-5325"</f>
        <v>952 890-5325</v>
      </c>
      <c r="E314" s="2" t="s">
        <v>1848</v>
      </c>
      <c r="F314" s="2" t="s">
        <v>1849</v>
      </c>
      <c r="G314" s="2" t="str">
        <f>"SR-665"</f>
        <v>SR-665</v>
      </c>
      <c r="H314" s="2" t="s">
        <v>1850</v>
      </c>
      <c r="I314" s="2" t="s">
        <v>1851</v>
      </c>
      <c r="K314" s="2" t="s">
        <v>1765</v>
      </c>
      <c r="L314" s="2" t="s">
        <v>62</v>
      </c>
      <c r="M314" s="2">
        <v>55378.0</v>
      </c>
      <c r="N314" s="2" t="s">
        <v>21</v>
      </c>
    </row>
    <row r="315" ht="15.75" customHeight="1">
      <c r="A315" s="2">
        <v>2013.0</v>
      </c>
      <c r="B315" s="2" t="s">
        <v>1852</v>
      </c>
      <c r="C315" s="2" t="s">
        <v>1853</v>
      </c>
      <c r="D315" s="2" t="str">
        <f>"(719) 487-9061"</f>
        <v>(719) 487-9061</v>
      </c>
      <c r="E315" s="2" t="s">
        <v>1854</v>
      </c>
      <c r="F315" s="2" t="s">
        <v>245</v>
      </c>
      <c r="G315" s="2" t="str">
        <f>"SR-672"</f>
        <v>SR-672</v>
      </c>
      <c r="H315" s="2" t="s">
        <v>1855</v>
      </c>
      <c r="I315" s="2" t="s">
        <v>1856</v>
      </c>
      <c r="K315" s="2" t="s">
        <v>507</v>
      </c>
      <c r="L315" s="2" t="s">
        <v>157</v>
      </c>
      <c r="M315" s="2">
        <v>80132.0</v>
      </c>
      <c r="N315" s="2" t="s">
        <v>21</v>
      </c>
    </row>
    <row r="316" ht="15.75" customHeight="1">
      <c r="A316" s="2">
        <v>2013.0</v>
      </c>
      <c r="B316" s="2" t="s">
        <v>1857</v>
      </c>
      <c r="C316" s="2" t="s">
        <v>1858</v>
      </c>
      <c r="D316" s="2" t="str">
        <f>"719-302-5742"</f>
        <v>719-302-5742</v>
      </c>
      <c r="E316" s="2" t="s">
        <v>1782</v>
      </c>
      <c r="F316" s="2" t="s">
        <v>1859</v>
      </c>
      <c r="G316" s="2" t="str">
        <f>"SR-412"</f>
        <v>SR-412</v>
      </c>
      <c r="H316" s="2" t="s">
        <v>1860</v>
      </c>
      <c r="I316" s="2" t="s">
        <v>1861</v>
      </c>
      <c r="K316" s="2" t="s">
        <v>1862</v>
      </c>
      <c r="L316" s="2" t="s">
        <v>157</v>
      </c>
      <c r="M316" s="2">
        <v>80906.0</v>
      </c>
      <c r="N316" s="2" t="s">
        <v>21</v>
      </c>
    </row>
    <row r="317" ht="15.75" customHeight="1">
      <c r="A317" s="2">
        <v>2013.0</v>
      </c>
      <c r="B317" s="2" t="s">
        <v>1863</v>
      </c>
      <c r="C317" s="2" t="s">
        <v>1863</v>
      </c>
      <c r="D317" s="2" t="str">
        <f>"301-595-4394"</f>
        <v>301-595-4394</v>
      </c>
      <c r="E317" s="2" t="s">
        <v>590</v>
      </c>
      <c r="F317" s="2" t="s">
        <v>1864</v>
      </c>
      <c r="G317" s="2" t="str">
        <f>"SR-519"</f>
        <v>SR-519</v>
      </c>
      <c r="H317" s="2" t="s">
        <v>1865</v>
      </c>
      <c r="I317" s="2" t="s">
        <v>1866</v>
      </c>
      <c r="K317" s="2" t="s">
        <v>1867</v>
      </c>
      <c r="L317" s="2" t="s">
        <v>1868</v>
      </c>
      <c r="M317" s="2">
        <v>20705.0</v>
      </c>
      <c r="N317" s="2" t="s">
        <v>21</v>
      </c>
    </row>
    <row r="318" ht="15.75" customHeight="1">
      <c r="A318" s="2">
        <v>2013.0</v>
      </c>
      <c r="B318" s="2" t="s">
        <v>1869</v>
      </c>
      <c r="C318" s="2" t="s">
        <v>1869</v>
      </c>
      <c r="D318" s="2" t="str">
        <f>"(402) 723-4694"</f>
        <v>(402) 723-4694</v>
      </c>
      <c r="E318" s="2" t="s">
        <v>1088</v>
      </c>
      <c r="F318" s="2" t="s">
        <v>1870</v>
      </c>
      <c r="G318" s="2" t="str">
        <f>"SR-563"</f>
        <v>SR-563</v>
      </c>
      <c r="H318" s="2" t="s">
        <v>1871</v>
      </c>
      <c r="I318" s="2" t="s">
        <v>1872</v>
      </c>
      <c r="K318" s="2" t="s">
        <v>309</v>
      </c>
      <c r="L318" s="2" t="s">
        <v>757</v>
      </c>
      <c r="M318" s="2">
        <v>68371.0</v>
      </c>
      <c r="N318" s="2" t="s">
        <v>21</v>
      </c>
    </row>
    <row r="319" ht="15.75" customHeight="1">
      <c r="A319" s="2">
        <v>2013.0</v>
      </c>
      <c r="B319" s="2" t="s">
        <v>1873</v>
      </c>
      <c r="C319" s="2" t="s">
        <v>1874</v>
      </c>
      <c r="D319" s="2" t="str">
        <f>"8646089100"</f>
        <v>8646089100</v>
      </c>
      <c r="E319" s="2" t="s">
        <v>590</v>
      </c>
      <c r="F319" s="2" t="s">
        <v>1875</v>
      </c>
      <c r="G319" s="2" t="str">
        <f>"SR-591"</f>
        <v>SR-591</v>
      </c>
      <c r="H319" s="2" t="s">
        <v>1876</v>
      </c>
      <c r="I319" s="2" t="s">
        <v>1877</v>
      </c>
      <c r="K319" s="2" t="s">
        <v>1878</v>
      </c>
      <c r="L319" s="2" t="s">
        <v>55</v>
      </c>
      <c r="M319" s="2">
        <v>29681.0</v>
      </c>
      <c r="N319" s="2" t="s">
        <v>21</v>
      </c>
    </row>
    <row r="320" ht="15.75" customHeight="1">
      <c r="A320" s="2">
        <v>2013.0</v>
      </c>
      <c r="B320" s="2" t="s">
        <v>1879</v>
      </c>
      <c r="D320" s="2" t="str">
        <f>"303-795-9004"</f>
        <v>303-795-9004</v>
      </c>
      <c r="E320" s="2" t="s">
        <v>1880</v>
      </c>
      <c r="F320" s="2" t="s">
        <v>1881</v>
      </c>
      <c r="G320" s="2" t="str">
        <f>"SR-574"</f>
        <v>SR-574</v>
      </c>
      <c r="H320" s="2" t="s">
        <v>1882</v>
      </c>
      <c r="I320" s="2" t="s">
        <v>1883</v>
      </c>
      <c r="K320" s="2" t="s">
        <v>992</v>
      </c>
      <c r="L320" s="2" t="s">
        <v>157</v>
      </c>
      <c r="M320" s="2">
        <v>80122.0</v>
      </c>
      <c r="N320" s="2" t="s">
        <v>21</v>
      </c>
    </row>
    <row r="321" ht="15.75" customHeight="1">
      <c r="A321" s="2">
        <v>2013.0</v>
      </c>
      <c r="B321" s="2" t="s">
        <v>1884</v>
      </c>
      <c r="D321" s="2" t="str">
        <f>"3037381567"</f>
        <v>3037381567</v>
      </c>
      <c r="E321" s="2" t="s">
        <v>1885</v>
      </c>
      <c r="F321" s="2" t="s">
        <v>1886</v>
      </c>
      <c r="G321" s="2" t="str">
        <f>"SR-679"</f>
        <v>SR-679</v>
      </c>
      <c r="H321" s="2" t="s">
        <v>1887</v>
      </c>
      <c r="I321" s="2" t="s">
        <v>1888</v>
      </c>
      <c r="K321" s="2" t="s">
        <v>1889</v>
      </c>
      <c r="L321" s="2" t="s">
        <v>157</v>
      </c>
      <c r="M321" s="2">
        <v>80123.0</v>
      </c>
      <c r="N321" s="2" t="s">
        <v>21</v>
      </c>
    </row>
    <row r="322" ht="15.75" customHeight="1">
      <c r="A322" s="2">
        <v>2013.0</v>
      </c>
      <c r="B322" s="2" t="s">
        <v>1890</v>
      </c>
      <c r="C322" s="2" t="s">
        <v>1890</v>
      </c>
      <c r="D322" s="2" t="str">
        <f>"5804754118"</f>
        <v>5804754118</v>
      </c>
      <c r="E322" s="2" t="s">
        <v>1891</v>
      </c>
      <c r="F322" s="2" t="s">
        <v>1892</v>
      </c>
      <c r="G322" s="2" t="str">
        <f>"SR-539"</f>
        <v>SR-539</v>
      </c>
      <c r="H322" s="2" t="s">
        <v>1893</v>
      </c>
      <c r="I322" s="2" t="s">
        <v>1894</v>
      </c>
      <c r="K322" s="2" t="s">
        <v>1895</v>
      </c>
      <c r="L322" s="2" t="s">
        <v>840</v>
      </c>
      <c r="M322" s="2">
        <v>73717.0</v>
      </c>
      <c r="N322" s="2" t="s">
        <v>21</v>
      </c>
    </row>
    <row r="323" ht="15.75" customHeight="1">
      <c r="A323" s="2">
        <v>2013.0</v>
      </c>
      <c r="B323" s="2" t="s">
        <v>1896</v>
      </c>
      <c r="C323" s="2" t="s">
        <v>1897</v>
      </c>
      <c r="D323" s="2" t="str">
        <f>"6627695111"</f>
        <v>6627695111</v>
      </c>
      <c r="E323" s="2" t="s">
        <v>678</v>
      </c>
      <c r="F323" s="2" t="s">
        <v>1898</v>
      </c>
      <c r="G323" s="2" t="str">
        <f>"SR-246"</f>
        <v>SR-246</v>
      </c>
      <c r="H323" s="2" t="s">
        <v>1899</v>
      </c>
      <c r="I323" s="2" t="s">
        <v>1900</v>
      </c>
      <c r="K323" s="2" t="s">
        <v>1901</v>
      </c>
      <c r="L323" s="2" t="s">
        <v>1722</v>
      </c>
      <c r="M323" s="2">
        <v>39759.0</v>
      </c>
      <c r="N323" s="2" t="s">
        <v>21</v>
      </c>
    </row>
    <row r="324" ht="15.75" customHeight="1">
      <c r="A324" s="2">
        <v>2013.0</v>
      </c>
      <c r="B324" s="2" t="s">
        <v>1902</v>
      </c>
      <c r="C324" s="2" t="s">
        <v>1903</v>
      </c>
      <c r="D324" s="2" t="str">
        <f>"337-463-2848"</f>
        <v>337-463-2848</v>
      </c>
      <c r="E324" s="2" t="s">
        <v>718</v>
      </c>
      <c r="F324" s="2" t="s">
        <v>1904</v>
      </c>
      <c r="G324" s="2" t="str">
        <f>"SR-681"</f>
        <v>SR-681</v>
      </c>
      <c r="H324" s="2" t="s">
        <v>1905</v>
      </c>
      <c r="I324" s="2" t="s">
        <v>1906</v>
      </c>
      <c r="K324" s="2" t="s">
        <v>1907</v>
      </c>
      <c r="L324" s="2" t="s">
        <v>715</v>
      </c>
      <c r="M324" s="2">
        <v>70634.0</v>
      </c>
      <c r="N324" s="2" t="s">
        <v>21</v>
      </c>
    </row>
    <row r="325" ht="15.75" customHeight="1">
      <c r="A325" s="2">
        <v>2013.0</v>
      </c>
      <c r="B325" s="2" t="s">
        <v>1908</v>
      </c>
      <c r="C325" s="2" t="s">
        <v>1908</v>
      </c>
      <c r="D325" s="2" t="str">
        <f>"806-698-6068"</f>
        <v>806-698-6068</v>
      </c>
      <c r="E325" s="2" t="s">
        <v>1803</v>
      </c>
      <c r="F325" s="2" t="s">
        <v>1301</v>
      </c>
      <c r="G325" s="2" t="str">
        <f>"SR-680"</f>
        <v>SR-680</v>
      </c>
      <c r="H325" s="2" t="s">
        <v>1909</v>
      </c>
      <c r="I325" s="2" t="s">
        <v>1910</v>
      </c>
      <c r="K325" s="2" t="s">
        <v>1121</v>
      </c>
      <c r="L325" s="2" t="s">
        <v>172</v>
      </c>
      <c r="M325" s="2">
        <v>79424.0</v>
      </c>
      <c r="N325" s="2" t="s">
        <v>21</v>
      </c>
    </row>
    <row r="326" ht="15.75" customHeight="1">
      <c r="A326" s="2">
        <v>2013.0</v>
      </c>
      <c r="B326" s="2" t="s">
        <v>1911</v>
      </c>
      <c r="C326" s="2" t="s">
        <v>1912</v>
      </c>
      <c r="D326" s="2" t="str">
        <f>"1-205-522-7300"</f>
        <v>1-205-522-7300</v>
      </c>
      <c r="E326" s="2" t="s">
        <v>50</v>
      </c>
      <c r="F326" s="2" t="s">
        <v>737</v>
      </c>
      <c r="G326" s="2" t="str">
        <f>"SR-683"</f>
        <v>SR-683</v>
      </c>
      <c r="H326" s="2" t="s">
        <v>1913</v>
      </c>
      <c r="I326" s="2" t="s">
        <v>1914</v>
      </c>
      <c r="K326" s="2" t="s">
        <v>1915</v>
      </c>
      <c r="L326" s="2" t="s">
        <v>539</v>
      </c>
      <c r="M326" s="2">
        <v>35501.0</v>
      </c>
      <c r="N326" s="2" t="s">
        <v>21</v>
      </c>
    </row>
    <row r="327" ht="15.75" customHeight="1">
      <c r="A327" s="2">
        <v>2013.0</v>
      </c>
      <c r="B327" s="2" t="s">
        <v>1916</v>
      </c>
      <c r="C327" s="2" t="s">
        <v>1917</v>
      </c>
      <c r="D327" s="2" t="str">
        <f>"601 248-5531"</f>
        <v>601 248-5531</v>
      </c>
      <c r="E327" s="2" t="s">
        <v>1918</v>
      </c>
      <c r="F327" s="2" t="s">
        <v>457</v>
      </c>
      <c r="G327" s="2" t="str">
        <f>"SR-686"</f>
        <v>SR-686</v>
      </c>
      <c r="H327" s="2" t="s">
        <v>1919</v>
      </c>
      <c r="I327" s="2" t="s">
        <v>1920</v>
      </c>
      <c r="K327" s="2" t="s">
        <v>1921</v>
      </c>
      <c r="L327" s="2" t="s">
        <v>1722</v>
      </c>
      <c r="M327" s="2">
        <v>39083.0</v>
      </c>
      <c r="N327" s="2" t="s">
        <v>21</v>
      </c>
    </row>
    <row r="328" ht="15.75" customHeight="1">
      <c r="A328" s="2">
        <v>2013.0</v>
      </c>
      <c r="B328" s="2" t="s">
        <v>1922</v>
      </c>
      <c r="C328" s="2" t="s">
        <v>1923</v>
      </c>
      <c r="D328" s="2" t="str">
        <f>"720-240-6028"</f>
        <v>720-240-6028</v>
      </c>
      <c r="E328" s="2" t="s">
        <v>678</v>
      </c>
      <c r="F328" s="2" t="s">
        <v>1924</v>
      </c>
      <c r="G328" s="2" t="str">
        <f>"SR-693"</f>
        <v>SR-693</v>
      </c>
      <c r="H328" s="2" t="s">
        <v>1925</v>
      </c>
      <c r="I328" s="2" t="s">
        <v>1926</v>
      </c>
      <c r="K328" s="2" t="s">
        <v>185</v>
      </c>
      <c r="L328" s="2" t="s">
        <v>157</v>
      </c>
      <c r="M328" s="2">
        <v>80112.0</v>
      </c>
      <c r="N328" s="2" t="s">
        <v>21</v>
      </c>
    </row>
    <row r="329" ht="15.75" customHeight="1">
      <c r="A329" s="2">
        <v>2013.0</v>
      </c>
      <c r="B329" s="2" t="s">
        <v>1927</v>
      </c>
      <c r="C329" s="2" t="s">
        <v>1927</v>
      </c>
      <c r="D329" s="2" t="str">
        <f>"843-735-8440"</f>
        <v>843-735-8440</v>
      </c>
      <c r="E329" s="2" t="s">
        <v>1928</v>
      </c>
      <c r="F329" s="2" t="s">
        <v>1929</v>
      </c>
      <c r="G329" s="2" t="str">
        <f>"SR-85"</f>
        <v>SR-85</v>
      </c>
      <c r="H329" s="2" t="s">
        <v>1930</v>
      </c>
      <c r="I329" s="2" t="s">
        <v>1931</v>
      </c>
      <c r="K329" s="2" t="s">
        <v>1932</v>
      </c>
      <c r="L329" s="2" t="s">
        <v>55</v>
      </c>
      <c r="M329" s="2">
        <v>29485.0</v>
      </c>
      <c r="N329" s="2" t="s">
        <v>21</v>
      </c>
    </row>
    <row r="330" ht="15.75" customHeight="1">
      <c r="A330" s="2">
        <v>2013.0</v>
      </c>
      <c r="B330" s="2" t="s">
        <v>1933</v>
      </c>
      <c r="C330" s="2" t="s">
        <v>1934</v>
      </c>
      <c r="D330" s="2" t="str">
        <f>"7312257394"</f>
        <v>7312257394</v>
      </c>
      <c r="E330" s="2" t="s">
        <v>1935</v>
      </c>
      <c r="F330" s="2" t="s">
        <v>1936</v>
      </c>
      <c r="G330" s="2" t="str">
        <f>"SR-690"</f>
        <v>SR-690</v>
      </c>
      <c r="H330" s="2" t="s">
        <v>1937</v>
      </c>
      <c r="I330" s="2" t="s">
        <v>1938</v>
      </c>
      <c r="J330" s="2" t="s">
        <v>1939</v>
      </c>
      <c r="K330" s="2" t="s">
        <v>278</v>
      </c>
      <c r="L330" s="2" t="s">
        <v>279</v>
      </c>
      <c r="M330" s="2">
        <v>37064.0</v>
      </c>
      <c r="N330" s="2" t="s">
        <v>21</v>
      </c>
    </row>
    <row r="331" ht="15.75" customHeight="1">
      <c r="A331" s="2">
        <v>2013.0</v>
      </c>
      <c r="B331" s="2" t="s">
        <v>1940</v>
      </c>
      <c r="C331" s="2" t="s">
        <v>1941</v>
      </c>
      <c r="D331" s="2" t="str">
        <f>"843-851-7644"</f>
        <v>843-851-7644</v>
      </c>
      <c r="E331" s="2" t="s">
        <v>282</v>
      </c>
      <c r="F331" s="2" t="s">
        <v>1942</v>
      </c>
      <c r="G331" s="2" t="str">
        <f>"SR-393"</f>
        <v>SR-393</v>
      </c>
      <c r="H331" s="2" t="s">
        <v>1943</v>
      </c>
      <c r="I331" s="2" t="s">
        <v>1944</v>
      </c>
      <c r="K331" s="2" t="s">
        <v>1932</v>
      </c>
      <c r="L331" s="2" t="s">
        <v>55</v>
      </c>
      <c r="M331" s="2">
        <v>29485.0</v>
      </c>
      <c r="N331" s="2" t="s">
        <v>21</v>
      </c>
    </row>
    <row r="332" ht="15.75" customHeight="1">
      <c r="A332" s="2">
        <v>2013.0</v>
      </c>
      <c r="B332" s="2" t="s">
        <v>1940</v>
      </c>
      <c r="C332" s="2" t="s">
        <v>1945</v>
      </c>
      <c r="D332" s="2" t="str">
        <f>"843-209-6991"</f>
        <v>843-209-6991</v>
      </c>
      <c r="E332" s="2" t="s">
        <v>1946</v>
      </c>
      <c r="F332" s="2" t="s">
        <v>1942</v>
      </c>
      <c r="G332" s="2" t="str">
        <f>"SR-411"</f>
        <v>SR-411</v>
      </c>
      <c r="H332" s="2" t="s">
        <v>1947</v>
      </c>
      <c r="I332" s="2" t="s">
        <v>1944</v>
      </c>
      <c r="K332" s="2" t="s">
        <v>1932</v>
      </c>
      <c r="L332" s="2" t="s">
        <v>55</v>
      </c>
      <c r="M332" s="2">
        <v>29485.0</v>
      </c>
      <c r="N332" s="2" t="s">
        <v>21</v>
      </c>
    </row>
    <row r="333" ht="15.75" customHeight="1">
      <c r="A333" s="2">
        <v>2013.0</v>
      </c>
      <c r="B333" s="2" t="s">
        <v>1948</v>
      </c>
      <c r="C333" s="2" t="s">
        <v>1949</v>
      </c>
      <c r="D333" s="2" t="str">
        <f>"256-682- 7313"</f>
        <v>256-682- 7313</v>
      </c>
      <c r="E333" s="2" t="s">
        <v>1529</v>
      </c>
      <c r="F333" s="2" t="s">
        <v>1950</v>
      </c>
      <c r="G333" s="2" t="str">
        <f>"SR-700"</f>
        <v>SR-700</v>
      </c>
      <c r="H333" s="2" t="s">
        <v>1951</v>
      </c>
      <c r="I333" s="2" t="s">
        <v>1952</v>
      </c>
      <c r="K333" s="2" t="s">
        <v>1953</v>
      </c>
      <c r="L333" s="2" t="s">
        <v>539</v>
      </c>
      <c r="M333" s="2">
        <v>35811.0</v>
      </c>
      <c r="N333" s="2" t="s">
        <v>21</v>
      </c>
    </row>
    <row r="334" ht="15.75" customHeight="1">
      <c r="A334" s="2">
        <v>2013.0</v>
      </c>
      <c r="B334" s="2" t="s">
        <v>1954</v>
      </c>
      <c r="C334" s="2" t="s">
        <v>1954</v>
      </c>
      <c r="D334" s="2" t="str">
        <f>"4024887843"</f>
        <v>4024887843</v>
      </c>
      <c r="E334" s="2" t="s">
        <v>1197</v>
      </c>
      <c r="F334" s="2" t="s">
        <v>1955</v>
      </c>
      <c r="G334" s="2" t="str">
        <f>"SR-604"</f>
        <v>SR-604</v>
      </c>
      <c r="H334" s="2" t="s">
        <v>1956</v>
      </c>
      <c r="I334" s="2" t="s">
        <v>1957</v>
      </c>
      <c r="K334" s="2" t="s">
        <v>572</v>
      </c>
      <c r="L334" s="2" t="s">
        <v>757</v>
      </c>
      <c r="M334" s="2">
        <v>68520.0</v>
      </c>
      <c r="N334" s="2" t="s">
        <v>21</v>
      </c>
    </row>
    <row r="335" ht="15.75" customHeight="1">
      <c r="A335" s="2">
        <v>2013.0</v>
      </c>
      <c r="B335" s="2" t="s">
        <v>1958</v>
      </c>
      <c r="C335" s="2" t="s">
        <v>1958</v>
      </c>
      <c r="D335" s="2" t="str">
        <f>"9706690230"</f>
        <v>9706690230</v>
      </c>
      <c r="E335" s="2" t="s">
        <v>1959</v>
      </c>
      <c r="F335" s="2" t="s">
        <v>1960</v>
      </c>
      <c r="G335" s="2" t="str">
        <f>"SR-582"</f>
        <v>SR-582</v>
      </c>
      <c r="H335" s="2" t="s">
        <v>1961</v>
      </c>
      <c r="I335" s="2" t="s">
        <v>1962</v>
      </c>
      <c r="K335" s="2" t="s">
        <v>1048</v>
      </c>
      <c r="L335" s="2" t="s">
        <v>157</v>
      </c>
      <c r="M335" s="2">
        <v>80538.0</v>
      </c>
      <c r="N335" s="2" t="s">
        <v>21</v>
      </c>
    </row>
    <row r="336" ht="15.75" customHeight="1">
      <c r="A336" s="2">
        <v>2013.0</v>
      </c>
      <c r="B336" s="2" t="s">
        <v>1963</v>
      </c>
      <c r="C336" s="2" t="s">
        <v>1963</v>
      </c>
      <c r="D336" s="2" t="str">
        <f>"303 552 8472"</f>
        <v>303 552 8472</v>
      </c>
      <c r="E336" s="2" t="s">
        <v>1964</v>
      </c>
      <c r="F336" s="2" t="s">
        <v>1965</v>
      </c>
      <c r="G336" s="2" t="str">
        <f>"SR-702"</f>
        <v>SR-702</v>
      </c>
      <c r="H336" s="2" t="s">
        <v>1966</v>
      </c>
      <c r="I336" s="2" t="s">
        <v>1967</v>
      </c>
      <c r="K336" s="2" t="s">
        <v>1054</v>
      </c>
      <c r="L336" s="2" t="s">
        <v>157</v>
      </c>
      <c r="M336" s="2">
        <v>80138.0</v>
      </c>
      <c r="N336" s="2" t="s">
        <v>21</v>
      </c>
    </row>
    <row r="337" ht="15.75" customHeight="1">
      <c r="A337" s="2">
        <v>2013.0</v>
      </c>
      <c r="B337" s="2" t="s">
        <v>1968</v>
      </c>
      <c r="C337" s="2" t="s">
        <v>1968</v>
      </c>
      <c r="D337" s="2" t="str">
        <f>"5152389647"</f>
        <v>5152389647</v>
      </c>
      <c r="E337" s="2" t="s">
        <v>225</v>
      </c>
      <c r="F337" s="2" t="s">
        <v>1969</v>
      </c>
      <c r="G337" s="2" t="str">
        <f>"SR-675"</f>
        <v>SR-675</v>
      </c>
      <c r="H337" s="2" t="s">
        <v>1970</v>
      </c>
      <c r="I337" s="2" t="s">
        <v>1971</v>
      </c>
      <c r="K337" s="2" t="s">
        <v>340</v>
      </c>
      <c r="L337" s="2" t="s">
        <v>560</v>
      </c>
      <c r="M337" s="2">
        <v>50111.0</v>
      </c>
      <c r="N337" s="2" t="s">
        <v>21</v>
      </c>
    </row>
    <row r="338" ht="15.75" customHeight="1">
      <c r="A338" s="2">
        <v>2013.0</v>
      </c>
      <c r="B338" s="2" t="s">
        <v>1972</v>
      </c>
      <c r="C338" s="2" t="s">
        <v>1973</v>
      </c>
      <c r="D338" s="2" t="str">
        <f>"610-266-6457"</f>
        <v>610-266-6457</v>
      </c>
      <c r="E338" s="2" t="s">
        <v>1974</v>
      </c>
      <c r="F338" s="2" t="s">
        <v>1975</v>
      </c>
      <c r="G338" s="2" t="str">
        <f>"SR-714"</f>
        <v>SR-714</v>
      </c>
      <c r="H338" s="2" t="s">
        <v>1976</v>
      </c>
      <c r="I338" s="2" t="s">
        <v>1977</v>
      </c>
      <c r="K338" s="2" t="s">
        <v>1978</v>
      </c>
      <c r="L338" s="2" t="s">
        <v>179</v>
      </c>
      <c r="M338" s="2">
        <v>18032.0</v>
      </c>
      <c r="N338" s="2" t="s">
        <v>21</v>
      </c>
    </row>
    <row r="339" ht="15.75" customHeight="1">
      <c r="A339" s="2">
        <v>2013.0</v>
      </c>
      <c r="B339" s="2" t="s">
        <v>1979</v>
      </c>
      <c r="D339" s="2" t="str">
        <f>"304-346-2223"</f>
        <v>304-346-2223</v>
      </c>
      <c r="E339" s="2" t="s">
        <v>1980</v>
      </c>
      <c r="F339" s="2" t="s">
        <v>1981</v>
      </c>
      <c r="G339" s="2" t="str">
        <f>"SR-706"</f>
        <v>SR-706</v>
      </c>
      <c r="H339" s="2" t="s">
        <v>1982</v>
      </c>
      <c r="I339" s="2" t="s">
        <v>1983</v>
      </c>
      <c r="K339" s="2" t="s">
        <v>1984</v>
      </c>
      <c r="L339" s="2" t="s">
        <v>193</v>
      </c>
      <c r="M339" s="2">
        <v>25302.0</v>
      </c>
      <c r="N339" s="2" t="s">
        <v>21</v>
      </c>
    </row>
    <row r="340" ht="15.75" customHeight="1">
      <c r="A340" s="2">
        <v>2013.0</v>
      </c>
      <c r="B340" s="2" t="s">
        <v>1985</v>
      </c>
      <c r="C340" s="2" t="s">
        <v>1986</v>
      </c>
      <c r="D340" s="2" t="str">
        <f>"316-733-7447"</f>
        <v>316-733-7447</v>
      </c>
      <c r="E340" s="2" t="s">
        <v>1987</v>
      </c>
      <c r="F340" s="2" t="s">
        <v>1988</v>
      </c>
      <c r="G340" s="2" t="str">
        <f>"SR-459"</f>
        <v>SR-459</v>
      </c>
      <c r="H340" s="2" t="s">
        <v>1989</v>
      </c>
      <c r="I340" s="2" t="s">
        <v>1990</v>
      </c>
      <c r="K340" s="2" t="s">
        <v>1991</v>
      </c>
      <c r="L340" s="2" t="s">
        <v>272</v>
      </c>
      <c r="M340" s="2">
        <v>67002.0</v>
      </c>
      <c r="N340" s="2" t="s">
        <v>21</v>
      </c>
    </row>
    <row r="341" ht="15.75" customHeight="1">
      <c r="A341" s="2">
        <v>2013.0</v>
      </c>
      <c r="B341" s="2" t="s">
        <v>1992</v>
      </c>
      <c r="C341" s="2" t="s">
        <v>1992</v>
      </c>
      <c r="D341" s="2" t="str">
        <f>"5158022408"</f>
        <v>5158022408</v>
      </c>
      <c r="E341" s="2" t="s">
        <v>1725</v>
      </c>
      <c r="F341" s="2" t="s">
        <v>1993</v>
      </c>
      <c r="G341" s="2" t="str">
        <f>"SR-717"</f>
        <v>SR-717</v>
      </c>
      <c r="H341" s="2" t="s">
        <v>1994</v>
      </c>
      <c r="I341" s="2" t="s">
        <v>1995</v>
      </c>
      <c r="K341" s="2" t="s">
        <v>1996</v>
      </c>
      <c r="L341" s="2" t="s">
        <v>560</v>
      </c>
      <c r="M341" s="2">
        <v>50310.0</v>
      </c>
      <c r="N341" s="2" t="s">
        <v>21</v>
      </c>
    </row>
    <row r="342" ht="15.75" customHeight="1">
      <c r="A342" s="2">
        <v>2013.0</v>
      </c>
      <c r="B342" s="2" t="s">
        <v>1997</v>
      </c>
      <c r="C342" s="2" t="s">
        <v>1998</v>
      </c>
      <c r="D342" s="2" t="str">
        <f>"719-574-0793"</f>
        <v>719-574-0793</v>
      </c>
      <c r="E342" s="2" t="s">
        <v>1999</v>
      </c>
      <c r="F342" s="2" t="s">
        <v>2000</v>
      </c>
      <c r="G342" s="2" t="str">
        <f>"SR-720"</f>
        <v>SR-720</v>
      </c>
      <c r="H342" s="2" t="s">
        <v>2001</v>
      </c>
      <c r="I342" s="2" t="s">
        <v>2002</v>
      </c>
      <c r="K342" s="2" t="s">
        <v>809</v>
      </c>
      <c r="L342" s="2" t="s">
        <v>157</v>
      </c>
      <c r="M342" s="2">
        <v>80917.0</v>
      </c>
      <c r="N342" s="2" t="s">
        <v>21</v>
      </c>
    </row>
    <row r="343" ht="15.75" customHeight="1">
      <c r="A343" s="2">
        <v>2013.0</v>
      </c>
      <c r="B343" s="2" t="s">
        <v>2003</v>
      </c>
      <c r="D343" s="2" t="str">
        <f>"850-906-3160"</f>
        <v>850-906-3160</v>
      </c>
      <c r="E343" s="2" t="s">
        <v>590</v>
      </c>
      <c r="F343" s="2" t="s">
        <v>2004</v>
      </c>
      <c r="G343" s="2" t="str">
        <f>"SR-724"</f>
        <v>SR-724</v>
      </c>
      <c r="H343" s="2" t="s">
        <v>2005</v>
      </c>
      <c r="I343" s="2" t="s">
        <v>2006</v>
      </c>
      <c r="K343" s="2" t="s">
        <v>2007</v>
      </c>
      <c r="L343" s="2" t="s">
        <v>208</v>
      </c>
      <c r="M343" s="2">
        <v>32309.0</v>
      </c>
      <c r="N343" s="2" t="s">
        <v>21</v>
      </c>
    </row>
    <row r="344" ht="15.75" customHeight="1">
      <c r="A344" s="2">
        <v>2013.0</v>
      </c>
      <c r="B344" s="2" t="s">
        <v>2008</v>
      </c>
      <c r="C344" s="2" t="s">
        <v>2009</v>
      </c>
      <c r="D344" s="2" t="str">
        <f>"9058520740"</f>
        <v>9058520740</v>
      </c>
      <c r="E344" s="2" t="s">
        <v>2010</v>
      </c>
      <c r="F344" s="2" t="s">
        <v>2011</v>
      </c>
      <c r="G344" s="2" t="str">
        <f>"SR-684"</f>
        <v>SR-684</v>
      </c>
      <c r="H344" s="2" t="s">
        <v>2012</v>
      </c>
      <c r="I344" s="2" t="s">
        <v>2013</v>
      </c>
      <c r="K344" s="2" t="s">
        <v>2014</v>
      </c>
      <c r="L344" s="2" t="s">
        <v>2015</v>
      </c>
      <c r="M344" s="2" t="s">
        <v>2016</v>
      </c>
      <c r="N344" s="2" t="s">
        <v>1602</v>
      </c>
    </row>
    <row r="345" ht="15.75" customHeight="1">
      <c r="A345" s="2">
        <v>2013.0</v>
      </c>
      <c r="B345" s="2" t="s">
        <v>2017</v>
      </c>
      <c r="C345" s="2" t="s">
        <v>2017</v>
      </c>
      <c r="D345" s="2" t="str">
        <f>"(905) 852-4064"</f>
        <v>(905) 852-4064</v>
      </c>
      <c r="E345" s="2" t="s">
        <v>2018</v>
      </c>
      <c r="F345" s="2" t="s">
        <v>2019</v>
      </c>
      <c r="G345" s="2" t="str">
        <f>"SR-728"</f>
        <v>SR-728</v>
      </c>
      <c r="H345" s="2" t="s">
        <v>2020</v>
      </c>
      <c r="I345" s="2" t="s">
        <v>2021</v>
      </c>
      <c r="K345" s="2" t="s">
        <v>2014</v>
      </c>
      <c r="L345" s="2" t="s">
        <v>2022</v>
      </c>
      <c r="M345" s="2" t="s">
        <v>2023</v>
      </c>
      <c r="N345" s="2" t="s">
        <v>1602</v>
      </c>
    </row>
    <row r="346" ht="15.75" customHeight="1">
      <c r="A346" s="2">
        <v>2013.0</v>
      </c>
      <c r="B346" s="2" t="s">
        <v>2024</v>
      </c>
      <c r="C346" s="2" t="s">
        <v>2025</v>
      </c>
      <c r="D346" s="2" t="str">
        <f>"303-594-8378"</f>
        <v>303-594-8378</v>
      </c>
      <c r="E346" s="2" t="s">
        <v>2026</v>
      </c>
      <c r="F346" s="2" t="s">
        <v>1965</v>
      </c>
      <c r="G346" s="2" t="str">
        <f>"SR-730"</f>
        <v>SR-730</v>
      </c>
      <c r="H346" s="2" t="s">
        <v>2027</v>
      </c>
      <c r="I346" s="2" t="s">
        <v>2028</v>
      </c>
      <c r="K346" s="2" t="s">
        <v>1054</v>
      </c>
      <c r="L346" s="2" t="s">
        <v>157</v>
      </c>
      <c r="M346" s="2">
        <v>80138.0</v>
      </c>
      <c r="N346" s="2" t="s">
        <v>21</v>
      </c>
    </row>
    <row r="347" ht="15.75" customHeight="1">
      <c r="A347" s="2">
        <v>2013.0</v>
      </c>
      <c r="B347" s="2" t="s">
        <v>2029</v>
      </c>
      <c r="C347" s="2" t="s">
        <v>2030</v>
      </c>
      <c r="D347" s="2" t="str">
        <f>"850-575-4009"</f>
        <v>850-575-4009</v>
      </c>
      <c r="E347" s="2" t="s">
        <v>2031</v>
      </c>
      <c r="F347" s="2" t="s">
        <v>2032</v>
      </c>
      <c r="G347" s="2" t="str">
        <f>"SR-533"</f>
        <v>SR-533</v>
      </c>
      <c r="H347" s="2" t="s">
        <v>2033</v>
      </c>
      <c r="I347" s="2" t="s">
        <v>2034</v>
      </c>
      <c r="K347" s="2" t="s">
        <v>2007</v>
      </c>
      <c r="L347" s="2" t="s">
        <v>208</v>
      </c>
      <c r="M347" s="2">
        <v>32308.0</v>
      </c>
      <c r="N347" s="2" t="s">
        <v>21</v>
      </c>
    </row>
    <row r="348" ht="15.75" customHeight="1">
      <c r="A348" s="2">
        <v>2013.0</v>
      </c>
      <c r="B348" s="2" t="s">
        <v>2035</v>
      </c>
      <c r="C348" s="2" t="s">
        <v>2036</v>
      </c>
      <c r="D348" s="2" t="str">
        <f>"7199641149"</f>
        <v>7199641149</v>
      </c>
      <c r="E348" s="2" t="s">
        <v>2037</v>
      </c>
      <c r="F348" s="2" t="s">
        <v>2038</v>
      </c>
      <c r="G348" s="2" t="str">
        <f>"SR-731"</f>
        <v>SR-731</v>
      </c>
      <c r="H348" s="2" t="s">
        <v>2039</v>
      </c>
      <c r="I348" s="2" t="s">
        <v>2040</v>
      </c>
      <c r="K348" s="2" t="s">
        <v>809</v>
      </c>
      <c r="L348" s="2" t="s">
        <v>157</v>
      </c>
      <c r="M348" s="2">
        <v>80920.0</v>
      </c>
      <c r="N348" s="2" t="s">
        <v>21</v>
      </c>
    </row>
    <row r="349" ht="15.75" customHeight="1">
      <c r="A349" s="2">
        <v>2013.0</v>
      </c>
      <c r="B349" s="2" t="s">
        <v>2041</v>
      </c>
      <c r="C349" s="2" t="s">
        <v>2041</v>
      </c>
      <c r="D349" s="2" t="str">
        <f>"8175731472"</f>
        <v>8175731472</v>
      </c>
      <c r="E349" s="2" t="s">
        <v>2042</v>
      </c>
      <c r="F349" s="2" t="s">
        <v>2043</v>
      </c>
      <c r="G349" s="2" t="str">
        <f>"SR-734"</f>
        <v>SR-734</v>
      </c>
      <c r="H349" s="2" t="s">
        <v>2044</v>
      </c>
      <c r="I349" s="2" t="s">
        <v>2045</v>
      </c>
      <c r="K349" s="2" t="s">
        <v>2046</v>
      </c>
      <c r="L349" s="2" t="s">
        <v>172</v>
      </c>
      <c r="M349" s="2">
        <v>76049.0</v>
      </c>
      <c r="N349" s="2" t="s">
        <v>21</v>
      </c>
    </row>
    <row r="350" ht="15.75" customHeight="1">
      <c r="A350" s="2">
        <v>2013.0</v>
      </c>
      <c r="B350" s="2" t="s">
        <v>2047</v>
      </c>
      <c r="C350" s="2" t="s">
        <v>2048</v>
      </c>
      <c r="D350" s="2" t="str">
        <f>"952-888-2046"</f>
        <v>952-888-2046</v>
      </c>
      <c r="E350" s="2" t="s">
        <v>36</v>
      </c>
      <c r="F350" s="2" t="s">
        <v>2049</v>
      </c>
      <c r="G350" s="2" t="str">
        <f>"SR-735"</f>
        <v>SR-735</v>
      </c>
      <c r="H350" s="2" t="s">
        <v>2050</v>
      </c>
      <c r="I350" s="2" t="s">
        <v>2051</v>
      </c>
      <c r="K350" s="2" t="s">
        <v>1019</v>
      </c>
      <c r="L350" s="2" t="s">
        <v>62</v>
      </c>
      <c r="M350" s="2">
        <v>55437.0</v>
      </c>
      <c r="N350" s="2" t="s">
        <v>21</v>
      </c>
    </row>
    <row r="351" ht="15.75" customHeight="1">
      <c r="A351" s="2">
        <v>2013.0</v>
      </c>
      <c r="B351" s="2" t="s">
        <v>2052</v>
      </c>
      <c r="C351" s="2" t="s">
        <v>2052</v>
      </c>
      <c r="D351" s="2" t="str">
        <f>"(907)344-9845"</f>
        <v>(907)344-9845</v>
      </c>
      <c r="E351" s="2" t="s">
        <v>339</v>
      </c>
      <c r="F351" s="2" t="s">
        <v>2053</v>
      </c>
      <c r="G351" s="2" t="str">
        <f>"SR-640"</f>
        <v>SR-640</v>
      </c>
      <c r="H351" s="2" t="s">
        <v>2054</v>
      </c>
      <c r="I351" s="2" t="s">
        <v>2055</v>
      </c>
      <c r="K351" s="2" t="s">
        <v>69</v>
      </c>
      <c r="L351" s="2" t="s">
        <v>70</v>
      </c>
      <c r="M351" s="2">
        <v>99516.0</v>
      </c>
      <c r="N351" s="2" t="s">
        <v>21</v>
      </c>
    </row>
    <row r="352" ht="15.75" customHeight="1">
      <c r="A352" s="2">
        <v>2013.0</v>
      </c>
      <c r="B352" s="2" t="s">
        <v>2056</v>
      </c>
      <c r="C352" s="2" t="s">
        <v>2057</v>
      </c>
      <c r="D352" s="2" t="str">
        <f>"850-510-8553"</f>
        <v>850-510-8553</v>
      </c>
      <c r="E352" s="2" t="s">
        <v>2058</v>
      </c>
      <c r="F352" s="2" t="s">
        <v>2059</v>
      </c>
      <c r="G352" s="2" t="str">
        <f>"SR-527"</f>
        <v>SR-527</v>
      </c>
      <c r="H352" s="2" t="s">
        <v>2060</v>
      </c>
      <c r="I352" s="2" t="s">
        <v>2061</v>
      </c>
      <c r="K352" s="2" t="s">
        <v>2007</v>
      </c>
      <c r="L352" s="2" t="s">
        <v>208</v>
      </c>
      <c r="M352" s="2">
        <v>32309.0</v>
      </c>
      <c r="N352" s="2" t="s">
        <v>21</v>
      </c>
    </row>
    <row r="353" ht="15.75" customHeight="1">
      <c r="A353" s="2">
        <v>2013.0</v>
      </c>
      <c r="B353" s="2" t="s">
        <v>2062</v>
      </c>
      <c r="C353" s="2" t="s">
        <v>2062</v>
      </c>
      <c r="D353" s="2" t="str">
        <f>"515-205-0607"</f>
        <v>515-205-0607</v>
      </c>
      <c r="E353" s="2" t="s">
        <v>584</v>
      </c>
      <c r="F353" s="2" t="s">
        <v>2063</v>
      </c>
      <c r="G353" s="2" t="str">
        <f>"SR-740"</f>
        <v>SR-740</v>
      </c>
      <c r="H353" s="2" t="s">
        <v>2064</v>
      </c>
      <c r="I353" s="2" t="s">
        <v>2065</v>
      </c>
      <c r="K353" s="2" t="s">
        <v>2066</v>
      </c>
      <c r="L353" s="2" t="s">
        <v>560</v>
      </c>
      <c r="M353" s="2">
        <v>50266.0</v>
      </c>
      <c r="N353" s="2" t="s">
        <v>21</v>
      </c>
    </row>
    <row r="354" ht="15.75" customHeight="1">
      <c r="A354" s="2">
        <v>2013.0</v>
      </c>
      <c r="B354" s="2" t="s">
        <v>2067</v>
      </c>
      <c r="C354" s="2" t="s">
        <v>2068</v>
      </c>
      <c r="D354" s="2" t="str">
        <f>"6-04-890-0898"</f>
        <v>6-04-890-0898</v>
      </c>
      <c r="E354" s="2" t="s">
        <v>1114</v>
      </c>
      <c r="F354" s="2" t="s">
        <v>2069</v>
      </c>
      <c r="G354" s="2" t="str">
        <f>"SR-721"</f>
        <v>SR-721</v>
      </c>
      <c r="H354" s="2" t="s">
        <v>2070</v>
      </c>
      <c r="I354" s="2" t="s">
        <v>2071</v>
      </c>
      <c r="J354" s="2" t="s">
        <v>2072</v>
      </c>
      <c r="K354" s="2" t="s">
        <v>2073</v>
      </c>
      <c r="L354" s="2" t="s">
        <v>2074</v>
      </c>
      <c r="M354" s="2">
        <v>11200.0</v>
      </c>
      <c r="N354" s="2" t="s">
        <v>2075</v>
      </c>
    </row>
    <row r="355" ht="15.75" customHeight="1">
      <c r="A355" s="2">
        <v>2013.0</v>
      </c>
      <c r="B355" s="2" t="s">
        <v>2076</v>
      </c>
      <c r="C355" s="2" t="s">
        <v>2077</v>
      </c>
      <c r="D355" s="2" t="str">
        <f>"8175726009"</f>
        <v>8175726009</v>
      </c>
      <c r="E355" s="2" t="s">
        <v>282</v>
      </c>
      <c r="F355" s="2" t="s">
        <v>2078</v>
      </c>
      <c r="G355" s="2" t="str">
        <f>"SR-689"</f>
        <v>SR-689</v>
      </c>
      <c r="H355" s="2" t="s">
        <v>2079</v>
      </c>
      <c r="I355" s="2" t="s">
        <v>2080</v>
      </c>
      <c r="K355" s="2" t="s">
        <v>882</v>
      </c>
      <c r="L355" s="2" t="s">
        <v>172</v>
      </c>
      <c r="M355" s="2">
        <v>76001.0</v>
      </c>
      <c r="N355" s="2" t="s">
        <v>21</v>
      </c>
    </row>
    <row r="356" ht="15.75" customHeight="1">
      <c r="A356" s="2">
        <v>2013.0</v>
      </c>
      <c r="B356" s="2" t="s">
        <v>2081</v>
      </c>
      <c r="C356" s="2" t="s">
        <v>2082</v>
      </c>
      <c r="D356" s="2" t="str">
        <f>"314  369 9475"</f>
        <v>314  369 9475</v>
      </c>
      <c r="E356" s="2" t="s">
        <v>2083</v>
      </c>
      <c r="F356" s="2" t="s">
        <v>2084</v>
      </c>
      <c r="G356" s="2" t="str">
        <f>"SR-434"</f>
        <v>SR-434</v>
      </c>
      <c r="H356" s="2" t="s">
        <v>2085</v>
      </c>
      <c r="I356" s="2" t="s">
        <v>2086</v>
      </c>
      <c r="K356" s="2" t="s">
        <v>2087</v>
      </c>
      <c r="L356" s="2" t="s">
        <v>214</v>
      </c>
      <c r="M356" s="2">
        <v>63025.0</v>
      </c>
      <c r="N356" s="2" t="s">
        <v>21</v>
      </c>
    </row>
    <row r="357" ht="15.75" customHeight="1">
      <c r="A357" s="2">
        <v>2013.0</v>
      </c>
      <c r="B357" s="2" t="s">
        <v>2081</v>
      </c>
      <c r="C357" s="2" t="s">
        <v>2088</v>
      </c>
      <c r="D357" s="2" t="str">
        <f>"3146055428"</f>
        <v>3146055428</v>
      </c>
      <c r="E357" s="2" t="s">
        <v>2089</v>
      </c>
      <c r="F357" s="2" t="s">
        <v>2084</v>
      </c>
      <c r="G357" s="2" t="str">
        <f>"SR-550"</f>
        <v>SR-550</v>
      </c>
      <c r="H357" s="2" t="s">
        <v>2090</v>
      </c>
      <c r="I357" s="2" t="s">
        <v>2091</v>
      </c>
      <c r="K357" s="2" t="s">
        <v>2092</v>
      </c>
      <c r="L357" s="2" t="s">
        <v>279</v>
      </c>
      <c r="M357" s="2">
        <v>37149.0</v>
      </c>
      <c r="N357" s="2" t="s">
        <v>21</v>
      </c>
    </row>
    <row r="358" ht="15.75" customHeight="1">
      <c r="A358" s="2">
        <v>2013.0</v>
      </c>
      <c r="B358" s="2" t="s">
        <v>2093</v>
      </c>
      <c r="C358" s="2" t="s">
        <v>2094</v>
      </c>
      <c r="D358" s="2" t="str">
        <f>"(719)373-7216"</f>
        <v>(719)373-7216</v>
      </c>
      <c r="E358" s="2" t="s">
        <v>1263</v>
      </c>
      <c r="F358" s="2" t="s">
        <v>2095</v>
      </c>
      <c r="G358" s="2" t="str">
        <f>"SR-642"</f>
        <v>SR-642</v>
      </c>
      <c r="H358" s="2" t="s">
        <v>2096</v>
      </c>
      <c r="I358" s="2" t="s">
        <v>2097</v>
      </c>
      <c r="K358" s="2" t="s">
        <v>2098</v>
      </c>
      <c r="L358" s="2" t="s">
        <v>157</v>
      </c>
      <c r="M358" s="2">
        <v>80840.0</v>
      </c>
      <c r="N358" s="2" t="s">
        <v>21</v>
      </c>
    </row>
    <row r="359" ht="15.75" customHeight="1">
      <c r="A359" s="2">
        <v>2013.0</v>
      </c>
      <c r="B359" s="2" t="s">
        <v>2099</v>
      </c>
      <c r="C359" s="2" t="s">
        <v>2099</v>
      </c>
      <c r="D359" s="2" t="str">
        <f>"425 673 9979"</f>
        <v>425 673 9979</v>
      </c>
      <c r="E359" s="2" t="s">
        <v>2100</v>
      </c>
      <c r="F359" s="2" t="s">
        <v>2101</v>
      </c>
      <c r="G359" s="2" t="str">
        <f>"SR-695"</f>
        <v>SR-695</v>
      </c>
      <c r="H359" s="2" t="s">
        <v>2102</v>
      </c>
      <c r="I359" s="2" t="s">
        <v>2103</v>
      </c>
      <c r="K359" s="2" t="s">
        <v>965</v>
      </c>
      <c r="L359" s="2" t="s">
        <v>86</v>
      </c>
      <c r="M359" s="2">
        <v>98036.0</v>
      </c>
      <c r="N359" s="2" t="s">
        <v>21</v>
      </c>
    </row>
    <row r="360" ht="15.75" customHeight="1">
      <c r="A360" s="2">
        <v>2013.0</v>
      </c>
      <c r="B360" s="2" t="s">
        <v>2104</v>
      </c>
      <c r="D360" s="2" t="str">
        <f>"817 422 2804"</f>
        <v>817 422 2804</v>
      </c>
      <c r="E360" s="2" t="s">
        <v>2100</v>
      </c>
      <c r="F360" s="2" t="s">
        <v>2105</v>
      </c>
      <c r="G360" s="2" t="str">
        <f>"SR-525"</f>
        <v>SR-525</v>
      </c>
      <c r="H360" s="2" t="s">
        <v>2106</v>
      </c>
      <c r="I360" s="2" t="s">
        <v>2107</v>
      </c>
      <c r="K360" s="2" t="s">
        <v>2108</v>
      </c>
      <c r="L360" s="2" t="s">
        <v>172</v>
      </c>
      <c r="M360" s="2">
        <v>76020.0</v>
      </c>
      <c r="N360" s="2" t="s">
        <v>21</v>
      </c>
    </row>
    <row r="361" ht="15.75" customHeight="1">
      <c r="A361" s="2">
        <v>2013.0</v>
      </c>
      <c r="B361" s="2" t="s">
        <v>2109</v>
      </c>
      <c r="C361" s="2" t="s">
        <v>2109</v>
      </c>
      <c r="D361" s="2" t="str">
        <f>"402-795-2400"</f>
        <v>402-795-2400</v>
      </c>
      <c r="E361" s="2" t="s">
        <v>2110</v>
      </c>
      <c r="F361" s="2" t="s">
        <v>2111</v>
      </c>
      <c r="G361" s="2" t="str">
        <f>"SR-404"</f>
        <v>SR-404</v>
      </c>
      <c r="H361" s="2" t="s">
        <v>2112</v>
      </c>
      <c r="I361" s="2" t="s">
        <v>2113</v>
      </c>
      <c r="K361" s="2" t="s">
        <v>2114</v>
      </c>
      <c r="L361" s="2" t="s">
        <v>757</v>
      </c>
      <c r="M361" s="2">
        <v>68423.0</v>
      </c>
      <c r="N361" s="2" t="s">
        <v>21</v>
      </c>
    </row>
    <row r="362" ht="15.75" customHeight="1">
      <c r="A362" s="2">
        <v>2013.0</v>
      </c>
      <c r="B362" s="2" t="s">
        <v>2115</v>
      </c>
      <c r="D362" s="2" t="str">
        <f>"7203244752"</f>
        <v>7203244752</v>
      </c>
      <c r="E362" s="2" t="s">
        <v>288</v>
      </c>
      <c r="F362" s="2" t="s">
        <v>2116</v>
      </c>
      <c r="G362" s="2" t="str">
        <f>"SR-613"</f>
        <v>SR-613</v>
      </c>
      <c r="H362" s="2" t="s">
        <v>2117</v>
      </c>
      <c r="I362" s="2" t="s">
        <v>2118</v>
      </c>
      <c r="K362" s="2" t="s">
        <v>1520</v>
      </c>
      <c r="L362" s="2" t="s">
        <v>157</v>
      </c>
      <c r="M362" s="2">
        <v>80013.0</v>
      </c>
      <c r="N362" s="2" t="s">
        <v>21</v>
      </c>
    </row>
    <row r="363" ht="15.75" customHeight="1">
      <c r="A363" s="2">
        <v>2013.0</v>
      </c>
      <c r="B363" s="2" t="s">
        <v>2119</v>
      </c>
      <c r="C363" s="2" t="s">
        <v>2119</v>
      </c>
      <c r="D363" s="2" t="str">
        <f>"(715)712-0492"</f>
        <v>(715)712-0492</v>
      </c>
      <c r="E363" s="2" t="s">
        <v>167</v>
      </c>
      <c r="F363" s="2" t="s">
        <v>2120</v>
      </c>
      <c r="G363" s="2" t="str">
        <f>"SR-318"</f>
        <v>SR-318</v>
      </c>
      <c r="H363" s="2" t="s">
        <v>2121</v>
      </c>
      <c r="I363" s="2" t="s">
        <v>2122</v>
      </c>
      <c r="K363" s="2" t="s">
        <v>2123</v>
      </c>
      <c r="L363" s="2" t="s">
        <v>193</v>
      </c>
      <c r="M363" s="2">
        <v>54494.0</v>
      </c>
      <c r="N363" s="2" t="s">
        <v>21</v>
      </c>
    </row>
    <row r="364" ht="15.75" customHeight="1">
      <c r="A364" s="2">
        <v>2013.0</v>
      </c>
      <c r="B364" s="2" t="s">
        <v>2124</v>
      </c>
      <c r="C364" s="2" t="s">
        <v>2125</v>
      </c>
      <c r="D364" s="2" t="str">
        <f>"620-862-5639"</f>
        <v>620-862-5639</v>
      </c>
      <c r="E364" s="2" t="s">
        <v>2126</v>
      </c>
      <c r="F364" s="2" t="s">
        <v>2127</v>
      </c>
      <c r="G364" s="2" t="str">
        <f>"SR-624"</f>
        <v>SR-624</v>
      </c>
      <c r="H364" s="2" t="s">
        <v>2128</v>
      </c>
      <c r="I364" s="2" t="s">
        <v>2129</v>
      </c>
      <c r="K364" s="2" t="s">
        <v>2130</v>
      </c>
      <c r="L364" s="2" t="s">
        <v>272</v>
      </c>
      <c r="M364" s="2">
        <v>67959.0</v>
      </c>
      <c r="N364" s="2" t="s">
        <v>21</v>
      </c>
    </row>
    <row r="365" ht="15.75" customHeight="1">
      <c r="A365" s="2">
        <v>2013.0</v>
      </c>
      <c r="B365" s="2" t="s">
        <v>2131</v>
      </c>
      <c r="C365" s="2" t="s">
        <v>2132</v>
      </c>
      <c r="D365" s="2" t="str">
        <f>"720-879-4068"</f>
        <v>720-879-4068</v>
      </c>
      <c r="E365" s="2" t="s">
        <v>50</v>
      </c>
      <c r="F365" s="2" t="s">
        <v>2133</v>
      </c>
      <c r="G365" s="2" t="str">
        <f>"SR-741"</f>
        <v>SR-741</v>
      </c>
      <c r="H365" s="2" t="s">
        <v>2134</v>
      </c>
      <c r="I365" s="2" t="s">
        <v>2135</v>
      </c>
      <c r="K365" s="2" t="s">
        <v>1054</v>
      </c>
      <c r="L365" s="2" t="s">
        <v>157</v>
      </c>
      <c r="M365" s="2">
        <v>80134.0</v>
      </c>
      <c r="N365" s="2" t="s">
        <v>21</v>
      </c>
    </row>
    <row r="366" ht="15.75" customHeight="1">
      <c r="A366" s="2">
        <v>2013.0</v>
      </c>
      <c r="B366" s="2" t="s">
        <v>2136</v>
      </c>
      <c r="C366" s="2" t="s">
        <v>2137</v>
      </c>
      <c r="D366" s="2" t="str">
        <f>"303-841-9112"</f>
        <v>303-841-9112</v>
      </c>
      <c r="E366" s="2" t="s">
        <v>36</v>
      </c>
      <c r="F366" s="2" t="s">
        <v>2138</v>
      </c>
      <c r="G366" s="2" t="str">
        <f>"SR-756"</f>
        <v>SR-756</v>
      </c>
      <c r="H366" s="2" t="s">
        <v>2139</v>
      </c>
      <c r="I366" s="2" t="s">
        <v>2140</v>
      </c>
      <c r="K366" s="2" t="s">
        <v>1054</v>
      </c>
      <c r="L366" s="2" t="s">
        <v>157</v>
      </c>
      <c r="M366" s="2">
        <v>80138.0</v>
      </c>
      <c r="N366" s="2" t="s">
        <v>21</v>
      </c>
    </row>
    <row r="367" ht="15.75" customHeight="1">
      <c r="A367" s="2">
        <v>2013.0</v>
      </c>
      <c r="B367" s="2" t="s">
        <v>2141</v>
      </c>
      <c r="C367" s="2" t="s">
        <v>2142</v>
      </c>
      <c r="D367" s="2" t="str">
        <f>"330-327-2633"</f>
        <v>330-327-2633</v>
      </c>
      <c r="E367" s="2" t="s">
        <v>2143</v>
      </c>
      <c r="F367" s="2" t="s">
        <v>2144</v>
      </c>
      <c r="G367" s="2" t="str">
        <f>"SR-745"</f>
        <v>SR-745</v>
      </c>
      <c r="H367" s="2" t="s">
        <v>2145</v>
      </c>
      <c r="I367" s="2" t="s">
        <v>2146</v>
      </c>
      <c r="K367" s="2" t="s">
        <v>2147</v>
      </c>
      <c r="L367" s="2" t="s">
        <v>208</v>
      </c>
      <c r="M367" s="2">
        <v>33511.0</v>
      </c>
      <c r="N367" s="2" t="s">
        <v>21</v>
      </c>
    </row>
    <row r="368" ht="15.75" customHeight="1">
      <c r="A368" s="2">
        <v>2013.0</v>
      </c>
      <c r="B368" s="2" t="s">
        <v>2148</v>
      </c>
      <c r="C368" s="2" t="s">
        <v>2149</v>
      </c>
      <c r="D368" s="2" t="str">
        <f>"501-259-1000"</f>
        <v>501-259-1000</v>
      </c>
      <c r="E368" s="2" t="s">
        <v>862</v>
      </c>
      <c r="F368" s="2" t="s">
        <v>950</v>
      </c>
      <c r="G368" s="2" t="str">
        <f>"SR-758"</f>
        <v>SR-758</v>
      </c>
      <c r="H368" s="2" t="s">
        <v>2150</v>
      </c>
      <c r="I368" s="2" t="s">
        <v>2151</v>
      </c>
      <c r="K368" s="2" t="s">
        <v>2152</v>
      </c>
      <c r="L368" s="2" t="s">
        <v>1012</v>
      </c>
      <c r="M368" s="2">
        <v>72762.0</v>
      </c>
      <c r="N368" s="2" t="s">
        <v>21</v>
      </c>
    </row>
    <row r="369" ht="15.75" customHeight="1">
      <c r="A369" s="2">
        <v>2013.0</v>
      </c>
      <c r="B369" s="2" t="s">
        <v>2153</v>
      </c>
      <c r="C369" s="2" t="s">
        <v>2153</v>
      </c>
      <c r="D369" s="2" t="str">
        <f>"719-433-9896"</f>
        <v>719-433-9896</v>
      </c>
      <c r="E369" s="2" t="s">
        <v>1263</v>
      </c>
      <c r="F369" s="2" t="s">
        <v>2154</v>
      </c>
      <c r="G369" s="2" t="str">
        <f>"SR-673"</f>
        <v>SR-673</v>
      </c>
      <c r="H369" s="2" t="s">
        <v>2155</v>
      </c>
      <c r="I369" s="2" t="s">
        <v>2156</v>
      </c>
      <c r="K369" s="2" t="s">
        <v>809</v>
      </c>
      <c r="L369" s="2" t="s">
        <v>157</v>
      </c>
      <c r="M369" s="2">
        <v>80920.0</v>
      </c>
      <c r="N369" s="2" t="s">
        <v>21</v>
      </c>
    </row>
    <row r="370" ht="15.75" customHeight="1">
      <c r="A370" s="2">
        <v>2013.0</v>
      </c>
      <c r="B370" s="2" t="s">
        <v>2157</v>
      </c>
      <c r="C370" s="2" t="s">
        <v>2157</v>
      </c>
      <c r="D370" s="2" t="str">
        <f>"727-422-6130"</f>
        <v>727-422-6130</v>
      </c>
      <c r="E370" s="2" t="s">
        <v>2158</v>
      </c>
      <c r="F370" s="2" t="s">
        <v>1827</v>
      </c>
      <c r="G370" s="2" t="str">
        <f>"SR-729"</f>
        <v>SR-729</v>
      </c>
      <c r="H370" s="2" t="s">
        <v>2159</v>
      </c>
      <c r="I370" s="2" t="s">
        <v>1829</v>
      </c>
      <c r="K370" s="2" t="s">
        <v>414</v>
      </c>
      <c r="L370" s="2" t="s">
        <v>208</v>
      </c>
      <c r="M370" s="2">
        <v>33773.0</v>
      </c>
      <c r="N370" s="2" t="s">
        <v>21</v>
      </c>
    </row>
    <row r="371" ht="15.75" customHeight="1">
      <c r="A371" s="2">
        <v>2013.0</v>
      </c>
      <c r="B371" s="2" t="s">
        <v>2160</v>
      </c>
      <c r="C371" s="2" t="s">
        <v>2161</v>
      </c>
      <c r="D371" s="2" t="str">
        <f>"1-540-974-0337"</f>
        <v>1-540-974-0337</v>
      </c>
      <c r="E371" s="2" t="s">
        <v>2162</v>
      </c>
      <c r="F371" s="2" t="s">
        <v>1151</v>
      </c>
      <c r="G371" s="2" t="str">
        <f>"SR-617"</f>
        <v>SR-617</v>
      </c>
      <c r="H371" s="2" t="s">
        <v>2163</v>
      </c>
      <c r="I371" s="2" t="s">
        <v>2164</v>
      </c>
      <c r="K371" s="2" t="s">
        <v>594</v>
      </c>
      <c r="L371" s="2" t="s">
        <v>165</v>
      </c>
      <c r="M371" s="2">
        <v>22602.0</v>
      </c>
      <c r="N371" s="2" t="s">
        <v>21</v>
      </c>
    </row>
    <row r="372" ht="15.75" customHeight="1">
      <c r="A372" s="2">
        <v>2013.0</v>
      </c>
      <c r="B372" s="2" t="s">
        <v>2165</v>
      </c>
      <c r="C372" s="2" t="s">
        <v>2166</v>
      </c>
      <c r="D372" s="2" t="str">
        <f>"9493050867"</f>
        <v>9493050867</v>
      </c>
      <c r="E372" s="2" t="s">
        <v>2167</v>
      </c>
      <c r="F372" s="2" t="s">
        <v>2168</v>
      </c>
      <c r="G372" s="2" t="str">
        <f>"SR-763"</f>
        <v>SR-763</v>
      </c>
      <c r="H372" s="2" t="s">
        <v>2169</v>
      </c>
      <c r="I372" s="2" t="s">
        <v>2170</v>
      </c>
      <c r="K372" s="2" t="s">
        <v>2171</v>
      </c>
      <c r="L372" s="2" t="s">
        <v>222</v>
      </c>
      <c r="M372" s="2">
        <v>92677.0</v>
      </c>
      <c r="N372" s="2" t="s">
        <v>21</v>
      </c>
    </row>
    <row r="373" ht="15.75" customHeight="1">
      <c r="A373" s="2">
        <v>2013.0</v>
      </c>
      <c r="B373" s="2" t="s">
        <v>2172</v>
      </c>
      <c r="D373" s="2" t="str">
        <f>"716-569-5155"</f>
        <v>716-569-5155</v>
      </c>
      <c r="E373" s="2" t="s">
        <v>2173</v>
      </c>
      <c r="F373" s="2" t="s">
        <v>2174</v>
      </c>
      <c r="G373" s="2" t="str">
        <f>"SR-764"</f>
        <v>SR-764</v>
      </c>
      <c r="H373" s="2" t="s">
        <v>2175</v>
      </c>
      <c r="I373" s="2" t="s">
        <v>2176</v>
      </c>
      <c r="K373" s="2" t="s">
        <v>2177</v>
      </c>
      <c r="L373" s="2" t="s">
        <v>142</v>
      </c>
      <c r="M373" s="2">
        <v>14738.0</v>
      </c>
      <c r="N373" s="2" t="s">
        <v>21</v>
      </c>
    </row>
    <row r="374" ht="15.75" customHeight="1">
      <c r="A374" s="2">
        <v>2013.0</v>
      </c>
      <c r="B374" s="2" t="s">
        <v>2178</v>
      </c>
      <c r="C374" s="2" t="s">
        <v>2178</v>
      </c>
      <c r="D374" s="2" t="str">
        <f>"8322485774"</f>
        <v>8322485774</v>
      </c>
      <c r="E374" s="2" t="s">
        <v>2179</v>
      </c>
      <c r="F374" s="2" t="s">
        <v>1987</v>
      </c>
      <c r="G374" s="2" t="str">
        <f>"SR-599"</f>
        <v>SR-599</v>
      </c>
      <c r="H374" s="2" t="s">
        <v>2180</v>
      </c>
      <c r="I374" s="2" t="s">
        <v>2181</v>
      </c>
      <c r="K374" s="2" t="s">
        <v>2182</v>
      </c>
      <c r="L374" s="2" t="s">
        <v>172</v>
      </c>
      <c r="M374" s="2">
        <v>77479.0</v>
      </c>
      <c r="N374" s="2" t="s">
        <v>21</v>
      </c>
    </row>
    <row r="375" ht="15.75" customHeight="1">
      <c r="A375" s="2">
        <v>2013.0</v>
      </c>
      <c r="B375" s="2" t="s">
        <v>2183</v>
      </c>
      <c r="C375" s="2" t="s">
        <v>2183</v>
      </c>
      <c r="D375" s="2" t="str">
        <f>"9494962120"</f>
        <v>9494962120</v>
      </c>
      <c r="E375" s="2" t="s">
        <v>72</v>
      </c>
      <c r="F375" s="2" t="s">
        <v>94</v>
      </c>
      <c r="G375" s="2" t="str">
        <f>"SR-766"</f>
        <v>SR-766</v>
      </c>
      <c r="H375" s="2" t="s">
        <v>2184</v>
      </c>
      <c r="I375" s="2" t="s">
        <v>2185</v>
      </c>
      <c r="K375" s="2" t="s">
        <v>2186</v>
      </c>
      <c r="L375" s="2" t="s">
        <v>222</v>
      </c>
      <c r="M375" s="2">
        <v>92675.0</v>
      </c>
      <c r="N375" s="2" t="s">
        <v>21</v>
      </c>
    </row>
    <row r="376" ht="15.75" customHeight="1">
      <c r="A376" s="2">
        <v>2013.0</v>
      </c>
      <c r="B376" s="2" t="s">
        <v>2187</v>
      </c>
      <c r="D376" s="2" t="str">
        <f>"404-375-5819"</f>
        <v>404-375-5819</v>
      </c>
      <c r="E376" s="2" t="s">
        <v>2188</v>
      </c>
      <c r="F376" s="2" t="s">
        <v>2189</v>
      </c>
      <c r="G376" s="2" t="str">
        <f>"SR-744"</f>
        <v>SR-744</v>
      </c>
      <c r="H376" s="2" t="s">
        <v>2190</v>
      </c>
      <c r="I376" s="2" t="s">
        <v>2191</v>
      </c>
      <c r="K376" s="2" t="s">
        <v>2192</v>
      </c>
      <c r="L376" s="2" t="s">
        <v>200</v>
      </c>
      <c r="M376" s="2">
        <v>30269.0</v>
      </c>
      <c r="N376" s="2" t="s">
        <v>21</v>
      </c>
    </row>
    <row r="377" ht="15.75" customHeight="1">
      <c r="A377" s="2">
        <v>2013.0</v>
      </c>
      <c r="B377" s="2" t="s">
        <v>2193</v>
      </c>
      <c r="C377" s="2" t="s">
        <v>2194</v>
      </c>
      <c r="D377" s="2" t="str">
        <f>"262-681-2433"</f>
        <v>262-681-2433</v>
      </c>
      <c r="E377" s="2" t="s">
        <v>705</v>
      </c>
      <c r="F377" s="2" t="s">
        <v>2195</v>
      </c>
      <c r="G377" s="2" t="str">
        <f>"SR-773"</f>
        <v>SR-773</v>
      </c>
      <c r="H377" s="2" t="s">
        <v>2196</v>
      </c>
      <c r="I377" s="2" t="s">
        <v>2197</v>
      </c>
      <c r="K377" s="2" t="s">
        <v>2198</v>
      </c>
      <c r="L377" s="2" t="s">
        <v>193</v>
      </c>
      <c r="M377" s="2">
        <v>53402.0</v>
      </c>
      <c r="N377" s="2" t="s">
        <v>21</v>
      </c>
    </row>
    <row r="378" ht="15.75" customHeight="1">
      <c r="A378" s="2">
        <v>2013.0</v>
      </c>
      <c r="B378" s="2" t="s">
        <v>2199</v>
      </c>
      <c r="C378" s="2" t="s">
        <v>2200</v>
      </c>
      <c r="D378" s="2" t="str">
        <f>"813 249 6425"</f>
        <v>813 249 6425</v>
      </c>
      <c r="E378" s="2" t="s">
        <v>2201</v>
      </c>
      <c r="F378" s="2" t="s">
        <v>2202</v>
      </c>
      <c r="G378" s="2" t="str">
        <f>"SR-678"</f>
        <v>SR-678</v>
      </c>
      <c r="H378" s="2" t="s">
        <v>2203</v>
      </c>
      <c r="I378" s="2" t="s">
        <v>2204</v>
      </c>
      <c r="K378" s="2" t="s">
        <v>2205</v>
      </c>
      <c r="L378" s="2" t="s">
        <v>208</v>
      </c>
      <c r="M378" s="2">
        <v>33615.0</v>
      </c>
      <c r="N378" s="2" t="s">
        <v>21</v>
      </c>
    </row>
    <row r="379" ht="15.75" customHeight="1">
      <c r="A379" s="2">
        <v>2013.0</v>
      </c>
      <c r="B379" s="2" t="s">
        <v>2206</v>
      </c>
      <c r="C379" s="2" t="s">
        <v>2207</v>
      </c>
      <c r="D379" s="2" t="str">
        <f>"305-720-9488"</f>
        <v>305-720-9488</v>
      </c>
      <c r="E379" s="2" t="s">
        <v>267</v>
      </c>
      <c r="F379" s="2" t="s">
        <v>2208</v>
      </c>
      <c r="G379" s="2" t="str">
        <f>"SR-523"</f>
        <v>SR-523</v>
      </c>
      <c r="H379" s="2" t="s">
        <v>2209</v>
      </c>
      <c r="I379" s="2" t="s">
        <v>2210</v>
      </c>
      <c r="K379" s="2" t="s">
        <v>2211</v>
      </c>
      <c r="L379" s="2" t="s">
        <v>208</v>
      </c>
      <c r="M379" s="2">
        <v>33177.0</v>
      </c>
      <c r="N379" s="2" t="s">
        <v>21</v>
      </c>
    </row>
    <row r="380" ht="15.75" customHeight="1">
      <c r="A380" s="2">
        <v>2013.0</v>
      </c>
      <c r="B380" s="2" t="s">
        <v>2212</v>
      </c>
      <c r="C380" s="2" t="s">
        <v>2213</v>
      </c>
      <c r="D380" s="2" t="str">
        <f>"8477312647"</f>
        <v>8477312647</v>
      </c>
      <c r="E380" s="2" t="s">
        <v>2031</v>
      </c>
      <c r="F380" s="2" t="s">
        <v>2214</v>
      </c>
      <c r="G380" s="2" t="str">
        <f>"SR-653"</f>
        <v>SR-653</v>
      </c>
      <c r="H380" s="2" t="s">
        <v>2215</v>
      </c>
      <c r="I380" s="2" t="s">
        <v>2216</v>
      </c>
      <c r="K380" s="2" t="s">
        <v>2217</v>
      </c>
      <c r="L380" s="2" t="s">
        <v>105</v>
      </c>
      <c r="M380" s="2">
        <v>60099.0</v>
      </c>
      <c r="N380" s="2" t="s">
        <v>21</v>
      </c>
    </row>
    <row r="381" ht="15.75" customHeight="1">
      <c r="A381" s="2">
        <v>2013.0</v>
      </c>
      <c r="B381" s="2" t="s">
        <v>2218</v>
      </c>
      <c r="C381" s="2" t="s">
        <v>2219</v>
      </c>
      <c r="D381" s="2" t="str">
        <f>"5624833192"</f>
        <v>5624833192</v>
      </c>
      <c r="E381" s="2" t="s">
        <v>453</v>
      </c>
      <c r="F381" s="2" t="s">
        <v>2220</v>
      </c>
      <c r="G381" s="2" t="str">
        <f>"SR-780"</f>
        <v>SR-780</v>
      </c>
      <c r="H381" s="2" t="s">
        <v>2221</v>
      </c>
      <c r="I381" s="2" t="s">
        <v>2222</v>
      </c>
      <c r="K381" s="2" t="s">
        <v>2223</v>
      </c>
      <c r="L381" s="2" t="s">
        <v>222</v>
      </c>
      <c r="M381" s="2">
        <v>90650.0</v>
      </c>
      <c r="N381" s="2" t="s">
        <v>21</v>
      </c>
    </row>
    <row r="382" ht="15.75" customHeight="1">
      <c r="A382" s="2">
        <v>2013.0</v>
      </c>
      <c r="B382" s="2" t="s">
        <v>2224</v>
      </c>
      <c r="C382" s="2" t="s">
        <v>2225</v>
      </c>
      <c r="D382" s="2" t="str">
        <f>"605-338-2565"</f>
        <v>605-338-2565</v>
      </c>
      <c r="E382" s="2" t="s">
        <v>651</v>
      </c>
      <c r="F382" s="2" t="s">
        <v>2226</v>
      </c>
      <c r="G382" s="2" t="str">
        <f>"SR-578"</f>
        <v>SR-578</v>
      </c>
      <c r="H382" s="2" t="s">
        <v>2227</v>
      </c>
      <c r="I382" s="2" t="s">
        <v>2228</v>
      </c>
      <c r="K382" s="2" t="s">
        <v>919</v>
      </c>
      <c r="L382" s="2" t="s">
        <v>920</v>
      </c>
      <c r="M382" s="2">
        <v>57110.0</v>
      </c>
      <c r="N382" s="2" t="s">
        <v>21</v>
      </c>
    </row>
    <row r="383" ht="15.75" customHeight="1">
      <c r="A383" s="2">
        <v>2013.0</v>
      </c>
      <c r="B383" s="2" t="s">
        <v>2229</v>
      </c>
      <c r="C383" s="2" t="s">
        <v>2230</v>
      </c>
      <c r="D383" s="2" t="str">
        <f>"870 904 2196"</f>
        <v>870 904 2196</v>
      </c>
      <c r="E383" s="2" t="s">
        <v>824</v>
      </c>
      <c r="F383" s="2" t="s">
        <v>2231</v>
      </c>
      <c r="G383" s="2" t="str">
        <f>"SR-588"</f>
        <v>SR-588</v>
      </c>
      <c r="H383" s="2" t="s">
        <v>2232</v>
      </c>
      <c r="I383" s="2" t="s">
        <v>2233</v>
      </c>
      <c r="K383" s="2" t="s">
        <v>2234</v>
      </c>
      <c r="L383" s="2" t="s">
        <v>1012</v>
      </c>
      <c r="M383" s="2">
        <v>71860.0</v>
      </c>
      <c r="N383" s="2" t="s">
        <v>21</v>
      </c>
    </row>
    <row r="384" ht="15.75" customHeight="1">
      <c r="A384" s="2">
        <v>2013.0</v>
      </c>
      <c r="B384" s="2" t="s">
        <v>2235</v>
      </c>
      <c r="C384" s="2" t="s">
        <v>2236</v>
      </c>
      <c r="D384" s="2" t="str">
        <f>"303-791-8703"</f>
        <v>303-791-8703</v>
      </c>
      <c r="E384" s="2" t="s">
        <v>2237</v>
      </c>
      <c r="F384" s="2" t="s">
        <v>2238</v>
      </c>
      <c r="G384" s="2" t="str">
        <f>"SR-635"</f>
        <v>SR-635</v>
      </c>
      <c r="H384" s="2" t="s">
        <v>2239</v>
      </c>
      <c r="I384" s="2" t="s">
        <v>2240</v>
      </c>
      <c r="K384" s="2" t="s">
        <v>682</v>
      </c>
      <c r="L384" s="2" t="s">
        <v>157</v>
      </c>
      <c r="M384" s="2">
        <v>80126.0</v>
      </c>
      <c r="N384" s="2" t="s">
        <v>21</v>
      </c>
    </row>
    <row r="385" ht="15.75" customHeight="1">
      <c r="A385" s="2">
        <v>2013.0</v>
      </c>
      <c r="B385" s="2" t="s">
        <v>2241</v>
      </c>
      <c r="C385" s="2" t="s">
        <v>2242</v>
      </c>
      <c r="D385" s="2" t="str">
        <f>"269-545-0095"</f>
        <v>269-545-0095</v>
      </c>
      <c r="E385" s="2" t="s">
        <v>2243</v>
      </c>
      <c r="F385" s="2" t="s">
        <v>2244</v>
      </c>
      <c r="G385" s="2" t="str">
        <f>"SR-785"</f>
        <v>SR-785</v>
      </c>
      <c r="H385" s="2" t="s">
        <v>2245</v>
      </c>
      <c r="I385" s="2" t="s">
        <v>2246</v>
      </c>
      <c r="K385" s="2" t="s">
        <v>2247</v>
      </c>
      <c r="L385" s="2" t="s">
        <v>29</v>
      </c>
      <c r="M385" s="2">
        <v>49113.0</v>
      </c>
      <c r="N385" s="2" t="s">
        <v>21</v>
      </c>
    </row>
    <row r="386" ht="15.75" customHeight="1">
      <c r="A386" s="2">
        <v>2013.0</v>
      </c>
      <c r="B386" s="2" t="s">
        <v>2248</v>
      </c>
      <c r="C386" s="2" t="s">
        <v>2249</v>
      </c>
      <c r="D386" s="2" t="str">
        <f>"952-447-4750"</f>
        <v>952-447-4750</v>
      </c>
      <c r="E386" s="2" t="s">
        <v>2250</v>
      </c>
      <c r="F386" s="2" t="s">
        <v>2251</v>
      </c>
      <c r="G386" s="2" t="str">
        <f>"SR-784"</f>
        <v>SR-784</v>
      </c>
      <c r="H386" s="2" t="s">
        <v>2252</v>
      </c>
      <c r="I386" s="2" t="s">
        <v>2253</v>
      </c>
      <c r="K386" s="2" t="s">
        <v>1321</v>
      </c>
      <c r="L386" s="2" t="s">
        <v>62</v>
      </c>
      <c r="M386" s="2">
        <v>55372.0</v>
      </c>
      <c r="N386" s="2" t="s">
        <v>21</v>
      </c>
    </row>
    <row r="387" ht="15.75" customHeight="1">
      <c r="A387" s="2">
        <v>2013.0</v>
      </c>
      <c r="B387" s="2" t="s">
        <v>2254</v>
      </c>
      <c r="C387" s="2" t="s">
        <v>2255</v>
      </c>
      <c r="D387" s="2" t="str">
        <f>"806-549-3278"</f>
        <v>806-549-3278</v>
      </c>
      <c r="E387" s="2" t="s">
        <v>478</v>
      </c>
      <c r="F387" s="2" t="s">
        <v>2256</v>
      </c>
      <c r="G387" s="2" t="str">
        <f>"SR-725"</f>
        <v>SR-725</v>
      </c>
      <c r="H387" s="2" t="s">
        <v>2257</v>
      </c>
      <c r="I387" s="2" t="s">
        <v>2258</v>
      </c>
      <c r="K387" s="2" t="s">
        <v>1121</v>
      </c>
      <c r="L387" s="2" t="s">
        <v>172</v>
      </c>
      <c r="M387" s="2">
        <v>79424.0</v>
      </c>
      <c r="N387" s="2" t="s">
        <v>21</v>
      </c>
    </row>
    <row r="388" ht="15.75" customHeight="1">
      <c r="A388" s="2">
        <v>2013.0</v>
      </c>
      <c r="B388" s="2" t="s">
        <v>582</v>
      </c>
      <c r="D388" s="2" t="str">
        <f>"574 896 5329"</f>
        <v>574 896 5329</v>
      </c>
      <c r="E388" s="2" t="s">
        <v>2259</v>
      </c>
      <c r="F388" s="2" t="s">
        <v>585</v>
      </c>
      <c r="G388" s="2" t="str">
        <f>"SR-789"</f>
        <v>SR-789</v>
      </c>
      <c r="H388" s="2" t="s">
        <v>2260</v>
      </c>
      <c r="I388" s="2" t="s">
        <v>587</v>
      </c>
      <c r="K388" s="2" t="s">
        <v>371</v>
      </c>
      <c r="L388" s="2" t="s">
        <v>149</v>
      </c>
      <c r="M388" s="2">
        <v>46366.0</v>
      </c>
      <c r="N388" s="2" t="s">
        <v>21</v>
      </c>
    </row>
    <row r="389" ht="15.75" customHeight="1">
      <c r="A389" s="2">
        <v>2013.0</v>
      </c>
      <c r="B389" s="2" t="s">
        <v>2261</v>
      </c>
      <c r="C389" s="2" t="s">
        <v>2262</v>
      </c>
      <c r="D389" s="2" t="str">
        <f>"952-431-4113"</f>
        <v>952-431-4113</v>
      </c>
      <c r="E389" s="2" t="s">
        <v>2263</v>
      </c>
      <c r="F389" s="2" t="s">
        <v>2264</v>
      </c>
      <c r="G389" s="2" t="str">
        <f>"SR-792"</f>
        <v>SR-792</v>
      </c>
      <c r="H389" s="2" t="s">
        <v>2265</v>
      </c>
      <c r="I389" s="2" t="s">
        <v>2266</v>
      </c>
      <c r="K389" s="2" t="s">
        <v>2267</v>
      </c>
      <c r="L389" s="2" t="s">
        <v>62</v>
      </c>
      <c r="M389" s="2">
        <v>55044.0</v>
      </c>
      <c r="N389" s="2" t="s">
        <v>21</v>
      </c>
    </row>
    <row r="390" ht="15.75" customHeight="1">
      <c r="A390" s="2">
        <v>2013.0</v>
      </c>
      <c r="B390" s="2" t="s">
        <v>2268</v>
      </c>
      <c r="C390" s="2" t="s">
        <v>2268</v>
      </c>
      <c r="D390" s="2" t="str">
        <f>"561-447-9120"</f>
        <v>561-447-9120</v>
      </c>
      <c r="E390" s="2" t="s">
        <v>2269</v>
      </c>
      <c r="F390" s="2" t="s">
        <v>2270</v>
      </c>
      <c r="G390" s="2" t="str">
        <f>"SR-314"</f>
        <v>SR-314</v>
      </c>
      <c r="H390" s="2" t="s">
        <v>2271</v>
      </c>
      <c r="I390" s="2" t="s">
        <v>2272</v>
      </c>
      <c r="K390" s="2" t="s">
        <v>2273</v>
      </c>
      <c r="L390" s="2" t="s">
        <v>208</v>
      </c>
      <c r="M390" s="2">
        <v>33432.0</v>
      </c>
      <c r="N390" s="2" t="s">
        <v>21</v>
      </c>
    </row>
    <row r="391" ht="15.75" customHeight="1">
      <c r="A391" s="2">
        <v>2013.0</v>
      </c>
      <c r="B391" s="2" t="s">
        <v>2274</v>
      </c>
      <c r="D391" s="2" t="str">
        <f>"907 561 7020"</f>
        <v>907 561 7020</v>
      </c>
      <c r="E391" s="2" t="s">
        <v>50</v>
      </c>
      <c r="F391" s="2" t="s">
        <v>2275</v>
      </c>
      <c r="G391" s="2" t="str">
        <f>"SR-645"</f>
        <v>SR-645</v>
      </c>
      <c r="H391" s="2" t="s">
        <v>2276</v>
      </c>
      <c r="I391" s="2" t="s">
        <v>2277</v>
      </c>
      <c r="K391" s="2" t="s">
        <v>69</v>
      </c>
      <c r="L391" s="2" t="s">
        <v>70</v>
      </c>
      <c r="M391" s="2">
        <v>99508.0</v>
      </c>
      <c r="N391" s="2" t="s">
        <v>21</v>
      </c>
    </row>
    <row r="392" ht="15.75" customHeight="1">
      <c r="A392" s="2">
        <v>2013.0</v>
      </c>
      <c r="B392" s="2" t="s">
        <v>2278</v>
      </c>
      <c r="C392" s="2" t="s">
        <v>2278</v>
      </c>
      <c r="D392" s="2" t="str">
        <f>"7123300546"</f>
        <v>7123300546</v>
      </c>
      <c r="E392" s="2" t="s">
        <v>2018</v>
      </c>
      <c r="F392" s="2" t="s">
        <v>2279</v>
      </c>
      <c r="G392" s="2" t="str">
        <f>"SR-575"</f>
        <v>SR-575</v>
      </c>
      <c r="H392" s="2" t="s">
        <v>2280</v>
      </c>
      <c r="I392" s="2" t="s">
        <v>2281</v>
      </c>
      <c r="K392" s="2" t="s">
        <v>2282</v>
      </c>
      <c r="L392" s="2" t="s">
        <v>560</v>
      </c>
      <c r="M392" s="2">
        <v>51360.0</v>
      </c>
      <c r="N392" s="2" t="s">
        <v>21</v>
      </c>
    </row>
    <row r="393" ht="15.75" customHeight="1">
      <c r="A393" s="2">
        <v>2013.0</v>
      </c>
      <c r="B393" s="2" t="s">
        <v>2283</v>
      </c>
      <c r="C393" s="2" t="s">
        <v>2284</v>
      </c>
      <c r="D393" s="2" t="str">
        <f>"575-589-7605"</f>
        <v>575-589-7605</v>
      </c>
      <c r="E393" s="2" t="s">
        <v>1554</v>
      </c>
      <c r="F393" s="2" t="s">
        <v>2285</v>
      </c>
      <c r="G393" s="2" t="str">
        <f>"SR-722"</f>
        <v>SR-722</v>
      </c>
      <c r="H393" s="2" t="s">
        <v>2286</v>
      </c>
      <c r="I393" s="2" t="s">
        <v>2287</v>
      </c>
      <c r="K393" s="2" t="s">
        <v>2288</v>
      </c>
      <c r="L393" s="2" t="s">
        <v>789</v>
      </c>
      <c r="M393" s="2">
        <v>88008.0</v>
      </c>
      <c r="N393" s="2" t="s">
        <v>21</v>
      </c>
    </row>
    <row r="394" ht="15.75" customHeight="1">
      <c r="A394" s="2">
        <v>2013.0</v>
      </c>
      <c r="B394" s="2" t="s">
        <v>2289</v>
      </c>
      <c r="C394" s="2" t="s">
        <v>2290</v>
      </c>
      <c r="D394" s="2" t="str">
        <f>"(248)569-2145"</f>
        <v>(248)569-2145</v>
      </c>
      <c r="E394" s="2" t="s">
        <v>385</v>
      </c>
      <c r="F394" s="2" t="s">
        <v>457</v>
      </c>
      <c r="G394" s="2" t="str">
        <f>"SR-468"</f>
        <v>SR-468</v>
      </c>
      <c r="H394" s="2" t="s">
        <v>2291</v>
      </c>
      <c r="I394" s="2" t="s">
        <v>2292</v>
      </c>
      <c r="K394" s="2" t="s">
        <v>2293</v>
      </c>
      <c r="L394" s="2" t="s">
        <v>29</v>
      </c>
      <c r="M394" s="2">
        <v>48076.0</v>
      </c>
      <c r="N394" s="2" t="s">
        <v>21</v>
      </c>
    </row>
    <row r="395" ht="15.75" customHeight="1">
      <c r="A395" s="2">
        <v>2013.0</v>
      </c>
      <c r="B395" s="2" t="s">
        <v>2294</v>
      </c>
      <c r="C395" s="2" t="s">
        <v>2295</v>
      </c>
      <c r="D395" s="2" t="str">
        <f>"817 832 0392"</f>
        <v>817 832 0392</v>
      </c>
      <c r="E395" s="2" t="s">
        <v>2296</v>
      </c>
      <c r="F395" s="2" t="s">
        <v>2297</v>
      </c>
      <c r="G395" s="2" t="str">
        <f>"SR-733"</f>
        <v>SR-733</v>
      </c>
      <c r="H395" s="2" t="s">
        <v>2298</v>
      </c>
      <c r="I395" s="2" t="s">
        <v>2299</v>
      </c>
      <c r="K395" s="2" t="s">
        <v>1260</v>
      </c>
      <c r="L395" s="2" t="s">
        <v>172</v>
      </c>
      <c r="M395" s="2">
        <v>76110.0</v>
      </c>
      <c r="N395" s="2" t="s">
        <v>21</v>
      </c>
    </row>
    <row r="396" ht="15.75" customHeight="1">
      <c r="A396" s="2">
        <v>2013.0</v>
      </c>
      <c r="B396" s="2" t="s">
        <v>2300</v>
      </c>
      <c r="C396" s="2" t="s">
        <v>2300</v>
      </c>
      <c r="D396" s="2" t="str">
        <f>"(623)-229-8002"</f>
        <v>(623)-229-8002</v>
      </c>
      <c r="E396" s="2" t="s">
        <v>2301</v>
      </c>
      <c r="F396" s="2" t="s">
        <v>2302</v>
      </c>
      <c r="G396" s="2" t="str">
        <f>"SR-781"</f>
        <v>SR-781</v>
      </c>
      <c r="H396" s="2" t="s">
        <v>2303</v>
      </c>
      <c r="I396" s="2" t="s">
        <v>2304</v>
      </c>
      <c r="K396" s="2" t="s">
        <v>2305</v>
      </c>
      <c r="L396" s="2" t="s">
        <v>422</v>
      </c>
      <c r="M396" s="2">
        <v>85392.0</v>
      </c>
      <c r="N396" s="2" t="s">
        <v>21</v>
      </c>
    </row>
    <row r="397" ht="15.75" customHeight="1">
      <c r="A397" s="2">
        <v>2013.0</v>
      </c>
      <c r="B397" s="2" t="s">
        <v>2187</v>
      </c>
      <c r="D397" s="2" t="str">
        <f>"404-202-5409"</f>
        <v>404-202-5409</v>
      </c>
      <c r="E397" s="2" t="s">
        <v>2306</v>
      </c>
      <c r="F397" s="2" t="s">
        <v>2189</v>
      </c>
      <c r="G397" s="2" t="str">
        <f>"SR-801"</f>
        <v>SR-801</v>
      </c>
      <c r="H397" s="2" t="s">
        <v>2307</v>
      </c>
      <c r="I397" s="2" t="s">
        <v>2191</v>
      </c>
      <c r="K397" s="2" t="s">
        <v>2192</v>
      </c>
      <c r="L397" s="2" t="s">
        <v>200</v>
      </c>
      <c r="M397" s="2">
        <v>30269.0</v>
      </c>
      <c r="N397" s="2" t="s">
        <v>21</v>
      </c>
    </row>
    <row r="398" ht="15.75" customHeight="1">
      <c r="A398" s="2">
        <v>2013.0</v>
      </c>
      <c r="B398" s="2" t="s">
        <v>2308</v>
      </c>
      <c r="D398" s="2" t="str">
        <f>""</f>
        <v/>
      </c>
      <c r="E398" s="2" t="s">
        <v>2309</v>
      </c>
      <c r="F398" s="2" t="s">
        <v>2310</v>
      </c>
      <c r="G398" s="2" t="str">
        <f>"SR-800"</f>
        <v>SR-800</v>
      </c>
      <c r="H398" s="2" t="s">
        <v>2311</v>
      </c>
      <c r="N398" s="2" t="s">
        <v>21</v>
      </c>
    </row>
    <row r="399" ht="15.75" customHeight="1">
      <c r="A399" s="2">
        <v>2013.0</v>
      </c>
      <c r="B399" s="2" t="s">
        <v>2312</v>
      </c>
      <c r="C399" s="2" t="s">
        <v>2313</v>
      </c>
      <c r="D399" s="2" t="str">
        <f>"626-610-5329"</f>
        <v>626-610-5329</v>
      </c>
      <c r="E399" s="2" t="s">
        <v>2314</v>
      </c>
      <c r="F399" s="2" t="s">
        <v>51</v>
      </c>
      <c r="G399" s="2" t="str">
        <f>"SR-806"</f>
        <v>SR-806</v>
      </c>
      <c r="H399" s="2" t="s">
        <v>2315</v>
      </c>
      <c r="I399" s="2" t="s">
        <v>2316</v>
      </c>
      <c r="K399" s="2" t="s">
        <v>2317</v>
      </c>
      <c r="L399" s="2" t="s">
        <v>157</v>
      </c>
      <c r="M399" s="2">
        <v>80504.0</v>
      </c>
      <c r="N399" s="2" t="s">
        <v>21</v>
      </c>
    </row>
    <row r="400" ht="15.75" customHeight="1">
      <c r="A400" s="2">
        <v>2013.0</v>
      </c>
      <c r="B400" s="2" t="s">
        <v>2318</v>
      </c>
      <c r="C400" s="2" t="s">
        <v>2318</v>
      </c>
      <c r="D400" s="2" t="str">
        <f>"623-236-5627"</f>
        <v>623-236-5627</v>
      </c>
      <c r="E400" s="2" t="s">
        <v>456</v>
      </c>
      <c r="F400" s="2" t="s">
        <v>2319</v>
      </c>
      <c r="G400" s="2" t="str">
        <f>"SR-296"</f>
        <v>SR-296</v>
      </c>
      <c r="H400" s="2" t="s">
        <v>2320</v>
      </c>
      <c r="I400" s="2" t="s">
        <v>2321</v>
      </c>
      <c r="K400" s="2" t="s">
        <v>1133</v>
      </c>
      <c r="L400" s="2" t="s">
        <v>422</v>
      </c>
      <c r="M400" s="2">
        <v>85301.0</v>
      </c>
      <c r="N400" s="2" t="s">
        <v>21</v>
      </c>
    </row>
    <row r="401" ht="15.75" customHeight="1">
      <c r="A401" s="2">
        <v>2013.0</v>
      </c>
      <c r="B401" s="2" t="s">
        <v>2322</v>
      </c>
      <c r="C401" s="2" t="s">
        <v>2322</v>
      </c>
      <c r="D401" s="2" t="str">
        <f>"(906) 863-8085"</f>
        <v>(906) 863-8085</v>
      </c>
      <c r="E401" s="2" t="s">
        <v>261</v>
      </c>
      <c r="F401" s="2" t="s">
        <v>2323</v>
      </c>
      <c r="G401" s="2" t="str">
        <f>"SR-778"</f>
        <v>SR-778</v>
      </c>
      <c r="H401" s="2" t="s">
        <v>2324</v>
      </c>
      <c r="I401" s="2" t="s">
        <v>2325</v>
      </c>
      <c r="K401" s="2" t="s">
        <v>1849</v>
      </c>
      <c r="L401" s="2" t="s">
        <v>29</v>
      </c>
      <c r="M401" s="2">
        <v>49893.0</v>
      </c>
      <c r="N401" s="2" t="s">
        <v>21</v>
      </c>
    </row>
    <row r="402" ht="15.75" customHeight="1">
      <c r="A402" s="2">
        <v>2013.0</v>
      </c>
      <c r="B402" s="2" t="s">
        <v>2326</v>
      </c>
      <c r="C402" s="2" t="s">
        <v>2327</v>
      </c>
      <c r="D402" s="2" t="str">
        <f>"(952) 949-1212"</f>
        <v>(952) 949-1212</v>
      </c>
      <c r="E402" s="2" t="s">
        <v>50</v>
      </c>
      <c r="F402" s="2" t="s">
        <v>2328</v>
      </c>
      <c r="G402" s="2" t="str">
        <f>"SR-777"</f>
        <v>SR-777</v>
      </c>
      <c r="H402" s="2" t="s">
        <v>2329</v>
      </c>
      <c r="I402" s="2" t="s">
        <v>2330</v>
      </c>
      <c r="K402" s="2" t="s">
        <v>1490</v>
      </c>
      <c r="L402" s="2" t="s">
        <v>62</v>
      </c>
      <c r="M402" s="2">
        <v>55347.0</v>
      </c>
      <c r="N402" s="2" t="s">
        <v>21</v>
      </c>
    </row>
    <row r="403" ht="15.75" customHeight="1">
      <c r="A403" s="2">
        <v>2013.0</v>
      </c>
      <c r="B403" s="2" t="s">
        <v>2331</v>
      </c>
      <c r="C403" s="2" t="s">
        <v>2331</v>
      </c>
      <c r="D403" s="2" t="str">
        <f>"574-440-9978"</f>
        <v>574-440-9978</v>
      </c>
      <c r="E403" s="2" t="s">
        <v>2332</v>
      </c>
      <c r="F403" s="2" t="s">
        <v>2333</v>
      </c>
      <c r="G403" s="2" t="str">
        <f>"SR-808"</f>
        <v>SR-808</v>
      </c>
      <c r="H403" s="2" t="s">
        <v>2334</v>
      </c>
      <c r="I403" s="2" t="s">
        <v>2335</v>
      </c>
      <c r="K403" s="2" t="s">
        <v>2336</v>
      </c>
      <c r="L403" s="2" t="s">
        <v>149</v>
      </c>
      <c r="M403" s="2">
        <v>46534.0</v>
      </c>
      <c r="N403" s="2" t="s">
        <v>21</v>
      </c>
    </row>
    <row r="404" ht="15.75" customHeight="1">
      <c r="A404" s="2">
        <v>2013.0</v>
      </c>
      <c r="B404" s="2" t="s">
        <v>2337</v>
      </c>
      <c r="C404" s="2" t="s">
        <v>2337</v>
      </c>
      <c r="D404" s="2" t="str">
        <f>"(231)206-0037"</f>
        <v>(231)206-0037</v>
      </c>
      <c r="E404" s="2" t="s">
        <v>2338</v>
      </c>
      <c r="F404" s="2" t="s">
        <v>2339</v>
      </c>
      <c r="G404" s="2" t="str">
        <f>"SR-815"</f>
        <v>SR-815</v>
      </c>
      <c r="H404" s="2" t="s">
        <v>2340</v>
      </c>
      <c r="I404" s="2" t="s">
        <v>2341</v>
      </c>
      <c r="K404" s="2" t="s">
        <v>2342</v>
      </c>
      <c r="L404" s="2" t="s">
        <v>29</v>
      </c>
      <c r="M404" s="2">
        <v>49437.0</v>
      </c>
      <c r="N404" s="2" t="s">
        <v>21</v>
      </c>
    </row>
    <row r="405" ht="15.75" customHeight="1">
      <c r="A405" s="2">
        <v>2013.0</v>
      </c>
      <c r="B405" s="2" t="s">
        <v>2343</v>
      </c>
      <c r="C405" s="2" t="s">
        <v>2343</v>
      </c>
      <c r="D405" s="2" t="str">
        <f>"(970) 290-8223"</f>
        <v>(970) 290-8223</v>
      </c>
      <c r="E405" s="2" t="s">
        <v>2344</v>
      </c>
      <c r="F405" s="2" t="s">
        <v>2345</v>
      </c>
      <c r="G405" s="2" t="str">
        <f>"SR-676"</f>
        <v>SR-676</v>
      </c>
      <c r="H405" s="2" t="s">
        <v>2346</v>
      </c>
      <c r="I405" s="2" t="s">
        <v>2347</v>
      </c>
      <c r="K405" s="2" t="s">
        <v>1048</v>
      </c>
      <c r="L405" s="2" t="s">
        <v>157</v>
      </c>
      <c r="M405" s="2">
        <v>80537.0</v>
      </c>
      <c r="N405" s="2" t="s">
        <v>21</v>
      </c>
    </row>
    <row r="406" ht="15.75" customHeight="1">
      <c r="A406" s="2">
        <v>2013.0</v>
      </c>
      <c r="B406" s="2" t="s">
        <v>2348</v>
      </c>
      <c r="C406" s="2" t="s">
        <v>2349</v>
      </c>
      <c r="D406" s="2" t="str">
        <f>"2318939299"</f>
        <v>2318939299</v>
      </c>
      <c r="E406" s="2" t="s">
        <v>203</v>
      </c>
      <c r="F406" s="2" t="s">
        <v>2350</v>
      </c>
      <c r="G406" s="2" t="str">
        <f>"SR-817"</f>
        <v>SR-817</v>
      </c>
      <c r="H406" s="2" t="s">
        <v>2351</v>
      </c>
      <c r="I406" s="2" t="s">
        <v>2352</v>
      </c>
      <c r="K406" s="2" t="s">
        <v>2342</v>
      </c>
      <c r="L406" s="2" t="s">
        <v>29</v>
      </c>
      <c r="M406" s="2">
        <v>49437.0</v>
      </c>
      <c r="N406" s="2" t="s">
        <v>21</v>
      </c>
    </row>
    <row r="407" ht="15.75" customHeight="1">
      <c r="A407" s="2">
        <v>2013.0</v>
      </c>
      <c r="B407" s="2" t="s">
        <v>2353</v>
      </c>
      <c r="C407" s="2" t="s">
        <v>2354</v>
      </c>
      <c r="D407" s="2" t="str">
        <f>"469-225-4081"</f>
        <v>469-225-4081</v>
      </c>
      <c r="E407" s="2" t="s">
        <v>2355</v>
      </c>
      <c r="F407" s="2" t="s">
        <v>847</v>
      </c>
      <c r="G407" s="2" t="str">
        <f>"SR-701"</f>
        <v>SR-701</v>
      </c>
      <c r="H407" s="2" t="s">
        <v>2356</v>
      </c>
      <c r="I407" s="2" t="s">
        <v>2357</v>
      </c>
      <c r="K407" s="2" t="s">
        <v>2358</v>
      </c>
      <c r="L407" s="2" t="s">
        <v>172</v>
      </c>
      <c r="M407" s="2">
        <v>75154.0</v>
      </c>
      <c r="N407" s="2" t="s">
        <v>21</v>
      </c>
    </row>
    <row r="408" ht="15.75" customHeight="1">
      <c r="A408" s="2">
        <v>2013.0</v>
      </c>
      <c r="B408" s="2" t="s">
        <v>2359</v>
      </c>
      <c r="C408" s="2" t="s">
        <v>2360</v>
      </c>
      <c r="D408" s="2" t="str">
        <f>"719.694.9640"</f>
        <v>719.694.9640</v>
      </c>
      <c r="E408" s="2" t="s">
        <v>2361</v>
      </c>
      <c r="F408" s="2" t="s">
        <v>2362</v>
      </c>
      <c r="G408" s="2" t="str">
        <f>"SR-807"</f>
        <v>SR-807</v>
      </c>
      <c r="H408" s="2" t="s">
        <v>2363</v>
      </c>
      <c r="I408" s="2" t="s">
        <v>2364</v>
      </c>
      <c r="K408" s="2" t="s">
        <v>809</v>
      </c>
      <c r="L408" s="2" t="s">
        <v>157</v>
      </c>
      <c r="M408" s="2">
        <v>80918.0</v>
      </c>
      <c r="N408" s="2" t="s">
        <v>21</v>
      </c>
    </row>
    <row r="409" ht="15.75" customHeight="1">
      <c r="A409" s="2">
        <v>2013.0</v>
      </c>
      <c r="B409" s="2" t="s">
        <v>2365</v>
      </c>
      <c r="C409" s="2" t="s">
        <v>2366</v>
      </c>
      <c r="D409" s="2" t="str">
        <f>"970-846-7638"</f>
        <v>970-846-7638</v>
      </c>
      <c r="E409" s="2" t="s">
        <v>2367</v>
      </c>
      <c r="F409" s="2" t="s">
        <v>2368</v>
      </c>
      <c r="G409" s="2" t="str">
        <f>"SR-443"</f>
        <v>SR-443</v>
      </c>
      <c r="H409" s="2" t="s">
        <v>2369</v>
      </c>
      <c r="I409" s="2" t="s">
        <v>2370</v>
      </c>
      <c r="K409" s="2" t="s">
        <v>2371</v>
      </c>
      <c r="L409" s="2" t="s">
        <v>157</v>
      </c>
      <c r="M409" s="2">
        <v>80477.0</v>
      </c>
      <c r="N409" s="2" t="s">
        <v>21</v>
      </c>
    </row>
    <row r="410" ht="15.75" customHeight="1">
      <c r="A410" s="2">
        <v>2013.0</v>
      </c>
      <c r="B410" s="2" t="s">
        <v>2372</v>
      </c>
      <c r="C410" s="2" t="s">
        <v>2372</v>
      </c>
      <c r="D410" s="2" t="str">
        <f>"970-663-1023"</f>
        <v>970-663-1023</v>
      </c>
      <c r="E410" s="2" t="s">
        <v>2373</v>
      </c>
      <c r="F410" s="2" t="s">
        <v>2374</v>
      </c>
      <c r="G410" s="2" t="str">
        <f>"SR-698"</f>
        <v>SR-698</v>
      </c>
      <c r="H410" s="2" t="s">
        <v>2375</v>
      </c>
      <c r="I410" s="2" t="s">
        <v>2376</v>
      </c>
      <c r="K410" s="2" t="s">
        <v>1048</v>
      </c>
      <c r="L410" s="2" t="s">
        <v>157</v>
      </c>
      <c r="M410" s="2">
        <v>80538.0</v>
      </c>
      <c r="N410" s="2" t="s">
        <v>21</v>
      </c>
    </row>
    <row r="411" ht="15.75" customHeight="1">
      <c r="A411" s="2">
        <v>2013.0</v>
      </c>
      <c r="B411" s="2" t="s">
        <v>2377</v>
      </c>
      <c r="C411" s="2" t="s">
        <v>2377</v>
      </c>
      <c r="D411" s="2" t="str">
        <f>"31-260-4476"</f>
        <v>31-260-4476</v>
      </c>
      <c r="E411" s="2" t="s">
        <v>2378</v>
      </c>
      <c r="F411" s="2" t="s">
        <v>2379</v>
      </c>
      <c r="G411" s="2" t="str">
        <f>"SR-279"</f>
        <v>SR-279</v>
      </c>
      <c r="H411" s="2" t="s">
        <v>2380</v>
      </c>
      <c r="I411" s="2" t="s">
        <v>2381</v>
      </c>
      <c r="K411" s="2" t="s">
        <v>606</v>
      </c>
      <c r="L411" s="2" t="s">
        <v>272</v>
      </c>
      <c r="M411" s="2">
        <v>67209.0</v>
      </c>
      <c r="N411" s="2" t="s">
        <v>21</v>
      </c>
    </row>
    <row r="412" ht="15.75" customHeight="1">
      <c r="A412" s="2">
        <v>2013.0</v>
      </c>
      <c r="B412" s="2" t="s">
        <v>2382</v>
      </c>
      <c r="C412" s="2" t="s">
        <v>2383</v>
      </c>
      <c r="D412" s="2" t="str">
        <f>"541-664-2848"</f>
        <v>541-664-2848</v>
      </c>
      <c r="E412" s="2" t="s">
        <v>2384</v>
      </c>
      <c r="F412" s="2" t="s">
        <v>2385</v>
      </c>
      <c r="G412" s="2" t="str">
        <f>"SR-726"</f>
        <v>SR-726</v>
      </c>
      <c r="H412" s="2" t="s">
        <v>2386</v>
      </c>
      <c r="I412" s="2" t="s">
        <v>2387</v>
      </c>
      <c r="K412" s="2" t="s">
        <v>2388</v>
      </c>
      <c r="L412" s="2" t="s">
        <v>2389</v>
      </c>
      <c r="M412" s="2">
        <v>97502.0</v>
      </c>
      <c r="N412" s="2" t="s">
        <v>21</v>
      </c>
    </row>
    <row r="413" ht="15.75" customHeight="1">
      <c r="A413" s="2">
        <v>2013.0</v>
      </c>
      <c r="B413" s="2" t="s">
        <v>2390</v>
      </c>
      <c r="C413" s="2" t="s">
        <v>2391</v>
      </c>
      <c r="D413" s="2" t="str">
        <f>"1-780-872-0873"</f>
        <v>1-780-872-0873</v>
      </c>
      <c r="E413" s="2" t="s">
        <v>2392</v>
      </c>
      <c r="F413" s="2" t="s">
        <v>2393</v>
      </c>
      <c r="G413" s="2" t="str">
        <f>"SR-737"</f>
        <v>SR-737</v>
      </c>
      <c r="H413" s="2" t="s">
        <v>2394</v>
      </c>
      <c r="I413" s="2" t="s">
        <v>2395</v>
      </c>
      <c r="K413" s="2" t="s">
        <v>2396</v>
      </c>
      <c r="L413" s="2" t="s">
        <v>2397</v>
      </c>
      <c r="M413" s="2" t="s">
        <v>2398</v>
      </c>
      <c r="N413" s="2" t="s">
        <v>1602</v>
      </c>
    </row>
    <row r="414" ht="15.75" customHeight="1">
      <c r="A414" s="2">
        <v>2013.0</v>
      </c>
      <c r="B414" s="2" t="s">
        <v>2399</v>
      </c>
      <c r="C414" s="2" t="s">
        <v>2400</v>
      </c>
      <c r="D414" s="2" t="str">
        <f>"616-481-5806"</f>
        <v>616-481-5806</v>
      </c>
      <c r="E414" s="2" t="s">
        <v>2401</v>
      </c>
      <c r="F414" s="2" t="s">
        <v>2402</v>
      </c>
      <c r="G414" s="2" t="str">
        <f>"SR-796"</f>
        <v>SR-796</v>
      </c>
      <c r="H414" s="2" t="s">
        <v>2403</v>
      </c>
      <c r="I414" s="2" t="s">
        <v>2404</v>
      </c>
      <c r="K414" s="2" t="s">
        <v>2405</v>
      </c>
      <c r="L414" s="2" t="s">
        <v>29</v>
      </c>
      <c r="M414" s="2">
        <v>49306.0</v>
      </c>
      <c r="N414" s="2" t="s">
        <v>21</v>
      </c>
    </row>
    <row r="415" ht="15.75" customHeight="1">
      <c r="A415" s="2">
        <v>2013.0</v>
      </c>
      <c r="B415" s="2" t="s">
        <v>2406</v>
      </c>
      <c r="C415" s="2" t="s">
        <v>2406</v>
      </c>
      <c r="D415" s="2" t="str">
        <f>"256-216-6890"</f>
        <v>256-216-6890</v>
      </c>
      <c r="E415" s="2" t="s">
        <v>465</v>
      </c>
      <c r="F415" s="2" t="s">
        <v>2407</v>
      </c>
      <c r="G415" s="2" t="str">
        <f>"SR-460"</f>
        <v>SR-460</v>
      </c>
      <c r="H415" s="2" t="s">
        <v>2408</v>
      </c>
      <c r="I415" s="2" t="s">
        <v>2409</v>
      </c>
      <c r="K415" s="2" t="s">
        <v>2410</v>
      </c>
      <c r="L415" s="2" t="s">
        <v>539</v>
      </c>
      <c r="M415" s="2">
        <v>35620.0</v>
      </c>
      <c r="N415" s="2" t="s">
        <v>21</v>
      </c>
    </row>
    <row r="416" ht="15.75" customHeight="1">
      <c r="A416" s="2">
        <v>2013.0</v>
      </c>
      <c r="B416" s="2" t="s">
        <v>2411</v>
      </c>
      <c r="C416" s="2" t="s">
        <v>2411</v>
      </c>
      <c r="D416" s="2" t="str">
        <f>"9524030781"</f>
        <v>9524030781</v>
      </c>
      <c r="E416" s="2" t="s">
        <v>2412</v>
      </c>
      <c r="F416" s="2" t="s">
        <v>2413</v>
      </c>
      <c r="G416" s="2" t="str">
        <f>"SR-813"</f>
        <v>SR-813</v>
      </c>
      <c r="H416" s="2" t="s">
        <v>2414</v>
      </c>
      <c r="I416" s="2" t="s">
        <v>2415</v>
      </c>
      <c r="K416" s="2" t="s">
        <v>1765</v>
      </c>
      <c r="L416" s="2" t="s">
        <v>62</v>
      </c>
      <c r="M416" s="2">
        <v>55378.0</v>
      </c>
      <c r="N416" s="2" t="s">
        <v>21</v>
      </c>
    </row>
    <row r="417" ht="15.75" customHeight="1">
      <c r="A417" s="2">
        <v>2013.0</v>
      </c>
      <c r="B417" s="2" t="s">
        <v>2416</v>
      </c>
      <c r="C417" s="2" t="s">
        <v>2417</v>
      </c>
      <c r="D417" s="2" t="str">
        <f>"614-459-6671"</f>
        <v>614-459-6671</v>
      </c>
      <c r="E417" s="2" t="s">
        <v>485</v>
      </c>
      <c r="F417" s="2" t="s">
        <v>2418</v>
      </c>
      <c r="G417" s="2" t="str">
        <f>"SR-373"</f>
        <v>SR-373</v>
      </c>
      <c r="H417" s="2" t="s">
        <v>2419</v>
      </c>
      <c r="I417" s="2" t="s">
        <v>2420</v>
      </c>
      <c r="K417" s="2" t="s">
        <v>2421</v>
      </c>
      <c r="L417" s="2" t="s">
        <v>344</v>
      </c>
      <c r="M417" s="2">
        <v>43235.0</v>
      </c>
      <c r="N417" s="2" t="s">
        <v>21</v>
      </c>
    </row>
    <row r="418" ht="15.75" customHeight="1">
      <c r="A418" s="2">
        <v>2013.0</v>
      </c>
      <c r="B418" s="2" t="s">
        <v>2422</v>
      </c>
      <c r="C418" s="2" t="s">
        <v>2423</v>
      </c>
      <c r="D418" s="2" t="str">
        <f>"9058520019"</f>
        <v>9058520019</v>
      </c>
      <c r="E418" s="2" t="s">
        <v>314</v>
      </c>
      <c r="F418" s="2" t="s">
        <v>2424</v>
      </c>
      <c r="G418" s="2" t="str">
        <f>"SR-616"</f>
        <v>SR-616</v>
      </c>
      <c r="H418" s="2" t="s">
        <v>2425</v>
      </c>
      <c r="I418" s="2" t="s">
        <v>2426</v>
      </c>
      <c r="K418" s="2" t="s">
        <v>2014</v>
      </c>
      <c r="L418" s="2" t="s">
        <v>2022</v>
      </c>
      <c r="N418" s="2" t="s">
        <v>1602</v>
      </c>
    </row>
    <row r="419" ht="15.75" customHeight="1">
      <c r="A419" s="2">
        <v>2013.0</v>
      </c>
      <c r="B419" s="2" t="s">
        <v>2427</v>
      </c>
      <c r="C419" s="2" t="s">
        <v>2428</v>
      </c>
      <c r="D419" s="2" t="str">
        <f>"6623222622"</f>
        <v>6623222622</v>
      </c>
      <c r="E419" s="2" t="s">
        <v>301</v>
      </c>
      <c r="F419" s="2" t="s">
        <v>2429</v>
      </c>
      <c r="G419" s="2" t="str">
        <f>"SR-829"</f>
        <v>SR-829</v>
      </c>
      <c r="H419" s="2" t="s">
        <v>2430</v>
      </c>
      <c r="I419" s="2" t="s">
        <v>2431</v>
      </c>
      <c r="K419" s="2" t="s">
        <v>2432</v>
      </c>
      <c r="L419" s="2" t="s">
        <v>1722</v>
      </c>
      <c r="M419" s="2">
        <v>38801.0</v>
      </c>
      <c r="N419" s="2" t="s">
        <v>21</v>
      </c>
    </row>
    <row r="420" ht="15.75" customHeight="1">
      <c r="A420" s="2">
        <v>2013.0</v>
      </c>
      <c r="B420" s="2" t="s">
        <v>2416</v>
      </c>
      <c r="D420" s="2" t="str">
        <f>"614-563-5982"</f>
        <v>614-563-5982</v>
      </c>
      <c r="E420" s="2" t="s">
        <v>2433</v>
      </c>
      <c r="F420" s="2" t="s">
        <v>2418</v>
      </c>
      <c r="G420" s="2" t="str">
        <f>"SR-826"</f>
        <v>SR-826</v>
      </c>
      <c r="H420" s="2" t="s">
        <v>2434</v>
      </c>
      <c r="I420" s="2" t="s">
        <v>2435</v>
      </c>
      <c r="K420" s="2" t="s">
        <v>2421</v>
      </c>
      <c r="L420" s="2" t="s">
        <v>344</v>
      </c>
      <c r="M420" s="2">
        <v>43235.0</v>
      </c>
      <c r="N420" s="2" t="s">
        <v>21</v>
      </c>
    </row>
    <row r="421" ht="15.75" customHeight="1">
      <c r="A421" s="2">
        <v>2013.0</v>
      </c>
      <c r="B421" s="2" t="s">
        <v>2436</v>
      </c>
      <c r="C421" s="2" t="s">
        <v>2437</v>
      </c>
      <c r="D421" s="2" t="str">
        <f>"(928)772-3387"</f>
        <v>(928)772-3387</v>
      </c>
      <c r="E421" s="2" t="s">
        <v>2438</v>
      </c>
      <c r="F421" s="2" t="s">
        <v>2439</v>
      </c>
      <c r="G421" s="2" t="str">
        <f>"SR-830"</f>
        <v>SR-830</v>
      </c>
      <c r="H421" s="2" t="s">
        <v>2440</v>
      </c>
      <c r="I421" s="2" t="s">
        <v>2441</v>
      </c>
      <c r="J421" s="2" t="s">
        <v>2442</v>
      </c>
      <c r="K421" s="2" t="s">
        <v>2443</v>
      </c>
      <c r="L421" s="2" t="s">
        <v>422</v>
      </c>
      <c r="M421" s="2">
        <v>86338.0</v>
      </c>
      <c r="N421" s="2" t="s">
        <v>21</v>
      </c>
    </row>
    <row r="422" ht="15.75" customHeight="1">
      <c r="A422" s="2">
        <v>2013.0</v>
      </c>
      <c r="B422" s="2" t="s">
        <v>2444</v>
      </c>
      <c r="C422" s="2" t="s">
        <v>2445</v>
      </c>
      <c r="D422" s="2" t="str">
        <f>"717-393-7392"</f>
        <v>717-393-7392</v>
      </c>
      <c r="E422" s="2" t="s">
        <v>843</v>
      </c>
      <c r="F422" s="2" t="s">
        <v>2446</v>
      </c>
      <c r="G422" s="2" t="str">
        <f>"SR-828"</f>
        <v>SR-828</v>
      </c>
      <c r="H422" s="2" t="s">
        <v>2447</v>
      </c>
      <c r="I422" s="2" t="s">
        <v>2448</v>
      </c>
      <c r="K422" s="2" t="s">
        <v>2449</v>
      </c>
      <c r="L422" s="2" t="s">
        <v>179</v>
      </c>
      <c r="M422" s="2">
        <v>17601.0</v>
      </c>
      <c r="N422" s="2" t="s">
        <v>21</v>
      </c>
    </row>
    <row r="423" ht="15.75" customHeight="1">
      <c r="A423" s="2">
        <v>2013.0</v>
      </c>
      <c r="B423" s="2" t="s">
        <v>2450</v>
      </c>
      <c r="C423" s="2" t="s">
        <v>2451</v>
      </c>
      <c r="D423" s="2" t="str">
        <f>"4029268911"</f>
        <v>4029268911</v>
      </c>
      <c r="E423" s="2" t="s">
        <v>2452</v>
      </c>
      <c r="F423" s="2" t="s">
        <v>2453</v>
      </c>
      <c r="G423" s="2" t="str">
        <f>"SR-835"</f>
        <v>SR-835</v>
      </c>
      <c r="H423" s="2" t="s">
        <v>2454</v>
      </c>
      <c r="I423" s="2" t="s">
        <v>2455</v>
      </c>
      <c r="K423" s="2" t="s">
        <v>1470</v>
      </c>
      <c r="L423" s="2" t="s">
        <v>757</v>
      </c>
      <c r="M423" s="2">
        <v>68116.0</v>
      </c>
      <c r="N423" s="2" t="s">
        <v>21</v>
      </c>
    </row>
    <row r="424" ht="15.75" customHeight="1">
      <c r="A424" s="2">
        <v>2013.0</v>
      </c>
      <c r="B424" s="2" t="s">
        <v>2456</v>
      </c>
      <c r="C424" s="2" t="s">
        <v>2457</v>
      </c>
      <c r="D424" s="2" t="str">
        <f>"540-955-9599"</f>
        <v>540-955-9599</v>
      </c>
      <c r="E424" s="2" t="s">
        <v>137</v>
      </c>
      <c r="F424" s="2" t="s">
        <v>2458</v>
      </c>
      <c r="G424" s="2" t="str">
        <f>"SR-834"</f>
        <v>SR-834</v>
      </c>
      <c r="H424" s="2" t="s">
        <v>2459</v>
      </c>
      <c r="I424" s="2" t="s">
        <v>2460</v>
      </c>
      <c r="K424" s="2" t="s">
        <v>2461</v>
      </c>
      <c r="L424" s="2" t="s">
        <v>165</v>
      </c>
      <c r="M424" s="2">
        <v>22611.0</v>
      </c>
      <c r="N424" s="2" t="s">
        <v>21</v>
      </c>
    </row>
    <row r="425" ht="15.75" customHeight="1">
      <c r="A425" s="2">
        <v>2013.0</v>
      </c>
      <c r="B425" s="2" t="s">
        <v>2462</v>
      </c>
      <c r="C425" s="2" t="s">
        <v>2463</v>
      </c>
      <c r="D425" s="2" t="str">
        <f>"972-837-4239"</f>
        <v>972-837-4239</v>
      </c>
      <c r="E425" s="2" t="s">
        <v>2464</v>
      </c>
      <c r="F425" s="2" t="s">
        <v>2465</v>
      </c>
      <c r="G425" s="2" t="str">
        <f>"SR-201"</f>
        <v>SR-201</v>
      </c>
      <c r="H425" s="2" t="s">
        <v>2466</v>
      </c>
      <c r="I425" s="2" t="s">
        <v>2467</v>
      </c>
      <c r="K425" s="2" t="s">
        <v>615</v>
      </c>
      <c r="L425" s="2" t="s">
        <v>172</v>
      </c>
      <c r="M425" s="2">
        <v>75071.0</v>
      </c>
      <c r="N425" s="2" t="s">
        <v>21</v>
      </c>
    </row>
    <row r="426" ht="15.75" customHeight="1">
      <c r="A426" s="2">
        <v>2013.0</v>
      </c>
      <c r="B426" s="2" t="s">
        <v>2468</v>
      </c>
      <c r="C426" s="2" t="s">
        <v>2468</v>
      </c>
      <c r="D426" s="2" t="str">
        <f>"918-720-3416"</f>
        <v>918-720-3416</v>
      </c>
      <c r="E426" s="2" t="s">
        <v>282</v>
      </c>
      <c r="F426" s="2" t="s">
        <v>962</v>
      </c>
      <c r="G426" s="2" t="str">
        <f>"SR-836"</f>
        <v>SR-836</v>
      </c>
      <c r="H426" s="2" t="s">
        <v>2469</v>
      </c>
      <c r="I426" s="2" t="s">
        <v>2470</v>
      </c>
      <c r="K426" s="2" t="s">
        <v>2471</v>
      </c>
      <c r="L426" s="2" t="s">
        <v>840</v>
      </c>
      <c r="M426" s="2">
        <v>74037.0</v>
      </c>
      <c r="N426" s="2" t="s">
        <v>21</v>
      </c>
    </row>
    <row r="427" ht="15.75" customHeight="1">
      <c r="A427" s="2">
        <v>2013.0</v>
      </c>
      <c r="B427" s="2" t="s">
        <v>2472</v>
      </c>
      <c r="C427" s="2" t="s">
        <v>2473</v>
      </c>
      <c r="D427" s="2" t="str">
        <f>"918-806-6150"</f>
        <v>918-806-6150</v>
      </c>
      <c r="E427" s="2" t="s">
        <v>43</v>
      </c>
      <c r="F427" s="2" t="s">
        <v>2474</v>
      </c>
      <c r="G427" s="2" t="str">
        <f>"SR-844"</f>
        <v>SR-844</v>
      </c>
      <c r="H427" s="2" t="s">
        <v>2475</v>
      </c>
      <c r="I427" s="2" t="s">
        <v>2476</v>
      </c>
      <c r="K427" s="2" t="s">
        <v>2477</v>
      </c>
      <c r="L427" s="2" t="s">
        <v>840</v>
      </c>
      <c r="M427" s="2">
        <v>74014.0</v>
      </c>
      <c r="N427" s="2" t="s">
        <v>21</v>
      </c>
    </row>
    <row r="428" ht="15.75" customHeight="1">
      <c r="A428" s="2">
        <v>2013.0</v>
      </c>
      <c r="B428" s="2" t="s">
        <v>2478</v>
      </c>
      <c r="C428" s="2" t="s">
        <v>2479</v>
      </c>
      <c r="D428" s="2" t="str">
        <f>"520-989-0244"</f>
        <v>520-989-0244</v>
      </c>
      <c r="E428" s="2" t="s">
        <v>2480</v>
      </c>
      <c r="F428" s="2" t="s">
        <v>2481</v>
      </c>
      <c r="G428" s="2" t="str">
        <f>"SR-847"</f>
        <v>SR-847</v>
      </c>
      <c r="H428" s="2" t="s">
        <v>2482</v>
      </c>
      <c r="I428" s="2" t="s">
        <v>2483</v>
      </c>
      <c r="K428" s="2" t="s">
        <v>2484</v>
      </c>
      <c r="L428" s="2" t="s">
        <v>422</v>
      </c>
      <c r="M428" s="2">
        <v>85755.0</v>
      </c>
      <c r="N428" s="2" t="s">
        <v>21</v>
      </c>
    </row>
    <row r="429" ht="15.75" customHeight="1">
      <c r="A429" s="2">
        <v>2013.0</v>
      </c>
      <c r="B429" s="2" t="s">
        <v>2485</v>
      </c>
      <c r="C429" s="2" t="s">
        <v>2485</v>
      </c>
      <c r="D429" s="2" t="str">
        <f>"7246785614"</f>
        <v>7246785614</v>
      </c>
      <c r="E429" s="2" t="s">
        <v>690</v>
      </c>
      <c r="F429" s="2" t="s">
        <v>2486</v>
      </c>
      <c r="G429" s="2" t="str">
        <f>"SR-771"</f>
        <v>SR-771</v>
      </c>
      <c r="H429" s="2" t="s">
        <v>2487</v>
      </c>
      <c r="I429" s="2" t="s">
        <v>2488</v>
      </c>
      <c r="K429" s="2" t="s">
        <v>821</v>
      </c>
      <c r="L429" s="2" t="s">
        <v>179</v>
      </c>
      <c r="M429" s="2">
        <v>15340.0</v>
      </c>
      <c r="N429" s="2" t="s">
        <v>21</v>
      </c>
    </row>
    <row r="430" ht="15.75" customHeight="1">
      <c r="A430" s="2">
        <v>2013.0</v>
      </c>
      <c r="B430" s="2" t="s">
        <v>2489</v>
      </c>
      <c r="C430" s="2" t="s">
        <v>2490</v>
      </c>
      <c r="D430" s="2" t="str">
        <f>"704-872-3991"</f>
        <v>704-872-3991</v>
      </c>
      <c r="E430" s="2" t="s">
        <v>167</v>
      </c>
      <c r="F430" s="2" t="s">
        <v>2491</v>
      </c>
      <c r="G430" s="2" t="str">
        <f>"SR-82"</f>
        <v>SR-82</v>
      </c>
      <c r="H430" s="2" t="s">
        <v>2492</v>
      </c>
      <c r="I430" s="2" t="s">
        <v>2493</v>
      </c>
      <c r="K430" s="2" t="s">
        <v>2494</v>
      </c>
      <c r="L430" s="2" t="s">
        <v>20</v>
      </c>
      <c r="M430" s="2">
        <v>28677.0</v>
      </c>
      <c r="N430" s="2" t="s">
        <v>21</v>
      </c>
    </row>
    <row r="431" ht="15.75" customHeight="1">
      <c r="A431" s="2">
        <v>2013.0</v>
      </c>
      <c r="B431" s="2" t="s">
        <v>2495</v>
      </c>
      <c r="C431" s="2" t="s">
        <v>2496</v>
      </c>
      <c r="D431" s="2" t="str">
        <f>"2256238252"</f>
        <v>2256238252</v>
      </c>
      <c r="E431" s="2" t="s">
        <v>843</v>
      </c>
      <c r="F431" s="2" t="s">
        <v>2497</v>
      </c>
      <c r="G431" s="2" t="str">
        <f>"SR-831"</f>
        <v>SR-831</v>
      </c>
      <c r="H431" s="2" t="s">
        <v>2498</v>
      </c>
      <c r="I431" s="2" t="s">
        <v>2499</v>
      </c>
      <c r="K431" s="2" t="s">
        <v>2237</v>
      </c>
      <c r="L431" s="2" t="s">
        <v>715</v>
      </c>
      <c r="M431" s="2">
        <v>70763.0</v>
      </c>
      <c r="N431" s="2" t="s">
        <v>21</v>
      </c>
    </row>
    <row r="432" ht="15.75" customHeight="1">
      <c r="A432" s="2">
        <v>2013.0</v>
      </c>
      <c r="B432" s="2" t="s">
        <v>2500</v>
      </c>
      <c r="C432" s="2" t="s">
        <v>2500</v>
      </c>
      <c r="D432" s="2" t="str">
        <f>"309-242-0330"</f>
        <v>309-242-0330</v>
      </c>
      <c r="E432" s="2" t="s">
        <v>167</v>
      </c>
      <c r="F432" s="2" t="s">
        <v>2501</v>
      </c>
      <c r="G432" s="2" t="str">
        <f>"SR-858"</f>
        <v>SR-858</v>
      </c>
      <c r="H432" s="2" t="s">
        <v>2502</v>
      </c>
      <c r="I432" s="2" t="s">
        <v>2503</v>
      </c>
      <c r="K432" s="2" t="s">
        <v>1019</v>
      </c>
      <c r="L432" s="2" t="s">
        <v>105</v>
      </c>
      <c r="M432" s="2">
        <v>61705.0</v>
      </c>
      <c r="N432" s="2" t="s">
        <v>21</v>
      </c>
    </row>
    <row r="433" ht="15.75" customHeight="1">
      <c r="A433" s="2">
        <v>2013.0</v>
      </c>
      <c r="B433" s="2" t="s">
        <v>2504</v>
      </c>
      <c r="C433" s="2" t="s">
        <v>2505</v>
      </c>
      <c r="D433" s="2" t="str">
        <f>"574-875-4154"</f>
        <v>574-875-4154</v>
      </c>
      <c r="E433" s="2" t="s">
        <v>751</v>
      </c>
      <c r="F433" s="2" t="s">
        <v>2506</v>
      </c>
      <c r="G433" s="2" t="str">
        <f>"SR-57"</f>
        <v>SR-57</v>
      </c>
      <c r="H433" s="2" t="s">
        <v>2507</v>
      </c>
      <c r="I433" s="2" t="s">
        <v>2508</v>
      </c>
      <c r="K433" s="2" t="s">
        <v>2509</v>
      </c>
      <c r="L433" s="2" t="s">
        <v>149</v>
      </c>
      <c r="M433" s="2">
        <v>46516.0</v>
      </c>
      <c r="N433" s="2" t="s">
        <v>21</v>
      </c>
    </row>
    <row r="434" ht="15.75" customHeight="1">
      <c r="A434" s="2">
        <v>2013.0</v>
      </c>
      <c r="B434" s="2" t="s">
        <v>2510</v>
      </c>
      <c r="C434" s="2" t="s">
        <v>2510</v>
      </c>
      <c r="D434" s="2" t="str">
        <f>"2146877460"</f>
        <v>2146877460</v>
      </c>
      <c r="E434" s="2" t="s">
        <v>367</v>
      </c>
      <c r="F434" s="2" t="s">
        <v>2511</v>
      </c>
      <c r="G434" s="2" t="str">
        <f>"SR-198"</f>
        <v>SR-198</v>
      </c>
      <c r="H434" s="2" t="s">
        <v>2512</v>
      </c>
      <c r="I434" s="2" t="s">
        <v>2513</v>
      </c>
      <c r="K434" s="2" t="s">
        <v>2514</v>
      </c>
      <c r="L434" s="2" t="s">
        <v>172</v>
      </c>
      <c r="M434" s="2">
        <v>75009.0</v>
      </c>
      <c r="N434" s="2" t="s">
        <v>21</v>
      </c>
    </row>
    <row r="435" ht="15.75" customHeight="1">
      <c r="A435" s="2">
        <v>2013.0</v>
      </c>
      <c r="B435" s="2" t="s">
        <v>2515</v>
      </c>
      <c r="C435" s="2" t="s">
        <v>2516</v>
      </c>
      <c r="D435" s="2" t="str">
        <f t="shared" ref="D435:D436" si="7">"9067863969"</f>
        <v>9067863969</v>
      </c>
      <c r="E435" s="2" t="s">
        <v>2517</v>
      </c>
      <c r="F435" s="2" t="s">
        <v>2518</v>
      </c>
      <c r="G435" s="2" t="str">
        <f>"SR-554"</f>
        <v>SR-554</v>
      </c>
      <c r="H435" s="2" t="s">
        <v>2519</v>
      </c>
      <c r="I435" s="2" t="s">
        <v>2520</v>
      </c>
      <c r="K435" s="2" t="s">
        <v>2521</v>
      </c>
      <c r="L435" s="2" t="s">
        <v>29</v>
      </c>
      <c r="M435" s="2">
        <v>49807.0</v>
      </c>
      <c r="N435" s="2" t="s">
        <v>21</v>
      </c>
    </row>
    <row r="436" ht="15.75" customHeight="1">
      <c r="A436" s="2">
        <v>2013.0</v>
      </c>
      <c r="B436" s="2" t="s">
        <v>2515</v>
      </c>
      <c r="D436" s="2" t="str">
        <f t="shared" si="7"/>
        <v>9067863969</v>
      </c>
      <c r="E436" s="2" t="s">
        <v>1015</v>
      </c>
      <c r="F436" s="2" t="s">
        <v>2518</v>
      </c>
      <c r="G436" s="2" t="str">
        <f>"SR-553"</f>
        <v>SR-553</v>
      </c>
      <c r="H436" s="2" t="s">
        <v>2522</v>
      </c>
      <c r="I436" s="2" t="s">
        <v>2520</v>
      </c>
      <c r="K436" s="2" t="s">
        <v>2521</v>
      </c>
      <c r="L436" s="2" t="s">
        <v>29</v>
      </c>
      <c r="M436" s="2">
        <v>49807.0</v>
      </c>
      <c r="N436" s="2" t="s">
        <v>21</v>
      </c>
    </row>
    <row r="437" ht="15.75" customHeight="1">
      <c r="A437" s="2">
        <v>2013.0</v>
      </c>
      <c r="B437" s="2" t="s">
        <v>2523</v>
      </c>
      <c r="C437" s="2" t="s">
        <v>2523</v>
      </c>
      <c r="D437" s="2" t="str">
        <f>"303-999-1702"</f>
        <v>303-999-1702</v>
      </c>
      <c r="E437" s="2" t="s">
        <v>1642</v>
      </c>
      <c r="F437" s="2" t="s">
        <v>2524</v>
      </c>
      <c r="G437" s="2" t="str">
        <f>"SR-175"</f>
        <v>SR-175</v>
      </c>
      <c r="H437" s="2" t="s">
        <v>2525</v>
      </c>
      <c r="I437" s="2" t="s">
        <v>2526</v>
      </c>
      <c r="K437" s="2" t="s">
        <v>2527</v>
      </c>
      <c r="L437" s="2" t="s">
        <v>157</v>
      </c>
      <c r="M437" s="2">
        <v>80221.0</v>
      </c>
      <c r="N437" s="2" t="s">
        <v>21</v>
      </c>
    </row>
    <row r="438" ht="15.75" customHeight="1">
      <c r="A438" s="2">
        <v>2013.0</v>
      </c>
      <c r="B438" s="2" t="s">
        <v>2528</v>
      </c>
      <c r="C438" s="2" t="s">
        <v>2529</v>
      </c>
      <c r="D438" s="2" t="str">
        <f>"7015320305"</f>
        <v>7015320305</v>
      </c>
      <c r="E438" s="2" t="s">
        <v>1263</v>
      </c>
      <c r="F438" s="2" t="s">
        <v>2530</v>
      </c>
      <c r="G438" s="2" t="str">
        <f>"SR-870"</f>
        <v>SR-870</v>
      </c>
      <c r="H438" s="2" t="s">
        <v>2531</v>
      </c>
      <c r="I438" s="2" t="s">
        <v>2532</v>
      </c>
      <c r="K438" s="2" t="s">
        <v>2533</v>
      </c>
      <c r="L438" s="2" t="s">
        <v>2534</v>
      </c>
      <c r="M438" s="2">
        <v>58059.0</v>
      </c>
      <c r="N438" s="2" t="s">
        <v>21</v>
      </c>
    </row>
    <row r="439" ht="15.75" customHeight="1">
      <c r="A439" s="2">
        <v>2013.0</v>
      </c>
      <c r="B439" s="2" t="s">
        <v>2535</v>
      </c>
      <c r="C439" s="2" t="s">
        <v>2536</v>
      </c>
      <c r="D439" s="2" t="str">
        <f>"248-573-5300"</f>
        <v>248-573-5300</v>
      </c>
      <c r="E439" s="2" t="s">
        <v>367</v>
      </c>
      <c r="F439" s="2" t="s">
        <v>2537</v>
      </c>
      <c r="G439" s="2" t="str">
        <f>"SR-662"</f>
        <v>SR-662</v>
      </c>
      <c r="H439" s="2" t="s">
        <v>2538</v>
      </c>
      <c r="I439" s="2" t="s">
        <v>2539</v>
      </c>
      <c r="K439" s="2" t="s">
        <v>2540</v>
      </c>
      <c r="L439" s="2" t="s">
        <v>29</v>
      </c>
      <c r="M439" s="2">
        <v>48178.0</v>
      </c>
      <c r="N439" s="2" t="s">
        <v>21</v>
      </c>
    </row>
    <row r="440" ht="15.75" customHeight="1">
      <c r="A440" s="2">
        <v>2013.0</v>
      </c>
      <c r="B440" s="2" t="s">
        <v>2541</v>
      </c>
      <c r="C440" s="2" t="s">
        <v>2541</v>
      </c>
      <c r="D440" s="2" t="str">
        <f>"402-659-3997"</f>
        <v>402-659-3997</v>
      </c>
      <c r="E440" s="2" t="s">
        <v>843</v>
      </c>
      <c r="F440" s="2" t="s">
        <v>2542</v>
      </c>
      <c r="G440" s="2" t="str">
        <f>"SR-872"</f>
        <v>SR-872</v>
      </c>
      <c r="H440" s="2" t="s">
        <v>2543</v>
      </c>
      <c r="I440" s="2" t="s">
        <v>2544</v>
      </c>
      <c r="K440" s="2" t="s">
        <v>2545</v>
      </c>
      <c r="L440" s="2" t="s">
        <v>757</v>
      </c>
      <c r="M440" s="2">
        <v>68007.0</v>
      </c>
      <c r="N440" s="2" t="s">
        <v>21</v>
      </c>
    </row>
    <row r="441" ht="15.75" customHeight="1">
      <c r="A441" s="2">
        <v>2013.0</v>
      </c>
      <c r="B441" s="2" t="s">
        <v>2546</v>
      </c>
      <c r="C441" s="2" t="s">
        <v>2547</v>
      </c>
      <c r="D441" s="2" t="str">
        <f>"540-454-9211"</f>
        <v>540-454-9211</v>
      </c>
      <c r="E441" s="2" t="s">
        <v>684</v>
      </c>
      <c r="F441" s="2" t="s">
        <v>2548</v>
      </c>
      <c r="G441" s="2" t="str">
        <f>"SR-245"</f>
        <v>SR-245</v>
      </c>
      <c r="H441" s="2" t="s">
        <v>2549</v>
      </c>
      <c r="I441" s="2" t="s">
        <v>2550</v>
      </c>
      <c r="K441" s="2" t="s">
        <v>2551</v>
      </c>
      <c r="L441" s="2" t="s">
        <v>165</v>
      </c>
      <c r="M441" s="2">
        <v>20135.0</v>
      </c>
      <c r="N441" s="2" t="s">
        <v>21</v>
      </c>
    </row>
    <row r="442" ht="15.75" customHeight="1">
      <c r="A442" s="2">
        <v>2013.0</v>
      </c>
      <c r="B442" s="2" t="s">
        <v>2552</v>
      </c>
      <c r="D442" s="2" t="str">
        <f>"719-304-1426"</f>
        <v>719-304-1426</v>
      </c>
      <c r="E442" s="2" t="s">
        <v>2553</v>
      </c>
      <c r="F442" s="2" t="s">
        <v>2554</v>
      </c>
      <c r="G442" s="2" t="str">
        <f>"SR-879"</f>
        <v>SR-879</v>
      </c>
      <c r="H442" s="2" t="s">
        <v>2555</v>
      </c>
      <c r="I442" s="2" t="s">
        <v>2556</v>
      </c>
      <c r="K442" s="2" t="s">
        <v>2557</v>
      </c>
      <c r="L442" s="2" t="s">
        <v>157</v>
      </c>
      <c r="M442" s="2">
        <v>80919.0</v>
      </c>
      <c r="N442" s="2" t="s">
        <v>21</v>
      </c>
    </row>
    <row r="443" ht="15.75" customHeight="1">
      <c r="A443" s="2">
        <v>2013.0</v>
      </c>
      <c r="B443" s="2" t="s">
        <v>2558</v>
      </c>
      <c r="C443" s="2" t="s">
        <v>2559</v>
      </c>
      <c r="D443" s="2" t="str">
        <f>"9722936205"</f>
        <v>9722936205</v>
      </c>
      <c r="E443" s="2" t="s">
        <v>2560</v>
      </c>
      <c r="F443" s="2" t="s">
        <v>2561</v>
      </c>
      <c r="G443" s="2" t="str">
        <f>"SR-876"</f>
        <v>SR-876</v>
      </c>
      <c r="H443" s="2" t="s">
        <v>2562</v>
      </c>
      <c r="I443" s="2" t="s">
        <v>2563</v>
      </c>
      <c r="K443" s="2" t="s">
        <v>2564</v>
      </c>
      <c r="L443" s="2" t="s">
        <v>172</v>
      </c>
      <c r="M443" s="2">
        <v>75104.0</v>
      </c>
      <c r="N443" s="2" t="s">
        <v>21</v>
      </c>
    </row>
    <row r="444" ht="15.75" customHeight="1">
      <c r="A444" s="2">
        <v>2013.0</v>
      </c>
      <c r="B444" s="2" t="s">
        <v>2565</v>
      </c>
      <c r="C444" s="2" t="s">
        <v>2566</v>
      </c>
      <c r="D444" s="2" t="str">
        <f>"402-643-4456"</f>
        <v>402-643-4456</v>
      </c>
      <c r="E444" s="2" t="s">
        <v>1257</v>
      </c>
      <c r="F444" s="2" t="s">
        <v>2567</v>
      </c>
      <c r="G444" s="2" t="str">
        <f>"SR-880"</f>
        <v>SR-880</v>
      </c>
      <c r="H444" s="2" t="s">
        <v>2568</v>
      </c>
      <c r="I444" s="2" t="s">
        <v>2569</v>
      </c>
      <c r="K444" s="2" t="s">
        <v>2570</v>
      </c>
      <c r="L444" s="2" t="s">
        <v>757</v>
      </c>
      <c r="M444" s="2">
        <v>68434.0</v>
      </c>
      <c r="N444" s="2" t="s">
        <v>21</v>
      </c>
    </row>
    <row r="445" ht="15.75" customHeight="1">
      <c r="A445" s="2">
        <v>2013.0</v>
      </c>
      <c r="B445" s="2" t="s">
        <v>2571</v>
      </c>
      <c r="C445" s="2" t="s">
        <v>2571</v>
      </c>
      <c r="D445" s="2" t="str">
        <f>"9798225835"</f>
        <v>9798225835</v>
      </c>
      <c r="E445" s="2" t="s">
        <v>2572</v>
      </c>
      <c r="F445" s="2" t="s">
        <v>2573</v>
      </c>
      <c r="G445" s="2" t="str">
        <f>"SR-805"</f>
        <v>SR-805</v>
      </c>
      <c r="H445" s="2" t="s">
        <v>2574</v>
      </c>
      <c r="I445" s="2" t="s">
        <v>2575</v>
      </c>
      <c r="K445" s="2" t="s">
        <v>1190</v>
      </c>
      <c r="L445" s="2" t="s">
        <v>172</v>
      </c>
      <c r="M445" s="2">
        <v>77807.0</v>
      </c>
      <c r="N445" s="2" t="s">
        <v>21</v>
      </c>
    </row>
    <row r="446" ht="15.75" customHeight="1">
      <c r="A446" s="2">
        <v>2013.0</v>
      </c>
      <c r="B446" s="2" t="s">
        <v>2576</v>
      </c>
      <c r="C446" s="2" t="s">
        <v>2577</v>
      </c>
      <c r="D446" s="2" t="str">
        <f>"2693813629"</f>
        <v>2693813629</v>
      </c>
      <c r="E446" s="2" t="s">
        <v>2578</v>
      </c>
      <c r="F446" s="2" t="s">
        <v>2579</v>
      </c>
      <c r="G446" s="2" t="str">
        <f>"SR-883"</f>
        <v>SR-883</v>
      </c>
      <c r="H446" s="2" t="s">
        <v>2580</v>
      </c>
      <c r="I446" s="2" t="s">
        <v>2581</v>
      </c>
      <c r="K446" s="2" t="s">
        <v>2582</v>
      </c>
      <c r="L446" s="2" t="s">
        <v>29</v>
      </c>
      <c r="M446" s="2">
        <v>49006.0</v>
      </c>
      <c r="N446" s="2" t="s">
        <v>21</v>
      </c>
    </row>
    <row r="447" ht="15.75" customHeight="1">
      <c r="A447" s="2">
        <v>2013.0</v>
      </c>
      <c r="B447" s="2" t="s">
        <v>2583</v>
      </c>
      <c r="C447" s="2" t="s">
        <v>2583</v>
      </c>
      <c r="D447" s="2" t="str">
        <f>"575-574-2262"</f>
        <v>575-574-2262</v>
      </c>
      <c r="E447" s="2" t="s">
        <v>580</v>
      </c>
      <c r="F447" s="2" t="s">
        <v>199</v>
      </c>
      <c r="G447" s="2" t="str">
        <f>"SR-573"</f>
        <v>SR-573</v>
      </c>
      <c r="H447" s="2" t="s">
        <v>2584</v>
      </c>
      <c r="I447" s="2" t="s">
        <v>2585</v>
      </c>
      <c r="K447" s="2" t="s">
        <v>2586</v>
      </c>
      <c r="L447" s="2" t="s">
        <v>789</v>
      </c>
      <c r="M447" s="2">
        <v>88022.0</v>
      </c>
      <c r="N447" s="2" t="s">
        <v>21</v>
      </c>
    </row>
    <row r="448" ht="15.75" customHeight="1">
      <c r="A448" s="2">
        <v>2013.0</v>
      </c>
      <c r="B448" s="2" t="s">
        <v>2587</v>
      </c>
      <c r="C448" s="2" t="s">
        <v>2588</v>
      </c>
      <c r="D448" s="2" t="str">
        <f>"719-200-9052"</f>
        <v>719-200-9052</v>
      </c>
      <c r="E448" s="2" t="s">
        <v>1141</v>
      </c>
      <c r="F448" s="2" t="s">
        <v>2589</v>
      </c>
      <c r="G448" s="2" t="str">
        <f>"SR-667"</f>
        <v>SR-667</v>
      </c>
      <c r="H448" s="2" t="s">
        <v>2590</v>
      </c>
      <c r="I448" s="2" t="s">
        <v>2591</v>
      </c>
      <c r="K448" s="2" t="s">
        <v>809</v>
      </c>
      <c r="L448" s="2" t="s">
        <v>157</v>
      </c>
      <c r="M448" s="2">
        <v>80923.0</v>
      </c>
      <c r="N448" s="2" t="s">
        <v>21</v>
      </c>
    </row>
    <row r="449" ht="15.75" customHeight="1">
      <c r="A449" s="2">
        <v>2013.0</v>
      </c>
      <c r="B449" s="2" t="s">
        <v>2592</v>
      </c>
      <c r="C449" s="2" t="s">
        <v>2592</v>
      </c>
      <c r="D449" s="2" t="str">
        <f>"8479711124"</f>
        <v>8479711124</v>
      </c>
      <c r="E449" s="2" t="s">
        <v>908</v>
      </c>
      <c r="F449" s="2" t="s">
        <v>2593</v>
      </c>
      <c r="G449" s="2" t="str">
        <f>"SR-716"</f>
        <v>SR-716</v>
      </c>
      <c r="H449" s="2" t="s">
        <v>2594</v>
      </c>
      <c r="I449" s="2" t="s">
        <v>2595</v>
      </c>
      <c r="K449" s="2" t="s">
        <v>2596</v>
      </c>
      <c r="L449" s="2" t="s">
        <v>193</v>
      </c>
      <c r="M449" s="2">
        <v>80918.0</v>
      </c>
      <c r="N449" s="2" t="s">
        <v>21</v>
      </c>
    </row>
    <row r="450" ht="15.75" customHeight="1">
      <c r="A450" s="2">
        <v>2013.0</v>
      </c>
      <c r="B450" s="2" t="s">
        <v>2597</v>
      </c>
      <c r="C450" s="2" t="s">
        <v>2597</v>
      </c>
      <c r="D450" s="2" t="str">
        <f>"4196512671"</f>
        <v>4196512671</v>
      </c>
      <c r="E450" s="2" t="s">
        <v>1094</v>
      </c>
      <c r="F450" s="2" t="s">
        <v>2598</v>
      </c>
      <c r="G450" s="2" t="str">
        <f>"SR-750"</f>
        <v>SR-750</v>
      </c>
      <c r="H450" s="2" t="s">
        <v>2599</v>
      </c>
      <c r="I450" s="2" t="s">
        <v>2600</v>
      </c>
      <c r="K450" s="2" t="s">
        <v>1154</v>
      </c>
      <c r="L450" s="2" t="s">
        <v>344</v>
      </c>
      <c r="M450" s="2">
        <v>44805.0</v>
      </c>
      <c r="N450" s="2" t="s">
        <v>21</v>
      </c>
    </row>
    <row r="451" ht="15.75" customHeight="1">
      <c r="A451" s="2">
        <v>2013.0</v>
      </c>
      <c r="B451" s="2" t="s">
        <v>2601</v>
      </c>
      <c r="C451" s="2" t="s">
        <v>2602</v>
      </c>
      <c r="D451" s="2" t="str">
        <f>"2186744451"</f>
        <v>2186744451</v>
      </c>
      <c r="E451" s="2" t="s">
        <v>2603</v>
      </c>
      <c r="F451" s="2" t="s">
        <v>2604</v>
      </c>
      <c r="G451" s="2" t="str">
        <f>"SR-887"</f>
        <v>SR-887</v>
      </c>
      <c r="H451" s="2" t="s">
        <v>2605</v>
      </c>
      <c r="I451" s="2" t="s">
        <v>2606</v>
      </c>
      <c r="K451" s="2" t="s">
        <v>1301</v>
      </c>
      <c r="L451" s="2" t="s">
        <v>62</v>
      </c>
      <c r="M451" s="2">
        <v>56733.0</v>
      </c>
      <c r="N451" s="2" t="s">
        <v>21</v>
      </c>
    </row>
    <row r="452" ht="15.75" customHeight="1">
      <c r="A452" s="2">
        <v>2013.0</v>
      </c>
      <c r="B452" s="2" t="s">
        <v>2607</v>
      </c>
      <c r="C452" s="2" t="s">
        <v>2608</v>
      </c>
      <c r="D452" s="2" t="str">
        <f t="shared" ref="D452:D453" si="8">"208-589-1888"</f>
        <v>208-589-1888</v>
      </c>
      <c r="E452" s="2" t="s">
        <v>651</v>
      </c>
      <c r="F452" s="2" t="s">
        <v>2609</v>
      </c>
      <c r="G452" s="2" t="str">
        <f>"SR-890"</f>
        <v>SR-890</v>
      </c>
      <c r="H452" s="2" t="s">
        <v>2610</v>
      </c>
      <c r="I452" s="2" t="s">
        <v>2611</v>
      </c>
      <c r="K452" s="2" t="s">
        <v>2612</v>
      </c>
      <c r="L452" s="2" t="s">
        <v>2613</v>
      </c>
      <c r="M452" s="2">
        <v>83406.0</v>
      </c>
      <c r="N452" s="2" t="s">
        <v>21</v>
      </c>
    </row>
    <row r="453" ht="15.75" customHeight="1">
      <c r="A453" s="2">
        <v>2013.0</v>
      </c>
      <c r="B453" s="2" t="s">
        <v>2607</v>
      </c>
      <c r="C453" s="2" t="s">
        <v>2614</v>
      </c>
      <c r="D453" s="2" t="str">
        <f t="shared" si="8"/>
        <v>208-589-1888</v>
      </c>
      <c r="E453" s="2" t="s">
        <v>2162</v>
      </c>
      <c r="F453" s="2" t="s">
        <v>2609</v>
      </c>
      <c r="G453" s="2" t="str">
        <f>"SR-891"</f>
        <v>SR-891</v>
      </c>
      <c r="H453" s="2" t="s">
        <v>2615</v>
      </c>
      <c r="I453" s="2" t="s">
        <v>2616</v>
      </c>
      <c r="K453" s="2" t="s">
        <v>2612</v>
      </c>
      <c r="L453" s="2" t="s">
        <v>2613</v>
      </c>
      <c r="M453" s="2">
        <v>83406.0</v>
      </c>
      <c r="N453" s="2" t="s">
        <v>21</v>
      </c>
    </row>
    <row r="454" ht="15.75" customHeight="1">
      <c r="A454" s="2">
        <v>2013.0</v>
      </c>
      <c r="B454" s="2" t="s">
        <v>2601</v>
      </c>
      <c r="C454" s="2" t="s">
        <v>2617</v>
      </c>
      <c r="D454" s="2" t="str">
        <f>"2186744451"</f>
        <v>2186744451</v>
      </c>
      <c r="E454" s="2" t="s">
        <v>428</v>
      </c>
      <c r="F454" s="2" t="s">
        <v>2604</v>
      </c>
      <c r="G454" s="2" t="str">
        <f>"SR-889"</f>
        <v>SR-889</v>
      </c>
      <c r="H454" s="2" t="s">
        <v>2618</v>
      </c>
      <c r="I454" s="2" t="s">
        <v>2606</v>
      </c>
      <c r="K454" s="2" t="s">
        <v>2619</v>
      </c>
      <c r="L454" s="2" t="s">
        <v>62</v>
      </c>
      <c r="M454" s="2">
        <v>56733.0</v>
      </c>
      <c r="N454" s="2" t="s">
        <v>21</v>
      </c>
    </row>
    <row r="455" ht="15.75" customHeight="1">
      <c r="A455" s="2">
        <v>2013.0</v>
      </c>
      <c r="B455" s="2" t="s">
        <v>2620</v>
      </c>
      <c r="C455" s="2" t="s">
        <v>2621</v>
      </c>
      <c r="D455" s="2" t="str">
        <f>"(218) -843-2913"</f>
        <v>(218) -843-2913</v>
      </c>
      <c r="E455" s="2" t="s">
        <v>908</v>
      </c>
      <c r="F455" s="2" t="s">
        <v>2622</v>
      </c>
      <c r="G455" s="2" t="str">
        <f>"SR-894"</f>
        <v>SR-894</v>
      </c>
      <c r="H455" s="2" t="s">
        <v>2623</v>
      </c>
      <c r="I455" s="2" t="s">
        <v>2624</v>
      </c>
      <c r="K455" s="2" t="s">
        <v>2625</v>
      </c>
      <c r="L455" s="2" t="s">
        <v>62</v>
      </c>
      <c r="M455" s="2">
        <v>56728.0</v>
      </c>
      <c r="N455" s="2" t="s">
        <v>21</v>
      </c>
    </row>
    <row r="456" ht="15.75" customHeight="1">
      <c r="A456" s="2">
        <v>2013.0</v>
      </c>
      <c r="B456" s="2" t="s">
        <v>2626</v>
      </c>
      <c r="C456" s="2" t="s">
        <v>2627</v>
      </c>
      <c r="D456" s="2" t="str">
        <f>"5152318613"</f>
        <v>5152318613</v>
      </c>
      <c r="E456" s="2" t="s">
        <v>2628</v>
      </c>
      <c r="F456" s="2" t="s">
        <v>2629</v>
      </c>
      <c r="G456" s="2" t="str">
        <f>"SR-888"</f>
        <v>SR-888</v>
      </c>
      <c r="H456" s="2" t="s">
        <v>2630</v>
      </c>
      <c r="I456" s="2" t="s">
        <v>2631</v>
      </c>
      <c r="K456" s="2" t="s">
        <v>2632</v>
      </c>
      <c r="L456" s="2" t="s">
        <v>560</v>
      </c>
      <c r="M456" s="2">
        <v>50161.0</v>
      </c>
      <c r="N456" s="2" t="s">
        <v>21</v>
      </c>
    </row>
    <row r="457" ht="15.75" customHeight="1">
      <c r="A457" s="2">
        <v>2013.0</v>
      </c>
      <c r="B457" s="2" t="s">
        <v>2633</v>
      </c>
      <c r="C457" s="2" t="s">
        <v>2634</v>
      </c>
      <c r="D457" s="2" t="str">
        <f>"803-520-7222"</f>
        <v>803-520-7222</v>
      </c>
      <c r="E457" s="2" t="s">
        <v>2635</v>
      </c>
      <c r="F457" s="2" t="s">
        <v>2636</v>
      </c>
      <c r="G457" s="2" t="str">
        <f>"SR-435"</f>
        <v>SR-435</v>
      </c>
      <c r="H457" s="2" t="s">
        <v>2637</v>
      </c>
      <c r="I457" s="2" t="s">
        <v>2638</v>
      </c>
      <c r="K457" s="2" t="s">
        <v>254</v>
      </c>
      <c r="L457" s="2" t="s">
        <v>55</v>
      </c>
      <c r="M457" s="2">
        <v>29072.0</v>
      </c>
      <c r="N457" s="2" t="s">
        <v>21</v>
      </c>
    </row>
    <row r="458" ht="15.75" customHeight="1">
      <c r="A458" s="2">
        <v>2013.0</v>
      </c>
      <c r="B458" s="2" t="s">
        <v>2639</v>
      </c>
      <c r="D458" s="2" t="str">
        <f t="shared" ref="D458:D459" si="9">"9723552310"</f>
        <v>9723552310</v>
      </c>
      <c r="E458" s="2" t="s">
        <v>705</v>
      </c>
      <c r="F458" s="2" t="s">
        <v>2640</v>
      </c>
      <c r="G458" s="2" t="str">
        <f>"SR-898"</f>
        <v>SR-898</v>
      </c>
      <c r="H458" s="2" t="s">
        <v>2641</v>
      </c>
      <c r="I458" s="2" t="s">
        <v>2642</v>
      </c>
      <c r="K458" s="2" t="s">
        <v>2643</v>
      </c>
      <c r="L458" s="2" t="s">
        <v>172</v>
      </c>
      <c r="M458" s="2">
        <v>75028.0</v>
      </c>
      <c r="N458" s="2" t="s">
        <v>21</v>
      </c>
    </row>
    <row r="459" ht="15.75" customHeight="1">
      <c r="A459" s="2">
        <v>2013.0</v>
      </c>
      <c r="B459" s="2" t="s">
        <v>2639</v>
      </c>
      <c r="D459" s="2" t="str">
        <f t="shared" si="9"/>
        <v>9723552310</v>
      </c>
      <c r="E459" s="2" t="s">
        <v>2644</v>
      </c>
      <c r="F459" s="2" t="s">
        <v>2640</v>
      </c>
      <c r="G459" s="2" t="str">
        <f>"SR-897"</f>
        <v>SR-897</v>
      </c>
      <c r="H459" s="2" t="s">
        <v>2645</v>
      </c>
      <c r="I459" s="2" t="s">
        <v>2642</v>
      </c>
      <c r="K459" s="2" t="s">
        <v>2643</v>
      </c>
      <c r="L459" s="2" t="s">
        <v>172</v>
      </c>
      <c r="M459" s="2">
        <v>75028.0</v>
      </c>
      <c r="N459" s="2" t="s">
        <v>21</v>
      </c>
    </row>
    <row r="460" ht="15.75" customHeight="1">
      <c r="A460" s="2">
        <v>2013.0</v>
      </c>
      <c r="B460" s="2" t="s">
        <v>2646</v>
      </c>
      <c r="C460" s="2" t="s">
        <v>2647</v>
      </c>
      <c r="D460" s="2" t="str">
        <f>"281-292-0107"</f>
        <v>281-292-0107</v>
      </c>
      <c r="E460" s="2" t="s">
        <v>417</v>
      </c>
      <c r="F460" s="2" t="s">
        <v>2648</v>
      </c>
      <c r="G460" s="2" t="str">
        <f>"SR-774"</f>
        <v>SR-774</v>
      </c>
      <c r="H460" s="2" t="s">
        <v>2649</v>
      </c>
      <c r="I460" s="2" t="s">
        <v>2650</v>
      </c>
      <c r="K460" s="2" t="s">
        <v>2651</v>
      </c>
      <c r="L460" s="2" t="s">
        <v>172</v>
      </c>
      <c r="M460" s="2">
        <v>77381.0</v>
      </c>
      <c r="N460" s="2" t="s">
        <v>21</v>
      </c>
    </row>
    <row r="461" ht="15.75" customHeight="1">
      <c r="A461" s="2">
        <v>2013.0</v>
      </c>
      <c r="B461" s="2" t="s">
        <v>2652</v>
      </c>
      <c r="D461" s="2" t="str">
        <f>""</f>
        <v/>
      </c>
      <c r="E461" s="2" t="s">
        <v>137</v>
      </c>
      <c r="F461" s="2" t="s">
        <v>2653</v>
      </c>
      <c r="G461" s="2" t="str">
        <f>"SR-885"</f>
        <v>SR-885</v>
      </c>
      <c r="H461" s="2" t="s">
        <v>2654</v>
      </c>
      <c r="N461" s="2" t="s">
        <v>21</v>
      </c>
    </row>
    <row r="462" ht="15.75" customHeight="1">
      <c r="A462" s="2">
        <v>2013.0</v>
      </c>
      <c r="B462" s="2" t="s">
        <v>2655</v>
      </c>
      <c r="C462" s="2" t="s">
        <v>2656</v>
      </c>
      <c r="D462" s="2" t="str">
        <f>"317-537-2249"</f>
        <v>317-537-2249</v>
      </c>
      <c r="E462" s="2" t="s">
        <v>100</v>
      </c>
      <c r="F462" s="2" t="s">
        <v>2657</v>
      </c>
      <c r="G462" s="2" t="str">
        <f>"SR-833"</f>
        <v>SR-833</v>
      </c>
      <c r="H462" s="2" t="s">
        <v>2658</v>
      </c>
      <c r="I462" s="2" t="s">
        <v>2659</v>
      </c>
      <c r="K462" s="2" t="s">
        <v>2660</v>
      </c>
      <c r="L462" s="2" t="s">
        <v>149</v>
      </c>
      <c r="M462" s="2">
        <v>46037.0</v>
      </c>
      <c r="N462" s="2" t="s">
        <v>21</v>
      </c>
    </row>
    <row r="463" ht="15.75" customHeight="1">
      <c r="A463" s="2">
        <v>2013.0</v>
      </c>
      <c r="B463" s="2" t="s">
        <v>2661</v>
      </c>
      <c r="D463" s="2" t="str">
        <f t="shared" ref="D463:D464" si="10">"314-601-1359"</f>
        <v>314-601-1359</v>
      </c>
      <c r="E463" s="2" t="s">
        <v>2662</v>
      </c>
      <c r="F463" s="2" t="s">
        <v>2663</v>
      </c>
      <c r="G463" s="2" t="str">
        <f>"SR-670"</f>
        <v>SR-670</v>
      </c>
      <c r="H463" s="2" t="s">
        <v>2664</v>
      </c>
      <c r="I463" s="2" t="s">
        <v>2665</v>
      </c>
      <c r="K463" s="2" t="s">
        <v>2666</v>
      </c>
      <c r="L463" s="2" t="s">
        <v>214</v>
      </c>
      <c r="M463" s="2">
        <v>63139.0</v>
      </c>
      <c r="N463" s="2" t="s">
        <v>21</v>
      </c>
    </row>
    <row r="464" ht="15.75" customHeight="1">
      <c r="A464" s="2">
        <v>2013.0</v>
      </c>
      <c r="B464" s="2" t="s">
        <v>2661</v>
      </c>
      <c r="D464" s="2" t="str">
        <f t="shared" si="10"/>
        <v>314-601-1359</v>
      </c>
      <c r="E464" s="2" t="s">
        <v>2667</v>
      </c>
      <c r="F464" s="2" t="s">
        <v>2663</v>
      </c>
      <c r="G464" s="2" t="str">
        <f>"SR-565"</f>
        <v>SR-565</v>
      </c>
      <c r="H464" s="2" t="s">
        <v>2668</v>
      </c>
      <c r="I464" s="2" t="s">
        <v>2665</v>
      </c>
      <c r="K464" s="2" t="s">
        <v>2666</v>
      </c>
      <c r="L464" s="2" t="s">
        <v>214</v>
      </c>
      <c r="M464" s="2">
        <v>63139.0</v>
      </c>
      <c r="N464" s="2" t="s">
        <v>21</v>
      </c>
    </row>
    <row r="465" ht="15.75" customHeight="1">
      <c r="A465" s="2">
        <v>2013.0</v>
      </c>
      <c r="B465" s="2" t="s">
        <v>2669</v>
      </c>
      <c r="C465" s="2" t="s">
        <v>2670</v>
      </c>
      <c r="D465" s="2" t="str">
        <f>"317-885-3855"</f>
        <v>317-885-3855</v>
      </c>
      <c r="E465" s="2" t="s">
        <v>203</v>
      </c>
      <c r="F465" s="2" t="s">
        <v>2671</v>
      </c>
      <c r="G465" s="2" t="str">
        <f>"SR-857"</f>
        <v>SR-857</v>
      </c>
      <c r="H465" s="2" t="s">
        <v>2672</v>
      </c>
      <c r="I465" s="2" t="s">
        <v>2673</v>
      </c>
      <c r="K465" s="2" t="s">
        <v>2674</v>
      </c>
      <c r="L465" s="2" t="s">
        <v>149</v>
      </c>
      <c r="M465" s="2">
        <v>46143.0</v>
      </c>
      <c r="N465" s="2" t="s">
        <v>21</v>
      </c>
    </row>
    <row r="466" ht="15.75" customHeight="1">
      <c r="A466" s="2">
        <v>2013.0</v>
      </c>
      <c r="B466" s="2" t="s">
        <v>2675</v>
      </c>
      <c r="C466" s="2" t="s">
        <v>2676</v>
      </c>
      <c r="D466" s="2" t="str">
        <f>"509-344-9180"</f>
        <v>509-344-9180</v>
      </c>
      <c r="E466" s="2" t="s">
        <v>1548</v>
      </c>
      <c r="F466" s="2" t="s">
        <v>2677</v>
      </c>
      <c r="G466" s="2" t="str">
        <f>"SR-803"</f>
        <v>SR-803</v>
      </c>
      <c r="H466" s="2" t="s">
        <v>2678</v>
      </c>
      <c r="I466" s="2" t="s">
        <v>2679</v>
      </c>
      <c r="K466" s="2" t="s">
        <v>1413</v>
      </c>
      <c r="L466" s="2" t="s">
        <v>86</v>
      </c>
      <c r="M466" s="2">
        <v>99218.0</v>
      </c>
      <c r="N466" s="2" t="s">
        <v>21</v>
      </c>
    </row>
    <row r="467" ht="15.75" customHeight="1">
      <c r="A467" s="2">
        <v>2013.0</v>
      </c>
      <c r="B467" s="2" t="s">
        <v>2675</v>
      </c>
      <c r="C467" s="2" t="s">
        <v>2680</v>
      </c>
      <c r="D467" s="2" t="str">
        <f>"5099284361"</f>
        <v>5099284361</v>
      </c>
      <c r="E467" s="2" t="s">
        <v>2681</v>
      </c>
      <c r="F467" s="2" t="s">
        <v>831</v>
      </c>
      <c r="G467" s="2" t="str">
        <f>"SR-854"</f>
        <v>SR-854</v>
      </c>
      <c r="H467" s="2" t="s">
        <v>2682</v>
      </c>
      <c r="I467" s="2" t="s">
        <v>2683</v>
      </c>
      <c r="K467" s="2" t="s">
        <v>2684</v>
      </c>
      <c r="L467" s="2" t="s">
        <v>86</v>
      </c>
      <c r="M467" s="2">
        <v>99216.0</v>
      </c>
      <c r="N467" s="2" t="s">
        <v>21</v>
      </c>
    </row>
    <row r="468" ht="15.75" customHeight="1">
      <c r="A468" s="2">
        <v>2013.0</v>
      </c>
      <c r="B468" s="2" t="s">
        <v>2685</v>
      </c>
      <c r="C468" s="2" t="s">
        <v>2686</v>
      </c>
      <c r="D468" s="2" t="str">
        <f>"2184782219"</f>
        <v>2184782219</v>
      </c>
      <c r="E468" s="2" t="s">
        <v>1529</v>
      </c>
      <c r="F468" s="2" t="s">
        <v>2687</v>
      </c>
      <c r="G468" s="2" t="str">
        <f>"SR-809"</f>
        <v>SR-809</v>
      </c>
      <c r="H468" s="2" t="s">
        <v>2688</v>
      </c>
      <c r="I468" s="2" t="s">
        <v>2689</v>
      </c>
      <c r="K468" s="2" t="s">
        <v>1782</v>
      </c>
      <c r="L468" s="2" t="s">
        <v>62</v>
      </c>
      <c r="M468" s="2">
        <v>56757.0</v>
      </c>
      <c r="N468" s="2" t="s">
        <v>21</v>
      </c>
    </row>
    <row r="469" ht="15.75" customHeight="1">
      <c r="A469" s="2">
        <v>2013.0</v>
      </c>
      <c r="B469" s="2" t="s">
        <v>2690</v>
      </c>
      <c r="C469" s="2" t="s">
        <v>2690</v>
      </c>
      <c r="D469" s="2" t="str">
        <f>"406-842-5693"</f>
        <v>406-842-5693</v>
      </c>
      <c r="E469" s="2" t="s">
        <v>2691</v>
      </c>
      <c r="F469" s="2" t="s">
        <v>2692</v>
      </c>
      <c r="G469" s="2" t="str">
        <f>"SR-696"</f>
        <v>SR-696</v>
      </c>
      <c r="H469" s="2" t="s">
        <v>2693</v>
      </c>
      <c r="I469" s="2" t="s">
        <v>2694</v>
      </c>
      <c r="K469" s="2" t="s">
        <v>2695</v>
      </c>
      <c r="L469" s="2" t="s">
        <v>2696</v>
      </c>
      <c r="M469" s="2">
        <v>59749.0</v>
      </c>
      <c r="N469" s="2" t="s">
        <v>21</v>
      </c>
    </row>
    <row r="470" ht="15.75" customHeight="1">
      <c r="A470" s="2">
        <v>2013.0</v>
      </c>
      <c r="B470" s="2" t="s">
        <v>2690</v>
      </c>
      <c r="C470" s="2" t="s">
        <v>2697</v>
      </c>
      <c r="D470" s="2" t="str">
        <f>"4068425693"</f>
        <v>4068425693</v>
      </c>
      <c r="E470" s="2" t="s">
        <v>124</v>
      </c>
      <c r="F470" s="2" t="s">
        <v>2692</v>
      </c>
      <c r="G470" s="2" t="str">
        <f>"SR-878"</f>
        <v>SR-878</v>
      </c>
      <c r="H470" s="2" t="s">
        <v>2698</v>
      </c>
      <c r="I470" s="2" t="s">
        <v>2699</v>
      </c>
      <c r="K470" s="2" t="s">
        <v>2695</v>
      </c>
      <c r="L470" s="2" t="s">
        <v>2696</v>
      </c>
      <c r="M470" s="2">
        <v>59749.0</v>
      </c>
      <c r="N470" s="2" t="s">
        <v>21</v>
      </c>
    </row>
    <row r="471" ht="15.75" customHeight="1">
      <c r="A471" s="2">
        <v>2013.0</v>
      </c>
      <c r="B471" s="2" t="s">
        <v>2700</v>
      </c>
      <c r="C471" s="2" t="s">
        <v>2701</v>
      </c>
      <c r="D471" s="2" t="str">
        <f>"662-891-7350"</f>
        <v>662-891-7350</v>
      </c>
      <c r="E471" s="2" t="s">
        <v>843</v>
      </c>
      <c r="F471" s="2" t="s">
        <v>2702</v>
      </c>
      <c r="G471" s="2" t="str">
        <f>"SR-903"</f>
        <v>SR-903</v>
      </c>
      <c r="H471" s="2" t="s">
        <v>2703</v>
      </c>
      <c r="I471" s="2" t="s">
        <v>2704</v>
      </c>
      <c r="K471" s="2" t="s">
        <v>2432</v>
      </c>
      <c r="L471" s="2" t="s">
        <v>1722</v>
      </c>
      <c r="M471" s="2">
        <v>38801.0</v>
      </c>
      <c r="N471" s="2" t="s">
        <v>21</v>
      </c>
    </row>
    <row r="472" ht="15.75" customHeight="1">
      <c r="A472" s="2">
        <v>2013.0</v>
      </c>
      <c r="B472" s="2" t="s">
        <v>2705</v>
      </c>
      <c r="C472" s="2" t="s">
        <v>2706</v>
      </c>
      <c r="D472" s="2" t="str">
        <f>"864-886-0272"</f>
        <v>864-886-0272</v>
      </c>
      <c r="E472" s="2" t="s">
        <v>2707</v>
      </c>
      <c r="F472" s="2" t="s">
        <v>2708</v>
      </c>
      <c r="G472" s="2" t="str">
        <f>"SR-552"</f>
        <v>SR-552</v>
      </c>
      <c r="H472" s="2" t="s">
        <v>2709</v>
      </c>
      <c r="I472" s="2" t="s">
        <v>2710</v>
      </c>
      <c r="K472" s="2" t="s">
        <v>2711</v>
      </c>
      <c r="L472" s="2" t="s">
        <v>55</v>
      </c>
      <c r="M472" s="2">
        <v>29672.0</v>
      </c>
      <c r="N472" s="2" t="s">
        <v>21</v>
      </c>
    </row>
    <row r="473" ht="15.75" customHeight="1">
      <c r="A473" s="2">
        <v>2013.0</v>
      </c>
      <c r="B473" s="2" t="s">
        <v>2712</v>
      </c>
      <c r="C473" s="2" t="s">
        <v>2713</v>
      </c>
      <c r="D473" s="2" t="str">
        <f>"2603375702"</f>
        <v>2603375702</v>
      </c>
      <c r="E473" s="2" t="s">
        <v>1015</v>
      </c>
      <c r="F473" s="2" t="s">
        <v>2714</v>
      </c>
      <c r="G473" s="2" t="str">
        <f>"SR-865"</f>
        <v>SR-865</v>
      </c>
      <c r="H473" s="2" t="s">
        <v>2715</v>
      </c>
      <c r="I473" s="2" t="s">
        <v>2716</v>
      </c>
      <c r="K473" s="2" t="s">
        <v>2717</v>
      </c>
      <c r="L473" s="2" t="s">
        <v>149</v>
      </c>
      <c r="M473" s="2">
        <v>46785.0</v>
      </c>
      <c r="N473" s="2" t="s">
        <v>21</v>
      </c>
    </row>
    <row r="474" ht="15.75" customHeight="1">
      <c r="A474" s="2">
        <v>2013.0</v>
      </c>
      <c r="B474" s="2" t="s">
        <v>2718</v>
      </c>
      <c r="C474" s="2" t="s">
        <v>2719</v>
      </c>
      <c r="D474" s="2" t="str">
        <f>"605-334-3578"</f>
        <v>605-334-3578</v>
      </c>
      <c r="E474" s="2" t="s">
        <v>417</v>
      </c>
      <c r="F474" s="2" t="s">
        <v>2720</v>
      </c>
      <c r="G474" s="2" t="str">
        <f>"SR-904"</f>
        <v>SR-904</v>
      </c>
      <c r="H474" s="2" t="s">
        <v>2721</v>
      </c>
      <c r="I474" s="2" t="s">
        <v>2722</v>
      </c>
      <c r="K474" s="2" t="s">
        <v>919</v>
      </c>
      <c r="L474" s="2" t="s">
        <v>920</v>
      </c>
      <c r="M474" s="2">
        <v>57110.0</v>
      </c>
      <c r="N474" s="2" t="s">
        <v>21</v>
      </c>
    </row>
    <row r="475" ht="15.75" customHeight="1">
      <c r="A475" s="2">
        <v>2013.0</v>
      </c>
      <c r="B475" s="2" t="s">
        <v>2723</v>
      </c>
      <c r="C475" s="2" t="s">
        <v>2724</v>
      </c>
      <c r="D475" s="2" t="str">
        <f>"662-323-6305"</f>
        <v>662-323-6305</v>
      </c>
      <c r="E475" s="2" t="s">
        <v>417</v>
      </c>
      <c r="F475" s="2" t="s">
        <v>2725</v>
      </c>
      <c r="G475" s="2" t="str">
        <f>"SR-902"</f>
        <v>SR-902</v>
      </c>
      <c r="H475" s="2" t="s">
        <v>2726</v>
      </c>
      <c r="I475" s="2" t="s">
        <v>2727</v>
      </c>
      <c r="K475" s="2" t="s">
        <v>1901</v>
      </c>
      <c r="L475" s="2" t="s">
        <v>1722</v>
      </c>
      <c r="M475" s="2">
        <v>39759.0</v>
      </c>
      <c r="N475" s="2" t="s">
        <v>21</v>
      </c>
    </row>
    <row r="476" ht="15.75" customHeight="1">
      <c r="A476" s="2">
        <v>2013.0</v>
      </c>
      <c r="B476" s="2" t="s">
        <v>2728</v>
      </c>
      <c r="C476" s="2" t="s">
        <v>2728</v>
      </c>
      <c r="D476" s="2" t="str">
        <f>"309-202-5325"</f>
        <v>309-202-5325</v>
      </c>
      <c r="E476" s="2" t="s">
        <v>1239</v>
      </c>
      <c r="F476" s="2" t="s">
        <v>2729</v>
      </c>
      <c r="G476" s="2" t="str">
        <f>"SR-893"</f>
        <v>SR-893</v>
      </c>
      <c r="H476" s="2" t="s">
        <v>2730</v>
      </c>
      <c r="I476" s="2" t="s">
        <v>2731</v>
      </c>
      <c r="K476" s="2" t="s">
        <v>2732</v>
      </c>
      <c r="L476" s="2" t="s">
        <v>105</v>
      </c>
      <c r="M476" s="2">
        <v>61568.0</v>
      </c>
      <c r="N476" s="2" t="s">
        <v>21</v>
      </c>
    </row>
    <row r="477" ht="15.75" customHeight="1">
      <c r="A477" s="2">
        <v>2013.0</v>
      </c>
      <c r="B477" s="2" t="s">
        <v>2733</v>
      </c>
      <c r="C477" s="2" t="s">
        <v>2734</v>
      </c>
      <c r="D477" s="2" t="str">
        <f>"828-696-6659"</f>
        <v>828-696-6659</v>
      </c>
      <c r="E477" s="2" t="s">
        <v>1022</v>
      </c>
      <c r="F477" s="2" t="s">
        <v>2735</v>
      </c>
      <c r="G477" s="2" t="str">
        <f>"SR-912"</f>
        <v>SR-912</v>
      </c>
      <c r="H477" s="2" t="s">
        <v>2736</v>
      </c>
      <c r="I477" s="2" t="s">
        <v>2737</v>
      </c>
      <c r="K477" s="2" t="s">
        <v>2738</v>
      </c>
      <c r="L477" s="2" t="s">
        <v>20</v>
      </c>
      <c r="M477" s="2">
        <v>28732.0</v>
      </c>
      <c r="N477" s="2" t="s">
        <v>21</v>
      </c>
    </row>
    <row r="478" ht="15.75" customHeight="1">
      <c r="A478" s="2">
        <v>2013.0</v>
      </c>
      <c r="B478" s="2" t="s">
        <v>2739</v>
      </c>
      <c r="C478" s="2" t="s">
        <v>2740</v>
      </c>
      <c r="D478" s="2" t="str">
        <f>"888-207-6898"</f>
        <v>888-207-6898</v>
      </c>
      <c r="E478" s="2" t="s">
        <v>160</v>
      </c>
      <c r="F478" s="2" t="s">
        <v>2741</v>
      </c>
      <c r="G478" s="2" t="str">
        <f>"SR-913"</f>
        <v>SR-913</v>
      </c>
      <c r="H478" s="2" t="s">
        <v>2742</v>
      </c>
      <c r="I478" s="2" t="s">
        <v>2743</v>
      </c>
      <c r="K478" s="2" t="s">
        <v>2744</v>
      </c>
      <c r="L478" s="2" t="s">
        <v>62</v>
      </c>
      <c r="M478" s="2">
        <v>55060.0</v>
      </c>
      <c r="N478" s="2" t="s">
        <v>21</v>
      </c>
    </row>
    <row r="479" ht="15.75" customHeight="1">
      <c r="A479" s="2">
        <v>2013.0</v>
      </c>
      <c r="B479" s="2" t="s">
        <v>2745</v>
      </c>
      <c r="C479" s="2" t="s">
        <v>2746</v>
      </c>
      <c r="D479" s="2" t="str">
        <f>"803-429-0808"</f>
        <v>803-429-0808</v>
      </c>
      <c r="E479" s="2" t="s">
        <v>1101</v>
      </c>
      <c r="F479" s="2" t="s">
        <v>2747</v>
      </c>
      <c r="G479" s="2" t="str">
        <f>"SR-576"</f>
        <v>SR-576</v>
      </c>
      <c r="H479" s="2" t="s">
        <v>2748</v>
      </c>
      <c r="I479" s="2" t="s">
        <v>2749</v>
      </c>
      <c r="K479" s="2" t="s">
        <v>2750</v>
      </c>
      <c r="L479" s="2" t="s">
        <v>55</v>
      </c>
      <c r="M479" s="2">
        <v>29212.0</v>
      </c>
      <c r="N479" s="2" t="s">
        <v>21</v>
      </c>
    </row>
    <row r="480" ht="15.75" customHeight="1">
      <c r="A480" s="2">
        <v>2013.0</v>
      </c>
      <c r="B480" s="2" t="s">
        <v>2751</v>
      </c>
      <c r="C480" s="2" t="s">
        <v>2751</v>
      </c>
      <c r="D480" s="2" t="str">
        <f>"+82-10-26794241"</f>
        <v>+82-10-26794241</v>
      </c>
      <c r="E480" s="2" t="s">
        <v>2752</v>
      </c>
      <c r="F480" s="2" t="s">
        <v>2753</v>
      </c>
      <c r="G480" s="2" t="str">
        <f>"SR-866"</f>
        <v>SR-866</v>
      </c>
      <c r="H480" s="2" t="s">
        <v>2754</v>
      </c>
      <c r="I480" s="2" t="s">
        <v>2755</v>
      </c>
      <c r="J480" s="2" t="s">
        <v>2756</v>
      </c>
      <c r="K480" s="2" t="s">
        <v>2757</v>
      </c>
      <c r="N480" s="2" t="s">
        <v>1626</v>
      </c>
    </row>
    <row r="481" ht="15.75" customHeight="1">
      <c r="A481" s="2">
        <v>2013.0</v>
      </c>
      <c r="B481" s="2" t="s">
        <v>2758</v>
      </c>
      <c r="C481" s="2" t="s">
        <v>2759</v>
      </c>
      <c r="D481" s="2" t="str">
        <f>"4079514386"</f>
        <v>4079514386</v>
      </c>
      <c r="E481" s="2" t="s">
        <v>2760</v>
      </c>
      <c r="F481" s="2" t="s">
        <v>2761</v>
      </c>
      <c r="G481" s="2" t="str">
        <f>"SR-919"</f>
        <v>SR-919</v>
      </c>
      <c r="H481" s="2" t="s">
        <v>2762</v>
      </c>
      <c r="I481" s="2" t="s">
        <v>2763</v>
      </c>
      <c r="K481" s="2" t="s">
        <v>2764</v>
      </c>
      <c r="L481" s="2" t="s">
        <v>208</v>
      </c>
      <c r="M481" s="2">
        <v>32789.0</v>
      </c>
      <c r="N481" s="2" t="s">
        <v>21</v>
      </c>
    </row>
    <row r="482" ht="15.75" customHeight="1">
      <c r="A482" s="2">
        <v>2013.0</v>
      </c>
      <c r="B482" s="2" t="s">
        <v>2765</v>
      </c>
      <c r="D482" s="2" t="str">
        <f>""</f>
        <v/>
      </c>
      <c r="E482" s="2" t="s">
        <v>678</v>
      </c>
      <c r="F482" s="2" t="s">
        <v>2766</v>
      </c>
      <c r="G482" s="2" t="str">
        <f>"SR-915"</f>
        <v>SR-915</v>
      </c>
      <c r="H482" s="2" t="s">
        <v>2767</v>
      </c>
    </row>
    <row r="483" ht="15.75" customHeight="1">
      <c r="A483" s="2">
        <v>2013.0</v>
      </c>
      <c r="B483" s="2" t="s">
        <v>2768</v>
      </c>
      <c r="C483" s="2" t="s">
        <v>2769</v>
      </c>
      <c r="D483" s="2" t="str">
        <f>"4064907062"</f>
        <v>4064907062</v>
      </c>
      <c r="E483" s="2" t="s">
        <v>2770</v>
      </c>
      <c r="F483" s="2" t="s">
        <v>2771</v>
      </c>
      <c r="G483" s="2" t="str">
        <f>"SR-864"</f>
        <v>SR-864</v>
      </c>
      <c r="H483" s="2" t="s">
        <v>2772</v>
      </c>
      <c r="I483" s="2" t="s">
        <v>2773</v>
      </c>
      <c r="K483" s="2" t="s">
        <v>2774</v>
      </c>
      <c r="L483" s="2" t="s">
        <v>2696</v>
      </c>
      <c r="M483" s="2">
        <v>59721.0</v>
      </c>
      <c r="N483" s="2" t="s">
        <v>21</v>
      </c>
    </row>
    <row r="484" ht="15.75" customHeight="1">
      <c r="A484" s="2">
        <v>2013.0</v>
      </c>
      <c r="B484" s="2" t="s">
        <v>2775</v>
      </c>
      <c r="C484" s="2" t="s">
        <v>2775</v>
      </c>
      <c r="D484" s="2" t="str">
        <f>"712-722-1873"</f>
        <v>712-722-1873</v>
      </c>
      <c r="E484" s="2" t="s">
        <v>2126</v>
      </c>
      <c r="F484" s="2" t="s">
        <v>2776</v>
      </c>
      <c r="G484" s="2" t="str">
        <f>"SR-921"</f>
        <v>SR-921</v>
      </c>
      <c r="H484" s="2" t="s">
        <v>2777</v>
      </c>
      <c r="I484" s="2" t="s">
        <v>2778</v>
      </c>
      <c r="K484" s="2" t="s">
        <v>2779</v>
      </c>
      <c r="L484" s="2" t="s">
        <v>560</v>
      </c>
      <c r="M484" s="2">
        <v>51250.0</v>
      </c>
      <c r="N484" s="2" t="s">
        <v>21</v>
      </c>
    </row>
    <row r="485" ht="15.75" customHeight="1">
      <c r="A485" s="2">
        <v>2013.0</v>
      </c>
      <c r="B485" s="2" t="s">
        <v>2780</v>
      </c>
      <c r="C485" s="2" t="s">
        <v>2780</v>
      </c>
      <c r="D485" s="2" t="str">
        <f>"(406) 222-0109"</f>
        <v>(406) 222-0109</v>
      </c>
      <c r="E485" s="2" t="s">
        <v>2259</v>
      </c>
      <c r="F485" s="2" t="s">
        <v>2781</v>
      </c>
      <c r="G485" s="2" t="str">
        <f>"SR-916"</f>
        <v>SR-916</v>
      </c>
      <c r="H485" s="2" t="s">
        <v>2782</v>
      </c>
      <c r="I485" s="2" t="s">
        <v>2783</v>
      </c>
      <c r="K485" s="2" t="s">
        <v>2784</v>
      </c>
      <c r="L485" s="2" t="s">
        <v>2696</v>
      </c>
      <c r="M485" s="2">
        <v>59047.0</v>
      </c>
      <c r="N485" s="2" t="s">
        <v>21</v>
      </c>
    </row>
    <row r="486" ht="15.75" customHeight="1">
      <c r="A486" s="2">
        <v>2013.0</v>
      </c>
      <c r="B486" s="2" t="s">
        <v>2785</v>
      </c>
      <c r="C486" s="2" t="s">
        <v>2785</v>
      </c>
      <c r="D486" s="2" t="str">
        <f>"256-217-0440"</f>
        <v>256-217-0440</v>
      </c>
      <c r="E486" s="2" t="s">
        <v>2786</v>
      </c>
      <c r="F486" s="2" t="s">
        <v>2787</v>
      </c>
      <c r="G486" s="2" t="str">
        <f>"SR-223"</f>
        <v>SR-223</v>
      </c>
      <c r="H486" s="2" t="s">
        <v>2788</v>
      </c>
      <c r="I486" s="2" t="s">
        <v>2789</v>
      </c>
      <c r="K486" s="2" t="s">
        <v>659</v>
      </c>
      <c r="L486" s="2" t="s">
        <v>539</v>
      </c>
      <c r="M486" s="2">
        <v>35757.0</v>
      </c>
      <c r="N486" s="2" t="s">
        <v>21</v>
      </c>
    </row>
    <row r="487" ht="15.75" customHeight="1">
      <c r="A487" s="2">
        <v>2013.0</v>
      </c>
      <c r="B487" s="2" t="s">
        <v>2790</v>
      </c>
      <c r="C487" s="2" t="s">
        <v>2790</v>
      </c>
      <c r="D487" s="2" t="str">
        <f>"864-706-5502"</f>
        <v>864-706-5502</v>
      </c>
      <c r="E487" s="2" t="s">
        <v>1243</v>
      </c>
      <c r="F487" s="2" t="s">
        <v>2791</v>
      </c>
      <c r="G487" s="2" t="str">
        <f>"SR-846"</f>
        <v>SR-846</v>
      </c>
      <c r="H487" s="2" t="s">
        <v>2792</v>
      </c>
      <c r="I487" s="2" t="s">
        <v>2793</v>
      </c>
      <c r="K487" s="2" t="s">
        <v>2474</v>
      </c>
      <c r="L487" s="2" t="s">
        <v>55</v>
      </c>
      <c r="M487" s="2">
        <v>29334.0</v>
      </c>
      <c r="N487" s="2" t="s">
        <v>21</v>
      </c>
    </row>
    <row r="488" ht="15.75" customHeight="1">
      <c r="A488" s="2">
        <v>2013.0</v>
      </c>
      <c r="B488" s="2" t="s">
        <v>2794</v>
      </c>
      <c r="C488" s="2" t="s">
        <v>2795</v>
      </c>
      <c r="D488" s="2" t="str">
        <f>"614 783-0740"</f>
        <v>614 783-0740</v>
      </c>
      <c r="E488" s="2" t="s">
        <v>453</v>
      </c>
      <c r="F488" s="2" t="s">
        <v>2796</v>
      </c>
      <c r="G488" s="2" t="str">
        <f>"SR-794"</f>
        <v>SR-794</v>
      </c>
      <c r="H488" s="2" t="s">
        <v>2797</v>
      </c>
      <c r="I488" s="2" t="s">
        <v>2798</v>
      </c>
      <c r="K488" s="2" t="s">
        <v>489</v>
      </c>
      <c r="L488" s="2" t="s">
        <v>344</v>
      </c>
      <c r="M488" s="2">
        <v>43082.0</v>
      </c>
      <c r="N488" s="2" t="s">
        <v>21</v>
      </c>
    </row>
    <row r="489" ht="15.75" customHeight="1">
      <c r="A489" s="2">
        <v>2013.0</v>
      </c>
      <c r="B489" s="2" t="s">
        <v>2799</v>
      </c>
      <c r="D489" s="2" t="str">
        <f>"507-281-8351"</f>
        <v>507-281-8351</v>
      </c>
      <c r="E489" s="2" t="s">
        <v>2800</v>
      </c>
      <c r="F489" s="2" t="s">
        <v>2801</v>
      </c>
      <c r="G489" s="2" t="str">
        <f>"SR-924"</f>
        <v>SR-924</v>
      </c>
      <c r="H489" s="2" t="s">
        <v>2802</v>
      </c>
      <c r="I489" s="2" t="s">
        <v>2803</v>
      </c>
      <c r="K489" s="2" t="s">
        <v>2804</v>
      </c>
      <c r="L489" s="2" t="s">
        <v>62</v>
      </c>
      <c r="M489" s="2">
        <v>55902.0</v>
      </c>
      <c r="N489" s="2" t="s">
        <v>21</v>
      </c>
    </row>
    <row r="490" ht="15.75" customHeight="1">
      <c r="A490" s="2">
        <v>2013.0</v>
      </c>
      <c r="B490" s="2" t="s">
        <v>2805</v>
      </c>
      <c r="C490" s="2" t="s">
        <v>2806</v>
      </c>
      <c r="D490" s="2" t="str">
        <f>"6123829671"</f>
        <v>6123829671</v>
      </c>
      <c r="E490" s="2" t="s">
        <v>2807</v>
      </c>
      <c r="F490" s="2" t="s">
        <v>2808</v>
      </c>
      <c r="G490" s="2" t="str">
        <f>"SR-705"</f>
        <v>SR-705</v>
      </c>
      <c r="H490" s="2" t="s">
        <v>2809</v>
      </c>
      <c r="I490" s="2" t="s">
        <v>2810</v>
      </c>
      <c r="K490" s="2" t="s">
        <v>2811</v>
      </c>
      <c r="L490" s="2" t="s">
        <v>62</v>
      </c>
      <c r="M490" s="2">
        <v>55124.0</v>
      </c>
      <c r="N490" s="2" t="s">
        <v>21</v>
      </c>
    </row>
    <row r="491" ht="15.75" customHeight="1">
      <c r="A491" s="2">
        <v>2013.0</v>
      </c>
      <c r="B491" s="2" t="s">
        <v>2812</v>
      </c>
      <c r="C491" s="2" t="s">
        <v>2813</v>
      </c>
      <c r="D491" s="2" t="str">
        <f>"8508938652"</f>
        <v>8508938652</v>
      </c>
      <c r="E491" s="2" t="s">
        <v>2814</v>
      </c>
      <c r="F491" s="2" t="s">
        <v>2815</v>
      </c>
      <c r="G491" s="2" t="str">
        <f>"SR-677"</f>
        <v>SR-677</v>
      </c>
      <c r="H491" s="2" t="s">
        <v>2816</v>
      </c>
      <c r="I491" s="2" t="s">
        <v>2817</v>
      </c>
      <c r="K491" s="2" t="s">
        <v>2007</v>
      </c>
      <c r="L491" s="2" t="s">
        <v>208</v>
      </c>
      <c r="M491" s="2">
        <v>32309.0</v>
      </c>
      <c r="N491" s="2" t="s">
        <v>21</v>
      </c>
    </row>
    <row r="492" ht="15.75" customHeight="1">
      <c r="A492" s="2">
        <v>2013.0</v>
      </c>
      <c r="B492" s="2" t="s">
        <v>2818</v>
      </c>
      <c r="C492" s="2" t="s">
        <v>2819</v>
      </c>
      <c r="D492" s="2" t="str">
        <f>"303-840-8422"</f>
        <v>303-840-8422</v>
      </c>
      <c r="E492" s="2" t="s">
        <v>36</v>
      </c>
      <c r="F492" s="2" t="s">
        <v>2820</v>
      </c>
      <c r="G492" s="2" t="str">
        <f>"SR-928"</f>
        <v>SR-928</v>
      </c>
      <c r="H492" s="2" t="s">
        <v>2821</v>
      </c>
      <c r="I492" s="2" t="s">
        <v>2822</v>
      </c>
      <c r="K492" s="2" t="s">
        <v>1054</v>
      </c>
      <c r="L492" s="2" t="s">
        <v>157</v>
      </c>
      <c r="M492" s="2">
        <v>80138.0</v>
      </c>
      <c r="N492" s="2" t="s">
        <v>21</v>
      </c>
    </row>
    <row r="493" ht="15.75" customHeight="1">
      <c r="A493" s="2">
        <v>2013.0</v>
      </c>
      <c r="B493" s="2" t="s">
        <v>2823</v>
      </c>
      <c r="C493" s="2" t="s">
        <v>2824</v>
      </c>
      <c r="D493" s="2" t="str">
        <f>"503-617-1918"</f>
        <v>503-617-1918</v>
      </c>
      <c r="E493" s="2" t="s">
        <v>2825</v>
      </c>
      <c r="F493" s="2" t="s">
        <v>256</v>
      </c>
      <c r="G493" s="2" t="str">
        <f>"SR-929"</f>
        <v>SR-929</v>
      </c>
      <c r="H493" s="2" t="s">
        <v>2826</v>
      </c>
      <c r="I493" s="2" t="s">
        <v>2827</v>
      </c>
      <c r="K493" s="2" t="s">
        <v>2828</v>
      </c>
      <c r="L493" s="2" t="s">
        <v>2389</v>
      </c>
      <c r="M493" s="2">
        <v>97229.0</v>
      </c>
      <c r="N493" s="2" t="s">
        <v>21</v>
      </c>
    </row>
    <row r="494" ht="15.75" customHeight="1">
      <c r="A494" s="2">
        <v>2013.0</v>
      </c>
      <c r="B494" s="2" t="s">
        <v>2823</v>
      </c>
      <c r="C494" s="2" t="s">
        <v>2829</v>
      </c>
      <c r="D494" s="2" t="str">
        <f>"5036171918"</f>
        <v>5036171918</v>
      </c>
      <c r="E494" s="2" t="s">
        <v>922</v>
      </c>
      <c r="F494" s="2" t="s">
        <v>256</v>
      </c>
      <c r="G494" s="2" t="str">
        <f>"SR-930"</f>
        <v>SR-930</v>
      </c>
      <c r="H494" s="2" t="s">
        <v>2830</v>
      </c>
      <c r="I494" s="2" t="s">
        <v>2827</v>
      </c>
      <c r="K494" s="2" t="s">
        <v>2828</v>
      </c>
      <c r="L494" s="2" t="s">
        <v>2389</v>
      </c>
      <c r="M494" s="2">
        <v>97229.0</v>
      </c>
      <c r="N494" s="2" t="s">
        <v>21</v>
      </c>
    </row>
    <row r="495" ht="15.75" customHeight="1">
      <c r="A495" s="2">
        <v>2013.0</v>
      </c>
      <c r="B495" s="2" t="s">
        <v>2831</v>
      </c>
      <c r="C495" s="2" t="s">
        <v>2832</v>
      </c>
      <c r="D495" s="2" t="str">
        <f>"360-384-1188"</f>
        <v>360-384-1188</v>
      </c>
      <c r="E495" s="2" t="s">
        <v>1347</v>
      </c>
      <c r="F495" s="2" t="s">
        <v>2833</v>
      </c>
      <c r="G495" s="2" t="str">
        <f>"SR-462"</f>
        <v>SR-462</v>
      </c>
      <c r="H495" s="2" t="s">
        <v>2834</v>
      </c>
      <c r="I495" s="2" t="s">
        <v>2835</v>
      </c>
      <c r="K495" s="2" t="s">
        <v>2836</v>
      </c>
      <c r="L495" s="2" t="s">
        <v>86</v>
      </c>
      <c r="M495" s="2">
        <v>98248.0</v>
      </c>
      <c r="N495" s="2" t="s">
        <v>21</v>
      </c>
    </row>
    <row r="496" ht="15.75" customHeight="1">
      <c r="A496" s="2">
        <v>2013.0</v>
      </c>
      <c r="B496" s="2" t="s">
        <v>2837</v>
      </c>
      <c r="C496" s="2" t="s">
        <v>2837</v>
      </c>
      <c r="D496" s="2" t="str">
        <f>"4808556504"</f>
        <v>4808556504</v>
      </c>
      <c r="E496" s="2" t="s">
        <v>1088</v>
      </c>
      <c r="F496" s="2" t="s">
        <v>2838</v>
      </c>
      <c r="G496" s="2" t="str">
        <f>"SR-933"</f>
        <v>SR-933</v>
      </c>
      <c r="H496" s="2" t="s">
        <v>2839</v>
      </c>
      <c r="I496" s="2" t="s">
        <v>2840</v>
      </c>
      <c r="K496" s="2" t="s">
        <v>2841</v>
      </c>
      <c r="L496" s="2" t="s">
        <v>422</v>
      </c>
      <c r="M496" s="2">
        <v>85224.0</v>
      </c>
      <c r="N496" s="2" t="s">
        <v>21</v>
      </c>
    </row>
    <row r="497" ht="15.75" customHeight="1">
      <c r="A497" s="2">
        <v>2013.0</v>
      </c>
      <c r="B497" s="2" t="s">
        <v>2842</v>
      </c>
      <c r="C497" s="2" t="s">
        <v>2842</v>
      </c>
      <c r="D497" s="2" t="str">
        <f>"814-255-4965"</f>
        <v>814-255-4965</v>
      </c>
      <c r="E497" s="2" t="s">
        <v>843</v>
      </c>
      <c r="F497" s="2" t="s">
        <v>723</v>
      </c>
      <c r="G497" s="2" t="str">
        <f>"SR-610"</f>
        <v>SR-610</v>
      </c>
      <c r="H497" s="2" t="s">
        <v>2843</v>
      </c>
      <c r="I497" s="2" t="s">
        <v>2844</v>
      </c>
      <c r="K497" s="2" t="s">
        <v>1480</v>
      </c>
      <c r="L497" s="2" t="s">
        <v>179</v>
      </c>
      <c r="M497" s="2">
        <v>15905.0</v>
      </c>
      <c r="N497" s="2" t="s">
        <v>21</v>
      </c>
    </row>
    <row r="498" ht="15.75" customHeight="1">
      <c r="A498" s="2">
        <v>2013.0</v>
      </c>
      <c r="B498" s="2" t="s">
        <v>2845</v>
      </c>
      <c r="C498" s="2" t="s">
        <v>2845</v>
      </c>
      <c r="D498" s="2" t="str">
        <f>"8162867299"</f>
        <v>8162867299</v>
      </c>
      <c r="E498" s="2" t="s">
        <v>2846</v>
      </c>
      <c r="F498" s="2" t="s">
        <v>2847</v>
      </c>
      <c r="G498" s="2" t="str">
        <f>"SR-907"</f>
        <v>SR-907</v>
      </c>
      <c r="H498" s="2" t="s">
        <v>2848</v>
      </c>
      <c r="I498" s="2" t="s">
        <v>2849</v>
      </c>
      <c r="K498" s="2" t="s">
        <v>1583</v>
      </c>
      <c r="L498" s="2" t="s">
        <v>214</v>
      </c>
      <c r="M498" s="2">
        <v>64747.0</v>
      </c>
      <c r="N498" s="2" t="s">
        <v>21</v>
      </c>
    </row>
    <row r="499" ht="15.75" customHeight="1">
      <c r="A499" s="2">
        <v>2013.0</v>
      </c>
      <c r="B499" s="2" t="s">
        <v>2850</v>
      </c>
      <c r="C499" s="2" t="s">
        <v>2850</v>
      </c>
      <c r="D499" s="2" t="str">
        <f>"580-472-3319"</f>
        <v>580-472-3319</v>
      </c>
      <c r="E499" s="2" t="s">
        <v>2851</v>
      </c>
      <c r="F499" s="2" t="s">
        <v>2852</v>
      </c>
      <c r="G499" s="2" t="str">
        <f>"SR-691"</f>
        <v>SR-691</v>
      </c>
      <c r="H499" s="2" t="s">
        <v>2853</v>
      </c>
      <c r="I499" s="2" t="s">
        <v>2854</v>
      </c>
      <c r="K499" s="2" t="s">
        <v>2855</v>
      </c>
      <c r="L499" s="2" t="s">
        <v>840</v>
      </c>
      <c r="M499" s="2">
        <v>73626.0</v>
      </c>
      <c r="N499" s="2" t="s">
        <v>21</v>
      </c>
    </row>
    <row r="500" ht="15.75" customHeight="1">
      <c r="A500" s="2">
        <v>2013.0</v>
      </c>
      <c r="B500" s="2" t="s">
        <v>2856</v>
      </c>
      <c r="C500" s="2" t="s">
        <v>2856</v>
      </c>
      <c r="D500" s="2" t="str">
        <f>"5745293266"</f>
        <v>5745293266</v>
      </c>
      <c r="E500" s="2" t="s">
        <v>2857</v>
      </c>
      <c r="F500" s="2" t="s">
        <v>2858</v>
      </c>
      <c r="G500" s="2" t="str">
        <f>"SR-444"</f>
        <v>SR-444</v>
      </c>
      <c r="H500" s="2" t="s">
        <v>2859</v>
      </c>
      <c r="I500" s="2" t="s">
        <v>2860</v>
      </c>
      <c r="K500" s="2" t="s">
        <v>2861</v>
      </c>
      <c r="L500" s="2" t="s">
        <v>149</v>
      </c>
      <c r="M500" s="2">
        <v>46951.0</v>
      </c>
      <c r="N500" s="2" t="s">
        <v>21</v>
      </c>
    </row>
    <row r="501" ht="15.75" customHeight="1">
      <c r="A501" s="2">
        <v>2013.0</v>
      </c>
      <c r="B501" s="2" t="s">
        <v>2862</v>
      </c>
      <c r="C501" s="2" t="s">
        <v>2862</v>
      </c>
      <c r="D501" s="2" t="str">
        <f>"(406) 685-3340"</f>
        <v>(406) 685-3340</v>
      </c>
      <c r="E501" s="2" t="s">
        <v>2863</v>
      </c>
      <c r="F501" s="2" t="s">
        <v>2864</v>
      </c>
      <c r="G501" s="2" t="str">
        <f>"SR-914"</f>
        <v>SR-914</v>
      </c>
      <c r="H501" s="2" t="s">
        <v>2865</v>
      </c>
      <c r="I501" s="2" t="s">
        <v>2866</v>
      </c>
      <c r="J501" s="2" t="s">
        <v>2867</v>
      </c>
      <c r="K501" s="2" t="s">
        <v>2868</v>
      </c>
      <c r="L501" s="2" t="s">
        <v>2696</v>
      </c>
      <c r="M501" s="2">
        <v>59745.0</v>
      </c>
      <c r="N501" s="2" t="s">
        <v>21</v>
      </c>
    </row>
    <row r="502" ht="15.75" customHeight="1">
      <c r="A502" s="2">
        <v>2013.0</v>
      </c>
      <c r="B502" s="2" t="s">
        <v>2869</v>
      </c>
      <c r="C502" s="2" t="s">
        <v>2869</v>
      </c>
      <c r="D502" s="2" t="str">
        <f>"352-422-2107"</f>
        <v>352-422-2107</v>
      </c>
      <c r="E502" s="2" t="s">
        <v>137</v>
      </c>
      <c r="F502" s="2" t="s">
        <v>2870</v>
      </c>
      <c r="G502" s="2" t="str">
        <f>"SR-940"</f>
        <v>SR-940</v>
      </c>
      <c r="H502" s="2" t="s">
        <v>2871</v>
      </c>
      <c r="I502" s="2" t="s">
        <v>2872</v>
      </c>
      <c r="K502" s="2" t="s">
        <v>2873</v>
      </c>
      <c r="L502" s="2" t="s">
        <v>208</v>
      </c>
      <c r="M502" s="2">
        <v>34434.0</v>
      </c>
      <c r="N502" s="2" t="s">
        <v>21</v>
      </c>
    </row>
    <row r="503" ht="15.75" customHeight="1">
      <c r="A503" s="2">
        <v>2013.0</v>
      </c>
      <c r="B503" s="2" t="s">
        <v>2874</v>
      </c>
      <c r="C503" s="2" t="s">
        <v>2874</v>
      </c>
      <c r="D503" s="2" t="str">
        <f>"928-713-8871"</f>
        <v>928-713-8871</v>
      </c>
      <c r="E503" s="2" t="s">
        <v>678</v>
      </c>
      <c r="F503" s="2" t="s">
        <v>2875</v>
      </c>
      <c r="G503" s="2" t="str">
        <f>"SR-810"</f>
        <v>SR-810</v>
      </c>
      <c r="H503" s="2" t="s">
        <v>2876</v>
      </c>
      <c r="I503" s="2">
        <v>1223.0</v>
      </c>
      <c r="K503" s="2" t="s">
        <v>2877</v>
      </c>
      <c r="L503" s="2" t="s">
        <v>222</v>
      </c>
      <c r="M503" s="2">
        <v>91790.0</v>
      </c>
      <c r="N503" s="2" t="s">
        <v>21</v>
      </c>
    </row>
    <row r="504" ht="15.75" customHeight="1">
      <c r="A504" s="2">
        <v>2013.0</v>
      </c>
      <c r="B504" s="2" t="s">
        <v>2878</v>
      </c>
      <c r="C504" s="2" t="s">
        <v>2879</v>
      </c>
      <c r="D504" s="2" t="str">
        <f>"(763)504-9434"</f>
        <v>(763)504-9434</v>
      </c>
      <c r="E504" s="2" t="s">
        <v>367</v>
      </c>
      <c r="F504" s="2" t="s">
        <v>2880</v>
      </c>
      <c r="G504" s="2" t="str">
        <f>"SR-939"</f>
        <v>SR-939</v>
      </c>
      <c r="H504" s="2" t="s">
        <v>2881</v>
      </c>
      <c r="I504" s="2" t="s">
        <v>2882</v>
      </c>
      <c r="K504" s="2" t="s">
        <v>2883</v>
      </c>
      <c r="L504" s="2" t="s">
        <v>62</v>
      </c>
      <c r="M504" s="2">
        <v>55422.0</v>
      </c>
      <c r="N504" s="2" t="s">
        <v>21</v>
      </c>
    </row>
    <row r="505" ht="15.75" customHeight="1">
      <c r="A505" s="2">
        <v>2013.0</v>
      </c>
      <c r="B505" s="2" t="s">
        <v>2884</v>
      </c>
      <c r="C505" s="2" t="s">
        <v>2884</v>
      </c>
      <c r="D505" s="2" t="str">
        <f>"8166864647"</f>
        <v>8166864647</v>
      </c>
      <c r="E505" s="2" t="s">
        <v>2885</v>
      </c>
      <c r="F505" s="2" t="s">
        <v>2886</v>
      </c>
      <c r="G505" s="2" t="str">
        <f>"SR-910"</f>
        <v>SR-910</v>
      </c>
      <c r="H505" s="2" t="s">
        <v>2887</v>
      </c>
      <c r="I505" s="2" t="s">
        <v>2888</v>
      </c>
      <c r="K505" s="2" t="s">
        <v>2889</v>
      </c>
      <c r="L505" s="2" t="s">
        <v>214</v>
      </c>
      <c r="M505" s="2">
        <v>64701.0</v>
      </c>
      <c r="N505" s="2" t="s">
        <v>21</v>
      </c>
    </row>
    <row r="506" ht="15.75" customHeight="1">
      <c r="A506" s="2">
        <v>2013.0</v>
      </c>
      <c r="B506" s="2" t="s">
        <v>2472</v>
      </c>
      <c r="C506" s="2" t="s">
        <v>2890</v>
      </c>
      <c r="D506" s="2" t="str">
        <f>"918-806-6150"</f>
        <v>918-806-6150</v>
      </c>
      <c r="E506" s="2" t="s">
        <v>2891</v>
      </c>
      <c r="F506" s="2" t="s">
        <v>2474</v>
      </c>
      <c r="G506" s="2" t="str">
        <f>"SR-852"</f>
        <v>SR-852</v>
      </c>
      <c r="H506" s="2" t="s">
        <v>2892</v>
      </c>
      <c r="I506" s="2" t="s">
        <v>2476</v>
      </c>
      <c r="K506" s="2" t="s">
        <v>2477</v>
      </c>
      <c r="L506" s="2" t="s">
        <v>840</v>
      </c>
      <c r="M506" s="2">
        <v>74014.0</v>
      </c>
      <c r="N506" s="2" t="s">
        <v>21</v>
      </c>
    </row>
    <row r="507" ht="15.75" customHeight="1">
      <c r="A507" s="2">
        <v>2013.0</v>
      </c>
      <c r="B507" s="2" t="s">
        <v>2893</v>
      </c>
      <c r="C507" s="2" t="s">
        <v>2893</v>
      </c>
      <c r="D507" s="2" t="str">
        <f>"954-415-2168"</f>
        <v>954-415-2168</v>
      </c>
      <c r="E507" s="2" t="s">
        <v>137</v>
      </c>
      <c r="F507" s="2" t="s">
        <v>2894</v>
      </c>
      <c r="G507" s="2" t="str">
        <f>"SR-901"</f>
        <v>SR-901</v>
      </c>
      <c r="H507" s="2" t="s">
        <v>2895</v>
      </c>
      <c r="I507" s="2" t="s">
        <v>2896</v>
      </c>
      <c r="K507" s="2" t="s">
        <v>2897</v>
      </c>
      <c r="L507" s="2" t="s">
        <v>208</v>
      </c>
      <c r="M507" s="2">
        <v>33065.0</v>
      </c>
      <c r="N507" s="2" t="s">
        <v>21</v>
      </c>
    </row>
    <row r="508" ht="15.75" customHeight="1">
      <c r="A508" s="2">
        <v>2013.0</v>
      </c>
      <c r="B508" s="2" t="s">
        <v>2898</v>
      </c>
      <c r="C508" s="2" t="s">
        <v>2898</v>
      </c>
      <c r="D508" s="2" t="str">
        <f>"954-753-7146"</f>
        <v>954-753-7146</v>
      </c>
      <c r="E508" s="2" t="s">
        <v>261</v>
      </c>
      <c r="F508" s="2" t="s">
        <v>2894</v>
      </c>
      <c r="G508" s="2" t="str">
        <f>"SR-787"</f>
        <v>SR-787</v>
      </c>
      <c r="H508" s="2" t="s">
        <v>2899</v>
      </c>
      <c r="I508" s="2" t="s">
        <v>2900</v>
      </c>
      <c r="K508" s="2" t="s">
        <v>2897</v>
      </c>
      <c r="L508" s="2" t="s">
        <v>208</v>
      </c>
      <c r="M508" s="2">
        <v>33065.0</v>
      </c>
      <c r="N508" s="2" t="s">
        <v>21</v>
      </c>
    </row>
    <row r="509" ht="15.75" customHeight="1">
      <c r="A509" s="2">
        <v>2013.0</v>
      </c>
      <c r="B509" s="2" t="s">
        <v>2901</v>
      </c>
      <c r="D509" s="2" t="str">
        <f>"402-366-8234"</f>
        <v>402-366-8234</v>
      </c>
      <c r="E509" s="2" t="s">
        <v>282</v>
      </c>
      <c r="F509" s="2" t="s">
        <v>2902</v>
      </c>
      <c r="G509" s="2" t="str">
        <f>"SR-16"</f>
        <v>SR-16</v>
      </c>
      <c r="H509" s="2" t="s">
        <v>2903</v>
      </c>
      <c r="I509" s="2" t="s">
        <v>2904</v>
      </c>
      <c r="K509" s="2" t="s">
        <v>1470</v>
      </c>
      <c r="L509" s="2" t="s">
        <v>757</v>
      </c>
      <c r="M509" s="2">
        <v>68118.0</v>
      </c>
      <c r="N509" s="2" t="s">
        <v>21</v>
      </c>
    </row>
    <row r="510" ht="15.75" customHeight="1">
      <c r="A510" s="2">
        <v>2013.0</v>
      </c>
      <c r="B510" s="2" t="s">
        <v>2905</v>
      </c>
      <c r="D510" s="2" t="str">
        <f>"612-709-2565"</f>
        <v>612-709-2565</v>
      </c>
      <c r="E510" s="2" t="s">
        <v>36</v>
      </c>
      <c r="F510" s="2" t="s">
        <v>2906</v>
      </c>
      <c r="G510" s="2" t="str">
        <f>"SR-899"</f>
        <v>SR-899</v>
      </c>
      <c r="H510" s="2" t="s">
        <v>2907</v>
      </c>
      <c r="I510" s="2" t="s">
        <v>2908</v>
      </c>
      <c r="K510" s="2" t="s">
        <v>2909</v>
      </c>
      <c r="L510" s="2" t="s">
        <v>62</v>
      </c>
      <c r="M510" s="2">
        <v>55441.0</v>
      </c>
      <c r="N510" s="2" t="s">
        <v>21</v>
      </c>
    </row>
    <row r="511" ht="15.75" customHeight="1">
      <c r="A511" s="2">
        <v>2013.0</v>
      </c>
      <c r="B511" s="2" t="s">
        <v>2910</v>
      </c>
      <c r="C511" s="2" t="s">
        <v>2911</v>
      </c>
      <c r="D511" s="2" t="str">
        <f>"972-539-4571"</f>
        <v>972-539-4571</v>
      </c>
      <c r="E511" s="2" t="s">
        <v>2912</v>
      </c>
      <c r="F511" s="2" t="s">
        <v>2913</v>
      </c>
      <c r="G511" s="2" t="str">
        <f>"SR-839"</f>
        <v>SR-839</v>
      </c>
      <c r="H511" s="2" t="s">
        <v>2914</v>
      </c>
      <c r="I511" s="2" t="s">
        <v>2915</v>
      </c>
      <c r="K511" s="2" t="s">
        <v>2643</v>
      </c>
      <c r="L511" s="2" t="s">
        <v>172</v>
      </c>
      <c r="M511" s="2">
        <v>75028.0</v>
      </c>
      <c r="N511" s="2" t="s">
        <v>21</v>
      </c>
    </row>
    <row r="512" ht="15.75" customHeight="1">
      <c r="A512" s="2">
        <v>2013.0</v>
      </c>
      <c r="B512" s="2" t="s">
        <v>2916</v>
      </c>
      <c r="C512" s="2" t="s">
        <v>2917</v>
      </c>
      <c r="D512" s="2" t="str">
        <f>"503-324-9640"</f>
        <v>503-324-9640</v>
      </c>
      <c r="E512" s="2" t="s">
        <v>50</v>
      </c>
      <c r="F512" s="2" t="s">
        <v>2918</v>
      </c>
      <c r="G512" s="2" t="str">
        <f>"SR-948"</f>
        <v>SR-948</v>
      </c>
      <c r="H512" s="2" t="s">
        <v>2919</v>
      </c>
      <c r="I512" s="2" t="s">
        <v>2920</v>
      </c>
      <c r="K512" s="2" t="s">
        <v>2921</v>
      </c>
      <c r="L512" s="2" t="s">
        <v>2389</v>
      </c>
      <c r="M512" s="2">
        <v>97116.0</v>
      </c>
      <c r="N512" s="2" t="s">
        <v>21</v>
      </c>
    </row>
    <row r="513" ht="15.75" customHeight="1">
      <c r="A513" s="2">
        <v>2013.0</v>
      </c>
      <c r="B513" s="2" t="s">
        <v>2922</v>
      </c>
      <c r="C513" s="2" t="s">
        <v>2923</v>
      </c>
      <c r="D513" s="2" t="str">
        <f>"9076940619"</f>
        <v>9076940619</v>
      </c>
      <c r="E513" s="2" t="s">
        <v>339</v>
      </c>
      <c r="F513" s="2" t="s">
        <v>2924</v>
      </c>
      <c r="G513" s="2" t="str">
        <f>"SR-207"</f>
        <v>SR-207</v>
      </c>
      <c r="H513" s="2" t="s">
        <v>2925</v>
      </c>
      <c r="I513" s="2" t="s">
        <v>2926</v>
      </c>
      <c r="K513" s="2" t="s">
        <v>2927</v>
      </c>
      <c r="L513" s="2" t="s">
        <v>70</v>
      </c>
      <c r="M513" s="2">
        <v>99567.0</v>
      </c>
      <c r="N513" s="2" t="s">
        <v>21</v>
      </c>
    </row>
    <row r="514" ht="15.75" customHeight="1">
      <c r="A514" s="2">
        <v>2013.0</v>
      </c>
      <c r="B514" s="2" t="s">
        <v>2928</v>
      </c>
      <c r="C514" s="2" t="s">
        <v>2929</v>
      </c>
      <c r="D514" s="2" t="str">
        <f>"205-345-7512"</f>
        <v>205-345-7512</v>
      </c>
      <c r="E514" s="2" t="s">
        <v>2930</v>
      </c>
      <c r="F514" s="2" t="s">
        <v>2931</v>
      </c>
      <c r="G514" s="2" t="str">
        <f>"SR-953"</f>
        <v>SR-953</v>
      </c>
      <c r="H514" s="2" t="s">
        <v>2932</v>
      </c>
      <c r="I514" s="2" t="s">
        <v>2933</v>
      </c>
      <c r="K514" s="2" t="s">
        <v>2934</v>
      </c>
      <c r="L514" s="2" t="s">
        <v>539</v>
      </c>
      <c r="M514" s="2">
        <v>35456.0</v>
      </c>
      <c r="N514" s="2" t="s">
        <v>21</v>
      </c>
    </row>
    <row r="515" ht="15.75" customHeight="1">
      <c r="A515" s="2">
        <v>2013.0</v>
      </c>
      <c r="B515" s="2" t="s">
        <v>2935</v>
      </c>
      <c r="C515" s="2" t="s">
        <v>2935</v>
      </c>
      <c r="D515" s="2" t="str">
        <f>"719-930-2930"</f>
        <v>719-930-2930</v>
      </c>
      <c r="E515" s="2" t="s">
        <v>167</v>
      </c>
      <c r="F515" s="2" t="s">
        <v>2936</v>
      </c>
      <c r="G515" s="2" t="str">
        <f>"SR-941"</f>
        <v>SR-941</v>
      </c>
      <c r="H515" s="2" t="s">
        <v>2937</v>
      </c>
      <c r="I515" s="2" t="s">
        <v>2938</v>
      </c>
      <c r="K515" s="2" t="s">
        <v>809</v>
      </c>
      <c r="L515" s="2" t="s">
        <v>157</v>
      </c>
      <c r="M515" s="2">
        <v>80920.0</v>
      </c>
      <c r="N515" s="2" t="s">
        <v>21</v>
      </c>
    </row>
    <row r="516" ht="15.75" customHeight="1">
      <c r="A516" s="2">
        <v>2013.0</v>
      </c>
      <c r="B516" s="2" t="s">
        <v>2939</v>
      </c>
      <c r="C516" s="2" t="s">
        <v>2940</v>
      </c>
      <c r="D516" s="2" t="str">
        <f>"9729215814"</f>
        <v>9729215814</v>
      </c>
      <c r="E516" s="2" t="s">
        <v>2941</v>
      </c>
      <c r="F516" s="2" t="s">
        <v>2942</v>
      </c>
      <c r="G516" s="2" t="str">
        <f>"SR-892"</f>
        <v>SR-892</v>
      </c>
      <c r="H516" s="2" t="s">
        <v>2943</v>
      </c>
      <c r="I516" s="2" t="s">
        <v>2944</v>
      </c>
      <c r="K516" s="2" t="s">
        <v>2945</v>
      </c>
      <c r="L516" s="2" t="s">
        <v>172</v>
      </c>
      <c r="M516" s="2">
        <v>75154.0</v>
      </c>
      <c r="N516" s="2" t="s">
        <v>21</v>
      </c>
    </row>
    <row r="517" ht="15.75" customHeight="1">
      <c r="A517" s="2">
        <v>2013.0</v>
      </c>
      <c r="B517" s="2" t="s">
        <v>2946</v>
      </c>
      <c r="C517" s="2" t="s">
        <v>2946</v>
      </c>
      <c r="D517" s="2" t="str">
        <f>"3158773819"</f>
        <v>3158773819</v>
      </c>
      <c r="E517" s="2" t="s">
        <v>2947</v>
      </c>
      <c r="F517" s="2" t="s">
        <v>2948</v>
      </c>
      <c r="G517" s="2" t="str">
        <f>"SR-307"</f>
        <v>SR-307</v>
      </c>
      <c r="H517" s="2" t="s">
        <v>2949</v>
      </c>
      <c r="I517" s="2" t="s">
        <v>2950</v>
      </c>
      <c r="K517" s="2" t="s">
        <v>2951</v>
      </c>
      <c r="L517" s="2" t="s">
        <v>142</v>
      </c>
      <c r="M517" s="2">
        <v>13206.0</v>
      </c>
      <c r="N517" s="2" t="s">
        <v>21</v>
      </c>
    </row>
    <row r="518" ht="15.75" customHeight="1">
      <c r="A518" s="2">
        <v>2013.0</v>
      </c>
      <c r="B518" s="2" t="s">
        <v>2952</v>
      </c>
      <c r="C518" s="2" t="s">
        <v>2953</v>
      </c>
      <c r="D518" s="2" t="str">
        <f>"6052953043"</f>
        <v>6052953043</v>
      </c>
      <c r="E518" s="2" t="s">
        <v>2954</v>
      </c>
      <c r="F518" s="2" t="s">
        <v>2955</v>
      </c>
      <c r="G518" s="2" t="str">
        <f>"SR-905"</f>
        <v>SR-905</v>
      </c>
      <c r="H518" s="2" t="s">
        <v>2956</v>
      </c>
      <c r="I518" s="2" t="s">
        <v>2957</v>
      </c>
      <c r="K518" s="2" t="s">
        <v>2958</v>
      </c>
      <c r="L518" s="2" t="s">
        <v>920</v>
      </c>
      <c r="M518" s="2">
        <v>57564.0</v>
      </c>
      <c r="N518" s="2" t="s">
        <v>21</v>
      </c>
    </row>
    <row r="519" ht="15.75" customHeight="1">
      <c r="A519" s="2">
        <v>2013.0</v>
      </c>
      <c r="B519" s="2" t="s">
        <v>2959</v>
      </c>
      <c r="C519" s="2" t="s">
        <v>2960</v>
      </c>
      <c r="D519" s="2" t="str">
        <f>"205-364-9710"</f>
        <v>205-364-9710</v>
      </c>
      <c r="E519" s="2" t="s">
        <v>1257</v>
      </c>
      <c r="F519" s="2" t="s">
        <v>2725</v>
      </c>
      <c r="G519" s="2" t="str">
        <f>"SR-955"</f>
        <v>SR-955</v>
      </c>
      <c r="H519" s="2" t="s">
        <v>2961</v>
      </c>
      <c r="I519" s="2" t="s">
        <v>2962</v>
      </c>
      <c r="K519" s="2" t="s">
        <v>2963</v>
      </c>
      <c r="L519" s="2" t="s">
        <v>539</v>
      </c>
      <c r="M519" s="2">
        <v>35466.0</v>
      </c>
      <c r="N519" s="2" t="s">
        <v>21</v>
      </c>
    </row>
    <row r="520" ht="15.75" customHeight="1">
      <c r="A520" s="2">
        <v>2013.0</v>
      </c>
      <c r="B520" s="2" t="s">
        <v>2964</v>
      </c>
      <c r="C520" s="2" t="s">
        <v>2964</v>
      </c>
      <c r="D520" s="2" t="str">
        <f>"(325)248-1959"</f>
        <v>(325)248-1959</v>
      </c>
      <c r="E520" s="2" t="s">
        <v>2965</v>
      </c>
      <c r="F520" s="2" t="s">
        <v>2966</v>
      </c>
      <c r="G520" s="2" t="str">
        <f>"SR-960"</f>
        <v>SR-960</v>
      </c>
      <c r="H520" s="2" t="s">
        <v>2967</v>
      </c>
      <c r="I520" s="2" t="s">
        <v>2968</v>
      </c>
      <c r="K520" s="2" t="s">
        <v>2969</v>
      </c>
      <c r="L520" s="2" t="s">
        <v>172</v>
      </c>
      <c r="M520" s="2">
        <v>77840.0</v>
      </c>
      <c r="N520" s="2" t="s">
        <v>21</v>
      </c>
    </row>
    <row r="521" ht="15.75" customHeight="1">
      <c r="A521" s="2">
        <v>2013.0</v>
      </c>
      <c r="B521" s="2" t="s">
        <v>2970</v>
      </c>
      <c r="C521" s="2" t="s">
        <v>2971</v>
      </c>
      <c r="D521" s="2" t="str">
        <f>"6784013276"</f>
        <v>6784013276</v>
      </c>
      <c r="E521" s="2" t="s">
        <v>100</v>
      </c>
      <c r="F521" s="2" t="s">
        <v>2972</v>
      </c>
      <c r="G521" s="2" t="str">
        <f>"SR-944"</f>
        <v>SR-944</v>
      </c>
      <c r="H521" s="2" t="s">
        <v>2973</v>
      </c>
      <c r="I521" s="2" t="s">
        <v>2974</v>
      </c>
      <c r="K521" s="2" t="s">
        <v>2975</v>
      </c>
      <c r="L521" s="2" t="s">
        <v>200</v>
      </c>
      <c r="M521" s="2">
        <v>30134.0</v>
      </c>
      <c r="N521" s="2" t="s">
        <v>21</v>
      </c>
    </row>
    <row r="522" ht="15.75" customHeight="1">
      <c r="A522" s="2">
        <v>2013.0</v>
      </c>
      <c r="B522" s="2" t="s">
        <v>2976</v>
      </c>
      <c r="C522" s="2" t="s">
        <v>2976</v>
      </c>
      <c r="D522" s="2" t="str">
        <f>"817-228-0507"</f>
        <v>817-228-0507</v>
      </c>
      <c r="E522" s="2" t="s">
        <v>2126</v>
      </c>
      <c r="F522" s="2" t="s">
        <v>2977</v>
      </c>
      <c r="G522" s="2" t="str">
        <f>"SR-378"</f>
        <v>SR-378</v>
      </c>
      <c r="H522" s="2" t="s">
        <v>2978</v>
      </c>
      <c r="I522" s="2" t="s">
        <v>2979</v>
      </c>
      <c r="K522" s="2" t="s">
        <v>2980</v>
      </c>
      <c r="L522" s="2" t="s">
        <v>172</v>
      </c>
      <c r="M522" s="2">
        <v>76082.0</v>
      </c>
      <c r="N522" s="2" t="s">
        <v>21</v>
      </c>
    </row>
    <row r="523" ht="15.75" customHeight="1">
      <c r="A523" s="2">
        <v>2013.0</v>
      </c>
      <c r="B523" s="2" t="s">
        <v>2981</v>
      </c>
      <c r="C523" s="2" t="s">
        <v>2981</v>
      </c>
      <c r="D523" s="2" t="str">
        <f>"6162128852"</f>
        <v>6162128852</v>
      </c>
      <c r="E523" s="2" t="s">
        <v>261</v>
      </c>
      <c r="F523" s="2" t="s">
        <v>2982</v>
      </c>
      <c r="G523" s="2" t="str">
        <f>"SR-925"</f>
        <v>SR-925</v>
      </c>
      <c r="H523" s="2" t="s">
        <v>2983</v>
      </c>
      <c r="I523" s="2" t="s">
        <v>2984</v>
      </c>
      <c r="K523" s="2" t="s">
        <v>2985</v>
      </c>
      <c r="L523" s="2" t="s">
        <v>29</v>
      </c>
      <c r="M523" s="2">
        <v>49423.0</v>
      </c>
      <c r="N523" s="2" t="s">
        <v>21</v>
      </c>
    </row>
    <row r="524" ht="15.75" customHeight="1">
      <c r="A524" s="2">
        <v>2013.0</v>
      </c>
      <c r="B524" s="2" t="s">
        <v>2986</v>
      </c>
      <c r="C524" s="2" t="s">
        <v>2987</v>
      </c>
      <c r="D524" s="2" t="str">
        <f>"9723456776"</f>
        <v>9723456776</v>
      </c>
      <c r="E524" s="2" t="s">
        <v>2988</v>
      </c>
      <c r="F524" s="2" t="s">
        <v>701</v>
      </c>
      <c r="G524" s="2" t="str">
        <f>"SR-923"</f>
        <v>SR-923</v>
      </c>
      <c r="H524" s="2" t="s">
        <v>2989</v>
      </c>
      <c r="I524" s="2" t="s">
        <v>2990</v>
      </c>
      <c r="K524" s="2" t="s">
        <v>1255</v>
      </c>
      <c r="L524" s="2" t="s">
        <v>172</v>
      </c>
      <c r="M524" s="2">
        <v>75229.0</v>
      </c>
      <c r="N524" s="2" t="s">
        <v>21</v>
      </c>
    </row>
    <row r="525" ht="15.75" customHeight="1">
      <c r="A525" s="2">
        <v>2013.0</v>
      </c>
      <c r="B525" s="2" t="s">
        <v>2991</v>
      </c>
      <c r="C525" s="2" t="s">
        <v>2991</v>
      </c>
      <c r="D525" s="2" t="str">
        <f>"607-547-5769"</f>
        <v>607-547-5769</v>
      </c>
      <c r="E525" s="2" t="s">
        <v>288</v>
      </c>
      <c r="F525" s="2" t="s">
        <v>2992</v>
      </c>
      <c r="G525" s="2" t="str">
        <f>"SR-961"</f>
        <v>SR-961</v>
      </c>
      <c r="H525" s="2" t="s">
        <v>2993</v>
      </c>
      <c r="I525" s="2" t="s">
        <v>2994</v>
      </c>
      <c r="K525" s="2" t="s">
        <v>2995</v>
      </c>
      <c r="L525" s="2" t="s">
        <v>142</v>
      </c>
      <c r="M525" s="2">
        <v>13326.0</v>
      </c>
      <c r="N525" s="2" t="s">
        <v>21</v>
      </c>
    </row>
    <row r="526" ht="15.75" customHeight="1">
      <c r="A526" s="2">
        <v>2013.0</v>
      </c>
      <c r="B526" s="2" t="s">
        <v>2996</v>
      </c>
      <c r="D526" s="2" t="str">
        <f>""</f>
        <v/>
      </c>
      <c r="E526" s="2" t="s">
        <v>2997</v>
      </c>
      <c r="F526" s="2" t="s">
        <v>2998</v>
      </c>
      <c r="G526" s="2" t="str">
        <f>"SR-704"</f>
        <v>SR-704</v>
      </c>
      <c r="H526" s="2" t="s">
        <v>2999</v>
      </c>
      <c r="N526" s="2" t="s">
        <v>1602</v>
      </c>
    </row>
    <row r="527" ht="15.75" customHeight="1">
      <c r="A527" s="2">
        <v>2013.0</v>
      </c>
      <c r="B527" s="2" t="s">
        <v>3000</v>
      </c>
      <c r="C527" s="2" t="s">
        <v>3001</v>
      </c>
      <c r="D527" s="2" t="str">
        <f>"8322828670"</f>
        <v>8322828670</v>
      </c>
      <c r="E527" s="2" t="s">
        <v>3002</v>
      </c>
      <c r="F527" s="2" t="s">
        <v>3003</v>
      </c>
      <c r="G527" s="2" t="str">
        <f>"SR-748"</f>
        <v>SR-748</v>
      </c>
      <c r="H527" s="2" t="s">
        <v>3004</v>
      </c>
      <c r="I527" s="2" t="s">
        <v>3005</v>
      </c>
      <c r="K527" s="2" t="s">
        <v>3006</v>
      </c>
      <c r="L527" s="2" t="s">
        <v>172</v>
      </c>
      <c r="M527" s="2">
        <v>77346.0</v>
      </c>
      <c r="N527" s="2" t="s">
        <v>21</v>
      </c>
    </row>
    <row r="528" ht="15.75" customHeight="1">
      <c r="A528" s="2">
        <v>2013.0</v>
      </c>
      <c r="B528" s="2" t="s">
        <v>3007</v>
      </c>
      <c r="C528" s="2" t="s">
        <v>3007</v>
      </c>
      <c r="D528" s="2" t="str">
        <f>"503-647-0090"</f>
        <v>503-647-0090</v>
      </c>
      <c r="E528" s="2" t="s">
        <v>301</v>
      </c>
      <c r="F528" s="2" t="s">
        <v>3008</v>
      </c>
      <c r="G528" s="2" t="str">
        <f>"SR-966"</f>
        <v>SR-966</v>
      </c>
      <c r="H528" s="2" t="s">
        <v>3009</v>
      </c>
      <c r="I528" s="2" t="s">
        <v>3010</v>
      </c>
      <c r="K528" s="2" t="s">
        <v>788</v>
      </c>
      <c r="L528" s="2" t="s">
        <v>2389</v>
      </c>
      <c r="M528" s="2">
        <v>97124.0</v>
      </c>
      <c r="N528" s="2" t="s">
        <v>21</v>
      </c>
    </row>
    <row r="529" ht="15.75" customHeight="1">
      <c r="A529" s="2">
        <v>2013.0</v>
      </c>
      <c r="B529" s="2" t="s">
        <v>3011</v>
      </c>
      <c r="C529" s="2" t="s">
        <v>3012</v>
      </c>
      <c r="D529" s="2" t="str">
        <f>"402-238-2121"</f>
        <v>402-238-2121</v>
      </c>
      <c r="E529" s="2" t="s">
        <v>239</v>
      </c>
      <c r="F529" s="2" t="s">
        <v>3013</v>
      </c>
      <c r="G529" s="2" t="str">
        <f>"SR-942"</f>
        <v>SR-942</v>
      </c>
      <c r="H529" s="2" t="s">
        <v>3014</v>
      </c>
      <c r="I529" s="2" t="s">
        <v>3015</v>
      </c>
      <c r="K529" s="2" t="s">
        <v>2545</v>
      </c>
      <c r="L529" s="2" t="s">
        <v>757</v>
      </c>
      <c r="M529" s="2">
        <v>68007.0</v>
      </c>
      <c r="N529" s="2" t="s">
        <v>21</v>
      </c>
    </row>
    <row r="530" ht="15.75" customHeight="1">
      <c r="A530" s="2">
        <v>2013.0</v>
      </c>
      <c r="B530" s="2" t="s">
        <v>3016</v>
      </c>
      <c r="C530" s="2" t="s">
        <v>3016</v>
      </c>
      <c r="D530" s="2" t="str">
        <f>"405-657-9008"</f>
        <v>405-657-9008</v>
      </c>
      <c r="E530" s="2" t="s">
        <v>1208</v>
      </c>
      <c r="F530" s="2" t="s">
        <v>3017</v>
      </c>
      <c r="G530" s="2" t="str">
        <f>"SR-23"</f>
        <v>SR-23</v>
      </c>
      <c r="H530" s="2" t="s">
        <v>3018</v>
      </c>
      <c r="I530" s="2" t="s">
        <v>3019</v>
      </c>
      <c r="K530" s="2" t="s">
        <v>3020</v>
      </c>
      <c r="L530" s="2" t="s">
        <v>840</v>
      </c>
      <c r="M530" s="2">
        <v>74881.0</v>
      </c>
      <c r="N530" s="2" t="s">
        <v>21</v>
      </c>
    </row>
    <row r="531" ht="15.75" customHeight="1">
      <c r="A531" s="2">
        <v>2013.0</v>
      </c>
      <c r="B531" s="2" t="s">
        <v>3021</v>
      </c>
      <c r="C531" s="2" t="s">
        <v>3021</v>
      </c>
      <c r="D531" s="2" t="str">
        <f>"817-988-7141"</f>
        <v>817-988-7141</v>
      </c>
      <c r="E531" s="2" t="s">
        <v>1263</v>
      </c>
      <c r="F531" s="2" t="s">
        <v>3022</v>
      </c>
      <c r="G531" s="2" t="str">
        <f>"SR-303"</f>
        <v>SR-303</v>
      </c>
      <c r="H531" s="2" t="s">
        <v>3023</v>
      </c>
      <c r="I531" s="2" t="s">
        <v>3024</v>
      </c>
      <c r="K531" s="2" t="s">
        <v>882</v>
      </c>
      <c r="L531" s="2" t="s">
        <v>172</v>
      </c>
      <c r="M531" s="2">
        <v>76015.0</v>
      </c>
      <c r="N531" s="2" t="s">
        <v>21</v>
      </c>
    </row>
    <row r="532" ht="15.75" customHeight="1">
      <c r="A532" s="2">
        <v>2013.0</v>
      </c>
      <c r="B532" s="2" t="s">
        <v>2818</v>
      </c>
      <c r="C532" s="2" t="s">
        <v>3025</v>
      </c>
      <c r="D532" s="2" t="str">
        <f>"303-840-8422"</f>
        <v>303-840-8422</v>
      </c>
      <c r="E532" s="2" t="s">
        <v>2401</v>
      </c>
      <c r="F532" s="2" t="s">
        <v>2820</v>
      </c>
      <c r="G532" s="2" t="str">
        <f>"SR-927"</f>
        <v>SR-927</v>
      </c>
      <c r="H532" s="2" t="s">
        <v>3026</v>
      </c>
      <c r="I532" s="2" t="s">
        <v>2822</v>
      </c>
      <c r="K532" s="2" t="s">
        <v>1054</v>
      </c>
      <c r="L532" s="2" t="s">
        <v>157</v>
      </c>
      <c r="M532" s="2">
        <v>80138.0</v>
      </c>
      <c r="N532" s="2" t="s">
        <v>21</v>
      </c>
    </row>
    <row r="533" ht="15.75" customHeight="1">
      <c r="A533" s="2">
        <v>2013.0</v>
      </c>
      <c r="B533" s="2" t="s">
        <v>3027</v>
      </c>
      <c r="C533" s="2" t="s">
        <v>3027</v>
      </c>
      <c r="D533" s="2" t="str">
        <f>"763 688 3997"</f>
        <v>763 688 3997</v>
      </c>
      <c r="E533" s="2" t="s">
        <v>1554</v>
      </c>
      <c r="F533" s="2" t="s">
        <v>3028</v>
      </c>
      <c r="G533" s="2" t="str">
        <f>"SR-688"</f>
        <v>SR-688</v>
      </c>
      <c r="H533" s="2" t="s">
        <v>3029</v>
      </c>
      <c r="I533" s="2" t="s">
        <v>3030</v>
      </c>
      <c r="K533" s="2" t="s">
        <v>3031</v>
      </c>
      <c r="L533" s="2" t="s">
        <v>62</v>
      </c>
      <c r="M533" s="2">
        <v>55443.0</v>
      </c>
      <c r="N533" s="2" t="s">
        <v>21</v>
      </c>
    </row>
    <row r="534" ht="15.75" customHeight="1">
      <c r="A534" s="2">
        <v>2013.0</v>
      </c>
      <c r="B534" s="2" t="s">
        <v>3032</v>
      </c>
      <c r="D534" s="2" t="str">
        <f>""</f>
        <v/>
      </c>
      <c r="E534" s="2" t="s">
        <v>3033</v>
      </c>
      <c r="F534" s="2" t="s">
        <v>3034</v>
      </c>
      <c r="G534" s="2" t="str">
        <f>"SR-331"</f>
        <v>SR-331</v>
      </c>
      <c r="H534" s="2" t="s">
        <v>3035</v>
      </c>
      <c r="N534" s="2" t="s">
        <v>21</v>
      </c>
    </row>
    <row r="535" ht="15.75" customHeight="1">
      <c r="A535" s="2">
        <v>2013.0</v>
      </c>
      <c r="B535" s="2" t="s">
        <v>3036</v>
      </c>
      <c r="C535" s="2" t="s">
        <v>3036</v>
      </c>
      <c r="D535" s="2" t="str">
        <f>"7134834647"</f>
        <v>7134834647</v>
      </c>
      <c r="E535" s="2" t="s">
        <v>456</v>
      </c>
      <c r="F535" s="2" t="s">
        <v>3037</v>
      </c>
      <c r="G535" s="2" t="str">
        <f>"SR-793"</f>
        <v>SR-793</v>
      </c>
      <c r="H535" s="2" t="s">
        <v>3038</v>
      </c>
      <c r="I535" s="2" t="s">
        <v>3039</v>
      </c>
      <c r="K535" s="2" t="s">
        <v>3040</v>
      </c>
      <c r="L535" s="2" t="s">
        <v>1012</v>
      </c>
      <c r="M535" s="2">
        <v>72761.0</v>
      </c>
      <c r="N535" s="2" t="s">
        <v>21</v>
      </c>
    </row>
    <row r="536" ht="15.75" customHeight="1">
      <c r="A536" s="2">
        <v>2013.0</v>
      </c>
      <c r="B536" s="2" t="s">
        <v>3041</v>
      </c>
      <c r="C536" s="2" t="s">
        <v>3042</v>
      </c>
      <c r="D536" s="2" t="str">
        <f>"817-763-9181"</f>
        <v>817-763-9181</v>
      </c>
      <c r="E536" s="2" t="s">
        <v>339</v>
      </c>
      <c r="F536" s="2" t="s">
        <v>3043</v>
      </c>
      <c r="G536" s="2" t="str">
        <f>"SR-969"</f>
        <v>SR-969</v>
      </c>
      <c r="H536" s="2" t="s">
        <v>3044</v>
      </c>
      <c r="I536" s="2" t="s">
        <v>3045</v>
      </c>
      <c r="K536" s="2" t="s">
        <v>1260</v>
      </c>
      <c r="L536" s="2" t="s">
        <v>172</v>
      </c>
      <c r="M536" s="2">
        <v>76116.0</v>
      </c>
      <c r="N536" s="2" t="s">
        <v>21</v>
      </c>
    </row>
    <row r="537" ht="15.75" customHeight="1">
      <c r="A537" s="2">
        <v>2013.0</v>
      </c>
      <c r="B537" s="2" t="s">
        <v>3046</v>
      </c>
      <c r="C537" s="2" t="s">
        <v>3046</v>
      </c>
      <c r="D537" s="2" t="str">
        <f>"515-729-4144"</f>
        <v>515-729-4144</v>
      </c>
      <c r="E537" s="2" t="s">
        <v>1324</v>
      </c>
      <c r="F537" s="2" t="s">
        <v>3047</v>
      </c>
      <c r="G537" s="2" t="str">
        <f>"SR-976"</f>
        <v>SR-976</v>
      </c>
      <c r="H537" s="2" t="s">
        <v>3048</v>
      </c>
      <c r="I537" s="2" t="s">
        <v>3049</v>
      </c>
      <c r="K537" s="2" t="s">
        <v>3050</v>
      </c>
      <c r="L537" s="2" t="s">
        <v>560</v>
      </c>
      <c r="M537" s="2">
        <v>50322.0</v>
      </c>
      <c r="N537" s="2" t="s">
        <v>21</v>
      </c>
    </row>
    <row r="538" ht="15.75" customHeight="1">
      <c r="A538" s="2">
        <v>2013.0</v>
      </c>
      <c r="B538" s="2" t="s">
        <v>3051</v>
      </c>
      <c r="D538" s="2" t="str">
        <f>""</f>
        <v/>
      </c>
      <c r="E538" s="2" t="s">
        <v>428</v>
      </c>
      <c r="F538" s="2" t="s">
        <v>3052</v>
      </c>
      <c r="G538" s="2" t="str">
        <f>"SR-977"</f>
        <v>SR-977</v>
      </c>
      <c r="H538" s="2" t="s">
        <v>3053</v>
      </c>
    </row>
    <row r="539" ht="15.75" customHeight="1">
      <c r="A539" s="2">
        <v>2013.0</v>
      </c>
      <c r="B539" s="2" t="s">
        <v>3054</v>
      </c>
      <c r="C539" s="2" t="s">
        <v>3054</v>
      </c>
      <c r="D539" s="2" t="str">
        <f>"503-421-5018"</f>
        <v>503-421-5018</v>
      </c>
      <c r="E539" s="2" t="s">
        <v>1278</v>
      </c>
      <c r="F539" s="2" t="s">
        <v>3055</v>
      </c>
      <c r="G539" s="2" t="str">
        <f>"SR-978"</f>
        <v>SR-978</v>
      </c>
      <c r="H539" s="2" t="s">
        <v>3056</v>
      </c>
      <c r="I539" s="2" t="s">
        <v>3057</v>
      </c>
      <c r="K539" s="2" t="s">
        <v>3058</v>
      </c>
      <c r="L539" s="2" t="s">
        <v>2389</v>
      </c>
      <c r="M539" s="2">
        <v>97080.0</v>
      </c>
      <c r="N539" s="2" t="s">
        <v>21</v>
      </c>
    </row>
    <row r="540" ht="15.75" customHeight="1">
      <c r="A540" s="2">
        <v>2013.0</v>
      </c>
      <c r="B540" s="2" t="s">
        <v>3059</v>
      </c>
      <c r="C540" s="2" t="s">
        <v>3060</v>
      </c>
      <c r="D540" s="2" t="str">
        <f>"949-395-9994"</f>
        <v>949-395-9994</v>
      </c>
      <c r="E540" s="2" t="s">
        <v>3061</v>
      </c>
      <c r="F540" s="2" t="s">
        <v>3062</v>
      </c>
      <c r="G540" s="2" t="str">
        <f>"SR-962"</f>
        <v>SR-962</v>
      </c>
      <c r="H540" s="2" t="s">
        <v>3063</v>
      </c>
      <c r="I540" s="2" t="s">
        <v>3064</v>
      </c>
      <c r="K540" s="2" t="s">
        <v>3065</v>
      </c>
      <c r="L540" s="2" t="s">
        <v>222</v>
      </c>
      <c r="M540" s="2">
        <v>92688.0</v>
      </c>
      <c r="N540" s="2" t="s">
        <v>21</v>
      </c>
    </row>
    <row r="541" ht="15.75" customHeight="1">
      <c r="A541" s="2">
        <v>2013.0</v>
      </c>
      <c r="B541" s="2" t="s">
        <v>3066</v>
      </c>
      <c r="C541" s="2" t="s">
        <v>3066</v>
      </c>
      <c r="D541" s="2" t="str">
        <f>"3012494059"</f>
        <v>3012494059</v>
      </c>
      <c r="E541" s="2" t="s">
        <v>3067</v>
      </c>
      <c r="F541" s="2" t="s">
        <v>2310</v>
      </c>
      <c r="G541" s="2" t="str">
        <f>"SR-974"</f>
        <v>SR-974</v>
      </c>
      <c r="H541" s="2" t="s">
        <v>3068</v>
      </c>
      <c r="I541" s="2" t="s">
        <v>3069</v>
      </c>
      <c r="K541" s="2" t="s">
        <v>3070</v>
      </c>
      <c r="L541" s="2" t="s">
        <v>1868</v>
      </c>
      <c r="M541" s="2">
        <v>20721.0</v>
      </c>
      <c r="N541" s="2" t="s">
        <v>21</v>
      </c>
    </row>
    <row r="542" ht="15.75" customHeight="1">
      <c r="A542" s="2">
        <v>2013.0</v>
      </c>
      <c r="B542" s="2" t="s">
        <v>3071</v>
      </c>
      <c r="C542" s="2" t="s">
        <v>3071</v>
      </c>
      <c r="D542" s="2" t="str">
        <f>"9078954407"</f>
        <v>9078954407</v>
      </c>
      <c r="E542" s="2" t="s">
        <v>203</v>
      </c>
      <c r="F542" s="2" t="s">
        <v>962</v>
      </c>
      <c r="G542" s="2" t="str">
        <f>"SR-947"</f>
        <v>SR-947</v>
      </c>
      <c r="H542" s="2" t="s">
        <v>3072</v>
      </c>
      <c r="I542" s="2" t="s">
        <v>3073</v>
      </c>
      <c r="K542" s="2" t="s">
        <v>3074</v>
      </c>
      <c r="L542" s="2" t="s">
        <v>70</v>
      </c>
      <c r="M542" s="2">
        <v>99737.0</v>
      </c>
      <c r="N542" s="2" t="s">
        <v>21</v>
      </c>
    </row>
    <row r="543" ht="15.75" customHeight="1">
      <c r="A543" s="2">
        <v>2013.0</v>
      </c>
      <c r="B543" s="2" t="s">
        <v>3075</v>
      </c>
      <c r="C543" s="2" t="s">
        <v>3076</v>
      </c>
      <c r="D543" s="2" t="str">
        <f>"970-669-1861"</f>
        <v>970-669-1861</v>
      </c>
      <c r="E543" s="2" t="s">
        <v>644</v>
      </c>
      <c r="F543" s="2" t="s">
        <v>3077</v>
      </c>
      <c r="G543" s="2" t="str">
        <f>"SR-989"</f>
        <v>SR-989</v>
      </c>
      <c r="H543" s="2" t="s">
        <v>3078</v>
      </c>
      <c r="I543" s="2" t="s">
        <v>3079</v>
      </c>
      <c r="K543" s="2" t="s">
        <v>1048</v>
      </c>
      <c r="L543" s="2" t="s">
        <v>157</v>
      </c>
      <c r="M543" s="2">
        <v>80538.0</v>
      </c>
      <c r="N543" s="2" t="s">
        <v>21</v>
      </c>
    </row>
    <row r="544" ht="15.75" customHeight="1">
      <c r="A544" s="2">
        <v>2013.0</v>
      </c>
      <c r="B544" s="2" t="s">
        <v>3080</v>
      </c>
      <c r="C544" s="2" t="s">
        <v>3081</v>
      </c>
      <c r="D544" s="2" t="str">
        <f>"972-395-0752"</f>
        <v>972-395-0752</v>
      </c>
      <c r="E544" s="2" t="s">
        <v>282</v>
      </c>
      <c r="F544" s="2" t="s">
        <v>3082</v>
      </c>
      <c r="G544" s="2" t="str">
        <f>"SR-536"</f>
        <v>SR-536</v>
      </c>
      <c r="H544" s="2" t="s">
        <v>3083</v>
      </c>
      <c r="I544" s="2" t="s">
        <v>3084</v>
      </c>
      <c r="K544" s="2" t="s">
        <v>171</v>
      </c>
      <c r="L544" s="2" t="s">
        <v>172</v>
      </c>
      <c r="M544" s="2">
        <v>75007.0</v>
      </c>
      <c r="N544" s="2" t="s">
        <v>21</v>
      </c>
    </row>
    <row r="545" ht="15.75" customHeight="1">
      <c r="A545" s="2">
        <v>2013.0</v>
      </c>
      <c r="B545" s="2" t="s">
        <v>3085</v>
      </c>
      <c r="C545" s="2" t="s">
        <v>3085</v>
      </c>
      <c r="D545" s="2" t="str">
        <f>"2694719152"</f>
        <v>2694719152</v>
      </c>
      <c r="E545" s="2" t="s">
        <v>3086</v>
      </c>
      <c r="F545" s="2" t="s">
        <v>962</v>
      </c>
      <c r="G545" s="2" t="str">
        <f>"SR-990"</f>
        <v>SR-990</v>
      </c>
      <c r="H545" s="2" t="s">
        <v>3087</v>
      </c>
      <c r="I545" s="2" t="s">
        <v>3088</v>
      </c>
      <c r="K545" s="2" t="s">
        <v>3089</v>
      </c>
      <c r="L545" s="2" t="s">
        <v>29</v>
      </c>
      <c r="M545" s="2">
        <v>49103.0</v>
      </c>
      <c r="N545" s="2" t="s">
        <v>21</v>
      </c>
    </row>
    <row r="546" ht="15.75" customHeight="1">
      <c r="A546" s="2">
        <v>2013.0</v>
      </c>
      <c r="B546" s="2" t="s">
        <v>3090</v>
      </c>
      <c r="D546" s="2" t="str">
        <f>"309-925-5456"</f>
        <v>309-925-5456</v>
      </c>
      <c r="E546" s="2" t="s">
        <v>1007</v>
      </c>
      <c r="F546" s="2" t="s">
        <v>3091</v>
      </c>
      <c r="G546" s="2" t="str">
        <f>"SR-719"</f>
        <v>SR-719</v>
      </c>
      <c r="H546" s="2" t="s">
        <v>3092</v>
      </c>
      <c r="I546" s="2" t="s">
        <v>3093</v>
      </c>
      <c r="K546" s="2" t="s">
        <v>2732</v>
      </c>
      <c r="L546" s="2" t="s">
        <v>105</v>
      </c>
      <c r="M546" s="2">
        <v>61568.0</v>
      </c>
      <c r="N546" s="2" t="s">
        <v>21</v>
      </c>
    </row>
    <row r="547" ht="15.75" customHeight="1">
      <c r="A547" s="2">
        <v>2013.0</v>
      </c>
      <c r="B547" s="2" t="s">
        <v>3094</v>
      </c>
      <c r="C547" s="2" t="s">
        <v>3094</v>
      </c>
      <c r="D547" s="2" t="str">
        <f>"9378750521"</f>
        <v>9378750521</v>
      </c>
      <c r="E547" s="2" t="s">
        <v>873</v>
      </c>
      <c r="F547" s="2" t="s">
        <v>3095</v>
      </c>
      <c r="G547" s="2" t="str">
        <f>"SR-992"</f>
        <v>SR-992</v>
      </c>
      <c r="H547" s="2" t="s">
        <v>3096</v>
      </c>
      <c r="I547" s="2" t="s">
        <v>3097</v>
      </c>
      <c r="K547" s="2" t="s">
        <v>3098</v>
      </c>
      <c r="L547" s="2" t="s">
        <v>344</v>
      </c>
      <c r="M547" s="2">
        <v>45312.0</v>
      </c>
      <c r="N547" s="2" t="s">
        <v>21</v>
      </c>
    </row>
    <row r="548" ht="15.75" customHeight="1">
      <c r="A548" s="2">
        <v>2013.0</v>
      </c>
      <c r="B548" s="2" t="s">
        <v>3099</v>
      </c>
      <c r="C548" s="2" t="s">
        <v>3099</v>
      </c>
      <c r="D548" s="2" t="str">
        <f>"913-642-7125"</f>
        <v>913-642-7125</v>
      </c>
      <c r="E548" s="2" t="s">
        <v>1782</v>
      </c>
      <c r="F548" s="2" t="s">
        <v>3100</v>
      </c>
      <c r="G548" s="2" t="str">
        <f>"SR-248"</f>
        <v>SR-248</v>
      </c>
      <c r="H548" s="2" t="s">
        <v>3101</v>
      </c>
      <c r="I548" s="2" t="s">
        <v>3102</v>
      </c>
      <c r="K548" s="2" t="s">
        <v>3103</v>
      </c>
      <c r="L548" s="2" t="s">
        <v>272</v>
      </c>
      <c r="M548" s="2">
        <v>66212.0</v>
      </c>
      <c r="N548" s="2" t="s">
        <v>21</v>
      </c>
    </row>
    <row r="549" ht="15.75" customHeight="1">
      <c r="A549" s="2">
        <v>2013.0</v>
      </c>
      <c r="B549" s="2" t="s">
        <v>3104</v>
      </c>
      <c r="C549" s="2" t="s">
        <v>3105</v>
      </c>
      <c r="D549" s="2" t="str">
        <f>"9522208181"</f>
        <v>9522208181</v>
      </c>
      <c r="E549" s="2" t="s">
        <v>1725</v>
      </c>
      <c r="F549" s="2" t="s">
        <v>3106</v>
      </c>
      <c r="G549" s="2" t="str">
        <f>"SR-997"</f>
        <v>SR-997</v>
      </c>
      <c r="H549" s="2" t="s">
        <v>3107</v>
      </c>
      <c r="I549" s="2" t="s">
        <v>3108</v>
      </c>
      <c r="K549" s="2" t="s">
        <v>3109</v>
      </c>
      <c r="L549" s="2" t="s">
        <v>62</v>
      </c>
      <c r="M549" s="2">
        <v>55424.0</v>
      </c>
      <c r="N549" s="2" t="s">
        <v>21</v>
      </c>
    </row>
    <row r="550" ht="15.75" customHeight="1">
      <c r="A550" s="2">
        <v>2013.0</v>
      </c>
      <c r="B550" s="2" t="s">
        <v>3110</v>
      </c>
      <c r="D550" s="2" t="str">
        <f>"916-624-9454"</f>
        <v>916-624-9454</v>
      </c>
      <c r="E550" s="2" t="s">
        <v>3111</v>
      </c>
      <c r="F550" s="2" t="s">
        <v>984</v>
      </c>
      <c r="G550" s="2" t="str">
        <f>"SR-996"</f>
        <v>SR-996</v>
      </c>
      <c r="H550" s="2" t="s">
        <v>3112</v>
      </c>
      <c r="I550" s="2" t="s">
        <v>3113</v>
      </c>
      <c r="K550" s="2" t="s">
        <v>3114</v>
      </c>
      <c r="L550" s="2" t="s">
        <v>222</v>
      </c>
      <c r="M550" s="2">
        <v>95677.0</v>
      </c>
      <c r="N550" s="2" t="s">
        <v>21</v>
      </c>
    </row>
    <row r="551" ht="15.75" customHeight="1">
      <c r="A551" s="2">
        <v>2013.0</v>
      </c>
      <c r="B551" s="2" t="s">
        <v>3115</v>
      </c>
      <c r="C551" s="2" t="s">
        <v>3115</v>
      </c>
      <c r="D551" s="2" t="str">
        <f>"425-591-1029"</f>
        <v>425-591-1029</v>
      </c>
      <c r="E551" s="2" t="s">
        <v>1263</v>
      </c>
      <c r="F551" s="2" t="s">
        <v>1561</v>
      </c>
      <c r="G551" s="2" t="str">
        <f>"SR-1000"</f>
        <v>SR-1000</v>
      </c>
      <c r="H551" s="2" t="s">
        <v>3116</v>
      </c>
      <c r="I551" s="2" t="s">
        <v>3117</v>
      </c>
      <c r="K551" s="2" t="s">
        <v>3118</v>
      </c>
      <c r="L551" s="2" t="s">
        <v>86</v>
      </c>
      <c r="M551" s="2">
        <v>98103.0</v>
      </c>
      <c r="N551" s="2" t="s">
        <v>21</v>
      </c>
    </row>
    <row r="552" ht="15.75" customHeight="1">
      <c r="A552" s="2">
        <v>2013.0</v>
      </c>
      <c r="B552" s="2" t="s">
        <v>3119</v>
      </c>
      <c r="C552" s="2" t="s">
        <v>3120</v>
      </c>
      <c r="D552" s="2" t="str">
        <f>"303-880-7790"</f>
        <v>303-880-7790</v>
      </c>
      <c r="E552" s="2" t="s">
        <v>203</v>
      </c>
      <c r="F552" s="2" t="s">
        <v>3121</v>
      </c>
      <c r="G552" s="2" t="str">
        <f>"SR-694"</f>
        <v>SR-694</v>
      </c>
      <c r="H552" s="2" t="s">
        <v>3122</v>
      </c>
      <c r="I552" s="2" t="s">
        <v>3123</v>
      </c>
      <c r="K552" s="2" t="s">
        <v>1546</v>
      </c>
      <c r="L552" s="2" t="s">
        <v>840</v>
      </c>
      <c r="M552" s="2">
        <v>73013.0</v>
      </c>
      <c r="N552" s="2" t="s">
        <v>21</v>
      </c>
    </row>
    <row r="553" ht="15.75" customHeight="1">
      <c r="A553" s="2">
        <v>2013.0</v>
      </c>
      <c r="B553" s="2" t="s">
        <v>3124</v>
      </c>
      <c r="C553" s="2" t="s">
        <v>3124</v>
      </c>
      <c r="D553" s="2" t="str">
        <f>"702-395-3663"</f>
        <v>702-395-3663</v>
      </c>
      <c r="E553" s="2" t="s">
        <v>1094</v>
      </c>
      <c r="F553" s="2" t="s">
        <v>3125</v>
      </c>
      <c r="G553" s="2" t="str">
        <f>"SR-495"</f>
        <v>SR-495</v>
      </c>
      <c r="H553" s="2" t="s">
        <v>3126</v>
      </c>
      <c r="I553" s="2" t="s">
        <v>3127</v>
      </c>
      <c r="K553" s="2" t="s">
        <v>3128</v>
      </c>
      <c r="L553" s="2" t="s">
        <v>1419</v>
      </c>
      <c r="M553" s="2">
        <v>89129.0</v>
      </c>
      <c r="N553" s="2" t="s">
        <v>21</v>
      </c>
    </row>
    <row r="554" ht="15.75" customHeight="1">
      <c r="A554" s="2">
        <v>2013.0</v>
      </c>
      <c r="B554" s="2" t="s">
        <v>3129</v>
      </c>
      <c r="C554" s="2" t="s">
        <v>3129</v>
      </c>
      <c r="D554" s="2" t="str">
        <f>"82-10-4178-5786"</f>
        <v>82-10-4178-5786</v>
      </c>
      <c r="E554" s="2" t="s">
        <v>3130</v>
      </c>
      <c r="F554" s="2" t="s">
        <v>3131</v>
      </c>
      <c r="G554" s="2" t="str">
        <f>"SR-537"</f>
        <v>SR-537</v>
      </c>
      <c r="H554" s="2" t="s">
        <v>3132</v>
      </c>
      <c r="I554" s="2" t="s">
        <v>3133</v>
      </c>
      <c r="J554" s="2" t="s">
        <v>3134</v>
      </c>
      <c r="K554" s="2" t="s">
        <v>3135</v>
      </c>
      <c r="M554" s="2">
        <v>132911.0</v>
      </c>
      <c r="N554" s="2" t="s">
        <v>1626</v>
      </c>
    </row>
    <row r="555" ht="15.75" customHeight="1">
      <c r="A555" s="2">
        <v>2013.0</v>
      </c>
      <c r="B555" s="2" t="s">
        <v>3136</v>
      </c>
      <c r="C555" s="2" t="s">
        <v>3137</v>
      </c>
      <c r="D555" s="2" t="str">
        <f>"402-641-9163"</f>
        <v>402-641-9163</v>
      </c>
      <c r="E555" s="2" t="s">
        <v>1088</v>
      </c>
      <c r="F555" s="2" t="s">
        <v>3138</v>
      </c>
      <c r="G555" s="2" t="str">
        <f>"SR-950"</f>
        <v>SR-950</v>
      </c>
      <c r="H555" s="2" t="s">
        <v>3139</v>
      </c>
      <c r="I555" s="2" t="s">
        <v>3140</v>
      </c>
      <c r="K555" s="2" t="s">
        <v>3141</v>
      </c>
      <c r="L555" s="2" t="s">
        <v>757</v>
      </c>
      <c r="M555" s="2">
        <v>68405.0</v>
      </c>
      <c r="N555" s="2" t="s">
        <v>21</v>
      </c>
    </row>
    <row r="556" ht="15.75" customHeight="1">
      <c r="A556" s="2">
        <v>2013.0</v>
      </c>
      <c r="B556" s="2" t="s">
        <v>3142</v>
      </c>
      <c r="C556" s="2" t="s">
        <v>3142</v>
      </c>
      <c r="D556" s="2" t="str">
        <f>"719-384-2304"</f>
        <v>719-384-2304</v>
      </c>
      <c r="E556" s="2" t="s">
        <v>3143</v>
      </c>
      <c r="F556" s="2" t="s">
        <v>3144</v>
      </c>
      <c r="G556" s="2" t="str">
        <f>"SR-713"</f>
        <v>SR-713</v>
      </c>
      <c r="H556" s="2" t="s">
        <v>3145</v>
      </c>
      <c r="I556" s="2" t="s">
        <v>3146</v>
      </c>
      <c r="K556" s="2" t="s">
        <v>3147</v>
      </c>
      <c r="L556" s="2" t="s">
        <v>157</v>
      </c>
      <c r="M556" s="2">
        <v>81059.0</v>
      </c>
      <c r="N556" s="2" t="s">
        <v>21</v>
      </c>
    </row>
    <row r="557" ht="15.75" customHeight="1">
      <c r="A557" s="2">
        <v>2013.0</v>
      </c>
      <c r="B557" s="2" t="s">
        <v>3148</v>
      </c>
      <c r="C557" s="2" t="s">
        <v>3148</v>
      </c>
      <c r="D557" s="2" t="str">
        <f>"2673925153"</f>
        <v>2673925153</v>
      </c>
      <c r="E557" s="2" t="s">
        <v>1015</v>
      </c>
      <c r="F557" s="2" t="s">
        <v>3149</v>
      </c>
      <c r="G557" s="2" t="str">
        <f>"SR-970"</f>
        <v>SR-970</v>
      </c>
      <c r="H557" s="2" t="s">
        <v>3150</v>
      </c>
      <c r="I557" s="2" t="s">
        <v>3151</v>
      </c>
      <c r="K557" s="2" t="s">
        <v>3152</v>
      </c>
      <c r="L557" s="2" t="s">
        <v>179</v>
      </c>
      <c r="M557" s="2">
        <v>18977.0</v>
      </c>
      <c r="N557" s="2" t="s">
        <v>21</v>
      </c>
    </row>
    <row r="558" ht="15.75" customHeight="1">
      <c r="A558" s="2">
        <v>2013.0</v>
      </c>
      <c r="B558" s="2" t="s">
        <v>3153</v>
      </c>
      <c r="C558" s="2" t="s">
        <v>3154</v>
      </c>
      <c r="D558" s="2" t="str">
        <f>"843-532-8817"</f>
        <v>843-532-8817</v>
      </c>
      <c r="E558" s="2" t="s">
        <v>3155</v>
      </c>
      <c r="F558" s="2" t="s">
        <v>3156</v>
      </c>
      <c r="G558" s="2" t="str">
        <f>"SR-841"</f>
        <v>SR-841</v>
      </c>
      <c r="H558" s="2" t="s">
        <v>3157</v>
      </c>
      <c r="I558" s="2" t="s">
        <v>3158</v>
      </c>
      <c r="K558" s="2" t="s">
        <v>1984</v>
      </c>
      <c r="L558" s="2" t="s">
        <v>55</v>
      </c>
      <c r="M558" s="2">
        <v>29412.0</v>
      </c>
      <c r="N558" s="2" t="s">
        <v>21</v>
      </c>
    </row>
    <row r="559" ht="15.75" customHeight="1">
      <c r="A559" s="2">
        <v>2013.0</v>
      </c>
      <c r="B559" s="2" t="s">
        <v>3159</v>
      </c>
      <c r="C559" s="2" t="s">
        <v>3160</v>
      </c>
      <c r="D559" s="2" t="str">
        <f>"678-993-6007"</f>
        <v>678-993-6007</v>
      </c>
      <c r="E559" s="2" t="s">
        <v>2162</v>
      </c>
      <c r="F559" s="2" t="s">
        <v>3161</v>
      </c>
      <c r="G559" s="2" t="str">
        <f>"SR-1007"</f>
        <v>SR-1007</v>
      </c>
      <c r="H559" s="2" t="s">
        <v>3162</v>
      </c>
      <c r="I559" s="2" t="s">
        <v>3163</v>
      </c>
      <c r="K559" s="2" t="s">
        <v>3164</v>
      </c>
      <c r="L559" s="2" t="s">
        <v>200</v>
      </c>
      <c r="M559" s="2">
        <v>30215.0</v>
      </c>
      <c r="N559" s="2" t="s">
        <v>21</v>
      </c>
    </row>
    <row r="560" ht="15.75" customHeight="1">
      <c r="A560" s="2">
        <v>2013.0</v>
      </c>
      <c r="B560" s="2" t="s">
        <v>3165</v>
      </c>
      <c r="C560" s="2" t="s">
        <v>3166</v>
      </c>
      <c r="D560" s="2" t="str">
        <f>"309-339-1497"</f>
        <v>309-339-1497</v>
      </c>
      <c r="E560" s="2" t="s">
        <v>492</v>
      </c>
      <c r="F560" s="2" t="s">
        <v>1151</v>
      </c>
      <c r="G560" s="2" t="str">
        <f>"SR-110"</f>
        <v>SR-110</v>
      </c>
      <c r="H560" s="2" t="s">
        <v>3167</v>
      </c>
      <c r="I560" s="2" t="s">
        <v>3168</v>
      </c>
      <c r="K560" s="2" t="s">
        <v>104</v>
      </c>
      <c r="L560" s="2" t="s">
        <v>105</v>
      </c>
      <c r="M560" s="2">
        <v>61614.0</v>
      </c>
      <c r="N560" s="2" t="s">
        <v>21</v>
      </c>
    </row>
    <row r="561" ht="15.75" customHeight="1">
      <c r="A561" s="2">
        <v>2013.0</v>
      </c>
      <c r="B561" s="2" t="s">
        <v>3104</v>
      </c>
      <c r="C561" s="2" t="s">
        <v>3169</v>
      </c>
      <c r="D561" s="2" t="str">
        <f>"9522399433"</f>
        <v>9522399433</v>
      </c>
      <c r="E561" s="2" t="s">
        <v>3170</v>
      </c>
      <c r="F561" s="2" t="s">
        <v>3106</v>
      </c>
      <c r="G561" s="2" t="str">
        <f>"SR-409"</f>
        <v>SR-409</v>
      </c>
      <c r="H561" s="2" t="s">
        <v>3171</v>
      </c>
      <c r="I561" s="2" t="s">
        <v>3108</v>
      </c>
      <c r="K561" s="2" t="s">
        <v>3109</v>
      </c>
      <c r="L561" s="2" t="s">
        <v>62</v>
      </c>
      <c r="M561" s="2">
        <v>55424.0</v>
      </c>
      <c r="N561" s="2" t="s">
        <v>21</v>
      </c>
    </row>
    <row r="562" ht="15.75" customHeight="1">
      <c r="A562" s="2">
        <v>2013.0</v>
      </c>
      <c r="B562" s="2" t="s">
        <v>3172</v>
      </c>
      <c r="C562" s="2" t="s">
        <v>3172</v>
      </c>
      <c r="D562" s="2" t="str">
        <f>"503-357-3303"</f>
        <v>503-357-3303</v>
      </c>
      <c r="E562" s="2" t="s">
        <v>3173</v>
      </c>
      <c r="F562" s="2" t="s">
        <v>3174</v>
      </c>
      <c r="G562" s="2" t="str">
        <f>"SR-1019"</f>
        <v>SR-1019</v>
      </c>
      <c r="H562" s="2" t="s">
        <v>3175</v>
      </c>
      <c r="I562" s="2" t="s">
        <v>3176</v>
      </c>
      <c r="K562" s="2" t="s">
        <v>2921</v>
      </c>
      <c r="L562" s="2" t="s">
        <v>2389</v>
      </c>
      <c r="M562" s="2">
        <v>97116.0</v>
      </c>
      <c r="N562" s="2" t="s">
        <v>21</v>
      </c>
    </row>
    <row r="563" ht="15.75" customHeight="1">
      <c r="A563" s="2">
        <v>2013.0</v>
      </c>
      <c r="B563" s="2" t="s">
        <v>3177</v>
      </c>
      <c r="C563" s="2" t="s">
        <v>3178</v>
      </c>
      <c r="D563" s="2" t="str">
        <f>"321.689.3309"</f>
        <v>321.689.3309</v>
      </c>
      <c r="E563" s="2" t="s">
        <v>2147</v>
      </c>
      <c r="F563" s="2" t="s">
        <v>3179</v>
      </c>
      <c r="G563" s="2" t="str">
        <f>"SR-414"</f>
        <v>SR-414</v>
      </c>
      <c r="H563" s="2" t="s">
        <v>3180</v>
      </c>
      <c r="I563" s="2" t="s">
        <v>3181</v>
      </c>
      <c r="K563" s="2" t="s">
        <v>3182</v>
      </c>
      <c r="L563" s="2" t="s">
        <v>208</v>
      </c>
      <c r="M563" s="2">
        <v>34786.0</v>
      </c>
      <c r="N563" s="2" t="s">
        <v>21</v>
      </c>
    </row>
    <row r="564" ht="15.75" customHeight="1">
      <c r="A564" s="2">
        <v>2013.0</v>
      </c>
      <c r="B564" s="2" t="s">
        <v>3183</v>
      </c>
      <c r="C564" s="2" t="s">
        <v>3184</v>
      </c>
      <c r="D564" s="2" t="str">
        <f>"662-673-8223"</f>
        <v>662-673-8223</v>
      </c>
      <c r="E564" s="2" t="s">
        <v>301</v>
      </c>
      <c r="F564" s="2" t="s">
        <v>3185</v>
      </c>
      <c r="G564" s="2" t="str">
        <f>"SR-1009"</f>
        <v>SR-1009</v>
      </c>
      <c r="H564" s="2" t="s">
        <v>3186</v>
      </c>
      <c r="I564" s="2" t="s">
        <v>3187</v>
      </c>
      <c r="K564" s="2" t="s">
        <v>3188</v>
      </c>
      <c r="L564" s="2" t="s">
        <v>1722</v>
      </c>
      <c r="M564" s="2">
        <v>39040.0</v>
      </c>
      <c r="N564" s="2" t="s">
        <v>21</v>
      </c>
    </row>
    <row r="565" ht="15.75" customHeight="1">
      <c r="A565" s="2">
        <v>2013.0</v>
      </c>
      <c r="B565" s="2" t="s">
        <v>3189</v>
      </c>
      <c r="C565" s="2" t="s">
        <v>3190</v>
      </c>
      <c r="D565" s="2" t="str">
        <f>"662-321-3294"</f>
        <v>662-321-3294</v>
      </c>
      <c r="E565" s="2" t="s">
        <v>3191</v>
      </c>
      <c r="F565" s="2" t="s">
        <v>2424</v>
      </c>
      <c r="G565" s="2" t="str">
        <f>"SR-972"</f>
        <v>SR-972</v>
      </c>
      <c r="H565" s="2" t="s">
        <v>3192</v>
      </c>
      <c r="I565" s="2" t="s">
        <v>3193</v>
      </c>
      <c r="K565" s="2" t="s">
        <v>3194</v>
      </c>
      <c r="L565" s="2" t="s">
        <v>1722</v>
      </c>
      <c r="M565" s="2">
        <v>38866.0</v>
      </c>
      <c r="N565" s="2" t="s">
        <v>21</v>
      </c>
    </row>
    <row r="566" ht="15.75" customHeight="1">
      <c r="A566" s="2">
        <v>2013.0</v>
      </c>
      <c r="B566" s="2" t="s">
        <v>483</v>
      </c>
      <c r="C566" s="2" t="s">
        <v>3195</v>
      </c>
      <c r="D566" s="2" t="str">
        <f>"614-551-8712"</f>
        <v>614-551-8712</v>
      </c>
      <c r="E566" s="2" t="s">
        <v>3196</v>
      </c>
      <c r="F566" s="2" t="s">
        <v>486</v>
      </c>
      <c r="G566" s="2" t="str">
        <f>"SR-1018"</f>
        <v>SR-1018</v>
      </c>
      <c r="H566" s="2" t="s">
        <v>3197</v>
      </c>
      <c r="I566" s="2" t="s">
        <v>3198</v>
      </c>
      <c r="K566" s="2" t="s">
        <v>489</v>
      </c>
      <c r="L566" s="2" t="s">
        <v>344</v>
      </c>
      <c r="M566" s="2">
        <v>43081.0</v>
      </c>
      <c r="N566" s="2" t="s">
        <v>21</v>
      </c>
    </row>
    <row r="567" ht="15.75" customHeight="1">
      <c r="A567" s="2">
        <v>2013.0</v>
      </c>
      <c r="B567" s="2" t="s">
        <v>3199</v>
      </c>
      <c r="C567" s="2" t="s">
        <v>3200</v>
      </c>
      <c r="D567" s="2" t="str">
        <f>"412-498-4553"</f>
        <v>412-498-4553</v>
      </c>
      <c r="E567" s="2" t="s">
        <v>3201</v>
      </c>
      <c r="F567" s="2" t="s">
        <v>3202</v>
      </c>
      <c r="G567" s="2" t="str">
        <f>"SR-671"</f>
        <v>SR-671</v>
      </c>
      <c r="H567" s="2" t="s">
        <v>3203</v>
      </c>
      <c r="I567" s="2" t="s">
        <v>3204</v>
      </c>
      <c r="K567" s="2" t="s">
        <v>3205</v>
      </c>
      <c r="L567" s="2" t="s">
        <v>179</v>
      </c>
      <c r="M567" s="2">
        <v>15142.0</v>
      </c>
      <c r="N567" s="2" t="s">
        <v>21</v>
      </c>
    </row>
    <row r="568" ht="15.75" customHeight="1">
      <c r="A568" s="2">
        <v>2013.0</v>
      </c>
      <c r="B568" s="2" t="s">
        <v>3206</v>
      </c>
      <c r="C568" s="2" t="s">
        <v>3207</v>
      </c>
      <c r="D568" s="2" t="str">
        <f>"3162830053"</f>
        <v>3162830053</v>
      </c>
      <c r="E568" s="2" t="s">
        <v>167</v>
      </c>
      <c r="F568" s="2" t="s">
        <v>3208</v>
      </c>
      <c r="G568" s="2" t="str">
        <f>"SR-388"</f>
        <v>SR-388</v>
      </c>
      <c r="H568" s="2" t="s">
        <v>3209</v>
      </c>
      <c r="I568" s="2" t="s">
        <v>3210</v>
      </c>
      <c r="J568" s="2" t="s">
        <v>3211</v>
      </c>
      <c r="K568" s="2" t="s">
        <v>3212</v>
      </c>
      <c r="L568" s="2" t="s">
        <v>272</v>
      </c>
      <c r="M568" s="2">
        <v>67114.0</v>
      </c>
      <c r="N568" s="2" t="s">
        <v>21</v>
      </c>
    </row>
    <row r="569" ht="15.75" customHeight="1">
      <c r="A569" s="2">
        <v>2013.0</v>
      </c>
      <c r="B569" s="2" t="s">
        <v>3213</v>
      </c>
      <c r="C569" s="2" t="s">
        <v>3214</v>
      </c>
      <c r="D569" s="2" t="str">
        <f>"719-266-8727"</f>
        <v>719-266-8727</v>
      </c>
      <c r="E569" s="2" t="s">
        <v>1548</v>
      </c>
      <c r="F569" s="2" t="s">
        <v>3215</v>
      </c>
      <c r="G569" s="2" t="str">
        <f>"SR-1026"</f>
        <v>SR-1026</v>
      </c>
      <c r="H569" s="2" t="s">
        <v>3216</v>
      </c>
      <c r="I569" s="2" t="s">
        <v>3217</v>
      </c>
      <c r="K569" s="2" t="s">
        <v>809</v>
      </c>
      <c r="L569" s="2" t="s">
        <v>157</v>
      </c>
      <c r="M569" s="2">
        <v>80907.0</v>
      </c>
      <c r="N569" s="2" t="s">
        <v>21</v>
      </c>
    </row>
    <row r="570" ht="15.75" customHeight="1">
      <c r="A570" s="2">
        <v>2013.0</v>
      </c>
      <c r="B570" s="2" t="s">
        <v>3218</v>
      </c>
      <c r="C570" s="2" t="s">
        <v>3218</v>
      </c>
      <c r="D570" s="2" t="str">
        <f>"7706337546"</f>
        <v>7706337546</v>
      </c>
      <c r="E570" s="2" t="s">
        <v>3219</v>
      </c>
      <c r="F570" s="2" t="s">
        <v>3220</v>
      </c>
      <c r="G570" s="2" t="str">
        <f>"SR-1030"</f>
        <v>SR-1030</v>
      </c>
      <c r="H570" s="2" t="s">
        <v>3221</v>
      </c>
      <c r="I570" s="2" t="s">
        <v>3222</v>
      </c>
      <c r="K570" s="2" t="s">
        <v>3223</v>
      </c>
      <c r="L570" s="2" t="s">
        <v>200</v>
      </c>
      <c r="M570" s="2">
        <v>30117.0</v>
      </c>
      <c r="N570" s="2" t="s">
        <v>21</v>
      </c>
    </row>
    <row r="571" ht="15.75" customHeight="1">
      <c r="A571" s="2">
        <v>2013.0</v>
      </c>
      <c r="B571" s="2" t="s">
        <v>3224</v>
      </c>
      <c r="C571" s="2" t="s">
        <v>3225</v>
      </c>
      <c r="D571" s="2" t="str">
        <f>"5135609652"</f>
        <v>5135609652</v>
      </c>
      <c r="E571" s="2" t="s">
        <v>1208</v>
      </c>
      <c r="F571" s="2" t="s">
        <v>3226</v>
      </c>
      <c r="G571" s="2" t="str">
        <f>"SR-812"</f>
        <v>SR-812</v>
      </c>
      <c r="H571" s="2" t="s">
        <v>3227</v>
      </c>
      <c r="I571" s="2" t="s">
        <v>3228</v>
      </c>
      <c r="K571" s="2" t="s">
        <v>3229</v>
      </c>
      <c r="L571" s="2" t="s">
        <v>344</v>
      </c>
      <c r="M571" s="2">
        <v>45036.0</v>
      </c>
      <c r="N571" s="2" t="s">
        <v>21</v>
      </c>
    </row>
    <row r="572" ht="15.75" customHeight="1">
      <c r="A572" s="2">
        <v>2013.0</v>
      </c>
      <c r="B572" s="2" t="s">
        <v>3230</v>
      </c>
      <c r="C572" s="2" t="s">
        <v>3230</v>
      </c>
      <c r="D572" s="2" t="str">
        <f>"614-891-6879"</f>
        <v>614-891-6879</v>
      </c>
      <c r="E572" s="2" t="s">
        <v>955</v>
      </c>
      <c r="F572" s="2" t="s">
        <v>3231</v>
      </c>
      <c r="G572" s="2" t="str">
        <f>"SR-1017"</f>
        <v>SR-1017</v>
      </c>
      <c r="H572" s="2" t="s">
        <v>3232</v>
      </c>
      <c r="I572" s="2" t="s">
        <v>3233</v>
      </c>
      <c r="K572" s="2" t="s">
        <v>2421</v>
      </c>
      <c r="L572" s="2" t="s">
        <v>344</v>
      </c>
      <c r="M572" s="2">
        <v>43229.0</v>
      </c>
      <c r="N572" s="2" t="s">
        <v>21</v>
      </c>
    </row>
    <row r="573" ht="15.75" customHeight="1">
      <c r="A573" s="2">
        <v>2013.0</v>
      </c>
      <c r="B573" s="2" t="s">
        <v>3234</v>
      </c>
      <c r="C573" s="2" t="s">
        <v>3235</v>
      </c>
      <c r="D573" s="2" t="str">
        <f>"937-342-1955"</f>
        <v>937-342-1955</v>
      </c>
      <c r="E573" s="2" t="s">
        <v>1362</v>
      </c>
      <c r="F573" s="2" t="s">
        <v>3236</v>
      </c>
      <c r="G573" s="2" t="str">
        <f>"SR-1031"</f>
        <v>SR-1031</v>
      </c>
      <c r="H573" s="2" t="s">
        <v>3237</v>
      </c>
      <c r="I573" s="2" t="s">
        <v>3238</v>
      </c>
      <c r="K573" s="2" t="s">
        <v>3239</v>
      </c>
      <c r="L573" s="2" t="s">
        <v>344</v>
      </c>
      <c r="M573" s="2">
        <v>45502.0</v>
      </c>
      <c r="N573" s="2" t="s">
        <v>21</v>
      </c>
    </row>
    <row r="574" ht="15.75" customHeight="1">
      <c r="A574" s="2">
        <v>2013.0</v>
      </c>
      <c r="B574" s="2" t="s">
        <v>3240</v>
      </c>
      <c r="C574" s="2" t="s">
        <v>3241</v>
      </c>
      <c r="D574" s="2" t="str">
        <f>"805-480-3832"</f>
        <v>805-480-3832</v>
      </c>
      <c r="E574" s="2" t="s">
        <v>938</v>
      </c>
      <c r="F574" s="2" t="s">
        <v>3242</v>
      </c>
      <c r="G574" s="2" t="str">
        <f>"SR-1038"</f>
        <v>SR-1038</v>
      </c>
      <c r="H574" s="2" t="s">
        <v>3243</v>
      </c>
      <c r="I574" s="2" t="s">
        <v>3244</v>
      </c>
      <c r="K574" s="2" t="s">
        <v>3245</v>
      </c>
      <c r="L574" s="2" t="s">
        <v>222</v>
      </c>
      <c r="M574" s="2">
        <v>91320.0</v>
      </c>
      <c r="N574" s="2" t="s">
        <v>21</v>
      </c>
    </row>
    <row r="575" ht="15.75" customHeight="1">
      <c r="A575" s="2">
        <v>2013.0</v>
      </c>
      <c r="B575" s="2" t="s">
        <v>3246</v>
      </c>
      <c r="C575" s="2" t="s">
        <v>3247</v>
      </c>
      <c r="D575" s="2" t="str">
        <f>"6628442388"</f>
        <v>6628442388</v>
      </c>
      <c r="E575" s="2" t="s">
        <v>3248</v>
      </c>
      <c r="F575" s="2" t="s">
        <v>3249</v>
      </c>
      <c r="G575" s="2" t="str">
        <f>"SR-900"</f>
        <v>SR-900</v>
      </c>
      <c r="H575" s="2" t="s">
        <v>3250</v>
      </c>
      <c r="I575" s="2" t="s">
        <v>3251</v>
      </c>
      <c r="K575" s="2" t="s">
        <v>2432</v>
      </c>
      <c r="L575" s="2" t="s">
        <v>1722</v>
      </c>
      <c r="M575" s="2">
        <v>38801.0</v>
      </c>
      <c r="N575" s="2" t="s">
        <v>21</v>
      </c>
    </row>
    <row r="576" ht="15.75" customHeight="1">
      <c r="A576" s="2">
        <v>2013.0</v>
      </c>
      <c r="B576" s="2" t="s">
        <v>3252</v>
      </c>
      <c r="C576" s="2" t="s">
        <v>3252</v>
      </c>
      <c r="D576" s="2" t="str">
        <f>"(217)556-9641"</f>
        <v>(217)556-9641</v>
      </c>
      <c r="E576" s="2" t="s">
        <v>261</v>
      </c>
      <c r="F576" s="2" t="s">
        <v>3253</v>
      </c>
      <c r="G576" s="2" t="str">
        <f>"SR-1039"</f>
        <v>SR-1039</v>
      </c>
      <c r="H576" s="2" t="s">
        <v>3254</v>
      </c>
      <c r="I576" s="2" t="s">
        <v>3255</v>
      </c>
      <c r="K576" s="2" t="s">
        <v>3256</v>
      </c>
      <c r="L576" s="2" t="s">
        <v>105</v>
      </c>
      <c r="M576" s="2">
        <v>62056.0</v>
      </c>
      <c r="N576" s="2" t="s">
        <v>21</v>
      </c>
    </row>
    <row r="577" ht="15.75" customHeight="1">
      <c r="A577" s="2">
        <v>2013.0</v>
      </c>
      <c r="B577" s="2" t="s">
        <v>3257</v>
      </c>
      <c r="C577" s="2" t="s">
        <v>3258</v>
      </c>
      <c r="D577" s="2" t="str">
        <f>"313-571-9215"</f>
        <v>313-571-9215</v>
      </c>
      <c r="E577" s="2" t="s">
        <v>3259</v>
      </c>
      <c r="F577" s="2" t="s">
        <v>529</v>
      </c>
      <c r="G577" s="2" t="str">
        <f>"SR-909"</f>
        <v>SR-909</v>
      </c>
      <c r="H577" s="2" t="s">
        <v>3260</v>
      </c>
      <c r="I577" s="2" t="s">
        <v>3261</v>
      </c>
      <c r="K577" s="2" t="s">
        <v>3262</v>
      </c>
      <c r="L577" s="2" t="s">
        <v>29</v>
      </c>
      <c r="M577" s="2">
        <v>4813.0</v>
      </c>
      <c r="N577" s="2" t="s">
        <v>21</v>
      </c>
    </row>
    <row r="578" ht="15.75" customHeight="1">
      <c r="A578" s="2">
        <v>2013.0</v>
      </c>
      <c r="B578" s="2" t="s">
        <v>3263</v>
      </c>
      <c r="C578" s="2" t="s">
        <v>3264</v>
      </c>
      <c r="D578" s="2" t="str">
        <f>"540-325-6909"</f>
        <v>540-325-6909</v>
      </c>
      <c r="E578" s="2" t="s">
        <v>339</v>
      </c>
      <c r="F578" s="2" t="s">
        <v>3265</v>
      </c>
      <c r="G578" s="2" t="str">
        <f>"SR-776"</f>
        <v>SR-776</v>
      </c>
      <c r="H578" s="2" t="s">
        <v>3266</v>
      </c>
      <c r="I578" s="2" t="s">
        <v>3267</v>
      </c>
      <c r="K578" s="2" t="s">
        <v>594</v>
      </c>
      <c r="L578" s="2" t="s">
        <v>165</v>
      </c>
      <c r="M578" s="2">
        <v>22601.0</v>
      </c>
      <c r="N578" s="2" t="s">
        <v>21</v>
      </c>
    </row>
    <row r="579" ht="15.75" customHeight="1">
      <c r="A579" s="2">
        <v>2013.0</v>
      </c>
      <c r="B579" s="2" t="s">
        <v>3268</v>
      </c>
      <c r="C579" s="2" t="s">
        <v>3268</v>
      </c>
      <c r="D579" s="2" t="str">
        <f>"319-573-6568"</f>
        <v>319-573-6568</v>
      </c>
      <c r="E579" s="2" t="s">
        <v>3269</v>
      </c>
      <c r="F579" s="2" t="s">
        <v>3270</v>
      </c>
      <c r="G579" s="2" t="str">
        <f>"SR-993"</f>
        <v>SR-993</v>
      </c>
      <c r="H579" s="2" t="s">
        <v>3271</v>
      </c>
      <c r="I579" s="2" t="s">
        <v>3272</v>
      </c>
      <c r="K579" s="2" t="s">
        <v>3273</v>
      </c>
      <c r="L579" s="2" t="s">
        <v>560</v>
      </c>
      <c r="M579" s="2">
        <v>52403.0</v>
      </c>
      <c r="N579" s="2" t="s">
        <v>21</v>
      </c>
    </row>
    <row r="580" ht="15.75" customHeight="1">
      <c r="A580" s="2">
        <v>2013.0</v>
      </c>
      <c r="B580" s="2" t="s">
        <v>3274</v>
      </c>
      <c r="C580" s="2" t="s">
        <v>3275</v>
      </c>
      <c r="D580" s="2" t="str">
        <f>"847-346-8623"</f>
        <v>847-346-8623</v>
      </c>
      <c r="E580" s="2" t="s">
        <v>385</v>
      </c>
      <c r="F580" s="2" t="s">
        <v>3276</v>
      </c>
      <c r="G580" s="2" t="str">
        <f>"SR-692"</f>
        <v>SR-692</v>
      </c>
      <c r="H580" s="2" t="s">
        <v>3277</v>
      </c>
      <c r="I580" s="2" t="s">
        <v>3278</v>
      </c>
      <c r="K580" s="2" t="s">
        <v>3279</v>
      </c>
      <c r="L580" s="2" t="s">
        <v>105</v>
      </c>
      <c r="M580" s="2">
        <v>60102.0</v>
      </c>
      <c r="N580" s="2" t="s">
        <v>21</v>
      </c>
    </row>
    <row r="581" ht="15.75" customHeight="1">
      <c r="A581" s="2">
        <v>2013.0</v>
      </c>
      <c r="B581" s="2" t="s">
        <v>3280</v>
      </c>
      <c r="C581" s="2" t="s">
        <v>3281</v>
      </c>
      <c r="D581" s="2" t="str">
        <f>"6154411480"</f>
        <v>6154411480</v>
      </c>
      <c r="E581" s="2" t="s">
        <v>3282</v>
      </c>
      <c r="F581" s="2" t="s">
        <v>3283</v>
      </c>
      <c r="G581" s="2" t="str">
        <f>"SR-1044"</f>
        <v>SR-1044</v>
      </c>
      <c r="H581" s="2" t="s">
        <v>3284</v>
      </c>
      <c r="I581" s="2" t="s">
        <v>3285</v>
      </c>
      <c r="K581" s="2" t="s">
        <v>3286</v>
      </c>
      <c r="L581" s="2" t="s">
        <v>279</v>
      </c>
      <c r="M581" s="2">
        <v>37055.0</v>
      </c>
      <c r="N581" s="2" t="s">
        <v>21</v>
      </c>
    </row>
    <row r="582" ht="15.75" customHeight="1">
      <c r="A582" s="2">
        <v>2013.0</v>
      </c>
      <c r="B582" s="2" t="s">
        <v>3287</v>
      </c>
      <c r="C582" s="2" t="s">
        <v>3288</v>
      </c>
      <c r="D582" s="2" t="str">
        <f>"575-313-9077"</f>
        <v>575-313-9077</v>
      </c>
      <c r="E582" s="2" t="s">
        <v>72</v>
      </c>
      <c r="F582" s="2" t="s">
        <v>3289</v>
      </c>
      <c r="G582" s="2" t="str">
        <f>"SR-908"</f>
        <v>SR-908</v>
      </c>
      <c r="H582" s="2" t="s">
        <v>3290</v>
      </c>
      <c r="I582" s="2" t="s">
        <v>3291</v>
      </c>
      <c r="K582" s="2" t="s">
        <v>3292</v>
      </c>
      <c r="L582" s="2" t="s">
        <v>789</v>
      </c>
      <c r="M582" s="2">
        <v>88026.0</v>
      </c>
      <c r="N582" s="2" t="s">
        <v>21</v>
      </c>
    </row>
    <row r="583" ht="15.75" customHeight="1">
      <c r="A583" s="2">
        <v>2013.0</v>
      </c>
      <c r="B583" s="2" t="s">
        <v>3293</v>
      </c>
      <c r="C583" s="2" t="s">
        <v>3293</v>
      </c>
      <c r="D583" s="2" t="str">
        <f>"817-451-7979"</f>
        <v>817-451-7979</v>
      </c>
      <c r="E583" s="2" t="s">
        <v>3294</v>
      </c>
      <c r="F583" s="2" t="s">
        <v>3295</v>
      </c>
      <c r="G583" s="2" t="str">
        <f>"SR-1046"</f>
        <v>SR-1046</v>
      </c>
      <c r="H583" s="2" t="s">
        <v>3296</v>
      </c>
      <c r="I583" s="2" t="s">
        <v>3297</v>
      </c>
      <c r="K583" s="2" t="s">
        <v>3298</v>
      </c>
      <c r="L583" s="2" t="s">
        <v>172</v>
      </c>
      <c r="M583" s="2">
        <v>76103.0</v>
      </c>
      <c r="N583" s="2" t="s">
        <v>21</v>
      </c>
    </row>
    <row r="584" ht="15.75" customHeight="1">
      <c r="A584" s="2">
        <v>2013.0</v>
      </c>
      <c r="B584" s="2" t="s">
        <v>3299</v>
      </c>
      <c r="C584" s="2" t="s">
        <v>3300</v>
      </c>
      <c r="D584" s="2" t="str">
        <f>"425-308-0811"</f>
        <v>425-308-0811</v>
      </c>
      <c r="E584" s="2" t="s">
        <v>2031</v>
      </c>
      <c r="F584" s="2" t="s">
        <v>3301</v>
      </c>
      <c r="G584" s="2" t="str">
        <f>"SR-1055"</f>
        <v>SR-1055</v>
      </c>
      <c r="H584" s="2" t="s">
        <v>3302</v>
      </c>
      <c r="I584" s="2" t="s">
        <v>3303</v>
      </c>
      <c r="K584" s="2" t="s">
        <v>1677</v>
      </c>
      <c r="L584" s="2" t="s">
        <v>86</v>
      </c>
      <c r="M584" s="2">
        <v>98012.0</v>
      </c>
      <c r="N584" s="2" t="s">
        <v>21</v>
      </c>
    </row>
    <row r="585" ht="15.75" customHeight="1">
      <c r="A585" s="2">
        <v>2013.0</v>
      </c>
      <c r="B585" s="2" t="s">
        <v>3299</v>
      </c>
      <c r="C585" s="2" t="s">
        <v>3304</v>
      </c>
      <c r="D585" s="2" t="str">
        <f>"425-231-4152"</f>
        <v>425-231-4152</v>
      </c>
      <c r="E585" s="2" t="s">
        <v>3305</v>
      </c>
      <c r="F585" s="2" t="s">
        <v>3306</v>
      </c>
      <c r="G585" s="2" t="str">
        <f>"SR-1059"</f>
        <v>SR-1059</v>
      </c>
      <c r="H585" s="2" t="s">
        <v>3307</v>
      </c>
      <c r="I585" s="2" t="s">
        <v>3308</v>
      </c>
      <c r="K585" s="2" t="s">
        <v>3309</v>
      </c>
      <c r="L585" s="2" t="s">
        <v>86</v>
      </c>
      <c r="M585" s="2">
        <v>98012.0</v>
      </c>
      <c r="N585" s="2" t="s">
        <v>21</v>
      </c>
    </row>
    <row r="586" ht="15.75" customHeight="1">
      <c r="A586" s="2">
        <v>2013.0</v>
      </c>
      <c r="B586" s="2" t="s">
        <v>3310</v>
      </c>
      <c r="C586" s="2" t="s">
        <v>3311</v>
      </c>
      <c r="D586" s="2" t="str">
        <f>"317 861-5450"</f>
        <v>317 861-5450</v>
      </c>
      <c r="E586" s="2" t="s">
        <v>3312</v>
      </c>
      <c r="F586" s="2" t="s">
        <v>3313</v>
      </c>
      <c r="G586" s="2" t="str">
        <f>"SR-751"</f>
        <v>SR-751</v>
      </c>
      <c r="H586" s="2" t="s">
        <v>3314</v>
      </c>
      <c r="I586" s="2" t="s">
        <v>3315</v>
      </c>
      <c r="K586" s="2" t="s">
        <v>3316</v>
      </c>
      <c r="L586" s="2" t="s">
        <v>149</v>
      </c>
      <c r="M586" s="2">
        <v>46130.0</v>
      </c>
      <c r="N586" s="2" t="s">
        <v>21</v>
      </c>
    </row>
    <row r="587" ht="15.75" customHeight="1">
      <c r="A587" s="2">
        <v>2013.0</v>
      </c>
      <c r="B587" s="2" t="s">
        <v>3317</v>
      </c>
      <c r="C587" s="2" t="s">
        <v>3318</v>
      </c>
      <c r="D587" s="2" t="str">
        <f>"7853755330"</f>
        <v>7853755330</v>
      </c>
      <c r="E587" s="2" t="s">
        <v>3319</v>
      </c>
      <c r="F587" s="2" t="s">
        <v>3320</v>
      </c>
      <c r="G587" s="2" t="str">
        <f>"SR-1034"</f>
        <v>SR-1034</v>
      </c>
      <c r="H587" s="2" t="s">
        <v>3321</v>
      </c>
      <c r="I587" s="2" t="s">
        <v>3322</v>
      </c>
      <c r="K587" s="2" t="s">
        <v>3323</v>
      </c>
      <c r="L587" s="2" t="s">
        <v>157</v>
      </c>
      <c r="M587" s="2">
        <v>80817.0</v>
      </c>
      <c r="N587" s="2" t="s">
        <v>21</v>
      </c>
    </row>
    <row r="588" ht="15.75" customHeight="1">
      <c r="A588" s="2">
        <v>2013.0</v>
      </c>
      <c r="B588" s="2" t="s">
        <v>3324</v>
      </c>
      <c r="C588" s="2" t="s">
        <v>3325</v>
      </c>
      <c r="D588" s="2" t="str">
        <f>"913-538-5422"</f>
        <v>913-538-5422</v>
      </c>
      <c r="E588" s="2" t="s">
        <v>2089</v>
      </c>
      <c r="F588" s="2" t="s">
        <v>3326</v>
      </c>
      <c r="G588" s="2" t="str">
        <f>"SR-1064"</f>
        <v>SR-1064</v>
      </c>
      <c r="H588" s="2" t="s">
        <v>3327</v>
      </c>
      <c r="I588" s="2" t="s">
        <v>3328</v>
      </c>
      <c r="K588" s="2" t="s">
        <v>3329</v>
      </c>
      <c r="L588" s="2" t="s">
        <v>272</v>
      </c>
      <c r="M588" s="2">
        <v>66220.0</v>
      </c>
      <c r="N588" s="2" t="s">
        <v>21</v>
      </c>
    </row>
    <row r="589" ht="15.75" customHeight="1">
      <c r="A589" s="2">
        <v>2013.0</v>
      </c>
      <c r="B589" s="2" t="s">
        <v>3330</v>
      </c>
      <c r="D589" s="2" t="str">
        <f>"3164406745"</f>
        <v>3164406745</v>
      </c>
      <c r="E589" s="2" t="s">
        <v>2031</v>
      </c>
      <c r="F589" s="2" t="s">
        <v>3331</v>
      </c>
      <c r="G589" s="2" t="str">
        <f>"SR-1023"</f>
        <v>SR-1023</v>
      </c>
      <c r="H589" s="2" t="s">
        <v>3332</v>
      </c>
      <c r="I589" s="2" t="s">
        <v>3333</v>
      </c>
      <c r="K589" s="2" t="s">
        <v>606</v>
      </c>
      <c r="L589" s="2" t="s">
        <v>272</v>
      </c>
      <c r="M589" s="2">
        <v>67235.0</v>
      </c>
      <c r="N589" s="2" t="s">
        <v>21</v>
      </c>
    </row>
    <row r="590" ht="15.75" customHeight="1">
      <c r="A590" s="2">
        <v>2013.0</v>
      </c>
      <c r="B590" s="2" t="s">
        <v>3334</v>
      </c>
      <c r="C590" s="2" t="s">
        <v>3335</v>
      </c>
      <c r="D590" s="2" t="str">
        <f>"905-852-9993"</f>
        <v>905-852-9993</v>
      </c>
      <c r="E590" s="2" t="s">
        <v>3336</v>
      </c>
      <c r="F590" s="2" t="s">
        <v>3337</v>
      </c>
      <c r="G590" s="2" t="str">
        <f>"SR-973"</f>
        <v>SR-973</v>
      </c>
      <c r="H590" s="2" t="s">
        <v>3338</v>
      </c>
      <c r="I590" s="2" t="s">
        <v>3339</v>
      </c>
      <c r="K590" s="2" t="s">
        <v>2014</v>
      </c>
      <c r="L590" s="2" t="s">
        <v>2022</v>
      </c>
      <c r="M590" s="2" t="s">
        <v>3340</v>
      </c>
      <c r="N590" s="2" t="s">
        <v>1602</v>
      </c>
    </row>
    <row r="591" ht="15.75" customHeight="1">
      <c r="A591" s="2">
        <v>2013.0</v>
      </c>
      <c r="B591" s="2" t="s">
        <v>3341</v>
      </c>
      <c r="D591" s="2" t="str">
        <f>""</f>
        <v/>
      </c>
      <c r="E591" s="2" t="s">
        <v>3342</v>
      </c>
      <c r="F591" s="2" t="s">
        <v>3343</v>
      </c>
      <c r="G591" s="2" t="str">
        <f>"SR-982"</f>
        <v>SR-982</v>
      </c>
      <c r="H591" s="2" t="s">
        <v>3344</v>
      </c>
    </row>
    <row r="592" ht="15.75" customHeight="1">
      <c r="A592" s="2">
        <v>2013.0</v>
      </c>
      <c r="B592" s="2" t="s">
        <v>3345</v>
      </c>
      <c r="D592" s="2" t="str">
        <f>"719-268-6900"</f>
        <v>719-268-6900</v>
      </c>
      <c r="E592" s="2" t="s">
        <v>503</v>
      </c>
      <c r="F592" s="2" t="s">
        <v>3346</v>
      </c>
      <c r="G592" s="2" t="str">
        <f>"SR-1070"</f>
        <v>SR-1070</v>
      </c>
      <c r="H592" s="2" t="s">
        <v>3347</v>
      </c>
      <c r="I592" s="2" t="s">
        <v>3348</v>
      </c>
      <c r="K592" s="2" t="s">
        <v>809</v>
      </c>
      <c r="L592" s="2" t="s">
        <v>157</v>
      </c>
      <c r="M592" s="2">
        <v>80923.0</v>
      </c>
      <c r="N592" s="2" t="s">
        <v>21</v>
      </c>
    </row>
    <row r="593" ht="15.75" customHeight="1">
      <c r="A593" s="2">
        <v>2013.0</v>
      </c>
      <c r="B593" s="2" t="s">
        <v>3349</v>
      </c>
      <c r="C593" s="2" t="s">
        <v>3350</v>
      </c>
      <c r="D593" s="2" t="str">
        <f>"719-210-7214"</f>
        <v>719-210-7214</v>
      </c>
      <c r="E593" s="2" t="s">
        <v>167</v>
      </c>
      <c r="F593" s="2" t="s">
        <v>3351</v>
      </c>
      <c r="G593" s="2" t="str">
        <f>"SR-1063"</f>
        <v>SR-1063</v>
      </c>
      <c r="H593" s="2" t="s">
        <v>3352</v>
      </c>
      <c r="I593" s="2" t="s">
        <v>3353</v>
      </c>
      <c r="K593" s="2" t="s">
        <v>507</v>
      </c>
      <c r="L593" s="2" t="s">
        <v>157</v>
      </c>
      <c r="M593" s="2">
        <v>80132.0</v>
      </c>
      <c r="N593" s="2" t="s">
        <v>21</v>
      </c>
    </row>
    <row r="594" ht="15.75" customHeight="1">
      <c r="A594" s="2">
        <v>2013.0</v>
      </c>
      <c r="B594" s="2" t="s">
        <v>3354</v>
      </c>
      <c r="C594" s="2" t="s">
        <v>3355</v>
      </c>
      <c r="D594" s="2" t="str">
        <f>"(870) 693-2416"</f>
        <v>(870) 693-2416</v>
      </c>
      <c r="E594" s="2" t="s">
        <v>3356</v>
      </c>
      <c r="F594" s="2" t="s">
        <v>493</v>
      </c>
      <c r="G594" s="2" t="str">
        <f>"SR-814"</f>
        <v>SR-814</v>
      </c>
      <c r="H594" s="2" t="s">
        <v>3357</v>
      </c>
      <c r="I594" s="2" t="s">
        <v>3358</v>
      </c>
      <c r="K594" s="2" t="s">
        <v>3359</v>
      </c>
      <c r="L594" s="2" t="s">
        <v>1012</v>
      </c>
      <c r="M594" s="2">
        <v>71770.0</v>
      </c>
      <c r="N594" s="2" t="s">
        <v>21</v>
      </c>
    </row>
    <row r="595" ht="15.75" customHeight="1">
      <c r="A595" s="2">
        <v>2013.0</v>
      </c>
      <c r="B595" s="2" t="s">
        <v>3360</v>
      </c>
      <c r="C595" s="2" t="s">
        <v>3360</v>
      </c>
      <c r="D595" s="2" t="str">
        <f>"4024527009"</f>
        <v>4024527009</v>
      </c>
      <c r="E595" s="2" t="s">
        <v>2361</v>
      </c>
      <c r="F595" s="2" t="s">
        <v>3361</v>
      </c>
      <c r="G595" s="2" t="str">
        <f>"SR-1032"</f>
        <v>SR-1032</v>
      </c>
      <c r="H595" s="2" t="s">
        <v>3362</v>
      </c>
      <c r="I595" s="2" t="s">
        <v>3363</v>
      </c>
      <c r="K595" s="2" t="s">
        <v>1470</v>
      </c>
      <c r="L595" s="2" t="s">
        <v>757</v>
      </c>
      <c r="M595" s="2">
        <v>68130.0</v>
      </c>
      <c r="N595" s="2" t="s">
        <v>21</v>
      </c>
    </row>
    <row r="596" ht="15.75" customHeight="1">
      <c r="A596" s="2">
        <v>2013.0</v>
      </c>
      <c r="B596" s="2" t="s">
        <v>3364</v>
      </c>
      <c r="C596" s="2" t="s">
        <v>3365</v>
      </c>
      <c r="D596" s="2" t="str">
        <f>"615-957-7528"</f>
        <v>615-957-7528</v>
      </c>
      <c r="E596" s="2" t="s">
        <v>843</v>
      </c>
      <c r="F596" s="2" t="s">
        <v>3366</v>
      </c>
      <c r="G596" s="2" t="str">
        <f>"SR-1078"</f>
        <v>SR-1078</v>
      </c>
      <c r="H596" s="2" t="s">
        <v>3367</v>
      </c>
      <c r="I596" s="2" t="s">
        <v>3368</v>
      </c>
      <c r="K596" s="2" t="s">
        <v>3286</v>
      </c>
      <c r="L596" s="2" t="s">
        <v>279</v>
      </c>
      <c r="M596" s="2">
        <v>37055.0</v>
      </c>
      <c r="N596" s="2" t="s">
        <v>21</v>
      </c>
    </row>
    <row r="597" ht="15.75" customHeight="1">
      <c r="A597" s="2">
        <v>2013.0</v>
      </c>
      <c r="B597" s="2" t="s">
        <v>3369</v>
      </c>
      <c r="D597" s="2" t="str">
        <f>"907-317-7268"</f>
        <v>907-317-7268</v>
      </c>
      <c r="E597" s="2" t="s">
        <v>3370</v>
      </c>
      <c r="F597" s="2" t="s">
        <v>3371</v>
      </c>
      <c r="G597" s="2" t="str">
        <f>"SR-1074"</f>
        <v>SR-1074</v>
      </c>
      <c r="H597" s="2" t="s">
        <v>3372</v>
      </c>
      <c r="I597" s="2" t="s">
        <v>3373</v>
      </c>
      <c r="K597" s="2" t="s">
        <v>69</v>
      </c>
      <c r="L597" s="2" t="s">
        <v>70</v>
      </c>
      <c r="M597" s="2">
        <v>99523.0</v>
      </c>
      <c r="N597" s="2" t="s">
        <v>21</v>
      </c>
    </row>
    <row r="598" ht="15.75" customHeight="1">
      <c r="A598" s="2">
        <v>2013.0</v>
      </c>
      <c r="B598" s="2" t="s">
        <v>3374</v>
      </c>
      <c r="C598" s="2" t="s">
        <v>3375</v>
      </c>
      <c r="D598" s="2" t="str">
        <f>"4233271520"</f>
        <v>4233271520</v>
      </c>
      <c r="E598" s="2" t="s">
        <v>2162</v>
      </c>
      <c r="F598" s="2" t="s">
        <v>3376</v>
      </c>
      <c r="G598" s="2" t="str">
        <f>"SR-572"</f>
        <v>SR-572</v>
      </c>
      <c r="H598" s="2" t="s">
        <v>3377</v>
      </c>
      <c r="I598" s="2" t="s">
        <v>3378</v>
      </c>
      <c r="K598" s="2" t="s">
        <v>3379</v>
      </c>
      <c r="L598" s="2" t="s">
        <v>279</v>
      </c>
      <c r="M598" s="2">
        <v>37890.0</v>
      </c>
      <c r="N598" s="2" t="s">
        <v>21</v>
      </c>
    </row>
    <row r="599" ht="15.75" customHeight="1">
      <c r="A599" s="2">
        <v>2013.0</v>
      </c>
      <c r="B599" s="2" t="s">
        <v>3380</v>
      </c>
      <c r="C599" s="2" t="s">
        <v>3381</v>
      </c>
      <c r="D599" s="2" t="str">
        <f>"864-404-6580"</f>
        <v>864-404-6580</v>
      </c>
      <c r="E599" s="2" t="s">
        <v>50</v>
      </c>
      <c r="F599" s="2" t="s">
        <v>3382</v>
      </c>
      <c r="G599" s="2" t="str">
        <f>"SR-775"</f>
        <v>SR-775</v>
      </c>
      <c r="H599" s="2" t="s">
        <v>3383</v>
      </c>
      <c r="I599" s="2" t="s">
        <v>3384</v>
      </c>
      <c r="K599" s="2" t="s">
        <v>3385</v>
      </c>
      <c r="L599" s="2" t="s">
        <v>55</v>
      </c>
      <c r="M599" s="2">
        <v>29650.0</v>
      </c>
      <c r="N599" s="2" t="s">
        <v>21</v>
      </c>
    </row>
    <row r="600" ht="15.75" customHeight="1">
      <c r="A600" s="2">
        <v>2013.0</v>
      </c>
      <c r="B600" s="2" t="s">
        <v>3386</v>
      </c>
      <c r="C600" s="2" t="s">
        <v>3387</v>
      </c>
      <c r="D600" s="2" t="str">
        <f>"785-363-7668"</f>
        <v>785-363-7668</v>
      </c>
      <c r="E600" s="2" t="s">
        <v>3388</v>
      </c>
      <c r="F600" s="2" t="s">
        <v>3389</v>
      </c>
      <c r="G600" s="2" t="str">
        <f>"SR-871"</f>
        <v>SR-871</v>
      </c>
      <c r="H600" s="2" t="s">
        <v>3390</v>
      </c>
      <c r="I600" s="2" t="s">
        <v>3391</v>
      </c>
      <c r="K600" s="2" t="s">
        <v>3392</v>
      </c>
      <c r="L600" s="2" t="s">
        <v>272</v>
      </c>
      <c r="M600" s="2">
        <v>66411.0</v>
      </c>
      <c r="N600" s="2" t="s">
        <v>21</v>
      </c>
    </row>
    <row r="601" ht="15.75" customHeight="1">
      <c r="A601" s="2">
        <v>2013.0</v>
      </c>
      <c r="B601" s="2" t="s">
        <v>3393</v>
      </c>
      <c r="C601" s="2" t="s">
        <v>3393</v>
      </c>
      <c r="D601" s="2" t="str">
        <f>"4233177405"</f>
        <v>4233177405</v>
      </c>
      <c r="E601" s="2" t="s">
        <v>1263</v>
      </c>
      <c r="F601" s="2" t="s">
        <v>3394</v>
      </c>
      <c r="G601" s="2" t="str">
        <f>"SR-1047"</f>
        <v>SR-1047</v>
      </c>
      <c r="H601" s="2" t="s">
        <v>3395</v>
      </c>
      <c r="I601" s="2" t="s">
        <v>3396</v>
      </c>
      <c r="K601" s="2" t="s">
        <v>3397</v>
      </c>
      <c r="L601" s="2" t="s">
        <v>279</v>
      </c>
      <c r="M601" s="2">
        <v>37814.0</v>
      </c>
      <c r="N601" s="2" t="s">
        <v>21</v>
      </c>
    </row>
    <row r="602" ht="15.75" customHeight="1">
      <c r="A602" s="2">
        <v>2013.0</v>
      </c>
      <c r="B602" s="2" t="s">
        <v>3398</v>
      </c>
      <c r="C602" s="2" t="s">
        <v>3399</v>
      </c>
      <c r="D602" s="2" t="str">
        <f>"303-652-3012"</f>
        <v>303-652-3012</v>
      </c>
      <c r="E602" s="2" t="s">
        <v>3400</v>
      </c>
      <c r="F602" s="2" t="s">
        <v>3401</v>
      </c>
      <c r="G602" s="2" t="str">
        <f>"SR-1088"</f>
        <v>SR-1088</v>
      </c>
      <c r="H602" s="2" t="s">
        <v>3402</v>
      </c>
      <c r="I602" s="2" t="s">
        <v>3403</v>
      </c>
      <c r="K602" s="2" t="s">
        <v>2317</v>
      </c>
      <c r="L602" s="2" t="s">
        <v>157</v>
      </c>
      <c r="M602" s="2">
        <v>80502.0</v>
      </c>
      <c r="N602" s="2" t="s">
        <v>21</v>
      </c>
    </row>
    <row r="603" ht="15.75" customHeight="1">
      <c r="A603" s="2">
        <v>2013.0</v>
      </c>
      <c r="B603" s="2" t="s">
        <v>3404</v>
      </c>
      <c r="C603" s="2" t="s">
        <v>3405</v>
      </c>
      <c r="D603" s="2" t="str">
        <f>"740 596-4792"</f>
        <v>740 596-4792</v>
      </c>
      <c r="E603" s="2" t="s">
        <v>1208</v>
      </c>
      <c r="F603" s="2" t="s">
        <v>3406</v>
      </c>
      <c r="G603" s="2" t="str">
        <f>"SR-906"</f>
        <v>SR-906</v>
      </c>
      <c r="H603" s="2" t="s">
        <v>3407</v>
      </c>
      <c r="I603" s="2" t="s">
        <v>3408</v>
      </c>
      <c r="K603" s="2" t="s">
        <v>3409</v>
      </c>
      <c r="L603" s="2" t="s">
        <v>344</v>
      </c>
      <c r="M603" s="2">
        <v>45651.0</v>
      </c>
      <c r="N603" s="2" t="s">
        <v>21</v>
      </c>
    </row>
    <row r="604" ht="15.75" customHeight="1">
      <c r="A604" s="2">
        <v>2013.0</v>
      </c>
      <c r="B604" s="2" t="s">
        <v>3410</v>
      </c>
      <c r="C604" s="2" t="s">
        <v>3410</v>
      </c>
      <c r="D604" s="2" t="str">
        <f>"3174329123"</f>
        <v>3174329123</v>
      </c>
      <c r="E604" s="2" t="s">
        <v>843</v>
      </c>
      <c r="F604" s="2" t="s">
        <v>3411</v>
      </c>
      <c r="G604" s="2" t="str">
        <f>"SR-1089"</f>
        <v>SR-1089</v>
      </c>
      <c r="H604" s="2" t="s">
        <v>3412</v>
      </c>
      <c r="I604" s="2" t="s">
        <v>3413</v>
      </c>
      <c r="K604" s="2" t="s">
        <v>3414</v>
      </c>
      <c r="L604" s="2" t="s">
        <v>149</v>
      </c>
      <c r="M604" s="2">
        <v>46148.0</v>
      </c>
      <c r="N604" s="2" t="s">
        <v>21</v>
      </c>
    </row>
    <row r="605" ht="15.75" customHeight="1">
      <c r="A605" s="2">
        <v>2013.0</v>
      </c>
      <c r="B605" s="2" t="s">
        <v>3415</v>
      </c>
      <c r="C605" s="2" t="s">
        <v>3416</v>
      </c>
      <c r="D605" s="2" t="str">
        <f>"5196582524"</f>
        <v>5196582524</v>
      </c>
      <c r="E605" s="2" t="s">
        <v>2250</v>
      </c>
      <c r="F605" s="2" t="s">
        <v>3417</v>
      </c>
      <c r="G605" s="2" t="str">
        <f>"SR-392"</f>
        <v>SR-392</v>
      </c>
      <c r="H605" s="2" t="s">
        <v>3418</v>
      </c>
      <c r="I605" s="2" t="s">
        <v>3419</v>
      </c>
      <c r="K605" s="2" t="s">
        <v>3420</v>
      </c>
      <c r="L605" s="2" t="s">
        <v>2015</v>
      </c>
      <c r="M605" s="2" t="s">
        <v>3421</v>
      </c>
      <c r="N605" s="2" t="s">
        <v>1602</v>
      </c>
    </row>
    <row r="606" ht="15.75" customHeight="1">
      <c r="A606" s="2">
        <v>2013.0</v>
      </c>
      <c r="B606" s="2" t="s">
        <v>3422</v>
      </c>
      <c r="C606" s="2" t="s">
        <v>3422</v>
      </c>
      <c r="D606" s="2" t="str">
        <f>"4402476697"</f>
        <v>4402476697</v>
      </c>
      <c r="E606" s="2" t="s">
        <v>282</v>
      </c>
      <c r="F606" s="2" t="s">
        <v>3423</v>
      </c>
      <c r="G606" s="2" t="str">
        <f>"SR-772"</f>
        <v>SR-772</v>
      </c>
      <c r="H606" s="2" t="s">
        <v>3424</v>
      </c>
      <c r="I606" s="2" t="s">
        <v>3425</v>
      </c>
      <c r="K606" s="2" t="s">
        <v>448</v>
      </c>
      <c r="L606" s="2" t="s">
        <v>344</v>
      </c>
      <c r="M606" s="2">
        <v>44072.0</v>
      </c>
      <c r="N606" s="2" t="s">
        <v>21</v>
      </c>
    </row>
    <row r="607" ht="15.75" customHeight="1">
      <c r="A607" s="2">
        <v>2013.0</v>
      </c>
      <c r="B607" s="2" t="s">
        <v>3426</v>
      </c>
      <c r="C607" s="2" t="s">
        <v>3427</v>
      </c>
      <c r="D607" s="2" t="str">
        <f>"813-541-9561"</f>
        <v>813-541-9561</v>
      </c>
      <c r="E607" s="2" t="s">
        <v>1664</v>
      </c>
      <c r="F607" s="2" t="s">
        <v>3428</v>
      </c>
      <c r="G607" s="2" t="str">
        <f>"SR-1010"</f>
        <v>SR-1010</v>
      </c>
      <c r="H607" s="2" t="s">
        <v>3429</v>
      </c>
      <c r="I607" s="2" t="s">
        <v>3430</v>
      </c>
      <c r="K607" s="2" t="s">
        <v>3431</v>
      </c>
      <c r="L607" s="2" t="s">
        <v>208</v>
      </c>
      <c r="M607" s="2">
        <v>33618.0</v>
      </c>
      <c r="N607" s="2" t="s">
        <v>21</v>
      </c>
    </row>
    <row r="608" ht="15.75" customHeight="1">
      <c r="A608" s="2">
        <v>2013.0</v>
      </c>
      <c r="B608" s="2" t="s">
        <v>3432</v>
      </c>
      <c r="C608" s="2" t="s">
        <v>3433</v>
      </c>
      <c r="D608" s="2" t="str">
        <f>"402-512-3288"</f>
        <v>402-512-3288</v>
      </c>
      <c r="E608" s="2" t="s">
        <v>3434</v>
      </c>
      <c r="F608" s="2" t="s">
        <v>3435</v>
      </c>
      <c r="G608" s="2" t="str">
        <f>"SR-842"</f>
        <v>SR-842</v>
      </c>
      <c r="H608" s="2" t="s">
        <v>3436</v>
      </c>
      <c r="I608" s="2" t="s">
        <v>3437</v>
      </c>
      <c r="K608" s="2" t="s">
        <v>3438</v>
      </c>
      <c r="L608" s="2" t="s">
        <v>757</v>
      </c>
      <c r="M608" s="2">
        <v>68133.0</v>
      </c>
      <c r="N608" s="2" t="s">
        <v>21</v>
      </c>
    </row>
    <row r="609" ht="15.75" customHeight="1">
      <c r="A609" s="2">
        <v>2013.0</v>
      </c>
      <c r="B609" s="2" t="s">
        <v>3439</v>
      </c>
      <c r="C609" s="2" t="s">
        <v>3439</v>
      </c>
      <c r="D609" s="2" t="str">
        <f>"218-779-0035"</f>
        <v>218-779-0035</v>
      </c>
      <c r="E609" s="2" t="s">
        <v>167</v>
      </c>
      <c r="F609" s="2" t="s">
        <v>3440</v>
      </c>
      <c r="G609" s="2" t="str">
        <f>"SR-1011"</f>
        <v>SR-1011</v>
      </c>
      <c r="H609" s="2" t="s">
        <v>3441</v>
      </c>
      <c r="I609" s="2" t="s">
        <v>3442</v>
      </c>
      <c r="K609" s="2" t="s">
        <v>3443</v>
      </c>
      <c r="L609" s="2" t="s">
        <v>2534</v>
      </c>
      <c r="M609" s="2">
        <v>58201.0</v>
      </c>
      <c r="N609" s="2" t="s">
        <v>21</v>
      </c>
    </row>
    <row r="610" ht="15.75" customHeight="1">
      <c r="A610" s="2">
        <v>2013.0</v>
      </c>
      <c r="B610" s="2" t="s">
        <v>3444</v>
      </c>
      <c r="C610" s="2" t="s">
        <v>3444</v>
      </c>
      <c r="D610" s="2" t="str">
        <f>"952-949-8665"</f>
        <v>952-949-8665</v>
      </c>
      <c r="E610" s="2" t="s">
        <v>132</v>
      </c>
      <c r="F610" s="2" t="s">
        <v>3445</v>
      </c>
      <c r="G610" s="2" t="str">
        <f>"SR-1097"</f>
        <v>SR-1097</v>
      </c>
      <c r="H610" s="2" t="s">
        <v>3446</v>
      </c>
      <c r="I610" s="2" t="s">
        <v>3447</v>
      </c>
      <c r="K610" s="2" t="s">
        <v>1490</v>
      </c>
      <c r="L610" s="2" t="s">
        <v>62</v>
      </c>
      <c r="M610" s="2">
        <v>55346.0</v>
      </c>
      <c r="N610" s="2" t="s">
        <v>21</v>
      </c>
    </row>
    <row r="611" ht="15.75" customHeight="1">
      <c r="A611" s="2">
        <v>2013.0</v>
      </c>
      <c r="B611" s="2" t="s">
        <v>3448</v>
      </c>
      <c r="C611" s="2" t="s">
        <v>3449</v>
      </c>
      <c r="D611" s="2" t="str">
        <f>"561 - 394 - 2346"</f>
        <v>561 - 394 - 2346</v>
      </c>
      <c r="E611" s="2" t="s">
        <v>43</v>
      </c>
      <c r="F611" s="2" t="s">
        <v>3450</v>
      </c>
      <c r="G611" s="2" t="str">
        <f>"SR-1099"</f>
        <v>SR-1099</v>
      </c>
      <c r="H611" s="2" t="s">
        <v>3451</v>
      </c>
      <c r="I611" s="2" t="s">
        <v>3452</v>
      </c>
      <c r="K611" s="2" t="s">
        <v>2273</v>
      </c>
      <c r="L611" s="2" t="s">
        <v>208</v>
      </c>
      <c r="M611" s="2">
        <v>33486.0</v>
      </c>
      <c r="N611" s="2" t="s">
        <v>21</v>
      </c>
    </row>
    <row r="612" ht="15.75" customHeight="1">
      <c r="A612" s="2">
        <v>2013.0</v>
      </c>
      <c r="B612" s="2" t="s">
        <v>3453</v>
      </c>
      <c r="C612" s="2" t="s">
        <v>3454</v>
      </c>
      <c r="D612" s="2" t="str">
        <f>"305-253-3805"</f>
        <v>305-253-3805</v>
      </c>
      <c r="E612" s="2" t="s">
        <v>3455</v>
      </c>
      <c r="F612" s="2" t="s">
        <v>3456</v>
      </c>
      <c r="G612" s="2" t="str">
        <f>"SR-1101"</f>
        <v>SR-1101</v>
      </c>
      <c r="H612" s="2" t="s">
        <v>3457</v>
      </c>
      <c r="I612" s="2" t="s">
        <v>3458</v>
      </c>
      <c r="K612" s="2" t="s">
        <v>2211</v>
      </c>
      <c r="L612" s="2" t="s">
        <v>208</v>
      </c>
      <c r="M612" s="2">
        <v>33176.0</v>
      </c>
      <c r="N612" s="2" t="s">
        <v>21</v>
      </c>
    </row>
    <row r="613" ht="15.75" customHeight="1">
      <c r="A613" s="2">
        <v>2013.0</v>
      </c>
      <c r="B613" s="2" t="s">
        <v>3459</v>
      </c>
      <c r="D613" s="2" t="str">
        <f t="shared" ref="D613:D614" si="11">"3178314339"</f>
        <v>3178314339</v>
      </c>
      <c r="E613" s="2" t="s">
        <v>3460</v>
      </c>
      <c r="F613" s="2" t="s">
        <v>3461</v>
      </c>
      <c r="G613" s="2" t="str">
        <f>"SR-1061"</f>
        <v>SR-1061</v>
      </c>
      <c r="H613" s="2" t="s">
        <v>3462</v>
      </c>
      <c r="I613" s="2" t="s">
        <v>3463</v>
      </c>
      <c r="K613" s="2" t="s">
        <v>3464</v>
      </c>
      <c r="L613" s="2" t="s">
        <v>149</v>
      </c>
      <c r="M613" s="2">
        <v>46158.0</v>
      </c>
      <c r="N613" s="2" t="s">
        <v>21</v>
      </c>
    </row>
    <row r="614" ht="15.75" customHeight="1">
      <c r="A614" s="2">
        <v>2013.0</v>
      </c>
      <c r="B614" s="2" t="s">
        <v>3459</v>
      </c>
      <c r="C614" s="2" t="s">
        <v>3465</v>
      </c>
      <c r="D614" s="2" t="str">
        <f t="shared" si="11"/>
        <v>3178314339</v>
      </c>
      <c r="E614" s="2" t="s">
        <v>2173</v>
      </c>
      <c r="F614" s="2" t="s">
        <v>3461</v>
      </c>
      <c r="G614" s="2" t="str">
        <f>"SR-1062"</f>
        <v>SR-1062</v>
      </c>
      <c r="H614" s="2" t="s">
        <v>3466</v>
      </c>
      <c r="I614" s="2" t="s">
        <v>3463</v>
      </c>
      <c r="K614" s="2" t="s">
        <v>3464</v>
      </c>
      <c r="L614" s="2" t="s">
        <v>149</v>
      </c>
      <c r="M614" s="2">
        <v>46158.0</v>
      </c>
      <c r="N614" s="2" t="s">
        <v>21</v>
      </c>
    </row>
    <row r="615" ht="15.75" customHeight="1">
      <c r="A615" s="2">
        <v>2013.0</v>
      </c>
      <c r="B615" s="2" t="s">
        <v>3467</v>
      </c>
      <c r="C615" s="2" t="s">
        <v>3467</v>
      </c>
      <c r="D615" s="2" t="str">
        <f>"7088906945"</f>
        <v>7088906945</v>
      </c>
      <c r="E615" s="2" t="s">
        <v>3468</v>
      </c>
      <c r="F615" s="2" t="s">
        <v>3469</v>
      </c>
      <c r="G615" s="2" t="str">
        <f>"SR-1037"</f>
        <v>SR-1037</v>
      </c>
      <c r="H615" s="2" t="s">
        <v>3470</v>
      </c>
      <c r="I615" s="2" t="s">
        <v>3471</v>
      </c>
      <c r="K615" s="2" t="s">
        <v>3472</v>
      </c>
      <c r="L615" s="2" t="s">
        <v>105</v>
      </c>
      <c r="M615" s="2">
        <v>60558.0</v>
      </c>
      <c r="N615" s="2" t="s">
        <v>21</v>
      </c>
    </row>
    <row r="616" ht="15.75" customHeight="1">
      <c r="A616" s="2">
        <v>2013.0</v>
      </c>
      <c r="B616" s="2" t="s">
        <v>3473</v>
      </c>
      <c r="C616" s="2" t="s">
        <v>3474</v>
      </c>
      <c r="D616" s="2" t="str">
        <f>"(618) 228-7228"</f>
        <v>(618) 228-7228</v>
      </c>
      <c r="E616" s="2" t="s">
        <v>203</v>
      </c>
      <c r="F616" s="2" t="s">
        <v>3475</v>
      </c>
      <c r="G616" s="2" t="str">
        <f>"SR-1103"</f>
        <v>SR-1103</v>
      </c>
      <c r="H616" s="2" t="s">
        <v>3476</v>
      </c>
      <c r="I616" s="2" t="s">
        <v>3477</v>
      </c>
      <c r="K616" s="2" t="s">
        <v>3478</v>
      </c>
      <c r="L616" s="2" t="s">
        <v>105</v>
      </c>
      <c r="M616" s="2">
        <v>62216.0</v>
      </c>
      <c r="N616" s="2" t="s">
        <v>21</v>
      </c>
    </row>
    <row r="617" ht="15.75" customHeight="1">
      <c r="A617" s="2">
        <v>2013.0</v>
      </c>
      <c r="B617" s="2" t="s">
        <v>3479</v>
      </c>
      <c r="C617" s="2" t="s">
        <v>3479</v>
      </c>
      <c r="D617" s="2" t="str">
        <f>"828-369-2450"</f>
        <v>828-369-2450</v>
      </c>
      <c r="E617" s="2" t="s">
        <v>3480</v>
      </c>
      <c r="F617" s="2" t="s">
        <v>3481</v>
      </c>
      <c r="G617" s="2" t="str">
        <f>"SR-697"</f>
        <v>SR-697</v>
      </c>
      <c r="H617" s="2" t="s">
        <v>3482</v>
      </c>
      <c r="I617" s="2" t="s">
        <v>3483</v>
      </c>
      <c r="K617" s="2" t="s">
        <v>278</v>
      </c>
      <c r="L617" s="2" t="s">
        <v>20</v>
      </c>
      <c r="M617" s="2">
        <v>28734.0</v>
      </c>
      <c r="N617" s="2" t="s">
        <v>21</v>
      </c>
    </row>
    <row r="618" ht="15.75" customHeight="1">
      <c r="A618" s="2">
        <v>2013.0</v>
      </c>
      <c r="B618" s="2" t="s">
        <v>3484</v>
      </c>
      <c r="D618" s="2" t="str">
        <f>"309.944.2328"</f>
        <v>309.944.2328</v>
      </c>
      <c r="E618" s="2" t="s">
        <v>2384</v>
      </c>
      <c r="F618" s="2" t="s">
        <v>3485</v>
      </c>
      <c r="G618" s="2" t="str">
        <f>"SR-1053"</f>
        <v>SR-1053</v>
      </c>
      <c r="H618" s="2" t="s">
        <v>3486</v>
      </c>
      <c r="I618" s="2" t="s">
        <v>3487</v>
      </c>
      <c r="K618" s="2" t="s">
        <v>3488</v>
      </c>
      <c r="L618" s="2" t="s">
        <v>105</v>
      </c>
      <c r="M618" s="2">
        <v>61277.0</v>
      </c>
      <c r="N618" s="2" t="s">
        <v>21</v>
      </c>
    </row>
    <row r="619" ht="15.75" customHeight="1">
      <c r="A619" s="2">
        <v>2013.0</v>
      </c>
      <c r="B619" s="2" t="s">
        <v>3489</v>
      </c>
      <c r="C619" s="2" t="s">
        <v>3489</v>
      </c>
      <c r="D619" s="2" t="str">
        <f>"3199810206"</f>
        <v>3199810206</v>
      </c>
      <c r="E619" s="2" t="s">
        <v>261</v>
      </c>
      <c r="F619" s="2" t="s">
        <v>3490</v>
      </c>
      <c r="G619" s="2" t="str">
        <f>"SR-1109"</f>
        <v>SR-1109</v>
      </c>
      <c r="H619" s="2" t="s">
        <v>3491</v>
      </c>
      <c r="I619" s="2" t="s">
        <v>3492</v>
      </c>
      <c r="K619" s="2" t="s">
        <v>3493</v>
      </c>
      <c r="L619" s="2" t="s">
        <v>560</v>
      </c>
      <c r="M619" s="2">
        <v>52302.0</v>
      </c>
      <c r="N619" s="2" t="s">
        <v>21</v>
      </c>
    </row>
    <row r="620" ht="15.75" customHeight="1">
      <c r="A620" s="2">
        <v>2013.0</v>
      </c>
      <c r="B620" s="2" t="s">
        <v>3494</v>
      </c>
      <c r="C620" s="2" t="s">
        <v>3494</v>
      </c>
      <c r="D620" s="2" t="str">
        <f>"319-270-3459"</f>
        <v>319-270-3459</v>
      </c>
      <c r="E620" s="2" t="s">
        <v>88</v>
      </c>
      <c r="F620" s="2" t="s">
        <v>1636</v>
      </c>
      <c r="G620" s="2" t="str">
        <f>"SR-1057"</f>
        <v>SR-1057</v>
      </c>
      <c r="H620" s="2" t="s">
        <v>3495</v>
      </c>
      <c r="I620" s="2" t="s">
        <v>3496</v>
      </c>
      <c r="K620" s="2" t="s">
        <v>3273</v>
      </c>
      <c r="L620" s="2" t="s">
        <v>560</v>
      </c>
      <c r="M620" s="2">
        <v>52402.0</v>
      </c>
      <c r="N620" s="2" t="s">
        <v>21</v>
      </c>
    </row>
    <row r="621" ht="15.75" customHeight="1">
      <c r="A621" s="2">
        <v>2013.0</v>
      </c>
      <c r="B621" s="2" t="s">
        <v>3497</v>
      </c>
      <c r="C621" s="2" t="s">
        <v>3498</v>
      </c>
      <c r="D621" s="2" t="str">
        <f>"614 257 9001"</f>
        <v>614 257 9001</v>
      </c>
      <c r="E621" s="2" t="s">
        <v>3499</v>
      </c>
      <c r="F621" s="2" t="s">
        <v>3500</v>
      </c>
      <c r="G621" s="2" t="str">
        <f>"SR-987"</f>
        <v>SR-987</v>
      </c>
      <c r="H621" s="2" t="s">
        <v>3501</v>
      </c>
      <c r="I621" s="2" t="s">
        <v>3502</v>
      </c>
      <c r="K621" s="2" t="s">
        <v>3503</v>
      </c>
      <c r="L621" s="2" t="s">
        <v>344</v>
      </c>
      <c r="M621" s="2">
        <v>43146.0</v>
      </c>
      <c r="N621" s="2" t="s">
        <v>21</v>
      </c>
    </row>
    <row r="622" ht="15.75" customHeight="1">
      <c r="A622" s="2">
        <v>2013.0</v>
      </c>
      <c r="B622" s="2" t="s">
        <v>3504</v>
      </c>
      <c r="C622" s="2" t="s">
        <v>3504</v>
      </c>
      <c r="D622" s="2" t="str">
        <f>"315-305-7231"</f>
        <v>315-305-7231</v>
      </c>
      <c r="E622" s="2" t="s">
        <v>167</v>
      </c>
      <c r="F622" s="2" t="s">
        <v>3505</v>
      </c>
      <c r="G622" s="2" t="str">
        <f>"SR-19"</f>
        <v>SR-19</v>
      </c>
      <c r="H622" s="2" t="s">
        <v>3506</v>
      </c>
      <c r="I622" s="2" t="s">
        <v>3507</v>
      </c>
      <c r="K622" s="2" t="s">
        <v>3508</v>
      </c>
      <c r="L622" s="2" t="s">
        <v>272</v>
      </c>
      <c r="M622" s="2">
        <v>67144.0</v>
      </c>
      <c r="N622" s="2" t="s">
        <v>21</v>
      </c>
    </row>
    <row r="623" ht="15.75" customHeight="1">
      <c r="A623" s="2">
        <v>2013.0</v>
      </c>
      <c r="B623" s="2" t="s">
        <v>3509</v>
      </c>
      <c r="C623" s="2" t="s">
        <v>3510</v>
      </c>
      <c r="D623" s="2" t="str">
        <f>"870-458-2195"</f>
        <v>870-458-2195</v>
      </c>
      <c r="E623" s="2" t="s">
        <v>3511</v>
      </c>
      <c r="F623" s="2" t="s">
        <v>3512</v>
      </c>
      <c r="G623" s="2" t="str">
        <f>"SR-1110"</f>
        <v>SR-1110</v>
      </c>
      <c r="H623" s="2" t="s">
        <v>3513</v>
      </c>
      <c r="I623" s="2" t="s">
        <v>3514</v>
      </c>
      <c r="K623" s="2" t="s">
        <v>1548</v>
      </c>
      <c r="L623" s="2" t="s">
        <v>1012</v>
      </c>
      <c r="M623" s="2">
        <v>72531.0</v>
      </c>
      <c r="N623" s="2" t="s">
        <v>21</v>
      </c>
    </row>
    <row r="624" ht="15.75" customHeight="1">
      <c r="A624" s="2">
        <v>2013.0</v>
      </c>
      <c r="B624" s="2" t="s">
        <v>3515</v>
      </c>
      <c r="C624" s="2" t="s">
        <v>3516</v>
      </c>
      <c r="D624" s="2" t="str">
        <f>"662-769-9263"</f>
        <v>662-769-9263</v>
      </c>
      <c r="E624" s="2" t="s">
        <v>239</v>
      </c>
      <c r="F624" s="2" t="s">
        <v>3517</v>
      </c>
      <c r="G624" s="2" t="str">
        <f>"SR-1096"</f>
        <v>SR-1096</v>
      </c>
      <c r="H624" s="2" t="s">
        <v>3518</v>
      </c>
      <c r="I624" s="2" t="s">
        <v>3519</v>
      </c>
      <c r="K624" s="2" t="s">
        <v>1901</v>
      </c>
      <c r="L624" s="2" t="s">
        <v>1722</v>
      </c>
      <c r="M624" s="2">
        <v>39759.0</v>
      </c>
      <c r="N624" s="2" t="s">
        <v>21</v>
      </c>
    </row>
    <row r="625" ht="15.75" customHeight="1">
      <c r="A625" s="2">
        <v>2013.0</v>
      </c>
      <c r="B625" s="2" t="s">
        <v>3520</v>
      </c>
      <c r="C625" s="2" t="s">
        <v>3520</v>
      </c>
      <c r="D625" s="2" t="str">
        <f>"2819923472"</f>
        <v>2819923472</v>
      </c>
      <c r="E625" s="2" t="s">
        <v>81</v>
      </c>
      <c r="F625" s="2" t="s">
        <v>3521</v>
      </c>
      <c r="G625" s="2" t="str">
        <f>"SR-472"</f>
        <v>SR-472</v>
      </c>
      <c r="H625" s="2" t="s">
        <v>3522</v>
      </c>
      <c r="I625" s="2" t="s">
        <v>3523</v>
      </c>
      <c r="K625" s="2" t="s">
        <v>3524</v>
      </c>
      <c r="L625" s="2" t="s">
        <v>172</v>
      </c>
      <c r="M625" s="2">
        <v>77546.0</v>
      </c>
      <c r="N625" s="2" t="s">
        <v>21</v>
      </c>
    </row>
    <row r="626" ht="15.75" customHeight="1">
      <c r="A626" s="2">
        <v>2013.0</v>
      </c>
      <c r="B626" s="2" t="s">
        <v>3525</v>
      </c>
      <c r="C626" s="2" t="s">
        <v>3526</v>
      </c>
      <c r="D626" s="2" t="str">
        <f>"(620) 218-8314"</f>
        <v>(620) 218-8314</v>
      </c>
      <c r="E626" s="2" t="s">
        <v>144</v>
      </c>
      <c r="F626" s="2" t="s">
        <v>3527</v>
      </c>
      <c r="G626" s="2" t="str">
        <f>"SR-1035"</f>
        <v>SR-1035</v>
      </c>
      <c r="H626" s="2" t="s">
        <v>3528</v>
      </c>
      <c r="I626" s="2" t="s">
        <v>3529</v>
      </c>
      <c r="K626" s="2" t="s">
        <v>3530</v>
      </c>
      <c r="L626" s="2" t="s">
        <v>272</v>
      </c>
      <c r="M626" s="2">
        <v>67156.0</v>
      </c>
      <c r="N626" s="2" t="s">
        <v>21</v>
      </c>
    </row>
    <row r="627" ht="15.75" customHeight="1">
      <c r="A627" s="2">
        <v>2013.0</v>
      </c>
      <c r="B627" s="2" t="s">
        <v>3531</v>
      </c>
      <c r="C627" s="2" t="s">
        <v>3532</v>
      </c>
      <c r="D627" s="2" t="str">
        <f>"719-942-3122"</f>
        <v>719-942-3122</v>
      </c>
      <c r="E627" s="2" t="s">
        <v>1114</v>
      </c>
      <c r="F627" s="2" t="s">
        <v>3533</v>
      </c>
      <c r="G627" s="2" t="str">
        <f>"SR-1024"</f>
        <v>SR-1024</v>
      </c>
      <c r="H627" s="2" t="s">
        <v>3534</v>
      </c>
      <c r="I627" s="2" t="s">
        <v>3535</v>
      </c>
      <c r="K627" s="2" t="s">
        <v>3536</v>
      </c>
      <c r="L627" s="2" t="s">
        <v>157</v>
      </c>
      <c r="M627" s="2">
        <v>81223.0</v>
      </c>
      <c r="N627" s="2" t="s">
        <v>21</v>
      </c>
    </row>
    <row r="628" ht="15.75" customHeight="1">
      <c r="A628" s="2">
        <v>2013.0</v>
      </c>
      <c r="B628" s="2" t="s">
        <v>3537</v>
      </c>
      <c r="C628" s="2" t="s">
        <v>3538</v>
      </c>
      <c r="D628" s="2" t="str">
        <f>"618-529-1369"</f>
        <v>618-529-1369</v>
      </c>
      <c r="E628" s="2" t="s">
        <v>385</v>
      </c>
      <c r="F628" s="2" t="s">
        <v>3539</v>
      </c>
      <c r="G628" s="2" t="str">
        <f>"SR-1112"</f>
        <v>SR-1112</v>
      </c>
      <c r="H628" s="2" t="s">
        <v>3540</v>
      </c>
      <c r="I628" s="2" t="s">
        <v>3541</v>
      </c>
      <c r="K628" s="2" t="s">
        <v>3542</v>
      </c>
      <c r="L628" s="2" t="s">
        <v>105</v>
      </c>
      <c r="M628" s="2">
        <v>62901.0</v>
      </c>
      <c r="N628" s="2" t="s">
        <v>21</v>
      </c>
    </row>
    <row r="629" ht="15.75" customHeight="1">
      <c r="A629" s="2">
        <v>2013.0</v>
      </c>
      <c r="B629" s="2" t="s">
        <v>3543</v>
      </c>
      <c r="C629" s="2" t="s">
        <v>3544</v>
      </c>
      <c r="D629" s="2" t="str">
        <f>"406-696-2898"</f>
        <v>406-696-2898</v>
      </c>
      <c r="E629" s="2" t="s">
        <v>167</v>
      </c>
      <c r="F629" s="2" t="s">
        <v>3545</v>
      </c>
      <c r="G629" s="2" t="str">
        <f>"SR-1117"</f>
        <v>SR-1117</v>
      </c>
      <c r="H629" s="2" t="s">
        <v>3546</v>
      </c>
      <c r="I629" s="2" t="s">
        <v>3547</v>
      </c>
      <c r="K629" s="2" t="s">
        <v>3548</v>
      </c>
      <c r="L629" s="2" t="s">
        <v>2696</v>
      </c>
      <c r="M629" s="2">
        <v>59105.0</v>
      </c>
      <c r="N629" s="2" t="s">
        <v>21</v>
      </c>
    </row>
    <row r="630" ht="15.75" customHeight="1">
      <c r="A630" s="2">
        <v>2013.0</v>
      </c>
      <c r="B630" s="2" t="s">
        <v>3549</v>
      </c>
      <c r="C630" s="2" t="s">
        <v>3550</v>
      </c>
      <c r="D630" s="2" t="str">
        <f>"425-778-9054"</f>
        <v>425-778-9054</v>
      </c>
      <c r="E630" s="2" t="s">
        <v>1263</v>
      </c>
      <c r="F630" s="2" t="s">
        <v>3551</v>
      </c>
      <c r="G630" s="2" t="str">
        <f>"SR-932"</f>
        <v>SR-932</v>
      </c>
      <c r="H630" s="2" t="s">
        <v>3552</v>
      </c>
      <c r="I630" s="2" t="s">
        <v>3553</v>
      </c>
      <c r="K630" s="2" t="s">
        <v>965</v>
      </c>
      <c r="L630" s="2" t="s">
        <v>86</v>
      </c>
      <c r="M630" s="2">
        <v>98037.0</v>
      </c>
      <c r="N630" s="2" t="s">
        <v>21</v>
      </c>
    </row>
    <row r="631" ht="15.75" customHeight="1">
      <c r="A631" s="2">
        <v>2013.0</v>
      </c>
      <c r="B631" s="2" t="s">
        <v>3554</v>
      </c>
      <c r="C631" s="2" t="s">
        <v>3554</v>
      </c>
      <c r="D631" s="2" t="str">
        <f>"3033041070"</f>
        <v>3033041070</v>
      </c>
      <c r="E631" s="2" t="s">
        <v>3555</v>
      </c>
      <c r="F631" s="2" t="s">
        <v>3556</v>
      </c>
      <c r="G631" s="2" t="str">
        <f>"SR-1123"</f>
        <v>SR-1123</v>
      </c>
      <c r="H631" s="2" t="s">
        <v>3557</v>
      </c>
      <c r="I631" s="2" t="s">
        <v>3558</v>
      </c>
      <c r="K631" s="2" t="s">
        <v>2317</v>
      </c>
      <c r="L631" s="2" t="s">
        <v>157</v>
      </c>
      <c r="M631" s="2">
        <v>80504.0</v>
      </c>
      <c r="N631" s="2" t="s">
        <v>21</v>
      </c>
    </row>
    <row r="632" ht="15.75" customHeight="1">
      <c r="A632" s="2">
        <v>2013.0</v>
      </c>
      <c r="B632" s="2" t="s">
        <v>3559</v>
      </c>
      <c r="C632" s="2" t="s">
        <v>3559</v>
      </c>
      <c r="D632" s="2" t="str">
        <f>"806-791-2187"</f>
        <v>806-791-2187</v>
      </c>
      <c r="E632" s="2" t="s">
        <v>3560</v>
      </c>
      <c r="F632" s="2" t="s">
        <v>3561</v>
      </c>
      <c r="G632" s="2" t="str">
        <f>"SR-605"</f>
        <v>SR-605</v>
      </c>
      <c r="H632" s="2" t="s">
        <v>3562</v>
      </c>
      <c r="I632" s="2" t="s">
        <v>3563</v>
      </c>
      <c r="K632" s="2" t="s">
        <v>1121</v>
      </c>
      <c r="L632" s="2" t="s">
        <v>172</v>
      </c>
      <c r="M632" s="2">
        <v>79423.0</v>
      </c>
      <c r="N632" s="2" t="s">
        <v>21</v>
      </c>
    </row>
    <row r="633" ht="15.75" customHeight="1">
      <c r="A633" s="2">
        <v>2013.0</v>
      </c>
      <c r="B633" s="2" t="s">
        <v>3564</v>
      </c>
      <c r="C633" s="2" t="s">
        <v>3564</v>
      </c>
      <c r="D633" s="2" t="str">
        <f>"515 244 0044"</f>
        <v>515 244 0044</v>
      </c>
      <c r="E633" s="2" t="s">
        <v>1810</v>
      </c>
      <c r="F633" s="2" t="s">
        <v>3565</v>
      </c>
      <c r="G633" s="2" t="str">
        <f>"SR-1122"</f>
        <v>SR-1122</v>
      </c>
      <c r="H633" s="2" t="s">
        <v>3566</v>
      </c>
      <c r="I633" s="2" t="s">
        <v>3567</v>
      </c>
      <c r="K633" s="2" t="s">
        <v>1996</v>
      </c>
      <c r="L633" s="2" t="s">
        <v>560</v>
      </c>
      <c r="M633" s="2">
        <v>50321.0</v>
      </c>
      <c r="N633" s="2" t="s">
        <v>21</v>
      </c>
    </row>
    <row r="634" ht="15.75" customHeight="1">
      <c r="A634" s="2">
        <v>2013.0</v>
      </c>
      <c r="B634" s="2" t="s">
        <v>3568</v>
      </c>
      <c r="C634" s="2" t="s">
        <v>3569</v>
      </c>
      <c r="D634" s="2" t="str">
        <f>"479-795-0061"</f>
        <v>479-795-0061</v>
      </c>
      <c r="E634" s="2" t="s">
        <v>1088</v>
      </c>
      <c r="F634" s="2" t="s">
        <v>3570</v>
      </c>
      <c r="G634" s="2" t="str">
        <f>"SR-1126"</f>
        <v>SR-1126</v>
      </c>
      <c r="H634" s="2" t="s">
        <v>3571</v>
      </c>
      <c r="I634" s="2" t="s">
        <v>3572</v>
      </c>
      <c r="K634" s="2" t="s">
        <v>3573</v>
      </c>
      <c r="L634" s="2" t="s">
        <v>1012</v>
      </c>
      <c r="M634" s="2">
        <v>72712.0</v>
      </c>
      <c r="N634" s="2" t="s">
        <v>21</v>
      </c>
    </row>
    <row r="635" ht="15.75" customHeight="1">
      <c r="A635" s="2">
        <v>2013.0</v>
      </c>
      <c r="B635" s="2" t="s">
        <v>3574</v>
      </c>
      <c r="C635" s="2" t="s">
        <v>3575</v>
      </c>
      <c r="D635" s="2" t="str">
        <f>"515-943-4878"</f>
        <v>515-943-4878</v>
      </c>
      <c r="E635" s="2" t="s">
        <v>1032</v>
      </c>
      <c r="F635" s="2" t="s">
        <v>3576</v>
      </c>
      <c r="G635" s="2" t="str">
        <f>"SR-1127"</f>
        <v>SR-1127</v>
      </c>
      <c r="H635" s="2" t="s">
        <v>3577</v>
      </c>
      <c r="I635" s="2" t="s">
        <v>3578</v>
      </c>
      <c r="K635" s="2" t="s">
        <v>3050</v>
      </c>
      <c r="L635" s="2" t="s">
        <v>560</v>
      </c>
      <c r="M635" s="2">
        <v>50322.0</v>
      </c>
      <c r="N635" s="2" t="s">
        <v>21</v>
      </c>
    </row>
    <row r="636" ht="15.75" customHeight="1">
      <c r="A636" s="2">
        <v>2013.0</v>
      </c>
      <c r="B636" s="2" t="s">
        <v>3579</v>
      </c>
      <c r="C636" s="2" t="s">
        <v>3579</v>
      </c>
      <c r="D636" s="2" t="str">
        <f>"704-541-2807"</f>
        <v>704-541-2807</v>
      </c>
      <c r="E636" s="2" t="s">
        <v>3196</v>
      </c>
      <c r="F636" s="2" t="s">
        <v>3580</v>
      </c>
      <c r="G636" s="2" t="str">
        <f>"SR-1130"</f>
        <v>SR-1130</v>
      </c>
      <c r="H636" s="2" t="s">
        <v>3581</v>
      </c>
      <c r="I636" s="2" t="s">
        <v>3582</v>
      </c>
      <c r="K636" s="2" t="s">
        <v>19</v>
      </c>
      <c r="L636" s="2" t="s">
        <v>20</v>
      </c>
      <c r="M636" s="2">
        <v>28277.0</v>
      </c>
      <c r="N636" s="2" t="s">
        <v>21</v>
      </c>
    </row>
    <row r="637" ht="15.75" customHeight="1">
      <c r="A637" s="2">
        <v>2013.0</v>
      </c>
      <c r="B637" s="2" t="s">
        <v>3583</v>
      </c>
      <c r="C637" s="2" t="s">
        <v>3584</v>
      </c>
      <c r="D637" s="2" t="str">
        <f>"913-648-5225"</f>
        <v>913-648-5225</v>
      </c>
      <c r="E637" s="2" t="s">
        <v>3585</v>
      </c>
      <c r="F637" s="2" t="s">
        <v>320</v>
      </c>
      <c r="G637" s="2" t="str">
        <f>"SR-1133"</f>
        <v>SR-1133</v>
      </c>
      <c r="H637" s="2" t="s">
        <v>3586</v>
      </c>
      <c r="I637" s="2" t="s">
        <v>3587</v>
      </c>
      <c r="K637" s="2" t="s">
        <v>3588</v>
      </c>
      <c r="L637" s="2" t="s">
        <v>272</v>
      </c>
      <c r="M637" s="2">
        <v>66216.0</v>
      </c>
      <c r="N637" s="2" t="s">
        <v>21</v>
      </c>
    </row>
    <row r="638" ht="15.75" customHeight="1">
      <c r="A638" s="2">
        <v>2013.0</v>
      </c>
      <c r="B638" s="2" t="s">
        <v>3589</v>
      </c>
      <c r="C638" s="2" t="s">
        <v>3589</v>
      </c>
      <c r="D638" s="2" t="str">
        <f>"315-486-3742"</f>
        <v>315-486-3742</v>
      </c>
      <c r="E638" s="2" t="s">
        <v>1076</v>
      </c>
      <c r="F638" s="2" t="s">
        <v>3590</v>
      </c>
      <c r="G638" s="2" t="str">
        <f>"SR-285"</f>
        <v>SR-285</v>
      </c>
      <c r="H638" s="2" t="s">
        <v>3591</v>
      </c>
      <c r="I638" s="2" t="s">
        <v>3592</v>
      </c>
      <c r="K638" s="2" t="s">
        <v>3593</v>
      </c>
      <c r="L638" s="2" t="s">
        <v>142</v>
      </c>
      <c r="M638" s="2">
        <v>13367.0</v>
      </c>
      <c r="N638" s="2" t="s">
        <v>21</v>
      </c>
    </row>
    <row r="639" ht="15.75" customHeight="1">
      <c r="A639" s="2">
        <v>2013.0</v>
      </c>
      <c r="B639" s="2" t="s">
        <v>3594</v>
      </c>
      <c r="C639" s="2" t="s">
        <v>3594</v>
      </c>
      <c r="D639" s="2" t="str">
        <f>"(618) 228-7228"</f>
        <v>(618) 228-7228</v>
      </c>
      <c r="E639" s="2" t="s">
        <v>705</v>
      </c>
      <c r="F639" s="2" t="s">
        <v>3475</v>
      </c>
      <c r="G639" s="2" t="str">
        <f>"SR-1131"</f>
        <v>SR-1131</v>
      </c>
      <c r="H639" s="2" t="s">
        <v>3595</v>
      </c>
      <c r="I639" s="2" t="s">
        <v>3477</v>
      </c>
      <c r="K639" s="2" t="s">
        <v>3478</v>
      </c>
      <c r="L639" s="2" t="s">
        <v>105</v>
      </c>
      <c r="M639" s="2">
        <v>62216.0</v>
      </c>
      <c r="N639" s="2" t="s">
        <v>21</v>
      </c>
    </row>
    <row r="640" ht="15.75" customHeight="1">
      <c r="A640" s="2">
        <v>2013.0</v>
      </c>
      <c r="B640" s="2" t="s">
        <v>3596</v>
      </c>
      <c r="C640" s="2" t="s">
        <v>3596</v>
      </c>
      <c r="D640" s="2" t="str">
        <f>"719-659-1736"</f>
        <v>719-659-1736</v>
      </c>
      <c r="E640" s="2" t="s">
        <v>3597</v>
      </c>
      <c r="F640" s="2" t="s">
        <v>3598</v>
      </c>
      <c r="G640" s="2" t="str">
        <f>"SR-1134"</f>
        <v>SR-1134</v>
      </c>
      <c r="H640" s="2" t="s">
        <v>3599</v>
      </c>
      <c r="I640" s="2" t="s">
        <v>3600</v>
      </c>
      <c r="K640" s="2" t="s">
        <v>809</v>
      </c>
      <c r="L640" s="2" t="s">
        <v>157</v>
      </c>
      <c r="M640" s="2">
        <v>80919.0</v>
      </c>
      <c r="N640" s="2" t="s">
        <v>21</v>
      </c>
    </row>
    <row r="641" ht="15.75" customHeight="1">
      <c r="A641" s="2">
        <v>2013.0</v>
      </c>
      <c r="B641" s="2" t="s">
        <v>3601</v>
      </c>
      <c r="C641" s="2" t="s">
        <v>3602</v>
      </c>
      <c r="D641" s="2" t="str">
        <f>"720-470-3305"</f>
        <v>720-470-3305</v>
      </c>
      <c r="E641" s="2" t="s">
        <v>3603</v>
      </c>
      <c r="F641" s="2" t="s">
        <v>3604</v>
      </c>
      <c r="G641" s="2" t="str">
        <f>"SR-1135"</f>
        <v>SR-1135</v>
      </c>
      <c r="H641" s="2" t="s">
        <v>3605</v>
      </c>
      <c r="I641" s="2" t="s">
        <v>3606</v>
      </c>
      <c r="K641" s="2" t="s">
        <v>2317</v>
      </c>
      <c r="L641" s="2" t="s">
        <v>157</v>
      </c>
      <c r="M641" s="2">
        <v>80504.0</v>
      </c>
      <c r="N641" s="2" t="s">
        <v>21</v>
      </c>
    </row>
    <row r="642" ht="15.75" customHeight="1">
      <c r="A642" s="2">
        <v>2013.0</v>
      </c>
      <c r="B642" s="2" t="s">
        <v>3607</v>
      </c>
      <c r="D642" s="2" t="str">
        <f>"541-889-4552"</f>
        <v>541-889-4552</v>
      </c>
      <c r="E642" s="2" t="s">
        <v>3608</v>
      </c>
      <c r="F642" s="2" t="s">
        <v>3609</v>
      </c>
      <c r="G642" s="2" t="str">
        <f>"SR-922"</f>
        <v>SR-922</v>
      </c>
      <c r="H642" s="2" t="s">
        <v>3610</v>
      </c>
      <c r="I642" s="2" t="s">
        <v>3611</v>
      </c>
      <c r="K642" s="2" t="s">
        <v>2015</v>
      </c>
      <c r="L642" s="2" t="s">
        <v>2389</v>
      </c>
      <c r="M642" s="2">
        <v>97914.0</v>
      </c>
      <c r="N642" s="2" t="s">
        <v>21</v>
      </c>
    </row>
    <row r="643" ht="15.75" customHeight="1">
      <c r="A643" s="2">
        <v>2013.0</v>
      </c>
      <c r="B643" s="2" t="s">
        <v>3612</v>
      </c>
      <c r="C643" s="2" t="s">
        <v>3613</v>
      </c>
      <c r="D643" s="2" t="str">
        <f>"973-897-8705"</f>
        <v>973-897-8705</v>
      </c>
      <c r="E643" s="2" t="s">
        <v>81</v>
      </c>
      <c r="F643" s="2" t="s">
        <v>3614</v>
      </c>
      <c r="G643" s="2" t="str">
        <f>"SR-951"</f>
        <v>SR-951</v>
      </c>
      <c r="H643" s="2" t="s">
        <v>3615</v>
      </c>
      <c r="I643" s="2" t="s">
        <v>3616</v>
      </c>
      <c r="K643" s="2" t="s">
        <v>3617</v>
      </c>
      <c r="L643" s="2" t="s">
        <v>3618</v>
      </c>
      <c r="M643" s="2">
        <v>7456.0</v>
      </c>
      <c r="N643" s="2" t="s">
        <v>21</v>
      </c>
    </row>
    <row r="644" ht="15.75" customHeight="1">
      <c r="A644" s="2">
        <v>2013.0</v>
      </c>
      <c r="B644" s="2" t="s">
        <v>3607</v>
      </c>
      <c r="D644" s="2" t="str">
        <f>"541-212-5291"</f>
        <v>541-212-5291</v>
      </c>
      <c r="E644" s="2" t="s">
        <v>1918</v>
      </c>
      <c r="F644" s="2" t="s">
        <v>3619</v>
      </c>
      <c r="G644" s="2" t="str">
        <f>"SR-964"</f>
        <v>SR-964</v>
      </c>
      <c r="H644" s="2" t="s">
        <v>3620</v>
      </c>
      <c r="I644" s="2" t="s">
        <v>3621</v>
      </c>
      <c r="K644" s="2" t="s">
        <v>2015</v>
      </c>
      <c r="L644" s="2" t="s">
        <v>2389</v>
      </c>
      <c r="M644" s="2">
        <v>97914.0</v>
      </c>
      <c r="N644" s="2" t="s">
        <v>21</v>
      </c>
    </row>
    <row r="645" ht="15.75" customHeight="1">
      <c r="A645" s="2">
        <v>2013.0</v>
      </c>
      <c r="B645" s="2" t="s">
        <v>3607</v>
      </c>
      <c r="D645" s="2" t="str">
        <f>"541-889-0797"</f>
        <v>541-889-0797</v>
      </c>
      <c r="E645" s="2" t="s">
        <v>3622</v>
      </c>
      <c r="F645" s="2" t="s">
        <v>128</v>
      </c>
      <c r="G645" s="2" t="str">
        <f>"SR-965"</f>
        <v>SR-965</v>
      </c>
      <c r="H645" s="2" t="s">
        <v>3623</v>
      </c>
      <c r="I645" s="2" t="s">
        <v>3624</v>
      </c>
      <c r="K645" s="2" t="s">
        <v>2015</v>
      </c>
      <c r="L645" s="2" t="s">
        <v>2389</v>
      </c>
      <c r="M645" s="2">
        <v>97914.0</v>
      </c>
      <c r="N645" s="2" t="s">
        <v>21</v>
      </c>
    </row>
    <row r="646" ht="15.75" customHeight="1">
      <c r="A646" s="2">
        <v>2013.0</v>
      </c>
      <c r="B646" s="2" t="s">
        <v>3625</v>
      </c>
      <c r="C646" s="2" t="s">
        <v>3626</v>
      </c>
      <c r="D646" s="2" t="str">
        <f>"865-475-9795"</f>
        <v>865-475-9795</v>
      </c>
      <c r="E646" s="2" t="s">
        <v>160</v>
      </c>
      <c r="F646" s="2" t="s">
        <v>3627</v>
      </c>
      <c r="G646" s="2" t="str">
        <f>"SR-1145"</f>
        <v>SR-1145</v>
      </c>
      <c r="H646" s="2" t="s">
        <v>3628</v>
      </c>
      <c r="I646" s="2" t="s">
        <v>3629</v>
      </c>
      <c r="K646" s="2" t="s">
        <v>3630</v>
      </c>
      <c r="L646" s="2" t="s">
        <v>279</v>
      </c>
      <c r="M646" s="2">
        <v>37820.0</v>
      </c>
      <c r="N646" s="2" t="s">
        <v>21</v>
      </c>
    </row>
    <row r="647" ht="15.75" customHeight="1">
      <c r="A647" s="2">
        <v>2013.0</v>
      </c>
      <c r="B647" s="2" t="s">
        <v>3631</v>
      </c>
      <c r="C647" s="2" t="s">
        <v>3631</v>
      </c>
      <c r="D647" s="2" t="str">
        <f>"208-305-8984"</f>
        <v>208-305-8984</v>
      </c>
      <c r="E647" s="2" t="s">
        <v>24</v>
      </c>
      <c r="F647" s="2" t="s">
        <v>3632</v>
      </c>
      <c r="G647" s="2" t="str">
        <f>"SR-1140"</f>
        <v>SR-1140</v>
      </c>
      <c r="H647" s="2" t="s">
        <v>3633</v>
      </c>
      <c r="I647" s="2" t="s">
        <v>3634</v>
      </c>
      <c r="K647" s="2" t="s">
        <v>3635</v>
      </c>
      <c r="L647" s="2" t="s">
        <v>2613</v>
      </c>
      <c r="M647" s="2">
        <v>83823.0</v>
      </c>
      <c r="N647" s="2" t="s">
        <v>21</v>
      </c>
    </row>
    <row r="648" ht="15.75" customHeight="1">
      <c r="A648" s="2">
        <v>2013.0</v>
      </c>
      <c r="B648" s="2" t="s">
        <v>3636</v>
      </c>
      <c r="C648" s="2" t="s">
        <v>3637</v>
      </c>
      <c r="D648" s="2" t="str">
        <f>"580-475-4119"</f>
        <v>580-475-4119</v>
      </c>
      <c r="E648" s="2" t="s">
        <v>1190</v>
      </c>
      <c r="F648" s="2" t="s">
        <v>1892</v>
      </c>
      <c r="G648" s="2" t="str">
        <f>"SR-855"</f>
        <v>SR-855</v>
      </c>
      <c r="H648" s="2" t="s">
        <v>3638</v>
      </c>
      <c r="I648" s="2" t="s">
        <v>1894</v>
      </c>
      <c r="K648" s="2" t="s">
        <v>1895</v>
      </c>
      <c r="L648" s="2" t="s">
        <v>840</v>
      </c>
      <c r="M648" s="2">
        <v>73717.0</v>
      </c>
      <c r="N648" s="2" t="s">
        <v>21</v>
      </c>
    </row>
    <row r="649" ht="15.75" customHeight="1">
      <c r="A649" s="2">
        <v>2013.0</v>
      </c>
      <c r="B649" s="2" t="s">
        <v>3639</v>
      </c>
      <c r="C649" s="2" t="s">
        <v>3639</v>
      </c>
      <c r="D649" s="2" t="str">
        <f>"3038958380"</f>
        <v>3038958380</v>
      </c>
      <c r="E649" s="2" t="s">
        <v>3640</v>
      </c>
      <c r="F649" s="2" t="s">
        <v>1718</v>
      </c>
      <c r="G649" s="2" t="str">
        <f>"SR-639"</f>
        <v>SR-639</v>
      </c>
      <c r="H649" s="2" t="s">
        <v>3641</v>
      </c>
      <c r="I649" s="2" t="s">
        <v>3642</v>
      </c>
      <c r="K649" s="2" t="s">
        <v>2317</v>
      </c>
      <c r="L649" s="2" t="s">
        <v>157</v>
      </c>
      <c r="M649" s="2">
        <v>80504.0</v>
      </c>
      <c r="N649" s="2" t="s">
        <v>21</v>
      </c>
    </row>
    <row r="650" ht="15.75" customHeight="1">
      <c r="A650" s="2">
        <v>2013.0</v>
      </c>
      <c r="B650" s="2" t="s">
        <v>3643</v>
      </c>
      <c r="C650" s="2" t="s">
        <v>3644</v>
      </c>
      <c r="D650" s="2" t="str">
        <f>"507-359-9530"</f>
        <v>507-359-9530</v>
      </c>
      <c r="E650" s="2" t="s">
        <v>57</v>
      </c>
      <c r="F650" s="2" t="s">
        <v>3645</v>
      </c>
      <c r="G650" s="2" t="str">
        <f>"SR-1136"</f>
        <v>SR-1136</v>
      </c>
      <c r="H650" s="2" t="s">
        <v>3646</v>
      </c>
      <c r="I650" s="2" t="s">
        <v>3647</v>
      </c>
      <c r="K650" s="2" t="s">
        <v>3648</v>
      </c>
      <c r="L650" s="2" t="s">
        <v>62</v>
      </c>
      <c r="M650" s="2">
        <v>56073.0</v>
      </c>
      <c r="N650" s="2" t="s">
        <v>21</v>
      </c>
    </row>
    <row r="651" ht="15.75" customHeight="1">
      <c r="A651" s="2">
        <v>2013.0</v>
      </c>
      <c r="B651" s="2" t="s">
        <v>3649</v>
      </c>
      <c r="C651" s="2" t="s">
        <v>3649</v>
      </c>
      <c r="D651" s="2" t="str">
        <f>"225-772-1587"</f>
        <v>225-772-1587</v>
      </c>
      <c r="E651" s="2" t="s">
        <v>3650</v>
      </c>
      <c r="F651" s="2" t="s">
        <v>3651</v>
      </c>
      <c r="G651" s="2" t="str">
        <f>"SR-1147"</f>
        <v>SR-1147</v>
      </c>
      <c r="H651" s="2" t="s">
        <v>3652</v>
      </c>
      <c r="I651" s="2" t="s">
        <v>3653</v>
      </c>
      <c r="K651" s="2" t="s">
        <v>3654</v>
      </c>
      <c r="L651" s="2" t="s">
        <v>715</v>
      </c>
      <c r="M651" s="2">
        <v>70808.0</v>
      </c>
      <c r="N651" s="2" t="s">
        <v>21</v>
      </c>
    </row>
    <row r="652" ht="15.75" customHeight="1">
      <c r="A652" s="2">
        <v>2013.0</v>
      </c>
      <c r="B652" s="2" t="s">
        <v>3655</v>
      </c>
      <c r="C652" s="2" t="s">
        <v>3655</v>
      </c>
      <c r="D652" s="2" t="str">
        <f>"720-987-4454"</f>
        <v>720-987-4454</v>
      </c>
      <c r="E652" s="2" t="s">
        <v>339</v>
      </c>
      <c r="F652" s="2" t="s">
        <v>3656</v>
      </c>
      <c r="G652" s="2" t="str">
        <f>"SR-1149"</f>
        <v>SR-1149</v>
      </c>
      <c r="H652" s="2" t="s">
        <v>3657</v>
      </c>
      <c r="I652" s="2" t="s">
        <v>3658</v>
      </c>
      <c r="K652" s="2" t="s">
        <v>2317</v>
      </c>
      <c r="L652" s="2" t="s">
        <v>157</v>
      </c>
      <c r="M652" s="2">
        <v>80503.0</v>
      </c>
      <c r="N652" s="2" t="s">
        <v>21</v>
      </c>
    </row>
    <row r="653" ht="15.75" customHeight="1">
      <c r="A653" s="2">
        <v>2013.0</v>
      </c>
      <c r="B653" s="2" t="s">
        <v>3659</v>
      </c>
      <c r="C653" s="2" t="s">
        <v>3659</v>
      </c>
      <c r="D653" s="2" t="str">
        <f>"318-255-4345"</f>
        <v>318-255-4345</v>
      </c>
      <c r="E653" s="2" t="s">
        <v>217</v>
      </c>
      <c r="F653" s="2" t="s">
        <v>639</v>
      </c>
      <c r="G653" s="2" t="str">
        <f>"SR-687"</f>
        <v>SR-687</v>
      </c>
      <c r="H653" s="2" t="s">
        <v>3660</v>
      </c>
      <c r="I653" s="2" t="s">
        <v>3661</v>
      </c>
      <c r="K653" s="2" t="s">
        <v>714</v>
      </c>
      <c r="L653" s="2" t="s">
        <v>715</v>
      </c>
      <c r="M653" s="2">
        <v>71270.0</v>
      </c>
      <c r="N653" s="2" t="s">
        <v>21</v>
      </c>
    </row>
    <row r="654" ht="15.75" customHeight="1">
      <c r="A654" s="2">
        <v>2013.0</v>
      </c>
      <c r="B654" s="2" t="s">
        <v>3662</v>
      </c>
      <c r="C654" s="2" t="s">
        <v>3663</v>
      </c>
      <c r="D654" s="2" t="str">
        <f>"507-354-8250"</f>
        <v>507-354-8250</v>
      </c>
      <c r="E654" s="2" t="s">
        <v>580</v>
      </c>
      <c r="F654" s="2" t="s">
        <v>3664</v>
      </c>
      <c r="G654" s="2" t="str">
        <f>"SR-1151"</f>
        <v>SR-1151</v>
      </c>
      <c r="H654" s="2" t="s">
        <v>3665</v>
      </c>
      <c r="I654" s="2" t="s">
        <v>3666</v>
      </c>
      <c r="K654" s="2" t="s">
        <v>3648</v>
      </c>
      <c r="L654" s="2" t="s">
        <v>62</v>
      </c>
      <c r="M654" s="2">
        <v>56073.0</v>
      </c>
      <c r="N654" s="2" t="s">
        <v>21</v>
      </c>
    </row>
    <row r="655" ht="15.75" customHeight="1">
      <c r="A655" s="2">
        <v>2013.0</v>
      </c>
      <c r="B655" s="2" t="s">
        <v>3667</v>
      </c>
      <c r="D655" s="2" t="str">
        <f>"479 705-0287"</f>
        <v>479 705-0287</v>
      </c>
      <c r="E655" s="2" t="s">
        <v>3668</v>
      </c>
      <c r="F655" s="2" t="s">
        <v>639</v>
      </c>
      <c r="G655" s="2" t="str">
        <f>"SR-1156"</f>
        <v>SR-1156</v>
      </c>
      <c r="H655" s="2" t="s">
        <v>3669</v>
      </c>
      <c r="I655" s="2" t="s">
        <v>3670</v>
      </c>
      <c r="K655" s="2" t="s">
        <v>3671</v>
      </c>
      <c r="L655" s="2" t="s">
        <v>1012</v>
      </c>
      <c r="M655" s="2">
        <v>72830.0</v>
      </c>
      <c r="N655" s="2" t="s">
        <v>21</v>
      </c>
    </row>
    <row r="656" ht="15.75" customHeight="1">
      <c r="A656" s="2">
        <v>2013.0</v>
      </c>
      <c r="B656" s="2" t="s">
        <v>3672</v>
      </c>
      <c r="C656" s="2" t="s">
        <v>3673</v>
      </c>
      <c r="D656" s="2" t="str">
        <f>"972-935-8880"</f>
        <v>972-935-8880</v>
      </c>
      <c r="E656" s="2" t="s">
        <v>203</v>
      </c>
      <c r="F656" s="2" t="s">
        <v>3674</v>
      </c>
      <c r="G656" s="2" t="str">
        <f>"SR-1155"</f>
        <v>SR-1155</v>
      </c>
      <c r="H656" s="2" t="s">
        <v>3675</v>
      </c>
      <c r="I656" s="2" t="s">
        <v>3676</v>
      </c>
      <c r="K656" s="2" t="s">
        <v>3677</v>
      </c>
      <c r="L656" s="2" t="s">
        <v>172</v>
      </c>
      <c r="M656" s="2">
        <v>75165.0</v>
      </c>
      <c r="N656" s="2" t="s">
        <v>21</v>
      </c>
    </row>
    <row r="657" ht="15.75" customHeight="1">
      <c r="A657" s="2">
        <v>2013.0</v>
      </c>
      <c r="B657" s="2" t="s">
        <v>3678</v>
      </c>
      <c r="C657" s="2" t="s">
        <v>3678</v>
      </c>
      <c r="D657" s="2" t="str">
        <f>"16202299804"</f>
        <v>16202299804</v>
      </c>
      <c r="E657" s="2" t="s">
        <v>3679</v>
      </c>
      <c r="F657" s="2" t="s">
        <v>256</v>
      </c>
      <c r="G657" s="2" t="str">
        <f>"SR-345"</f>
        <v>SR-345</v>
      </c>
      <c r="H657" s="2" t="s">
        <v>3680</v>
      </c>
      <c r="I657" s="2" t="s">
        <v>3681</v>
      </c>
      <c r="K657" s="2" t="s">
        <v>3530</v>
      </c>
      <c r="L657" s="2" t="s">
        <v>272</v>
      </c>
      <c r="M657" s="2">
        <v>67156.0</v>
      </c>
      <c r="N657" s="2" t="s">
        <v>21</v>
      </c>
    </row>
    <row r="658" ht="15.75" customHeight="1">
      <c r="A658" s="2">
        <v>2013.0</v>
      </c>
      <c r="B658" s="2" t="s">
        <v>3682</v>
      </c>
      <c r="C658" s="2" t="s">
        <v>3682</v>
      </c>
      <c r="D658" s="2" t="str">
        <f>"719-765-4784"</f>
        <v>719-765-4784</v>
      </c>
      <c r="E658" s="2" t="s">
        <v>1782</v>
      </c>
      <c r="F658" s="2" t="s">
        <v>3683</v>
      </c>
      <c r="G658" s="2" t="str">
        <f>"SR-1153"</f>
        <v>SR-1153</v>
      </c>
      <c r="H658" s="2" t="s">
        <v>3684</v>
      </c>
      <c r="I658" s="2" t="s">
        <v>3685</v>
      </c>
      <c r="J658" s="2" t="s">
        <v>3686</v>
      </c>
      <c r="K658" s="2" t="s">
        <v>3687</v>
      </c>
      <c r="L658" s="2" t="s">
        <v>157</v>
      </c>
      <c r="M658" s="2">
        <v>80815.0</v>
      </c>
      <c r="N658" s="2" t="s">
        <v>21</v>
      </c>
    </row>
    <row r="659" ht="15.75" customHeight="1">
      <c r="A659" s="2">
        <v>2013.0</v>
      </c>
      <c r="B659" s="2" t="s">
        <v>3688</v>
      </c>
      <c r="C659" s="2" t="s">
        <v>3688</v>
      </c>
      <c r="D659" s="2" t="str">
        <f>"719-349-0817"</f>
        <v>719-349-0817</v>
      </c>
      <c r="E659" s="2" t="s">
        <v>3689</v>
      </c>
      <c r="F659" s="2" t="s">
        <v>3683</v>
      </c>
      <c r="G659" s="2" t="str">
        <f>"SR-1084"</f>
        <v>SR-1084</v>
      </c>
      <c r="H659" s="2" t="s">
        <v>3690</v>
      </c>
      <c r="I659" s="2" t="s">
        <v>3691</v>
      </c>
      <c r="K659" s="2" t="s">
        <v>3687</v>
      </c>
      <c r="L659" s="2" t="s">
        <v>157</v>
      </c>
      <c r="M659" s="2">
        <v>80815.0</v>
      </c>
      <c r="N659" s="2" t="s">
        <v>21</v>
      </c>
    </row>
    <row r="660" ht="15.75" customHeight="1">
      <c r="A660" s="2">
        <v>2013.0</v>
      </c>
      <c r="B660" s="2" t="s">
        <v>3692</v>
      </c>
      <c r="C660" s="2" t="s">
        <v>3692</v>
      </c>
      <c r="D660" s="2" t="str">
        <f>"2072006026"</f>
        <v>2072006026</v>
      </c>
      <c r="E660" s="2" t="s">
        <v>3693</v>
      </c>
      <c r="F660" s="2" t="s">
        <v>3269</v>
      </c>
      <c r="G660" s="2" t="str">
        <f>"SR-957"</f>
        <v>SR-957</v>
      </c>
      <c r="H660" s="2" t="s">
        <v>3694</v>
      </c>
      <c r="I660" s="2" t="s">
        <v>3695</v>
      </c>
      <c r="K660" s="2" t="s">
        <v>2995</v>
      </c>
      <c r="L660" s="2" t="s">
        <v>142</v>
      </c>
      <c r="M660" s="2">
        <v>13326.0</v>
      </c>
      <c r="N660" s="2" t="s">
        <v>21</v>
      </c>
    </row>
    <row r="661" ht="15.75" customHeight="1">
      <c r="A661" s="2">
        <v>2013.0</v>
      </c>
      <c r="B661" s="2" t="s">
        <v>3696</v>
      </c>
      <c r="C661" s="2" t="s">
        <v>3697</v>
      </c>
      <c r="D661" s="2" t="str">
        <f>"806-787-3258"</f>
        <v>806-787-3258</v>
      </c>
      <c r="E661" s="2" t="s">
        <v>250</v>
      </c>
      <c r="F661" s="2" t="s">
        <v>2598</v>
      </c>
      <c r="G661" s="2" t="str">
        <f>"SR-556"</f>
        <v>SR-556</v>
      </c>
      <c r="H661" s="2" t="s">
        <v>3698</v>
      </c>
      <c r="I661" s="2" t="s">
        <v>3699</v>
      </c>
      <c r="K661" s="2" t="s">
        <v>1121</v>
      </c>
      <c r="L661" s="2" t="s">
        <v>172</v>
      </c>
      <c r="M661" s="2">
        <v>79424.0</v>
      </c>
      <c r="N661" s="2" t="s">
        <v>21</v>
      </c>
    </row>
    <row r="662" ht="15.75" customHeight="1">
      <c r="A662" s="2">
        <v>2013.0</v>
      </c>
      <c r="B662" s="2" t="s">
        <v>3700</v>
      </c>
      <c r="C662" s="2" t="s">
        <v>3701</v>
      </c>
      <c r="D662" s="2" t="str">
        <f>"505-244-1122"</f>
        <v>505-244-1122</v>
      </c>
      <c r="E662" s="2" t="s">
        <v>301</v>
      </c>
      <c r="F662" s="2" t="s">
        <v>3702</v>
      </c>
      <c r="G662" s="2" t="str">
        <f>"SR-1161"</f>
        <v>SR-1161</v>
      </c>
      <c r="H662" s="2" t="s">
        <v>3703</v>
      </c>
      <c r="I662" s="2" t="s">
        <v>3704</v>
      </c>
      <c r="K662" s="2" t="s">
        <v>3705</v>
      </c>
      <c r="L662" s="2" t="s">
        <v>789</v>
      </c>
      <c r="M662" s="2">
        <v>87104.0</v>
      </c>
      <c r="N662" s="2" t="s">
        <v>21</v>
      </c>
    </row>
    <row r="663" ht="15.75" customHeight="1">
      <c r="A663" s="2">
        <v>2013.0</v>
      </c>
      <c r="B663" s="2" t="s">
        <v>3706</v>
      </c>
      <c r="C663" s="2" t="s">
        <v>3706</v>
      </c>
      <c r="D663" s="2" t="str">
        <f>"7202917113"</f>
        <v>7202917113</v>
      </c>
      <c r="E663" s="2" t="s">
        <v>1263</v>
      </c>
      <c r="F663" s="2" t="s">
        <v>3707</v>
      </c>
      <c r="G663" s="2" t="str">
        <f>"SR-1159"</f>
        <v>SR-1159</v>
      </c>
      <c r="H663" s="2" t="s">
        <v>3708</v>
      </c>
      <c r="I663" s="2" t="s">
        <v>3709</v>
      </c>
      <c r="K663" s="2" t="s">
        <v>3710</v>
      </c>
      <c r="L663" s="2" t="s">
        <v>208</v>
      </c>
      <c r="M663" s="2">
        <v>34756.0</v>
      </c>
      <c r="N663" s="2" t="s">
        <v>21</v>
      </c>
    </row>
    <row r="664" ht="15.75" customHeight="1">
      <c r="A664" s="2">
        <v>2013.0</v>
      </c>
      <c r="B664" s="2" t="s">
        <v>3711</v>
      </c>
      <c r="C664" s="2" t="s">
        <v>3711</v>
      </c>
      <c r="D664" s="2" t="str">
        <f>"317-738-4766"</f>
        <v>317-738-4766</v>
      </c>
      <c r="E664" s="2" t="s">
        <v>2433</v>
      </c>
      <c r="F664" s="2" t="s">
        <v>3712</v>
      </c>
      <c r="G664" s="2" t="str">
        <f>"SR-1158"</f>
        <v>SR-1158</v>
      </c>
      <c r="H664" s="2" t="s">
        <v>3713</v>
      </c>
      <c r="I664" s="2" t="s">
        <v>3714</v>
      </c>
      <c r="K664" s="2" t="s">
        <v>278</v>
      </c>
      <c r="L664" s="2" t="s">
        <v>149</v>
      </c>
      <c r="M664" s="2">
        <v>46131.0</v>
      </c>
      <c r="N664" s="2" t="s">
        <v>21</v>
      </c>
    </row>
    <row r="665" ht="15.75" customHeight="1">
      <c r="A665" s="2">
        <v>2013.0</v>
      </c>
      <c r="B665" s="2" t="s">
        <v>3715</v>
      </c>
      <c r="C665" s="2" t="s">
        <v>3715</v>
      </c>
      <c r="D665" s="2" t="str">
        <f>"(719) 659-8829"</f>
        <v>(719) 659-8829</v>
      </c>
      <c r="E665" s="2" t="s">
        <v>282</v>
      </c>
      <c r="F665" s="2" t="s">
        <v>3716</v>
      </c>
      <c r="G665" s="2" t="str">
        <f>"SR-153"</f>
        <v>SR-153</v>
      </c>
      <c r="H665" s="2" t="s">
        <v>3717</v>
      </c>
      <c r="I665" s="2" t="s">
        <v>3718</v>
      </c>
      <c r="K665" s="2" t="s">
        <v>3719</v>
      </c>
      <c r="L665" s="2" t="s">
        <v>157</v>
      </c>
      <c r="M665" s="2">
        <v>80813.0</v>
      </c>
      <c r="N665" s="2" t="s">
        <v>21</v>
      </c>
    </row>
    <row r="666" ht="15.75" customHeight="1">
      <c r="A666" s="2">
        <v>2013.0</v>
      </c>
      <c r="B666" s="2" t="s">
        <v>3720</v>
      </c>
      <c r="C666" s="2" t="s">
        <v>3721</v>
      </c>
      <c r="D666" s="2" t="str">
        <f>"214-801-7191"</f>
        <v>214-801-7191</v>
      </c>
      <c r="E666" s="2" t="s">
        <v>485</v>
      </c>
      <c r="F666" s="2" t="s">
        <v>3722</v>
      </c>
      <c r="G666" s="2" t="str">
        <f>"SR-566"</f>
        <v>SR-566</v>
      </c>
      <c r="H666" s="2" t="s">
        <v>3723</v>
      </c>
      <c r="I666" s="2" t="s">
        <v>3724</v>
      </c>
      <c r="K666" s="2" t="s">
        <v>1255</v>
      </c>
      <c r="L666" s="2" t="s">
        <v>172</v>
      </c>
      <c r="M666" s="2">
        <v>75231.0</v>
      </c>
      <c r="N666" s="2" t="s">
        <v>21</v>
      </c>
    </row>
    <row r="667" ht="15.75" customHeight="1">
      <c r="A667" s="2">
        <v>2013.0</v>
      </c>
      <c r="B667" s="2" t="s">
        <v>3725</v>
      </c>
      <c r="C667" s="2" t="s">
        <v>3726</v>
      </c>
      <c r="D667" s="2" t="str">
        <f>"6127032970"</f>
        <v>6127032970</v>
      </c>
      <c r="E667" s="2" t="s">
        <v>938</v>
      </c>
      <c r="F667" s="2" t="s">
        <v>3727</v>
      </c>
      <c r="G667" s="2" t="str">
        <f>"SR-1086"</f>
        <v>SR-1086</v>
      </c>
      <c r="H667" s="2" t="s">
        <v>3728</v>
      </c>
      <c r="I667" s="2" t="s">
        <v>3729</v>
      </c>
      <c r="K667" s="2" t="s">
        <v>3730</v>
      </c>
      <c r="L667" s="2" t="s">
        <v>62</v>
      </c>
      <c r="M667" s="2">
        <v>55371.0</v>
      </c>
      <c r="N667" s="2" t="s">
        <v>21</v>
      </c>
    </row>
    <row r="668" ht="15.75" customHeight="1">
      <c r="A668" s="2">
        <v>2013.0</v>
      </c>
      <c r="B668" s="2" t="s">
        <v>3731</v>
      </c>
      <c r="C668" s="2" t="s">
        <v>3732</v>
      </c>
      <c r="D668" s="2" t="str">
        <f>"207-865-0451"</f>
        <v>207-865-0451</v>
      </c>
      <c r="E668" s="2" t="s">
        <v>1288</v>
      </c>
      <c r="F668" s="2" t="s">
        <v>3733</v>
      </c>
      <c r="G668" s="2" t="str">
        <f>"SR-1164"</f>
        <v>SR-1164</v>
      </c>
      <c r="H668" s="2" t="s">
        <v>3734</v>
      </c>
      <c r="I668" s="2" t="s">
        <v>3735</v>
      </c>
      <c r="K668" s="2" t="s">
        <v>3736</v>
      </c>
      <c r="L668" s="2" t="s">
        <v>3737</v>
      </c>
      <c r="M668" s="2">
        <v>4032.0</v>
      </c>
      <c r="N668" s="2" t="s">
        <v>21</v>
      </c>
    </row>
    <row r="669" ht="15.75" customHeight="1">
      <c r="A669" s="2">
        <v>2013.0</v>
      </c>
      <c r="B669" s="2" t="s">
        <v>3738</v>
      </c>
      <c r="C669" s="2" t="s">
        <v>3739</v>
      </c>
      <c r="D669" s="2" t="str">
        <f>"405-618-8195"</f>
        <v>405-618-8195</v>
      </c>
      <c r="E669" s="2" t="s">
        <v>15</v>
      </c>
      <c r="F669" s="2" t="s">
        <v>1040</v>
      </c>
      <c r="G669" s="2" t="str">
        <f>"SR-968"</f>
        <v>SR-968</v>
      </c>
      <c r="H669" s="2" t="s">
        <v>3740</v>
      </c>
      <c r="I669" s="2" t="s">
        <v>3741</v>
      </c>
      <c r="K669" s="2" t="s">
        <v>2870</v>
      </c>
      <c r="L669" s="2" t="s">
        <v>840</v>
      </c>
      <c r="M669" s="2">
        <v>73072.0</v>
      </c>
      <c r="N669" s="2" t="s">
        <v>21</v>
      </c>
    </row>
    <row r="670" ht="15.75" customHeight="1">
      <c r="A670" s="2">
        <v>2013.0</v>
      </c>
      <c r="B670" s="2" t="s">
        <v>3742</v>
      </c>
      <c r="C670" s="2" t="s">
        <v>3742</v>
      </c>
      <c r="D670" s="2" t="str">
        <f>"952-949-9747"</f>
        <v>952-949-9747</v>
      </c>
      <c r="E670" s="2" t="s">
        <v>3743</v>
      </c>
      <c r="F670" s="2" t="s">
        <v>3744</v>
      </c>
      <c r="G670" s="2" t="str">
        <f>"SR-1083"</f>
        <v>SR-1083</v>
      </c>
      <c r="H670" s="2" t="s">
        <v>3745</v>
      </c>
      <c r="I670" s="2" t="s">
        <v>3746</v>
      </c>
      <c r="K670" s="2" t="s">
        <v>3747</v>
      </c>
      <c r="L670" s="2" t="s">
        <v>62</v>
      </c>
      <c r="M670" s="2">
        <v>55317.0</v>
      </c>
      <c r="N670" s="2" t="s">
        <v>21</v>
      </c>
    </row>
    <row r="671" ht="15.75" customHeight="1">
      <c r="A671" s="2">
        <v>2013.0</v>
      </c>
      <c r="B671" s="2" t="s">
        <v>3748</v>
      </c>
      <c r="C671" s="2" t="s">
        <v>3749</v>
      </c>
      <c r="D671" s="2" t="str">
        <f>"308-928-2322"</f>
        <v>308-928-2322</v>
      </c>
      <c r="E671" s="2" t="s">
        <v>3750</v>
      </c>
      <c r="F671" s="2" t="s">
        <v>3751</v>
      </c>
      <c r="G671" s="2" t="str">
        <f>"SR-1094"</f>
        <v>SR-1094</v>
      </c>
      <c r="H671" s="2" t="s">
        <v>3752</v>
      </c>
      <c r="I671" s="2" t="s">
        <v>3753</v>
      </c>
      <c r="K671" s="2" t="s">
        <v>3754</v>
      </c>
      <c r="L671" s="2" t="s">
        <v>757</v>
      </c>
      <c r="M671" s="2">
        <v>68920.0</v>
      </c>
      <c r="N671" s="2" t="s">
        <v>21</v>
      </c>
    </row>
    <row r="672" ht="15.75" customHeight="1">
      <c r="A672" s="2">
        <v>2013.0</v>
      </c>
      <c r="B672" s="2" t="s">
        <v>3755</v>
      </c>
      <c r="C672" s="2" t="s">
        <v>3756</v>
      </c>
      <c r="D672" s="2" t="str">
        <f>"6105665130"</f>
        <v>6105665130</v>
      </c>
      <c r="E672" s="2" t="s">
        <v>428</v>
      </c>
      <c r="F672" s="2" t="s">
        <v>3757</v>
      </c>
      <c r="G672" s="2" t="str">
        <f>"SR-1173"</f>
        <v>SR-1173</v>
      </c>
      <c r="H672" s="2" t="s">
        <v>3758</v>
      </c>
      <c r="I672" s="2" t="s">
        <v>3759</v>
      </c>
      <c r="K672" s="2" t="s">
        <v>3760</v>
      </c>
      <c r="L672" s="2" t="s">
        <v>179</v>
      </c>
      <c r="M672" s="2">
        <v>19063.0</v>
      </c>
      <c r="N672" s="2" t="s">
        <v>21</v>
      </c>
    </row>
    <row r="673" ht="15.75" customHeight="1">
      <c r="A673" s="2">
        <v>2013.0</v>
      </c>
      <c r="B673" s="2" t="s">
        <v>3761</v>
      </c>
      <c r="C673" s="2" t="s">
        <v>3761</v>
      </c>
      <c r="D673" s="2" t="str">
        <f>"214-558-0507"</f>
        <v>214-558-0507</v>
      </c>
      <c r="E673" s="2" t="s">
        <v>1001</v>
      </c>
      <c r="F673" s="2" t="s">
        <v>3762</v>
      </c>
      <c r="G673" s="2" t="str">
        <f>"SR-180"</f>
        <v>SR-180</v>
      </c>
      <c r="H673" s="2" t="s">
        <v>3763</v>
      </c>
      <c r="I673" s="2" t="s">
        <v>3764</v>
      </c>
      <c r="K673" s="2" t="s">
        <v>1255</v>
      </c>
      <c r="L673" s="2" t="s">
        <v>172</v>
      </c>
      <c r="M673" s="2">
        <v>75214.0</v>
      </c>
      <c r="N673" s="2" t="s">
        <v>21</v>
      </c>
    </row>
    <row r="674" ht="15.75" customHeight="1">
      <c r="A674" s="2">
        <v>2013.0</v>
      </c>
      <c r="B674" s="2" t="s">
        <v>3765</v>
      </c>
      <c r="D674" s="2" t="str">
        <f>"(909) 520-7700"</f>
        <v>(909) 520-7700</v>
      </c>
      <c r="E674" s="2" t="s">
        <v>3766</v>
      </c>
      <c r="F674" s="2" t="s">
        <v>3767</v>
      </c>
      <c r="G674" s="2" t="str">
        <f>"SR-1068"</f>
        <v>SR-1068</v>
      </c>
      <c r="H674" s="2" t="s">
        <v>3768</v>
      </c>
      <c r="I674" s="2" t="s">
        <v>3769</v>
      </c>
      <c r="K674" s="2" t="s">
        <v>3770</v>
      </c>
      <c r="L674" s="2" t="s">
        <v>222</v>
      </c>
      <c r="M674" s="2">
        <v>92399.0</v>
      </c>
      <c r="N674" s="2" t="s">
        <v>21</v>
      </c>
    </row>
    <row r="675" ht="15.75" customHeight="1">
      <c r="A675" s="2">
        <v>2013.0</v>
      </c>
      <c r="B675" s="2" t="s">
        <v>3771</v>
      </c>
      <c r="C675" s="2" t="s">
        <v>3772</v>
      </c>
      <c r="D675" s="2" t="str">
        <f>"614.214.3698"</f>
        <v>614.214.3698</v>
      </c>
      <c r="E675" s="2" t="s">
        <v>678</v>
      </c>
      <c r="F675" s="2" t="s">
        <v>3773</v>
      </c>
      <c r="G675" s="2" t="str">
        <f>"SR-1120"</f>
        <v>SR-1120</v>
      </c>
      <c r="H675" s="2" t="s">
        <v>3774</v>
      </c>
      <c r="I675" s="2" t="s">
        <v>3775</v>
      </c>
      <c r="K675" s="2" t="s">
        <v>2771</v>
      </c>
      <c r="L675" s="2" t="s">
        <v>344</v>
      </c>
      <c r="M675" s="2">
        <v>43065.0</v>
      </c>
      <c r="N675" s="2" t="s">
        <v>21</v>
      </c>
    </row>
    <row r="676" ht="15.75" customHeight="1">
      <c r="A676" s="2">
        <v>2013.0</v>
      </c>
      <c r="B676" s="2" t="s">
        <v>3776</v>
      </c>
      <c r="C676" s="2" t="s">
        <v>3777</v>
      </c>
      <c r="D676" s="2" t="str">
        <f>"2075226499"</f>
        <v>2075226499</v>
      </c>
      <c r="E676" s="2" t="s">
        <v>3778</v>
      </c>
      <c r="F676" s="2" t="s">
        <v>3779</v>
      </c>
      <c r="G676" s="2" t="str">
        <f>"SR-1176"</f>
        <v>SR-1176</v>
      </c>
      <c r="H676" s="2" t="s">
        <v>3780</v>
      </c>
      <c r="I676" s="2" t="s">
        <v>3781</v>
      </c>
      <c r="K676" s="2" t="s">
        <v>3782</v>
      </c>
      <c r="L676" s="2" t="s">
        <v>3737</v>
      </c>
      <c r="M676" s="2">
        <v>4011.0</v>
      </c>
      <c r="N676" s="2" t="s">
        <v>21</v>
      </c>
    </row>
    <row r="677" ht="15.75" customHeight="1">
      <c r="A677" s="2">
        <v>2013.0</v>
      </c>
      <c r="B677" s="2" t="s">
        <v>3783</v>
      </c>
      <c r="C677" s="2" t="s">
        <v>3784</v>
      </c>
      <c r="D677" s="2" t="str">
        <f>"(530) 409-6690"</f>
        <v>(530) 409-6690</v>
      </c>
      <c r="E677" s="2" t="s">
        <v>2912</v>
      </c>
      <c r="F677" s="2" t="s">
        <v>984</v>
      </c>
      <c r="G677" s="2" t="str">
        <f>"SR-643"</f>
        <v>SR-643</v>
      </c>
      <c r="H677" s="2" t="s">
        <v>3785</v>
      </c>
      <c r="I677" s="2" t="s">
        <v>3786</v>
      </c>
      <c r="K677" s="2" t="s">
        <v>3787</v>
      </c>
      <c r="L677" s="2" t="s">
        <v>222</v>
      </c>
      <c r="M677" s="2">
        <v>95682.0</v>
      </c>
      <c r="N677" s="2" t="s">
        <v>21</v>
      </c>
    </row>
    <row r="678" ht="15.75" customHeight="1">
      <c r="A678" s="2">
        <v>2013.0</v>
      </c>
      <c r="B678" s="2" t="s">
        <v>3788</v>
      </c>
      <c r="C678" s="2" t="s">
        <v>3789</v>
      </c>
      <c r="D678" s="2" t="str">
        <f>"4172520967"</f>
        <v>4172520967</v>
      </c>
      <c r="E678" s="2" t="s">
        <v>3790</v>
      </c>
      <c r="F678" s="2" t="s">
        <v>3791</v>
      </c>
      <c r="G678" s="2" t="str">
        <f>"SR-1180"</f>
        <v>SR-1180</v>
      </c>
      <c r="H678" s="2" t="s">
        <v>3792</v>
      </c>
      <c r="I678" s="2" t="s">
        <v>3793</v>
      </c>
      <c r="K678" s="2" t="s">
        <v>3794</v>
      </c>
      <c r="L678" s="2" t="s">
        <v>214</v>
      </c>
      <c r="M678" s="2">
        <v>65793.0</v>
      </c>
      <c r="N678" s="2" t="s">
        <v>21</v>
      </c>
    </row>
    <row r="679" ht="15.75" customHeight="1">
      <c r="A679" s="2">
        <v>2013.0</v>
      </c>
      <c r="B679" s="2" t="s">
        <v>3795</v>
      </c>
      <c r="C679" s="2" t="s">
        <v>3795</v>
      </c>
      <c r="D679" s="2" t="str">
        <f>"4172939524"</f>
        <v>4172939524</v>
      </c>
      <c r="E679" s="2" t="s">
        <v>3796</v>
      </c>
      <c r="F679" s="2" t="s">
        <v>3797</v>
      </c>
      <c r="G679" s="2" t="str">
        <f>"SR-1142"</f>
        <v>SR-1142</v>
      </c>
      <c r="H679" s="2" t="s">
        <v>3798</v>
      </c>
      <c r="I679" s="2" t="s">
        <v>3799</v>
      </c>
      <c r="K679" s="2" t="s">
        <v>229</v>
      </c>
      <c r="L679" s="2" t="s">
        <v>214</v>
      </c>
      <c r="M679" s="2">
        <v>65775.0</v>
      </c>
      <c r="N679" s="2" t="s">
        <v>21</v>
      </c>
    </row>
    <row r="680" ht="15.75" customHeight="1">
      <c r="A680" s="2">
        <v>2013.0</v>
      </c>
      <c r="B680" s="2" t="s">
        <v>3800</v>
      </c>
      <c r="C680" s="2" t="s">
        <v>3800</v>
      </c>
      <c r="D680" s="2" t="str">
        <f>"505-620-3178"</f>
        <v>505-620-3178</v>
      </c>
      <c r="E680" s="2" t="s">
        <v>3555</v>
      </c>
      <c r="F680" s="2" t="s">
        <v>3533</v>
      </c>
      <c r="G680" s="2" t="str">
        <f>"SR-1192"</f>
        <v>SR-1192</v>
      </c>
      <c r="H680" s="2" t="s">
        <v>3801</v>
      </c>
      <c r="I680" s="2" t="s">
        <v>3802</v>
      </c>
      <c r="K680" s="2" t="s">
        <v>3803</v>
      </c>
      <c r="L680" s="2" t="s">
        <v>789</v>
      </c>
      <c r="M680" s="2">
        <v>87144.0</v>
      </c>
      <c r="N680" s="2" t="s">
        <v>21</v>
      </c>
    </row>
    <row r="681" ht="15.75" customHeight="1">
      <c r="A681" s="2">
        <v>2013.0</v>
      </c>
      <c r="B681" s="2" t="s">
        <v>3804</v>
      </c>
      <c r="C681" s="2" t="s">
        <v>3804</v>
      </c>
      <c r="D681" s="2" t="str">
        <f>"985-502-0289"</f>
        <v>985-502-0289</v>
      </c>
      <c r="E681" s="2" t="s">
        <v>3805</v>
      </c>
      <c r="F681" s="2" t="s">
        <v>3806</v>
      </c>
      <c r="G681" s="2" t="str">
        <f>"SR-1165"</f>
        <v>SR-1165</v>
      </c>
      <c r="H681" s="2" t="s">
        <v>3807</v>
      </c>
      <c r="I681" s="2" t="s">
        <v>3808</v>
      </c>
      <c r="K681" s="2" t="s">
        <v>3809</v>
      </c>
      <c r="L681" s="2" t="s">
        <v>715</v>
      </c>
      <c r="M681" s="2">
        <v>70448.0</v>
      </c>
      <c r="N681" s="2" t="s">
        <v>21</v>
      </c>
    </row>
    <row r="682" ht="15.75" customHeight="1">
      <c r="A682" s="2">
        <v>2013.0</v>
      </c>
      <c r="B682" s="2" t="s">
        <v>3810</v>
      </c>
      <c r="C682" s="2" t="s">
        <v>3811</v>
      </c>
      <c r="D682" s="2" t="str">
        <f>"907-345-3453"</f>
        <v>907-345-3453</v>
      </c>
      <c r="E682" s="2" t="s">
        <v>2361</v>
      </c>
      <c r="F682" s="2" t="s">
        <v>3812</v>
      </c>
      <c r="G682" s="2" t="str">
        <f>"SR-994"</f>
        <v>SR-994</v>
      </c>
      <c r="H682" s="2" t="s">
        <v>3813</v>
      </c>
      <c r="I682" s="2" t="s">
        <v>3814</v>
      </c>
      <c r="K682" s="2" t="s">
        <v>69</v>
      </c>
      <c r="L682" s="2" t="s">
        <v>70</v>
      </c>
      <c r="M682" s="2">
        <v>99507.0</v>
      </c>
      <c r="N682" s="2" t="s">
        <v>21</v>
      </c>
    </row>
    <row r="683" ht="15.75" customHeight="1">
      <c r="A683" s="2">
        <v>2013.0</v>
      </c>
      <c r="B683" s="2" t="s">
        <v>3815</v>
      </c>
      <c r="D683" s="2" t="str">
        <f>""</f>
        <v/>
      </c>
      <c r="E683" s="2" t="s">
        <v>3816</v>
      </c>
      <c r="F683" s="2" t="s">
        <v>3817</v>
      </c>
      <c r="G683" s="2" t="str">
        <f>"SR-1181"</f>
        <v>SR-1181</v>
      </c>
      <c r="H683" s="2" t="s">
        <v>3818</v>
      </c>
      <c r="N683" s="2" t="s">
        <v>21</v>
      </c>
    </row>
    <row r="684" ht="15.75" customHeight="1">
      <c r="A684" s="2">
        <v>2013.0</v>
      </c>
      <c r="B684" s="2" t="s">
        <v>3819</v>
      </c>
      <c r="C684" s="2" t="s">
        <v>3819</v>
      </c>
      <c r="D684" s="2" t="str">
        <f>"(760)5210411"</f>
        <v>(760)5210411</v>
      </c>
      <c r="E684" s="2" t="s">
        <v>1725</v>
      </c>
      <c r="F684" s="2" t="s">
        <v>3820</v>
      </c>
      <c r="G684" s="2" t="str">
        <f>"SR-1194"</f>
        <v>SR-1194</v>
      </c>
      <c r="H684" s="2" t="s">
        <v>3821</v>
      </c>
      <c r="I684" s="2" t="s">
        <v>3822</v>
      </c>
      <c r="K684" s="2" t="s">
        <v>3823</v>
      </c>
      <c r="L684" s="2" t="s">
        <v>222</v>
      </c>
      <c r="M684" s="2">
        <v>94534.0</v>
      </c>
      <c r="N684" s="2" t="s">
        <v>21</v>
      </c>
    </row>
    <row r="685" ht="15.75" customHeight="1">
      <c r="A685" s="2">
        <v>2013.0</v>
      </c>
      <c r="B685" s="2" t="s">
        <v>3824</v>
      </c>
      <c r="C685" s="2" t="s">
        <v>3825</v>
      </c>
      <c r="D685" s="2" t="str">
        <f>"806-787-6096"</f>
        <v>806-787-6096</v>
      </c>
      <c r="E685" s="2" t="s">
        <v>417</v>
      </c>
      <c r="F685" s="2" t="s">
        <v>3826</v>
      </c>
      <c r="G685" s="2" t="str">
        <f>"SR-1073"</f>
        <v>SR-1073</v>
      </c>
      <c r="H685" s="2" t="s">
        <v>3827</v>
      </c>
      <c r="I685" s="2" t="s">
        <v>3828</v>
      </c>
      <c r="K685" s="2" t="s">
        <v>1121</v>
      </c>
      <c r="L685" s="2" t="s">
        <v>172</v>
      </c>
      <c r="M685" s="2">
        <v>79416.0</v>
      </c>
      <c r="N685" s="2" t="s">
        <v>21</v>
      </c>
    </row>
    <row r="686" ht="15.75" customHeight="1">
      <c r="A686" s="2">
        <v>2013.0</v>
      </c>
      <c r="B686" s="2" t="s">
        <v>3829</v>
      </c>
      <c r="C686" s="2" t="s">
        <v>3830</v>
      </c>
      <c r="D686" s="2" t="str">
        <f>"651-436-6773"</f>
        <v>651-436-6773</v>
      </c>
      <c r="E686" s="2" t="s">
        <v>3831</v>
      </c>
      <c r="F686" s="2" t="s">
        <v>3832</v>
      </c>
      <c r="G686" s="2" t="str">
        <f>"SR-954"</f>
        <v>SR-954</v>
      </c>
      <c r="H686" s="2" t="s">
        <v>3833</v>
      </c>
      <c r="I686" s="2" t="s">
        <v>3834</v>
      </c>
      <c r="K686" s="2" t="s">
        <v>1570</v>
      </c>
      <c r="L686" s="2" t="s">
        <v>62</v>
      </c>
      <c r="M686" s="2">
        <v>55043.0</v>
      </c>
      <c r="N686" s="2" t="s">
        <v>21</v>
      </c>
    </row>
    <row r="687" ht="15.75" customHeight="1">
      <c r="A687" s="2">
        <v>2013.0</v>
      </c>
      <c r="B687" s="2" t="s">
        <v>3835</v>
      </c>
      <c r="C687" s="2" t="s">
        <v>3836</v>
      </c>
      <c r="D687" s="2" t="str">
        <f>"3033441251"</f>
        <v>3033441251</v>
      </c>
      <c r="E687" s="2" t="s">
        <v>1208</v>
      </c>
      <c r="F687" s="2" t="s">
        <v>3837</v>
      </c>
      <c r="G687" s="2" t="str">
        <f>"SR-1141"</f>
        <v>SR-1141</v>
      </c>
      <c r="H687" s="2" t="s">
        <v>3838</v>
      </c>
      <c r="I687" s="2" t="s">
        <v>3839</v>
      </c>
      <c r="K687" s="2" t="s">
        <v>1520</v>
      </c>
      <c r="L687" s="2" t="s">
        <v>157</v>
      </c>
      <c r="M687" s="2">
        <v>80011.0</v>
      </c>
      <c r="N687" s="2" t="s">
        <v>21</v>
      </c>
    </row>
    <row r="688" ht="15.75" customHeight="1">
      <c r="A688" s="2">
        <v>2013.0</v>
      </c>
      <c r="B688" s="2" t="s">
        <v>3840</v>
      </c>
      <c r="C688" s="2" t="s">
        <v>3841</v>
      </c>
      <c r="D688" s="2" t="str">
        <f>"605-472-1116"</f>
        <v>605-472-1116</v>
      </c>
      <c r="E688" s="2" t="s">
        <v>3790</v>
      </c>
      <c r="F688" s="2" t="s">
        <v>3842</v>
      </c>
      <c r="G688" s="2" t="str">
        <f>"SR-1195"</f>
        <v>SR-1195</v>
      </c>
      <c r="H688" s="2" t="s">
        <v>3843</v>
      </c>
      <c r="I688" s="2" t="s">
        <v>3844</v>
      </c>
      <c r="K688" s="2" t="s">
        <v>3845</v>
      </c>
      <c r="L688" s="2" t="s">
        <v>920</v>
      </c>
      <c r="M688" s="2">
        <v>57440.0</v>
      </c>
      <c r="N688" s="2" t="s">
        <v>21</v>
      </c>
    </row>
    <row r="689" ht="15.75" customHeight="1">
      <c r="A689" s="2">
        <v>2013.0</v>
      </c>
      <c r="B689" s="2" t="s">
        <v>3846</v>
      </c>
      <c r="C689" s="2" t="s">
        <v>3846</v>
      </c>
      <c r="D689" s="2" t="str">
        <f>"931-739-3266"</f>
        <v>931-739-3266</v>
      </c>
      <c r="E689" s="2" t="s">
        <v>651</v>
      </c>
      <c r="F689" s="2" t="s">
        <v>511</v>
      </c>
      <c r="G689" s="2" t="str">
        <f>"SR-1179"</f>
        <v>SR-1179</v>
      </c>
      <c r="H689" s="2" t="s">
        <v>3847</v>
      </c>
      <c r="I689" s="2" t="s">
        <v>3848</v>
      </c>
      <c r="K689" s="2" t="s">
        <v>3849</v>
      </c>
      <c r="L689" s="2" t="s">
        <v>279</v>
      </c>
      <c r="M689" s="2">
        <v>38583.0</v>
      </c>
      <c r="N689" s="2" t="s">
        <v>21</v>
      </c>
    </row>
    <row r="690" ht="15.75" customHeight="1">
      <c r="A690" s="2">
        <v>2013.0</v>
      </c>
      <c r="B690" s="2" t="s">
        <v>3850</v>
      </c>
      <c r="C690" s="2" t="s">
        <v>3851</v>
      </c>
      <c r="D690" s="2" t="str">
        <f>"813-679-7639"</f>
        <v>813-679-7639</v>
      </c>
      <c r="E690" s="2" t="s">
        <v>2857</v>
      </c>
      <c r="F690" s="2" t="s">
        <v>2833</v>
      </c>
      <c r="G690" s="2" t="str">
        <f>"SR-1204"</f>
        <v>SR-1204</v>
      </c>
      <c r="H690" s="2" t="s">
        <v>3852</v>
      </c>
      <c r="I690" s="2" t="s">
        <v>3853</v>
      </c>
      <c r="K690" s="2" t="s">
        <v>3854</v>
      </c>
      <c r="L690" s="2" t="s">
        <v>208</v>
      </c>
      <c r="M690" s="2">
        <v>33708.0</v>
      </c>
      <c r="N690" s="2" t="s">
        <v>21</v>
      </c>
    </row>
    <row r="691" ht="15.75" customHeight="1">
      <c r="A691" s="2">
        <v>2013.0</v>
      </c>
      <c r="B691" s="2" t="s">
        <v>3855</v>
      </c>
      <c r="C691" s="2" t="s">
        <v>3856</v>
      </c>
      <c r="D691" s="2" t="str">
        <f>"804-769-4635"</f>
        <v>804-769-4635</v>
      </c>
      <c r="E691" s="2" t="s">
        <v>1301</v>
      </c>
      <c r="F691" s="2" t="s">
        <v>3857</v>
      </c>
      <c r="G691" s="2" t="str">
        <f>"SR-1041"</f>
        <v>SR-1041</v>
      </c>
      <c r="H691" s="2" t="s">
        <v>3858</v>
      </c>
      <c r="I691" s="2" t="s">
        <v>3859</v>
      </c>
      <c r="K691" s="2" t="s">
        <v>3860</v>
      </c>
      <c r="L691" s="2" t="s">
        <v>165</v>
      </c>
      <c r="M691" s="2">
        <v>23009.0</v>
      </c>
      <c r="N691" s="2" t="s">
        <v>21</v>
      </c>
    </row>
    <row r="692" ht="15.75" customHeight="1">
      <c r="A692" s="2">
        <v>2013.0</v>
      </c>
      <c r="B692" s="2" t="s">
        <v>3861</v>
      </c>
      <c r="C692" s="2" t="s">
        <v>3862</v>
      </c>
      <c r="D692" s="2" t="str">
        <f>"5152102909"</f>
        <v>5152102909</v>
      </c>
      <c r="E692" s="2" t="s">
        <v>1239</v>
      </c>
      <c r="F692" s="2" t="s">
        <v>3320</v>
      </c>
      <c r="G692" s="2" t="str">
        <f>"SR-1199"</f>
        <v>SR-1199</v>
      </c>
      <c r="H692" s="2" t="s">
        <v>3863</v>
      </c>
      <c r="I692" s="2" t="s">
        <v>3864</v>
      </c>
      <c r="K692" s="2" t="s">
        <v>3865</v>
      </c>
      <c r="L692" s="2" t="s">
        <v>560</v>
      </c>
      <c r="M692" s="2">
        <v>50054.0</v>
      </c>
      <c r="N692" s="2" t="s">
        <v>21</v>
      </c>
    </row>
    <row r="693" ht="15.75" customHeight="1">
      <c r="A693" s="2">
        <v>2013.0</v>
      </c>
      <c r="B693" s="2" t="s">
        <v>3866</v>
      </c>
      <c r="C693" s="2" t="s">
        <v>3867</v>
      </c>
      <c r="D693" s="2" t="str">
        <f>"205-520-7195"</f>
        <v>205-520-7195</v>
      </c>
      <c r="E693" s="2" t="s">
        <v>1263</v>
      </c>
      <c r="F693" s="2" t="s">
        <v>3868</v>
      </c>
      <c r="G693" s="2" t="str">
        <f>"SR-1172"</f>
        <v>SR-1172</v>
      </c>
      <c r="H693" s="2" t="s">
        <v>3869</v>
      </c>
      <c r="I693" s="2" t="s">
        <v>3870</v>
      </c>
      <c r="K693" s="2" t="s">
        <v>3871</v>
      </c>
      <c r="L693" s="2" t="s">
        <v>539</v>
      </c>
      <c r="M693" s="2">
        <v>35111.0</v>
      </c>
      <c r="N693" s="2" t="s">
        <v>21</v>
      </c>
    </row>
    <row r="694" ht="15.75" customHeight="1">
      <c r="A694" s="2">
        <v>2013.0</v>
      </c>
      <c r="B694" s="2" t="s">
        <v>3872</v>
      </c>
      <c r="C694" s="2" t="s">
        <v>3873</v>
      </c>
      <c r="D694" s="2" t="str">
        <f>"5055545054"</f>
        <v>5055545054</v>
      </c>
      <c r="E694" s="2" t="s">
        <v>2162</v>
      </c>
      <c r="F694" s="2" t="s">
        <v>863</v>
      </c>
      <c r="G694" s="2" t="str">
        <f>"SR-1132"</f>
        <v>SR-1132</v>
      </c>
      <c r="H694" s="2" t="s">
        <v>3874</v>
      </c>
      <c r="I694" s="2">
        <v>456.0</v>
      </c>
      <c r="J694" s="2" t="s">
        <v>3875</v>
      </c>
      <c r="K694" s="2" t="s">
        <v>3803</v>
      </c>
      <c r="L694" s="2" t="s">
        <v>789</v>
      </c>
      <c r="M694" s="2">
        <v>87144.0</v>
      </c>
      <c r="N694" s="2" t="s">
        <v>21</v>
      </c>
    </row>
    <row r="695" ht="15.75" customHeight="1">
      <c r="A695" s="2">
        <v>2013.0</v>
      </c>
      <c r="B695" s="2" t="s">
        <v>3876</v>
      </c>
      <c r="C695" s="2" t="s">
        <v>3877</v>
      </c>
      <c r="D695" s="2" t="str">
        <f>"850-668-3388"</f>
        <v>850-668-3388</v>
      </c>
      <c r="E695" s="2" t="s">
        <v>3878</v>
      </c>
      <c r="F695" s="2" t="s">
        <v>3879</v>
      </c>
      <c r="G695" s="2" t="str">
        <f>"SR-1196"</f>
        <v>SR-1196</v>
      </c>
      <c r="H695" s="2" t="s">
        <v>3880</v>
      </c>
      <c r="I695" s="2" t="s">
        <v>3881</v>
      </c>
      <c r="K695" s="2" t="s">
        <v>2007</v>
      </c>
      <c r="L695" s="2" t="s">
        <v>208</v>
      </c>
      <c r="M695" s="2">
        <v>32309.0</v>
      </c>
      <c r="N695" s="2" t="s">
        <v>21</v>
      </c>
    </row>
    <row r="696" ht="15.75" customHeight="1">
      <c r="A696" s="2">
        <v>2013.0</v>
      </c>
      <c r="B696" s="2" t="s">
        <v>3882</v>
      </c>
      <c r="D696" s="2" t="str">
        <f>"716-557-2342"</f>
        <v>716-557-2342</v>
      </c>
      <c r="E696" s="2" t="s">
        <v>385</v>
      </c>
      <c r="F696" s="2" t="s">
        <v>3883</v>
      </c>
      <c r="G696" s="2" t="str">
        <f>"SR-1214"</f>
        <v>SR-1214</v>
      </c>
      <c r="H696" s="2" t="s">
        <v>3884</v>
      </c>
      <c r="I696" s="2" t="s">
        <v>3885</v>
      </c>
      <c r="K696" s="2" t="s">
        <v>3886</v>
      </c>
      <c r="L696" s="2" t="s">
        <v>142</v>
      </c>
      <c r="M696" s="2">
        <v>14743.0</v>
      </c>
      <c r="N696" s="2" t="s">
        <v>21</v>
      </c>
    </row>
    <row r="697" ht="15.75" customHeight="1">
      <c r="A697" s="2">
        <v>2013.0</v>
      </c>
      <c r="B697" s="2" t="s">
        <v>3887</v>
      </c>
      <c r="D697" s="2" t="str">
        <f>""</f>
        <v/>
      </c>
      <c r="E697" s="2" t="s">
        <v>3888</v>
      </c>
      <c r="F697" s="2" t="s">
        <v>3889</v>
      </c>
      <c r="G697" s="2" t="str">
        <f>"SR-1219"</f>
        <v>SR-1219</v>
      </c>
      <c r="H697" s="2" t="s">
        <v>3890</v>
      </c>
      <c r="N697" s="2" t="s">
        <v>21</v>
      </c>
    </row>
    <row r="698" ht="15.75" customHeight="1">
      <c r="A698" s="2">
        <v>2013.0</v>
      </c>
      <c r="B698" s="2" t="s">
        <v>3891</v>
      </c>
      <c r="C698" s="2" t="s">
        <v>3892</v>
      </c>
      <c r="D698" s="2" t="str">
        <f>"319-270-8891"</f>
        <v>319-270-8891</v>
      </c>
      <c r="E698" s="2" t="s">
        <v>1702</v>
      </c>
      <c r="F698" s="2" t="s">
        <v>3893</v>
      </c>
      <c r="G698" s="2" t="str">
        <f>"SR-1129"</f>
        <v>SR-1129</v>
      </c>
      <c r="H698" s="2" t="s">
        <v>3894</v>
      </c>
      <c r="I698" s="2" t="s">
        <v>3895</v>
      </c>
      <c r="K698" s="2" t="s">
        <v>3273</v>
      </c>
      <c r="L698" s="2" t="s">
        <v>560</v>
      </c>
      <c r="M698" s="2">
        <v>52402.0</v>
      </c>
      <c r="N698" s="2" t="s">
        <v>21</v>
      </c>
    </row>
    <row r="699" ht="15.75" customHeight="1">
      <c r="A699" s="2">
        <v>2013.0</v>
      </c>
      <c r="B699" s="2" t="s">
        <v>3896</v>
      </c>
      <c r="C699" s="2" t="s">
        <v>3897</v>
      </c>
      <c r="D699" s="2" t="str">
        <f>"864-322-7117"</f>
        <v>864-322-7117</v>
      </c>
      <c r="E699" s="2" t="s">
        <v>1548</v>
      </c>
      <c r="F699" s="2" t="s">
        <v>3898</v>
      </c>
      <c r="G699" s="2" t="str">
        <f>"SR-821"</f>
        <v>SR-821</v>
      </c>
      <c r="H699" s="2" t="s">
        <v>3899</v>
      </c>
      <c r="I699" s="2" t="s">
        <v>3900</v>
      </c>
      <c r="K699" s="2" t="s">
        <v>3385</v>
      </c>
      <c r="L699" s="2" t="s">
        <v>55</v>
      </c>
      <c r="M699" s="2">
        <v>29650.0</v>
      </c>
      <c r="N699" s="2" t="s">
        <v>21</v>
      </c>
    </row>
    <row r="700" ht="15.75" customHeight="1">
      <c r="A700" s="2">
        <v>2013.0</v>
      </c>
      <c r="B700" s="2" t="s">
        <v>3901</v>
      </c>
      <c r="C700" s="2" t="s">
        <v>3902</v>
      </c>
      <c r="D700" s="2" t="str">
        <f>"8654838022"</f>
        <v>8654838022</v>
      </c>
      <c r="E700" s="2" t="s">
        <v>988</v>
      </c>
      <c r="F700" s="2" t="s">
        <v>3903</v>
      </c>
      <c r="G700" s="2" t="str">
        <f>"SR-1157"</f>
        <v>SR-1157</v>
      </c>
      <c r="H700" s="2" t="s">
        <v>3904</v>
      </c>
      <c r="I700" s="2" t="s">
        <v>3905</v>
      </c>
      <c r="K700" s="2" t="s">
        <v>3906</v>
      </c>
      <c r="L700" s="2" t="s">
        <v>279</v>
      </c>
      <c r="M700" s="2">
        <v>37830.0</v>
      </c>
      <c r="N700" s="2" t="s">
        <v>21</v>
      </c>
    </row>
    <row r="701" ht="15.75" customHeight="1">
      <c r="A701" s="2">
        <v>2013.0</v>
      </c>
      <c r="B701" s="2" t="s">
        <v>3907</v>
      </c>
      <c r="C701" s="2" t="s">
        <v>3907</v>
      </c>
      <c r="D701" s="2" t="str">
        <f>"4073103723"</f>
        <v>4073103723</v>
      </c>
      <c r="E701" s="2" t="s">
        <v>36</v>
      </c>
      <c r="F701" s="2" t="s">
        <v>3908</v>
      </c>
      <c r="G701" s="2" t="str">
        <f>"SR-1221"</f>
        <v>SR-1221</v>
      </c>
      <c r="H701" s="2" t="s">
        <v>3909</v>
      </c>
      <c r="I701" s="2" t="s">
        <v>3910</v>
      </c>
      <c r="K701" s="2" t="s">
        <v>2764</v>
      </c>
      <c r="L701" s="2" t="s">
        <v>208</v>
      </c>
      <c r="M701" s="2">
        <v>32792.0</v>
      </c>
      <c r="N701" s="2" t="s">
        <v>21</v>
      </c>
    </row>
    <row r="702" ht="15.75" customHeight="1">
      <c r="A702" s="2">
        <v>2013.0</v>
      </c>
      <c r="B702" s="2" t="s">
        <v>3911</v>
      </c>
      <c r="C702" s="2" t="s">
        <v>3912</v>
      </c>
      <c r="D702" s="2" t="str">
        <f>"850-668-3144"</f>
        <v>850-668-3144</v>
      </c>
      <c r="E702" s="2" t="s">
        <v>843</v>
      </c>
      <c r="F702" s="2" t="s">
        <v>3913</v>
      </c>
      <c r="G702" s="2" t="str">
        <f>"SR-1052"</f>
        <v>SR-1052</v>
      </c>
      <c r="H702" s="2" t="s">
        <v>3914</v>
      </c>
      <c r="I702" s="2" t="s">
        <v>3915</v>
      </c>
      <c r="K702" s="2" t="s">
        <v>2007</v>
      </c>
      <c r="L702" s="2" t="s">
        <v>208</v>
      </c>
      <c r="M702" s="2">
        <v>32309.0</v>
      </c>
      <c r="N702" s="2" t="s">
        <v>21</v>
      </c>
    </row>
    <row r="703" ht="15.75" customHeight="1">
      <c r="A703" s="2">
        <v>2013.0</v>
      </c>
      <c r="B703" s="2" t="s">
        <v>3916</v>
      </c>
      <c r="C703" s="2" t="s">
        <v>3917</v>
      </c>
      <c r="D703" s="2" t="str">
        <f>"614-501-3736"</f>
        <v>614-501-3736</v>
      </c>
      <c r="E703" s="2" t="s">
        <v>931</v>
      </c>
      <c r="F703" s="2" t="s">
        <v>3918</v>
      </c>
      <c r="G703" s="2" t="str">
        <f>"SR-988"</f>
        <v>SR-988</v>
      </c>
      <c r="H703" s="2" t="s">
        <v>3919</v>
      </c>
      <c r="I703" s="2" t="s">
        <v>3920</v>
      </c>
      <c r="K703" s="2" t="s">
        <v>3921</v>
      </c>
      <c r="L703" s="2" t="s">
        <v>344</v>
      </c>
      <c r="M703" s="2">
        <v>43068.0</v>
      </c>
      <c r="N703" s="2" t="s">
        <v>21</v>
      </c>
    </row>
    <row r="704" ht="15.75" customHeight="1">
      <c r="A704" s="2">
        <v>2013.0</v>
      </c>
      <c r="B704" s="2" t="s">
        <v>3922</v>
      </c>
      <c r="C704" s="2" t="s">
        <v>3922</v>
      </c>
      <c r="D704" s="2" t="str">
        <f>"2606373814"</f>
        <v>2606373814</v>
      </c>
      <c r="E704" s="2" t="s">
        <v>261</v>
      </c>
      <c r="F704" s="2" t="s">
        <v>3236</v>
      </c>
      <c r="G704" s="2" t="str">
        <f>"SR-1225"</f>
        <v>SR-1225</v>
      </c>
      <c r="H704" s="2" t="s">
        <v>3923</v>
      </c>
      <c r="I704" s="2" t="s">
        <v>3924</v>
      </c>
      <c r="K704" s="2" t="s">
        <v>3925</v>
      </c>
      <c r="L704" s="2" t="s">
        <v>149</v>
      </c>
      <c r="M704" s="2">
        <v>46723.0</v>
      </c>
      <c r="N704" s="2" t="s">
        <v>21</v>
      </c>
    </row>
    <row r="705" ht="15.75" customHeight="1">
      <c r="A705" s="2">
        <v>2013.0</v>
      </c>
      <c r="B705" s="2" t="s">
        <v>3926</v>
      </c>
      <c r="C705" s="2" t="s">
        <v>3927</v>
      </c>
      <c r="D705" s="2" t="str">
        <f>"6787586438"</f>
        <v>6787586438</v>
      </c>
      <c r="E705" s="2" t="s">
        <v>428</v>
      </c>
      <c r="F705" s="2" t="s">
        <v>3928</v>
      </c>
      <c r="G705" s="2" t="str">
        <f>"SR-1160"</f>
        <v>SR-1160</v>
      </c>
      <c r="H705" s="2" t="s">
        <v>3929</v>
      </c>
      <c r="I705" s="2" t="s">
        <v>3930</v>
      </c>
      <c r="K705" s="2" t="s">
        <v>1747</v>
      </c>
      <c r="L705" s="2" t="s">
        <v>200</v>
      </c>
      <c r="M705" s="2">
        <v>30273.0</v>
      </c>
      <c r="N705" s="2" t="s">
        <v>21</v>
      </c>
    </row>
    <row r="706" ht="15.75" customHeight="1">
      <c r="A706" s="2">
        <v>2013.0</v>
      </c>
      <c r="B706" s="2" t="s">
        <v>3931</v>
      </c>
      <c r="C706" s="2" t="s">
        <v>3931</v>
      </c>
      <c r="D706" s="2" t="str">
        <f>"2606373814"</f>
        <v>2606373814</v>
      </c>
      <c r="E706" s="2" t="s">
        <v>167</v>
      </c>
      <c r="F706" s="2" t="s">
        <v>3236</v>
      </c>
      <c r="G706" s="2" t="str">
        <f>"SR-1228"</f>
        <v>SR-1228</v>
      </c>
      <c r="H706" s="2" t="s">
        <v>3932</v>
      </c>
      <c r="I706" s="2" t="s">
        <v>3924</v>
      </c>
      <c r="K706" s="2" t="s">
        <v>3925</v>
      </c>
      <c r="L706" s="2" t="s">
        <v>149</v>
      </c>
      <c r="M706" s="2">
        <v>46723.0</v>
      </c>
      <c r="N706" s="2" t="s">
        <v>21</v>
      </c>
    </row>
    <row r="707" ht="15.75" customHeight="1">
      <c r="A707" s="2">
        <v>2013.0</v>
      </c>
      <c r="B707" s="2" t="s">
        <v>3933</v>
      </c>
      <c r="C707" s="2" t="s">
        <v>3934</v>
      </c>
      <c r="D707" s="2" t="str">
        <f>"806-665-5749"</f>
        <v>806-665-5749</v>
      </c>
      <c r="E707" s="2" t="s">
        <v>3935</v>
      </c>
      <c r="F707" s="2" t="s">
        <v>3936</v>
      </c>
      <c r="G707" s="2" t="str">
        <f>"SR-1229"</f>
        <v>SR-1229</v>
      </c>
      <c r="H707" s="2" t="s">
        <v>3937</v>
      </c>
      <c r="I707" s="2" t="s">
        <v>3938</v>
      </c>
      <c r="K707" s="2" t="s">
        <v>3939</v>
      </c>
      <c r="L707" s="2" t="s">
        <v>172</v>
      </c>
      <c r="M707" s="2">
        <v>79065.0</v>
      </c>
      <c r="N707" s="2" t="s">
        <v>21</v>
      </c>
    </row>
    <row r="708" ht="15.75" customHeight="1">
      <c r="A708" s="2">
        <v>2013.0</v>
      </c>
      <c r="B708" s="2" t="s">
        <v>3940</v>
      </c>
      <c r="C708" s="2" t="s">
        <v>3940</v>
      </c>
      <c r="D708" s="2" t="str">
        <f>"6418950295"</f>
        <v>6418950295</v>
      </c>
      <c r="E708" s="2" t="s">
        <v>3941</v>
      </c>
      <c r="F708" s="2" t="s">
        <v>3942</v>
      </c>
      <c r="G708" s="2" t="str">
        <f>"SR-1174"</f>
        <v>SR-1174</v>
      </c>
      <c r="H708" s="2" t="s">
        <v>3943</v>
      </c>
      <c r="I708" s="2" t="s">
        <v>3944</v>
      </c>
      <c r="K708" s="2" t="s">
        <v>357</v>
      </c>
      <c r="L708" s="2" t="s">
        <v>560</v>
      </c>
      <c r="M708" s="2">
        <v>52581.0</v>
      </c>
      <c r="N708" s="2" t="s">
        <v>21</v>
      </c>
    </row>
    <row r="709" ht="15.75" customHeight="1">
      <c r="A709" s="2">
        <v>2013.0</v>
      </c>
      <c r="B709" s="2" t="s">
        <v>3945</v>
      </c>
      <c r="C709" s="2" t="s">
        <v>3946</v>
      </c>
      <c r="D709" s="2" t="str">
        <f>"(562) 426-4233"</f>
        <v>(562) 426-4233</v>
      </c>
      <c r="E709" s="2" t="s">
        <v>453</v>
      </c>
      <c r="F709" s="2" t="s">
        <v>3947</v>
      </c>
      <c r="G709" s="2" t="str">
        <f>"SR-1226"</f>
        <v>SR-1226</v>
      </c>
      <c r="H709" s="2" t="s">
        <v>3948</v>
      </c>
      <c r="I709" s="2" t="s">
        <v>3949</v>
      </c>
      <c r="K709" s="2" t="s">
        <v>3950</v>
      </c>
      <c r="L709" s="2" t="s">
        <v>222</v>
      </c>
      <c r="M709" s="2">
        <v>90807.0</v>
      </c>
      <c r="N709" s="2" t="s">
        <v>21</v>
      </c>
    </row>
    <row r="710" ht="15.75" customHeight="1">
      <c r="A710" s="2">
        <v>2013.0</v>
      </c>
      <c r="B710" s="2" t="s">
        <v>3951</v>
      </c>
      <c r="C710" s="2" t="s">
        <v>3951</v>
      </c>
      <c r="D710" s="2" t="str">
        <f>"940-293-7189"</f>
        <v>940-293-7189</v>
      </c>
      <c r="E710" s="2" t="s">
        <v>3170</v>
      </c>
      <c r="F710" s="2" t="s">
        <v>3144</v>
      </c>
      <c r="G710" s="2" t="str">
        <f>"SR-1232"</f>
        <v>SR-1232</v>
      </c>
      <c r="H710" s="2" t="s">
        <v>3952</v>
      </c>
      <c r="I710" s="2" t="s">
        <v>3953</v>
      </c>
      <c r="K710" s="2" t="s">
        <v>3954</v>
      </c>
      <c r="L710" s="2" t="s">
        <v>172</v>
      </c>
      <c r="M710" s="2">
        <v>76266.0</v>
      </c>
      <c r="N710" s="2" t="s">
        <v>21</v>
      </c>
    </row>
    <row r="711" ht="15.75" customHeight="1">
      <c r="A711" s="2">
        <v>2013.0</v>
      </c>
      <c r="B711" s="2" t="s">
        <v>3951</v>
      </c>
      <c r="C711" s="2" t="s">
        <v>3955</v>
      </c>
      <c r="D711" s="2" t="str">
        <f>"940-600-3777"</f>
        <v>940-600-3777</v>
      </c>
      <c r="E711" s="2" t="s">
        <v>3956</v>
      </c>
      <c r="F711" s="2" t="s">
        <v>3144</v>
      </c>
      <c r="G711" s="2" t="str">
        <f>"SR-1234"</f>
        <v>SR-1234</v>
      </c>
      <c r="H711" s="2" t="s">
        <v>3957</v>
      </c>
      <c r="I711" s="2" t="s">
        <v>3953</v>
      </c>
      <c r="K711" s="2" t="s">
        <v>3954</v>
      </c>
      <c r="L711" s="2" t="s">
        <v>172</v>
      </c>
      <c r="M711" s="2">
        <v>76266.0</v>
      </c>
      <c r="N711" s="2" t="s">
        <v>21</v>
      </c>
    </row>
    <row r="712" ht="15.75" customHeight="1">
      <c r="A712" s="2">
        <v>2013.0</v>
      </c>
      <c r="B712" s="2" t="s">
        <v>3958</v>
      </c>
      <c r="C712" s="2" t="s">
        <v>3958</v>
      </c>
      <c r="D712" s="2" t="str">
        <f>"(515) 326-2754"</f>
        <v>(515) 326-2754</v>
      </c>
      <c r="E712" s="2" t="s">
        <v>3312</v>
      </c>
      <c r="F712" s="2" t="s">
        <v>962</v>
      </c>
      <c r="G712" s="2" t="str">
        <f>"SR-1231"</f>
        <v>SR-1231</v>
      </c>
      <c r="H712" s="2" t="s">
        <v>3959</v>
      </c>
      <c r="I712" s="2" t="s">
        <v>3960</v>
      </c>
      <c r="K712" s="2" t="s">
        <v>3961</v>
      </c>
      <c r="L712" s="2" t="s">
        <v>560</v>
      </c>
      <c r="M712" s="2">
        <v>50063.0</v>
      </c>
      <c r="N712" s="2" t="s">
        <v>21</v>
      </c>
    </row>
    <row r="713" ht="15.75" customHeight="1">
      <c r="A713" s="2">
        <v>2013.0</v>
      </c>
      <c r="B713" s="2" t="s">
        <v>3962</v>
      </c>
      <c r="C713" s="2" t="s">
        <v>3963</v>
      </c>
      <c r="D713" s="2" t="str">
        <f>"813-258-8615"</f>
        <v>813-258-8615</v>
      </c>
      <c r="E713" s="2" t="s">
        <v>931</v>
      </c>
      <c r="F713" s="2" t="s">
        <v>3964</v>
      </c>
      <c r="G713" s="2" t="str">
        <f>"SR-1233"</f>
        <v>SR-1233</v>
      </c>
      <c r="H713" s="2" t="s">
        <v>3965</v>
      </c>
      <c r="I713" s="2" t="s">
        <v>3966</v>
      </c>
      <c r="K713" s="2" t="s">
        <v>3431</v>
      </c>
      <c r="L713" s="2" t="s">
        <v>208</v>
      </c>
      <c r="M713" s="2">
        <v>33629.0</v>
      </c>
      <c r="N713" s="2" t="s">
        <v>21</v>
      </c>
    </row>
    <row r="714" ht="15.75" customHeight="1">
      <c r="A714" s="2">
        <v>2013.0</v>
      </c>
      <c r="B714" s="2" t="s">
        <v>3967</v>
      </c>
      <c r="C714" s="2" t="s">
        <v>3968</v>
      </c>
      <c r="D714" s="2" t="str">
        <f>"734 424-9725"</f>
        <v>734 424-9725</v>
      </c>
      <c r="E714" s="2" t="s">
        <v>282</v>
      </c>
      <c r="F714" s="2" t="s">
        <v>984</v>
      </c>
      <c r="G714" s="2" t="str">
        <f>"SR-1190"</f>
        <v>SR-1190</v>
      </c>
      <c r="H714" s="2" t="s">
        <v>3969</v>
      </c>
      <c r="I714" s="2" t="s">
        <v>3970</v>
      </c>
      <c r="K714" s="2" t="s">
        <v>3971</v>
      </c>
      <c r="L714" s="2" t="s">
        <v>29</v>
      </c>
      <c r="M714" s="2">
        <v>48189.0</v>
      </c>
      <c r="N714" s="2" t="s">
        <v>21</v>
      </c>
    </row>
    <row r="715" ht="15.75" customHeight="1">
      <c r="A715" s="2">
        <v>2013.0</v>
      </c>
      <c r="B715" s="2" t="s">
        <v>3972</v>
      </c>
      <c r="C715" s="2" t="s">
        <v>3972</v>
      </c>
      <c r="D715" s="2" t="str">
        <f>"4236373349"</f>
        <v>4236373349</v>
      </c>
      <c r="E715" s="2" t="s">
        <v>843</v>
      </c>
      <c r="F715" s="2" t="s">
        <v>3283</v>
      </c>
      <c r="G715" s="2" t="str">
        <f>"SR-869"</f>
        <v>SR-869</v>
      </c>
      <c r="H715" s="2" t="s">
        <v>3973</v>
      </c>
      <c r="I715" s="2" t="s">
        <v>3974</v>
      </c>
      <c r="K715" s="2" t="s">
        <v>3975</v>
      </c>
      <c r="L715" s="2" t="s">
        <v>279</v>
      </c>
      <c r="M715" s="2">
        <v>37415.0</v>
      </c>
      <c r="N715" s="2" t="s">
        <v>21</v>
      </c>
    </row>
    <row r="716" ht="15.75" customHeight="1">
      <c r="A716" s="2">
        <v>2013.0</v>
      </c>
      <c r="B716" s="2" t="s">
        <v>3976</v>
      </c>
      <c r="D716" s="2" t="str">
        <f>""</f>
        <v/>
      </c>
      <c r="E716" s="2" t="s">
        <v>3977</v>
      </c>
      <c r="F716" s="2" t="s">
        <v>3978</v>
      </c>
      <c r="G716" s="2" t="str">
        <f>"SR-867"</f>
        <v>SR-867</v>
      </c>
      <c r="H716" s="2" t="s">
        <v>3979</v>
      </c>
    </row>
    <row r="717" ht="15.75" customHeight="1">
      <c r="A717" s="2">
        <v>2013.0</v>
      </c>
      <c r="B717" s="2" t="s">
        <v>3980</v>
      </c>
      <c r="D717" s="2" t="str">
        <f>"5157782787"</f>
        <v>5157782787</v>
      </c>
      <c r="E717" s="2" t="s">
        <v>282</v>
      </c>
      <c r="F717" s="2" t="s">
        <v>2350</v>
      </c>
      <c r="G717" s="2" t="str">
        <f>"SR-736"</f>
        <v>SR-736</v>
      </c>
      <c r="H717" s="2" t="s">
        <v>3981</v>
      </c>
      <c r="I717" s="2" t="s">
        <v>3982</v>
      </c>
      <c r="K717" s="2" t="s">
        <v>3050</v>
      </c>
      <c r="L717" s="2" t="s">
        <v>560</v>
      </c>
      <c r="M717" s="2">
        <v>50322.0</v>
      </c>
      <c r="N717" s="2" t="s">
        <v>21</v>
      </c>
    </row>
    <row r="718" ht="15.75" customHeight="1">
      <c r="A718" s="2">
        <v>2013.0</v>
      </c>
      <c r="B718" s="2" t="s">
        <v>3983</v>
      </c>
      <c r="C718" s="2" t="s">
        <v>3983</v>
      </c>
      <c r="D718" s="2" t="str">
        <f>"13619932118"</f>
        <v>13619932118</v>
      </c>
      <c r="E718" s="2" t="s">
        <v>1767</v>
      </c>
      <c r="F718" s="2" t="s">
        <v>3984</v>
      </c>
      <c r="G718" s="2" t="str">
        <f>"SR-488"</f>
        <v>SR-488</v>
      </c>
      <c r="H718" s="2" t="s">
        <v>3985</v>
      </c>
      <c r="I718" s="2" t="s">
        <v>3986</v>
      </c>
      <c r="K718" s="2" t="s">
        <v>3987</v>
      </c>
      <c r="L718" s="2" t="s">
        <v>172</v>
      </c>
      <c r="M718" s="2">
        <v>78414.0</v>
      </c>
      <c r="N718" s="2" t="s">
        <v>21</v>
      </c>
    </row>
    <row r="719" ht="15.75" customHeight="1">
      <c r="A719" s="2">
        <v>2013.0</v>
      </c>
      <c r="B719" s="2" t="s">
        <v>3988</v>
      </c>
      <c r="C719" s="2" t="s">
        <v>3988</v>
      </c>
      <c r="D719" s="2" t="str">
        <f>"(716)664-2239"</f>
        <v>(716)664-2239</v>
      </c>
      <c r="E719" s="2" t="s">
        <v>3989</v>
      </c>
      <c r="F719" s="2" t="s">
        <v>3990</v>
      </c>
      <c r="G719" s="2" t="str">
        <f>"SR-824"</f>
        <v>SR-824</v>
      </c>
      <c r="H719" s="2" t="s">
        <v>3991</v>
      </c>
      <c r="I719" s="2" t="s">
        <v>3992</v>
      </c>
      <c r="K719" s="2" t="s">
        <v>1839</v>
      </c>
      <c r="L719" s="2" t="s">
        <v>142</v>
      </c>
      <c r="M719" s="2">
        <v>14701.0</v>
      </c>
      <c r="N719" s="2" t="s">
        <v>21</v>
      </c>
    </row>
    <row r="720" ht="15.75" customHeight="1">
      <c r="A720" s="2">
        <v>2013.0</v>
      </c>
      <c r="B720" s="2" t="s">
        <v>3993</v>
      </c>
      <c r="C720" s="2" t="s">
        <v>3994</v>
      </c>
      <c r="D720" s="2" t="str">
        <f>"719 532-0476"</f>
        <v>719 532-0476</v>
      </c>
      <c r="E720" s="2" t="s">
        <v>1263</v>
      </c>
      <c r="F720" s="2" t="s">
        <v>3995</v>
      </c>
      <c r="G720" s="2" t="str">
        <f>"SR-1248"</f>
        <v>SR-1248</v>
      </c>
      <c r="H720" s="2" t="s">
        <v>3996</v>
      </c>
      <c r="I720" s="2" t="s">
        <v>3997</v>
      </c>
      <c r="K720" s="2" t="s">
        <v>809</v>
      </c>
      <c r="L720" s="2" t="s">
        <v>157</v>
      </c>
      <c r="M720" s="2">
        <v>80918.0</v>
      </c>
      <c r="N720" s="2" t="s">
        <v>21</v>
      </c>
    </row>
    <row r="721" ht="15.75" customHeight="1">
      <c r="A721" s="2">
        <v>2013.0</v>
      </c>
      <c r="B721" s="2" t="s">
        <v>3998</v>
      </c>
      <c r="D721" s="2" t="str">
        <f>"419-651-9864"</f>
        <v>419-651-9864</v>
      </c>
      <c r="E721" s="2" t="s">
        <v>72</v>
      </c>
      <c r="F721" s="2" t="s">
        <v>3999</v>
      </c>
      <c r="G721" s="2" t="str">
        <f>"SR-1202"</f>
        <v>SR-1202</v>
      </c>
      <c r="H721" s="2" t="s">
        <v>4000</v>
      </c>
      <c r="I721" s="2" t="s">
        <v>4001</v>
      </c>
      <c r="K721" s="2" t="s">
        <v>4002</v>
      </c>
      <c r="L721" s="2" t="s">
        <v>344</v>
      </c>
      <c r="M721" s="2">
        <v>44840.0</v>
      </c>
      <c r="N721" s="2" t="s">
        <v>21</v>
      </c>
    </row>
    <row r="722" ht="15.75" customHeight="1">
      <c r="A722" s="2">
        <v>2013.0</v>
      </c>
      <c r="B722" s="2" t="s">
        <v>4003</v>
      </c>
      <c r="C722" s="2" t="s">
        <v>4004</v>
      </c>
      <c r="D722" s="2" t="str">
        <f>"719-391-3844"</f>
        <v>719-391-3844</v>
      </c>
      <c r="E722" s="2" t="s">
        <v>4005</v>
      </c>
      <c r="F722" s="2" t="s">
        <v>3144</v>
      </c>
      <c r="G722" s="2" t="str">
        <f>"SR-949"</f>
        <v>SR-949</v>
      </c>
      <c r="H722" s="2" t="s">
        <v>4006</v>
      </c>
      <c r="I722" s="2" t="s">
        <v>4007</v>
      </c>
      <c r="K722" s="2" t="s">
        <v>809</v>
      </c>
      <c r="L722" s="2" t="s">
        <v>157</v>
      </c>
      <c r="M722" s="2">
        <v>80917.0</v>
      </c>
      <c r="N722" s="2" t="s">
        <v>21</v>
      </c>
    </row>
    <row r="723" ht="15.75" customHeight="1">
      <c r="A723" s="2">
        <v>2013.0</v>
      </c>
      <c r="B723" s="2" t="s">
        <v>4008</v>
      </c>
      <c r="C723" s="2" t="s">
        <v>4009</v>
      </c>
      <c r="D723" s="2" t="str">
        <f>"(630) 984-5158"</f>
        <v>(630) 984-5158</v>
      </c>
      <c r="E723" s="2" t="s">
        <v>4010</v>
      </c>
      <c r="F723" s="2" t="s">
        <v>4011</v>
      </c>
      <c r="G723" s="2" t="str">
        <f>"SR-1021"</f>
        <v>SR-1021</v>
      </c>
      <c r="H723" s="2" t="s">
        <v>4012</v>
      </c>
      <c r="I723" s="2" t="s">
        <v>4013</v>
      </c>
      <c r="K723" s="2" t="s">
        <v>4014</v>
      </c>
      <c r="L723" s="2" t="s">
        <v>105</v>
      </c>
      <c r="M723" s="2">
        <v>60137.0</v>
      </c>
      <c r="N723" s="2" t="s">
        <v>21</v>
      </c>
    </row>
    <row r="724" ht="15.75" customHeight="1">
      <c r="A724" s="2">
        <v>2013.0</v>
      </c>
      <c r="B724" s="2" t="s">
        <v>4015</v>
      </c>
      <c r="C724" s="2" t="s">
        <v>4016</v>
      </c>
      <c r="D724" s="2" t="str">
        <f>"320-322-2154"</f>
        <v>320-322-2154</v>
      </c>
      <c r="E724" s="2" t="s">
        <v>983</v>
      </c>
      <c r="F724" s="2" t="s">
        <v>4017</v>
      </c>
      <c r="G724" s="2" t="str">
        <f>"SR-1253"</f>
        <v>SR-1253</v>
      </c>
      <c r="H724" s="2" t="s">
        <v>4018</v>
      </c>
      <c r="I724" s="2">
        <v>15709.0</v>
      </c>
      <c r="J724" s="2" t="s">
        <v>4019</v>
      </c>
      <c r="K724" s="2" t="s">
        <v>4020</v>
      </c>
      <c r="L724" s="2" t="s">
        <v>62</v>
      </c>
      <c r="M724" s="2">
        <v>55063.0</v>
      </c>
      <c r="N724" s="2" t="s">
        <v>21</v>
      </c>
    </row>
    <row r="725" ht="15.75" customHeight="1">
      <c r="A725" s="2">
        <v>2013.0</v>
      </c>
      <c r="B725" s="2" t="s">
        <v>4021</v>
      </c>
      <c r="C725" s="2" t="s">
        <v>4022</v>
      </c>
      <c r="D725" s="2" t="str">
        <f>"7147438100"</f>
        <v>7147438100</v>
      </c>
      <c r="E725" s="2" t="s">
        <v>580</v>
      </c>
      <c r="F725" s="2" t="s">
        <v>4023</v>
      </c>
      <c r="G725" s="2" t="str">
        <f>"SR-1227"</f>
        <v>SR-1227</v>
      </c>
      <c r="H725" s="2" t="s">
        <v>4024</v>
      </c>
      <c r="I725" s="2" t="s">
        <v>4025</v>
      </c>
      <c r="K725" s="2" t="s">
        <v>4026</v>
      </c>
      <c r="L725" s="2" t="s">
        <v>222</v>
      </c>
      <c r="M725" s="2">
        <v>92806.0</v>
      </c>
      <c r="N725" s="2" t="s">
        <v>21</v>
      </c>
    </row>
    <row r="726" ht="15.75" customHeight="1">
      <c r="A726" s="2">
        <v>2013.0</v>
      </c>
      <c r="B726" s="2" t="s">
        <v>4027</v>
      </c>
      <c r="C726" s="2" t="s">
        <v>4027</v>
      </c>
      <c r="D726" s="2" t="str">
        <f>"(269) 471-9152"</f>
        <v>(269) 471-9152</v>
      </c>
      <c r="E726" s="2" t="s">
        <v>4028</v>
      </c>
      <c r="F726" s="2" t="s">
        <v>962</v>
      </c>
      <c r="G726" s="2" t="str">
        <f>"SR-325"</f>
        <v>SR-325</v>
      </c>
      <c r="H726" s="2" t="s">
        <v>4029</v>
      </c>
      <c r="I726" s="2" t="s">
        <v>4030</v>
      </c>
      <c r="K726" s="2" t="s">
        <v>4031</v>
      </c>
      <c r="L726" s="2" t="s">
        <v>29</v>
      </c>
      <c r="M726" s="2">
        <v>49103.0</v>
      </c>
      <c r="N726" s="2" t="s">
        <v>21</v>
      </c>
    </row>
    <row r="727" ht="15.75" customHeight="1">
      <c r="A727" s="2">
        <v>2013.0</v>
      </c>
      <c r="B727" s="2" t="s">
        <v>4032</v>
      </c>
      <c r="C727" s="2" t="s">
        <v>4032</v>
      </c>
      <c r="D727" s="2" t="str">
        <f>"(330)488-0301"</f>
        <v>(330)488-0301</v>
      </c>
      <c r="E727" s="2" t="s">
        <v>4033</v>
      </c>
      <c r="F727" s="2" t="s">
        <v>4034</v>
      </c>
      <c r="G727" s="2" t="str">
        <f>"SR-1257"</f>
        <v>SR-1257</v>
      </c>
      <c r="H727" s="2" t="s">
        <v>4035</v>
      </c>
      <c r="I727" s="2" t="s">
        <v>4036</v>
      </c>
      <c r="K727" s="2" t="s">
        <v>4037</v>
      </c>
      <c r="L727" s="2" t="s">
        <v>344</v>
      </c>
      <c r="M727" s="2">
        <v>44730.0</v>
      </c>
      <c r="N727" s="2" t="s">
        <v>21</v>
      </c>
    </row>
    <row r="728" ht="15.75" customHeight="1">
      <c r="A728" s="2">
        <v>2013.0</v>
      </c>
      <c r="B728" s="2" t="s">
        <v>4038</v>
      </c>
      <c r="C728" s="2" t="s">
        <v>4038</v>
      </c>
      <c r="D728" s="2" t="str">
        <f>"727-735-3649"</f>
        <v>727-735-3649</v>
      </c>
      <c r="E728" s="2" t="s">
        <v>3196</v>
      </c>
      <c r="F728" s="2" t="s">
        <v>4039</v>
      </c>
      <c r="G728" s="2" t="str">
        <f>"SR-1163"</f>
        <v>SR-1163</v>
      </c>
      <c r="H728" s="2" t="s">
        <v>4040</v>
      </c>
      <c r="I728" s="2" t="s">
        <v>4041</v>
      </c>
      <c r="K728" s="2" t="s">
        <v>4042</v>
      </c>
      <c r="L728" s="2" t="s">
        <v>208</v>
      </c>
      <c r="M728" s="2">
        <v>33772.0</v>
      </c>
      <c r="N728" s="2" t="s">
        <v>21</v>
      </c>
    </row>
    <row r="729" ht="15.75" customHeight="1">
      <c r="A729" s="2">
        <v>2013.0</v>
      </c>
      <c r="B729" s="2" t="s">
        <v>4043</v>
      </c>
      <c r="C729" s="2" t="s">
        <v>4043</v>
      </c>
      <c r="D729" s="2" t="str">
        <f>"770-295-9547"</f>
        <v>770-295-9547</v>
      </c>
      <c r="E729" s="2" t="s">
        <v>282</v>
      </c>
      <c r="F729" s="2" t="s">
        <v>1151</v>
      </c>
      <c r="G729" s="2" t="str">
        <f>"SR-1249"</f>
        <v>SR-1249</v>
      </c>
      <c r="H729" s="2" t="s">
        <v>4044</v>
      </c>
      <c r="I729" s="2" t="s">
        <v>4045</v>
      </c>
      <c r="K729" s="2" t="s">
        <v>4046</v>
      </c>
      <c r="L729" s="2" t="s">
        <v>200</v>
      </c>
      <c r="M729" s="2">
        <v>30297.0</v>
      </c>
      <c r="N729" s="2" t="s">
        <v>21</v>
      </c>
    </row>
    <row r="730" ht="15.75" customHeight="1">
      <c r="A730" s="2">
        <v>2013.0</v>
      </c>
      <c r="B730" s="2" t="s">
        <v>4047</v>
      </c>
      <c r="C730" s="2" t="s">
        <v>4047</v>
      </c>
      <c r="D730" s="2" t="str">
        <f>"905-852-4064"</f>
        <v>905-852-4064</v>
      </c>
      <c r="E730" s="2" t="s">
        <v>931</v>
      </c>
      <c r="F730" s="2" t="s">
        <v>2019</v>
      </c>
      <c r="G730" s="2" t="str">
        <f>"SR-727"</f>
        <v>SR-727</v>
      </c>
      <c r="H730" s="2" t="s">
        <v>4048</v>
      </c>
      <c r="I730" s="2" t="s">
        <v>4049</v>
      </c>
      <c r="K730" s="2" t="s">
        <v>2014</v>
      </c>
      <c r="L730" s="2" t="s">
        <v>2015</v>
      </c>
      <c r="M730" s="2" t="s">
        <v>2023</v>
      </c>
      <c r="N730" s="2" t="s">
        <v>1602</v>
      </c>
    </row>
    <row r="731" ht="15.75" customHeight="1">
      <c r="A731" s="2">
        <v>2013.0</v>
      </c>
      <c r="B731" s="2" t="s">
        <v>4050</v>
      </c>
      <c r="C731" s="2" t="s">
        <v>4050</v>
      </c>
      <c r="D731" s="2" t="str">
        <f>"503 407 8635"</f>
        <v>503 407 8635</v>
      </c>
      <c r="E731" s="2" t="s">
        <v>2941</v>
      </c>
      <c r="F731" s="2" t="s">
        <v>4051</v>
      </c>
      <c r="G731" s="2" t="str">
        <f>"SR-1259"</f>
        <v>SR-1259</v>
      </c>
      <c r="H731" s="2" t="s">
        <v>4052</v>
      </c>
      <c r="I731" s="2" t="s">
        <v>4053</v>
      </c>
      <c r="K731" s="2" t="s">
        <v>4054</v>
      </c>
      <c r="L731" s="2" t="s">
        <v>2389</v>
      </c>
      <c r="M731" s="2">
        <v>97119.0</v>
      </c>
      <c r="N731" s="2" t="s">
        <v>21</v>
      </c>
    </row>
    <row r="732" ht="15.75" customHeight="1">
      <c r="A732" s="2">
        <v>2013.0</v>
      </c>
      <c r="B732" s="2" t="s">
        <v>4055</v>
      </c>
      <c r="C732" s="2" t="s">
        <v>4056</v>
      </c>
      <c r="D732" s="2" t="str">
        <f>"214-773-7236"</f>
        <v>214-773-7236</v>
      </c>
      <c r="E732" s="2" t="s">
        <v>4057</v>
      </c>
      <c r="F732" s="2" t="s">
        <v>4058</v>
      </c>
      <c r="G732" s="2" t="str">
        <f>"SR-1178"</f>
        <v>SR-1178</v>
      </c>
      <c r="H732" s="2" t="s">
        <v>4059</v>
      </c>
      <c r="I732" s="2" t="s">
        <v>4060</v>
      </c>
      <c r="K732" s="2" t="s">
        <v>4061</v>
      </c>
      <c r="L732" s="2" t="s">
        <v>172</v>
      </c>
      <c r="M732" s="2">
        <v>75230.0</v>
      </c>
      <c r="N732" s="2" t="s">
        <v>21</v>
      </c>
    </row>
    <row r="733" ht="15.75" customHeight="1">
      <c r="A733" s="2">
        <v>2013.0</v>
      </c>
      <c r="B733" s="2" t="s">
        <v>4062</v>
      </c>
      <c r="C733" s="2" t="s">
        <v>4063</v>
      </c>
      <c r="D733" s="2" t="str">
        <f t="shared" ref="D733:D735" si="12">"828-369-9675"</f>
        <v>828-369-9675</v>
      </c>
      <c r="E733" s="2" t="s">
        <v>4064</v>
      </c>
      <c r="F733" s="2" t="s">
        <v>4065</v>
      </c>
      <c r="G733" s="2" t="str">
        <f>"SR-1262"</f>
        <v>SR-1262</v>
      </c>
      <c r="H733" s="2" t="s">
        <v>4066</v>
      </c>
      <c r="I733" s="2" t="s">
        <v>4067</v>
      </c>
      <c r="K733" s="2" t="s">
        <v>278</v>
      </c>
      <c r="L733" s="2" t="s">
        <v>20</v>
      </c>
      <c r="M733" s="2">
        <v>28734.0</v>
      </c>
      <c r="N733" s="2" t="s">
        <v>21</v>
      </c>
    </row>
    <row r="734" ht="15.75" customHeight="1">
      <c r="A734" s="2">
        <v>2013.0</v>
      </c>
      <c r="B734" s="2" t="s">
        <v>4062</v>
      </c>
      <c r="C734" s="2" t="s">
        <v>4068</v>
      </c>
      <c r="D734" s="2" t="str">
        <f t="shared" si="12"/>
        <v>828-369-9675</v>
      </c>
      <c r="E734" s="2" t="s">
        <v>843</v>
      </c>
      <c r="F734" s="2" t="s">
        <v>4065</v>
      </c>
      <c r="G734" s="2" t="str">
        <f>"SR-1264"</f>
        <v>SR-1264</v>
      </c>
      <c r="H734" s="2" t="s">
        <v>4069</v>
      </c>
      <c r="I734" s="2" t="s">
        <v>4067</v>
      </c>
      <c r="K734" s="2" t="s">
        <v>278</v>
      </c>
      <c r="L734" s="2" t="s">
        <v>20</v>
      </c>
      <c r="M734" s="2">
        <v>28734.0</v>
      </c>
      <c r="N734" s="2" t="s">
        <v>21</v>
      </c>
    </row>
    <row r="735" ht="15.75" customHeight="1">
      <c r="A735" s="2">
        <v>2013.0</v>
      </c>
      <c r="B735" s="2" t="s">
        <v>4062</v>
      </c>
      <c r="C735" s="2" t="s">
        <v>4070</v>
      </c>
      <c r="D735" s="2" t="str">
        <f t="shared" si="12"/>
        <v>828-369-9675</v>
      </c>
      <c r="E735" s="2" t="s">
        <v>4071</v>
      </c>
      <c r="F735" s="2" t="s">
        <v>4065</v>
      </c>
      <c r="G735" s="2" t="str">
        <f>"SR-1265"</f>
        <v>SR-1265</v>
      </c>
      <c r="H735" s="2" t="s">
        <v>4072</v>
      </c>
      <c r="I735" s="2" t="s">
        <v>4067</v>
      </c>
      <c r="K735" s="2" t="s">
        <v>278</v>
      </c>
      <c r="L735" s="2" t="s">
        <v>20</v>
      </c>
      <c r="M735" s="2">
        <v>28734.0</v>
      </c>
      <c r="N735" s="2" t="s">
        <v>21</v>
      </c>
    </row>
    <row r="736" ht="15.75" customHeight="1">
      <c r="A736" s="2">
        <v>2013.0</v>
      </c>
      <c r="B736" s="2" t="s">
        <v>4073</v>
      </c>
      <c r="C736" s="2" t="s">
        <v>4073</v>
      </c>
      <c r="D736" s="2" t="str">
        <f>"469-236-7912"</f>
        <v>469-236-7912</v>
      </c>
      <c r="E736" s="2" t="s">
        <v>4074</v>
      </c>
      <c r="F736" s="2" t="s">
        <v>4075</v>
      </c>
      <c r="G736" s="2" t="str">
        <f>"SR-517"</f>
        <v>SR-517</v>
      </c>
      <c r="H736" s="2" t="s">
        <v>4076</v>
      </c>
      <c r="I736" s="2" t="s">
        <v>4077</v>
      </c>
      <c r="J736" s="2" t="s">
        <v>4078</v>
      </c>
      <c r="K736" s="2" t="s">
        <v>4079</v>
      </c>
      <c r="L736" s="2" t="s">
        <v>172</v>
      </c>
      <c r="M736" s="2">
        <v>75044.0</v>
      </c>
      <c r="N736" s="2" t="s">
        <v>21</v>
      </c>
    </row>
    <row r="737" ht="15.75" customHeight="1">
      <c r="A737" s="2">
        <v>2013.0</v>
      </c>
      <c r="B737" s="2" t="s">
        <v>4080</v>
      </c>
      <c r="C737" s="2" t="s">
        <v>4081</v>
      </c>
      <c r="D737" s="2" t="str">
        <f>"561-994-3870"</f>
        <v>561-994-3870</v>
      </c>
      <c r="E737" s="2" t="s">
        <v>72</v>
      </c>
      <c r="F737" s="2" t="s">
        <v>4082</v>
      </c>
      <c r="G737" s="2" t="str">
        <f>"SR-1250"</f>
        <v>SR-1250</v>
      </c>
      <c r="H737" s="2" t="s">
        <v>4083</v>
      </c>
      <c r="I737" s="2" t="s">
        <v>4084</v>
      </c>
      <c r="K737" s="2" t="s">
        <v>2273</v>
      </c>
      <c r="L737" s="2" t="s">
        <v>208</v>
      </c>
      <c r="M737" s="2">
        <v>33487.0</v>
      </c>
      <c r="N737" s="2" t="s">
        <v>21</v>
      </c>
    </row>
    <row r="738" ht="15.75" customHeight="1">
      <c r="A738" s="2">
        <v>2013.0</v>
      </c>
      <c r="B738" s="2" t="s">
        <v>4085</v>
      </c>
      <c r="C738" s="2" t="s">
        <v>4086</v>
      </c>
      <c r="D738" s="2" t="str">
        <f>"(615) 598-0321"</f>
        <v>(615) 598-0321</v>
      </c>
      <c r="E738" s="2" t="s">
        <v>4087</v>
      </c>
      <c r="F738" s="2" t="s">
        <v>2429</v>
      </c>
      <c r="G738" s="2" t="str">
        <f>"SR-1079"</f>
        <v>SR-1079</v>
      </c>
      <c r="H738" s="2" t="s">
        <v>4088</v>
      </c>
      <c r="I738" s="2" t="s">
        <v>4089</v>
      </c>
      <c r="K738" s="2" t="s">
        <v>1878</v>
      </c>
      <c r="L738" s="2" t="s">
        <v>55</v>
      </c>
      <c r="M738" s="2">
        <v>29681.0</v>
      </c>
      <c r="N738" s="2" t="s">
        <v>21</v>
      </c>
    </row>
    <row r="739" ht="15.75" customHeight="1">
      <c r="A739" s="2">
        <v>2013.0</v>
      </c>
      <c r="B739" s="2" t="s">
        <v>4090</v>
      </c>
      <c r="C739" s="2" t="s">
        <v>4091</v>
      </c>
      <c r="D739" s="2" t="str">
        <f>"8644148993"</f>
        <v>8644148993</v>
      </c>
      <c r="E739" s="2" t="s">
        <v>4092</v>
      </c>
      <c r="F739" s="2" t="s">
        <v>877</v>
      </c>
      <c r="G739" s="2" t="str">
        <f>"SR-1077"</f>
        <v>SR-1077</v>
      </c>
      <c r="H739" s="2" t="s">
        <v>4093</v>
      </c>
      <c r="I739" s="2" t="s">
        <v>4094</v>
      </c>
      <c r="K739" s="2" t="s">
        <v>4095</v>
      </c>
      <c r="L739" s="2" t="s">
        <v>55</v>
      </c>
      <c r="M739" s="2">
        <v>29644.0</v>
      </c>
      <c r="N739" s="2" t="s">
        <v>21</v>
      </c>
    </row>
    <row r="740" ht="15.75" customHeight="1">
      <c r="A740" s="2">
        <v>2013.0</v>
      </c>
      <c r="B740" s="2" t="s">
        <v>4096</v>
      </c>
      <c r="D740" s="2" t="str">
        <f>"630-906-3632"</f>
        <v>630-906-3632</v>
      </c>
      <c r="E740" s="2" t="s">
        <v>4097</v>
      </c>
      <c r="F740" s="2" t="s">
        <v>4098</v>
      </c>
      <c r="G740" s="2" t="str">
        <f>"SR-1266"</f>
        <v>SR-1266</v>
      </c>
      <c r="H740" s="2" t="s">
        <v>4099</v>
      </c>
      <c r="I740" s="2" t="s">
        <v>4100</v>
      </c>
      <c r="K740" s="2" t="s">
        <v>4101</v>
      </c>
      <c r="L740" s="2" t="s">
        <v>105</v>
      </c>
      <c r="M740" s="2">
        <v>60539.0</v>
      </c>
      <c r="N740" s="2" t="s">
        <v>21</v>
      </c>
    </row>
    <row r="741" ht="15.75" customHeight="1">
      <c r="A741" s="2">
        <v>2013.0</v>
      </c>
      <c r="B741" s="2" t="s">
        <v>4102</v>
      </c>
      <c r="C741" s="2" t="s">
        <v>4102</v>
      </c>
      <c r="D741" s="2" t="str">
        <f>"(413) 528-9717"</f>
        <v>(413) 528-9717</v>
      </c>
      <c r="E741" s="2" t="s">
        <v>2695</v>
      </c>
      <c r="F741" s="2" t="s">
        <v>4103</v>
      </c>
      <c r="G741" s="2" t="str">
        <f>"SR-1033"</f>
        <v>SR-1033</v>
      </c>
      <c r="H741" s="2" t="s">
        <v>4104</v>
      </c>
      <c r="I741" s="2" t="s">
        <v>4105</v>
      </c>
      <c r="J741" s="2" t="s">
        <v>4106</v>
      </c>
      <c r="K741" s="2" t="s">
        <v>4107</v>
      </c>
      <c r="L741" s="2" t="s">
        <v>4108</v>
      </c>
      <c r="M741" s="2">
        <v>1245.0</v>
      </c>
      <c r="N741" s="2" t="s">
        <v>21</v>
      </c>
    </row>
    <row r="742" ht="15.75" customHeight="1">
      <c r="A742" s="2">
        <v>2013.0</v>
      </c>
      <c r="B742" s="2" t="s">
        <v>4109</v>
      </c>
      <c r="C742" s="2" t="s">
        <v>4110</v>
      </c>
      <c r="D742" s="2" t="str">
        <f>"937-524-2901"</f>
        <v>937-524-2901</v>
      </c>
      <c r="E742" s="2" t="s">
        <v>4111</v>
      </c>
      <c r="F742" s="2" t="s">
        <v>4112</v>
      </c>
      <c r="G742" s="2" t="str">
        <f>"SR-1261"</f>
        <v>SR-1261</v>
      </c>
      <c r="H742" s="2" t="s">
        <v>4113</v>
      </c>
      <c r="I742" s="2" t="s">
        <v>4114</v>
      </c>
      <c r="K742" s="2" t="s">
        <v>4115</v>
      </c>
      <c r="L742" s="2" t="s">
        <v>344</v>
      </c>
      <c r="M742" s="2">
        <v>45373.0</v>
      </c>
      <c r="N742" s="2" t="s">
        <v>21</v>
      </c>
    </row>
    <row r="743" ht="15.75" customHeight="1">
      <c r="A743" s="2">
        <v>2013.0</v>
      </c>
      <c r="B743" s="2" t="s">
        <v>4116</v>
      </c>
      <c r="C743" s="2" t="s">
        <v>4116</v>
      </c>
      <c r="D743" s="2" t="str">
        <f>"513-236-8676"</f>
        <v>513-236-8676</v>
      </c>
      <c r="E743" s="2" t="s">
        <v>2162</v>
      </c>
      <c r="F743" s="2" t="s">
        <v>4117</v>
      </c>
      <c r="G743" s="2" t="str">
        <f>"SR-1269"</f>
        <v>SR-1269</v>
      </c>
      <c r="H743" s="2" t="s">
        <v>4118</v>
      </c>
      <c r="I743" s="2" t="s">
        <v>4119</v>
      </c>
      <c r="K743" s="2" t="s">
        <v>4120</v>
      </c>
      <c r="L743" s="2" t="s">
        <v>344</v>
      </c>
      <c r="M743" s="2">
        <v>45011.0</v>
      </c>
      <c r="N743" s="2" t="s">
        <v>21</v>
      </c>
    </row>
    <row r="744" ht="15.75" customHeight="1">
      <c r="A744" s="2">
        <v>2013.0</v>
      </c>
      <c r="B744" s="2" t="s">
        <v>4121</v>
      </c>
      <c r="C744" s="2" t="s">
        <v>4122</v>
      </c>
      <c r="D744" s="2" t="str">
        <f>"434-316-3438"</f>
        <v>434-316-3438</v>
      </c>
      <c r="E744" s="2" t="s">
        <v>931</v>
      </c>
      <c r="F744" s="2" t="s">
        <v>4123</v>
      </c>
      <c r="G744" s="2" t="str">
        <f>"SR-743"</f>
        <v>SR-743</v>
      </c>
      <c r="H744" s="2" t="s">
        <v>4124</v>
      </c>
      <c r="I744" s="2" t="s">
        <v>4125</v>
      </c>
      <c r="K744" s="2" t="s">
        <v>4126</v>
      </c>
      <c r="L744" s="2" t="s">
        <v>165</v>
      </c>
      <c r="M744" s="2">
        <v>24502.0</v>
      </c>
      <c r="N744" s="2" t="s">
        <v>21</v>
      </c>
    </row>
    <row r="745" ht="15.75" customHeight="1">
      <c r="A745" s="2">
        <v>2013.0</v>
      </c>
      <c r="B745" s="2" t="s">
        <v>4127</v>
      </c>
      <c r="C745" s="2" t="s">
        <v>4128</v>
      </c>
      <c r="D745" s="2" t="str">
        <f>"8144404435"</f>
        <v>8144404435</v>
      </c>
      <c r="E745" s="2" t="s">
        <v>4129</v>
      </c>
      <c r="F745" s="2" t="s">
        <v>4130</v>
      </c>
      <c r="G745" s="2" t="str">
        <f>"SR-456"</f>
        <v>SR-456</v>
      </c>
      <c r="H745" s="2" t="s">
        <v>4131</v>
      </c>
      <c r="I745" s="2" t="s">
        <v>4132</v>
      </c>
      <c r="K745" s="2" t="s">
        <v>4133</v>
      </c>
      <c r="L745" s="2" t="s">
        <v>344</v>
      </c>
      <c r="M745" s="2">
        <v>44030.0</v>
      </c>
      <c r="N745" s="2" t="s">
        <v>21</v>
      </c>
    </row>
    <row r="746" ht="15.75" customHeight="1">
      <c r="A746" s="2">
        <v>2013.0</v>
      </c>
      <c r="B746" s="2" t="s">
        <v>4134</v>
      </c>
      <c r="C746" s="2" t="s">
        <v>4135</v>
      </c>
      <c r="D746" s="2" t="str">
        <f>"9205942039"</f>
        <v>9205942039</v>
      </c>
      <c r="E746" s="2" t="s">
        <v>4136</v>
      </c>
      <c r="F746" s="2" t="s">
        <v>2011</v>
      </c>
      <c r="G746" s="2" t="str">
        <f>"SR-963"</f>
        <v>SR-963</v>
      </c>
      <c r="H746" s="2" t="s">
        <v>4137</v>
      </c>
      <c r="I746" s="2" t="s">
        <v>4138</v>
      </c>
      <c r="K746" s="2" t="s">
        <v>4139</v>
      </c>
      <c r="L746" s="2" t="s">
        <v>193</v>
      </c>
      <c r="M746" s="2">
        <v>54947.0</v>
      </c>
      <c r="N746" s="2" t="s">
        <v>21</v>
      </c>
    </row>
    <row r="747" ht="15.75" customHeight="1">
      <c r="A747" s="2">
        <v>2013.0</v>
      </c>
      <c r="B747" s="2" t="s">
        <v>4140</v>
      </c>
      <c r="C747" s="2" t="s">
        <v>4140</v>
      </c>
      <c r="D747" s="2" t="str">
        <f>"913-298-8905"</f>
        <v>913-298-8905</v>
      </c>
      <c r="E747" s="2" t="s">
        <v>4141</v>
      </c>
      <c r="F747" s="2" t="s">
        <v>2833</v>
      </c>
      <c r="G747" s="2" t="str">
        <f>"SR-1121"</f>
        <v>SR-1121</v>
      </c>
      <c r="H747" s="2" t="s">
        <v>4142</v>
      </c>
      <c r="I747" s="2" t="s">
        <v>4143</v>
      </c>
      <c r="K747" s="2" t="s">
        <v>4144</v>
      </c>
      <c r="L747" s="2" t="s">
        <v>208</v>
      </c>
      <c r="M747" s="2">
        <v>33708.0</v>
      </c>
      <c r="N747" s="2" t="s">
        <v>21</v>
      </c>
    </row>
    <row r="748" ht="15.75" customHeight="1">
      <c r="A748" s="2">
        <v>2013.0</v>
      </c>
      <c r="B748" s="2" t="s">
        <v>4145</v>
      </c>
      <c r="C748" s="2" t="s">
        <v>4146</v>
      </c>
      <c r="D748" s="2" t="str">
        <f>"678 508 1613"</f>
        <v>678 508 1613</v>
      </c>
      <c r="E748" s="2" t="s">
        <v>4147</v>
      </c>
      <c r="F748" s="2" t="s">
        <v>4148</v>
      </c>
      <c r="G748" s="2" t="str">
        <f>"SR-1222"</f>
        <v>SR-1222</v>
      </c>
      <c r="H748" s="2" t="s">
        <v>4149</v>
      </c>
      <c r="I748" s="2" t="s">
        <v>4150</v>
      </c>
      <c r="K748" s="2" t="s">
        <v>4151</v>
      </c>
      <c r="L748" s="2" t="s">
        <v>200</v>
      </c>
      <c r="M748" s="2">
        <v>30236.0</v>
      </c>
      <c r="N748" s="2" t="s">
        <v>21</v>
      </c>
    </row>
    <row r="749" ht="15.75" customHeight="1">
      <c r="A749" s="2">
        <v>2013.0</v>
      </c>
      <c r="B749" s="2" t="s">
        <v>4152</v>
      </c>
      <c r="C749" s="2" t="s">
        <v>4153</v>
      </c>
      <c r="D749" s="2" t="str">
        <f>"402-560-5197"</f>
        <v>402-560-5197</v>
      </c>
      <c r="E749" s="2" t="s">
        <v>1324</v>
      </c>
      <c r="F749" s="2" t="s">
        <v>4154</v>
      </c>
      <c r="G749" s="2" t="str">
        <f>"SR-1246"</f>
        <v>SR-1246</v>
      </c>
      <c r="H749" s="2" t="s">
        <v>4155</v>
      </c>
      <c r="I749" s="2" t="s">
        <v>4156</v>
      </c>
      <c r="K749" s="2" t="s">
        <v>1054</v>
      </c>
      <c r="L749" s="2" t="s">
        <v>157</v>
      </c>
      <c r="M749" s="2">
        <v>80138.0</v>
      </c>
      <c r="N749" s="2" t="s">
        <v>21</v>
      </c>
    </row>
    <row r="750" ht="15.75" customHeight="1">
      <c r="A750" s="2">
        <v>2013.0</v>
      </c>
      <c r="B750" s="2" t="s">
        <v>4157</v>
      </c>
      <c r="C750" s="2" t="s">
        <v>4158</v>
      </c>
      <c r="D750" s="2" t="str">
        <f>"719-484-0478"</f>
        <v>719-484-0478</v>
      </c>
      <c r="E750" s="2" t="s">
        <v>144</v>
      </c>
      <c r="F750" s="2" t="s">
        <v>4159</v>
      </c>
      <c r="G750" s="2" t="str">
        <f>"SR-1272"</f>
        <v>SR-1272</v>
      </c>
      <c r="H750" s="2" t="s">
        <v>4160</v>
      </c>
      <c r="I750" s="2" t="s">
        <v>4161</v>
      </c>
      <c r="K750" s="2" t="s">
        <v>809</v>
      </c>
      <c r="L750" s="2" t="s">
        <v>157</v>
      </c>
      <c r="M750" s="2">
        <v>80921.0</v>
      </c>
      <c r="N750" s="2" t="s">
        <v>21</v>
      </c>
    </row>
    <row r="751" ht="15.75" customHeight="1">
      <c r="A751" s="2">
        <v>2013.0</v>
      </c>
      <c r="B751" s="2" t="s">
        <v>4162</v>
      </c>
      <c r="C751" s="2" t="s">
        <v>4163</v>
      </c>
      <c r="D751" s="2" t="str">
        <f>"979-820-3428"</f>
        <v>979-820-3428</v>
      </c>
      <c r="E751" s="2" t="s">
        <v>261</v>
      </c>
      <c r="F751" s="2" t="s">
        <v>4164</v>
      </c>
      <c r="G751" s="2" t="str">
        <f>"SR-1224"</f>
        <v>SR-1224</v>
      </c>
      <c r="H751" s="2" t="s">
        <v>4165</v>
      </c>
      <c r="I751" s="2" t="s">
        <v>4166</v>
      </c>
      <c r="K751" s="2" t="s">
        <v>2969</v>
      </c>
      <c r="L751" s="2" t="s">
        <v>172</v>
      </c>
      <c r="M751" s="2">
        <v>77842.0</v>
      </c>
      <c r="N751" s="2" t="s">
        <v>21</v>
      </c>
    </row>
    <row r="752" ht="15.75" customHeight="1">
      <c r="A752" s="2">
        <v>2013.0</v>
      </c>
      <c r="B752" s="2" t="s">
        <v>4167</v>
      </c>
      <c r="C752" s="2" t="s">
        <v>4167</v>
      </c>
      <c r="D752" s="2" t="str">
        <f>"9723520784"</f>
        <v>9723520784</v>
      </c>
      <c r="E752" s="2" t="s">
        <v>1974</v>
      </c>
      <c r="F752" s="2" t="s">
        <v>984</v>
      </c>
      <c r="G752" s="2" t="str">
        <f>"SR-1276"</f>
        <v>SR-1276</v>
      </c>
      <c r="H752" s="2" t="s">
        <v>4168</v>
      </c>
      <c r="I752" s="2" t="s">
        <v>4169</v>
      </c>
      <c r="K752" s="2" t="s">
        <v>362</v>
      </c>
      <c r="L752" s="2" t="s">
        <v>172</v>
      </c>
      <c r="M752" s="2">
        <v>75025.0</v>
      </c>
      <c r="N752" s="2" t="s">
        <v>21</v>
      </c>
    </row>
    <row r="753" ht="15.75" customHeight="1">
      <c r="A753" s="2">
        <v>2013.0</v>
      </c>
      <c r="B753" s="2" t="s">
        <v>4170</v>
      </c>
      <c r="C753" s="2" t="s">
        <v>4170</v>
      </c>
      <c r="D753" s="2" t="str">
        <f>"5135020441"</f>
        <v>5135020441</v>
      </c>
      <c r="E753" s="2" t="s">
        <v>301</v>
      </c>
      <c r="F753" s="2" t="s">
        <v>4171</v>
      </c>
      <c r="G753" s="2" t="str">
        <f>"SR-1278"</f>
        <v>SR-1278</v>
      </c>
      <c r="H753" s="2" t="s">
        <v>4172</v>
      </c>
      <c r="I753" s="2" t="s">
        <v>4173</v>
      </c>
      <c r="K753" s="2" t="s">
        <v>4174</v>
      </c>
      <c r="L753" s="2" t="s">
        <v>20</v>
      </c>
      <c r="M753" s="2">
        <v>27023.0</v>
      </c>
      <c r="N753" s="2" t="s">
        <v>21</v>
      </c>
    </row>
    <row r="754" ht="15.75" customHeight="1">
      <c r="A754" s="2">
        <v>2013.0</v>
      </c>
      <c r="B754" s="2" t="s">
        <v>4175</v>
      </c>
      <c r="C754" s="2" t="s">
        <v>4176</v>
      </c>
      <c r="D754" s="2" t="str">
        <f>"928-651-3175"</f>
        <v>928-651-3175</v>
      </c>
      <c r="E754" s="2" t="s">
        <v>705</v>
      </c>
      <c r="F754" s="2" t="s">
        <v>1929</v>
      </c>
      <c r="G754" s="2" t="str">
        <f>"SR-1279"</f>
        <v>SR-1279</v>
      </c>
      <c r="H754" s="2" t="s">
        <v>4177</v>
      </c>
      <c r="I754" s="2" t="s">
        <v>4178</v>
      </c>
      <c r="K754" s="2" t="s">
        <v>4179</v>
      </c>
      <c r="L754" s="2" t="s">
        <v>422</v>
      </c>
      <c r="M754" s="2">
        <v>85536.0</v>
      </c>
      <c r="N754" s="2" t="s">
        <v>21</v>
      </c>
    </row>
    <row r="755" ht="15.75" customHeight="1">
      <c r="A755" s="2">
        <v>2013.0</v>
      </c>
      <c r="B755" s="2" t="s">
        <v>4180</v>
      </c>
      <c r="C755" s="2" t="s">
        <v>4180</v>
      </c>
      <c r="D755" s="2" t="str">
        <f>"6023900915"</f>
        <v>6023900915</v>
      </c>
      <c r="E755" s="2" t="s">
        <v>580</v>
      </c>
      <c r="F755" s="2" t="s">
        <v>4181</v>
      </c>
      <c r="G755" s="2" t="str">
        <f>"SR-1283"</f>
        <v>SR-1283</v>
      </c>
      <c r="H755" s="2" t="s">
        <v>4182</v>
      </c>
      <c r="I755" s="2" t="s">
        <v>4183</v>
      </c>
      <c r="K755" s="2" t="s">
        <v>421</v>
      </c>
      <c r="L755" s="2" t="s">
        <v>422</v>
      </c>
      <c r="M755" s="2">
        <v>85027.0</v>
      </c>
      <c r="N755" s="2" t="s">
        <v>21</v>
      </c>
    </row>
    <row r="756" ht="15.75" customHeight="1">
      <c r="A756" s="2">
        <v>2013.0</v>
      </c>
      <c r="B756" s="2" t="s">
        <v>4184</v>
      </c>
      <c r="C756" s="2" t="s">
        <v>4185</v>
      </c>
      <c r="D756" s="2" t="str">
        <f>"513-755-8466"</f>
        <v>513-755-8466</v>
      </c>
      <c r="E756" s="2" t="s">
        <v>1263</v>
      </c>
      <c r="F756" s="2" t="s">
        <v>4186</v>
      </c>
      <c r="G756" s="2" t="str">
        <f>"SR-1241"</f>
        <v>SR-1241</v>
      </c>
      <c r="H756" s="2" t="s">
        <v>4187</v>
      </c>
      <c r="I756" s="2" t="s">
        <v>4188</v>
      </c>
      <c r="K756" s="2" t="s">
        <v>4189</v>
      </c>
      <c r="L756" s="2" t="s">
        <v>344</v>
      </c>
      <c r="M756" s="2">
        <v>45044.0</v>
      </c>
      <c r="N756" s="2" t="s">
        <v>21</v>
      </c>
    </row>
    <row r="757" ht="15.75" customHeight="1">
      <c r="A757" s="2">
        <v>2013.0</v>
      </c>
      <c r="B757" s="2" t="s">
        <v>4190</v>
      </c>
      <c r="C757" s="2" t="s">
        <v>4191</v>
      </c>
      <c r="D757" s="2" t="str">
        <f>"810-824-0821"</f>
        <v>810-824-0821</v>
      </c>
      <c r="E757" s="2" t="s">
        <v>503</v>
      </c>
      <c r="F757" s="2" t="s">
        <v>4192</v>
      </c>
      <c r="G757" s="2" t="str">
        <f>"SR-1285"</f>
        <v>SR-1285</v>
      </c>
      <c r="H757" s="2" t="s">
        <v>4193</v>
      </c>
      <c r="I757" s="2" t="s">
        <v>4194</v>
      </c>
      <c r="K757" s="2" t="s">
        <v>4195</v>
      </c>
      <c r="L757" s="2" t="s">
        <v>29</v>
      </c>
      <c r="M757" s="2">
        <v>48039.0</v>
      </c>
      <c r="N757" s="2" t="s">
        <v>21</v>
      </c>
    </row>
    <row r="758" ht="15.75" customHeight="1">
      <c r="A758" s="2">
        <v>2013.0</v>
      </c>
      <c r="B758" s="2" t="s">
        <v>4196</v>
      </c>
      <c r="C758" s="2" t="s">
        <v>4197</v>
      </c>
      <c r="D758" s="2" t="str">
        <f>"720-438-1475"</f>
        <v>720-438-1475</v>
      </c>
      <c r="E758" s="2" t="s">
        <v>160</v>
      </c>
      <c r="F758" s="2" t="s">
        <v>4198</v>
      </c>
      <c r="G758" s="2" t="str">
        <f>"SR-1274"</f>
        <v>SR-1274</v>
      </c>
      <c r="H758" s="2" t="s">
        <v>4199</v>
      </c>
      <c r="I758" s="2" t="s">
        <v>4200</v>
      </c>
      <c r="K758" s="2" t="s">
        <v>2317</v>
      </c>
      <c r="L758" s="2" t="s">
        <v>157</v>
      </c>
      <c r="M758" s="2">
        <v>80504.0</v>
      </c>
      <c r="N758" s="2" t="s">
        <v>21</v>
      </c>
    </row>
    <row r="759" ht="15.75" customHeight="1">
      <c r="A759" s="2">
        <v>2013.0</v>
      </c>
      <c r="B759" s="2" t="s">
        <v>4201</v>
      </c>
      <c r="C759" s="2" t="s">
        <v>4201</v>
      </c>
      <c r="D759" s="2" t="str">
        <f>"7208414840"</f>
        <v>7208414840</v>
      </c>
      <c r="E759" s="2" t="s">
        <v>261</v>
      </c>
      <c r="F759" s="2" t="s">
        <v>3656</v>
      </c>
      <c r="G759" s="2" t="str">
        <f>"SR-1245"</f>
        <v>SR-1245</v>
      </c>
      <c r="H759" s="2" t="s">
        <v>4202</v>
      </c>
      <c r="I759" s="2" t="s">
        <v>4203</v>
      </c>
      <c r="K759" s="2" t="s">
        <v>4204</v>
      </c>
      <c r="L759" s="2" t="s">
        <v>157</v>
      </c>
      <c r="M759" s="2">
        <v>80503.0</v>
      </c>
      <c r="N759" s="2" t="s">
        <v>21</v>
      </c>
    </row>
    <row r="760" ht="15.75" customHeight="1">
      <c r="A760" s="2">
        <v>2013.0</v>
      </c>
      <c r="B760" s="2" t="s">
        <v>4205</v>
      </c>
      <c r="D760" s="2" t="str">
        <f>"503-647-6845"</f>
        <v>503-647-6845</v>
      </c>
      <c r="E760" s="2" t="s">
        <v>4206</v>
      </c>
      <c r="F760" s="2" t="s">
        <v>4207</v>
      </c>
      <c r="G760" s="2" t="str">
        <f>"SR-1183"</f>
        <v>SR-1183</v>
      </c>
      <c r="H760" s="2" t="s">
        <v>4208</v>
      </c>
      <c r="I760" s="2" t="s">
        <v>4209</v>
      </c>
      <c r="K760" s="2" t="s">
        <v>4210</v>
      </c>
      <c r="L760" s="2" t="s">
        <v>2389</v>
      </c>
      <c r="M760" s="2">
        <v>97133.0</v>
      </c>
      <c r="N760" s="2" t="s">
        <v>21</v>
      </c>
    </row>
    <row r="761" ht="15.75" customHeight="1">
      <c r="A761" s="2">
        <v>2013.0</v>
      </c>
      <c r="B761" s="2" t="s">
        <v>4211</v>
      </c>
      <c r="C761" s="2" t="s">
        <v>4212</v>
      </c>
      <c r="D761" s="2" t="str">
        <f>"281-389-7435"</f>
        <v>281-389-7435</v>
      </c>
      <c r="E761" s="2" t="s">
        <v>678</v>
      </c>
      <c r="F761" s="2" t="s">
        <v>4213</v>
      </c>
      <c r="G761" s="2" t="str">
        <f>"SR-1288"</f>
        <v>SR-1288</v>
      </c>
      <c r="H761" s="2" t="s">
        <v>4214</v>
      </c>
      <c r="I761" s="2" t="s">
        <v>4215</v>
      </c>
      <c r="K761" s="2" t="s">
        <v>4216</v>
      </c>
      <c r="L761" s="2" t="s">
        <v>172</v>
      </c>
      <c r="M761" s="2">
        <v>77469.0</v>
      </c>
      <c r="N761" s="2" t="s">
        <v>21</v>
      </c>
    </row>
    <row r="762" ht="15.75" customHeight="1">
      <c r="A762" s="2">
        <v>2013.0</v>
      </c>
      <c r="B762" s="2" t="s">
        <v>4217</v>
      </c>
      <c r="C762" s="2" t="s">
        <v>4217</v>
      </c>
      <c r="D762" s="2" t="str">
        <f>"434-575-0059"</f>
        <v>434-575-0059</v>
      </c>
      <c r="E762" s="2" t="s">
        <v>72</v>
      </c>
      <c r="F762" s="2" t="s">
        <v>2333</v>
      </c>
      <c r="G762" s="2" t="str">
        <f>"SR-1289"</f>
        <v>SR-1289</v>
      </c>
      <c r="H762" s="2" t="s">
        <v>4218</v>
      </c>
      <c r="I762" s="2" t="s">
        <v>4219</v>
      </c>
      <c r="K762" s="2" t="s">
        <v>4220</v>
      </c>
      <c r="L762" s="2" t="s">
        <v>165</v>
      </c>
      <c r="M762" s="2">
        <v>24592.0</v>
      </c>
      <c r="N762" s="2" t="s">
        <v>21</v>
      </c>
    </row>
    <row r="763" ht="15.75" customHeight="1">
      <c r="A763" s="2">
        <v>2013.0</v>
      </c>
      <c r="B763" s="2" t="s">
        <v>4205</v>
      </c>
      <c r="D763" s="2" t="str">
        <f>"503-647-6845"</f>
        <v>503-647-6845</v>
      </c>
      <c r="E763" s="2" t="s">
        <v>562</v>
      </c>
      <c r="F763" s="2" t="s">
        <v>4207</v>
      </c>
      <c r="G763" s="2" t="str">
        <f>"SR-1290"</f>
        <v>SR-1290</v>
      </c>
      <c r="H763" s="2" t="s">
        <v>4221</v>
      </c>
      <c r="I763" s="2" t="s">
        <v>4209</v>
      </c>
      <c r="K763" s="2" t="s">
        <v>4210</v>
      </c>
      <c r="L763" s="2" t="s">
        <v>2389</v>
      </c>
      <c r="M763" s="2">
        <v>97133.0</v>
      </c>
      <c r="N763" s="2" t="s">
        <v>21</v>
      </c>
    </row>
    <row r="764" ht="15.75" customHeight="1">
      <c r="A764" s="2">
        <v>2013.0</v>
      </c>
      <c r="B764" s="2" t="s">
        <v>4222</v>
      </c>
      <c r="C764" s="2" t="s">
        <v>4223</v>
      </c>
      <c r="D764" s="2" t="str">
        <f>"3377813448"</f>
        <v>3377813448</v>
      </c>
      <c r="E764" s="2" t="s">
        <v>4224</v>
      </c>
      <c r="F764" s="2" t="s">
        <v>4225</v>
      </c>
      <c r="G764" s="2" t="str">
        <f>"SR-364"</f>
        <v>SR-364</v>
      </c>
      <c r="H764" s="2" t="s">
        <v>4226</v>
      </c>
      <c r="I764" s="2" t="s">
        <v>4227</v>
      </c>
      <c r="K764" s="2" t="s">
        <v>4228</v>
      </c>
      <c r="L764" s="2" t="s">
        <v>715</v>
      </c>
      <c r="M764" s="2">
        <v>70570.0</v>
      </c>
      <c r="N764" s="2" t="s">
        <v>21</v>
      </c>
    </row>
    <row r="765" ht="15.75" customHeight="1">
      <c r="A765" s="2">
        <v>2013.0</v>
      </c>
      <c r="B765" s="2" t="s">
        <v>4229</v>
      </c>
      <c r="C765" s="2" t="s">
        <v>4230</v>
      </c>
      <c r="D765" s="2" t="str">
        <f>"3036414732"</f>
        <v>3036414732</v>
      </c>
      <c r="E765" s="2" t="s">
        <v>4231</v>
      </c>
      <c r="F765" s="2" t="s">
        <v>4232</v>
      </c>
      <c r="G765" s="2" t="str">
        <f>"SR-1302"</f>
        <v>SR-1302</v>
      </c>
      <c r="H765" s="2" t="s">
        <v>4233</v>
      </c>
      <c r="I765" s="2" t="s">
        <v>4234</v>
      </c>
      <c r="K765" s="2" t="s">
        <v>2317</v>
      </c>
      <c r="L765" s="2" t="s">
        <v>157</v>
      </c>
      <c r="M765" s="2">
        <v>80503.0</v>
      </c>
      <c r="N765" s="2" t="s">
        <v>21</v>
      </c>
    </row>
    <row r="766" ht="15.75" customHeight="1">
      <c r="A766" s="2">
        <v>2013.0</v>
      </c>
      <c r="B766" s="2" t="s">
        <v>4235</v>
      </c>
      <c r="C766" s="2" t="s">
        <v>4236</v>
      </c>
      <c r="D766" s="2" t="str">
        <f>"913-897-2338"</f>
        <v>913-897-2338</v>
      </c>
      <c r="E766" s="2" t="s">
        <v>1791</v>
      </c>
      <c r="F766" s="2" t="s">
        <v>4237</v>
      </c>
      <c r="G766" s="2" t="str">
        <f>"SR-931"</f>
        <v>SR-931</v>
      </c>
      <c r="H766" s="2" t="s">
        <v>4238</v>
      </c>
      <c r="I766" s="2" t="s">
        <v>4239</v>
      </c>
      <c r="K766" s="2" t="s">
        <v>4240</v>
      </c>
      <c r="L766" s="2" t="s">
        <v>272</v>
      </c>
      <c r="M766" s="2">
        <v>66085.0</v>
      </c>
      <c r="N766" s="2" t="s">
        <v>21</v>
      </c>
    </row>
    <row r="767" ht="15.75" customHeight="1">
      <c r="A767" s="2">
        <v>2013.0</v>
      </c>
      <c r="B767" s="2" t="s">
        <v>4241</v>
      </c>
      <c r="D767" s="2" t="str">
        <f>"352-324-3207"</f>
        <v>352-324-3207</v>
      </c>
      <c r="E767" s="2" t="s">
        <v>705</v>
      </c>
      <c r="F767" s="2" t="s">
        <v>4242</v>
      </c>
      <c r="G767" s="2" t="str">
        <f>"SR-1211"</f>
        <v>SR-1211</v>
      </c>
      <c r="H767" s="2" t="s">
        <v>4243</v>
      </c>
      <c r="I767" s="2" t="s">
        <v>4244</v>
      </c>
      <c r="K767" s="2" t="s">
        <v>3837</v>
      </c>
      <c r="L767" s="2" t="s">
        <v>208</v>
      </c>
      <c r="M767" s="2">
        <v>34737.0</v>
      </c>
      <c r="N767" s="2" t="s">
        <v>21</v>
      </c>
    </row>
    <row r="768" ht="15.75" customHeight="1">
      <c r="A768" s="2">
        <v>2013.0</v>
      </c>
      <c r="B768" s="2" t="s">
        <v>4245</v>
      </c>
      <c r="C768" s="2" t="s">
        <v>4245</v>
      </c>
      <c r="D768" s="2" t="str">
        <f>"7706668352"</f>
        <v>7706668352</v>
      </c>
      <c r="E768" s="2" t="s">
        <v>4246</v>
      </c>
      <c r="F768" s="2" t="s">
        <v>4247</v>
      </c>
      <c r="G768" s="2" t="str">
        <f>"SR-1292"</f>
        <v>SR-1292</v>
      </c>
      <c r="H768" s="2" t="s">
        <v>4248</v>
      </c>
      <c r="I768" s="2" t="s">
        <v>4249</v>
      </c>
      <c r="K768" s="2" t="s">
        <v>4250</v>
      </c>
      <c r="L768" s="2" t="s">
        <v>200</v>
      </c>
      <c r="M768" s="2">
        <v>30238.0</v>
      </c>
      <c r="N768" s="2" t="s">
        <v>21</v>
      </c>
    </row>
    <row r="769" ht="15.75" customHeight="1">
      <c r="A769" s="2">
        <v>2013.0</v>
      </c>
      <c r="B769" s="2" t="s">
        <v>4251</v>
      </c>
      <c r="D769" s="2" t="str">
        <f>"909-338-2999"</f>
        <v>909-338-2999</v>
      </c>
      <c r="E769" s="2" t="s">
        <v>1101</v>
      </c>
      <c r="F769" s="2" t="s">
        <v>4252</v>
      </c>
      <c r="G769" s="2" t="str">
        <f>"SR-1293"</f>
        <v>SR-1293</v>
      </c>
      <c r="H769" s="2" t="s">
        <v>4253</v>
      </c>
      <c r="I769" s="2" t="s">
        <v>4254</v>
      </c>
      <c r="K769" s="2" t="s">
        <v>4255</v>
      </c>
      <c r="L769" s="2" t="s">
        <v>222</v>
      </c>
      <c r="M769" s="2">
        <v>92325.0</v>
      </c>
      <c r="N769" s="2" t="s">
        <v>21</v>
      </c>
    </row>
    <row r="770" ht="15.75" customHeight="1">
      <c r="A770" s="2">
        <v>2013.0</v>
      </c>
      <c r="B770" s="2" t="s">
        <v>4256</v>
      </c>
      <c r="C770" s="2" t="s">
        <v>4257</v>
      </c>
      <c r="D770" s="2" t="str">
        <f>"6075879386"</f>
        <v>6075879386</v>
      </c>
      <c r="E770" s="2" t="s">
        <v>301</v>
      </c>
      <c r="F770" s="2" t="s">
        <v>4258</v>
      </c>
      <c r="G770" s="2" t="str">
        <f>"SR-699"</f>
        <v>SR-699</v>
      </c>
      <c r="H770" s="2" t="s">
        <v>4259</v>
      </c>
      <c r="I770" s="2" t="s">
        <v>4260</v>
      </c>
      <c r="K770" s="2" t="s">
        <v>4261</v>
      </c>
      <c r="L770" s="2" t="s">
        <v>142</v>
      </c>
      <c r="M770" s="2">
        <v>14803.0</v>
      </c>
      <c r="N770" s="2" t="s">
        <v>21</v>
      </c>
    </row>
    <row r="771" ht="15.75" customHeight="1">
      <c r="A771" s="2">
        <v>2013.0</v>
      </c>
      <c r="B771" s="2" t="s">
        <v>4262</v>
      </c>
      <c r="C771" s="2" t="s">
        <v>4263</v>
      </c>
      <c r="D771" s="2" t="str">
        <f>"(803)443-2947"</f>
        <v>(803)443-2947</v>
      </c>
      <c r="E771" s="2" t="s">
        <v>1946</v>
      </c>
      <c r="F771" s="2" t="s">
        <v>4264</v>
      </c>
      <c r="G771" s="2" t="str">
        <f>"SR-1294"</f>
        <v>SR-1294</v>
      </c>
      <c r="H771" s="2" t="s">
        <v>4265</v>
      </c>
      <c r="I771" s="2" t="s">
        <v>4266</v>
      </c>
      <c r="K771" s="2" t="s">
        <v>4267</v>
      </c>
      <c r="L771" s="2" t="s">
        <v>55</v>
      </c>
      <c r="M771" s="2">
        <v>29803.0</v>
      </c>
      <c r="N771" s="2" t="s">
        <v>21</v>
      </c>
    </row>
    <row r="772" ht="15.75" customHeight="1">
      <c r="A772" s="2">
        <v>2013.0</v>
      </c>
      <c r="B772" s="2" t="s">
        <v>4268</v>
      </c>
      <c r="C772" s="2" t="s">
        <v>4269</v>
      </c>
      <c r="D772" s="2" t="str">
        <f>"2486611163"</f>
        <v>2486611163</v>
      </c>
      <c r="E772" s="2" t="s">
        <v>261</v>
      </c>
      <c r="F772" s="2" t="s">
        <v>3576</v>
      </c>
      <c r="G772" s="2" t="str">
        <f>"SR-1092"</f>
        <v>SR-1092</v>
      </c>
      <c r="H772" s="2" t="s">
        <v>4270</v>
      </c>
      <c r="I772" s="2" t="s">
        <v>4271</v>
      </c>
      <c r="K772" s="2" t="s">
        <v>4272</v>
      </c>
      <c r="L772" s="2" t="s">
        <v>29</v>
      </c>
      <c r="M772" s="2">
        <v>48322.0</v>
      </c>
      <c r="N772" s="2" t="s">
        <v>21</v>
      </c>
    </row>
    <row r="773" ht="15.75" customHeight="1">
      <c r="A773" s="2">
        <v>2013.0</v>
      </c>
      <c r="B773" s="2" t="s">
        <v>4273</v>
      </c>
      <c r="C773" s="2" t="s">
        <v>4274</v>
      </c>
      <c r="D773" s="2" t="str">
        <f>"9792217568"</f>
        <v>9792217568</v>
      </c>
      <c r="E773" s="2" t="s">
        <v>4275</v>
      </c>
      <c r="F773" s="2" t="s">
        <v>4276</v>
      </c>
      <c r="G773" s="2" t="str">
        <f>"SR-1317"</f>
        <v>SR-1317</v>
      </c>
      <c r="H773" s="2" t="s">
        <v>4277</v>
      </c>
      <c r="I773" s="2" t="s">
        <v>4278</v>
      </c>
      <c r="K773" s="2" t="s">
        <v>4279</v>
      </c>
      <c r="L773" s="2" t="s">
        <v>172</v>
      </c>
      <c r="M773" s="2">
        <v>76901.0</v>
      </c>
      <c r="N773" s="2" t="s">
        <v>21</v>
      </c>
    </row>
    <row r="774" ht="15.75" customHeight="1">
      <c r="A774" s="2">
        <v>2013.0</v>
      </c>
      <c r="B774" s="2" t="s">
        <v>4280</v>
      </c>
      <c r="D774" s="2" t="str">
        <f>""</f>
        <v/>
      </c>
      <c r="E774" s="2" t="s">
        <v>2361</v>
      </c>
      <c r="F774" s="2" t="s">
        <v>4281</v>
      </c>
      <c r="G774" s="2" t="str">
        <f>"SR-1067"</f>
        <v>SR-1067</v>
      </c>
      <c r="H774" s="2" t="s">
        <v>4282</v>
      </c>
      <c r="N774" s="2" t="s">
        <v>21</v>
      </c>
    </row>
    <row r="775" ht="15.75" customHeight="1">
      <c r="A775" s="2">
        <v>2013.0</v>
      </c>
      <c r="B775" s="2" t="s">
        <v>4283</v>
      </c>
      <c r="D775" s="2" t="str">
        <f>"952-949-0444"</f>
        <v>952-949-0444</v>
      </c>
      <c r="E775" s="2" t="s">
        <v>4284</v>
      </c>
      <c r="F775" s="2" t="s">
        <v>4285</v>
      </c>
      <c r="G775" s="2" t="str">
        <f>"SR-1319"</f>
        <v>SR-1319</v>
      </c>
      <c r="H775" s="2" t="s">
        <v>4286</v>
      </c>
      <c r="I775" s="2" t="s">
        <v>4287</v>
      </c>
      <c r="K775" s="2" t="s">
        <v>1490</v>
      </c>
      <c r="L775" s="2" t="s">
        <v>62</v>
      </c>
      <c r="M775" s="2">
        <v>55347.0</v>
      </c>
      <c r="N775" s="2" t="s">
        <v>21</v>
      </c>
    </row>
    <row r="776" ht="15.75" customHeight="1">
      <c r="A776" s="2">
        <v>2013.0</v>
      </c>
      <c r="B776" s="2" t="s">
        <v>4288</v>
      </c>
      <c r="C776" s="2" t="s">
        <v>4289</v>
      </c>
      <c r="D776" s="2" t="str">
        <f>"816-365-8942"</f>
        <v>816-365-8942</v>
      </c>
      <c r="E776" s="2" t="s">
        <v>1015</v>
      </c>
      <c r="F776" s="2" t="s">
        <v>4290</v>
      </c>
      <c r="G776" s="2" t="str">
        <f>"SR-1287"</f>
        <v>SR-1287</v>
      </c>
      <c r="H776" s="2" t="s">
        <v>4291</v>
      </c>
      <c r="I776" s="2" t="s">
        <v>4292</v>
      </c>
      <c r="K776" s="2" t="s">
        <v>3329</v>
      </c>
      <c r="L776" s="2" t="s">
        <v>272</v>
      </c>
      <c r="M776" s="2">
        <v>66220.0</v>
      </c>
      <c r="N776" s="2" t="s">
        <v>21</v>
      </c>
    </row>
    <row r="777" ht="15.75" customHeight="1">
      <c r="A777" s="2">
        <v>2013.0</v>
      </c>
      <c r="B777" s="2" t="s">
        <v>4293</v>
      </c>
      <c r="C777" s="2" t="s">
        <v>4293</v>
      </c>
      <c r="D777" s="2" t="str">
        <f>"260-416-4990"</f>
        <v>260-416-4990</v>
      </c>
      <c r="E777" s="2" t="s">
        <v>4294</v>
      </c>
      <c r="F777" s="2" t="s">
        <v>4295</v>
      </c>
      <c r="G777" s="2" t="str">
        <f>"SR-1258"</f>
        <v>SR-1258</v>
      </c>
      <c r="H777" s="2" t="s">
        <v>4296</v>
      </c>
      <c r="I777" s="2" t="s">
        <v>4297</v>
      </c>
      <c r="K777" s="2" t="s">
        <v>4298</v>
      </c>
      <c r="L777" s="2" t="s">
        <v>149</v>
      </c>
      <c r="M777" s="2">
        <v>46806.0</v>
      </c>
      <c r="N777" s="2" t="s">
        <v>21</v>
      </c>
    </row>
    <row r="778" ht="15.75" customHeight="1">
      <c r="A778" s="2">
        <v>2013.0</v>
      </c>
      <c r="B778" s="2" t="s">
        <v>4299</v>
      </c>
      <c r="C778" s="2" t="s">
        <v>4299</v>
      </c>
      <c r="D778" s="2" t="str">
        <f>"704-243-2711"</f>
        <v>704-243-2711</v>
      </c>
      <c r="E778" s="2" t="s">
        <v>4300</v>
      </c>
      <c r="F778" s="2" t="s">
        <v>4301</v>
      </c>
      <c r="G778" s="2" t="str">
        <f>"SR-146"</f>
        <v>SR-146</v>
      </c>
      <c r="H778" s="2" t="s">
        <v>4302</v>
      </c>
      <c r="I778" s="2" t="s">
        <v>4303</v>
      </c>
      <c r="K778" s="2" t="s">
        <v>4304</v>
      </c>
      <c r="L778" s="2" t="s">
        <v>20</v>
      </c>
      <c r="M778" s="2">
        <v>28173.0</v>
      </c>
      <c r="N778" s="2" t="s">
        <v>21</v>
      </c>
    </row>
    <row r="779" ht="15.75" customHeight="1">
      <c r="A779" s="2">
        <v>2013.0</v>
      </c>
      <c r="B779" s="2" t="s">
        <v>4305</v>
      </c>
      <c r="C779" s="2" t="s">
        <v>4306</v>
      </c>
      <c r="D779" s="2" t="str">
        <f>"423-280-8432"</f>
        <v>423-280-8432</v>
      </c>
      <c r="E779" s="2" t="s">
        <v>1782</v>
      </c>
      <c r="F779" s="2" t="s">
        <v>4307</v>
      </c>
      <c r="G779" s="2" t="str">
        <f>"SR-1326"</f>
        <v>SR-1326</v>
      </c>
      <c r="H779" s="2" t="s">
        <v>4308</v>
      </c>
      <c r="I779" s="2" t="s">
        <v>4309</v>
      </c>
      <c r="K779" s="2" t="s">
        <v>4310</v>
      </c>
      <c r="L779" s="2" t="s">
        <v>279</v>
      </c>
      <c r="M779" s="2">
        <v>37321.0</v>
      </c>
      <c r="N779" s="2" t="s">
        <v>21</v>
      </c>
    </row>
    <row r="780" ht="15.75" customHeight="1">
      <c r="A780" s="2">
        <v>2013.0</v>
      </c>
      <c r="B780" s="2" t="s">
        <v>4311</v>
      </c>
      <c r="C780" s="2" t="s">
        <v>4312</v>
      </c>
      <c r="D780" s="2" t="str">
        <f>"9376672446"</f>
        <v>9376672446</v>
      </c>
      <c r="E780" s="2" t="s">
        <v>2572</v>
      </c>
      <c r="F780" s="2" t="s">
        <v>4313</v>
      </c>
      <c r="G780" s="2" t="str">
        <f>"SR-1212"</f>
        <v>SR-1212</v>
      </c>
      <c r="H780" s="2" t="s">
        <v>4314</v>
      </c>
      <c r="I780" s="2" t="s">
        <v>4315</v>
      </c>
      <c r="K780" s="2" t="s">
        <v>4316</v>
      </c>
      <c r="L780" s="2" t="s">
        <v>344</v>
      </c>
      <c r="M780" s="2">
        <v>45371.0</v>
      </c>
      <c r="N780" s="2" t="s">
        <v>21</v>
      </c>
    </row>
    <row r="781" ht="15.75" customHeight="1">
      <c r="A781" s="2">
        <v>2013.0</v>
      </c>
      <c r="B781" s="2" t="s">
        <v>4317</v>
      </c>
      <c r="D781" s="2" t="str">
        <f>"785-529-4855"</f>
        <v>785-529-4855</v>
      </c>
      <c r="E781" s="2" t="s">
        <v>4028</v>
      </c>
      <c r="F781" s="2" t="s">
        <v>4318</v>
      </c>
      <c r="G781" s="2" t="str">
        <f>"SR-1328"</f>
        <v>SR-1328</v>
      </c>
      <c r="H781" s="2" t="s">
        <v>4319</v>
      </c>
      <c r="I781" s="2" t="s">
        <v>4320</v>
      </c>
      <c r="J781" s="2" t="s">
        <v>4321</v>
      </c>
      <c r="K781" s="2" t="s">
        <v>4322</v>
      </c>
      <c r="L781" s="2" t="s">
        <v>272</v>
      </c>
      <c r="M781" s="2">
        <v>67452.0</v>
      </c>
      <c r="N781" s="2" t="s">
        <v>21</v>
      </c>
    </row>
    <row r="782" ht="15.75" customHeight="1">
      <c r="A782" s="2">
        <v>2013.0</v>
      </c>
      <c r="B782" s="2" t="s">
        <v>4323</v>
      </c>
      <c r="C782" s="2" t="s">
        <v>4324</v>
      </c>
      <c r="D782" s="2" t="str">
        <f>"850-863-5550"</f>
        <v>850-863-5550</v>
      </c>
      <c r="E782" s="2" t="s">
        <v>1141</v>
      </c>
      <c r="F782" s="2" t="s">
        <v>4325</v>
      </c>
      <c r="G782" s="2" t="str">
        <f>"SR-1114"</f>
        <v>SR-1114</v>
      </c>
      <c r="H782" s="2" t="s">
        <v>4326</v>
      </c>
      <c r="I782" s="2" t="s">
        <v>4327</v>
      </c>
      <c r="K782" s="2" t="s">
        <v>4328</v>
      </c>
      <c r="L782" s="2" t="s">
        <v>208</v>
      </c>
      <c r="M782" s="2">
        <v>32547.0</v>
      </c>
      <c r="N782" s="2" t="s">
        <v>21</v>
      </c>
    </row>
    <row r="783" ht="15.75" customHeight="1">
      <c r="A783" s="2">
        <v>2013.0</v>
      </c>
      <c r="B783" s="2" t="s">
        <v>4329</v>
      </c>
      <c r="C783" s="2" t="s">
        <v>4329</v>
      </c>
      <c r="D783" s="2" t="str">
        <f>"580-436-4619"</f>
        <v>580-436-4619</v>
      </c>
      <c r="E783" s="2" t="s">
        <v>534</v>
      </c>
      <c r="F783" s="2" t="s">
        <v>4330</v>
      </c>
      <c r="G783" s="2" t="str">
        <f>"SR-1291"</f>
        <v>SR-1291</v>
      </c>
      <c r="H783" s="2" t="s">
        <v>4331</v>
      </c>
      <c r="I783" s="2" t="s">
        <v>4332</v>
      </c>
      <c r="K783" s="2" t="s">
        <v>28</v>
      </c>
      <c r="L783" s="2" t="s">
        <v>840</v>
      </c>
      <c r="M783" s="2">
        <v>74820.0</v>
      </c>
      <c r="N783" s="2" t="s">
        <v>21</v>
      </c>
    </row>
    <row r="784" ht="15.75" customHeight="1">
      <c r="A784" s="2">
        <v>2013.0</v>
      </c>
      <c r="B784" s="2" t="s">
        <v>4333</v>
      </c>
      <c r="C784" s="2" t="s">
        <v>4333</v>
      </c>
      <c r="D784" s="2" t="str">
        <f>"6017446191"</f>
        <v>6017446191</v>
      </c>
      <c r="E784" s="2" t="s">
        <v>1076</v>
      </c>
      <c r="F784" s="2" t="s">
        <v>4334</v>
      </c>
      <c r="G784" s="2" t="str">
        <f>"SR-1330"</f>
        <v>SR-1330</v>
      </c>
      <c r="H784" s="2" t="s">
        <v>4335</v>
      </c>
      <c r="I784" s="2" t="s">
        <v>4336</v>
      </c>
      <c r="K784" s="2" t="s">
        <v>4337</v>
      </c>
      <c r="L784" s="2" t="s">
        <v>1722</v>
      </c>
      <c r="M784" s="2">
        <v>39475.0</v>
      </c>
      <c r="N784" s="2" t="s">
        <v>21</v>
      </c>
    </row>
    <row r="785" ht="15.75" customHeight="1">
      <c r="A785" s="2">
        <v>2013.0</v>
      </c>
      <c r="B785" s="2" t="s">
        <v>4338</v>
      </c>
      <c r="D785" s="2" t="str">
        <f>"6083228500"</f>
        <v>6083228500</v>
      </c>
      <c r="E785" s="2" t="s">
        <v>4339</v>
      </c>
      <c r="F785" s="2" t="s">
        <v>4340</v>
      </c>
      <c r="G785" s="2" t="str">
        <f>"SR-1331"</f>
        <v>SR-1331</v>
      </c>
      <c r="H785" s="2" t="s">
        <v>4341</v>
      </c>
      <c r="I785" s="2" t="s">
        <v>4342</v>
      </c>
      <c r="K785" s="2" t="s">
        <v>4343</v>
      </c>
      <c r="L785" s="2" t="s">
        <v>193</v>
      </c>
      <c r="M785" s="2">
        <v>53546.0</v>
      </c>
      <c r="N785" s="2" t="s">
        <v>21</v>
      </c>
    </row>
    <row r="786" ht="15.75" customHeight="1">
      <c r="A786" s="2">
        <v>2013.0</v>
      </c>
      <c r="B786" s="2" t="s">
        <v>4344</v>
      </c>
      <c r="C786" s="2" t="s">
        <v>4345</v>
      </c>
      <c r="D786" s="2" t="str">
        <f>"2813516033"</f>
        <v>2813516033</v>
      </c>
      <c r="E786" s="2" t="s">
        <v>4346</v>
      </c>
      <c r="F786" s="2" t="s">
        <v>4347</v>
      </c>
      <c r="G786" s="2" t="str">
        <f>"SR-1332"</f>
        <v>SR-1332</v>
      </c>
      <c r="H786" s="2" t="s">
        <v>4348</v>
      </c>
      <c r="I786" s="2" t="s">
        <v>4349</v>
      </c>
      <c r="K786" s="2" t="s">
        <v>4350</v>
      </c>
      <c r="L786" s="2" t="s">
        <v>172</v>
      </c>
      <c r="M786" s="2">
        <v>77377.0</v>
      </c>
      <c r="N786" s="2" t="s">
        <v>21</v>
      </c>
    </row>
    <row r="787" ht="15.75" customHeight="1">
      <c r="A787" s="2">
        <v>2013.0</v>
      </c>
      <c r="B787" s="2" t="s">
        <v>4351</v>
      </c>
      <c r="C787" s="2" t="s">
        <v>4351</v>
      </c>
      <c r="D787" s="2" t="str">
        <f>"605-224-4184"</f>
        <v>605-224-4184</v>
      </c>
      <c r="E787" s="2" t="s">
        <v>1799</v>
      </c>
      <c r="F787" s="2" t="s">
        <v>4352</v>
      </c>
      <c r="G787" s="2" t="str">
        <f>"SR-1076"</f>
        <v>SR-1076</v>
      </c>
      <c r="H787" s="2" t="s">
        <v>4353</v>
      </c>
      <c r="I787" s="2" t="s">
        <v>4354</v>
      </c>
      <c r="K787" s="2" t="s">
        <v>4355</v>
      </c>
      <c r="L787" s="2" t="s">
        <v>920</v>
      </c>
      <c r="M787" s="2">
        <v>57501.0</v>
      </c>
      <c r="N787" s="2" t="s">
        <v>21</v>
      </c>
    </row>
    <row r="788" ht="15.75" customHeight="1">
      <c r="A788" s="2">
        <v>2013.0</v>
      </c>
      <c r="B788" s="2" t="s">
        <v>4356</v>
      </c>
      <c r="C788" s="2" t="s">
        <v>4357</v>
      </c>
      <c r="D788" s="2" t="str">
        <f>"330-383-5038"</f>
        <v>330-383-5038</v>
      </c>
      <c r="E788" s="2" t="s">
        <v>1156</v>
      </c>
      <c r="F788" s="2" t="s">
        <v>4358</v>
      </c>
      <c r="G788" s="2" t="str">
        <f>"SR-514"</f>
        <v>SR-514</v>
      </c>
      <c r="H788" s="2" t="s">
        <v>4359</v>
      </c>
      <c r="I788" s="2" t="s">
        <v>4360</v>
      </c>
      <c r="K788" s="2" t="s">
        <v>4361</v>
      </c>
      <c r="L788" s="2" t="s">
        <v>344</v>
      </c>
      <c r="M788" s="2">
        <v>43968.0</v>
      </c>
      <c r="N788" s="2" t="s">
        <v>21</v>
      </c>
    </row>
    <row r="789" ht="15.75" customHeight="1">
      <c r="A789" s="2">
        <v>2013.0</v>
      </c>
      <c r="B789" s="2" t="s">
        <v>4362</v>
      </c>
      <c r="C789" s="2" t="s">
        <v>4362</v>
      </c>
      <c r="D789" s="2" t="str">
        <f>"724-506-0460"</f>
        <v>724-506-0460</v>
      </c>
      <c r="E789" s="2" t="s">
        <v>1548</v>
      </c>
      <c r="F789" s="2" t="s">
        <v>4363</v>
      </c>
      <c r="G789" s="2" t="str">
        <f>"SR-1309"</f>
        <v>SR-1309</v>
      </c>
      <c r="H789" s="2" t="s">
        <v>4364</v>
      </c>
      <c r="I789" s="2" t="s">
        <v>4365</v>
      </c>
      <c r="K789" s="2" t="s">
        <v>4366</v>
      </c>
      <c r="L789" s="2" t="s">
        <v>179</v>
      </c>
      <c r="M789" s="2">
        <v>15005.0</v>
      </c>
      <c r="N789" s="2" t="s">
        <v>21</v>
      </c>
    </row>
    <row r="790" ht="15.75" customHeight="1">
      <c r="A790" s="2">
        <v>2013.0</v>
      </c>
      <c r="B790" s="2" t="s">
        <v>4367</v>
      </c>
      <c r="C790" s="2" t="s">
        <v>4368</v>
      </c>
      <c r="D790" s="2" t="str">
        <f>"7123581390"</f>
        <v>7123581390</v>
      </c>
      <c r="E790" s="2" t="s">
        <v>203</v>
      </c>
      <c r="F790" s="2" t="s">
        <v>4369</v>
      </c>
      <c r="G790" s="2" t="str">
        <f>"SR-1236"</f>
        <v>SR-1236</v>
      </c>
      <c r="H790" s="2" t="s">
        <v>4370</v>
      </c>
      <c r="I790" s="2" t="s">
        <v>4371</v>
      </c>
      <c r="K790" s="2" t="s">
        <v>4372</v>
      </c>
      <c r="L790" s="2" t="s">
        <v>560</v>
      </c>
      <c r="M790" s="2">
        <v>50574.0</v>
      </c>
      <c r="N790" s="2" t="s">
        <v>21</v>
      </c>
    </row>
    <row r="791" ht="15.75" customHeight="1">
      <c r="A791" s="2">
        <v>2013.0</v>
      </c>
      <c r="B791" s="2" t="s">
        <v>4373</v>
      </c>
      <c r="C791" s="2" t="s">
        <v>4374</v>
      </c>
      <c r="D791" s="2" t="str">
        <f>"(260) 627-5378"</f>
        <v>(260) 627-5378</v>
      </c>
      <c r="E791" s="2" t="s">
        <v>4375</v>
      </c>
      <c r="F791" s="2" t="s">
        <v>4376</v>
      </c>
      <c r="G791" s="2" t="str">
        <f>"SR-1106"</f>
        <v>SR-1106</v>
      </c>
      <c r="H791" s="2" t="s">
        <v>4377</v>
      </c>
      <c r="I791" s="2" t="s">
        <v>4378</v>
      </c>
      <c r="K791" s="2" t="s">
        <v>4379</v>
      </c>
      <c r="L791" s="2" t="s">
        <v>149</v>
      </c>
      <c r="M791" s="2">
        <v>46765.0</v>
      </c>
      <c r="N791" s="2" t="s">
        <v>21</v>
      </c>
    </row>
    <row r="792" ht="15.75" customHeight="1">
      <c r="A792" s="2">
        <v>2013.0</v>
      </c>
      <c r="B792" s="2" t="s">
        <v>4380</v>
      </c>
      <c r="C792" s="2" t="s">
        <v>4381</v>
      </c>
      <c r="D792" s="2" t="str">
        <f>"785-526-7293"</f>
        <v>785-526-7293</v>
      </c>
      <c r="E792" s="2" t="s">
        <v>4382</v>
      </c>
      <c r="F792" s="2" t="s">
        <v>4383</v>
      </c>
      <c r="G792" s="2" t="str">
        <f>"SR-1128"</f>
        <v>SR-1128</v>
      </c>
      <c r="H792" s="2" t="s">
        <v>4384</v>
      </c>
      <c r="I792" s="2" t="s">
        <v>4385</v>
      </c>
      <c r="K792" s="2" t="s">
        <v>4386</v>
      </c>
      <c r="L792" s="2" t="s">
        <v>272</v>
      </c>
      <c r="M792" s="2">
        <v>67481.0</v>
      </c>
      <c r="N792" s="2" t="s">
        <v>21</v>
      </c>
    </row>
    <row r="793" ht="15.75" customHeight="1">
      <c r="A793" s="2">
        <v>2013.0</v>
      </c>
      <c r="B793" s="2" t="s">
        <v>4387</v>
      </c>
      <c r="C793" s="2" t="s">
        <v>4387</v>
      </c>
      <c r="D793" s="2" t="str">
        <f>"785-384-0292"</f>
        <v>785-384-0292</v>
      </c>
      <c r="E793" s="2" t="s">
        <v>4388</v>
      </c>
      <c r="F793" s="2" t="s">
        <v>4389</v>
      </c>
      <c r="G793" s="2" t="str">
        <f>"SR-1197"</f>
        <v>SR-1197</v>
      </c>
      <c r="H793" s="2" t="s">
        <v>4390</v>
      </c>
      <c r="I793" s="2" t="s">
        <v>4391</v>
      </c>
      <c r="K793" s="2" t="s">
        <v>572</v>
      </c>
      <c r="L793" s="2" t="s">
        <v>272</v>
      </c>
      <c r="M793" s="2">
        <v>67455.0</v>
      </c>
      <c r="N793" s="2" t="s">
        <v>21</v>
      </c>
    </row>
    <row r="794" ht="15.75" customHeight="1">
      <c r="A794" s="2">
        <v>2013.0</v>
      </c>
      <c r="B794" s="2" t="s">
        <v>4392</v>
      </c>
      <c r="D794" s="2" t="str">
        <f>""</f>
        <v/>
      </c>
      <c r="E794" s="2" t="s">
        <v>2412</v>
      </c>
      <c r="F794" s="2" t="s">
        <v>4393</v>
      </c>
      <c r="G794" s="2" t="str">
        <f>"SR-1042"</f>
        <v>SR-1042</v>
      </c>
      <c r="H794" s="2" t="s">
        <v>4394</v>
      </c>
      <c r="N794" s="2" t="s">
        <v>21</v>
      </c>
    </row>
    <row r="795" ht="15.75" customHeight="1">
      <c r="A795" s="2">
        <v>2013.0</v>
      </c>
      <c r="B795" s="2" t="s">
        <v>4395</v>
      </c>
      <c r="C795" s="2" t="s">
        <v>4396</v>
      </c>
      <c r="D795" s="2" t="str">
        <f>"7854362428"</f>
        <v>7854362428</v>
      </c>
      <c r="E795" s="2" t="s">
        <v>447</v>
      </c>
      <c r="F795" s="2" t="s">
        <v>4397</v>
      </c>
      <c r="G795" s="2" t="str">
        <f>"SR-1087"</f>
        <v>SR-1087</v>
      </c>
      <c r="H795" s="2" t="s">
        <v>4398</v>
      </c>
      <c r="I795" s="2" t="s">
        <v>4399</v>
      </c>
      <c r="K795" s="2" t="s">
        <v>572</v>
      </c>
      <c r="L795" s="2" t="s">
        <v>272</v>
      </c>
      <c r="M795" s="2">
        <v>67455.0</v>
      </c>
      <c r="N795" s="2" t="s">
        <v>21</v>
      </c>
    </row>
    <row r="796" ht="15.75" customHeight="1">
      <c r="A796" s="2">
        <v>2013.0</v>
      </c>
      <c r="B796" s="2" t="s">
        <v>4400</v>
      </c>
      <c r="C796" s="2" t="s">
        <v>4400</v>
      </c>
      <c r="D796" s="2" t="str">
        <f>"979-921-0227"</f>
        <v>979-921-0227</v>
      </c>
      <c r="E796" s="2" t="s">
        <v>4401</v>
      </c>
      <c r="F796" s="2" t="s">
        <v>4402</v>
      </c>
      <c r="G796" s="2" t="str">
        <f>"SR-1310"</f>
        <v>SR-1310</v>
      </c>
      <c r="H796" s="2" t="s">
        <v>4403</v>
      </c>
      <c r="I796" s="2" t="s">
        <v>4404</v>
      </c>
      <c r="K796" s="2" t="s">
        <v>4405</v>
      </c>
      <c r="L796" s="2" t="s">
        <v>172</v>
      </c>
      <c r="M796" s="2">
        <v>77445.0</v>
      </c>
      <c r="N796" s="2" t="s">
        <v>21</v>
      </c>
    </row>
    <row r="797" ht="15.75" customHeight="1">
      <c r="A797" s="2">
        <v>2013.0</v>
      </c>
      <c r="B797" s="2" t="s">
        <v>2436</v>
      </c>
      <c r="C797" s="2" t="s">
        <v>2437</v>
      </c>
      <c r="D797" s="2" t="str">
        <f>"928 772-3387"</f>
        <v>928 772-3387</v>
      </c>
      <c r="E797" s="2" t="s">
        <v>4406</v>
      </c>
      <c r="F797" s="2" t="s">
        <v>2439</v>
      </c>
      <c r="G797" s="2" t="str">
        <f>"SR-832"</f>
        <v>SR-832</v>
      </c>
      <c r="H797" s="2" t="s">
        <v>4407</v>
      </c>
      <c r="I797" s="2" t="s">
        <v>2441</v>
      </c>
      <c r="J797" s="2" t="s">
        <v>4408</v>
      </c>
      <c r="K797" s="2" t="s">
        <v>2443</v>
      </c>
      <c r="L797" s="2" t="s">
        <v>422</v>
      </c>
      <c r="M797" s="2">
        <v>86338.0</v>
      </c>
      <c r="N797" s="2" t="s">
        <v>21</v>
      </c>
    </row>
    <row r="798" ht="15.75" customHeight="1">
      <c r="A798" s="2">
        <v>2013.0</v>
      </c>
      <c r="B798" s="2" t="s">
        <v>4409</v>
      </c>
      <c r="C798" s="2" t="s">
        <v>4410</v>
      </c>
      <c r="D798" s="2" t="str">
        <f>"325-698-7983"</f>
        <v>325-698-7983</v>
      </c>
      <c r="E798" s="2" t="s">
        <v>282</v>
      </c>
      <c r="F798" s="2" t="s">
        <v>4411</v>
      </c>
      <c r="G798" s="2" t="str">
        <f>"SR-1235"</f>
        <v>SR-1235</v>
      </c>
      <c r="H798" s="2" t="s">
        <v>4412</v>
      </c>
      <c r="I798" s="2" t="s">
        <v>4413</v>
      </c>
      <c r="K798" s="2" t="s">
        <v>781</v>
      </c>
      <c r="L798" s="2" t="s">
        <v>172</v>
      </c>
      <c r="M798" s="2">
        <v>79605.0</v>
      </c>
      <c r="N798" s="2" t="s">
        <v>21</v>
      </c>
    </row>
    <row r="799" ht="15.75" customHeight="1">
      <c r="A799" s="2">
        <v>2013.0</v>
      </c>
      <c r="B799" s="2" t="s">
        <v>4414</v>
      </c>
      <c r="C799" s="2" t="s">
        <v>4415</v>
      </c>
      <c r="D799" s="2" t="str">
        <f>"928-349-0504"</f>
        <v>928-349-0504</v>
      </c>
      <c r="E799" s="2" t="s">
        <v>4416</v>
      </c>
      <c r="F799" s="2" t="s">
        <v>4417</v>
      </c>
      <c r="G799" s="2" t="str">
        <f>"SR-1322"</f>
        <v>SR-1322</v>
      </c>
      <c r="H799" s="2" t="s">
        <v>4418</v>
      </c>
      <c r="I799" s="2" t="s">
        <v>4419</v>
      </c>
      <c r="K799" s="2" t="s">
        <v>4420</v>
      </c>
      <c r="L799" s="2" t="s">
        <v>422</v>
      </c>
      <c r="M799" s="2">
        <v>86503.0</v>
      </c>
      <c r="N799" s="2" t="s">
        <v>21</v>
      </c>
    </row>
    <row r="800" ht="15.75" customHeight="1">
      <c r="A800" s="2">
        <v>2013.0</v>
      </c>
      <c r="B800" s="2" t="s">
        <v>4421</v>
      </c>
      <c r="D800" s="2" t="str">
        <f>"352-215-7206"</f>
        <v>352-215-7206</v>
      </c>
      <c r="E800" s="2" t="s">
        <v>1197</v>
      </c>
      <c r="F800" s="2" t="s">
        <v>4422</v>
      </c>
      <c r="G800" s="2" t="str">
        <f>"SR-289"</f>
        <v>SR-289</v>
      </c>
      <c r="H800" s="2" t="s">
        <v>4423</v>
      </c>
      <c r="I800" s="2" t="s">
        <v>4424</v>
      </c>
      <c r="K800" s="2" t="s">
        <v>4425</v>
      </c>
      <c r="L800" s="2" t="s">
        <v>208</v>
      </c>
      <c r="M800" s="2">
        <v>32669.0</v>
      </c>
      <c r="N800" s="2" t="s">
        <v>21</v>
      </c>
    </row>
    <row r="801" ht="15.75" customHeight="1">
      <c r="A801" s="2">
        <v>2013.0</v>
      </c>
      <c r="B801" s="2" t="s">
        <v>4426</v>
      </c>
      <c r="C801" s="2" t="s">
        <v>4426</v>
      </c>
      <c r="D801" s="2" t="str">
        <f>"505-891-5499"</f>
        <v>505-891-5499</v>
      </c>
      <c r="E801" s="2" t="s">
        <v>3778</v>
      </c>
      <c r="F801" s="2" t="s">
        <v>4427</v>
      </c>
      <c r="G801" s="2" t="str">
        <f>"SR-1344"</f>
        <v>SR-1344</v>
      </c>
      <c r="H801" s="2" t="s">
        <v>4428</v>
      </c>
      <c r="I801" s="2" t="s">
        <v>4429</v>
      </c>
      <c r="K801" s="2" t="s">
        <v>3803</v>
      </c>
      <c r="L801" s="2" t="s">
        <v>789</v>
      </c>
      <c r="M801" s="2">
        <v>87124.0</v>
      </c>
      <c r="N801" s="2" t="s">
        <v>21</v>
      </c>
    </row>
    <row r="802" ht="15.75" customHeight="1">
      <c r="A802" s="2">
        <v>2013.0</v>
      </c>
      <c r="B802" s="2" t="s">
        <v>4430</v>
      </c>
      <c r="C802" s="2" t="s">
        <v>4431</v>
      </c>
      <c r="D802" s="2" t="str">
        <f>"6263541516"</f>
        <v>6263541516</v>
      </c>
      <c r="E802" s="2" t="s">
        <v>261</v>
      </c>
      <c r="F802" s="2" t="s">
        <v>4432</v>
      </c>
      <c r="G802" s="2" t="str">
        <f>"SR-1340"</f>
        <v>SR-1340</v>
      </c>
      <c r="H802" s="2" t="s">
        <v>4433</v>
      </c>
      <c r="I802" s="2" t="s">
        <v>4434</v>
      </c>
      <c r="K802" s="2" t="s">
        <v>4435</v>
      </c>
      <c r="L802" s="2" t="s">
        <v>222</v>
      </c>
      <c r="M802" s="2">
        <v>91001.0</v>
      </c>
      <c r="N802" s="2" t="s">
        <v>21</v>
      </c>
    </row>
    <row r="803" ht="15.75" customHeight="1">
      <c r="A803" s="2">
        <v>2013.0</v>
      </c>
      <c r="B803" s="2" t="s">
        <v>4436</v>
      </c>
      <c r="D803" s="2" t="str">
        <f>"+61 434 198 644"</f>
        <v>+61 434 198 644</v>
      </c>
      <c r="E803" s="2" t="s">
        <v>4437</v>
      </c>
      <c r="F803" s="2" t="s">
        <v>2362</v>
      </c>
      <c r="G803" s="2" t="str">
        <f>"SR-946"</f>
        <v>SR-946</v>
      </c>
      <c r="H803" s="2" t="s">
        <v>4438</v>
      </c>
      <c r="I803" s="2" t="s">
        <v>4439</v>
      </c>
      <c r="K803" s="2" t="s">
        <v>4440</v>
      </c>
      <c r="L803" s="2" t="s">
        <v>4441</v>
      </c>
      <c r="M803" s="2">
        <v>5251.0</v>
      </c>
      <c r="N803" s="2" t="s">
        <v>4442</v>
      </c>
    </row>
    <row r="804" ht="15.75" customHeight="1">
      <c r="A804" s="2">
        <v>2013.0</v>
      </c>
      <c r="B804" s="2" t="s">
        <v>4443</v>
      </c>
      <c r="C804" s="2" t="s">
        <v>4443</v>
      </c>
      <c r="D804" s="2" t="str">
        <f>"(916) 744-1994"</f>
        <v>(916) 744-1994</v>
      </c>
      <c r="E804" s="2" t="s">
        <v>584</v>
      </c>
      <c r="F804" s="2" t="s">
        <v>1101</v>
      </c>
      <c r="G804" s="2" t="str">
        <f>"SR-1338"</f>
        <v>SR-1338</v>
      </c>
      <c r="H804" s="2" t="s">
        <v>4444</v>
      </c>
      <c r="I804" s="2" t="s">
        <v>4445</v>
      </c>
      <c r="K804" s="2" t="s">
        <v>4446</v>
      </c>
      <c r="L804" s="2" t="s">
        <v>222</v>
      </c>
      <c r="M804" s="2">
        <v>95612.0</v>
      </c>
      <c r="N804" s="2" t="s">
        <v>21</v>
      </c>
    </row>
    <row r="805" ht="15.75" customHeight="1">
      <c r="A805" s="2">
        <v>2013.0</v>
      </c>
      <c r="B805" s="2" t="s">
        <v>4447</v>
      </c>
      <c r="C805" s="2" t="s">
        <v>4448</v>
      </c>
      <c r="D805" s="2" t="str">
        <f>"7314233407"</f>
        <v>7314233407</v>
      </c>
      <c r="E805" s="2" t="s">
        <v>282</v>
      </c>
      <c r="F805" s="2" t="s">
        <v>962</v>
      </c>
      <c r="G805" s="2" t="str">
        <f>"SR-329"</f>
        <v>SR-329</v>
      </c>
      <c r="H805" s="2" t="s">
        <v>2469</v>
      </c>
      <c r="I805" s="2" t="s">
        <v>4449</v>
      </c>
      <c r="K805" s="2" t="s">
        <v>1257</v>
      </c>
      <c r="L805" s="2" t="s">
        <v>279</v>
      </c>
      <c r="M805" s="2">
        <v>38301.0</v>
      </c>
      <c r="N805" s="2" t="s">
        <v>21</v>
      </c>
    </row>
    <row r="806" ht="15.75" customHeight="1">
      <c r="A806" s="2">
        <v>2013.0</v>
      </c>
      <c r="B806" s="2" t="s">
        <v>4450</v>
      </c>
      <c r="C806" s="2" t="s">
        <v>4451</v>
      </c>
      <c r="D806" s="2" t="str">
        <f>"5057711999"</f>
        <v>5057711999</v>
      </c>
      <c r="E806" s="2" t="s">
        <v>1324</v>
      </c>
      <c r="F806" s="2" t="s">
        <v>984</v>
      </c>
      <c r="G806" s="2" t="str">
        <f>"SR-1341"</f>
        <v>SR-1341</v>
      </c>
      <c r="H806" s="2" t="s">
        <v>4452</v>
      </c>
      <c r="I806" s="2" t="s">
        <v>4453</v>
      </c>
      <c r="K806" s="2" t="s">
        <v>3803</v>
      </c>
      <c r="L806" s="2" t="s">
        <v>789</v>
      </c>
      <c r="M806" s="2">
        <v>87144.0</v>
      </c>
      <c r="N806" s="2" t="s">
        <v>21</v>
      </c>
    </row>
    <row r="807" ht="15.75" customHeight="1">
      <c r="A807" s="2">
        <v>2013.0</v>
      </c>
      <c r="B807" s="2" t="s">
        <v>4454</v>
      </c>
      <c r="C807" s="2" t="s">
        <v>4455</v>
      </c>
      <c r="D807" s="2" t="str">
        <f>"281 - 254 -9504"</f>
        <v>281 - 254 -9504</v>
      </c>
      <c r="E807" s="2" t="s">
        <v>4456</v>
      </c>
      <c r="F807" s="2" t="s">
        <v>4457</v>
      </c>
      <c r="G807" s="2" t="str">
        <f>"SR-1346"</f>
        <v>SR-1346</v>
      </c>
      <c r="H807" s="2" t="s">
        <v>4458</v>
      </c>
      <c r="I807" s="2" t="s">
        <v>4459</v>
      </c>
      <c r="K807" s="2" t="s">
        <v>4460</v>
      </c>
      <c r="L807" s="2" t="s">
        <v>172</v>
      </c>
      <c r="M807" s="2">
        <v>77447.0</v>
      </c>
      <c r="N807" s="2" t="s">
        <v>21</v>
      </c>
    </row>
    <row r="808" ht="15.75" customHeight="1">
      <c r="A808" s="2">
        <v>2013.0</v>
      </c>
      <c r="B808" s="2" t="s">
        <v>4461</v>
      </c>
      <c r="C808" s="2" t="s">
        <v>4461</v>
      </c>
      <c r="D808" s="2" t="str">
        <f>"281 543 0373"</f>
        <v>281 543 0373</v>
      </c>
      <c r="E808" s="2" t="s">
        <v>4462</v>
      </c>
      <c r="F808" s="2" t="s">
        <v>4457</v>
      </c>
      <c r="G808" s="2" t="str">
        <f>"SR-1347"</f>
        <v>SR-1347</v>
      </c>
      <c r="H808" s="2" t="s">
        <v>4463</v>
      </c>
      <c r="I808" s="2" t="s">
        <v>4459</v>
      </c>
      <c r="K808" s="2" t="s">
        <v>4460</v>
      </c>
      <c r="L808" s="2" t="s">
        <v>172</v>
      </c>
      <c r="M808" s="2">
        <v>77447.0</v>
      </c>
      <c r="N808" s="2" t="s">
        <v>21</v>
      </c>
    </row>
    <row r="809" ht="15.75" customHeight="1">
      <c r="A809" s="2">
        <v>2013.0</v>
      </c>
      <c r="B809" s="2" t="s">
        <v>4464</v>
      </c>
      <c r="C809" s="2" t="s">
        <v>4464</v>
      </c>
      <c r="D809" s="2" t="str">
        <f>"832-683-0439"</f>
        <v>832-683-0439</v>
      </c>
      <c r="E809" s="2" t="s">
        <v>3778</v>
      </c>
      <c r="F809" s="2" t="s">
        <v>4457</v>
      </c>
      <c r="G809" s="2" t="str">
        <f>"SR-1348"</f>
        <v>SR-1348</v>
      </c>
      <c r="H809" s="2" t="s">
        <v>4465</v>
      </c>
      <c r="I809" s="2" t="s">
        <v>4466</v>
      </c>
      <c r="K809" s="2" t="s">
        <v>4460</v>
      </c>
      <c r="L809" s="2" t="s">
        <v>172</v>
      </c>
      <c r="M809" s="2">
        <v>77447.0</v>
      </c>
      <c r="N809" s="2" t="s">
        <v>21</v>
      </c>
    </row>
    <row r="810" ht="15.75" customHeight="1">
      <c r="A810" s="2">
        <v>2013.0</v>
      </c>
      <c r="B810" s="2" t="s">
        <v>4467</v>
      </c>
      <c r="C810" s="2" t="s">
        <v>4468</v>
      </c>
      <c r="D810" s="2" t="str">
        <f>"9796966513"</f>
        <v>9796966513</v>
      </c>
      <c r="E810" s="2" t="s">
        <v>4469</v>
      </c>
      <c r="F810" s="2" t="s">
        <v>4470</v>
      </c>
      <c r="G810" s="2" t="str">
        <f>"SR-1311"</f>
        <v>SR-1311</v>
      </c>
      <c r="H810" s="2" t="s">
        <v>4471</v>
      </c>
      <c r="I810" s="2" t="s">
        <v>4472</v>
      </c>
      <c r="K810" s="2" t="s">
        <v>4473</v>
      </c>
      <c r="L810" s="2" t="s">
        <v>172</v>
      </c>
      <c r="M810" s="2">
        <v>77845.0</v>
      </c>
      <c r="N810" s="2" t="s">
        <v>21</v>
      </c>
    </row>
    <row r="811" ht="15.75" customHeight="1">
      <c r="A811" s="2">
        <v>2013.0</v>
      </c>
      <c r="B811" s="2" t="s">
        <v>4426</v>
      </c>
      <c r="C811" s="2" t="s">
        <v>4426</v>
      </c>
      <c r="D811" s="2" t="str">
        <f>"505-236-9562"</f>
        <v>505-236-9562</v>
      </c>
      <c r="E811" s="2" t="s">
        <v>4474</v>
      </c>
      <c r="F811" s="2" t="s">
        <v>4427</v>
      </c>
      <c r="G811" s="2" t="str">
        <f>"SR-1345"</f>
        <v>SR-1345</v>
      </c>
      <c r="H811" s="2" t="s">
        <v>4475</v>
      </c>
      <c r="I811" s="2" t="s">
        <v>4476</v>
      </c>
      <c r="K811" s="2" t="s">
        <v>3803</v>
      </c>
      <c r="L811" s="2" t="s">
        <v>789</v>
      </c>
      <c r="M811" s="2">
        <v>87124.0</v>
      </c>
      <c r="N811" s="2" t="s">
        <v>21</v>
      </c>
    </row>
    <row r="812" ht="15.75" customHeight="1">
      <c r="A812" s="2">
        <v>2013.0</v>
      </c>
      <c r="B812" s="2" t="s">
        <v>4477</v>
      </c>
      <c r="C812" s="2" t="s">
        <v>4478</v>
      </c>
      <c r="D812" s="2" t="str">
        <f>"207-751-1970"</f>
        <v>207-751-1970</v>
      </c>
      <c r="E812" s="2" t="s">
        <v>4479</v>
      </c>
      <c r="F812" s="2" t="s">
        <v>3028</v>
      </c>
      <c r="G812" s="2" t="str">
        <f>"SR-1270"</f>
        <v>SR-1270</v>
      </c>
      <c r="H812" s="2" t="s">
        <v>4480</v>
      </c>
      <c r="I812" s="2" t="s">
        <v>4481</v>
      </c>
      <c r="K812" s="2" t="s">
        <v>4482</v>
      </c>
      <c r="L812" s="2" t="s">
        <v>3737</v>
      </c>
      <c r="M812" s="2">
        <v>4548.0</v>
      </c>
      <c r="N812" s="2" t="s">
        <v>21</v>
      </c>
    </row>
    <row r="813" ht="15.75" customHeight="1">
      <c r="A813" s="2">
        <v>2013.0</v>
      </c>
      <c r="B813" s="2" t="s">
        <v>4483</v>
      </c>
      <c r="C813" s="2" t="s">
        <v>4483</v>
      </c>
      <c r="D813" s="2" t="str">
        <f>"2694280057"</f>
        <v>2694280057</v>
      </c>
      <c r="E813" s="2" t="s">
        <v>339</v>
      </c>
      <c r="F813" s="2" t="s">
        <v>4484</v>
      </c>
      <c r="G813" s="2" t="str">
        <f>"SR-1177"</f>
        <v>SR-1177</v>
      </c>
      <c r="H813" s="2" t="s">
        <v>4485</v>
      </c>
      <c r="I813" s="2" t="s">
        <v>4486</v>
      </c>
      <c r="K813" s="2" t="s">
        <v>1201</v>
      </c>
      <c r="L813" s="2" t="s">
        <v>29</v>
      </c>
      <c r="M813" s="2">
        <v>49085.0</v>
      </c>
      <c r="N813" s="2" t="s">
        <v>21</v>
      </c>
    </row>
    <row r="814" ht="15.75" customHeight="1">
      <c r="A814" s="2">
        <v>2013.0</v>
      </c>
      <c r="B814" s="2" t="s">
        <v>4477</v>
      </c>
      <c r="C814" s="2" t="s">
        <v>4487</v>
      </c>
      <c r="D814" s="2" t="str">
        <f>"207-751-1970"</f>
        <v>207-751-1970</v>
      </c>
      <c r="E814" s="2" t="s">
        <v>261</v>
      </c>
      <c r="F814" s="2" t="s">
        <v>3028</v>
      </c>
      <c r="G814" s="2" t="str">
        <f>"SR-1273"</f>
        <v>SR-1273</v>
      </c>
      <c r="H814" s="2" t="s">
        <v>4488</v>
      </c>
      <c r="I814" s="2" t="s">
        <v>4481</v>
      </c>
      <c r="K814" s="2" t="s">
        <v>4482</v>
      </c>
      <c r="L814" s="2" t="s">
        <v>3737</v>
      </c>
      <c r="M814" s="2">
        <v>4548.0</v>
      </c>
      <c r="N814" s="2" t="s">
        <v>21</v>
      </c>
    </row>
    <row r="815" ht="15.75" customHeight="1">
      <c r="A815" s="2">
        <v>2013.0</v>
      </c>
      <c r="B815" s="2" t="s">
        <v>4489</v>
      </c>
      <c r="C815" s="2" t="s">
        <v>4490</v>
      </c>
      <c r="D815" s="2" t="str">
        <f>"701-667-1317"</f>
        <v>701-667-1317</v>
      </c>
      <c r="E815" s="2" t="s">
        <v>4491</v>
      </c>
      <c r="F815" s="2" t="s">
        <v>4492</v>
      </c>
      <c r="G815" s="2" t="str">
        <f>"SR-1352"</f>
        <v>SR-1352</v>
      </c>
      <c r="H815" s="2" t="s">
        <v>4493</v>
      </c>
      <c r="I815" s="2" t="s">
        <v>4494</v>
      </c>
      <c r="K815" s="2" t="s">
        <v>4495</v>
      </c>
      <c r="L815" s="2" t="s">
        <v>2534</v>
      </c>
      <c r="M815" s="2">
        <v>58554.0</v>
      </c>
      <c r="N815" s="2" t="s">
        <v>21</v>
      </c>
    </row>
    <row r="816" ht="15.75" customHeight="1">
      <c r="A816" s="2">
        <v>2013.0</v>
      </c>
      <c r="B816" s="2" t="s">
        <v>4496</v>
      </c>
      <c r="D816" s="2" t="str">
        <f>""</f>
        <v/>
      </c>
      <c r="E816" s="2" t="s">
        <v>1362</v>
      </c>
      <c r="F816" s="2" t="s">
        <v>4497</v>
      </c>
      <c r="G816" s="2" t="str">
        <f>"SR-1336"</f>
        <v>SR-1336</v>
      </c>
      <c r="H816" s="2" t="s">
        <v>4498</v>
      </c>
      <c r="N816" s="2" t="s">
        <v>21</v>
      </c>
    </row>
    <row r="817" ht="15.75" customHeight="1">
      <c r="A817" s="2">
        <v>2013.0</v>
      </c>
      <c r="B817" s="2" t="s">
        <v>4499</v>
      </c>
      <c r="C817" s="2" t="s">
        <v>4500</v>
      </c>
      <c r="D817" s="2" t="str">
        <f>"6186248006"</f>
        <v>6186248006</v>
      </c>
      <c r="E817" s="2" t="s">
        <v>50</v>
      </c>
      <c r="F817" s="2" t="s">
        <v>4501</v>
      </c>
      <c r="G817" s="2" t="str">
        <f>"SR-1353"</f>
        <v>SR-1353</v>
      </c>
      <c r="H817" s="2" t="s">
        <v>4502</v>
      </c>
      <c r="I817" s="2" t="s">
        <v>4503</v>
      </c>
      <c r="K817" s="2" t="s">
        <v>4504</v>
      </c>
      <c r="L817" s="2" t="s">
        <v>105</v>
      </c>
      <c r="M817" s="2">
        <v>62074.0</v>
      </c>
      <c r="N817" s="2" t="s">
        <v>21</v>
      </c>
    </row>
    <row r="818" ht="15.75" customHeight="1">
      <c r="A818" s="2">
        <v>2013.0</v>
      </c>
      <c r="B818" s="2" t="s">
        <v>4505</v>
      </c>
      <c r="C818" s="2" t="s">
        <v>4506</v>
      </c>
      <c r="D818" s="2" t="str">
        <f>"317-255-6979"</f>
        <v>317-255-6979</v>
      </c>
      <c r="E818" s="2" t="s">
        <v>1094</v>
      </c>
      <c r="F818" s="2" t="s">
        <v>4507</v>
      </c>
      <c r="G818" s="2" t="str">
        <f>"SR-1354"</f>
        <v>SR-1354</v>
      </c>
      <c r="H818" s="2" t="s">
        <v>4508</v>
      </c>
      <c r="I818" s="2" t="s">
        <v>4509</v>
      </c>
      <c r="K818" s="2" t="s">
        <v>1188</v>
      </c>
      <c r="L818" s="2" t="s">
        <v>149</v>
      </c>
      <c r="M818" s="2">
        <v>46260.0</v>
      </c>
      <c r="N818" s="2" t="s">
        <v>21</v>
      </c>
    </row>
    <row r="819" ht="15.75" customHeight="1">
      <c r="A819" s="2">
        <v>2013.0</v>
      </c>
      <c r="B819" s="2" t="s">
        <v>4510</v>
      </c>
      <c r="C819" s="2" t="s">
        <v>4510</v>
      </c>
      <c r="D819" s="2" t="str">
        <f>"913-722-2048"</f>
        <v>913-722-2048</v>
      </c>
      <c r="E819" s="2" t="s">
        <v>659</v>
      </c>
      <c r="F819" s="2" t="s">
        <v>4511</v>
      </c>
      <c r="G819" s="2" t="str">
        <f>"SR-1356"</f>
        <v>SR-1356</v>
      </c>
      <c r="H819" s="2" t="s">
        <v>4512</v>
      </c>
      <c r="I819" s="2" t="s">
        <v>4513</v>
      </c>
      <c r="K819" s="2" t="s">
        <v>4514</v>
      </c>
      <c r="L819" s="2" t="s">
        <v>272</v>
      </c>
      <c r="M819" s="2">
        <v>66203.0</v>
      </c>
      <c r="N819" s="2" t="s">
        <v>21</v>
      </c>
    </row>
    <row r="820" ht="15.75" customHeight="1">
      <c r="A820" s="2">
        <v>2013.0</v>
      </c>
      <c r="B820" s="2" t="s">
        <v>4515</v>
      </c>
      <c r="C820" s="2" t="s">
        <v>4515</v>
      </c>
      <c r="D820" s="2" t="str">
        <f>"(434)-384-5420"</f>
        <v>(434)-384-5420</v>
      </c>
      <c r="E820" s="2" t="s">
        <v>908</v>
      </c>
      <c r="F820" s="2" t="s">
        <v>4516</v>
      </c>
      <c r="G820" s="2" t="str">
        <f>"SR-1320"</f>
        <v>SR-1320</v>
      </c>
      <c r="H820" s="2" t="s">
        <v>4517</v>
      </c>
      <c r="I820" s="2" t="s">
        <v>4518</v>
      </c>
      <c r="K820" s="2" t="s">
        <v>4519</v>
      </c>
      <c r="L820" s="2" t="s">
        <v>165</v>
      </c>
      <c r="M820" s="2">
        <v>24574.0</v>
      </c>
      <c r="N820" s="2" t="s">
        <v>21</v>
      </c>
    </row>
    <row r="821" ht="15.75" customHeight="1">
      <c r="A821" s="2">
        <v>2013.0</v>
      </c>
      <c r="B821" s="2" t="s">
        <v>4520</v>
      </c>
      <c r="D821" s="2" t="str">
        <f>"6157462843"</f>
        <v>6157462843</v>
      </c>
      <c r="E821" s="2" t="s">
        <v>1263</v>
      </c>
      <c r="F821" s="2" t="s">
        <v>4521</v>
      </c>
      <c r="G821" s="2" t="str">
        <f>"SR-1298"</f>
        <v>SR-1298</v>
      </c>
      <c r="H821" s="2" t="s">
        <v>4522</v>
      </c>
      <c r="I821" s="2" t="s">
        <v>4523</v>
      </c>
      <c r="K821" s="2" t="s">
        <v>4524</v>
      </c>
      <c r="L821" s="2" t="s">
        <v>279</v>
      </c>
      <c r="M821" s="2">
        <v>37146.0</v>
      </c>
      <c r="N821" s="2" t="s">
        <v>21</v>
      </c>
    </row>
    <row r="822" ht="15.75" customHeight="1">
      <c r="A822" s="2">
        <v>2013.0</v>
      </c>
      <c r="B822" s="2" t="s">
        <v>4525</v>
      </c>
      <c r="C822" s="2" t="s">
        <v>4525</v>
      </c>
      <c r="D822" s="2" t="str">
        <f>"(507)626-0043"</f>
        <v>(507)626-0043</v>
      </c>
      <c r="E822" s="2" t="s">
        <v>4526</v>
      </c>
      <c r="F822" s="2" t="s">
        <v>4527</v>
      </c>
      <c r="G822" s="2" t="str">
        <f>"SR-926"</f>
        <v>SR-926</v>
      </c>
      <c r="H822" s="2" t="s">
        <v>4528</v>
      </c>
      <c r="I822" s="2" t="s">
        <v>4529</v>
      </c>
      <c r="K822" s="2" t="s">
        <v>133</v>
      </c>
      <c r="L822" s="2" t="s">
        <v>62</v>
      </c>
      <c r="M822" s="2">
        <v>56175.0</v>
      </c>
      <c r="N822" s="2" t="s">
        <v>21</v>
      </c>
    </row>
    <row r="823" ht="15.75" customHeight="1">
      <c r="A823" s="2">
        <v>2013.0</v>
      </c>
      <c r="B823" s="2" t="s">
        <v>4530</v>
      </c>
      <c r="C823" s="2" t="s">
        <v>4531</v>
      </c>
      <c r="D823" s="2" t="str">
        <f>"(270)505-0732"</f>
        <v>(270)505-0732</v>
      </c>
      <c r="E823" s="2" t="s">
        <v>1362</v>
      </c>
      <c r="F823" s="2" t="s">
        <v>4532</v>
      </c>
      <c r="G823" s="2" t="str">
        <f>"SR-1305"</f>
        <v>SR-1305</v>
      </c>
      <c r="H823" s="2" t="s">
        <v>4533</v>
      </c>
      <c r="I823" s="2" t="s">
        <v>4534</v>
      </c>
      <c r="K823" s="2" t="s">
        <v>4535</v>
      </c>
      <c r="L823" s="2" t="s">
        <v>1236</v>
      </c>
      <c r="M823" s="2">
        <v>42701.0</v>
      </c>
      <c r="N823" s="2" t="s">
        <v>21</v>
      </c>
    </row>
    <row r="824" ht="15.75" customHeight="1">
      <c r="A824" s="2">
        <v>2013.0</v>
      </c>
      <c r="B824" s="2" t="s">
        <v>4536</v>
      </c>
      <c r="C824" s="2" t="s">
        <v>4537</v>
      </c>
      <c r="D824" s="2" t="str">
        <f>"3194916470"</f>
        <v>3194916470</v>
      </c>
      <c r="E824" s="2" t="s">
        <v>339</v>
      </c>
      <c r="F824" s="2" t="s">
        <v>4538</v>
      </c>
      <c r="G824" s="2" t="str">
        <f>"SR-1342"</f>
        <v>SR-1342</v>
      </c>
      <c r="H824" s="2" t="s">
        <v>4539</v>
      </c>
      <c r="I824" s="2" t="s">
        <v>4540</v>
      </c>
      <c r="K824" s="2" t="s">
        <v>3273</v>
      </c>
      <c r="L824" s="2" t="s">
        <v>560</v>
      </c>
      <c r="M824" s="2">
        <v>52402.0</v>
      </c>
      <c r="N824" s="2" t="s">
        <v>21</v>
      </c>
    </row>
    <row r="825" ht="15.75" customHeight="1">
      <c r="A825" s="2">
        <v>2013.0</v>
      </c>
      <c r="B825" s="2" t="s">
        <v>4541</v>
      </c>
      <c r="C825" s="2" t="s">
        <v>4542</v>
      </c>
      <c r="D825" s="2" t="str">
        <f>"(320)-679-1443"</f>
        <v>(320)-679-1443</v>
      </c>
      <c r="E825" s="2" t="s">
        <v>2259</v>
      </c>
      <c r="F825" s="2" t="s">
        <v>984</v>
      </c>
      <c r="G825" s="2" t="str">
        <f>"SR-935"</f>
        <v>SR-935</v>
      </c>
      <c r="H825" s="2" t="s">
        <v>4543</v>
      </c>
      <c r="I825" s="2" t="s">
        <v>4544</v>
      </c>
      <c r="K825" s="2" t="s">
        <v>4545</v>
      </c>
      <c r="L825" s="2" t="s">
        <v>62</v>
      </c>
      <c r="M825" s="2">
        <v>55007.0</v>
      </c>
      <c r="N825" s="2" t="s">
        <v>21</v>
      </c>
    </row>
    <row r="826" ht="15.75" customHeight="1">
      <c r="A826" s="2">
        <v>2013.0</v>
      </c>
      <c r="B826" s="2" t="s">
        <v>4546</v>
      </c>
      <c r="D826" s="2" t="str">
        <f>""</f>
        <v/>
      </c>
      <c r="E826" s="2" t="s">
        <v>4300</v>
      </c>
      <c r="F826" s="2" t="s">
        <v>4547</v>
      </c>
      <c r="G826" s="2" t="str">
        <f>"SR-440"</f>
        <v>SR-440</v>
      </c>
      <c r="H826" s="2" t="s">
        <v>4548</v>
      </c>
      <c r="N826" s="2" t="s">
        <v>21</v>
      </c>
    </row>
    <row r="827" ht="15.75" customHeight="1">
      <c r="A827" s="2">
        <v>2013.0</v>
      </c>
      <c r="B827" s="2" t="s">
        <v>4546</v>
      </c>
      <c r="C827" s="2" t="s">
        <v>4549</v>
      </c>
      <c r="D827" s="2" t="str">
        <f>"260-824-1242"</f>
        <v>260-824-1242</v>
      </c>
      <c r="E827" s="2" t="s">
        <v>386</v>
      </c>
      <c r="F827" s="2" t="s">
        <v>4547</v>
      </c>
      <c r="G827" s="2" t="str">
        <f>"SR-651"</f>
        <v>SR-651</v>
      </c>
      <c r="H827" s="2" t="s">
        <v>4550</v>
      </c>
      <c r="I827" s="2" t="s">
        <v>4551</v>
      </c>
      <c r="K827" s="2" t="s">
        <v>4552</v>
      </c>
      <c r="L827" s="2" t="s">
        <v>149</v>
      </c>
      <c r="M827" s="2">
        <v>46714.0</v>
      </c>
      <c r="N827" s="2" t="s">
        <v>21</v>
      </c>
    </row>
    <row r="828" ht="15.75" customHeight="1">
      <c r="A828" s="2">
        <v>2013.0</v>
      </c>
      <c r="B828" s="2" t="s">
        <v>4553</v>
      </c>
      <c r="C828" s="2" t="s">
        <v>4554</v>
      </c>
      <c r="D828" s="2" t="str">
        <f>"8139082051"</f>
        <v>8139082051</v>
      </c>
      <c r="E828" s="2" t="s">
        <v>4555</v>
      </c>
      <c r="F828" s="2" t="s">
        <v>4556</v>
      </c>
      <c r="G828" s="2" t="str">
        <f>"SR-1314"</f>
        <v>SR-1314</v>
      </c>
      <c r="H828" s="2" t="s">
        <v>4557</v>
      </c>
      <c r="I828" s="2" t="s">
        <v>4558</v>
      </c>
      <c r="K828" s="2" t="s">
        <v>3431</v>
      </c>
      <c r="L828" s="2" t="s">
        <v>208</v>
      </c>
      <c r="M828" s="2">
        <v>33618.0</v>
      </c>
      <c r="N828" s="2" t="s">
        <v>21</v>
      </c>
    </row>
    <row r="829" ht="15.75" customHeight="1">
      <c r="A829" s="2">
        <v>2013.0</v>
      </c>
      <c r="B829" s="2" t="s">
        <v>4559</v>
      </c>
      <c r="C829" s="2" t="s">
        <v>4560</v>
      </c>
      <c r="D829" s="2" t="str">
        <f>"6057964974"</f>
        <v>6057964974</v>
      </c>
      <c r="E829" s="2" t="s">
        <v>580</v>
      </c>
      <c r="F829" s="2" t="s">
        <v>4561</v>
      </c>
      <c r="G829" s="2" t="str">
        <f>"SR-1167"</f>
        <v>SR-1167</v>
      </c>
      <c r="H829" s="2" t="s">
        <v>4562</v>
      </c>
      <c r="I829" s="2" t="s">
        <v>4563</v>
      </c>
      <c r="K829" s="2" t="s">
        <v>4564</v>
      </c>
      <c r="L829" s="2" t="s">
        <v>920</v>
      </c>
      <c r="M829" s="2">
        <v>57385.0</v>
      </c>
      <c r="N829" s="2" t="s">
        <v>21</v>
      </c>
    </row>
    <row r="830" ht="15.75" customHeight="1">
      <c r="A830" s="2">
        <v>2013.0</v>
      </c>
      <c r="B830" s="2" t="s">
        <v>4565</v>
      </c>
      <c r="C830" s="2" t="s">
        <v>4565</v>
      </c>
      <c r="D830" s="2" t="str">
        <f>"423-693-3268"</f>
        <v>423-693-3268</v>
      </c>
      <c r="E830" s="2" t="s">
        <v>1434</v>
      </c>
      <c r="F830" s="2" t="s">
        <v>4566</v>
      </c>
      <c r="G830" s="2" t="str">
        <f>"SR-1230"</f>
        <v>SR-1230</v>
      </c>
      <c r="H830" s="2" t="s">
        <v>4567</v>
      </c>
      <c r="I830" s="2" t="s">
        <v>4568</v>
      </c>
      <c r="K830" s="2" t="s">
        <v>4569</v>
      </c>
      <c r="L830" s="2" t="s">
        <v>200</v>
      </c>
      <c r="M830" s="2">
        <v>30736.0</v>
      </c>
      <c r="N830" s="2" t="s">
        <v>21</v>
      </c>
    </row>
    <row r="831" ht="15.75" customHeight="1">
      <c r="A831" s="2">
        <v>2013.0</v>
      </c>
      <c r="B831" s="2" t="s">
        <v>4570</v>
      </c>
      <c r="C831" s="2" t="s">
        <v>4570</v>
      </c>
      <c r="D831" s="2" t="str">
        <f>"434-942-7385"</f>
        <v>434-942-7385</v>
      </c>
      <c r="E831" s="2" t="s">
        <v>4322</v>
      </c>
      <c r="F831" s="2" t="s">
        <v>1151</v>
      </c>
      <c r="G831" s="2" t="str">
        <f>"SR-418"</f>
        <v>SR-418</v>
      </c>
      <c r="H831" s="2" t="s">
        <v>4571</v>
      </c>
      <c r="I831" s="2" t="s">
        <v>4572</v>
      </c>
      <c r="K831" s="2" t="s">
        <v>323</v>
      </c>
      <c r="L831" s="2" t="s">
        <v>165</v>
      </c>
      <c r="M831" s="2">
        <v>24551.0</v>
      </c>
      <c r="N831" s="2" t="s">
        <v>21</v>
      </c>
    </row>
    <row r="832" ht="15.75" customHeight="1">
      <c r="A832" s="2">
        <v>2013.0</v>
      </c>
      <c r="B832" s="2" t="s">
        <v>4573</v>
      </c>
      <c r="C832" s="2" t="s">
        <v>4573</v>
      </c>
      <c r="D832" s="2" t="str">
        <f>"3094674357"</f>
        <v>3094674357</v>
      </c>
      <c r="E832" s="2" t="s">
        <v>1208</v>
      </c>
      <c r="F832" s="2" t="s">
        <v>4574</v>
      </c>
      <c r="G832" s="2" t="str">
        <f>"SR-1360"</f>
        <v>SR-1360</v>
      </c>
      <c r="H832" s="2" t="s">
        <v>4575</v>
      </c>
      <c r="I832" s="2" t="s">
        <v>4576</v>
      </c>
      <c r="K832" s="2" t="s">
        <v>4577</v>
      </c>
      <c r="L832" s="2" t="s">
        <v>105</v>
      </c>
      <c r="M832" s="2">
        <v>61561.0</v>
      </c>
      <c r="N832" s="2" t="s">
        <v>21</v>
      </c>
    </row>
    <row r="833" ht="15.75" customHeight="1">
      <c r="A833" s="2">
        <v>2013.0</v>
      </c>
      <c r="B833" s="2" t="s">
        <v>4578</v>
      </c>
      <c r="C833" s="2" t="s">
        <v>4578</v>
      </c>
      <c r="D833" s="2" t="str">
        <f>"973-809-3373"</f>
        <v>973-809-3373</v>
      </c>
      <c r="E833" s="2" t="s">
        <v>1803</v>
      </c>
      <c r="F833" s="2" t="s">
        <v>4579</v>
      </c>
      <c r="G833" s="2" t="str">
        <f>"SR-1263"</f>
        <v>SR-1263</v>
      </c>
      <c r="H833" s="2" t="s">
        <v>4580</v>
      </c>
      <c r="I833" s="2" t="s">
        <v>4581</v>
      </c>
      <c r="K833" s="2" t="s">
        <v>4582</v>
      </c>
      <c r="L833" s="2" t="s">
        <v>3618</v>
      </c>
      <c r="M833" s="2">
        <v>7045.0</v>
      </c>
      <c r="N833" s="2" t="s">
        <v>21</v>
      </c>
    </row>
    <row r="834" ht="15.75" customHeight="1">
      <c r="A834" s="2">
        <v>2013.0</v>
      </c>
      <c r="B834" s="2" t="s">
        <v>4583</v>
      </c>
      <c r="C834" s="2" t="s">
        <v>4583</v>
      </c>
      <c r="D834" s="2" t="str">
        <f>"5036327553"</f>
        <v>5036327553</v>
      </c>
      <c r="E834" s="2" t="s">
        <v>4584</v>
      </c>
      <c r="F834" s="2" t="s">
        <v>4585</v>
      </c>
      <c r="G834" s="2" t="str">
        <f>"SR-1254"</f>
        <v>SR-1254</v>
      </c>
      <c r="H834" s="2" t="s">
        <v>4586</v>
      </c>
      <c r="I834" s="2" t="s">
        <v>4587</v>
      </c>
      <c r="K834" s="2" t="s">
        <v>4588</v>
      </c>
      <c r="L834" s="2" t="s">
        <v>2389</v>
      </c>
      <c r="M834" s="2">
        <v>97004.0</v>
      </c>
      <c r="N834" s="2" t="s">
        <v>21</v>
      </c>
    </row>
    <row r="835" ht="15.75" customHeight="1">
      <c r="A835" s="2">
        <v>2013.0</v>
      </c>
      <c r="B835" s="2" t="s">
        <v>4589</v>
      </c>
      <c r="D835" s="2" t="str">
        <f>"303-841-9094"</f>
        <v>303-841-9094</v>
      </c>
      <c r="E835" s="2" t="s">
        <v>1263</v>
      </c>
      <c r="F835" s="2" t="s">
        <v>434</v>
      </c>
      <c r="G835" s="2" t="str">
        <f>"SR-1368"</f>
        <v>SR-1368</v>
      </c>
      <c r="H835" s="2" t="s">
        <v>4590</v>
      </c>
      <c r="I835" s="2" t="s">
        <v>4591</v>
      </c>
      <c r="K835" s="2" t="s">
        <v>1054</v>
      </c>
      <c r="L835" s="2" t="s">
        <v>157</v>
      </c>
      <c r="M835" s="2">
        <v>80134.0</v>
      </c>
      <c r="N835" s="2" t="s">
        <v>21</v>
      </c>
    </row>
    <row r="836" ht="15.75" customHeight="1">
      <c r="A836" s="2">
        <v>2013.0</v>
      </c>
      <c r="B836" s="2" t="s">
        <v>4592</v>
      </c>
      <c r="C836" s="2" t="s">
        <v>4593</v>
      </c>
      <c r="D836" s="2" t="str">
        <f>"712-439-2876"</f>
        <v>712-439-2876</v>
      </c>
      <c r="E836" s="2" t="s">
        <v>1548</v>
      </c>
      <c r="F836" s="2" t="s">
        <v>4594</v>
      </c>
      <c r="G836" s="2" t="str">
        <f>"SR-1244"</f>
        <v>SR-1244</v>
      </c>
      <c r="H836" s="2" t="s">
        <v>4595</v>
      </c>
      <c r="I836" s="2" t="s">
        <v>4596</v>
      </c>
      <c r="K836" s="2" t="s">
        <v>1064</v>
      </c>
      <c r="L836" s="2" t="s">
        <v>560</v>
      </c>
      <c r="M836" s="2">
        <v>51239.0</v>
      </c>
      <c r="N836" s="2" t="s">
        <v>21</v>
      </c>
    </row>
    <row r="837" ht="15.75" customHeight="1">
      <c r="A837" s="2">
        <v>2013.0</v>
      </c>
      <c r="B837" s="2" t="s">
        <v>4597</v>
      </c>
      <c r="C837" s="2" t="s">
        <v>4598</v>
      </c>
      <c r="D837" s="2" t="str">
        <f>"515-890-9989"</f>
        <v>515-890-9989</v>
      </c>
      <c r="E837" s="2" t="s">
        <v>167</v>
      </c>
      <c r="F837" s="2" t="s">
        <v>4599</v>
      </c>
      <c r="G837" s="2" t="str">
        <f>"SR-1144"</f>
        <v>SR-1144</v>
      </c>
      <c r="H837" s="2" t="s">
        <v>4600</v>
      </c>
      <c r="I837" s="2" t="s">
        <v>4601</v>
      </c>
      <c r="K837" s="2" t="s">
        <v>4602</v>
      </c>
      <c r="L837" s="2" t="s">
        <v>560</v>
      </c>
      <c r="M837" s="2">
        <v>50581.0</v>
      </c>
      <c r="N837" s="2" t="s">
        <v>21</v>
      </c>
    </row>
    <row r="838" ht="15.75" customHeight="1">
      <c r="A838" s="2">
        <v>2013.0</v>
      </c>
      <c r="B838" s="2" t="s">
        <v>4603</v>
      </c>
      <c r="D838" s="2" t="str">
        <f>"5052742801"</f>
        <v>5052742801</v>
      </c>
      <c r="E838" s="2" t="s">
        <v>4604</v>
      </c>
      <c r="F838" s="2" t="s">
        <v>4605</v>
      </c>
      <c r="G838" s="2" t="str">
        <f>"SR-1351"</f>
        <v>SR-1351</v>
      </c>
      <c r="H838" s="2" t="s">
        <v>4606</v>
      </c>
      <c r="I838" s="2" t="s">
        <v>4607</v>
      </c>
      <c r="K838" s="2" t="s">
        <v>3803</v>
      </c>
      <c r="L838" s="2" t="s">
        <v>789</v>
      </c>
      <c r="M838" s="2">
        <v>87124.0</v>
      </c>
      <c r="N838" s="2" t="s">
        <v>21</v>
      </c>
    </row>
    <row r="839" ht="15.75" customHeight="1">
      <c r="A839" s="2">
        <v>2013.0</v>
      </c>
      <c r="B839" s="2" t="s">
        <v>4608</v>
      </c>
      <c r="C839" s="2" t="s">
        <v>4609</v>
      </c>
      <c r="D839" s="2" t="str">
        <f>"224 456 3969"</f>
        <v>224 456 3969</v>
      </c>
      <c r="E839" s="2" t="s">
        <v>1548</v>
      </c>
      <c r="F839" s="2" t="s">
        <v>4610</v>
      </c>
      <c r="G839" s="2" t="str">
        <f>"SR-1105"</f>
        <v>SR-1105</v>
      </c>
      <c r="H839" s="2" t="s">
        <v>4611</v>
      </c>
      <c r="I839" s="2">
        <v>1643.0</v>
      </c>
      <c r="J839" s="2" t="s">
        <v>4612</v>
      </c>
      <c r="K839" s="2" t="s">
        <v>4613</v>
      </c>
      <c r="L839" s="2" t="s">
        <v>105</v>
      </c>
      <c r="M839" s="2">
        <v>60047.0</v>
      </c>
      <c r="N839" s="2" t="s">
        <v>21</v>
      </c>
    </row>
    <row r="840" ht="15.75" customHeight="1">
      <c r="A840" s="2">
        <v>2013.0</v>
      </c>
      <c r="B840" s="2" t="s">
        <v>3911</v>
      </c>
      <c r="C840" s="2" t="s">
        <v>4614</v>
      </c>
      <c r="D840" s="2" t="str">
        <f>"8506683144"</f>
        <v>8506683144</v>
      </c>
      <c r="E840" s="2" t="s">
        <v>2126</v>
      </c>
      <c r="F840" s="2" t="s">
        <v>3913</v>
      </c>
      <c r="G840" s="2" t="str">
        <f>"SR-956"</f>
        <v>SR-956</v>
      </c>
      <c r="H840" s="2" t="s">
        <v>4615</v>
      </c>
      <c r="I840" s="2" t="s">
        <v>3915</v>
      </c>
      <c r="K840" s="2" t="s">
        <v>2007</v>
      </c>
      <c r="L840" s="2" t="s">
        <v>208</v>
      </c>
      <c r="M840" s="2">
        <v>32309.0</v>
      </c>
      <c r="N840" s="2" t="s">
        <v>21</v>
      </c>
    </row>
    <row r="841" ht="15.75" customHeight="1">
      <c r="A841" s="2">
        <v>2013.0</v>
      </c>
      <c r="B841" s="2" t="s">
        <v>4616</v>
      </c>
      <c r="C841" s="2" t="s">
        <v>4617</v>
      </c>
      <c r="D841" s="2" t="str">
        <f>"616-698-6660"</f>
        <v>616-698-6660</v>
      </c>
      <c r="E841" s="2" t="s">
        <v>301</v>
      </c>
      <c r="F841" s="2" t="s">
        <v>498</v>
      </c>
      <c r="G841" s="2" t="str">
        <f>"SR-1152"</f>
        <v>SR-1152</v>
      </c>
      <c r="H841" s="2" t="s">
        <v>4618</v>
      </c>
      <c r="I841" s="2" t="s">
        <v>4619</v>
      </c>
      <c r="K841" s="2" t="s">
        <v>40</v>
      </c>
      <c r="L841" s="2" t="s">
        <v>29</v>
      </c>
      <c r="M841" s="2">
        <v>49508.0</v>
      </c>
      <c r="N841" s="2" t="s">
        <v>21</v>
      </c>
    </row>
    <row r="842" ht="15.75" customHeight="1">
      <c r="A842" s="2">
        <v>2013.0</v>
      </c>
      <c r="B842" s="2" t="s">
        <v>4620</v>
      </c>
      <c r="C842" s="2" t="s">
        <v>4621</v>
      </c>
      <c r="D842" s="2" t="str">
        <f>"307-254-2783"</f>
        <v>307-254-2783</v>
      </c>
      <c r="E842" s="2" t="s">
        <v>160</v>
      </c>
      <c r="F842" s="2" t="s">
        <v>4622</v>
      </c>
      <c r="G842" s="2" t="str">
        <f>"SR-1323"</f>
        <v>SR-1323</v>
      </c>
      <c r="H842" s="2" t="s">
        <v>4623</v>
      </c>
      <c r="I842" s="2" t="s">
        <v>4624</v>
      </c>
      <c r="K842" s="2" t="s">
        <v>2771</v>
      </c>
      <c r="L842" s="2" t="s">
        <v>1540</v>
      </c>
      <c r="M842" s="2">
        <v>82435.0</v>
      </c>
      <c r="N842" s="2" t="s">
        <v>21</v>
      </c>
    </row>
    <row r="843" ht="15.75" customHeight="1">
      <c r="A843" s="2">
        <v>2013.0</v>
      </c>
      <c r="B843" s="2" t="s">
        <v>4625</v>
      </c>
      <c r="C843" s="2" t="s">
        <v>4626</v>
      </c>
      <c r="D843" s="2" t="str">
        <f>"757-595-0677"</f>
        <v>757-595-0677</v>
      </c>
      <c r="E843" s="2" t="s">
        <v>651</v>
      </c>
      <c r="F843" s="2" t="s">
        <v>4627</v>
      </c>
      <c r="G843" s="2" t="str">
        <f>"SR-868"</f>
        <v>SR-868</v>
      </c>
      <c r="H843" s="2" t="s">
        <v>4628</v>
      </c>
      <c r="I843" s="2" t="s">
        <v>4629</v>
      </c>
      <c r="K843" s="2" t="s">
        <v>4630</v>
      </c>
      <c r="L843" s="2" t="s">
        <v>165</v>
      </c>
      <c r="M843" s="2">
        <v>23606.0</v>
      </c>
      <c r="N843" s="2" t="s">
        <v>21</v>
      </c>
    </row>
    <row r="844" ht="15.75" customHeight="1">
      <c r="A844" s="2">
        <v>2013.0</v>
      </c>
      <c r="B844" s="2" t="s">
        <v>4631</v>
      </c>
      <c r="C844" s="2" t="s">
        <v>4631</v>
      </c>
      <c r="D844" s="2" t="str">
        <f>"952-388-4984"</f>
        <v>952-388-4984</v>
      </c>
      <c r="E844" s="2" t="s">
        <v>2309</v>
      </c>
      <c r="F844" s="2" t="s">
        <v>4632</v>
      </c>
      <c r="G844" s="2" t="str">
        <f>"SR-799"</f>
        <v>SR-799</v>
      </c>
      <c r="H844" s="2" t="s">
        <v>4633</v>
      </c>
      <c r="I844" s="2" t="s">
        <v>4634</v>
      </c>
      <c r="K844" s="2" t="s">
        <v>2811</v>
      </c>
      <c r="L844" s="2" t="s">
        <v>62</v>
      </c>
      <c r="M844" s="2">
        <v>55124.0</v>
      </c>
      <c r="N844" s="2" t="s">
        <v>21</v>
      </c>
    </row>
    <row r="845" ht="15.75" customHeight="1">
      <c r="A845" s="2">
        <v>2013.0</v>
      </c>
      <c r="B845" s="2" t="s">
        <v>4635</v>
      </c>
      <c r="C845" s="2" t="s">
        <v>4636</v>
      </c>
      <c r="D845" s="2" t="str">
        <f>"605-290-6789"</f>
        <v>605-290-6789</v>
      </c>
      <c r="E845" s="2" t="s">
        <v>4637</v>
      </c>
      <c r="F845" s="2" t="s">
        <v>4638</v>
      </c>
      <c r="G845" s="2" t="str">
        <f>"SR-1379"</f>
        <v>SR-1379</v>
      </c>
      <c r="H845" s="2" t="s">
        <v>4639</v>
      </c>
      <c r="I845" s="2" t="s">
        <v>4640</v>
      </c>
      <c r="K845" s="2" t="s">
        <v>4641</v>
      </c>
      <c r="L845" s="2" t="s">
        <v>920</v>
      </c>
      <c r="M845" s="2">
        <v>57445.0</v>
      </c>
      <c r="N845" s="2" t="s">
        <v>21</v>
      </c>
    </row>
    <row r="846" ht="15.75" customHeight="1">
      <c r="A846" s="2">
        <v>2013.0</v>
      </c>
      <c r="B846" s="2" t="s">
        <v>4642</v>
      </c>
      <c r="C846" s="2" t="s">
        <v>4643</v>
      </c>
      <c r="D846" s="2" t="str">
        <f>"360-366-0100"</f>
        <v>360-366-0100</v>
      </c>
      <c r="E846" s="2" t="s">
        <v>862</v>
      </c>
      <c r="F846" s="2" t="s">
        <v>519</v>
      </c>
      <c r="G846" s="2" t="str">
        <f>"SR-1374"</f>
        <v>SR-1374</v>
      </c>
      <c r="H846" s="2" t="s">
        <v>4644</v>
      </c>
      <c r="I846" s="2" t="s">
        <v>4645</v>
      </c>
      <c r="K846" s="2" t="s">
        <v>2836</v>
      </c>
      <c r="L846" s="2" t="s">
        <v>86</v>
      </c>
      <c r="M846" s="2">
        <v>98248.0</v>
      </c>
      <c r="N846" s="2" t="s">
        <v>21</v>
      </c>
    </row>
    <row r="847" ht="15.75" customHeight="1">
      <c r="A847" s="2">
        <v>2013.0</v>
      </c>
      <c r="B847" s="2" t="s">
        <v>4646</v>
      </c>
      <c r="C847" s="2" t="s">
        <v>4646</v>
      </c>
      <c r="D847" s="2" t="str">
        <f>"832-349-1060"</f>
        <v>832-349-1060</v>
      </c>
      <c r="E847" s="2" t="s">
        <v>4647</v>
      </c>
      <c r="F847" s="2" t="s">
        <v>4648</v>
      </c>
      <c r="G847" s="2" t="str">
        <f>"SR-1381"</f>
        <v>SR-1381</v>
      </c>
      <c r="H847" s="2" t="s">
        <v>4649</v>
      </c>
      <c r="I847" s="2" t="s">
        <v>4650</v>
      </c>
      <c r="K847" s="2" t="s">
        <v>4350</v>
      </c>
      <c r="L847" s="2" t="s">
        <v>172</v>
      </c>
      <c r="M847" s="2">
        <v>77377.0</v>
      </c>
      <c r="N847" s="2" t="s">
        <v>21</v>
      </c>
    </row>
    <row r="848" ht="15.75" customHeight="1">
      <c r="A848" s="2">
        <v>2013.0</v>
      </c>
      <c r="B848" s="2" t="s">
        <v>4651</v>
      </c>
      <c r="C848" s="2" t="s">
        <v>4651</v>
      </c>
      <c r="D848" s="2" t="str">
        <f>"214-914-9803"</f>
        <v>214-914-9803</v>
      </c>
      <c r="E848" s="2" t="s">
        <v>2309</v>
      </c>
      <c r="F848" s="2" t="s">
        <v>4652</v>
      </c>
      <c r="G848" s="2" t="str">
        <f>"SR-991"</f>
        <v>SR-991</v>
      </c>
      <c r="H848" s="2" t="s">
        <v>4653</v>
      </c>
      <c r="I848" s="2" t="s">
        <v>4654</v>
      </c>
      <c r="K848" s="2" t="s">
        <v>2358</v>
      </c>
      <c r="L848" s="2" t="s">
        <v>172</v>
      </c>
      <c r="M848" s="2">
        <v>75754.0</v>
      </c>
      <c r="N848" s="2" t="s">
        <v>21</v>
      </c>
    </row>
    <row r="849" ht="15.75" customHeight="1">
      <c r="A849" s="2">
        <v>2013.0</v>
      </c>
      <c r="B849" s="2" t="s">
        <v>4655</v>
      </c>
      <c r="C849" s="2" t="s">
        <v>4655</v>
      </c>
      <c r="D849" s="2" t="str">
        <f>"8045691501"</f>
        <v>8045691501</v>
      </c>
      <c r="E849" s="2" t="s">
        <v>4656</v>
      </c>
      <c r="F849" s="2" t="s">
        <v>4657</v>
      </c>
      <c r="G849" s="2" t="str">
        <f>"SR-1367"</f>
        <v>SR-1367</v>
      </c>
      <c r="H849" s="2" t="s">
        <v>4658</v>
      </c>
      <c r="I849" s="2" t="s">
        <v>4659</v>
      </c>
      <c r="K849" s="2" t="s">
        <v>4216</v>
      </c>
      <c r="L849" s="2" t="s">
        <v>165</v>
      </c>
      <c r="M849" s="2">
        <v>23228.0</v>
      </c>
      <c r="N849" s="2" t="s">
        <v>21</v>
      </c>
    </row>
    <row r="850" ht="15.75" customHeight="1">
      <c r="A850" s="2">
        <v>2013.0</v>
      </c>
      <c r="B850" s="2" t="s">
        <v>4660</v>
      </c>
      <c r="C850" s="2" t="s">
        <v>4660</v>
      </c>
      <c r="D850" s="2" t="str">
        <f>"1-605-377-4814"</f>
        <v>1-605-377-4814</v>
      </c>
      <c r="E850" s="2" t="s">
        <v>2825</v>
      </c>
      <c r="F850" s="2" t="s">
        <v>4661</v>
      </c>
      <c r="G850" s="2" t="str">
        <f>"SR-1384"</f>
        <v>SR-1384</v>
      </c>
      <c r="H850" s="2" t="s">
        <v>4662</v>
      </c>
      <c r="I850" s="2" t="s">
        <v>4663</v>
      </c>
      <c r="K850" s="2" t="s">
        <v>4641</v>
      </c>
      <c r="L850" s="2" t="s">
        <v>920</v>
      </c>
      <c r="M850" s="2">
        <v>57445.0</v>
      </c>
      <c r="N850" s="2" t="s">
        <v>21</v>
      </c>
    </row>
    <row r="851" ht="15.75" customHeight="1">
      <c r="A851" s="2">
        <v>2013.0</v>
      </c>
      <c r="B851" s="2" t="s">
        <v>4664</v>
      </c>
      <c r="C851" s="2" t="s">
        <v>4664</v>
      </c>
      <c r="D851" s="2" t="str">
        <f>"5128091030"</f>
        <v>5128091030</v>
      </c>
      <c r="E851" s="2" t="s">
        <v>4665</v>
      </c>
      <c r="F851" s="2" t="s">
        <v>4666</v>
      </c>
      <c r="G851" s="2" t="str">
        <f>"SR-1383"</f>
        <v>SR-1383</v>
      </c>
      <c r="H851" s="2" t="s">
        <v>4667</v>
      </c>
      <c r="I851" s="2" t="s">
        <v>4668</v>
      </c>
      <c r="K851" s="2" t="s">
        <v>4669</v>
      </c>
      <c r="L851" s="2" t="s">
        <v>172</v>
      </c>
      <c r="M851" s="2">
        <v>78602.0</v>
      </c>
      <c r="N851" s="2" t="s">
        <v>21</v>
      </c>
    </row>
    <row r="852" ht="15.75" customHeight="1">
      <c r="A852" s="2">
        <v>2013.0</v>
      </c>
      <c r="B852" s="2" t="s">
        <v>4670</v>
      </c>
      <c r="C852" s="2" t="s">
        <v>4671</v>
      </c>
      <c r="D852" s="2" t="str">
        <f>"480.588.5991"</f>
        <v>480.588.5991</v>
      </c>
      <c r="E852" s="2" t="s">
        <v>4672</v>
      </c>
      <c r="F852" s="2" t="s">
        <v>1929</v>
      </c>
      <c r="G852" s="2" t="str">
        <f>"SR-547"</f>
        <v>SR-547</v>
      </c>
      <c r="H852" s="2" t="s">
        <v>4673</v>
      </c>
      <c r="I852" s="2" t="s">
        <v>4674</v>
      </c>
      <c r="K852" s="2" t="s">
        <v>4675</v>
      </c>
      <c r="L852" s="2" t="s">
        <v>422</v>
      </c>
      <c r="M852" s="2">
        <v>85233.0</v>
      </c>
      <c r="N852" s="2" t="s">
        <v>21</v>
      </c>
    </row>
    <row r="853" ht="15.75" customHeight="1">
      <c r="A853" s="2">
        <v>2013.0</v>
      </c>
      <c r="B853" s="2" t="s">
        <v>4676</v>
      </c>
      <c r="C853" s="2" t="s">
        <v>4677</v>
      </c>
      <c r="D853" s="2" t="str">
        <f>"8173701107"</f>
        <v>8173701107</v>
      </c>
      <c r="E853" s="2" t="s">
        <v>2309</v>
      </c>
      <c r="F853" s="2" t="s">
        <v>4678</v>
      </c>
      <c r="G853" s="2" t="str">
        <f>"SR-1313"</f>
        <v>SR-1313</v>
      </c>
      <c r="H853" s="2" t="s">
        <v>4679</v>
      </c>
      <c r="I853" s="2" t="s">
        <v>4680</v>
      </c>
      <c r="K853" s="2" t="s">
        <v>4681</v>
      </c>
      <c r="L853" s="2" t="s">
        <v>172</v>
      </c>
      <c r="M853" s="2">
        <v>76126.0</v>
      </c>
      <c r="N853" s="2" t="s">
        <v>21</v>
      </c>
    </row>
    <row r="854" ht="15.75" customHeight="1">
      <c r="A854" s="2">
        <v>2013.0</v>
      </c>
      <c r="B854" s="2" t="s">
        <v>4682</v>
      </c>
      <c r="C854" s="2" t="s">
        <v>4683</v>
      </c>
      <c r="D854" s="2" t="str">
        <f>"512-255-2711"</f>
        <v>512-255-2711</v>
      </c>
      <c r="E854" s="2" t="s">
        <v>326</v>
      </c>
      <c r="F854" s="2" t="s">
        <v>4684</v>
      </c>
      <c r="G854" s="2" t="str">
        <f>"SR-1102"</f>
        <v>SR-1102</v>
      </c>
      <c r="H854" s="2" t="s">
        <v>4685</v>
      </c>
      <c r="I854" s="2" t="s">
        <v>4686</v>
      </c>
      <c r="K854" s="2" t="s">
        <v>4687</v>
      </c>
      <c r="L854" s="2" t="s">
        <v>172</v>
      </c>
      <c r="M854" s="2">
        <v>78681.0</v>
      </c>
      <c r="N854" s="2" t="s">
        <v>21</v>
      </c>
    </row>
    <row r="855" ht="15.75" customHeight="1">
      <c r="A855" s="2">
        <v>2013.0</v>
      </c>
      <c r="B855" s="2" t="s">
        <v>4688</v>
      </c>
      <c r="C855" s="2" t="s">
        <v>4688</v>
      </c>
      <c r="D855" s="2" t="str">
        <f>"403-995-3305"</f>
        <v>403-995-3305</v>
      </c>
      <c r="E855" s="2" t="s">
        <v>3693</v>
      </c>
      <c r="F855" s="2" t="s">
        <v>4689</v>
      </c>
      <c r="G855" s="2" t="str">
        <f>"SR-1387"</f>
        <v>SR-1387</v>
      </c>
      <c r="H855" s="2" t="s">
        <v>4690</v>
      </c>
      <c r="I855" s="2" t="s">
        <v>4691</v>
      </c>
      <c r="K855" s="2" t="s">
        <v>4692</v>
      </c>
      <c r="L855" s="2" t="s">
        <v>2397</v>
      </c>
      <c r="M855" s="2" t="s">
        <v>4693</v>
      </c>
      <c r="N855" s="2" t="s">
        <v>1602</v>
      </c>
    </row>
    <row r="856" ht="15.75" customHeight="1">
      <c r="A856" s="2">
        <v>2013.0</v>
      </c>
      <c r="B856" s="2" t="s">
        <v>4694</v>
      </c>
      <c r="C856" s="2" t="s">
        <v>4694</v>
      </c>
      <c r="D856" s="2" t="str">
        <f>"847-854-9459"</f>
        <v>847-854-9459</v>
      </c>
      <c r="E856" s="2" t="s">
        <v>4695</v>
      </c>
      <c r="F856" s="2" t="s">
        <v>4696</v>
      </c>
      <c r="G856" s="2" t="str">
        <f>"SR-1372"</f>
        <v>SR-1372</v>
      </c>
      <c r="H856" s="2" t="s">
        <v>4697</v>
      </c>
      <c r="I856" s="2" t="s">
        <v>4698</v>
      </c>
      <c r="K856" s="2" t="s">
        <v>3279</v>
      </c>
      <c r="L856" s="2" t="s">
        <v>105</v>
      </c>
      <c r="M856" s="2">
        <v>60102.0</v>
      </c>
      <c r="N856" s="2" t="s">
        <v>21</v>
      </c>
    </row>
    <row r="857" ht="15.75" customHeight="1">
      <c r="A857" s="2">
        <v>2013.0</v>
      </c>
      <c r="B857" s="2" t="s">
        <v>4699</v>
      </c>
      <c r="C857" s="2" t="s">
        <v>4700</v>
      </c>
      <c r="D857" s="2" t="str">
        <f>"4105861172"</f>
        <v>4105861172</v>
      </c>
      <c r="E857" s="2" t="s">
        <v>225</v>
      </c>
      <c r="F857" s="2" t="s">
        <v>4701</v>
      </c>
      <c r="G857" s="2" t="str">
        <f>"SR-1168"</f>
        <v>SR-1168</v>
      </c>
      <c r="H857" s="2" t="s">
        <v>4702</v>
      </c>
      <c r="I857" s="2" t="s">
        <v>4703</v>
      </c>
      <c r="K857" s="2" t="s">
        <v>4704</v>
      </c>
      <c r="L857" s="2" t="s">
        <v>1868</v>
      </c>
      <c r="M857" s="2">
        <v>20676.0</v>
      </c>
      <c r="N857" s="2" t="s">
        <v>21</v>
      </c>
    </row>
    <row r="858" ht="15.75" customHeight="1">
      <c r="A858" s="2">
        <v>2013.0</v>
      </c>
      <c r="B858" s="2" t="s">
        <v>4705</v>
      </c>
      <c r="C858" s="2" t="s">
        <v>4705</v>
      </c>
      <c r="D858" s="2" t="str">
        <f>"6156863859"</f>
        <v>6156863859</v>
      </c>
      <c r="E858" s="2" t="s">
        <v>295</v>
      </c>
      <c r="F858" s="2" t="s">
        <v>4706</v>
      </c>
      <c r="G858" s="2" t="str">
        <f>"SR-1300"</f>
        <v>SR-1300</v>
      </c>
      <c r="H858" s="2" t="s">
        <v>4707</v>
      </c>
      <c r="I858" s="2" t="s">
        <v>4708</v>
      </c>
      <c r="K858" s="2" t="s">
        <v>2750</v>
      </c>
      <c r="L858" s="2" t="s">
        <v>279</v>
      </c>
      <c r="M858" s="2">
        <v>38401.0</v>
      </c>
      <c r="N858" s="2" t="s">
        <v>21</v>
      </c>
    </row>
    <row r="859" ht="15.75" customHeight="1">
      <c r="A859" s="2">
        <v>2013.0</v>
      </c>
      <c r="B859" s="2" t="s">
        <v>4709</v>
      </c>
      <c r="D859" s="2" t="str">
        <f>"5055087667"</f>
        <v>5055087667</v>
      </c>
      <c r="E859" s="2" t="s">
        <v>4710</v>
      </c>
      <c r="F859" s="2" t="s">
        <v>4711</v>
      </c>
      <c r="G859" s="2" t="str">
        <f>"SR-1107"</f>
        <v>SR-1107</v>
      </c>
      <c r="H859" s="2" t="s">
        <v>4712</v>
      </c>
      <c r="I859" s="2" t="s">
        <v>4713</v>
      </c>
      <c r="K859" s="2" t="s">
        <v>3705</v>
      </c>
      <c r="L859" s="2" t="s">
        <v>789</v>
      </c>
      <c r="M859" s="2">
        <v>87114.0</v>
      </c>
      <c r="N859" s="2" t="s">
        <v>21</v>
      </c>
    </row>
    <row r="860" ht="15.75" customHeight="1">
      <c r="A860" s="2">
        <v>2013.0</v>
      </c>
      <c r="B860" s="2" t="s">
        <v>4714</v>
      </c>
      <c r="C860" s="2" t="s">
        <v>4715</v>
      </c>
      <c r="D860" s="2" t="str">
        <f>"702-646-0734"</f>
        <v>702-646-0734</v>
      </c>
      <c r="E860" s="2" t="s">
        <v>4716</v>
      </c>
      <c r="F860" s="2" t="s">
        <v>4717</v>
      </c>
      <c r="G860" s="2" t="str">
        <f>"SR-1363"</f>
        <v>SR-1363</v>
      </c>
      <c r="H860" s="2" t="s">
        <v>4718</v>
      </c>
      <c r="I860" s="2" t="s">
        <v>4719</v>
      </c>
      <c r="K860" s="2" t="s">
        <v>3128</v>
      </c>
      <c r="L860" s="2" t="s">
        <v>1419</v>
      </c>
      <c r="M860" s="2">
        <v>89143.0</v>
      </c>
      <c r="N860" s="2" t="s">
        <v>21</v>
      </c>
    </row>
    <row r="861" ht="15.75" customHeight="1">
      <c r="A861" s="2">
        <v>2013.0</v>
      </c>
      <c r="B861" s="2" t="s">
        <v>4720</v>
      </c>
      <c r="C861" s="2" t="s">
        <v>4720</v>
      </c>
      <c r="D861" s="2" t="str">
        <f>"321 663 7952"</f>
        <v>321 663 7952</v>
      </c>
      <c r="E861" s="2" t="s">
        <v>2259</v>
      </c>
      <c r="F861" s="2" t="s">
        <v>4721</v>
      </c>
      <c r="G861" s="2" t="str">
        <f>"SR-366"</f>
        <v>SR-366</v>
      </c>
      <c r="H861" s="2" t="s">
        <v>4722</v>
      </c>
      <c r="I861" s="2" t="s">
        <v>4723</v>
      </c>
      <c r="K861" s="2" t="s">
        <v>4724</v>
      </c>
      <c r="L861" s="2" t="s">
        <v>208</v>
      </c>
      <c r="M861" s="2">
        <v>32825.0</v>
      </c>
      <c r="N861" s="2" t="s">
        <v>21</v>
      </c>
    </row>
    <row r="862" ht="15.75" customHeight="1">
      <c r="A862" s="2">
        <v>2013.0</v>
      </c>
      <c r="B862" s="2" t="s">
        <v>4725</v>
      </c>
      <c r="C862" s="2" t="s">
        <v>4726</v>
      </c>
      <c r="D862" s="2" t="str">
        <f>"970-430-8491"</f>
        <v>970-430-8491</v>
      </c>
      <c r="E862" s="2" t="s">
        <v>4727</v>
      </c>
      <c r="F862" s="2" t="s">
        <v>4728</v>
      </c>
      <c r="G862" s="2" t="str">
        <f>"SR-1015"</f>
        <v>SR-1015</v>
      </c>
      <c r="H862" s="2" t="s">
        <v>4729</v>
      </c>
      <c r="I862" s="2" t="s">
        <v>4730</v>
      </c>
      <c r="K862" s="2" t="s">
        <v>656</v>
      </c>
      <c r="L862" s="2" t="s">
        <v>157</v>
      </c>
      <c r="M862" s="2">
        <v>80525.0</v>
      </c>
      <c r="N862" s="2" t="s">
        <v>21</v>
      </c>
    </row>
    <row r="863" ht="15.75" customHeight="1">
      <c r="A863" s="2">
        <v>2013.0</v>
      </c>
      <c r="B863" s="2" t="s">
        <v>4731</v>
      </c>
      <c r="C863" s="2" t="s">
        <v>4732</v>
      </c>
      <c r="D863" s="2" t="str">
        <f>"225-262-8926"</f>
        <v>225-262-8926</v>
      </c>
      <c r="E863" s="2" t="s">
        <v>267</v>
      </c>
      <c r="F863" s="2" t="s">
        <v>4733</v>
      </c>
      <c r="G863" s="2" t="str">
        <f>"SR-1392"</f>
        <v>SR-1392</v>
      </c>
      <c r="H863" s="2" t="s">
        <v>4734</v>
      </c>
      <c r="I863" s="2" t="s">
        <v>4735</v>
      </c>
      <c r="K863" s="2" t="s">
        <v>4736</v>
      </c>
      <c r="L863" s="2" t="s">
        <v>715</v>
      </c>
      <c r="M863" s="2">
        <v>70739.0</v>
      </c>
      <c r="N863" s="2" t="s">
        <v>21</v>
      </c>
    </row>
    <row r="864" ht="15.75" customHeight="1">
      <c r="A864" s="2">
        <v>2013.0</v>
      </c>
      <c r="B864" s="2" t="s">
        <v>4737</v>
      </c>
      <c r="C864" s="2" t="s">
        <v>4738</v>
      </c>
      <c r="D864" s="2" t="str">
        <f>"4075068792"</f>
        <v>4075068792</v>
      </c>
      <c r="E864" s="2" t="s">
        <v>751</v>
      </c>
      <c r="F864" s="2" t="s">
        <v>1151</v>
      </c>
      <c r="G864" s="2" t="str">
        <f>"SR-1060"</f>
        <v>SR-1060</v>
      </c>
      <c r="H864" s="2" t="s">
        <v>4739</v>
      </c>
      <c r="I864" s="2" t="s">
        <v>4740</v>
      </c>
      <c r="K864" s="2" t="s">
        <v>4724</v>
      </c>
      <c r="L864" s="2" t="s">
        <v>208</v>
      </c>
      <c r="M864" s="2">
        <v>32828.0</v>
      </c>
      <c r="N864" s="2" t="s">
        <v>21</v>
      </c>
    </row>
    <row r="865" ht="15.75" customHeight="1">
      <c r="A865" s="2">
        <v>2013.0</v>
      </c>
      <c r="B865" s="2" t="s">
        <v>4741</v>
      </c>
      <c r="C865" s="2" t="s">
        <v>4742</v>
      </c>
      <c r="D865" s="2" t="str">
        <f>"734-995-5146"</f>
        <v>734-995-5146</v>
      </c>
      <c r="E865" s="2" t="s">
        <v>417</v>
      </c>
      <c r="F865" s="2" t="s">
        <v>4743</v>
      </c>
      <c r="G865" s="2" t="str">
        <f>"SR-1154"</f>
        <v>SR-1154</v>
      </c>
      <c r="H865" s="2" t="s">
        <v>4744</v>
      </c>
      <c r="I865" s="2" t="s">
        <v>4745</v>
      </c>
      <c r="K865" s="2" t="s">
        <v>4746</v>
      </c>
      <c r="L865" s="2" t="s">
        <v>29</v>
      </c>
      <c r="M865" s="2">
        <v>48105.0</v>
      </c>
      <c r="N865" s="2" t="s">
        <v>21</v>
      </c>
    </row>
    <row r="866" ht="15.75" customHeight="1">
      <c r="A866" s="2">
        <v>2013.0</v>
      </c>
      <c r="B866" s="2" t="s">
        <v>4747</v>
      </c>
      <c r="C866" s="2" t="s">
        <v>4748</v>
      </c>
      <c r="D866" s="2" t="str">
        <f>"847-542-6391"</f>
        <v>847-542-6391</v>
      </c>
      <c r="E866" s="2" t="s">
        <v>4749</v>
      </c>
      <c r="F866" s="2" t="s">
        <v>4750</v>
      </c>
      <c r="G866" s="2" t="str">
        <f>"SR-1081"</f>
        <v>SR-1081</v>
      </c>
      <c r="H866" s="2" t="s">
        <v>4751</v>
      </c>
      <c r="I866" s="2" t="s">
        <v>4752</v>
      </c>
      <c r="K866" s="2" t="s">
        <v>4753</v>
      </c>
      <c r="L866" s="2" t="s">
        <v>105</v>
      </c>
      <c r="M866" s="2">
        <v>60042.0</v>
      </c>
      <c r="N866" s="2" t="s">
        <v>21</v>
      </c>
    </row>
    <row r="867" ht="15.75" customHeight="1">
      <c r="A867" s="2">
        <v>2013.0</v>
      </c>
      <c r="B867" s="2" t="s">
        <v>4754</v>
      </c>
      <c r="C867" s="2" t="s">
        <v>4754</v>
      </c>
      <c r="D867" s="2" t="str">
        <f>"540-937-4517"</f>
        <v>540-937-4517</v>
      </c>
      <c r="E867" s="2" t="s">
        <v>373</v>
      </c>
      <c r="F867" s="2" t="s">
        <v>100</v>
      </c>
      <c r="G867" s="2" t="str">
        <f>"SR-622"</f>
        <v>SR-622</v>
      </c>
      <c r="H867" s="2" t="s">
        <v>4755</v>
      </c>
      <c r="I867" s="2" t="s">
        <v>4756</v>
      </c>
      <c r="K867" s="2" t="s">
        <v>4757</v>
      </c>
      <c r="L867" s="2" t="s">
        <v>165</v>
      </c>
      <c r="M867" s="2">
        <v>20106.0</v>
      </c>
      <c r="N867" s="2" t="s">
        <v>21</v>
      </c>
    </row>
    <row r="868" ht="15.75" customHeight="1">
      <c r="A868" s="2">
        <v>2013.0</v>
      </c>
      <c r="B868" s="2" t="s">
        <v>4317</v>
      </c>
      <c r="C868" s="2" t="s">
        <v>4758</v>
      </c>
      <c r="D868" s="2" t="str">
        <f>"1-785-529-4855"</f>
        <v>1-785-529-4855</v>
      </c>
      <c r="E868" s="2" t="s">
        <v>1015</v>
      </c>
      <c r="F868" s="2" t="s">
        <v>4318</v>
      </c>
      <c r="G868" s="2" t="str">
        <f>"SR-1058"</f>
        <v>SR-1058</v>
      </c>
      <c r="H868" s="2" t="s">
        <v>4759</v>
      </c>
      <c r="I868" s="2" t="s">
        <v>4760</v>
      </c>
      <c r="K868" s="2" t="s">
        <v>4322</v>
      </c>
      <c r="L868" s="2" t="s">
        <v>272</v>
      </c>
      <c r="M868" s="2">
        <v>67452.0</v>
      </c>
      <c r="N868" s="2" t="s">
        <v>21</v>
      </c>
    </row>
    <row r="869" ht="15.75" customHeight="1">
      <c r="A869" s="2">
        <v>2013.0</v>
      </c>
      <c r="B869" s="2" t="s">
        <v>4761</v>
      </c>
      <c r="C869" s="2" t="s">
        <v>4762</v>
      </c>
      <c r="D869" s="2" t="str">
        <f>"7023023058"</f>
        <v>7023023058</v>
      </c>
      <c r="E869" s="2" t="s">
        <v>4763</v>
      </c>
      <c r="F869" s="2" t="s">
        <v>4764</v>
      </c>
      <c r="G869" s="2" t="str">
        <f>"SR-1388"</f>
        <v>SR-1388</v>
      </c>
      <c r="H869" s="2" t="s">
        <v>4765</v>
      </c>
      <c r="I869" s="2" t="s">
        <v>4766</v>
      </c>
      <c r="K869" s="2" t="s">
        <v>3128</v>
      </c>
      <c r="L869" s="2" t="s">
        <v>1419</v>
      </c>
      <c r="M869" s="2">
        <v>89146.0</v>
      </c>
      <c r="N869" s="2" t="s">
        <v>21</v>
      </c>
    </row>
    <row r="870" ht="15.75" customHeight="1">
      <c r="A870" s="2">
        <v>2013.0</v>
      </c>
      <c r="B870" s="2" t="s">
        <v>4767</v>
      </c>
      <c r="C870" s="2" t="s">
        <v>4768</v>
      </c>
      <c r="D870" s="2" t="str">
        <f>"9197704973"</f>
        <v>9197704973</v>
      </c>
      <c r="E870" s="2" t="s">
        <v>4769</v>
      </c>
      <c r="F870" s="2" t="s">
        <v>4770</v>
      </c>
      <c r="G870" s="2" t="str">
        <f>"SR-1398"</f>
        <v>SR-1398</v>
      </c>
      <c r="H870" s="2" t="s">
        <v>4771</v>
      </c>
      <c r="I870" s="2" t="s">
        <v>4772</v>
      </c>
      <c r="K870" s="2" t="s">
        <v>4773</v>
      </c>
      <c r="L870" s="2" t="s">
        <v>20</v>
      </c>
      <c r="M870" s="2">
        <v>27330.0</v>
      </c>
      <c r="N870" s="2" t="s">
        <v>21</v>
      </c>
    </row>
    <row r="871" ht="15.75" customHeight="1">
      <c r="A871" s="2">
        <v>2013.0</v>
      </c>
      <c r="B871" s="2" t="s">
        <v>4774</v>
      </c>
      <c r="C871" s="2" t="s">
        <v>4774</v>
      </c>
      <c r="D871" s="2" t="str">
        <f>"469-285-4051"</f>
        <v>469-285-4051</v>
      </c>
      <c r="E871" s="2" t="s">
        <v>4775</v>
      </c>
      <c r="F871" s="2" t="s">
        <v>4776</v>
      </c>
      <c r="G871" s="2" t="str">
        <f>"SR-1393"</f>
        <v>SR-1393</v>
      </c>
      <c r="H871" s="2" t="s">
        <v>4777</v>
      </c>
      <c r="I871" s="2" t="s">
        <v>4778</v>
      </c>
      <c r="K871" s="2" t="s">
        <v>4779</v>
      </c>
      <c r="L871" s="2" t="s">
        <v>172</v>
      </c>
      <c r="M871" s="2">
        <v>75154.0</v>
      </c>
      <c r="N871" s="2" t="s">
        <v>21</v>
      </c>
    </row>
    <row r="872" ht="15.75" customHeight="1">
      <c r="A872" s="2">
        <v>2013.0</v>
      </c>
      <c r="B872" s="2" t="s">
        <v>4780</v>
      </c>
      <c r="C872" s="2" t="s">
        <v>4781</v>
      </c>
      <c r="D872" s="2" t="str">
        <f>"719-380-9402"</f>
        <v>719-380-9402</v>
      </c>
      <c r="E872" s="2" t="s">
        <v>4782</v>
      </c>
      <c r="F872" s="2" t="s">
        <v>4783</v>
      </c>
      <c r="G872" s="2" t="str">
        <f>"SR-1365"</f>
        <v>SR-1365</v>
      </c>
      <c r="H872" s="2" t="s">
        <v>4784</v>
      </c>
      <c r="I872" s="2" t="s">
        <v>4785</v>
      </c>
      <c r="K872" s="2" t="s">
        <v>809</v>
      </c>
      <c r="L872" s="2" t="s">
        <v>157</v>
      </c>
      <c r="M872" s="2">
        <v>80921.0</v>
      </c>
      <c r="N872" s="2" t="s">
        <v>21</v>
      </c>
    </row>
    <row r="873" ht="15.75" customHeight="1">
      <c r="A873" s="2">
        <v>2013.0</v>
      </c>
      <c r="B873" s="2" t="s">
        <v>4786</v>
      </c>
      <c r="C873" s="2" t="s">
        <v>4786</v>
      </c>
      <c r="D873" s="2" t="str">
        <f>"3034374940"</f>
        <v>3034374940</v>
      </c>
      <c r="E873" s="2" t="s">
        <v>4787</v>
      </c>
      <c r="F873" s="2" t="s">
        <v>4788</v>
      </c>
      <c r="G873" s="2" t="str">
        <f>"SR-1162"</f>
        <v>SR-1162</v>
      </c>
      <c r="H873" s="2" t="s">
        <v>4789</v>
      </c>
      <c r="I873" s="2" t="s">
        <v>4790</v>
      </c>
      <c r="K873" s="2" t="s">
        <v>2317</v>
      </c>
      <c r="L873" s="2" t="s">
        <v>157</v>
      </c>
      <c r="M873" s="2">
        <v>80504.0</v>
      </c>
      <c r="N873" s="2" t="s">
        <v>21</v>
      </c>
    </row>
    <row r="874" ht="15.75" customHeight="1">
      <c r="A874" s="2">
        <v>2013.0</v>
      </c>
      <c r="B874" s="2" t="s">
        <v>4791</v>
      </c>
      <c r="C874" s="2" t="s">
        <v>4791</v>
      </c>
      <c r="D874" s="2" t="str">
        <f>"662-434-8339"</f>
        <v>662-434-8339</v>
      </c>
      <c r="E874" s="2" t="s">
        <v>267</v>
      </c>
      <c r="F874" s="2" t="s">
        <v>4792</v>
      </c>
      <c r="G874" s="2" t="str">
        <f>"SR-1335"</f>
        <v>SR-1335</v>
      </c>
      <c r="H874" s="2" t="s">
        <v>4793</v>
      </c>
      <c r="I874" s="2" t="s">
        <v>4794</v>
      </c>
      <c r="K874" s="2" t="s">
        <v>2421</v>
      </c>
      <c r="L874" s="2" t="s">
        <v>1722</v>
      </c>
      <c r="M874" s="2">
        <v>39705.0</v>
      </c>
      <c r="N874" s="2" t="s">
        <v>21</v>
      </c>
    </row>
    <row r="875" ht="15.75" customHeight="1">
      <c r="A875" s="2">
        <v>2013.0</v>
      </c>
      <c r="B875" s="2" t="s">
        <v>4795</v>
      </c>
      <c r="C875" s="2" t="s">
        <v>4796</v>
      </c>
      <c r="D875" s="2" t="str">
        <f>"3619932118"</f>
        <v>3619932118</v>
      </c>
      <c r="E875" s="2" t="s">
        <v>843</v>
      </c>
      <c r="F875" s="2" t="s">
        <v>3984</v>
      </c>
      <c r="G875" s="2" t="str">
        <f>"SR-1239"</f>
        <v>SR-1239</v>
      </c>
      <c r="H875" s="2" t="s">
        <v>4797</v>
      </c>
      <c r="I875" s="2" t="s">
        <v>3986</v>
      </c>
      <c r="K875" s="2" t="s">
        <v>3987</v>
      </c>
      <c r="L875" s="2" t="s">
        <v>172</v>
      </c>
      <c r="M875" s="2">
        <v>78414.0</v>
      </c>
      <c r="N875" s="2" t="s">
        <v>21</v>
      </c>
    </row>
    <row r="876" ht="15.75" customHeight="1">
      <c r="A876" s="2">
        <v>2013.0</v>
      </c>
      <c r="B876" s="2" t="s">
        <v>4798</v>
      </c>
      <c r="C876" s="2" t="s">
        <v>4799</v>
      </c>
      <c r="D876" s="2" t="str">
        <f>"6122511005"</f>
        <v>6122511005</v>
      </c>
      <c r="E876" s="2" t="s">
        <v>2635</v>
      </c>
      <c r="F876" s="2" t="s">
        <v>4800</v>
      </c>
      <c r="G876" s="2" t="str">
        <f>"SR-798"</f>
        <v>SR-798</v>
      </c>
      <c r="H876" s="2" t="s">
        <v>4801</v>
      </c>
      <c r="I876" s="2" t="s">
        <v>4802</v>
      </c>
      <c r="K876" s="2" t="s">
        <v>4803</v>
      </c>
      <c r="L876" s="2" t="s">
        <v>62</v>
      </c>
      <c r="M876" s="2">
        <v>55423.0</v>
      </c>
      <c r="N876" s="2" t="s">
        <v>21</v>
      </c>
    </row>
    <row r="877" ht="15.75" customHeight="1">
      <c r="A877" s="2">
        <v>2013.0</v>
      </c>
      <c r="B877" s="2" t="s">
        <v>4804</v>
      </c>
      <c r="C877" s="2" t="s">
        <v>4805</v>
      </c>
      <c r="D877" s="2" t="str">
        <f>"903 220-9812"</f>
        <v>903 220-9812</v>
      </c>
      <c r="E877" s="2" t="s">
        <v>428</v>
      </c>
      <c r="F877" s="2" t="s">
        <v>543</v>
      </c>
      <c r="G877" s="2" t="str">
        <f>"SR-1416"</f>
        <v>SR-1416</v>
      </c>
      <c r="H877" s="2" t="s">
        <v>4806</v>
      </c>
      <c r="I877" s="2" t="s">
        <v>4807</v>
      </c>
      <c r="K877" s="2" t="s">
        <v>4808</v>
      </c>
      <c r="L877" s="2" t="s">
        <v>172</v>
      </c>
      <c r="M877" s="2">
        <v>75601.0</v>
      </c>
      <c r="N877" s="2" t="s">
        <v>21</v>
      </c>
    </row>
    <row r="878" ht="15.75" customHeight="1">
      <c r="A878" s="2">
        <v>2013.0</v>
      </c>
      <c r="B878" s="2" t="s">
        <v>4809</v>
      </c>
      <c r="C878" s="2" t="s">
        <v>4810</v>
      </c>
      <c r="D878" s="2" t="str">
        <f>"708-655-5921"</f>
        <v>708-655-5921</v>
      </c>
      <c r="E878" s="2" t="s">
        <v>43</v>
      </c>
      <c r="F878" s="2" t="s">
        <v>4811</v>
      </c>
      <c r="G878" s="2" t="str">
        <f>"SR-1421"</f>
        <v>SR-1421</v>
      </c>
      <c r="H878" s="2" t="s">
        <v>4812</v>
      </c>
      <c r="I878" s="2" t="s">
        <v>4813</v>
      </c>
      <c r="K878" s="2" t="s">
        <v>4814</v>
      </c>
      <c r="L878" s="2" t="s">
        <v>105</v>
      </c>
      <c r="M878" s="2">
        <v>60525.0</v>
      </c>
      <c r="N878" s="2" t="s">
        <v>21</v>
      </c>
    </row>
    <row r="879" ht="15.75" customHeight="1">
      <c r="A879" s="2">
        <v>2013.0</v>
      </c>
      <c r="B879" s="2" t="s">
        <v>4815</v>
      </c>
      <c r="C879" s="2" t="s">
        <v>4816</v>
      </c>
      <c r="D879" s="2" t="str">
        <f>"720-563-1749"</f>
        <v>720-563-1749</v>
      </c>
      <c r="E879" s="2" t="s">
        <v>678</v>
      </c>
      <c r="F879" s="2" t="s">
        <v>1151</v>
      </c>
      <c r="G879" s="2" t="str">
        <f>"SR-184"</f>
        <v>SR-184</v>
      </c>
      <c r="H879" s="2" t="s">
        <v>4817</v>
      </c>
      <c r="I879" s="2" t="s">
        <v>4818</v>
      </c>
      <c r="K879" s="2" t="s">
        <v>1889</v>
      </c>
      <c r="L879" s="2" t="s">
        <v>157</v>
      </c>
      <c r="M879" s="2">
        <v>80127.0</v>
      </c>
      <c r="N879" s="2" t="s">
        <v>21</v>
      </c>
    </row>
    <row r="880" ht="15.75" customHeight="1">
      <c r="A880" s="2">
        <v>2013.0</v>
      </c>
      <c r="B880" s="2" t="s">
        <v>4819</v>
      </c>
      <c r="C880" s="2" t="s">
        <v>4819</v>
      </c>
      <c r="D880" s="2" t="str">
        <f>"3036636522"</f>
        <v>3036636522</v>
      </c>
      <c r="E880" s="2" t="s">
        <v>3305</v>
      </c>
      <c r="F880" s="2" t="s">
        <v>4820</v>
      </c>
      <c r="G880" s="2" t="str">
        <f>"SR-1419"</f>
        <v>SR-1419</v>
      </c>
      <c r="H880" s="2" t="s">
        <v>4821</v>
      </c>
      <c r="I880" s="2" t="s">
        <v>4822</v>
      </c>
      <c r="K880" s="2" t="s">
        <v>1398</v>
      </c>
      <c r="L880" s="2" t="s">
        <v>157</v>
      </c>
      <c r="M880" s="2">
        <v>80109.0</v>
      </c>
      <c r="N880" s="2" t="s">
        <v>21</v>
      </c>
    </row>
    <row r="881" ht="15.75" customHeight="1">
      <c r="A881" s="2">
        <v>2013.0</v>
      </c>
      <c r="B881" s="2" t="s">
        <v>4823</v>
      </c>
      <c r="C881" s="2" t="s">
        <v>4823</v>
      </c>
      <c r="D881" s="2" t="str">
        <f>"319-396-6882"</f>
        <v>319-396-6882</v>
      </c>
      <c r="E881" s="2" t="s">
        <v>580</v>
      </c>
      <c r="F881" s="2" t="s">
        <v>4824</v>
      </c>
      <c r="G881" s="2" t="str">
        <f>"SR-1186"</f>
        <v>SR-1186</v>
      </c>
      <c r="H881" s="2" t="s">
        <v>4825</v>
      </c>
      <c r="I881" s="2" t="s">
        <v>4826</v>
      </c>
      <c r="K881" s="2" t="s">
        <v>3273</v>
      </c>
      <c r="L881" s="2" t="s">
        <v>560</v>
      </c>
      <c r="M881" s="2">
        <v>52404.0</v>
      </c>
      <c r="N881" s="2" t="s">
        <v>21</v>
      </c>
    </row>
    <row r="882" ht="15.75" customHeight="1">
      <c r="A882" s="2">
        <v>2013.0</v>
      </c>
      <c r="B882" s="2" t="s">
        <v>4827</v>
      </c>
      <c r="C882" s="2" t="s">
        <v>4828</v>
      </c>
      <c r="D882" s="2" t="str">
        <f>"507-289-5684"</f>
        <v>507-289-5684</v>
      </c>
      <c r="E882" s="2" t="s">
        <v>160</v>
      </c>
      <c r="F882" s="2" t="s">
        <v>562</v>
      </c>
      <c r="G882" s="2" t="str">
        <f>"SR-1359"</f>
        <v>SR-1359</v>
      </c>
      <c r="H882" s="2" t="s">
        <v>4829</v>
      </c>
      <c r="I882" s="2" t="s">
        <v>4830</v>
      </c>
      <c r="K882" s="2" t="s">
        <v>2804</v>
      </c>
      <c r="L882" s="2" t="s">
        <v>62</v>
      </c>
      <c r="M882" s="2">
        <v>55904.0</v>
      </c>
      <c r="N882" s="2" t="s">
        <v>21</v>
      </c>
    </row>
    <row r="883" ht="15.75" customHeight="1">
      <c r="A883" s="2">
        <v>2013.0</v>
      </c>
      <c r="B883" s="2" t="s">
        <v>4831</v>
      </c>
      <c r="C883" s="2" t="s">
        <v>4832</v>
      </c>
      <c r="D883" s="2" t="str">
        <f>"860-298-8805"</f>
        <v>860-298-8805</v>
      </c>
      <c r="E883" s="2" t="s">
        <v>1269</v>
      </c>
      <c r="F883" s="2" t="s">
        <v>4833</v>
      </c>
      <c r="G883" s="2" t="str">
        <f>"SR-1243"</f>
        <v>SR-1243</v>
      </c>
      <c r="H883" s="2" t="s">
        <v>4834</v>
      </c>
      <c r="I883" s="2" t="s">
        <v>4835</v>
      </c>
      <c r="K883" s="2" t="s">
        <v>1632</v>
      </c>
      <c r="L883" s="2" t="s">
        <v>4836</v>
      </c>
      <c r="M883" s="2">
        <v>6095.0</v>
      </c>
      <c r="N883" s="2" t="s">
        <v>21</v>
      </c>
    </row>
    <row r="884" ht="15.75" customHeight="1">
      <c r="A884" s="2">
        <v>2013.0</v>
      </c>
      <c r="B884" s="2" t="s">
        <v>4837</v>
      </c>
      <c r="C884" s="2" t="s">
        <v>4838</v>
      </c>
      <c r="D884" s="2" t="str">
        <f>"307 254-1103"</f>
        <v>307 254-1103</v>
      </c>
      <c r="E884" s="2" t="s">
        <v>43</v>
      </c>
      <c r="F884" s="2" t="s">
        <v>4839</v>
      </c>
      <c r="G884" s="2" t="str">
        <f>"SR-1284"</f>
        <v>SR-1284</v>
      </c>
      <c r="H884" s="2" t="s">
        <v>4840</v>
      </c>
      <c r="I884" s="2" t="s">
        <v>4841</v>
      </c>
      <c r="K884" s="2" t="s">
        <v>2771</v>
      </c>
      <c r="L884" s="2" t="s">
        <v>1540</v>
      </c>
      <c r="M884" s="2">
        <v>82435.0</v>
      </c>
      <c r="N884" s="2" t="s">
        <v>21</v>
      </c>
    </row>
    <row r="885" ht="15.75" customHeight="1">
      <c r="A885" s="2">
        <v>2013.0</v>
      </c>
      <c r="B885" s="2" t="s">
        <v>4842</v>
      </c>
      <c r="C885" s="2" t="s">
        <v>4843</v>
      </c>
      <c r="D885" s="2" t="str">
        <f>"925-673-0632"</f>
        <v>925-673-0632</v>
      </c>
      <c r="E885" s="2" t="s">
        <v>843</v>
      </c>
      <c r="F885" s="2" t="s">
        <v>4844</v>
      </c>
      <c r="G885" s="2" t="str">
        <f>"SR-1286"</f>
        <v>SR-1286</v>
      </c>
      <c r="H885" s="2" t="s">
        <v>4845</v>
      </c>
      <c r="I885" s="2" t="s">
        <v>4846</v>
      </c>
      <c r="K885" s="2" t="s">
        <v>2378</v>
      </c>
      <c r="L885" s="2" t="s">
        <v>222</v>
      </c>
      <c r="M885" s="2">
        <v>94517.0</v>
      </c>
      <c r="N885" s="2" t="s">
        <v>21</v>
      </c>
    </row>
    <row r="886" ht="15.75" customHeight="1">
      <c r="A886" s="2">
        <v>2013.0</v>
      </c>
      <c r="B886" s="2" t="s">
        <v>4847</v>
      </c>
      <c r="C886" s="2" t="s">
        <v>4848</v>
      </c>
      <c r="D886" s="2" t="str">
        <f>"406.849.5085"</f>
        <v>406.849.5085</v>
      </c>
      <c r="E886" s="2" t="s">
        <v>453</v>
      </c>
      <c r="F886" s="2" t="s">
        <v>4849</v>
      </c>
      <c r="G886" s="2" t="str">
        <f>"SR-1418"</f>
        <v>SR-1418</v>
      </c>
      <c r="H886" s="2" t="s">
        <v>4850</v>
      </c>
      <c r="I886" s="2" t="s">
        <v>4851</v>
      </c>
      <c r="J886" s="2" t="s">
        <v>4852</v>
      </c>
      <c r="K886" s="2" t="s">
        <v>4310</v>
      </c>
      <c r="L886" s="2" t="s">
        <v>2696</v>
      </c>
      <c r="M886" s="2">
        <v>59914.0</v>
      </c>
      <c r="N886" s="2" t="s">
        <v>21</v>
      </c>
    </row>
    <row r="887" ht="15.75" customHeight="1">
      <c r="A887" s="2">
        <v>2013.0</v>
      </c>
      <c r="B887" s="2" t="s">
        <v>4853</v>
      </c>
      <c r="C887" s="2" t="s">
        <v>4854</v>
      </c>
      <c r="D887" s="2" t="str">
        <f>"314-651-2362"</f>
        <v>314-651-2362</v>
      </c>
      <c r="E887" s="2" t="s">
        <v>4129</v>
      </c>
      <c r="F887" s="2" t="s">
        <v>3527</v>
      </c>
      <c r="G887" s="2" t="str">
        <f>"SR-1422"</f>
        <v>SR-1422</v>
      </c>
      <c r="H887" s="2" t="s">
        <v>4855</v>
      </c>
      <c r="I887" s="2" t="s">
        <v>4856</v>
      </c>
      <c r="K887" s="2" t="s">
        <v>4857</v>
      </c>
      <c r="L887" s="2" t="s">
        <v>214</v>
      </c>
      <c r="M887" s="2">
        <v>63012.0</v>
      </c>
      <c r="N887" s="2" t="s">
        <v>21</v>
      </c>
    </row>
    <row r="888" ht="15.75" customHeight="1">
      <c r="A888" s="2">
        <v>2013.0</v>
      </c>
      <c r="B888" s="2" t="s">
        <v>4858</v>
      </c>
      <c r="C888" s="2" t="s">
        <v>4859</v>
      </c>
      <c r="D888" s="2" t="str">
        <f>"7174052690"</f>
        <v>7174052690</v>
      </c>
      <c r="E888" s="2" t="s">
        <v>217</v>
      </c>
      <c r="F888" s="2" t="s">
        <v>3276</v>
      </c>
      <c r="G888" s="2" t="str">
        <f>"SR-1409"</f>
        <v>SR-1409</v>
      </c>
      <c r="H888" s="2" t="s">
        <v>4860</v>
      </c>
      <c r="I888" s="2" t="s">
        <v>4861</v>
      </c>
      <c r="K888" s="2" t="s">
        <v>4862</v>
      </c>
      <c r="L888" s="2" t="s">
        <v>179</v>
      </c>
      <c r="M888" s="2">
        <v>17547.0</v>
      </c>
      <c r="N888" s="2" t="s">
        <v>21</v>
      </c>
    </row>
    <row r="889" ht="15.75" customHeight="1">
      <c r="A889" s="2">
        <v>2013.0</v>
      </c>
      <c r="B889" s="2" t="s">
        <v>4863</v>
      </c>
      <c r="C889" s="2" t="s">
        <v>4864</v>
      </c>
      <c r="D889" s="2" t="str">
        <f>"616-875-2046"</f>
        <v>616-875-2046</v>
      </c>
      <c r="E889" s="2" t="s">
        <v>4865</v>
      </c>
      <c r="F889" s="2" t="s">
        <v>4866</v>
      </c>
      <c r="G889" s="2" t="str">
        <f>"SR-765"</f>
        <v>SR-765</v>
      </c>
      <c r="H889" s="2" t="s">
        <v>4867</v>
      </c>
      <c r="I889" s="2" t="s">
        <v>4868</v>
      </c>
      <c r="K889" s="2" t="s">
        <v>4869</v>
      </c>
      <c r="L889" s="2" t="s">
        <v>29</v>
      </c>
      <c r="M889" s="2">
        <v>49464.0</v>
      </c>
      <c r="N889" s="2" t="s">
        <v>21</v>
      </c>
    </row>
    <row r="890" ht="15.75" customHeight="1">
      <c r="A890" s="2">
        <v>2013.0</v>
      </c>
      <c r="B890" s="2" t="s">
        <v>4847</v>
      </c>
      <c r="C890" s="2" t="s">
        <v>4870</v>
      </c>
      <c r="D890" s="2" t="str">
        <f>"406.849.5085"</f>
        <v>406.849.5085</v>
      </c>
      <c r="E890" s="2" t="s">
        <v>4871</v>
      </c>
      <c r="F890" s="2" t="s">
        <v>4849</v>
      </c>
      <c r="G890" s="2" t="str">
        <f>"SR-1428"</f>
        <v>SR-1428</v>
      </c>
      <c r="H890" s="2" t="s">
        <v>4872</v>
      </c>
      <c r="I890" s="2" t="s">
        <v>4851</v>
      </c>
      <c r="J890" s="2" t="s">
        <v>4873</v>
      </c>
      <c r="K890" s="2" t="s">
        <v>4310</v>
      </c>
      <c r="L890" s="2" t="s">
        <v>2696</v>
      </c>
      <c r="M890" s="2">
        <v>59914.0</v>
      </c>
      <c r="N890" s="2" t="s">
        <v>21</v>
      </c>
    </row>
    <row r="891" ht="15.75" customHeight="1">
      <c r="A891" s="2">
        <v>2013.0</v>
      </c>
      <c r="B891" s="2" t="s">
        <v>4874</v>
      </c>
      <c r="C891" s="2" t="s">
        <v>4875</v>
      </c>
      <c r="D891" s="2" t="str">
        <f>"(616)403-3836"</f>
        <v>(616)403-3836</v>
      </c>
      <c r="E891" s="2" t="s">
        <v>1529</v>
      </c>
      <c r="F891" s="2" t="s">
        <v>4876</v>
      </c>
      <c r="G891" s="2" t="str">
        <f>"SR-820"</f>
        <v>SR-820</v>
      </c>
      <c r="H891" s="2" t="s">
        <v>4877</v>
      </c>
      <c r="I891" s="2" t="s">
        <v>4878</v>
      </c>
      <c r="K891" s="2" t="s">
        <v>4869</v>
      </c>
      <c r="L891" s="2" t="s">
        <v>29</v>
      </c>
      <c r="M891" s="2">
        <v>49464.0</v>
      </c>
      <c r="N891" s="2" t="s">
        <v>21</v>
      </c>
    </row>
    <row r="892" ht="15.75" customHeight="1">
      <c r="A892" s="2">
        <v>2013.0</v>
      </c>
      <c r="B892" s="2" t="s">
        <v>4879</v>
      </c>
      <c r="C892" s="2" t="s">
        <v>4880</v>
      </c>
      <c r="D892" s="2" t="str">
        <f>"302-252-8488"</f>
        <v>302-252-8488</v>
      </c>
      <c r="E892" s="2" t="s">
        <v>404</v>
      </c>
      <c r="F892" s="2" t="s">
        <v>4881</v>
      </c>
      <c r="G892" s="2" t="str">
        <f>"SR-1433"</f>
        <v>SR-1433</v>
      </c>
      <c r="H892" s="2" t="s">
        <v>4882</v>
      </c>
      <c r="I892" s="2" t="s">
        <v>4883</v>
      </c>
      <c r="K892" s="2" t="s">
        <v>4884</v>
      </c>
      <c r="L892" s="2" t="s">
        <v>4885</v>
      </c>
      <c r="M892" s="2">
        <v>19711.0</v>
      </c>
      <c r="N892" s="2" t="s">
        <v>21</v>
      </c>
    </row>
    <row r="893" ht="15.75" customHeight="1">
      <c r="A893" s="2">
        <v>2013.0</v>
      </c>
      <c r="B893" s="2" t="s">
        <v>4886</v>
      </c>
      <c r="C893" s="2" t="s">
        <v>4887</v>
      </c>
      <c r="D893" s="2" t="str">
        <f>"419-281-4499"</f>
        <v>419-281-4499</v>
      </c>
      <c r="E893" s="2" t="s">
        <v>4888</v>
      </c>
      <c r="F893" s="2" t="s">
        <v>4889</v>
      </c>
      <c r="G893" s="2" t="str">
        <f>"SR-1238"</f>
        <v>SR-1238</v>
      </c>
      <c r="H893" s="2" t="s">
        <v>4890</v>
      </c>
      <c r="I893" s="2" t="s">
        <v>4891</v>
      </c>
      <c r="K893" s="2" t="s">
        <v>1154</v>
      </c>
      <c r="L893" s="2" t="s">
        <v>344</v>
      </c>
      <c r="M893" s="2">
        <v>44805.0</v>
      </c>
      <c r="N893" s="2" t="s">
        <v>21</v>
      </c>
    </row>
    <row r="894" ht="15.75" customHeight="1">
      <c r="A894" s="2">
        <v>2013.0</v>
      </c>
      <c r="B894" s="2" t="s">
        <v>4892</v>
      </c>
      <c r="D894" s="2" t="str">
        <f>""</f>
        <v/>
      </c>
      <c r="E894" s="2" t="s">
        <v>1243</v>
      </c>
      <c r="F894" s="2" t="s">
        <v>4893</v>
      </c>
      <c r="G894" s="2" t="str">
        <f>"SR-746"</f>
        <v>SR-746</v>
      </c>
      <c r="H894" s="2" t="s">
        <v>4894</v>
      </c>
    </row>
    <row r="895" ht="15.75" customHeight="1">
      <c r="A895" s="2">
        <v>2013.0</v>
      </c>
      <c r="B895" s="2" t="s">
        <v>4895</v>
      </c>
      <c r="C895" s="2" t="s">
        <v>4896</v>
      </c>
      <c r="D895" s="2" t="str">
        <f>"3037721889"</f>
        <v>3037721889</v>
      </c>
      <c r="E895" s="2" t="s">
        <v>4897</v>
      </c>
      <c r="F895" s="2" t="s">
        <v>4898</v>
      </c>
      <c r="G895" s="2" t="str">
        <f>"SR-1435"</f>
        <v>SR-1435</v>
      </c>
      <c r="H895" s="2" t="s">
        <v>4899</v>
      </c>
      <c r="I895" s="2" t="s">
        <v>4900</v>
      </c>
      <c r="K895" s="2" t="s">
        <v>2317</v>
      </c>
      <c r="L895" s="2" t="s">
        <v>157</v>
      </c>
      <c r="M895" s="2">
        <v>80503.0</v>
      </c>
      <c r="N895" s="2" t="s">
        <v>21</v>
      </c>
    </row>
    <row r="896" ht="15.75" customHeight="1">
      <c r="A896" s="2">
        <v>2013.0</v>
      </c>
      <c r="B896" s="2" t="s">
        <v>4901</v>
      </c>
      <c r="C896" s="2" t="s">
        <v>4901</v>
      </c>
      <c r="D896" s="2" t="str">
        <f>"317-736-9218"</f>
        <v>317-736-9218</v>
      </c>
      <c r="E896" s="2" t="s">
        <v>1529</v>
      </c>
      <c r="F896" s="2" t="s">
        <v>4902</v>
      </c>
      <c r="G896" s="2" t="str">
        <f>"SR-1093"</f>
        <v>SR-1093</v>
      </c>
      <c r="H896" s="2" t="s">
        <v>4903</v>
      </c>
      <c r="I896" s="2" t="s">
        <v>4904</v>
      </c>
      <c r="K896" s="2" t="s">
        <v>278</v>
      </c>
      <c r="L896" s="2" t="s">
        <v>149</v>
      </c>
      <c r="M896" s="2">
        <v>46131.0</v>
      </c>
      <c r="N896" s="2" t="s">
        <v>21</v>
      </c>
    </row>
    <row r="897" ht="15.75" customHeight="1">
      <c r="A897" s="2">
        <v>2013.0</v>
      </c>
      <c r="B897" s="2" t="s">
        <v>4905</v>
      </c>
      <c r="C897" s="2" t="s">
        <v>4905</v>
      </c>
      <c r="D897" s="2" t="str">
        <f>"479-633-8888"</f>
        <v>479-633-8888</v>
      </c>
      <c r="E897" s="2" t="s">
        <v>267</v>
      </c>
      <c r="F897" s="2" t="s">
        <v>283</v>
      </c>
      <c r="G897" s="2" t="str">
        <f>"SR-1339"</f>
        <v>SR-1339</v>
      </c>
      <c r="H897" s="2" t="s">
        <v>4906</v>
      </c>
      <c r="I897" s="2" t="s">
        <v>4907</v>
      </c>
      <c r="K897" s="2" t="s">
        <v>1170</v>
      </c>
      <c r="L897" s="2" t="s">
        <v>1012</v>
      </c>
      <c r="M897" s="2">
        <v>72758.0</v>
      </c>
      <c r="N897" s="2" t="s">
        <v>21</v>
      </c>
    </row>
    <row r="898" ht="15.75" customHeight="1">
      <c r="A898" s="2">
        <v>2013.0</v>
      </c>
      <c r="B898" s="2" t="s">
        <v>4908</v>
      </c>
      <c r="C898" s="2" t="s">
        <v>4909</v>
      </c>
      <c r="D898" s="2" t="str">
        <f>"7026576478"</f>
        <v>7026576478</v>
      </c>
      <c r="E898" s="2" t="s">
        <v>2306</v>
      </c>
      <c r="F898" s="2" t="s">
        <v>4910</v>
      </c>
      <c r="G898" s="2" t="str">
        <f>"SR-1361"</f>
        <v>SR-1361</v>
      </c>
      <c r="H898" s="2" t="s">
        <v>4911</v>
      </c>
      <c r="I898" s="2" t="s">
        <v>4912</v>
      </c>
      <c r="K898" s="2" t="s">
        <v>4913</v>
      </c>
      <c r="L898" s="2" t="s">
        <v>1419</v>
      </c>
      <c r="M898" s="2">
        <v>89084.0</v>
      </c>
      <c r="N898" s="2" t="s">
        <v>21</v>
      </c>
    </row>
    <row r="899" ht="15.75" customHeight="1">
      <c r="A899" s="2">
        <v>2013.0</v>
      </c>
      <c r="B899" s="2" t="s">
        <v>4905</v>
      </c>
      <c r="C899" s="2" t="s">
        <v>4905</v>
      </c>
      <c r="D899" s="2" t="str">
        <f>"479-633-8888"</f>
        <v>479-633-8888</v>
      </c>
      <c r="E899" s="2" t="s">
        <v>1141</v>
      </c>
      <c r="F899" s="2" t="s">
        <v>283</v>
      </c>
      <c r="G899" s="2" t="str">
        <f>"SR-1343"</f>
        <v>SR-1343</v>
      </c>
      <c r="H899" s="2" t="s">
        <v>4914</v>
      </c>
      <c r="I899" s="2" t="s">
        <v>4907</v>
      </c>
      <c r="K899" s="2" t="s">
        <v>1170</v>
      </c>
      <c r="L899" s="2" t="s">
        <v>1012</v>
      </c>
      <c r="M899" s="2">
        <v>72758.0</v>
      </c>
      <c r="N899" s="2" t="s">
        <v>21</v>
      </c>
    </row>
    <row r="900" ht="15.75" customHeight="1">
      <c r="A900" s="2">
        <v>2013.0</v>
      </c>
      <c r="B900" s="2" t="s">
        <v>4915</v>
      </c>
      <c r="C900" s="2" t="s">
        <v>4916</v>
      </c>
      <c r="D900" s="2" t="str">
        <f>"318-245-7710"</f>
        <v>318-245-7710</v>
      </c>
      <c r="E900" s="2" t="s">
        <v>282</v>
      </c>
      <c r="F900" s="2" t="s">
        <v>3903</v>
      </c>
      <c r="G900" s="2" t="str">
        <f>"SR-1382"</f>
        <v>SR-1382</v>
      </c>
      <c r="H900" s="2" t="s">
        <v>4917</v>
      </c>
      <c r="I900" s="2" t="s">
        <v>4918</v>
      </c>
      <c r="K900" s="2" t="s">
        <v>714</v>
      </c>
      <c r="L900" s="2" t="s">
        <v>715</v>
      </c>
      <c r="M900" s="2">
        <v>71273.0</v>
      </c>
      <c r="N900" s="2" t="s">
        <v>21</v>
      </c>
    </row>
    <row r="901" ht="15.75" customHeight="1">
      <c r="A901" s="2">
        <v>2013.0</v>
      </c>
      <c r="B901" s="2" t="s">
        <v>4919</v>
      </c>
      <c r="C901" s="2" t="s">
        <v>4920</v>
      </c>
      <c r="D901" s="2" t="str">
        <f>"505-710-5765"</f>
        <v>505-710-5765</v>
      </c>
      <c r="E901" s="2" t="s">
        <v>2031</v>
      </c>
      <c r="F901" s="2" t="s">
        <v>4921</v>
      </c>
      <c r="G901" s="2" t="str">
        <f>"SR-474"</f>
        <v>SR-474</v>
      </c>
      <c r="H901" s="2" t="s">
        <v>4922</v>
      </c>
      <c r="I901" s="2" t="s">
        <v>4923</v>
      </c>
      <c r="K901" s="2" t="s">
        <v>3705</v>
      </c>
      <c r="L901" s="2" t="s">
        <v>789</v>
      </c>
      <c r="M901" s="2">
        <v>87114.0</v>
      </c>
      <c r="N901" s="2" t="s">
        <v>21</v>
      </c>
    </row>
    <row r="902" ht="15.75" customHeight="1">
      <c r="A902" s="2">
        <v>2013.0</v>
      </c>
      <c r="B902" s="2" t="s">
        <v>4924</v>
      </c>
      <c r="C902" s="2" t="s">
        <v>4925</v>
      </c>
      <c r="D902" s="2" t="str">
        <f>"812-366-8300"</f>
        <v>812-366-8300</v>
      </c>
      <c r="E902" s="2" t="s">
        <v>651</v>
      </c>
      <c r="F902" s="2" t="s">
        <v>4926</v>
      </c>
      <c r="G902" s="2" t="str">
        <f>"SR-1437"</f>
        <v>SR-1437</v>
      </c>
      <c r="H902" s="2" t="s">
        <v>4927</v>
      </c>
      <c r="I902" s="2" t="s">
        <v>4928</v>
      </c>
      <c r="K902" s="2" t="s">
        <v>4929</v>
      </c>
      <c r="L902" s="2" t="s">
        <v>149</v>
      </c>
      <c r="M902" s="2">
        <v>47161.0</v>
      </c>
      <c r="N902" s="2" t="s">
        <v>21</v>
      </c>
    </row>
    <row r="903" ht="15.75" customHeight="1">
      <c r="A903" s="2">
        <v>2013.0</v>
      </c>
      <c r="B903" s="2" t="s">
        <v>4930</v>
      </c>
      <c r="C903" s="2" t="s">
        <v>4930</v>
      </c>
      <c r="D903" s="2" t="str">
        <f>"(316) 648-6456"</f>
        <v>(316) 648-6456</v>
      </c>
      <c r="E903" s="2" t="s">
        <v>167</v>
      </c>
      <c r="F903" s="2" t="s">
        <v>417</v>
      </c>
      <c r="G903" s="2" t="str">
        <f>"SR-911"</f>
        <v>SR-911</v>
      </c>
      <c r="H903" s="2" t="s">
        <v>4931</v>
      </c>
      <c r="I903" s="2" t="s">
        <v>4932</v>
      </c>
      <c r="K903" s="2" t="s">
        <v>606</v>
      </c>
      <c r="L903" s="2" t="s">
        <v>272</v>
      </c>
      <c r="M903" s="2">
        <v>67226.0</v>
      </c>
      <c r="N903" s="2" t="s">
        <v>21</v>
      </c>
    </row>
    <row r="904" ht="15.75" customHeight="1">
      <c r="A904" s="2">
        <v>2013.0</v>
      </c>
      <c r="B904" s="2" t="s">
        <v>4933</v>
      </c>
      <c r="C904" s="2" t="s">
        <v>4934</v>
      </c>
      <c r="D904" s="2" t="str">
        <f>"303.883.1063"</f>
        <v>303.883.1063</v>
      </c>
      <c r="E904" s="2" t="s">
        <v>4935</v>
      </c>
      <c r="F904" s="2" t="s">
        <v>4936</v>
      </c>
      <c r="G904" s="2" t="str">
        <f>"SR-1139"</f>
        <v>SR-1139</v>
      </c>
      <c r="H904" s="2" t="s">
        <v>4937</v>
      </c>
      <c r="I904" s="2" t="s">
        <v>4938</v>
      </c>
      <c r="K904" s="2" t="s">
        <v>4939</v>
      </c>
      <c r="L904" s="2" t="s">
        <v>157</v>
      </c>
      <c r="M904" s="2">
        <v>80516.0</v>
      </c>
      <c r="N904" s="2" t="s">
        <v>21</v>
      </c>
    </row>
    <row r="905" ht="15.75" customHeight="1">
      <c r="A905" s="2">
        <v>2013.0</v>
      </c>
      <c r="B905" s="2" t="s">
        <v>4940</v>
      </c>
      <c r="C905" s="2" t="s">
        <v>4940</v>
      </c>
      <c r="D905" s="2" t="str">
        <f>"(952) 935-7955"</f>
        <v>(952) 935-7955</v>
      </c>
      <c r="E905" s="2" t="s">
        <v>2412</v>
      </c>
      <c r="F905" s="2" t="s">
        <v>4941</v>
      </c>
      <c r="G905" s="2" t="str">
        <f>"SR-470"</f>
        <v>SR-470</v>
      </c>
      <c r="H905" s="2" t="s">
        <v>4942</v>
      </c>
      <c r="I905" s="2" t="s">
        <v>4943</v>
      </c>
      <c r="K905" s="2" t="s">
        <v>4944</v>
      </c>
      <c r="L905" s="2" t="s">
        <v>62</v>
      </c>
      <c r="M905" s="2">
        <v>55345.0</v>
      </c>
      <c r="N905" s="2" t="s">
        <v>21</v>
      </c>
    </row>
    <row r="906" ht="15.75" customHeight="1">
      <c r="A906" s="2">
        <v>2013.0</v>
      </c>
      <c r="B906" s="2" t="s">
        <v>4945</v>
      </c>
      <c r="C906" s="2" t="s">
        <v>4945</v>
      </c>
      <c r="D906" s="2" t="str">
        <f>"406-252-1877"</f>
        <v>406-252-1877</v>
      </c>
      <c r="E906" s="2" t="s">
        <v>4946</v>
      </c>
      <c r="F906" s="2" t="s">
        <v>4947</v>
      </c>
      <c r="G906" s="2" t="str">
        <f>"SR-1440"</f>
        <v>SR-1440</v>
      </c>
      <c r="H906" s="2" t="s">
        <v>4948</v>
      </c>
      <c r="I906" s="2" t="s">
        <v>4949</v>
      </c>
      <c r="K906" s="2" t="s">
        <v>3548</v>
      </c>
      <c r="L906" s="2" t="s">
        <v>2696</v>
      </c>
      <c r="M906" s="2">
        <v>59102.0</v>
      </c>
      <c r="N906" s="2" t="s">
        <v>21</v>
      </c>
    </row>
    <row r="907" ht="15.75" customHeight="1">
      <c r="A907" s="2">
        <v>2013.0</v>
      </c>
      <c r="B907" s="2" t="s">
        <v>4950</v>
      </c>
      <c r="C907" s="2" t="s">
        <v>4951</v>
      </c>
      <c r="D907" s="2" t="str">
        <f>"954-345-6623"</f>
        <v>954-345-6623</v>
      </c>
      <c r="E907" s="2" t="s">
        <v>4952</v>
      </c>
      <c r="F907" s="2" t="s">
        <v>4953</v>
      </c>
      <c r="G907" s="2" t="str">
        <f>"SR-971"</f>
        <v>SR-971</v>
      </c>
      <c r="H907" s="2" t="s">
        <v>4954</v>
      </c>
      <c r="I907" s="2" t="s">
        <v>4955</v>
      </c>
      <c r="K907" s="2" t="s">
        <v>4956</v>
      </c>
      <c r="L907" s="2" t="s">
        <v>208</v>
      </c>
      <c r="M907" s="2">
        <v>33071.0</v>
      </c>
      <c r="N907" s="2" t="s">
        <v>21</v>
      </c>
    </row>
    <row r="908" ht="15.75" customHeight="1">
      <c r="A908" s="2">
        <v>2013.0</v>
      </c>
      <c r="B908" s="2" t="s">
        <v>4957</v>
      </c>
      <c r="D908" s="2" t="str">
        <f>"2057905820"</f>
        <v>2057905820</v>
      </c>
      <c r="E908" s="2" t="s">
        <v>4958</v>
      </c>
      <c r="F908" s="2" t="s">
        <v>4959</v>
      </c>
      <c r="G908" s="2" t="str">
        <f>"SR-1450"</f>
        <v>SR-1450</v>
      </c>
      <c r="H908" s="2" t="s">
        <v>4960</v>
      </c>
      <c r="I908" s="2" t="s">
        <v>4961</v>
      </c>
      <c r="K908" s="2" t="s">
        <v>4437</v>
      </c>
      <c r="L908" s="2" t="s">
        <v>539</v>
      </c>
      <c r="M908" s="2">
        <v>35043.0</v>
      </c>
      <c r="N908" s="2" t="s">
        <v>21</v>
      </c>
    </row>
    <row r="909" ht="15.75" customHeight="1">
      <c r="A909" s="2">
        <v>2013.0</v>
      </c>
      <c r="B909" s="2" t="s">
        <v>4962</v>
      </c>
      <c r="C909" s="2" t="s">
        <v>4962</v>
      </c>
      <c r="D909" s="2" t="str">
        <f>"(209) 535-7971"</f>
        <v>(209) 535-7971</v>
      </c>
      <c r="E909" s="2" t="s">
        <v>4111</v>
      </c>
      <c r="F909" s="2" t="s">
        <v>1209</v>
      </c>
      <c r="G909" s="2" t="str">
        <f>"SR-1445"</f>
        <v>SR-1445</v>
      </c>
      <c r="H909" s="2" t="s">
        <v>4963</v>
      </c>
      <c r="I909" s="2" t="s">
        <v>4964</v>
      </c>
      <c r="K909" s="2" t="s">
        <v>4965</v>
      </c>
      <c r="L909" s="2" t="s">
        <v>222</v>
      </c>
      <c r="M909" s="2">
        <v>95382.0</v>
      </c>
      <c r="N909" s="2" t="s">
        <v>21</v>
      </c>
    </row>
    <row r="910" ht="15.75" customHeight="1">
      <c r="A910" s="2">
        <v>2013.0</v>
      </c>
      <c r="B910" s="2" t="s">
        <v>4966</v>
      </c>
      <c r="C910" s="2" t="s">
        <v>4967</v>
      </c>
      <c r="D910" s="2" t="str">
        <f>"601-622-7231"</f>
        <v>601-622-7231</v>
      </c>
      <c r="E910" s="2" t="s">
        <v>4968</v>
      </c>
      <c r="F910" s="2" t="s">
        <v>962</v>
      </c>
      <c r="G910" s="2" t="str">
        <f>"SR-1449"</f>
        <v>SR-1449</v>
      </c>
      <c r="H910" s="2" t="s">
        <v>4969</v>
      </c>
      <c r="I910" s="2" t="s">
        <v>4970</v>
      </c>
      <c r="K910" s="2" t="s">
        <v>659</v>
      </c>
      <c r="L910" s="2" t="s">
        <v>1722</v>
      </c>
      <c r="M910" s="2">
        <v>39110.0</v>
      </c>
      <c r="N910" s="2" t="s">
        <v>21</v>
      </c>
    </row>
    <row r="911" ht="15.75" customHeight="1">
      <c r="A911" s="2">
        <v>2013.0</v>
      </c>
      <c r="B911" s="2" t="s">
        <v>4971</v>
      </c>
      <c r="C911" s="2" t="s">
        <v>4972</v>
      </c>
      <c r="D911" s="2" t="str">
        <f>"2013590836"</f>
        <v>2013590836</v>
      </c>
      <c r="E911" s="2" t="s">
        <v>373</v>
      </c>
      <c r="F911" s="2" t="s">
        <v>4973</v>
      </c>
      <c r="G911" s="2" t="str">
        <f>"SR-1451"</f>
        <v>SR-1451</v>
      </c>
      <c r="H911" s="2" t="s">
        <v>4974</v>
      </c>
      <c r="I911" s="2" t="s">
        <v>4975</v>
      </c>
      <c r="K911" s="2" t="s">
        <v>4976</v>
      </c>
      <c r="L911" s="2" t="s">
        <v>3618</v>
      </c>
      <c r="M911" s="2">
        <v>7481.0</v>
      </c>
      <c r="N911" s="2" t="s">
        <v>21</v>
      </c>
    </row>
    <row r="912" ht="15.75" customHeight="1">
      <c r="A912" s="2">
        <v>2013.0</v>
      </c>
      <c r="B912" s="2" t="s">
        <v>4977</v>
      </c>
      <c r="C912" s="2" t="s">
        <v>4977</v>
      </c>
      <c r="D912" s="2" t="str">
        <f>"402-426-9406"</f>
        <v>402-426-9406</v>
      </c>
      <c r="E912" s="2" t="s">
        <v>4406</v>
      </c>
      <c r="F912" s="2" t="s">
        <v>4978</v>
      </c>
      <c r="G912" s="2" t="str">
        <f>"SR-647"</f>
        <v>SR-647</v>
      </c>
      <c r="H912" s="2" t="s">
        <v>4979</v>
      </c>
      <c r="I912" s="2" t="s">
        <v>4980</v>
      </c>
      <c r="K912" s="2" t="s">
        <v>4981</v>
      </c>
      <c r="L912" s="2" t="s">
        <v>757</v>
      </c>
      <c r="M912" s="2">
        <v>68008.0</v>
      </c>
      <c r="N912" s="2" t="s">
        <v>21</v>
      </c>
    </row>
    <row r="913" ht="15.75" customHeight="1">
      <c r="A913" s="2">
        <v>2013.0</v>
      </c>
      <c r="B913" s="2" t="s">
        <v>4982</v>
      </c>
      <c r="C913" s="2" t="s">
        <v>4983</v>
      </c>
      <c r="D913" s="2" t="str">
        <f>"678-355-0645"</f>
        <v>678-355-0645</v>
      </c>
      <c r="E913" s="2" t="s">
        <v>4984</v>
      </c>
      <c r="F913" s="2" t="s">
        <v>4985</v>
      </c>
      <c r="G913" s="2" t="str">
        <f>"SR-1454"</f>
        <v>SR-1454</v>
      </c>
      <c r="H913" s="2" t="s">
        <v>4986</v>
      </c>
      <c r="I913" s="2" t="s">
        <v>4987</v>
      </c>
      <c r="K913" s="2" t="s">
        <v>4988</v>
      </c>
      <c r="L913" s="2" t="s">
        <v>200</v>
      </c>
      <c r="M913" s="2">
        <v>30152.0</v>
      </c>
      <c r="N913" s="2" t="s">
        <v>21</v>
      </c>
    </row>
    <row r="914" ht="15.75" customHeight="1">
      <c r="A914" s="2">
        <v>2013.0</v>
      </c>
      <c r="B914" s="2" t="s">
        <v>4989</v>
      </c>
      <c r="C914" s="2" t="s">
        <v>4989</v>
      </c>
      <c r="D914" s="2" t="str">
        <f>"972-380-6168"</f>
        <v>972-380-6168</v>
      </c>
      <c r="E914" s="2" t="s">
        <v>4990</v>
      </c>
      <c r="F914" s="2" t="s">
        <v>4991</v>
      </c>
      <c r="G914" s="2" t="str">
        <f>"SR-1399"</f>
        <v>SR-1399</v>
      </c>
      <c r="H914" s="2" t="s">
        <v>4992</v>
      </c>
      <c r="I914" s="2" t="s">
        <v>4993</v>
      </c>
      <c r="K914" s="2" t="s">
        <v>1255</v>
      </c>
      <c r="L914" s="2" t="s">
        <v>172</v>
      </c>
      <c r="M914" s="2">
        <v>75287.0</v>
      </c>
      <c r="N914" s="2" t="s">
        <v>21</v>
      </c>
    </row>
    <row r="915" ht="15.75" customHeight="1">
      <c r="A915" s="2">
        <v>2013.0</v>
      </c>
      <c r="B915" s="2" t="s">
        <v>4994</v>
      </c>
      <c r="C915" s="2" t="s">
        <v>4995</v>
      </c>
      <c r="D915" s="2" t="str">
        <f>"205-594-4942"</f>
        <v>205-594-4942</v>
      </c>
      <c r="E915" s="2" t="s">
        <v>1129</v>
      </c>
      <c r="F915" s="2" t="s">
        <v>3028</v>
      </c>
      <c r="G915" s="2" t="str">
        <f>"SR-1455"</f>
        <v>SR-1455</v>
      </c>
      <c r="H915" s="2" t="s">
        <v>4996</v>
      </c>
      <c r="I915" s="2" t="s">
        <v>4997</v>
      </c>
      <c r="K915" s="2" t="s">
        <v>4998</v>
      </c>
      <c r="L915" s="2" t="s">
        <v>539</v>
      </c>
      <c r="M915" s="2">
        <v>35953.0</v>
      </c>
      <c r="N915" s="2" t="s">
        <v>21</v>
      </c>
    </row>
    <row r="916" ht="15.75" customHeight="1">
      <c r="A916" s="2">
        <v>2013.0</v>
      </c>
      <c r="B916" s="2" t="s">
        <v>4999</v>
      </c>
      <c r="C916" s="2" t="s">
        <v>5000</v>
      </c>
      <c r="D916" s="2" t="str">
        <f>"205-657-5366"</f>
        <v>205-657-5366</v>
      </c>
      <c r="E916" s="2" t="s">
        <v>167</v>
      </c>
      <c r="F916" s="2" t="s">
        <v>283</v>
      </c>
      <c r="G916" s="2" t="str">
        <f>"SR-1452"</f>
        <v>SR-1452</v>
      </c>
      <c r="H916" s="2" t="s">
        <v>5001</v>
      </c>
      <c r="I916" s="2" t="s">
        <v>5002</v>
      </c>
      <c r="K916" s="2" t="s">
        <v>5003</v>
      </c>
      <c r="L916" s="2" t="s">
        <v>539</v>
      </c>
      <c r="M916" s="2">
        <v>35473.0</v>
      </c>
      <c r="N916" s="2" t="s">
        <v>21</v>
      </c>
    </row>
    <row r="917" ht="15.75" customHeight="1">
      <c r="A917" s="2">
        <v>2013.0</v>
      </c>
      <c r="B917" s="2" t="s">
        <v>5004</v>
      </c>
      <c r="C917" s="2" t="s">
        <v>5004</v>
      </c>
      <c r="D917" s="2" t="str">
        <f>"(952) 935-7955"</f>
        <v>(952) 935-7955</v>
      </c>
      <c r="E917" s="2" t="s">
        <v>339</v>
      </c>
      <c r="F917" s="2" t="s">
        <v>4941</v>
      </c>
      <c r="G917" s="2" t="str">
        <f>"SR-1443"</f>
        <v>SR-1443</v>
      </c>
      <c r="H917" s="2" t="s">
        <v>5005</v>
      </c>
      <c r="I917" s="2" t="s">
        <v>5006</v>
      </c>
      <c r="K917" s="2" t="s">
        <v>4944</v>
      </c>
      <c r="L917" s="2" t="s">
        <v>62</v>
      </c>
      <c r="M917" s="2">
        <v>55345.0</v>
      </c>
      <c r="N917" s="2" t="s">
        <v>21</v>
      </c>
    </row>
    <row r="918" ht="15.75" customHeight="1">
      <c r="A918" s="2">
        <v>2013.0</v>
      </c>
      <c r="B918" s="2" t="s">
        <v>5007</v>
      </c>
      <c r="C918" s="2" t="s">
        <v>5007</v>
      </c>
      <c r="D918" s="2" t="str">
        <f>"9728327416"</f>
        <v>9728327416</v>
      </c>
      <c r="E918" s="2" t="s">
        <v>1015</v>
      </c>
      <c r="F918" s="2" t="s">
        <v>5008</v>
      </c>
      <c r="G918" s="2" t="str">
        <f>"SR-1459"</f>
        <v>SR-1459</v>
      </c>
      <c r="H918" s="2" t="s">
        <v>5009</v>
      </c>
      <c r="I918" s="2" t="s">
        <v>5010</v>
      </c>
      <c r="K918" s="2" t="s">
        <v>5011</v>
      </c>
      <c r="L918" s="2" t="s">
        <v>172</v>
      </c>
      <c r="M918" s="2">
        <v>75033.0</v>
      </c>
      <c r="N918" s="2" t="s">
        <v>21</v>
      </c>
    </row>
    <row r="919" ht="15.75" customHeight="1">
      <c r="A919" s="2">
        <v>2013.0</v>
      </c>
      <c r="B919" s="2" t="s">
        <v>5012</v>
      </c>
      <c r="D919" s="2" t="str">
        <f>""</f>
        <v/>
      </c>
      <c r="E919" s="2" t="s">
        <v>417</v>
      </c>
      <c r="F919" s="2" t="s">
        <v>5013</v>
      </c>
      <c r="G919" s="2" t="str">
        <f>"SR-1242"</f>
        <v>SR-1242</v>
      </c>
      <c r="H919" s="2" t="s">
        <v>5014</v>
      </c>
      <c r="N919" s="2" t="s">
        <v>21</v>
      </c>
    </row>
    <row r="920" ht="15.75" customHeight="1">
      <c r="A920" s="2">
        <v>2013.0</v>
      </c>
      <c r="B920" s="2" t="s">
        <v>5015</v>
      </c>
      <c r="C920" s="2" t="s">
        <v>5015</v>
      </c>
      <c r="D920" s="2" t="str">
        <f>"205-594-4942"</f>
        <v>205-594-4942</v>
      </c>
      <c r="E920" s="2" t="s">
        <v>5016</v>
      </c>
      <c r="F920" s="2" t="s">
        <v>3028</v>
      </c>
      <c r="G920" s="2" t="str">
        <f>"SR-1460"</f>
        <v>SR-1460</v>
      </c>
      <c r="H920" s="2" t="s">
        <v>5017</v>
      </c>
      <c r="I920" s="2" t="s">
        <v>5018</v>
      </c>
      <c r="K920" s="2" t="s">
        <v>5019</v>
      </c>
      <c r="L920" s="2" t="s">
        <v>539</v>
      </c>
      <c r="M920" s="2">
        <v>35953.0</v>
      </c>
      <c r="N920" s="2" t="s">
        <v>21</v>
      </c>
    </row>
    <row r="921" ht="15.75" customHeight="1">
      <c r="A921" s="2">
        <v>2013.0</v>
      </c>
      <c r="B921" s="2" t="s">
        <v>5020</v>
      </c>
      <c r="C921" s="2" t="s">
        <v>5021</v>
      </c>
      <c r="D921" s="2" t="str">
        <f>"2604584108"</f>
        <v>2604584108</v>
      </c>
      <c r="E921" s="2" t="s">
        <v>1208</v>
      </c>
      <c r="F921" s="2" t="s">
        <v>4376</v>
      </c>
      <c r="G921" s="2" t="str">
        <f>"SR-1072"</f>
        <v>SR-1072</v>
      </c>
      <c r="H921" s="2" t="s">
        <v>5022</v>
      </c>
      <c r="I921" s="2" t="s">
        <v>5023</v>
      </c>
      <c r="K921" s="2" t="s">
        <v>4379</v>
      </c>
      <c r="L921" s="2" t="s">
        <v>149</v>
      </c>
      <c r="M921" s="2">
        <v>46765.0</v>
      </c>
      <c r="N921" s="2" t="s">
        <v>21</v>
      </c>
    </row>
    <row r="922" ht="15.75" customHeight="1">
      <c r="A922" s="2">
        <v>2013.0</v>
      </c>
      <c r="B922" s="2" t="s">
        <v>5024</v>
      </c>
      <c r="D922" s="2" t="str">
        <f>"704-918-7106"</f>
        <v>704-918-7106</v>
      </c>
      <c r="E922" s="2" t="s">
        <v>385</v>
      </c>
      <c r="F922" s="2" t="s">
        <v>5025</v>
      </c>
      <c r="G922" s="2" t="str">
        <f>"SR-1466"</f>
        <v>SR-1466</v>
      </c>
      <c r="H922" s="2" t="s">
        <v>5026</v>
      </c>
      <c r="I922" s="2" t="s">
        <v>5027</v>
      </c>
      <c r="K922" s="2" t="s">
        <v>5028</v>
      </c>
      <c r="L922" s="2" t="s">
        <v>20</v>
      </c>
      <c r="M922" s="2">
        <v>28078.0</v>
      </c>
      <c r="N922" s="2" t="s">
        <v>21</v>
      </c>
    </row>
    <row r="923" ht="15.75" customHeight="1">
      <c r="A923" s="2">
        <v>2013.0</v>
      </c>
      <c r="B923" s="2" t="s">
        <v>5029</v>
      </c>
      <c r="D923" s="2" t="str">
        <f>"3035196974"</f>
        <v>3035196974</v>
      </c>
      <c r="E923" s="2" t="s">
        <v>1803</v>
      </c>
      <c r="F923" s="2" t="s">
        <v>5030</v>
      </c>
      <c r="G923" s="2" t="str">
        <f>"SR-873"</f>
        <v>SR-873</v>
      </c>
      <c r="H923" s="2" t="s">
        <v>5031</v>
      </c>
      <c r="I923" s="2" t="s">
        <v>5032</v>
      </c>
      <c r="K923" s="2" t="s">
        <v>1548</v>
      </c>
      <c r="L923" s="2" t="s">
        <v>157</v>
      </c>
      <c r="M923" s="2">
        <v>80107.0</v>
      </c>
      <c r="N923" s="2" t="s">
        <v>21</v>
      </c>
    </row>
    <row r="924" ht="15.75" customHeight="1">
      <c r="A924" s="2">
        <v>2013.0</v>
      </c>
      <c r="B924" s="2" t="s">
        <v>5033</v>
      </c>
      <c r="C924" s="2" t="s">
        <v>5034</v>
      </c>
      <c r="D924" s="2" t="str">
        <f>"318-949-1797"</f>
        <v>318-949-1797</v>
      </c>
      <c r="E924" s="2" t="s">
        <v>843</v>
      </c>
      <c r="F924" s="2" t="s">
        <v>5035</v>
      </c>
      <c r="G924" s="2" t="str">
        <f>"SR-1426"</f>
        <v>SR-1426</v>
      </c>
      <c r="H924" s="2" t="s">
        <v>5036</v>
      </c>
      <c r="I924" s="2" t="s">
        <v>5037</v>
      </c>
      <c r="K924" s="2" t="s">
        <v>3730</v>
      </c>
      <c r="L924" s="2" t="s">
        <v>715</v>
      </c>
      <c r="M924" s="2">
        <v>71067.0</v>
      </c>
      <c r="N924" s="2" t="s">
        <v>21</v>
      </c>
    </row>
    <row r="925" ht="15.75" customHeight="1">
      <c r="A925" s="2">
        <v>2013.0</v>
      </c>
      <c r="B925" s="2" t="s">
        <v>5038</v>
      </c>
      <c r="D925" s="2" t="str">
        <f>"7084827148"</f>
        <v>7084827148</v>
      </c>
      <c r="E925" s="2" t="s">
        <v>3191</v>
      </c>
      <c r="F925" s="2" t="s">
        <v>5039</v>
      </c>
      <c r="G925" s="2" t="str">
        <f>"SR-881"</f>
        <v>SR-881</v>
      </c>
      <c r="H925" s="2" t="s">
        <v>5040</v>
      </c>
      <c r="I925" s="2" t="s">
        <v>5041</v>
      </c>
      <c r="K925" s="2" t="s">
        <v>5042</v>
      </c>
      <c r="L925" s="2" t="s">
        <v>105</v>
      </c>
      <c r="M925" s="2">
        <v>60525.0</v>
      </c>
      <c r="N925" s="2" t="s">
        <v>21</v>
      </c>
    </row>
    <row r="926" ht="15.75" customHeight="1">
      <c r="A926" s="2">
        <v>2013.0</v>
      </c>
      <c r="B926" s="2" t="s">
        <v>5043</v>
      </c>
      <c r="C926" s="2" t="s">
        <v>5043</v>
      </c>
      <c r="D926" s="2" t="str">
        <f>"(239) 234-0114"</f>
        <v>(239) 234-0114</v>
      </c>
      <c r="E926" s="2" t="s">
        <v>453</v>
      </c>
      <c r="F926" s="2" t="s">
        <v>2127</v>
      </c>
      <c r="G926" s="2" t="str">
        <f>"SR-1461"</f>
        <v>SR-1461</v>
      </c>
      <c r="H926" s="2" t="s">
        <v>5044</v>
      </c>
      <c r="I926" s="2" t="s">
        <v>5045</v>
      </c>
      <c r="K926" s="2" t="s">
        <v>5046</v>
      </c>
      <c r="L926" s="2" t="s">
        <v>208</v>
      </c>
      <c r="M926" s="2">
        <v>34113.0</v>
      </c>
      <c r="N926" s="2" t="s">
        <v>21</v>
      </c>
    </row>
    <row r="927" ht="15.75" customHeight="1">
      <c r="A927" s="2">
        <v>2013.0</v>
      </c>
      <c r="B927" s="2" t="s">
        <v>5047</v>
      </c>
      <c r="D927" s="2" t="str">
        <f>"(704) 918-7103"</f>
        <v>(704) 918-7103</v>
      </c>
      <c r="E927" s="2" t="s">
        <v>167</v>
      </c>
      <c r="F927" s="2" t="s">
        <v>5025</v>
      </c>
      <c r="G927" s="2" t="str">
        <f>"SR-818"</f>
        <v>SR-818</v>
      </c>
      <c r="H927" s="2" t="s">
        <v>5048</v>
      </c>
      <c r="I927" s="2" t="s">
        <v>5027</v>
      </c>
      <c r="K927" s="2" t="s">
        <v>5028</v>
      </c>
      <c r="L927" s="2" t="s">
        <v>20</v>
      </c>
      <c r="M927" s="2">
        <v>28078.0</v>
      </c>
      <c r="N927" s="2" t="s">
        <v>21</v>
      </c>
    </row>
    <row r="928" ht="15.75" customHeight="1">
      <c r="A928" s="2">
        <v>2013.0</v>
      </c>
      <c r="B928" s="2" t="s">
        <v>5049</v>
      </c>
      <c r="C928" s="2" t="s">
        <v>5050</v>
      </c>
      <c r="D928" s="2" t="str">
        <f>"7406941385"</f>
        <v>7406941385</v>
      </c>
      <c r="E928" s="2" t="s">
        <v>931</v>
      </c>
      <c r="F928" s="2" t="s">
        <v>5051</v>
      </c>
      <c r="G928" s="2" t="str">
        <f>"SR-723"</f>
        <v>SR-723</v>
      </c>
      <c r="H928" s="2" t="s">
        <v>5052</v>
      </c>
      <c r="I928" s="2" t="s">
        <v>5053</v>
      </c>
      <c r="K928" s="2" t="s">
        <v>1138</v>
      </c>
      <c r="L928" s="2" t="s">
        <v>344</v>
      </c>
      <c r="M928" s="2">
        <v>43019.0</v>
      </c>
      <c r="N928" s="2" t="s">
        <v>21</v>
      </c>
    </row>
    <row r="929" ht="15.75" customHeight="1">
      <c r="A929" s="2">
        <v>2013.0</v>
      </c>
      <c r="B929" s="2" t="s">
        <v>5054</v>
      </c>
      <c r="C929" s="2" t="s">
        <v>5055</v>
      </c>
      <c r="D929" s="2" t="str">
        <f>"9132195252"</f>
        <v>9132195252</v>
      </c>
      <c r="E929" s="2" t="s">
        <v>705</v>
      </c>
      <c r="F929" s="2" t="s">
        <v>5056</v>
      </c>
      <c r="G929" s="2" t="str">
        <f>"SR-1470"</f>
        <v>SR-1470</v>
      </c>
      <c r="H929" s="2" t="s">
        <v>5057</v>
      </c>
      <c r="I929" s="2" t="s">
        <v>5058</v>
      </c>
      <c r="K929" s="2" t="s">
        <v>3103</v>
      </c>
      <c r="L929" s="2" t="s">
        <v>272</v>
      </c>
      <c r="M929" s="2">
        <v>66213.0</v>
      </c>
      <c r="N929" s="2" t="s">
        <v>21</v>
      </c>
    </row>
    <row r="930" ht="15.75" customHeight="1">
      <c r="A930" s="2">
        <v>2013.0</v>
      </c>
      <c r="B930" s="2" t="s">
        <v>5059</v>
      </c>
      <c r="C930" s="2" t="s">
        <v>5059</v>
      </c>
      <c r="D930" s="2" t="str">
        <f>"204-326-3320"</f>
        <v>204-326-3320</v>
      </c>
      <c r="E930" s="2" t="s">
        <v>5060</v>
      </c>
      <c r="F930" s="2" t="s">
        <v>5061</v>
      </c>
      <c r="G930" s="2" t="str">
        <f>"SR-1240"</f>
        <v>SR-1240</v>
      </c>
      <c r="H930" s="2" t="s">
        <v>5062</v>
      </c>
      <c r="I930" s="2" t="s">
        <v>5063</v>
      </c>
      <c r="K930" s="2" t="s">
        <v>5064</v>
      </c>
      <c r="N930" s="2" t="s">
        <v>1602</v>
      </c>
    </row>
    <row r="931" ht="15.75" customHeight="1">
      <c r="A931" s="2">
        <v>2013.0</v>
      </c>
      <c r="B931" s="2" t="s">
        <v>5065</v>
      </c>
      <c r="C931" s="2" t="s">
        <v>5065</v>
      </c>
      <c r="D931" s="2" t="str">
        <f>"8179415413"</f>
        <v>8179415413</v>
      </c>
      <c r="E931" s="2" t="s">
        <v>453</v>
      </c>
      <c r="F931" s="2" t="s">
        <v>962</v>
      </c>
      <c r="G931" s="2" t="str">
        <f>"SR-1193"</f>
        <v>SR-1193</v>
      </c>
      <c r="H931" s="2" t="s">
        <v>5066</v>
      </c>
      <c r="I931" s="2" t="s">
        <v>5067</v>
      </c>
      <c r="K931" s="2" t="s">
        <v>882</v>
      </c>
      <c r="L931" s="2" t="s">
        <v>172</v>
      </c>
      <c r="M931" s="2">
        <v>76017.0</v>
      </c>
      <c r="N931" s="2" t="s">
        <v>21</v>
      </c>
    </row>
    <row r="932" ht="15.75" customHeight="1">
      <c r="A932" s="2">
        <v>2013.0</v>
      </c>
      <c r="B932" s="2" t="s">
        <v>5068</v>
      </c>
      <c r="C932" s="2" t="s">
        <v>5069</v>
      </c>
      <c r="D932" s="2" t="str">
        <f>"(717)375-9925"</f>
        <v>(717)375-9925</v>
      </c>
      <c r="E932" s="2" t="s">
        <v>908</v>
      </c>
      <c r="F932" s="2" t="s">
        <v>5070</v>
      </c>
      <c r="G932" s="2" t="str">
        <f>"SR-1472"</f>
        <v>SR-1472</v>
      </c>
      <c r="H932" s="2" t="s">
        <v>5071</v>
      </c>
      <c r="I932" s="2" t="s">
        <v>5072</v>
      </c>
      <c r="K932" s="2" t="s">
        <v>5073</v>
      </c>
      <c r="L932" s="2" t="s">
        <v>179</v>
      </c>
      <c r="M932" s="2">
        <v>17202.0</v>
      </c>
      <c r="N932" s="2" t="s">
        <v>21</v>
      </c>
    </row>
    <row r="933" ht="15.75" customHeight="1">
      <c r="A933" s="2">
        <v>2013.0</v>
      </c>
      <c r="B933" s="2" t="s">
        <v>5074</v>
      </c>
      <c r="C933" s="2" t="s">
        <v>5075</v>
      </c>
      <c r="D933" s="2" t="str">
        <f>"605 999 6487"</f>
        <v>605 999 6487</v>
      </c>
      <c r="E933" s="2" t="s">
        <v>5076</v>
      </c>
      <c r="F933" s="2" t="s">
        <v>5077</v>
      </c>
      <c r="G933" s="2" t="str">
        <f>"SR-1471"</f>
        <v>SR-1471</v>
      </c>
      <c r="H933" s="2" t="s">
        <v>5078</v>
      </c>
      <c r="I933" s="2" t="s">
        <v>5079</v>
      </c>
      <c r="K933" s="2" t="s">
        <v>5080</v>
      </c>
      <c r="L933" s="2" t="s">
        <v>920</v>
      </c>
      <c r="M933" s="2">
        <v>57340.0</v>
      </c>
      <c r="N933" s="2" t="s">
        <v>21</v>
      </c>
    </row>
    <row r="934" ht="15.75" customHeight="1">
      <c r="A934" s="2">
        <v>2013.0</v>
      </c>
      <c r="B934" s="2" t="s">
        <v>5081</v>
      </c>
      <c r="C934" s="2" t="s">
        <v>5082</v>
      </c>
      <c r="D934" s="2" t="str">
        <f>"6165541640"</f>
        <v>6165541640</v>
      </c>
      <c r="E934" s="2" t="s">
        <v>5083</v>
      </c>
      <c r="F934" s="2" t="s">
        <v>5084</v>
      </c>
      <c r="G934" s="2" t="str">
        <f>"SR-1447"</f>
        <v>SR-1447</v>
      </c>
      <c r="H934" s="2" t="s">
        <v>5085</v>
      </c>
      <c r="I934" s="2" t="s">
        <v>5086</v>
      </c>
      <c r="K934" s="2" t="s">
        <v>5087</v>
      </c>
      <c r="L934" s="2" t="s">
        <v>29</v>
      </c>
      <c r="M934" s="2">
        <v>49508.0</v>
      </c>
      <c r="N934" s="2" t="s">
        <v>21</v>
      </c>
    </row>
    <row r="935" ht="15.75" customHeight="1">
      <c r="A935" s="2">
        <v>2013.0</v>
      </c>
      <c r="B935" s="2" t="s">
        <v>5088</v>
      </c>
      <c r="C935" s="2" t="s">
        <v>5089</v>
      </c>
      <c r="D935" s="2" t="str">
        <f>"3866756178"</f>
        <v>3866756178</v>
      </c>
      <c r="E935" s="2" t="s">
        <v>3086</v>
      </c>
      <c r="F935" s="2" t="s">
        <v>72</v>
      </c>
      <c r="G935" s="2" t="str">
        <f>"SR-1473"</f>
        <v>SR-1473</v>
      </c>
      <c r="H935" s="2" t="s">
        <v>5090</v>
      </c>
      <c r="I935" s="2" t="s">
        <v>5091</v>
      </c>
      <c r="K935" s="2" t="s">
        <v>5092</v>
      </c>
      <c r="L935" s="2" t="s">
        <v>208</v>
      </c>
      <c r="M935" s="2">
        <v>32176.0</v>
      </c>
      <c r="N935" s="2" t="s">
        <v>21</v>
      </c>
    </row>
    <row r="936" ht="15.75" customHeight="1">
      <c r="A936" s="2">
        <v>2013.0</v>
      </c>
      <c r="B936" s="2" t="s">
        <v>5093</v>
      </c>
      <c r="C936" s="2" t="s">
        <v>5093</v>
      </c>
      <c r="D936" s="2" t="str">
        <f>"719-548-1085"</f>
        <v>719-548-1085</v>
      </c>
      <c r="E936" s="2" t="s">
        <v>1076</v>
      </c>
      <c r="F936" s="2" t="s">
        <v>5094</v>
      </c>
      <c r="G936" s="2" t="str">
        <f>"SR-1475"</f>
        <v>SR-1475</v>
      </c>
      <c r="H936" s="2" t="s">
        <v>5095</v>
      </c>
      <c r="I936" s="2" t="s">
        <v>5096</v>
      </c>
      <c r="K936" s="2" t="s">
        <v>809</v>
      </c>
      <c r="L936" s="2" t="s">
        <v>157</v>
      </c>
      <c r="M936" s="2">
        <v>80919.0</v>
      </c>
      <c r="N936" s="2" t="s">
        <v>21</v>
      </c>
    </row>
    <row r="937" ht="15.75" customHeight="1">
      <c r="A937" s="2">
        <v>2013.0</v>
      </c>
      <c r="B937" s="2" t="s">
        <v>5097</v>
      </c>
      <c r="C937" s="2" t="s">
        <v>5098</v>
      </c>
      <c r="D937" s="2" t="str">
        <f>"(507) 822 6445"</f>
        <v>(507) 822 6445</v>
      </c>
      <c r="E937" s="2" t="s">
        <v>955</v>
      </c>
      <c r="F937" s="2" t="s">
        <v>2875</v>
      </c>
      <c r="G937" s="2" t="str">
        <f>"SR-1474"</f>
        <v>SR-1474</v>
      </c>
      <c r="H937" s="2" t="s">
        <v>5099</v>
      </c>
      <c r="I937" s="2" t="s">
        <v>5100</v>
      </c>
      <c r="K937" s="2" t="s">
        <v>5101</v>
      </c>
      <c r="L937" s="2" t="s">
        <v>62</v>
      </c>
      <c r="M937" s="2">
        <v>56118.0</v>
      </c>
      <c r="N937" s="2" t="s">
        <v>21</v>
      </c>
    </row>
    <row r="938" ht="15.75" customHeight="1">
      <c r="A938" s="2">
        <v>2013.0</v>
      </c>
      <c r="B938" s="2" t="s">
        <v>5102</v>
      </c>
      <c r="C938" s="2" t="s">
        <v>5103</v>
      </c>
      <c r="D938" s="2" t="str">
        <f>"423-745-5661"</f>
        <v>423-745-5661</v>
      </c>
      <c r="E938" s="2" t="s">
        <v>5104</v>
      </c>
      <c r="F938" s="2" t="s">
        <v>5105</v>
      </c>
      <c r="G938" s="2" t="str">
        <f>"SR-1415"</f>
        <v>SR-1415</v>
      </c>
      <c r="H938" s="2" t="s">
        <v>5106</v>
      </c>
      <c r="I938" s="2" t="s">
        <v>5107</v>
      </c>
      <c r="K938" s="2" t="s">
        <v>5108</v>
      </c>
      <c r="L938" s="2" t="s">
        <v>279</v>
      </c>
      <c r="M938" s="2">
        <v>37303.0</v>
      </c>
      <c r="N938" s="2" t="s">
        <v>21</v>
      </c>
    </row>
    <row r="939" ht="15.75" customHeight="1">
      <c r="A939" s="2">
        <v>2013.0</v>
      </c>
      <c r="B939" s="2" t="s">
        <v>5109</v>
      </c>
      <c r="C939" s="2" t="s">
        <v>5110</v>
      </c>
      <c r="D939" s="2" t="str">
        <f>"850-363-6767"</f>
        <v>850-363-6767</v>
      </c>
      <c r="E939" s="2" t="s">
        <v>453</v>
      </c>
      <c r="F939" s="2" t="s">
        <v>5111</v>
      </c>
      <c r="G939" s="2" t="str">
        <f>"SR-1171"</f>
        <v>SR-1171</v>
      </c>
      <c r="H939" s="2" t="s">
        <v>5112</v>
      </c>
      <c r="I939" s="2" t="s">
        <v>5113</v>
      </c>
      <c r="K939" s="2" t="s">
        <v>4310</v>
      </c>
      <c r="L939" s="2" t="s">
        <v>279</v>
      </c>
      <c r="M939" s="2">
        <v>37321.0</v>
      </c>
      <c r="N939" s="2" t="s">
        <v>21</v>
      </c>
    </row>
    <row r="940" ht="15.75" customHeight="1">
      <c r="A940" s="2">
        <v>2013.0</v>
      </c>
      <c r="B940" s="2" t="s">
        <v>5114</v>
      </c>
      <c r="C940" s="2" t="s">
        <v>5115</v>
      </c>
      <c r="D940" s="2" t="str">
        <f>"512-966-5061"</f>
        <v>512-966-5061</v>
      </c>
      <c r="E940" s="2" t="s">
        <v>5116</v>
      </c>
      <c r="F940" s="2" t="s">
        <v>529</v>
      </c>
      <c r="G940" s="2" t="str">
        <f>"SR-1477"</f>
        <v>SR-1477</v>
      </c>
      <c r="H940" s="2" t="s">
        <v>5117</v>
      </c>
      <c r="I940" s="2" t="s">
        <v>5118</v>
      </c>
      <c r="K940" s="2" t="s">
        <v>4482</v>
      </c>
      <c r="L940" s="2" t="s">
        <v>172</v>
      </c>
      <c r="M940" s="2">
        <v>78626.0</v>
      </c>
      <c r="N940" s="2" t="s">
        <v>21</v>
      </c>
    </row>
    <row r="941" ht="15.75" customHeight="1">
      <c r="A941" s="2">
        <v>2013.0</v>
      </c>
      <c r="B941" s="2" t="s">
        <v>5119</v>
      </c>
      <c r="C941" s="2" t="s">
        <v>5120</v>
      </c>
      <c r="D941" s="2" t="str">
        <f>"352-478-1607"</f>
        <v>352-478-1607</v>
      </c>
      <c r="E941" s="2" t="s">
        <v>137</v>
      </c>
      <c r="F941" s="2" t="s">
        <v>5121</v>
      </c>
      <c r="G941" s="2" t="str">
        <f>"SR-739"</f>
        <v>SR-739</v>
      </c>
      <c r="H941" s="2" t="s">
        <v>5122</v>
      </c>
      <c r="I941" s="2" t="s">
        <v>5123</v>
      </c>
      <c r="K941" s="2" t="s">
        <v>5124</v>
      </c>
      <c r="L941" s="2" t="s">
        <v>208</v>
      </c>
      <c r="M941" s="2">
        <v>32656.0</v>
      </c>
      <c r="N941" s="2" t="s">
        <v>21</v>
      </c>
    </row>
    <row r="942" ht="15.75" customHeight="1">
      <c r="A942" s="2">
        <v>2013.0</v>
      </c>
      <c r="B942" s="2" t="s">
        <v>5125</v>
      </c>
      <c r="C942" s="2" t="s">
        <v>5126</v>
      </c>
      <c r="D942" s="2" t="str">
        <f>"503-399-9613"</f>
        <v>503-399-9613</v>
      </c>
      <c r="E942" s="2" t="s">
        <v>5127</v>
      </c>
      <c r="F942" s="2" t="s">
        <v>5128</v>
      </c>
      <c r="G942" s="2" t="str">
        <f>"SR-1430"</f>
        <v>SR-1430</v>
      </c>
      <c r="H942" s="2" t="s">
        <v>5129</v>
      </c>
      <c r="I942" s="2" t="s">
        <v>5130</v>
      </c>
      <c r="K942" s="2" t="s">
        <v>5131</v>
      </c>
      <c r="L942" s="2" t="s">
        <v>2389</v>
      </c>
      <c r="M942" s="2">
        <v>97317.0</v>
      </c>
      <c r="N942" s="2" t="s">
        <v>21</v>
      </c>
    </row>
    <row r="943" ht="15.75" customHeight="1">
      <c r="A943" s="2">
        <v>2013.0</v>
      </c>
      <c r="B943" s="2" t="s">
        <v>5132</v>
      </c>
      <c r="C943" s="2" t="s">
        <v>5133</v>
      </c>
      <c r="D943" s="2" t="str">
        <f>"954-341-4048"</f>
        <v>954-341-4048</v>
      </c>
      <c r="E943" s="2" t="s">
        <v>5134</v>
      </c>
      <c r="F943" s="2" t="s">
        <v>5135</v>
      </c>
      <c r="G943" s="2" t="str">
        <f>"SR-1189"</f>
        <v>SR-1189</v>
      </c>
      <c r="H943" s="2" t="s">
        <v>5136</v>
      </c>
      <c r="I943" s="2" t="s">
        <v>5137</v>
      </c>
      <c r="K943" s="2" t="s">
        <v>5138</v>
      </c>
      <c r="L943" s="2" t="s">
        <v>208</v>
      </c>
      <c r="M943" s="2">
        <v>33067.0</v>
      </c>
      <c r="N943" s="2" t="s">
        <v>21</v>
      </c>
    </row>
    <row r="944" ht="15.75" customHeight="1">
      <c r="A944" s="2">
        <v>2013.0</v>
      </c>
      <c r="B944" s="2" t="s">
        <v>5139</v>
      </c>
      <c r="C944" s="2" t="s">
        <v>5140</v>
      </c>
      <c r="D944" s="2" t="str">
        <f>"7193322834"</f>
        <v>7193322834</v>
      </c>
      <c r="E944" s="2" t="s">
        <v>3878</v>
      </c>
      <c r="F944" s="2" t="s">
        <v>5141</v>
      </c>
      <c r="G944" s="2" t="str">
        <f>"SR-1476"</f>
        <v>SR-1476</v>
      </c>
      <c r="H944" s="2" t="s">
        <v>5142</v>
      </c>
      <c r="I944" s="2" t="s">
        <v>5143</v>
      </c>
      <c r="K944" s="2" t="s">
        <v>5144</v>
      </c>
      <c r="L944" s="2" t="s">
        <v>157</v>
      </c>
      <c r="M944" s="2">
        <v>80132.0</v>
      </c>
      <c r="N944" s="2" t="s">
        <v>21</v>
      </c>
    </row>
    <row r="945" ht="15.75" customHeight="1">
      <c r="A945" s="2">
        <v>2013.0</v>
      </c>
      <c r="B945" s="2" t="s">
        <v>5145</v>
      </c>
      <c r="C945" s="2" t="s">
        <v>5145</v>
      </c>
      <c r="D945" s="2" t="str">
        <f>"910-303-5084"</f>
        <v>910-303-5084</v>
      </c>
      <c r="E945" s="2" t="s">
        <v>1422</v>
      </c>
      <c r="F945" s="2" t="s">
        <v>5146</v>
      </c>
      <c r="G945" s="2" t="str">
        <f>"SR-209"</f>
        <v>SR-209</v>
      </c>
      <c r="H945" s="2" t="s">
        <v>5147</v>
      </c>
      <c r="I945" s="2" t="s">
        <v>5148</v>
      </c>
      <c r="K945" s="2" t="s">
        <v>809</v>
      </c>
      <c r="L945" s="2" t="s">
        <v>157</v>
      </c>
      <c r="M945" s="2">
        <v>80924.0</v>
      </c>
      <c r="N945" s="2" t="s">
        <v>21</v>
      </c>
    </row>
    <row r="946" ht="15.75" customHeight="1">
      <c r="A946" s="2">
        <v>2013.0</v>
      </c>
      <c r="B946" s="2" t="s">
        <v>5149</v>
      </c>
      <c r="D946" s="2" t="str">
        <f>""</f>
        <v/>
      </c>
      <c r="E946" s="2" t="s">
        <v>1548</v>
      </c>
      <c r="F946" s="2" t="s">
        <v>5150</v>
      </c>
      <c r="G946" s="2" t="str">
        <f>"SR-979"</f>
        <v>SR-979</v>
      </c>
      <c r="H946" s="2" t="s">
        <v>5151</v>
      </c>
    </row>
    <row r="947" ht="15.75" customHeight="1">
      <c r="A947" s="2">
        <v>2013.0</v>
      </c>
      <c r="B947" s="2" t="s">
        <v>5152</v>
      </c>
      <c r="C947" s="2" t="s">
        <v>5152</v>
      </c>
      <c r="D947" s="2" t="str">
        <f>"847-854-6984"</f>
        <v>847-854-6984</v>
      </c>
      <c r="E947" s="2" t="s">
        <v>373</v>
      </c>
      <c r="F947" s="2" t="s">
        <v>5153</v>
      </c>
      <c r="G947" s="2" t="str">
        <f>"SR-583"</f>
        <v>SR-583</v>
      </c>
      <c r="H947" s="2" t="s">
        <v>5154</v>
      </c>
      <c r="I947" s="2" t="s">
        <v>5155</v>
      </c>
      <c r="K947" s="2" t="s">
        <v>3279</v>
      </c>
      <c r="L947" s="2" t="s">
        <v>105</v>
      </c>
      <c r="M947" s="2">
        <v>60102.0</v>
      </c>
      <c r="N947" s="2" t="s">
        <v>21</v>
      </c>
    </row>
    <row r="948" ht="15.75" customHeight="1">
      <c r="A948" s="2">
        <v>2013.0</v>
      </c>
      <c r="B948" s="2" t="s">
        <v>5156</v>
      </c>
      <c r="C948" s="2" t="s">
        <v>5157</v>
      </c>
      <c r="D948" s="2" t="str">
        <f>"386-842-5008"</f>
        <v>386-842-5008</v>
      </c>
      <c r="E948" s="2" t="s">
        <v>5158</v>
      </c>
      <c r="F948" s="2" t="s">
        <v>5159</v>
      </c>
      <c r="G948" s="2" t="str">
        <f>"SR-1434"</f>
        <v>SR-1434</v>
      </c>
      <c r="H948" s="2" t="s">
        <v>5160</v>
      </c>
      <c r="I948" s="2" t="s">
        <v>5161</v>
      </c>
      <c r="K948" s="2" t="s">
        <v>5162</v>
      </c>
      <c r="L948" s="2" t="s">
        <v>208</v>
      </c>
      <c r="M948" s="2">
        <v>32060.0</v>
      </c>
      <c r="N948" s="2" t="s">
        <v>21</v>
      </c>
    </row>
    <row r="949" ht="15.75" customHeight="1">
      <c r="A949" s="2">
        <v>2013.0</v>
      </c>
      <c r="B949" s="2" t="s">
        <v>5163</v>
      </c>
      <c r="C949" s="2" t="s">
        <v>5164</v>
      </c>
      <c r="D949" s="2" t="str">
        <f>"(805) 807-7155"</f>
        <v>(805) 807-7155</v>
      </c>
      <c r="E949" s="2" t="s">
        <v>1054</v>
      </c>
      <c r="F949" s="2" t="s">
        <v>5165</v>
      </c>
      <c r="G949" s="2" t="str">
        <f>"SR-1478"</f>
        <v>SR-1478</v>
      </c>
      <c r="H949" s="2" t="s">
        <v>5166</v>
      </c>
      <c r="I949" s="2" t="s">
        <v>5167</v>
      </c>
      <c r="K949" s="2" t="s">
        <v>5168</v>
      </c>
      <c r="L949" s="2" t="s">
        <v>222</v>
      </c>
      <c r="M949" s="2">
        <v>91362.0</v>
      </c>
      <c r="N949" s="2" t="s">
        <v>21</v>
      </c>
    </row>
    <row r="950" ht="15.75" customHeight="1">
      <c r="A950" s="2">
        <v>2013.0</v>
      </c>
      <c r="B950" s="2" t="s">
        <v>5169</v>
      </c>
      <c r="C950" s="2" t="s">
        <v>5169</v>
      </c>
      <c r="D950" s="2" t="str">
        <f>"9372361707"</f>
        <v>9372361707</v>
      </c>
      <c r="E950" s="2" t="s">
        <v>81</v>
      </c>
      <c r="F950" s="2" t="s">
        <v>5170</v>
      </c>
      <c r="G950" s="2" t="str">
        <f>"SR-1482"</f>
        <v>SR-1482</v>
      </c>
      <c r="H950" s="2" t="s">
        <v>5171</v>
      </c>
      <c r="I950" s="2" t="s">
        <v>5172</v>
      </c>
      <c r="K950" s="2" t="s">
        <v>4310</v>
      </c>
      <c r="L950" s="2" t="s">
        <v>344</v>
      </c>
      <c r="M950" s="2">
        <v>45424.0</v>
      </c>
      <c r="N950" s="2" t="s">
        <v>21</v>
      </c>
    </row>
    <row r="951" ht="15.75" customHeight="1">
      <c r="A951" s="2">
        <v>2013.0</v>
      </c>
      <c r="B951" s="2" t="s">
        <v>5173</v>
      </c>
      <c r="C951" s="2" t="s">
        <v>5174</v>
      </c>
      <c r="D951" s="2" t="str">
        <f>"303-530-0553"</f>
        <v>303-530-0553</v>
      </c>
      <c r="E951" s="2" t="s">
        <v>5175</v>
      </c>
      <c r="F951" s="2" t="s">
        <v>5176</v>
      </c>
      <c r="G951" s="2" t="str">
        <f>"SR-845"</f>
        <v>SR-845</v>
      </c>
      <c r="H951" s="2" t="s">
        <v>5177</v>
      </c>
      <c r="I951" s="2" t="s">
        <v>5178</v>
      </c>
      <c r="K951" s="2" t="s">
        <v>5179</v>
      </c>
      <c r="L951" s="2" t="s">
        <v>157</v>
      </c>
      <c r="M951" s="2">
        <v>80302.0</v>
      </c>
      <c r="N951" s="2" t="s">
        <v>21</v>
      </c>
    </row>
    <row r="952" ht="15.75" customHeight="1">
      <c r="A952" s="2">
        <v>2013.0</v>
      </c>
      <c r="B952" s="2" t="s">
        <v>5180</v>
      </c>
      <c r="C952" s="2" t="s">
        <v>5181</v>
      </c>
      <c r="D952" s="2" t="str">
        <f>"850-292-3885"</f>
        <v>850-292-3885</v>
      </c>
      <c r="E952" s="2" t="s">
        <v>5182</v>
      </c>
      <c r="F952" s="2" t="s">
        <v>5183</v>
      </c>
      <c r="G952" s="2" t="str">
        <f>"SR-1205"</f>
        <v>SR-1205</v>
      </c>
      <c r="H952" s="2" t="s">
        <v>5184</v>
      </c>
      <c r="I952" s="2" t="s">
        <v>5185</v>
      </c>
      <c r="K952" s="2" t="s">
        <v>5186</v>
      </c>
      <c r="L952" s="2" t="s">
        <v>208</v>
      </c>
      <c r="M952" s="2">
        <v>32561.0</v>
      </c>
      <c r="N952" s="2" t="s">
        <v>21</v>
      </c>
    </row>
    <row r="953" ht="15.75" customHeight="1">
      <c r="A953" s="2">
        <v>2013.0</v>
      </c>
      <c r="B953" s="2" t="s">
        <v>5187</v>
      </c>
      <c r="C953" s="2" t="s">
        <v>5188</v>
      </c>
      <c r="D953" s="2" t="str">
        <f>"205-541-3837"</f>
        <v>205-541-3837</v>
      </c>
      <c r="E953" s="2" t="s">
        <v>984</v>
      </c>
      <c r="F953" s="2" t="s">
        <v>5189</v>
      </c>
      <c r="G953" s="2" t="str">
        <f>"SR-1480"</f>
        <v>SR-1480</v>
      </c>
      <c r="H953" s="2" t="s">
        <v>5190</v>
      </c>
      <c r="I953" s="2" t="s">
        <v>5191</v>
      </c>
      <c r="K953" s="2" t="s">
        <v>5192</v>
      </c>
      <c r="L953" s="2" t="s">
        <v>539</v>
      </c>
      <c r="M953" s="2">
        <v>35114.0</v>
      </c>
      <c r="N953" s="2" t="s">
        <v>21</v>
      </c>
    </row>
    <row r="954" ht="15.75" customHeight="1">
      <c r="A954" s="2">
        <v>2013.0</v>
      </c>
      <c r="B954" s="2" t="s">
        <v>5193</v>
      </c>
      <c r="C954" s="2" t="s">
        <v>5193</v>
      </c>
      <c r="D954" s="2" t="str">
        <f>"8157619501"</f>
        <v>8157619501</v>
      </c>
      <c r="E954" s="2" t="s">
        <v>5194</v>
      </c>
      <c r="F954" s="2" t="s">
        <v>5195</v>
      </c>
      <c r="G954" s="2" t="str">
        <f>"SR-1138"</f>
        <v>SR-1138</v>
      </c>
      <c r="H954" s="2" t="s">
        <v>5196</v>
      </c>
      <c r="I954" s="2" t="s">
        <v>5197</v>
      </c>
      <c r="K954" s="2" t="s">
        <v>5198</v>
      </c>
      <c r="L954" s="2" t="s">
        <v>105</v>
      </c>
      <c r="M954" s="2">
        <v>60178.0</v>
      </c>
      <c r="N954" s="2" t="s">
        <v>21</v>
      </c>
    </row>
    <row r="955" ht="15.75" customHeight="1">
      <c r="A955" s="2">
        <v>2013.0</v>
      </c>
      <c r="B955" s="2" t="s">
        <v>5199</v>
      </c>
      <c r="C955" s="2" t="s">
        <v>5200</v>
      </c>
      <c r="D955" s="2" t="str">
        <f>"254-624-5722"</f>
        <v>254-624-5722</v>
      </c>
      <c r="E955" s="2" t="s">
        <v>3743</v>
      </c>
      <c r="F955" s="2" t="s">
        <v>5201</v>
      </c>
      <c r="G955" s="2" t="str">
        <f>"SR-1491"</f>
        <v>SR-1491</v>
      </c>
      <c r="H955" s="2" t="s">
        <v>5202</v>
      </c>
      <c r="I955" s="2" t="s">
        <v>5203</v>
      </c>
      <c r="K955" s="2" t="s">
        <v>4482</v>
      </c>
      <c r="L955" s="2" t="s">
        <v>172</v>
      </c>
      <c r="M955" s="2">
        <v>78628.0</v>
      </c>
      <c r="N955" s="2" t="s">
        <v>21</v>
      </c>
    </row>
    <row r="956" ht="15.75" customHeight="1">
      <c r="A956" s="2">
        <v>2013.0</v>
      </c>
      <c r="B956" s="2" t="s">
        <v>5204</v>
      </c>
      <c r="C956" s="2" t="s">
        <v>5204</v>
      </c>
      <c r="D956" s="2" t="str">
        <f>"(815) 337-7664"</f>
        <v>(815) 337-7664</v>
      </c>
      <c r="E956" s="2" t="s">
        <v>5194</v>
      </c>
      <c r="F956" s="2" t="s">
        <v>5205</v>
      </c>
      <c r="G956" s="2" t="str">
        <f>"SR-920"</f>
        <v>SR-920</v>
      </c>
      <c r="H956" s="2" t="s">
        <v>5206</v>
      </c>
      <c r="I956" s="2" t="s">
        <v>5207</v>
      </c>
      <c r="K956" s="2" t="s">
        <v>5208</v>
      </c>
      <c r="L956" s="2" t="s">
        <v>105</v>
      </c>
      <c r="M956" s="2">
        <v>60014.0</v>
      </c>
      <c r="N956" s="2" t="s">
        <v>21</v>
      </c>
    </row>
    <row r="957" ht="15.75" customHeight="1">
      <c r="A957" s="2">
        <v>2013.0</v>
      </c>
      <c r="B957" s="2" t="s">
        <v>5209</v>
      </c>
      <c r="D957" s="2" t="str">
        <f>"517-286-6304"</f>
        <v>517-286-6304</v>
      </c>
      <c r="E957" s="2" t="s">
        <v>955</v>
      </c>
      <c r="F957" s="2" t="s">
        <v>5210</v>
      </c>
      <c r="G957" s="2" t="str">
        <f>"SR-1490"</f>
        <v>SR-1490</v>
      </c>
      <c r="H957" s="2" t="s">
        <v>5211</v>
      </c>
      <c r="I957" s="2" t="s">
        <v>5212</v>
      </c>
      <c r="K957" s="2" t="s">
        <v>5213</v>
      </c>
      <c r="L957" s="2" t="s">
        <v>29</v>
      </c>
      <c r="M957" s="2">
        <v>49288.0</v>
      </c>
      <c r="N957" s="2" t="s">
        <v>21</v>
      </c>
    </row>
    <row r="958" ht="15.75" customHeight="1">
      <c r="A958" s="2">
        <v>2013.0</v>
      </c>
      <c r="B958" s="2" t="s">
        <v>5214</v>
      </c>
      <c r="D958" s="2" t="str">
        <f>"3167338340"</f>
        <v>3167338340</v>
      </c>
      <c r="E958" s="2" t="s">
        <v>1054</v>
      </c>
      <c r="F958" s="2" t="s">
        <v>1533</v>
      </c>
      <c r="G958" s="2" t="str">
        <f>"SR-1203"</f>
        <v>SR-1203</v>
      </c>
      <c r="H958" s="2" t="s">
        <v>5215</v>
      </c>
      <c r="I958" s="2" t="s">
        <v>5216</v>
      </c>
      <c r="K958" s="2" t="s">
        <v>606</v>
      </c>
      <c r="L958" s="2" t="s">
        <v>272</v>
      </c>
      <c r="M958" s="2">
        <v>67230.0</v>
      </c>
      <c r="N958" s="2" t="s">
        <v>21</v>
      </c>
    </row>
    <row r="959" ht="15.75" customHeight="1">
      <c r="A959" s="2">
        <v>2013.0</v>
      </c>
      <c r="B959" s="2" t="s">
        <v>5217</v>
      </c>
      <c r="C959" s="2" t="s">
        <v>5218</v>
      </c>
      <c r="D959" s="2" t="str">
        <f>"(269) 465-6853"</f>
        <v>(269) 465-6853</v>
      </c>
      <c r="E959" s="2" t="s">
        <v>428</v>
      </c>
      <c r="F959" s="2" t="s">
        <v>5219</v>
      </c>
      <c r="G959" s="2" t="str">
        <f>"SR-1207"</f>
        <v>SR-1207</v>
      </c>
      <c r="H959" s="2" t="s">
        <v>5220</v>
      </c>
      <c r="I959" s="2" t="s">
        <v>5221</v>
      </c>
      <c r="K959" s="2" t="s">
        <v>5222</v>
      </c>
      <c r="L959" s="2" t="s">
        <v>29</v>
      </c>
      <c r="M959" s="2">
        <v>49101.0</v>
      </c>
      <c r="N959" s="2" t="s">
        <v>21</v>
      </c>
    </row>
    <row r="960" ht="15.75" customHeight="1">
      <c r="A960" s="2">
        <v>2013.0</v>
      </c>
      <c r="B960" s="2" t="s">
        <v>5173</v>
      </c>
      <c r="C960" s="2" t="s">
        <v>5173</v>
      </c>
      <c r="D960" s="2" t="str">
        <f>"3038197646"</f>
        <v>3038197646</v>
      </c>
      <c r="E960" s="2" t="s">
        <v>5223</v>
      </c>
      <c r="F960" s="2" t="s">
        <v>5176</v>
      </c>
      <c r="G960" s="2" t="str">
        <f>"SR-1479"</f>
        <v>SR-1479</v>
      </c>
      <c r="H960" s="2" t="s">
        <v>5224</v>
      </c>
      <c r="I960" s="2" t="s">
        <v>5225</v>
      </c>
      <c r="K960" s="2" t="s">
        <v>5226</v>
      </c>
      <c r="L960" s="2" t="s">
        <v>157</v>
      </c>
      <c r="M960" s="2">
        <v>80302.0</v>
      </c>
      <c r="N960" s="2" t="s">
        <v>21</v>
      </c>
    </row>
    <row r="961" ht="15.75" customHeight="1">
      <c r="A961" s="2">
        <v>2013.0</v>
      </c>
      <c r="B961" s="2" t="s">
        <v>5227</v>
      </c>
      <c r="C961" s="2" t="s">
        <v>5228</v>
      </c>
      <c r="D961" s="2" t="str">
        <f>"(205) 907-8159"</f>
        <v>(205) 907-8159</v>
      </c>
      <c r="E961" s="2" t="s">
        <v>2965</v>
      </c>
      <c r="F961" s="2" t="s">
        <v>4532</v>
      </c>
      <c r="G961" s="2" t="str">
        <f>"SR-1492"</f>
        <v>SR-1492</v>
      </c>
      <c r="H961" s="2" t="s">
        <v>5229</v>
      </c>
      <c r="I961" s="2" t="s">
        <v>5230</v>
      </c>
      <c r="K961" s="2" t="s">
        <v>1173</v>
      </c>
      <c r="L961" s="2" t="s">
        <v>539</v>
      </c>
      <c r="M961" s="2">
        <v>35215.0</v>
      </c>
      <c r="N961" s="2" t="s">
        <v>21</v>
      </c>
    </row>
    <row r="962" ht="15.75" customHeight="1">
      <c r="A962" s="2">
        <v>2013.0</v>
      </c>
      <c r="B962" s="2" t="s">
        <v>5231</v>
      </c>
      <c r="C962" s="2" t="s">
        <v>5231</v>
      </c>
      <c r="D962" s="2" t="str">
        <f>"803 481 7915"</f>
        <v>803 481 7915</v>
      </c>
      <c r="E962" s="2" t="s">
        <v>5232</v>
      </c>
      <c r="F962" s="2" t="s">
        <v>5233</v>
      </c>
      <c r="G962" s="2" t="str">
        <f>"SR-1431"</f>
        <v>SR-1431</v>
      </c>
      <c r="H962" s="2" t="s">
        <v>5234</v>
      </c>
      <c r="I962" s="2" t="s">
        <v>5235</v>
      </c>
      <c r="K962" s="2" t="s">
        <v>5236</v>
      </c>
      <c r="L962" s="2" t="s">
        <v>55</v>
      </c>
      <c r="M962" s="2">
        <v>29150.0</v>
      </c>
      <c r="N962" s="2" t="s">
        <v>21</v>
      </c>
    </row>
    <row r="963" ht="15.75" customHeight="1">
      <c r="A963" s="2">
        <v>2013.0</v>
      </c>
      <c r="B963" s="2" t="s">
        <v>5237</v>
      </c>
      <c r="C963" s="2" t="s">
        <v>5237</v>
      </c>
      <c r="D963" s="2" t="str">
        <f>"4055890618"</f>
        <v>4055890618</v>
      </c>
      <c r="E963" s="2" t="s">
        <v>1015</v>
      </c>
      <c r="F963" s="2" t="s">
        <v>5238</v>
      </c>
      <c r="G963" s="2" t="str">
        <f>"SR-1438"</f>
        <v>SR-1438</v>
      </c>
      <c r="H963" s="2" t="s">
        <v>5239</v>
      </c>
      <c r="I963" s="2" t="s">
        <v>5240</v>
      </c>
      <c r="K963" s="2" t="s">
        <v>5241</v>
      </c>
      <c r="L963" s="2" t="s">
        <v>272</v>
      </c>
      <c r="M963" s="2">
        <v>67801.0</v>
      </c>
      <c r="N963" s="2" t="s">
        <v>21</v>
      </c>
    </row>
    <row r="964" ht="15.75" customHeight="1">
      <c r="A964" s="2">
        <v>2013.0</v>
      </c>
      <c r="B964" s="2" t="s">
        <v>5242</v>
      </c>
      <c r="C964" s="2" t="s">
        <v>5243</v>
      </c>
      <c r="D964" s="2" t="str">
        <f>"513-934-1983"</f>
        <v>513-934-1983</v>
      </c>
      <c r="E964" s="2" t="s">
        <v>3650</v>
      </c>
      <c r="F964" s="2" t="s">
        <v>5244</v>
      </c>
      <c r="G964" s="2" t="str">
        <f>"SR-1267"</f>
        <v>SR-1267</v>
      </c>
      <c r="H964" s="2" t="s">
        <v>5245</v>
      </c>
      <c r="I964" s="2" t="s">
        <v>5246</v>
      </c>
      <c r="K964" s="2" t="s">
        <v>3229</v>
      </c>
      <c r="L964" s="2" t="s">
        <v>344</v>
      </c>
      <c r="M964" s="2">
        <v>45036.0</v>
      </c>
      <c r="N964" s="2" t="s">
        <v>21</v>
      </c>
    </row>
    <row r="965" ht="15.75" customHeight="1">
      <c r="A965" s="2">
        <v>2013.0</v>
      </c>
      <c r="B965" s="2" t="s">
        <v>5247</v>
      </c>
      <c r="C965" s="2" t="s">
        <v>5247</v>
      </c>
      <c r="D965" s="2" t="str">
        <f>"630-621-5114"</f>
        <v>630-621-5114</v>
      </c>
      <c r="E965" s="2" t="s">
        <v>5248</v>
      </c>
      <c r="F965" s="2" t="s">
        <v>5249</v>
      </c>
      <c r="G965" s="2" t="str">
        <f>"SR-1494"</f>
        <v>SR-1494</v>
      </c>
      <c r="H965" s="2" t="s">
        <v>5250</v>
      </c>
      <c r="I965" s="2" t="s">
        <v>5251</v>
      </c>
      <c r="K965" s="2" t="s">
        <v>5252</v>
      </c>
      <c r="L965" s="2" t="s">
        <v>105</v>
      </c>
      <c r="M965" s="2">
        <v>60305.0</v>
      </c>
      <c r="N965" s="2" t="s">
        <v>21</v>
      </c>
    </row>
    <row r="966" ht="15.75" customHeight="1">
      <c r="A966" s="2">
        <v>2013.0</v>
      </c>
      <c r="B966" s="2" t="s">
        <v>5253</v>
      </c>
      <c r="C966" s="2" t="s">
        <v>5254</v>
      </c>
      <c r="D966" s="2" t="str">
        <f>"317-363-9473"</f>
        <v>317-363-9473</v>
      </c>
      <c r="E966" s="2" t="s">
        <v>167</v>
      </c>
      <c r="F966" s="2" t="s">
        <v>5255</v>
      </c>
      <c r="G966" s="2" t="str">
        <f>"SR-1483"</f>
        <v>SR-1483</v>
      </c>
      <c r="H966" s="2" t="s">
        <v>5256</v>
      </c>
      <c r="I966" s="2" t="s">
        <v>5257</v>
      </c>
      <c r="K966" s="2" t="s">
        <v>5258</v>
      </c>
      <c r="L966" s="2" t="s">
        <v>149</v>
      </c>
      <c r="M966" s="2">
        <v>46034.0</v>
      </c>
      <c r="N966" s="2" t="s">
        <v>21</v>
      </c>
    </row>
    <row r="967" ht="15.75" customHeight="1">
      <c r="A967" s="2">
        <v>2013.0</v>
      </c>
      <c r="B967" s="2" t="s">
        <v>5259</v>
      </c>
      <c r="C967" s="2" t="s">
        <v>5260</v>
      </c>
      <c r="D967" s="2" t="str">
        <f>"616 878 3393"</f>
        <v>616 878 3393</v>
      </c>
      <c r="E967" s="2" t="s">
        <v>288</v>
      </c>
      <c r="F967" s="2" t="s">
        <v>5261</v>
      </c>
      <c r="G967" s="2" t="str">
        <f>"SR-1496"</f>
        <v>SR-1496</v>
      </c>
      <c r="H967" s="2" t="s">
        <v>5262</v>
      </c>
      <c r="I967" s="2" t="s">
        <v>5263</v>
      </c>
      <c r="K967" s="2" t="s">
        <v>5264</v>
      </c>
      <c r="L967" s="2" t="s">
        <v>29</v>
      </c>
      <c r="M967" s="2">
        <v>49315.0</v>
      </c>
      <c r="N967" s="2" t="s">
        <v>21</v>
      </c>
    </row>
    <row r="968" ht="15.75" customHeight="1">
      <c r="A968" s="2">
        <v>2013.0</v>
      </c>
      <c r="B968" s="2" t="s">
        <v>5265</v>
      </c>
      <c r="C968" s="2" t="s">
        <v>5266</v>
      </c>
      <c r="D968" s="2" t="str">
        <f>"641-752-4276"</f>
        <v>641-752-4276</v>
      </c>
      <c r="E968" s="2" t="s">
        <v>339</v>
      </c>
      <c r="F968" s="2" t="s">
        <v>5267</v>
      </c>
      <c r="G968" s="2" t="str">
        <f>"SR-234"</f>
        <v>SR-234</v>
      </c>
      <c r="H968" s="2" t="s">
        <v>5268</v>
      </c>
      <c r="I968" s="2" t="s">
        <v>5269</v>
      </c>
      <c r="K968" s="2" t="s">
        <v>5270</v>
      </c>
      <c r="L968" s="2" t="s">
        <v>560</v>
      </c>
      <c r="M968" s="2">
        <v>50158.0</v>
      </c>
      <c r="N968" s="2" t="s">
        <v>21</v>
      </c>
    </row>
    <row r="969" ht="15.75" customHeight="1">
      <c r="A969" s="2">
        <v>2013.0</v>
      </c>
      <c r="B969" s="2" t="s">
        <v>5271</v>
      </c>
      <c r="C969" s="2" t="s">
        <v>5271</v>
      </c>
      <c r="D969" s="2" t="str">
        <f>"419-261-7728"</f>
        <v>419-261-7728</v>
      </c>
      <c r="E969" s="2" t="s">
        <v>2162</v>
      </c>
      <c r="F969" s="2" t="s">
        <v>5272</v>
      </c>
      <c r="G969" s="2" t="str">
        <f>"SR-1498"</f>
        <v>SR-1498</v>
      </c>
      <c r="H969" s="2" t="s">
        <v>5273</v>
      </c>
      <c r="I969" s="2" t="s">
        <v>5274</v>
      </c>
      <c r="K969" s="2" t="s">
        <v>5275</v>
      </c>
      <c r="L969" s="2" t="s">
        <v>344</v>
      </c>
      <c r="M969" s="2">
        <v>43558.0</v>
      </c>
      <c r="N969" s="2" t="s">
        <v>21</v>
      </c>
    </row>
    <row r="970" ht="15.75" customHeight="1">
      <c r="A970" s="2">
        <v>2013.0</v>
      </c>
      <c r="B970" s="2" t="s">
        <v>5253</v>
      </c>
      <c r="C970" s="2" t="s">
        <v>5276</v>
      </c>
      <c r="D970" s="2" t="str">
        <f>"317-363-9473"</f>
        <v>317-363-9473</v>
      </c>
      <c r="E970" s="2" t="s">
        <v>977</v>
      </c>
      <c r="F970" s="2" t="s">
        <v>5255</v>
      </c>
      <c r="G970" s="2" t="str">
        <f>"SR-1500"</f>
        <v>SR-1500</v>
      </c>
      <c r="H970" s="2" t="s">
        <v>5277</v>
      </c>
      <c r="I970" s="2" t="s">
        <v>5257</v>
      </c>
      <c r="K970" s="2" t="s">
        <v>5258</v>
      </c>
      <c r="L970" s="2" t="s">
        <v>149</v>
      </c>
      <c r="M970" s="2">
        <v>46034.0</v>
      </c>
      <c r="N970" s="2" t="s">
        <v>21</v>
      </c>
    </row>
    <row r="971" ht="15.75" customHeight="1">
      <c r="A971" s="2">
        <v>2013.0</v>
      </c>
      <c r="B971" s="2" t="s">
        <v>5278</v>
      </c>
      <c r="C971" s="2" t="s">
        <v>5279</v>
      </c>
      <c r="D971" s="2" t="str">
        <f>"3035255708"</f>
        <v>3035255708</v>
      </c>
      <c r="E971" s="2" t="s">
        <v>5280</v>
      </c>
      <c r="F971" s="2" t="s">
        <v>5281</v>
      </c>
      <c r="G971" s="2" t="str">
        <f>"SR-934"</f>
        <v>SR-934</v>
      </c>
      <c r="H971" s="2" t="s">
        <v>5282</v>
      </c>
      <c r="I971" s="2" t="s">
        <v>5283</v>
      </c>
      <c r="K971" s="2" t="s">
        <v>1520</v>
      </c>
      <c r="L971" s="2" t="s">
        <v>157</v>
      </c>
      <c r="M971" s="2">
        <v>80015.0</v>
      </c>
      <c r="N971" s="2" t="s">
        <v>21</v>
      </c>
    </row>
    <row r="972" ht="15.75" customHeight="1">
      <c r="A972" s="2">
        <v>2013.0</v>
      </c>
      <c r="B972" s="2" t="s">
        <v>5284</v>
      </c>
      <c r="C972" s="2" t="s">
        <v>5284</v>
      </c>
      <c r="D972" s="2" t="str">
        <f>"865-696-8224"</f>
        <v>865-696-8224</v>
      </c>
      <c r="E972" s="2" t="s">
        <v>5285</v>
      </c>
      <c r="F972" s="2" t="s">
        <v>283</v>
      </c>
      <c r="G972" s="2" t="str">
        <f>"SR-1427"</f>
        <v>SR-1427</v>
      </c>
      <c r="H972" s="2" t="s">
        <v>5286</v>
      </c>
      <c r="I972" s="2" t="s">
        <v>5287</v>
      </c>
      <c r="K972" s="2" t="s">
        <v>5288</v>
      </c>
      <c r="L972" s="2" t="s">
        <v>279</v>
      </c>
      <c r="M972" s="2">
        <v>37777.0</v>
      </c>
      <c r="N972" s="2" t="s">
        <v>21</v>
      </c>
    </row>
    <row r="973" ht="15.75" customHeight="1">
      <c r="A973" s="2">
        <v>2013.0</v>
      </c>
      <c r="B973" s="2" t="s">
        <v>5289</v>
      </c>
      <c r="C973" s="2" t="s">
        <v>5289</v>
      </c>
      <c r="D973" s="2" t="str">
        <f>"2516618044"</f>
        <v>2516618044</v>
      </c>
      <c r="E973" s="2" t="s">
        <v>1007</v>
      </c>
      <c r="F973" s="2" t="s">
        <v>5290</v>
      </c>
      <c r="G973" s="2" t="str">
        <f>"SR-1065"</f>
        <v>SR-1065</v>
      </c>
      <c r="H973" s="2" t="s">
        <v>5291</v>
      </c>
      <c r="I973" s="2" t="s">
        <v>5292</v>
      </c>
      <c r="K973" s="2" t="s">
        <v>5293</v>
      </c>
      <c r="L973" s="2" t="s">
        <v>539</v>
      </c>
      <c r="M973" s="2">
        <v>36619.0</v>
      </c>
      <c r="N973" s="2" t="s">
        <v>21</v>
      </c>
    </row>
    <row r="974" ht="15.75" customHeight="1">
      <c r="A974" s="2">
        <v>2013.0</v>
      </c>
      <c r="B974" s="2" t="s">
        <v>5294</v>
      </c>
      <c r="C974" s="2" t="s">
        <v>5295</v>
      </c>
      <c r="D974" s="2" t="str">
        <f>"205-437-8867"</f>
        <v>205-437-8867</v>
      </c>
      <c r="E974" s="2" t="s">
        <v>373</v>
      </c>
      <c r="F974" s="2" t="s">
        <v>5296</v>
      </c>
      <c r="G974" s="2" t="str">
        <f>"SR-1502"</f>
        <v>SR-1502</v>
      </c>
      <c r="H974" s="2" t="s">
        <v>5297</v>
      </c>
      <c r="I974" s="2" t="s">
        <v>5298</v>
      </c>
      <c r="K974" s="2" t="s">
        <v>1173</v>
      </c>
      <c r="L974" s="2" t="s">
        <v>539</v>
      </c>
      <c r="M974" s="2">
        <v>35242.0</v>
      </c>
      <c r="N974" s="2" t="s">
        <v>21</v>
      </c>
    </row>
    <row r="975" ht="15.75" customHeight="1">
      <c r="A975" s="2">
        <v>2013.0</v>
      </c>
      <c r="B975" s="2" t="s">
        <v>5299</v>
      </c>
      <c r="C975" s="2" t="s">
        <v>5299</v>
      </c>
      <c r="D975" s="2" t="str">
        <f>"651-285-0691"</f>
        <v>651-285-0691</v>
      </c>
      <c r="E975" s="2" t="s">
        <v>1702</v>
      </c>
      <c r="F975" s="2" t="s">
        <v>5300</v>
      </c>
      <c r="G975" s="2" t="str">
        <f>"SR-1503"</f>
        <v>SR-1503</v>
      </c>
      <c r="H975" s="2" t="s">
        <v>5301</v>
      </c>
      <c r="I975" s="2" t="s">
        <v>5302</v>
      </c>
      <c r="K975" s="2" t="s">
        <v>3747</v>
      </c>
      <c r="L975" s="2" t="s">
        <v>62</v>
      </c>
      <c r="M975" s="2">
        <v>55317.0</v>
      </c>
      <c r="N975" s="2" t="s">
        <v>21</v>
      </c>
    </row>
    <row r="976" ht="15.75" customHeight="1">
      <c r="A976" s="2">
        <v>2013.0</v>
      </c>
      <c r="B976" s="2" t="s">
        <v>5303</v>
      </c>
      <c r="C976" s="2" t="s">
        <v>5304</v>
      </c>
      <c r="D976" s="2" t="str">
        <f>"713-471-1491"</f>
        <v>713-471-1491</v>
      </c>
      <c r="E976" s="2" t="s">
        <v>385</v>
      </c>
      <c r="F976" s="2" t="s">
        <v>5305</v>
      </c>
      <c r="G976" s="2" t="str">
        <f>"SR-1481"</f>
        <v>SR-1481</v>
      </c>
      <c r="H976" s="2" t="s">
        <v>5306</v>
      </c>
      <c r="I976" s="2" t="s">
        <v>5307</v>
      </c>
      <c r="K976" s="2" t="s">
        <v>4350</v>
      </c>
      <c r="L976" s="2" t="s">
        <v>172</v>
      </c>
      <c r="M976" s="2">
        <v>77375.0</v>
      </c>
      <c r="N976" s="2" t="s">
        <v>21</v>
      </c>
    </row>
    <row r="977" ht="15.75" customHeight="1">
      <c r="A977" s="2">
        <v>2013.0</v>
      </c>
      <c r="B977" s="2" t="s">
        <v>5308</v>
      </c>
      <c r="C977" s="2" t="s">
        <v>5309</v>
      </c>
      <c r="D977" s="2" t="str">
        <f>"205-602-8073"</f>
        <v>205-602-8073</v>
      </c>
      <c r="E977" s="2" t="s">
        <v>282</v>
      </c>
      <c r="F977" s="2" t="s">
        <v>5310</v>
      </c>
      <c r="G977" s="2" t="str">
        <f>"SR-1506"</f>
        <v>SR-1506</v>
      </c>
      <c r="H977" s="2" t="s">
        <v>5311</v>
      </c>
      <c r="I977" s="2" t="s">
        <v>5312</v>
      </c>
      <c r="K977" s="2" t="s">
        <v>1173</v>
      </c>
      <c r="L977" s="2" t="s">
        <v>539</v>
      </c>
      <c r="M977" s="2">
        <v>35242.0</v>
      </c>
      <c r="N977" s="2" t="s">
        <v>21</v>
      </c>
    </row>
    <row r="978" ht="15.75" customHeight="1">
      <c r="A978" s="2">
        <v>2013.0</v>
      </c>
      <c r="B978" s="2" t="s">
        <v>5313</v>
      </c>
      <c r="C978" s="2" t="s">
        <v>5313</v>
      </c>
      <c r="D978" s="2" t="str">
        <f>"406-853-8165"</f>
        <v>406-853-8165</v>
      </c>
      <c r="E978" s="2" t="s">
        <v>5314</v>
      </c>
      <c r="F978" s="2" t="s">
        <v>5315</v>
      </c>
      <c r="G978" s="2" t="str">
        <f>"SR-1410"</f>
        <v>SR-1410</v>
      </c>
      <c r="H978" s="2" t="s">
        <v>5316</v>
      </c>
      <c r="I978" s="2" t="s">
        <v>5317</v>
      </c>
      <c r="K978" s="2" t="s">
        <v>5318</v>
      </c>
      <c r="L978" s="2" t="s">
        <v>2696</v>
      </c>
      <c r="M978" s="2">
        <v>59301.0</v>
      </c>
      <c r="N978" s="2" t="s">
        <v>21</v>
      </c>
    </row>
    <row r="979" ht="15.75" customHeight="1">
      <c r="A979" s="2">
        <v>2013.0</v>
      </c>
      <c r="B979" s="2" t="s">
        <v>5319</v>
      </c>
      <c r="C979" s="2" t="s">
        <v>5319</v>
      </c>
      <c r="D979" s="2" t="str">
        <f>"303-296-2401"</f>
        <v>303-296-2401</v>
      </c>
      <c r="E979" s="2" t="s">
        <v>5320</v>
      </c>
      <c r="F979" s="2" t="s">
        <v>5321</v>
      </c>
      <c r="G979" s="2" t="str">
        <f>"SR-1405"</f>
        <v>SR-1405</v>
      </c>
      <c r="H979" s="2" t="s">
        <v>5322</v>
      </c>
      <c r="I979" s="2" t="s">
        <v>5323</v>
      </c>
      <c r="K979" s="2" t="s">
        <v>2527</v>
      </c>
      <c r="L979" s="2" t="s">
        <v>157</v>
      </c>
      <c r="M979" s="2">
        <v>80205.0</v>
      </c>
      <c r="N979" s="2" t="s">
        <v>21</v>
      </c>
    </row>
    <row r="980" ht="15.75" customHeight="1">
      <c r="A980" s="2">
        <v>2013.0</v>
      </c>
      <c r="B980" s="2" t="s">
        <v>5324</v>
      </c>
      <c r="C980" s="2" t="s">
        <v>5325</v>
      </c>
      <c r="D980" s="2" t="str">
        <f>"907 347-6057"</f>
        <v>907 347-6057</v>
      </c>
      <c r="E980" s="2" t="s">
        <v>1015</v>
      </c>
      <c r="F980" s="2" t="s">
        <v>5326</v>
      </c>
      <c r="G980" s="2" t="str">
        <f>"SR-1510"</f>
        <v>SR-1510</v>
      </c>
      <c r="H980" s="2" t="s">
        <v>5327</v>
      </c>
      <c r="I980" s="2" t="s">
        <v>5328</v>
      </c>
      <c r="K980" s="2" t="s">
        <v>5329</v>
      </c>
      <c r="L980" s="2" t="s">
        <v>70</v>
      </c>
      <c r="M980" s="2">
        <v>99712.0</v>
      </c>
      <c r="N980" s="2" t="s">
        <v>21</v>
      </c>
    </row>
    <row r="981" ht="15.75" customHeight="1">
      <c r="A981" s="2">
        <v>2013.0</v>
      </c>
      <c r="B981" s="2" t="s">
        <v>5330</v>
      </c>
      <c r="C981" s="2" t="s">
        <v>5331</v>
      </c>
      <c r="D981" s="2" t="str">
        <f>"5133986538"</f>
        <v>5133986538</v>
      </c>
      <c r="E981" s="2" t="s">
        <v>5332</v>
      </c>
      <c r="F981" s="2" t="s">
        <v>448</v>
      </c>
      <c r="G981" s="2" t="str">
        <f>"SR-1488"</f>
        <v>SR-1488</v>
      </c>
      <c r="H981" s="2" t="s">
        <v>5333</v>
      </c>
      <c r="I981" s="2" t="s">
        <v>5334</v>
      </c>
      <c r="K981" s="2" t="s">
        <v>5335</v>
      </c>
      <c r="L981" s="2" t="s">
        <v>344</v>
      </c>
      <c r="M981" s="2">
        <v>45040.0</v>
      </c>
      <c r="N981" s="2" t="s">
        <v>21</v>
      </c>
    </row>
    <row r="982" ht="15.75" customHeight="1">
      <c r="A982" s="2">
        <v>2013.0</v>
      </c>
      <c r="B982" s="2" t="s">
        <v>5336</v>
      </c>
      <c r="C982" s="2" t="s">
        <v>5337</v>
      </c>
      <c r="D982" s="2" t="str">
        <f>"505-259-5748"</f>
        <v>505-259-5748</v>
      </c>
      <c r="E982" s="2" t="s">
        <v>471</v>
      </c>
      <c r="F982" s="2" t="s">
        <v>5338</v>
      </c>
      <c r="G982" s="2" t="str">
        <f>"SR-1518"</f>
        <v>SR-1518</v>
      </c>
      <c r="H982" s="2" t="s">
        <v>5339</v>
      </c>
      <c r="I982" s="2">
        <v>14.0</v>
      </c>
      <c r="J982" s="2" t="s">
        <v>5340</v>
      </c>
      <c r="K982" s="2" t="s">
        <v>5341</v>
      </c>
      <c r="L982" s="2" t="s">
        <v>789</v>
      </c>
      <c r="M982" s="2">
        <v>87047.0</v>
      </c>
      <c r="N982" s="2" t="s">
        <v>21</v>
      </c>
    </row>
    <row r="983" ht="15.75" customHeight="1">
      <c r="A983" s="2">
        <v>2013.0</v>
      </c>
      <c r="B983" s="2" t="s">
        <v>5342</v>
      </c>
      <c r="C983" s="2" t="s">
        <v>5342</v>
      </c>
      <c r="D983" s="2" t="str">
        <f>"(205) 362-9901"</f>
        <v>(205) 362-9901</v>
      </c>
      <c r="E983" s="2" t="s">
        <v>36</v>
      </c>
      <c r="F983" s="2" t="s">
        <v>1275</v>
      </c>
      <c r="G983" s="2" t="str">
        <f>"SR-1519"</f>
        <v>SR-1519</v>
      </c>
      <c r="H983" s="2" t="s">
        <v>5343</v>
      </c>
      <c r="I983" s="2" t="s">
        <v>5344</v>
      </c>
      <c r="K983" s="2" t="s">
        <v>5345</v>
      </c>
      <c r="L983" s="2" t="s">
        <v>539</v>
      </c>
      <c r="M983" s="2">
        <v>35957.0</v>
      </c>
      <c r="N983" s="2" t="s">
        <v>21</v>
      </c>
    </row>
    <row r="984" ht="15.75" customHeight="1">
      <c r="A984" s="2">
        <v>2013.0</v>
      </c>
      <c r="B984" s="2" t="s">
        <v>5346</v>
      </c>
      <c r="D984" s="2" t="str">
        <f>"6202597125"</f>
        <v>6202597125</v>
      </c>
      <c r="E984" s="2" t="s">
        <v>5347</v>
      </c>
      <c r="F984" s="2" t="s">
        <v>5348</v>
      </c>
      <c r="G984" s="2" t="str">
        <f>"SR-1198"</f>
        <v>SR-1198</v>
      </c>
      <c r="H984" s="2" t="s">
        <v>5349</v>
      </c>
      <c r="I984" s="2" t="s">
        <v>5350</v>
      </c>
      <c r="K984" s="2" t="s">
        <v>5351</v>
      </c>
      <c r="L984" s="2" t="s">
        <v>272</v>
      </c>
      <c r="M984" s="2">
        <v>67502.0</v>
      </c>
      <c r="N984" s="2" t="s">
        <v>21</v>
      </c>
    </row>
    <row r="985" ht="15.75" customHeight="1">
      <c r="A985" s="2">
        <v>2013.0</v>
      </c>
      <c r="B985" s="2" t="s">
        <v>5352</v>
      </c>
      <c r="D985" s="2" t="str">
        <f>"952-758-6805"</f>
        <v>952-758-6805</v>
      </c>
      <c r="E985" s="2" t="s">
        <v>93</v>
      </c>
      <c r="F985" s="2" t="s">
        <v>5353</v>
      </c>
      <c r="G985" s="2" t="str">
        <f>"SR-1100"</f>
        <v>SR-1100</v>
      </c>
      <c r="H985" s="2" t="s">
        <v>5354</v>
      </c>
      <c r="I985" s="2" t="s">
        <v>5355</v>
      </c>
      <c r="K985" s="2" t="s">
        <v>5356</v>
      </c>
      <c r="L985" s="2" t="s">
        <v>62</v>
      </c>
      <c r="M985" s="2">
        <v>56071.0</v>
      </c>
      <c r="N985" s="2" t="s">
        <v>21</v>
      </c>
    </row>
    <row r="986" ht="15.75" customHeight="1">
      <c r="A986" s="2">
        <v>2013.0</v>
      </c>
      <c r="B986" s="2" t="s">
        <v>5352</v>
      </c>
      <c r="C986" s="2" t="s">
        <v>5357</v>
      </c>
      <c r="D986" s="2" t="str">
        <f>"651-769-8743"</f>
        <v>651-769-8743</v>
      </c>
      <c r="E986" s="2" t="s">
        <v>5358</v>
      </c>
      <c r="F986" s="2" t="s">
        <v>5359</v>
      </c>
      <c r="G986" s="2" t="str">
        <f>"SR-1098"</f>
        <v>SR-1098</v>
      </c>
      <c r="H986" s="2" t="s">
        <v>5360</v>
      </c>
      <c r="I986" s="2" t="s">
        <v>5361</v>
      </c>
      <c r="K986" s="2" t="s">
        <v>5362</v>
      </c>
      <c r="L986" s="2" t="s">
        <v>62</v>
      </c>
      <c r="M986" s="2">
        <v>55025.0</v>
      </c>
      <c r="N986" s="2" t="s">
        <v>21</v>
      </c>
    </row>
    <row r="987" ht="15.75" customHeight="1">
      <c r="A987" s="2">
        <v>2013.0</v>
      </c>
      <c r="B987" s="2" t="s">
        <v>5363</v>
      </c>
      <c r="C987" s="2" t="s">
        <v>5364</v>
      </c>
      <c r="D987" s="2" t="str">
        <f>"858-775-0676"</f>
        <v>858-775-0676</v>
      </c>
      <c r="E987" s="2" t="s">
        <v>983</v>
      </c>
      <c r="F987" s="2" t="s">
        <v>5365</v>
      </c>
      <c r="G987" s="2" t="str">
        <f>"SR-938"</f>
        <v>SR-938</v>
      </c>
      <c r="H987" s="2" t="s">
        <v>5366</v>
      </c>
      <c r="I987" s="2" t="s">
        <v>5367</v>
      </c>
      <c r="K987" s="2" t="s">
        <v>5368</v>
      </c>
      <c r="L987" s="2" t="s">
        <v>222</v>
      </c>
      <c r="M987" s="2">
        <v>92040.0</v>
      </c>
      <c r="N987" s="2" t="s">
        <v>21</v>
      </c>
    </row>
    <row r="988" ht="15.75" customHeight="1">
      <c r="A988" s="2">
        <v>2013.0</v>
      </c>
      <c r="B988" s="2" t="s">
        <v>5369</v>
      </c>
      <c r="C988" s="2" t="s">
        <v>5369</v>
      </c>
      <c r="D988" s="2" t="str">
        <f>"817.914.1877"</f>
        <v>817.914.1877</v>
      </c>
      <c r="E988" s="2" t="s">
        <v>2930</v>
      </c>
      <c r="F988" s="2" t="s">
        <v>5370</v>
      </c>
      <c r="G988" s="2" t="str">
        <f>"SR-1407"</f>
        <v>SR-1407</v>
      </c>
      <c r="H988" s="2" t="s">
        <v>5371</v>
      </c>
      <c r="I988" s="2" t="s">
        <v>5372</v>
      </c>
      <c r="K988" s="2" t="s">
        <v>5373</v>
      </c>
      <c r="L988" s="2" t="s">
        <v>208</v>
      </c>
      <c r="M988" s="2">
        <v>32344.0</v>
      </c>
      <c r="N988" s="2" t="s">
        <v>21</v>
      </c>
    </row>
    <row r="989" ht="15.75" customHeight="1">
      <c r="A989" s="2">
        <v>2013.0</v>
      </c>
      <c r="B989" s="2" t="s">
        <v>5374</v>
      </c>
      <c r="D989" s="2" t="str">
        <f>"3038620773"</f>
        <v>3038620773</v>
      </c>
      <c r="E989" s="2" t="s">
        <v>1141</v>
      </c>
      <c r="F989" s="2" t="s">
        <v>4098</v>
      </c>
      <c r="G989" s="2" t="str">
        <f>"SR-1507"</f>
        <v>SR-1507</v>
      </c>
      <c r="H989" s="2" t="s">
        <v>5375</v>
      </c>
      <c r="I989" s="2" t="s">
        <v>5376</v>
      </c>
      <c r="K989" s="2" t="s">
        <v>4484</v>
      </c>
      <c r="L989" s="2" t="s">
        <v>157</v>
      </c>
      <c r="M989" s="2">
        <v>80542.0</v>
      </c>
      <c r="N989" s="2" t="s">
        <v>21</v>
      </c>
    </row>
    <row r="990" ht="15.75" customHeight="1">
      <c r="A990" s="2">
        <v>2013.0</v>
      </c>
      <c r="B990" s="2" t="s">
        <v>5377</v>
      </c>
      <c r="C990" s="2" t="s">
        <v>5377</v>
      </c>
      <c r="D990" s="2" t="str">
        <f>"606-923-5575"</f>
        <v>606-923-5575</v>
      </c>
      <c r="E990" s="2" t="s">
        <v>1946</v>
      </c>
      <c r="F990" s="2" t="s">
        <v>591</v>
      </c>
      <c r="G990" s="2" t="str">
        <f>"SR-1528"</f>
        <v>SR-1528</v>
      </c>
      <c r="H990" s="2" t="s">
        <v>5378</v>
      </c>
      <c r="I990" s="2" t="s">
        <v>5379</v>
      </c>
      <c r="K990" s="2" t="s">
        <v>5380</v>
      </c>
      <c r="L990" s="2" t="s">
        <v>1236</v>
      </c>
      <c r="M990" s="2">
        <v>41121.0</v>
      </c>
      <c r="N990" s="2" t="s">
        <v>21</v>
      </c>
    </row>
    <row r="991" ht="15.75" customHeight="1">
      <c r="A991" s="2">
        <v>2013.0</v>
      </c>
      <c r="B991" s="2" t="s">
        <v>5381</v>
      </c>
      <c r="C991" s="2" t="s">
        <v>5382</v>
      </c>
      <c r="D991" s="2" t="str">
        <f>"503-766-3268"</f>
        <v>503-766-3268</v>
      </c>
      <c r="E991" s="2" t="s">
        <v>385</v>
      </c>
      <c r="F991" s="2" t="s">
        <v>645</v>
      </c>
      <c r="G991" s="2" t="str">
        <f>"SR-1529"</f>
        <v>SR-1529</v>
      </c>
      <c r="H991" s="2" t="s">
        <v>5383</v>
      </c>
      <c r="I991" s="2" t="s">
        <v>5384</v>
      </c>
      <c r="K991" s="2" t="s">
        <v>788</v>
      </c>
      <c r="L991" s="2" t="s">
        <v>2389</v>
      </c>
      <c r="M991" s="2">
        <v>97123.0</v>
      </c>
      <c r="N991" s="2" t="s">
        <v>21</v>
      </c>
    </row>
    <row r="992" ht="15.75" customHeight="1">
      <c r="A992" s="2">
        <v>2013.0</v>
      </c>
      <c r="B992" s="2" t="s">
        <v>5385</v>
      </c>
      <c r="C992" s="2" t="s">
        <v>5385</v>
      </c>
      <c r="D992" s="2" t="str">
        <f>"606-465-8961"</f>
        <v>606-465-8961</v>
      </c>
      <c r="E992" s="2" t="s">
        <v>705</v>
      </c>
      <c r="F992" s="2" t="s">
        <v>591</v>
      </c>
      <c r="G992" s="2" t="str">
        <f>"SR-1530"</f>
        <v>SR-1530</v>
      </c>
      <c r="H992" s="2" t="s">
        <v>5386</v>
      </c>
      <c r="I992" s="2" t="s">
        <v>5379</v>
      </c>
      <c r="K992" s="2" t="s">
        <v>5380</v>
      </c>
      <c r="L992" s="2" t="s">
        <v>1236</v>
      </c>
      <c r="M992" s="2">
        <v>41121.0</v>
      </c>
      <c r="N992" s="2" t="s">
        <v>21</v>
      </c>
    </row>
    <row r="993" ht="15.75" customHeight="1">
      <c r="A993" s="2">
        <v>2013.0</v>
      </c>
      <c r="B993" s="2" t="s">
        <v>5387</v>
      </c>
      <c r="C993" s="2" t="s">
        <v>5388</v>
      </c>
      <c r="D993" s="2" t="str">
        <f>"615-794-9565"</f>
        <v>615-794-9565</v>
      </c>
      <c r="E993" s="2" t="s">
        <v>2361</v>
      </c>
      <c r="F993" s="2" t="s">
        <v>737</v>
      </c>
      <c r="G993" s="2" t="str">
        <f>"SR-1468"</f>
        <v>SR-1468</v>
      </c>
      <c r="H993" s="2" t="s">
        <v>5389</v>
      </c>
      <c r="I993" s="2" t="s">
        <v>5390</v>
      </c>
      <c r="K993" s="2" t="s">
        <v>278</v>
      </c>
      <c r="L993" s="2" t="s">
        <v>279</v>
      </c>
      <c r="M993" s="2">
        <v>37069.0</v>
      </c>
      <c r="N993" s="2" t="s">
        <v>21</v>
      </c>
    </row>
    <row r="994" ht="15.75" customHeight="1">
      <c r="A994" s="2">
        <v>2013.0</v>
      </c>
      <c r="B994" s="2" t="s">
        <v>5391</v>
      </c>
      <c r="C994" s="2" t="s">
        <v>5391</v>
      </c>
      <c r="D994" s="2" t="str">
        <f>"9797770729"</f>
        <v>9797770729</v>
      </c>
      <c r="E994" s="2" t="s">
        <v>50</v>
      </c>
      <c r="F994" s="2" t="s">
        <v>2598</v>
      </c>
      <c r="G994" s="2" t="str">
        <f>"SR-1371"</f>
        <v>SR-1371</v>
      </c>
      <c r="H994" s="2" t="s">
        <v>5392</v>
      </c>
      <c r="I994" s="2" t="s">
        <v>5393</v>
      </c>
      <c r="K994" s="2" t="s">
        <v>2969</v>
      </c>
      <c r="L994" s="2" t="s">
        <v>172</v>
      </c>
      <c r="M994" s="2">
        <v>77845.0</v>
      </c>
      <c r="N994" s="2" t="s">
        <v>21</v>
      </c>
    </row>
    <row r="995" ht="15.75" customHeight="1">
      <c r="A995" s="2">
        <v>2013.0</v>
      </c>
      <c r="B995" s="2" t="s">
        <v>5394</v>
      </c>
      <c r="C995" s="2" t="s">
        <v>5395</v>
      </c>
      <c r="D995" s="2" t="str">
        <f>"8146238313"</f>
        <v>8146238313</v>
      </c>
      <c r="E995" s="2" t="s">
        <v>2930</v>
      </c>
      <c r="F995" s="2" t="s">
        <v>5396</v>
      </c>
      <c r="G995" s="2" t="str">
        <f>"SR-1531"</f>
        <v>SR-1531</v>
      </c>
      <c r="H995" s="2" t="s">
        <v>5397</v>
      </c>
      <c r="I995" s="2" t="s">
        <v>5398</v>
      </c>
      <c r="K995" s="2" t="s">
        <v>5399</v>
      </c>
      <c r="L995" s="2" t="s">
        <v>179</v>
      </c>
      <c r="M995" s="2">
        <v>15522.0</v>
      </c>
      <c r="N995" s="2" t="s">
        <v>21</v>
      </c>
    </row>
    <row r="996" ht="15.75" customHeight="1">
      <c r="A996" s="2">
        <v>2013.0</v>
      </c>
      <c r="B996" s="2" t="s">
        <v>5400</v>
      </c>
      <c r="C996" s="2" t="s">
        <v>5400</v>
      </c>
      <c r="D996" s="2" t="str">
        <f>"9364945490"</f>
        <v>9364945490</v>
      </c>
      <c r="E996" s="2" t="s">
        <v>659</v>
      </c>
      <c r="F996" s="2" t="s">
        <v>5401</v>
      </c>
      <c r="G996" s="2" t="str">
        <f>"SR-1522"</f>
        <v>SR-1522</v>
      </c>
      <c r="H996" s="2" t="s">
        <v>5402</v>
      </c>
      <c r="I996" s="2" t="s">
        <v>5403</v>
      </c>
      <c r="K996" s="2" t="s">
        <v>5404</v>
      </c>
      <c r="L996" s="2" t="s">
        <v>172</v>
      </c>
      <c r="M996" s="2">
        <v>77355.0</v>
      </c>
      <c r="N996" s="2" t="s">
        <v>21</v>
      </c>
    </row>
    <row r="997" ht="15.75" customHeight="1">
      <c r="A997" s="2">
        <v>2013.0</v>
      </c>
      <c r="B997" s="2" t="s">
        <v>5377</v>
      </c>
      <c r="C997" s="2" t="s">
        <v>5405</v>
      </c>
      <c r="D997" s="2" t="str">
        <f>"606-473-5960"</f>
        <v>606-473-5960</v>
      </c>
      <c r="E997" s="2" t="s">
        <v>1015</v>
      </c>
      <c r="F997" s="2" t="s">
        <v>591</v>
      </c>
      <c r="G997" s="2" t="str">
        <f>"SR-1534"</f>
        <v>SR-1534</v>
      </c>
      <c r="H997" s="2" t="s">
        <v>5406</v>
      </c>
      <c r="I997" s="2" t="s">
        <v>5379</v>
      </c>
      <c r="K997" s="2" t="s">
        <v>5380</v>
      </c>
      <c r="L997" s="2" t="s">
        <v>1236</v>
      </c>
      <c r="M997" s="2">
        <v>41121.0</v>
      </c>
      <c r="N997" s="2" t="s">
        <v>21</v>
      </c>
    </row>
    <row r="998" ht="15.75" customHeight="1">
      <c r="A998" s="2">
        <v>2013.0</v>
      </c>
      <c r="B998" s="2" t="s">
        <v>5407</v>
      </c>
      <c r="C998" s="2" t="s">
        <v>5408</v>
      </c>
      <c r="D998" s="2" t="str">
        <f>"(660)473-2503"</f>
        <v>(660)473-2503</v>
      </c>
      <c r="E998" s="2" t="s">
        <v>5248</v>
      </c>
      <c r="F998" s="2" t="s">
        <v>5409</v>
      </c>
      <c r="G998" s="2" t="str">
        <f>"SR-1395"</f>
        <v>SR-1395</v>
      </c>
      <c r="H998" s="2" t="s">
        <v>5410</v>
      </c>
      <c r="I998" s="2" t="s">
        <v>5411</v>
      </c>
      <c r="K998" s="2" t="s">
        <v>5412</v>
      </c>
      <c r="L998" s="2" t="s">
        <v>214</v>
      </c>
      <c r="M998" s="2">
        <v>65301.0</v>
      </c>
      <c r="N998" s="2" t="s">
        <v>21</v>
      </c>
    </row>
    <row r="999" ht="15.75" customHeight="1">
      <c r="A999" s="2">
        <v>2013.0</v>
      </c>
      <c r="B999" s="2" t="s">
        <v>5413</v>
      </c>
      <c r="C999" s="2" t="s">
        <v>5413</v>
      </c>
      <c r="D999" s="2" t="str">
        <f>"918-486-5851"</f>
        <v>918-486-5851</v>
      </c>
      <c r="E999" s="2" t="s">
        <v>1190</v>
      </c>
      <c r="F999" s="2" t="s">
        <v>5414</v>
      </c>
      <c r="G999" s="2" t="str">
        <f>"SR-1521"</f>
        <v>SR-1521</v>
      </c>
      <c r="H999" s="2" t="s">
        <v>5415</v>
      </c>
      <c r="I999" s="2" t="s">
        <v>5416</v>
      </c>
      <c r="K999" s="2" t="s">
        <v>5417</v>
      </c>
      <c r="L999" s="2" t="s">
        <v>840</v>
      </c>
      <c r="M999" s="2">
        <v>74429.0</v>
      </c>
      <c r="N999" s="2" t="s">
        <v>21</v>
      </c>
    </row>
    <row r="1000" ht="15.75" customHeight="1">
      <c r="A1000" s="2">
        <v>2013.0</v>
      </c>
      <c r="B1000" s="2" t="s">
        <v>5418</v>
      </c>
      <c r="C1000" s="2" t="s">
        <v>5419</v>
      </c>
      <c r="D1000" s="2" t="str">
        <f>"6154414734"</f>
        <v>6154414734</v>
      </c>
      <c r="E1000" s="2" t="s">
        <v>5420</v>
      </c>
      <c r="F1000" s="2" t="s">
        <v>1859</v>
      </c>
      <c r="G1000" s="2" t="str">
        <f>"SR-1373"</f>
        <v>SR-1373</v>
      </c>
      <c r="H1000" s="2" t="s">
        <v>5421</v>
      </c>
      <c r="I1000" s="2" t="s">
        <v>5422</v>
      </c>
      <c r="K1000" s="2" t="s">
        <v>3286</v>
      </c>
      <c r="L1000" s="2" t="s">
        <v>279</v>
      </c>
      <c r="M1000" s="2">
        <v>37055.0</v>
      </c>
      <c r="N1000" s="2" t="s">
        <v>21</v>
      </c>
    </row>
    <row r="1001" ht="15.75" customHeight="1">
      <c r="A1001" s="2">
        <v>2013.0</v>
      </c>
      <c r="B1001" s="2" t="s">
        <v>5423</v>
      </c>
      <c r="C1001" s="2" t="s">
        <v>5423</v>
      </c>
      <c r="D1001" s="2" t="str">
        <f>"623-670-3458"</f>
        <v>623-670-3458</v>
      </c>
      <c r="E1001" s="2" t="s">
        <v>1015</v>
      </c>
      <c r="F1001" s="2" t="s">
        <v>5424</v>
      </c>
      <c r="G1001" s="2" t="str">
        <f>"SR-1532"</f>
        <v>SR-1532</v>
      </c>
      <c r="H1001" s="2" t="s">
        <v>5425</v>
      </c>
      <c r="I1001" s="2" t="s">
        <v>5426</v>
      </c>
      <c r="K1001" s="2" t="s">
        <v>104</v>
      </c>
      <c r="L1001" s="2" t="s">
        <v>422</v>
      </c>
      <c r="M1001" s="2">
        <v>85383.0</v>
      </c>
      <c r="N1001" s="2" t="s">
        <v>21</v>
      </c>
    </row>
    <row r="1002" ht="15.75" customHeight="1">
      <c r="A1002" s="2">
        <v>2013.0</v>
      </c>
      <c r="B1002" s="2" t="s">
        <v>5427</v>
      </c>
      <c r="C1002" s="2" t="s">
        <v>5427</v>
      </c>
      <c r="D1002" s="2" t="str">
        <f>"801-866-7993"</f>
        <v>801-866-7993</v>
      </c>
      <c r="E1002" s="2" t="s">
        <v>5428</v>
      </c>
      <c r="F1002" s="2" t="s">
        <v>5429</v>
      </c>
      <c r="G1002" s="2" t="str">
        <f>"SR-1349"</f>
        <v>SR-1349</v>
      </c>
      <c r="H1002" s="2" t="s">
        <v>5430</v>
      </c>
      <c r="I1002" s="2" t="s">
        <v>5431</v>
      </c>
      <c r="K1002" s="2" t="s">
        <v>5432</v>
      </c>
      <c r="L1002" s="2" t="s">
        <v>763</v>
      </c>
      <c r="M1002" s="2">
        <v>84403.0</v>
      </c>
      <c r="N1002" s="2" t="s">
        <v>21</v>
      </c>
    </row>
    <row r="1003" ht="15.75" customHeight="1">
      <c r="A1003" s="2">
        <v>2013.0</v>
      </c>
      <c r="B1003" s="2" t="s">
        <v>5433</v>
      </c>
      <c r="C1003" s="2" t="s">
        <v>5433</v>
      </c>
      <c r="D1003" s="2" t="str">
        <f>"(901) 304-8418"</f>
        <v>(901) 304-8418</v>
      </c>
      <c r="E1003" s="2" t="s">
        <v>4300</v>
      </c>
      <c r="F1003" s="2" t="s">
        <v>5434</v>
      </c>
      <c r="G1003" s="2" t="str">
        <f>"SR-1334"</f>
        <v>SR-1334</v>
      </c>
      <c r="H1003" s="2" t="s">
        <v>5435</v>
      </c>
      <c r="I1003" s="2" t="s">
        <v>5436</v>
      </c>
      <c r="K1003" s="2" t="s">
        <v>5437</v>
      </c>
      <c r="L1003" s="2" t="s">
        <v>279</v>
      </c>
      <c r="M1003" s="2">
        <v>83135.0</v>
      </c>
      <c r="N1003" s="2" t="s">
        <v>21</v>
      </c>
    </row>
    <row r="1004" ht="15.75" customHeight="1">
      <c r="A1004" s="2">
        <v>2013.0</v>
      </c>
      <c r="B1004" s="2" t="s">
        <v>5438</v>
      </c>
      <c r="D1004" s="2" t="str">
        <f>""</f>
        <v/>
      </c>
      <c r="E1004" s="2" t="s">
        <v>1548</v>
      </c>
      <c r="F1004" s="2" t="s">
        <v>5439</v>
      </c>
      <c r="G1004" s="2" t="str">
        <f>"SR-1539"</f>
        <v>SR-1539</v>
      </c>
      <c r="H1004" s="2" t="s">
        <v>5440</v>
      </c>
      <c r="I1004" s="2" t="s">
        <v>5441</v>
      </c>
      <c r="K1004" s="2" t="s">
        <v>3182</v>
      </c>
      <c r="L1004" s="2" t="s">
        <v>208</v>
      </c>
      <c r="M1004" s="2">
        <v>34786.0</v>
      </c>
      <c r="N1004" s="2" t="s">
        <v>21</v>
      </c>
    </row>
    <row r="1005" ht="15.75" customHeight="1">
      <c r="A1005" s="2">
        <v>2013.0</v>
      </c>
      <c r="B1005" s="2" t="s">
        <v>5442</v>
      </c>
      <c r="C1005" s="2" t="s">
        <v>5442</v>
      </c>
      <c r="D1005" s="2" t="str">
        <f>"905-852-4523"</f>
        <v>905-852-4523</v>
      </c>
      <c r="E1005" s="2" t="s">
        <v>453</v>
      </c>
      <c r="F1005" s="2" t="s">
        <v>5443</v>
      </c>
      <c r="G1005" s="2" t="str">
        <f>"SR-1540"</f>
        <v>SR-1540</v>
      </c>
      <c r="H1005" s="2" t="s">
        <v>5444</v>
      </c>
      <c r="I1005" s="2" t="s">
        <v>5445</v>
      </c>
      <c r="K1005" s="2" t="s">
        <v>5446</v>
      </c>
      <c r="L1005" s="2" t="s">
        <v>2015</v>
      </c>
      <c r="M1005" s="2" t="s">
        <v>5447</v>
      </c>
      <c r="N1005" s="2" t="s">
        <v>1602</v>
      </c>
    </row>
    <row r="1006" ht="15.75" customHeight="1">
      <c r="A1006" s="2">
        <v>2013.0</v>
      </c>
      <c r="B1006" s="2" t="s">
        <v>5448</v>
      </c>
      <c r="C1006" s="2" t="s">
        <v>5449</v>
      </c>
      <c r="D1006" s="2" t="str">
        <f>"9047103575"</f>
        <v>9047103575</v>
      </c>
      <c r="E1006" s="2" t="s">
        <v>57</v>
      </c>
      <c r="F1006" s="2" t="s">
        <v>5450</v>
      </c>
      <c r="G1006" s="2" t="str">
        <f>"SR-1542"</f>
        <v>SR-1542</v>
      </c>
      <c r="H1006" s="2" t="s">
        <v>5451</v>
      </c>
      <c r="I1006" s="2" t="s">
        <v>5452</v>
      </c>
      <c r="K1006" s="2" t="s">
        <v>5453</v>
      </c>
      <c r="L1006" s="2" t="s">
        <v>208</v>
      </c>
      <c r="M1006" s="2">
        <v>32081.0</v>
      </c>
      <c r="N1006" s="2" t="s">
        <v>21</v>
      </c>
    </row>
    <row r="1007" ht="15.75" customHeight="1">
      <c r="A1007" s="2">
        <v>2013.0</v>
      </c>
      <c r="B1007" s="2" t="s">
        <v>5454</v>
      </c>
      <c r="C1007" s="2" t="s">
        <v>5455</v>
      </c>
      <c r="D1007" s="2" t="str">
        <f>"301-223-1237"</f>
        <v>301-223-1237</v>
      </c>
      <c r="E1007" s="2" t="s">
        <v>5456</v>
      </c>
      <c r="F1007" s="2" t="s">
        <v>5457</v>
      </c>
      <c r="G1007" s="2" t="str">
        <f>"SR-1504"</f>
        <v>SR-1504</v>
      </c>
      <c r="H1007" s="2" t="s">
        <v>5458</v>
      </c>
      <c r="I1007" s="2" t="s">
        <v>5459</v>
      </c>
      <c r="K1007" s="2" t="s">
        <v>5460</v>
      </c>
      <c r="L1007" s="2" t="s">
        <v>1868</v>
      </c>
      <c r="M1007" s="2">
        <v>21795.0</v>
      </c>
      <c r="N1007" s="2" t="s">
        <v>21</v>
      </c>
    </row>
    <row r="1008" ht="15.75" customHeight="1">
      <c r="A1008" s="2">
        <v>2013.0</v>
      </c>
      <c r="B1008" s="2" t="s">
        <v>5461</v>
      </c>
      <c r="C1008" s="2" t="s">
        <v>5462</v>
      </c>
      <c r="D1008" s="2" t="str">
        <f>"9722381081"</f>
        <v>9722381081</v>
      </c>
      <c r="E1008" s="2" t="s">
        <v>5463</v>
      </c>
      <c r="F1008" s="2" t="s">
        <v>1864</v>
      </c>
      <c r="G1008" s="2" t="str">
        <f>"SR-1369"</f>
        <v>SR-1369</v>
      </c>
      <c r="H1008" s="2" t="s">
        <v>5464</v>
      </c>
      <c r="I1008" s="2" t="s">
        <v>5465</v>
      </c>
      <c r="K1008" s="2" t="s">
        <v>3576</v>
      </c>
      <c r="L1008" s="2" t="s">
        <v>172</v>
      </c>
      <c r="M1008" s="2">
        <v>75082.0</v>
      </c>
      <c r="N1008" s="2" t="s">
        <v>21</v>
      </c>
    </row>
    <row r="1009" ht="15.75" customHeight="1">
      <c r="A1009" s="2">
        <v>2013.0</v>
      </c>
      <c r="B1009" s="2" t="s">
        <v>5466</v>
      </c>
      <c r="C1009" s="2" t="s">
        <v>5466</v>
      </c>
      <c r="D1009" s="2" t="str">
        <f>"7193877017"</f>
        <v>7193877017</v>
      </c>
      <c r="E1009" s="2" t="s">
        <v>5467</v>
      </c>
      <c r="F1009" s="2" t="s">
        <v>5468</v>
      </c>
      <c r="G1009" s="2" t="str">
        <f>"SR-1541"</f>
        <v>SR-1541</v>
      </c>
      <c r="H1009" s="2" t="s">
        <v>5469</v>
      </c>
      <c r="I1009" s="2" t="s">
        <v>5470</v>
      </c>
      <c r="K1009" s="2" t="s">
        <v>507</v>
      </c>
      <c r="L1009" s="2" t="s">
        <v>157</v>
      </c>
      <c r="M1009" s="2">
        <v>80132.0</v>
      </c>
      <c r="N1009" s="2" t="s">
        <v>21</v>
      </c>
    </row>
    <row r="1010" ht="15.75" customHeight="1">
      <c r="A1010" s="2">
        <v>2013.0</v>
      </c>
      <c r="B1010" s="2" t="s">
        <v>5471</v>
      </c>
      <c r="C1010" s="2" t="s">
        <v>5471</v>
      </c>
      <c r="D1010" s="2" t="str">
        <f>"5854762486"</f>
        <v>5854762486</v>
      </c>
      <c r="E1010" s="2" t="s">
        <v>1529</v>
      </c>
      <c r="F1010" s="2" t="s">
        <v>5472</v>
      </c>
      <c r="G1010" s="2" t="str">
        <f>"SR-1547"</f>
        <v>SR-1547</v>
      </c>
      <c r="H1010" s="2" t="s">
        <v>5473</v>
      </c>
      <c r="I1010" s="2" t="s">
        <v>5474</v>
      </c>
      <c r="J1010" s="2" t="s">
        <v>5475</v>
      </c>
      <c r="K1010" s="2" t="s">
        <v>5476</v>
      </c>
      <c r="L1010" s="2" t="s">
        <v>142</v>
      </c>
      <c r="M1010" s="2">
        <v>14846.0</v>
      </c>
      <c r="N1010" s="2" t="s">
        <v>21</v>
      </c>
    </row>
    <row r="1011" ht="15.75" customHeight="1">
      <c r="A1011" s="2">
        <v>2013.0</v>
      </c>
      <c r="B1011" s="2" t="s">
        <v>5387</v>
      </c>
      <c r="C1011" s="2" t="s">
        <v>5477</v>
      </c>
      <c r="D1011" s="2" t="str">
        <f>"615-794-9565"</f>
        <v>615-794-9565</v>
      </c>
      <c r="E1011" s="2" t="s">
        <v>50</v>
      </c>
      <c r="F1011" s="2" t="s">
        <v>737</v>
      </c>
      <c r="G1011" s="2" t="str">
        <f>"SR-1462"</f>
        <v>SR-1462</v>
      </c>
      <c r="H1011" s="2" t="s">
        <v>1913</v>
      </c>
      <c r="I1011" s="2" t="s">
        <v>5390</v>
      </c>
      <c r="K1011" s="2" t="s">
        <v>278</v>
      </c>
      <c r="L1011" s="2" t="s">
        <v>279</v>
      </c>
      <c r="M1011" s="2">
        <v>37069.0</v>
      </c>
      <c r="N1011" s="2" t="s">
        <v>21</v>
      </c>
    </row>
    <row r="1012" ht="15.75" customHeight="1">
      <c r="A1012" s="2">
        <v>2013.0</v>
      </c>
      <c r="B1012" s="2" t="s">
        <v>5478</v>
      </c>
      <c r="C1012" s="2" t="s">
        <v>5478</v>
      </c>
      <c r="D1012" s="2" t="str">
        <f>"6207280255"</f>
        <v>6207280255</v>
      </c>
      <c r="E1012" s="2" t="s">
        <v>922</v>
      </c>
      <c r="F1012" s="2" t="s">
        <v>5479</v>
      </c>
      <c r="G1012" s="2" t="str">
        <f>"SR-1543"</f>
        <v>SR-1543</v>
      </c>
      <c r="H1012" s="2" t="s">
        <v>5480</v>
      </c>
      <c r="I1012" s="2" t="s">
        <v>5481</v>
      </c>
      <c r="K1012" s="2" t="s">
        <v>5351</v>
      </c>
      <c r="L1012" s="2" t="s">
        <v>272</v>
      </c>
      <c r="M1012" s="2">
        <v>67502.0</v>
      </c>
      <c r="N1012" s="2" t="s">
        <v>21</v>
      </c>
    </row>
    <row r="1013" ht="15.75" customHeight="1">
      <c r="A1013" s="2">
        <v>2013.0</v>
      </c>
      <c r="B1013" s="2" t="s">
        <v>5482</v>
      </c>
      <c r="C1013" s="2" t="s">
        <v>5482</v>
      </c>
      <c r="D1013" s="2" t="str">
        <f>"320-384-6955"</f>
        <v>320-384-6955</v>
      </c>
      <c r="E1013" s="2" t="s">
        <v>5483</v>
      </c>
      <c r="F1013" s="2" t="s">
        <v>701</v>
      </c>
      <c r="G1013" s="2" t="str">
        <f>"SR-1550"</f>
        <v>SR-1550</v>
      </c>
      <c r="H1013" s="2" t="s">
        <v>5484</v>
      </c>
      <c r="I1013" s="2" t="s">
        <v>5485</v>
      </c>
      <c r="K1013" s="2" t="s">
        <v>5486</v>
      </c>
      <c r="L1013" s="2" t="s">
        <v>62</v>
      </c>
      <c r="M1013" s="2">
        <v>55037.0</v>
      </c>
      <c r="N1013" s="2" t="s">
        <v>21</v>
      </c>
    </row>
    <row r="1014" ht="15.75" customHeight="1">
      <c r="A1014" s="2">
        <v>2013.0</v>
      </c>
      <c r="B1014" s="2" t="s">
        <v>5487</v>
      </c>
      <c r="C1014" s="2" t="s">
        <v>5488</v>
      </c>
      <c r="D1014" s="2" t="str">
        <f>"4233436161"</f>
        <v>4233436161</v>
      </c>
      <c r="E1014" s="2" t="s">
        <v>5489</v>
      </c>
      <c r="F1014" s="2" t="s">
        <v>5490</v>
      </c>
      <c r="G1014" s="2" t="str">
        <f>"SR-1546"</f>
        <v>SR-1546</v>
      </c>
      <c r="H1014" s="2" t="s">
        <v>5491</v>
      </c>
      <c r="I1014" s="2" t="s">
        <v>5492</v>
      </c>
      <c r="K1014" s="2" t="s">
        <v>5493</v>
      </c>
      <c r="L1014" s="2" t="s">
        <v>279</v>
      </c>
      <c r="M1014" s="2">
        <v>37620.0</v>
      </c>
      <c r="N1014" s="2" t="s">
        <v>21</v>
      </c>
    </row>
    <row r="1015" ht="15.75" customHeight="1">
      <c r="A1015" s="2">
        <v>2013.0</v>
      </c>
      <c r="B1015" s="2" t="s">
        <v>5494</v>
      </c>
      <c r="D1015" s="2" t="str">
        <f>"3179319101"</f>
        <v>3179319101</v>
      </c>
      <c r="E1015" s="2" t="s">
        <v>339</v>
      </c>
      <c r="F1015" s="2" t="s">
        <v>4776</v>
      </c>
      <c r="G1015" s="2" t="str">
        <f>"SR-1501"</f>
        <v>SR-1501</v>
      </c>
      <c r="H1015" s="2" t="s">
        <v>5495</v>
      </c>
      <c r="I1015" s="2" t="s">
        <v>5496</v>
      </c>
      <c r="K1015" s="2" t="s">
        <v>2674</v>
      </c>
      <c r="L1015" s="2" t="s">
        <v>149</v>
      </c>
      <c r="M1015" s="2">
        <v>46142.0</v>
      </c>
      <c r="N1015" s="2" t="s">
        <v>21</v>
      </c>
    </row>
    <row r="1016" ht="15.75" customHeight="1">
      <c r="A1016" s="2">
        <v>2013.0</v>
      </c>
      <c r="B1016" s="2" t="s">
        <v>5497</v>
      </c>
      <c r="C1016" s="2" t="s">
        <v>5498</v>
      </c>
      <c r="D1016" s="2" t="str">
        <f>"731-234-2444"</f>
        <v>731-234-2444</v>
      </c>
      <c r="E1016" s="2" t="s">
        <v>5499</v>
      </c>
      <c r="F1016" s="2" t="s">
        <v>5500</v>
      </c>
      <c r="G1016" s="2" t="str">
        <f>"SR-1549"</f>
        <v>SR-1549</v>
      </c>
      <c r="H1016" s="2" t="s">
        <v>5501</v>
      </c>
      <c r="I1016" s="2" t="s">
        <v>5502</v>
      </c>
      <c r="K1016" s="2" t="s">
        <v>1257</v>
      </c>
      <c r="L1016" s="2" t="s">
        <v>279</v>
      </c>
      <c r="M1016" s="2">
        <v>38305.0</v>
      </c>
      <c r="N1016" s="2" t="s">
        <v>21</v>
      </c>
    </row>
    <row r="1017" ht="15.75" customHeight="1">
      <c r="A1017" s="2">
        <v>2013.0</v>
      </c>
      <c r="B1017" s="2" t="s">
        <v>5503</v>
      </c>
      <c r="C1017" s="2" t="s">
        <v>5504</v>
      </c>
      <c r="D1017" s="2" t="str">
        <f>"303-841-6799"</f>
        <v>303-841-6799</v>
      </c>
      <c r="E1017" s="2" t="s">
        <v>5505</v>
      </c>
      <c r="F1017" s="2" t="s">
        <v>5506</v>
      </c>
      <c r="G1017" s="2" t="str">
        <f>"SR-1545"</f>
        <v>SR-1545</v>
      </c>
      <c r="H1017" s="2" t="s">
        <v>5507</v>
      </c>
      <c r="I1017" s="2" t="s">
        <v>5508</v>
      </c>
      <c r="K1017" s="2" t="s">
        <v>1054</v>
      </c>
      <c r="L1017" s="2" t="s">
        <v>157</v>
      </c>
      <c r="M1017" s="2">
        <v>80134.0</v>
      </c>
      <c r="N1017" s="2" t="s">
        <v>21</v>
      </c>
    </row>
    <row r="1018" ht="15.75" customHeight="1">
      <c r="A1018" s="2">
        <v>2013.0</v>
      </c>
      <c r="B1018" s="2" t="s">
        <v>5509</v>
      </c>
      <c r="C1018" s="2" t="s">
        <v>5510</v>
      </c>
      <c r="D1018" s="2" t="str">
        <f>"205-639-6136"</f>
        <v>205-639-6136</v>
      </c>
      <c r="E1018" s="2" t="s">
        <v>261</v>
      </c>
      <c r="F1018" s="2" t="s">
        <v>3978</v>
      </c>
      <c r="G1018" s="2" t="str">
        <f>"SR-1555"</f>
        <v>SR-1555</v>
      </c>
      <c r="H1018" s="2" t="s">
        <v>5511</v>
      </c>
      <c r="I1018" s="2" t="s">
        <v>5512</v>
      </c>
      <c r="K1018" s="2" t="s">
        <v>5513</v>
      </c>
      <c r="L1018" s="2" t="s">
        <v>539</v>
      </c>
      <c r="M1018" s="2">
        <v>35173.0</v>
      </c>
      <c r="N1018" s="2" t="s">
        <v>21</v>
      </c>
    </row>
    <row r="1019" ht="15.75" customHeight="1">
      <c r="A1019" s="2">
        <v>2013.0</v>
      </c>
      <c r="B1019" s="2" t="s">
        <v>5514</v>
      </c>
      <c r="C1019" s="2" t="s">
        <v>5515</v>
      </c>
      <c r="D1019" s="2" t="str">
        <f>"901-373-8894"</f>
        <v>901-373-8894</v>
      </c>
      <c r="E1019" s="2" t="s">
        <v>282</v>
      </c>
      <c r="F1019" s="2" t="s">
        <v>5516</v>
      </c>
      <c r="G1019" s="2" t="str">
        <f>"SR-1493"</f>
        <v>SR-1493</v>
      </c>
      <c r="H1019" s="2" t="s">
        <v>5517</v>
      </c>
      <c r="I1019" s="2" t="s">
        <v>5518</v>
      </c>
      <c r="K1019" s="2" t="s">
        <v>5519</v>
      </c>
      <c r="L1019" s="2" t="s">
        <v>279</v>
      </c>
      <c r="M1019" s="2">
        <v>38134.0</v>
      </c>
      <c r="N1019" s="2" t="s">
        <v>21</v>
      </c>
    </row>
    <row r="1020" ht="15.75" customHeight="1">
      <c r="A1020" s="2">
        <v>2013.0</v>
      </c>
      <c r="B1020" s="2" t="s">
        <v>5520</v>
      </c>
      <c r="C1020" s="2" t="s">
        <v>5521</v>
      </c>
      <c r="D1020" s="2" t="str">
        <f>"617-553-0440"</f>
        <v>617-553-0440</v>
      </c>
      <c r="E1020" s="2" t="s">
        <v>301</v>
      </c>
      <c r="F1020" s="2" t="s">
        <v>5522</v>
      </c>
      <c r="G1020" s="2" t="str">
        <f>"SR-1559"</f>
        <v>SR-1559</v>
      </c>
      <c r="H1020" s="2" t="s">
        <v>5523</v>
      </c>
      <c r="I1020" s="2" t="s">
        <v>5524</v>
      </c>
      <c r="K1020" s="2" t="s">
        <v>5525</v>
      </c>
      <c r="L1020" s="2" t="s">
        <v>4108</v>
      </c>
      <c r="M1020" s="2">
        <v>2131.0</v>
      </c>
      <c r="N1020" s="2" t="s">
        <v>21</v>
      </c>
    </row>
    <row r="1021" ht="15.75" customHeight="1">
      <c r="A1021" s="2">
        <v>2013.0</v>
      </c>
      <c r="B1021" s="2" t="s">
        <v>5526</v>
      </c>
      <c r="C1021" s="2" t="s">
        <v>5527</v>
      </c>
      <c r="D1021" s="2" t="str">
        <f>"6025502172"</f>
        <v>6025502172</v>
      </c>
      <c r="E1021" s="2" t="s">
        <v>1190</v>
      </c>
      <c r="F1021" s="2" t="s">
        <v>5528</v>
      </c>
      <c r="G1021" s="2" t="str">
        <f>"SR-346"</f>
        <v>SR-346</v>
      </c>
      <c r="H1021" s="2" t="s">
        <v>5529</v>
      </c>
      <c r="I1021" s="2" t="s">
        <v>5530</v>
      </c>
      <c r="K1021" s="2" t="s">
        <v>5531</v>
      </c>
      <c r="L1021" s="2" t="s">
        <v>422</v>
      </c>
      <c r="M1021" s="2">
        <v>85203.0</v>
      </c>
      <c r="N1021" s="2" t="s">
        <v>21</v>
      </c>
    </row>
    <row r="1022" ht="15.75" customHeight="1">
      <c r="A1022" s="2">
        <v>2013.0</v>
      </c>
      <c r="B1022" s="2" t="s">
        <v>5532</v>
      </c>
      <c r="C1022" s="2" t="s">
        <v>5533</v>
      </c>
      <c r="D1022" s="2" t="str">
        <f>"812-825-3909"</f>
        <v>812-825-3909</v>
      </c>
      <c r="E1022" s="2" t="s">
        <v>5534</v>
      </c>
      <c r="F1022" s="2" t="s">
        <v>5535</v>
      </c>
      <c r="G1022" s="2" t="str">
        <f>"SR-1553"</f>
        <v>SR-1553</v>
      </c>
      <c r="H1022" s="2" t="s">
        <v>5536</v>
      </c>
      <c r="I1022" s="2" t="s">
        <v>5537</v>
      </c>
      <c r="K1022" s="2" t="s">
        <v>1019</v>
      </c>
      <c r="L1022" s="2" t="s">
        <v>149</v>
      </c>
      <c r="M1022" s="2">
        <v>47403.0</v>
      </c>
      <c r="N1022" s="2" t="s">
        <v>21</v>
      </c>
    </row>
    <row r="1023" ht="15.75" customHeight="1">
      <c r="A1023" s="2">
        <v>2013.0</v>
      </c>
      <c r="B1023" s="2" t="s">
        <v>5520</v>
      </c>
      <c r="C1023" s="2" t="s">
        <v>5538</v>
      </c>
      <c r="D1023" s="2" t="str">
        <f>"617-553-0440"</f>
        <v>617-553-0440</v>
      </c>
      <c r="E1023" s="2" t="s">
        <v>160</v>
      </c>
      <c r="F1023" s="2" t="s">
        <v>5522</v>
      </c>
      <c r="G1023" s="2" t="str">
        <f>"SR-1548"</f>
        <v>SR-1548</v>
      </c>
      <c r="H1023" s="2" t="s">
        <v>5539</v>
      </c>
      <c r="I1023" s="2" t="s">
        <v>5524</v>
      </c>
      <c r="K1023" s="2" t="s">
        <v>5525</v>
      </c>
      <c r="L1023" s="2" t="s">
        <v>4108</v>
      </c>
      <c r="M1023" s="2">
        <v>2131.0</v>
      </c>
      <c r="N1023" s="2" t="s">
        <v>21</v>
      </c>
    </row>
    <row r="1024" ht="15.75" customHeight="1">
      <c r="A1024" s="2">
        <v>2013.0</v>
      </c>
      <c r="B1024" s="2" t="s">
        <v>5540</v>
      </c>
      <c r="C1024" s="2" t="s">
        <v>5541</v>
      </c>
      <c r="D1024" s="2" t="str">
        <f>"678-364-1650"</f>
        <v>678-364-1650</v>
      </c>
      <c r="E1024" s="2" t="s">
        <v>5542</v>
      </c>
      <c r="F1024" s="2" t="s">
        <v>1101</v>
      </c>
      <c r="G1024" s="2" t="str">
        <f>"SR-1275"</f>
        <v>SR-1275</v>
      </c>
      <c r="H1024" s="2" t="s">
        <v>5543</v>
      </c>
      <c r="I1024" s="2" t="s">
        <v>5544</v>
      </c>
      <c r="K1024" s="2" t="s">
        <v>2192</v>
      </c>
      <c r="L1024" s="2" t="s">
        <v>200</v>
      </c>
      <c r="M1024" s="2">
        <v>30269.0</v>
      </c>
      <c r="N1024" s="2" t="s">
        <v>21</v>
      </c>
    </row>
    <row r="1025" ht="15.75" customHeight="1">
      <c r="A1025" s="2">
        <v>2013.0</v>
      </c>
      <c r="B1025" s="2" t="s">
        <v>5545</v>
      </c>
      <c r="C1025" s="2" t="s">
        <v>5545</v>
      </c>
      <c r="D1025" s="2" t="str">
        <f>"720-541-3442"</f>
        <v>720-541-3442</v>
      </c>
      <c r="E1025" s="2" t="s">
        <v>1732</v>
      </c>
      <c r="F1025" s="2" t="s">
        <v>962</v>
      </c>
      <c r="G1025" s="2" t="str">
        <f>"SR-1554"</f>
        <v>SR-1554</v>
      </c>
      <c r="H1025" s="2" t="s">
        <v>5546</v>
      </c>
      <c r="I1025" s="2" t="s">
        <v>5547</v>
      </c>
      <c r="K1025" s="2" t="s">
        <v>992</v>
      </c>
      <c r="L1025" s="2" t="s">
        <v>157</v>
      </c>
      <c r="M1025" s="2">
        <v>80122.0</v>
      </c>
      <c r="N1025" s="2" t="s">
        <v>21</v>
      </c>
    </row>
    <row r="1026" ht="15.75" customHeight="1">
      <c r="A1026" s="2">
        <v>2013.0</v>
      </c>
      <c r="B1026" s="2" t="s">
        <v>5478</v>
      </c>
      <c r="C1026" s="2" t="s">
        <v>5478</v>
      </c>
      <c r="D1026" s="2" t="str">
        <f>"6207280255"</f>
        <v>6207280255</v>
      </c>
      <c r="E1026" s="2" t="s">
        <v>5548</v>
      </c>
      <c r="F1026" s="2" t="s">
        <v>5479</v>
      </c>
      <c r="G1026" s="2" t="str">
        <f>"SR-1552"</f>
        <v>SR-1552</v>
      </c>
      <c r="H1026" s="2" t="s">
        <v>5549</v>
      </c>
      <c r="I1026" s="2" t="s">
        <v>5481</v>
      </c>
      <c r="K1026" s="2" t="s">
        <v>5351</v>
      </c>
      <c r="L1026" s="2" t="s">
        <v>272</v>
      </c>
      <c r="M1026" s="2">
        <v>67502.0</v>
      </c>
      <c r="N1026" s="2" t="s">
        <v>21</v>
      </c>
    </row>
    <row r="1027" ht="15.75" customHeight="1">
      <c r="A1027" s="2">
        <v>2013.0</v>
      </c>
      <c r="B1027" s="2" t="s">
        <v>5550</v>
      </c>
      <c r="C1027" s="2" t="s">
        <v>5550</v>
      </c>
      <c r="D1027" s="2" t="str">
        <f>"6012708786"</f>
        <v>6012708786</v>
      </c>
      <c r="E1027" s="2" t="s">
        <v>239</v>
      </c>
      <c r="F1027" s="2" t="s">
        <v>5551</v>
      </c>
      <c r="G1027" s="2" t="str">
        <f>"SR-1565"</f>
        <v>SR-1565</v>
      </c>
      <c r="H1027" s="2" t="s">
        <v>5552</v>
      </c>
      <c r="I1027" s="2" t="s">
        <v>5553</v>
      </c>
      <c r="K1027" s="2" t="s">
        <v>2147</v>
      </c>
      <c r="L1027" s="2" t="s">
        <v>1722</v>
      </c>
      <c r="M1027" s="2">
        <v>39047.0</v>
      </c>
      <c r="N1027" s="2" t="s">
        <v>21</v>
      </c>
    </row>
    <row r="1028" ht="15.75" customHeight="1">
      <c r="A1028" s="2">
        <v>2013.0</v>
      </c>
      <c r="B1028" s="2" t="s">
        <v>5554</v>
      </c>
      <c r="C1028" s="2" t="s">
        <v>5555</v>
      </c>
      <c r="D1028" s="2" t="str">
        <f>"785-314-0040"</f>
        <v>785-314-0040</v>
      </c>
      <c r="E1028" s="2" t="s">
        <v>3052</v>
      </c>
      <c r="F1028" s="2" t="s">
        <v>690</v>
      </c>
      <c r="G1028" s="2" t="str">
        <f>"SR-1563"</f>
        <v>SR-1563</v>
      </c>
      <c r="H1028" s="2" t="s">
        <v>5556</v>
      </c>
      <c r="I1028" s="2" t="s">
        <v>5557</v>
      </c>
      <c r="K1028" s="2" t="s">
        <v>5558</v>
      </c>
      <c r="L1028" s="2" t="s">
        <v>272</v>
      </c>
      <c r="M1028" s="2">
        <v>67473.0</v>
      </c>
      <c r="N1028" s="2" t="s">
        <v>21</v>
      </c>
    </row>
    <row r="1029" ht="15.75" customHeight="1">
      <c r="A1029" s="2">
        <v>2013.0</v>
      </c>
      <c r="B1029" s="2" t="s">
        <v>5559</v>
      </c>
      <c r="C1029" s="2" t="s">
        <v>5560</v>
      </c>
      <c r="D1029" s="2" t="str">
        <f>"704-841-3629"</f>
        <v>704-841-3629</v>
      </c>
      <c r="E1029" s="2" t="s">
        <v>167</v>
      </c>
      <c r="F1029" s="2" t="s">
        <v>5561</v>
      </c>
      <c r="G1029" s="2" t="str">
        <f>"SR-1533"</f>
        <v>SR-1533</v>
      </c>
      <c r="H1029" s="2" t="s">
        <v>5562</v>
      </c>
      <c r="I1029" s="2" t="s">
        <v>5563</v>
      </c>
      <c r="K1029" s="2" t="s">
        <v>19</v>
      </c>
      <c r="L1029" s="2" t="s">
        <v>20</v>
      </c>
      <c r="M1029" s="2">
        <v>28227.0</v>
      </c>
      <c r="N1029" s="2" t="s">
        <v>21</v>
      </c>
    </row>
    <row r="1030" ht="15.75" customHeight="1">
      <c r="A1030" s="2">
        <v>2013.0</v>
      </c>
      <c r="B1030" s="2" t="s">
        <v>5564</v>
      </c>
      <c r="C1030" s="2" t="s">
        <v>5565</v>
      </c>
      <c r="D1030" s="2" t="str">
        <f>"2054720118"</f>
        <v>2054720118</v>
      </c>
      <c r="E1030" s="2" t="s">
        <v>447</v>
      </c>
      <c r="F1030" s="2" t="s">
        <v>711</v>
      </c>
      <c r="G1030" s="2" t="str">
        <f>"SR-1505"</f>
        <v>SR-1505</v>
      </c>
      <c r="H1030" s="2" t="s">
        <v>5566</v>
      </c>
      <c r="I1030" s="2" t="s">
        <v>5567</v>
      </c>
      <c r="K1030" s="2" t="s">
        <v>5568</v>
      </c>
      <c r="L1030" s="2" t="s">
        <v>539</v>
      </c>
      <c r="M1030" s="2">
        <v>35131.0</v>
      </c>
      <c r="N1030" s="2" t="s">
        <v>21</v>
      </c>
    </row>
    <row r="1031" ht="15.75" customHeight="1">
      <c r="A1031" s="2">
        <v>2013.0</v>
      </c>
      <c r="B1031" s="2" t="s">
        <v>5569</v>
      </c>
      <c r="C1031" s="2" t="s">
        <v>5569</v>
      </c>
      <c r="D1031" s="2" t="str">
        <f>"405-216-8895"</f>
        <v>405-216-8895</v>
      </c>
      <c r="E1031" s="2" t="s">
        <v>2089</v>
      </c>
      <c r="F1031" s="2" t="s">
        <v>5570</v>
      </c>
      <c r="G1031" s="2" t="str">
        <f>"SR-1568"</f>
        <v>SR-1568</v>
      </c>
      <c r="H1031" s="2" t="s">
        <v>5571</v>
      </c>
      <c r="I1031" s="2" t="s">
        <v>5572</v>
      </c>
      <c r="K1031" s="2" t="s">
        <v>1546</v>
      </c>
      <c r="L1031" s="2" t="s">
        <v>840</v>
      </c>
      <c r="M1031" s="2">
        <v>73034.0</v>
      </c>
      <c r="N1031" s="2" t="s">
        <v>21</v>
      </c>
    </row>
    <row r="1032" ht="15.75" customHeight="1">
      <c r="A1032" s="2">
        <v>2013.0</v>
      </c>
      <c r="B1032" s="2" t="s">
        <v>5573</v>
      </c>
      <c r="C1032" s="2" t="s">
        <v>5574</v>
      </c>
      <c r="D1032" s="2" t="str">
        <f>"(903)793-3609"</f>
        <v>(903)793-3609</v>
      </c>
      <c r="E1032" s="2" t="s">
        <v>908</v>
      </c>
      <c r="F1032" s="2" t="s">
        <v>5575</v>
      </c>
      <c r="G1032" s="2" t="str">
        <f>"SR-1301"</f>
        <v>SR-1301</v>
      </c>
      <c r="H1032" s="2" t="s">
        <v>5576</v>
      </c>
      <c r="I1032" s="2" t="s">
        <v>5577</v>
      </c>
      <c r="K1032" s="2" t="s">
        <v>5578</v>
      </c>
      <c r="L1032" s="2" t="s">
        <v>172</v>
      </c>
      <c r="M1032" s="2">
        <v>75501.0</v>
      </c>
      <c r="N1032" s="2" t="s">
        <v>21</v>
      </c>
    </row>
    <row r="1033" ht="15.75" customHeight="1">
      <c r="A1033" s="2">
        <v>2013.0</v>
      </c>
      <c r="B1033" s="2" t="s">
        <v>5579</v>
      </c>
      <c r="C1033" s="2" t="s">
        <v>5579</v>
      </c>
      <c r="D1033" s="2" t="str">
        <f>"5035599514"</f>
        <v>5035599514</v>
      </c>
      <c r="E1033" s="2" t="s">
        <v>5580</v>
      </c>
      <c r="F1033" s="2" t="s">
        <v>3668</v>
      </c>
      <c r="G1033" s="2" t="str">
        <f>"SR-1509"</f>
        <v>SR-1509</v>
      </c>
      <c r="H1033" s="2" t="s">
        <v>5581</v>
      </c>
      <c r="I1033" s="2" t="s">
        <v>5582</v>
      </c>
      <c r="K1033" s="2" t="s">
        <v>5583</v>
      </c>
      <c r="L1033" s="2" t="s">
        <v>2389</v>
      </c>
      <c r="M1033" s="2">
        <v>97017.0</v>
      </c>
      <c r="N1033" s="2" t="s">
        <v>21</v>
      </c>
    </row>
    <row r="1034" ht="15.75" customHeight="1">
      <c r="A1034" s="2">
        <v>2013.0</v>
      </c>
      <c r="B1034" s="2" t="s">
        <v>5584</v>
      </c>
      <c r="C1034" s="2" t="s">
        <v>5584</v>
      </c>
      <c r="D1034" s="2" t="str">
        <f>"405.478.2279"</f>
        <v>405.478.2279</v>
      </c>
      <c r="E1034" s="2" t="s">
        <v>5585</v>
      </c>
      <c r="F1034" s="2" t="s">
        <v>5586</v>
      </c>
      <c r="G1034" s="2" t="str">
        <f>"SR-1380"</f>
        <v>SR-1380</v>
      </c>
      <c r="H1034" s="2" t="s">
        <v>5587</v>
      </c>
      <c r="I1034" s="2" t="s">
        <v>5588</v>
      </c>
      <c r="K1034" s="2" t="s">
        <v>1546</v>
      </c>
      <c r="L1034" s="2" t="s">
        <v>840</v>
      </c>
      <c r="M1034" s="2">
        <v>73013.0</v>
      </c>
      <c r="N1034" s="2" t="s">
        <v>21</v>
      </c>
    </row>
    <row r="1035" ht="15.75" customHeight="1">
      <c r="A1035" s="2">
        <v>2013.0</v>
      </c>
      <c r="B1035" s="2" t="s">
        <v>5589</v>
      </c>
      <c r="D1035" s="2" t="str">
        <f>""</f>
        <v/>
      </c>
      <c r="E1035" s="2" t="s">
        <v>1208</v>
      </c>
      <c r="F1035" s="2" t="s">
        <v>5590</v>
      </c>
      <c r="G1035" s="2" t="str">
        <f>"SR-1536"</f>
        <v>SR-1536</v>
      </c>
      <c r="H1035" s="2" t="s">
        <v>5591</v>
      </c>
    </row>
    <row r="1036" ht="15.75" customHeight="1">
      <c r="A1036" s="2">
        <v>2013.0</v>
      </c>
      <c r="B1036" s="2" t="s">
        <v>5592</v>
      </c>
      <c r="C1036" s="2" t="s">
        <v>5592</v>
      </c>
      <c r="D1036" s="2" t="str">
        <f>"7208415972"</f>
        <v>7208415972</v>
      </c>
      <c r="E1036" s="2" t="s">
        <v>1782</v>
      </c>
      <c r="F1036" s="2" t="s">
        <v>5593</v>
      </c>
      <c r="G1036" s="2" t="str">
        <f>"SR-1578"</f>
        <v>SR-1578</v>
      </c>
      <c r="H1036" s="2" t="s">
        <v>5594</v>
      </c>
      <c r="I1036" s="2" t="s">
        <v>5595</v>
      </c>
      <c r="K1036" s="2" t="s">
        <v>1558</v>
      </c>
      <c r="L1036" s="2" t="s">
        <v>157</v>
      </c>
      <c r="M1036" s="2">
        <v>80631.0</v>
      </c>
      <c r="N1036" s="2" t="s">
        <v>21</v>
      </c>
    </row>
    <row r="1037" ht="15.75" customHeight="1">
      <c r="A1037" s="2">
        <v>2013.0</v>
      </c>
      <c r="B1037" s="2" t="s">
        <v>5596</v>
      </c>
      <c r="C1037" s="2" t="s">
        <v>5597</v>
      </c>
      <c r="D1037" s="2" t="str">
        <f>"(205)-824-6050"</f>
        <v>(205)-824-6050</v>
      </c>
      <c r="E1037" s="2" t="s">
        <v>2572</v>
      </c>
      <c r="F1037" s="2" t="s">
        <v>962</v>
      </c>
      <c r="G1037" s="2" t="str">
        <f>"SR-1577"</f>
        <v>SR-1577</v>
      </c>
      <c r="H1037" s="2" t="s">
        <v>5598</v>
      </c>
      <c r="I1037" s="2" t="s">
        <v>5599</v>
      </c>
      <c r="K1037" s="2" t="s">
        <v>5600</v>
      </c>
      <c r="L1037" s="2" t="s">
        <v>539</v>
      </c>
      <c r="M1037" s="2">
        <v>35226.0</v>
      </c>
      <c r="N1037" s="2" t="s">
        <v>21</v>
      </c>
    </row>
    <row r="1038" ht="15.75" customHeight="1">
      <c r="A1038" s="2">
        <v>2013.0</v>
      </c>
      <c r="B1038" s="2" t="s">
        <v>5601</v>
      </c>
      <c r="C1038" s="2" t="s">
        <v>5601</v>
      </c>
      <c r="D1038" s="2" t="str">
        <f>"2055944984"</f>
        <v>2055944984</v>
      </c>
      <c r="E1038" s="2" t="s">
        <v>453</v>
      </c>
      <c r="F1038" s="2" t="s">
        <v>585</v>
      </c>
      <c r="G1038" s="2" t="str">
        <f>"SR-1580"</f>
        <v>SR-1580</v>
      </c>
      <c r="H1038" s="2" t="s">
        <v>5602</v>
      </c>
      <c r="I1038" s="2" t="s">
        <v>5603</v>
      </c>
      <c r="K1038" s="2" t="s">
        <v>5019</v>
      </c>
      <c r="L1038" s="2" t="s">
        <v>539</v>
      </c>
      <c r="M1038" s="2">
        <v>35953.0</v>
      </c>
      <c r="N1038" s="2" t="s">
        <v>21</v>
      </c>
    </row>
    <row r="1039" ht="15.75" customHeight="1">
      <c r="A1039" s="2">
        <v>2013.0</v>
      </c>
      <c r="B1039" s="2" t="s">
        <v>5604</v>
      </c>
      <c r="C1039" s="2" t="s">
        <v>5605</v>
      </c>
      <c r="D1039" s="2" t="str">
        <f>"919-656-2542"</f>
        <v>919-656-2542</v>
      </c>
      <c r="E1039" s="2" t="s">
        <v>339</v>
      </c>
      <c r="F1039" s="2" t="s">
        <v>3561</v>
      </c>
      <c r="G1039" s="2" t="str">
        <f>"SR-1512"</f>
        <v>SR-1512</v>
      </c>
      <c r="H1039" s="2" t="s">
        <v>5606</v>
      </c>
      <c r="I1039" s="2" t="s">
        <v>5607</v>
      </c>
      <c r="K1039" s="2" t="s">
        <v>5608</v>
      </c>
      <c r="L1039" s="2" t="s">
        <v>20</v>
      </c>
      <c r="M1039" s="2">
        <v>27526.0</v>
      </c>
      <c r="N1039" s="2" t="s">
        <v>21</v>
      </c>
    </row>
    <row r="1040" ht="15.75" customHeight="1">
      <c r="A1040" s="2">
        <v>2013.0</v>
      </c>
      <c r="B1040" s="2" t="s">
        <v>5609</v>
      </c>
      <c r="D1040" s="2" t="str">
        <f>""</f>
        <v/>
      </c>
      <c r="E1040" s="2" t="s">
        <v>203</v>
      </c>
      <c r="F1040" s="2" t="s">
        <v>5610</v>
      </c>
      <c r="G1040" s="2" t="str">
        <f>"SR-560"</f>
        <v>SR-560</v>
      </c>
      <c r="H1040" s="2" t="s">
        <v>5611</v>
      </c>
      <c r="N1040" s="2" t="s">
        <v>21</v>
      </c>
    </row>
    <row r="1041" ht="15.75" customHeight="1">
      <c r="A1041" s="2">
        <v>2013.0</v>
      </c>
      <c r="B1041" s="2" t="s">
        <v>5612</v>
      </c>
      <c r="C1041" s="2" t="s">
        <v>5613</v>
      </c>
      <c r="D1041" s="2" t="str">
        <f>"6156650960"</f>
        <v>6156650960</v>
      </c>
      <c r="E1041" s="2" t="s">
        <v>36</v>
      </c>
      <c r="F1041" s="2" t="s">
        <v>5614</v>
      </c>
      <c r="G1041" s="2" t="str">
        <f>"SR-1584"</f>
        <v>SR-1584</v>
      </c>
      <c r="H1041" s="2" t="s">
        <v>5615</v>
      </c>
      <c r="I1041" s="2" t="s">
        <v>5616</v>
      </c>
      <c r="K1041" s="2" t="s">
        <v>731</v>
      </c>
      <c r="L1041" s="2" t="s">
        <v>279</v>
      </c>
      <c r="M1041" s="2">
        <v>37215.0</v>
      </c>
      <c r="N1041" s="2" t="s">
        <v>21</v>
      </c>
    </row>
    <row r="1042" ht="15.75" customHeight="1">
      <c r="A1042" s="2">
        <v>2013.0</v>
      </c>
      <c r="B1042" s="2" t="s">
        <v>5617</v>
      </c>
      <c r="C1042" s="2" t="s">
        <v>5618</v>
      </c>
      <c r="D1042" s="2" t="str">
        <f>"864-609-5253"</f>
        <v>864-609-5253</v>
      </c>
      <c r="E1042" s="2" t="s">
        <v>5619</v>
      </c>
      <c r="F1042" s="2" t="s">
        <v>5620</v>
      </c>
      <c r="G1042" s="2" t="str">
        <f>"SR-1414"</f>
        <v>SR-1414</v>
      </c>
      <c r="H1042" s="2" t="s">
        <v>5621</v>
      </c>
      <c r="I1042" s="2" t="s">
        <v>5622</v>
      </c>
      <c r="K1042" s="2" t="s">
        <v>54</v>
      </c>
      <c r="L1042" s="2" t="s">
        <v>55</v>
      </c>
      <c r="M1042" s="2">
        <v>29615.0</v>
      </c>
      <c r="N1042" s="2" t="s">
        <v>21</v>
      </c>
    </row>
    <row r="1043" ht="15.75" customHeight="1">
      <c r="A1043" s="2">
        <v>2013.0</v>
      </c>
      <c r="B1043" s="2" t="s">
        <v>5623</v>
      </c>
      <c r="C1043" s="2" t="s">
        <v>5623</v>
      </c>
      <c r="D1043" s="2" t="str">
        <f>"614-556-2328"</f>
        <v>614-556-2328</v>
      </c>
      <c r="E1043" s="2" t="s">
        <v>137</v>
      </c>
      <c r="F1043" s="2" t="s">
        <v>2418</v>
      </c>
      <c r="G1043" s="2" t="str">
        <f>"SR-1583"</f>
        <v>SR-1583</v>
      </c>
      <c r="H1043" s="2" t="s">
        <v>5624</v>
      </c>
      <c r="I1043" s="2" t="s">
        <v>2435</v>
      </c>
      <c r="K1043" s="2" t="s">
        <v>2421</v>
      </c>
      <c r="L1043" s="2" t="s">
        <v>344</v>
      </c>
      <c r="M1043" s="2">
        <v>43235.0</v>
      </c>
      <c r="N1043" s="2" t="s">
        <v>21</v>
      </c>
    </row>
    <row r="1044" ht="15.75" customHeight="1">
      <c r="A1044" s="2">
        <v>2013.0</v>
      </c>
      <c r="B1044" s="2" t="s">
        <v>5625</v>
      </c>
      <c r="C1044" s="2" t="s">
        <v>5625</v>
      </c>
      <c r="D1044" s="2" t="str">
        <f>"937-232-4062"</f>
        <v>937-232-4062</v>
      </c>
      <c r="E1044" s="2" t="s">
        <v>1032</v>
      </c>
      <c r="F1044" s="2" t="s">
        <v>5626</v>
      </c>
      <c r="G1044" s="2" t="str">
        <f>"SR-791"</f>
        <v>SR-791</v>
      </c>
      <c r="H1044" s="2" t="s">
        <v>5627</v>
      </c>
      <c r="I1044" s="2" t="s">
        <v>5628</v>
      </c>
      <c r="K1044" s="2" t="s">
        <v>5629</v>
      </c>
      <c r="L1044" s="2" t="s">
        <v>344</v>
      </c>
      <c r="M1044" s="2">
        <v>45424.0</v>
      </c>
      <c r="N1044" s="2" t="s">
        <v>21</v>
      </c>
    </row>
    <row r="1045" ht="15.75" customHeight="1">
      <c r="A1045" s="2">
        <v>2013.0</v>
      </c>
      <c r="B1045" s="2" t="s">
        <v>5630</v>
      </c>
      <c r="C1045" s="2" t="s">
        <v>5631</v>
      </c>
      <c r="D1045" s="2" t="str">
        <f>"540-362-1594"</f>
        <v>540-362-1594</v>
      </c>
      <c r="E1045" s="2" t="s">
        <v>1523</v>
      </c>
      <c r="F1045" s="2" t="s">
        <v>5632</v>
      </c>
      <c r="G1045" s="2" t="str">
        <f>"SR-1424"</f>
        <v>SR-1424</v>
      </c>
      <c r="H1045" s="2" t="s">
        <v>5633</v>
      </c>
      <c r="I1045" s="2" t="s">
        <v>5634</v>
      </c>
      <c r="K1045" s="2" t="s">
        <v>4577</v>
      </c>
      <c r="L1045" s="2" t="s">
        <v>165</v>
      </c>
      <c r="M1045" s="2">
        <v>24012.0</v>
      </c>
      <c r="N1045" s="2" t="s">
        <v>21</v>
      </c>
    </row>
    <row r="1046" ht="15.75" customHeight="1">
      <c r="A1046" s="2">
        <v>2013.0</v>
      </c>
      <c r="B1046" s="2" t="s">
        <v>5635</v>
      </c>
      <c r="C1046" s="2" t="s">
        <v>5636</v>
      </c>
      <c r="D1046" s="2" t="str">
        <f>"(413) 528-9717"</f>
        <v>(413) 528-9717</v>
      </c>
      <c r="E1046" s="2" t="s">
        <v>5637</v>
      </c>
      <c r="F1046" s="2" t="s">
        <v>4103</v>
      </c>
      <c r="G1046" s="2" t="str">
        <f>"SR-1413"</f>
        <v>SR-1413</v>
      </c>
      <c r="H1046" s="2" t="s">
        <v>5638</v>
      </c>
      <c r="I1046" s="2" t="s">
        <v>5639</v>
      </c>
      <c r="K1046" s="2" t="s">
        <v>4107</v>
      </c>
      <c r="L1046" s="2" t="s">
        <v>4108</v>
      </c>
      <c r="M1046" s="2">
        <v>1245.0</v>
      </c>
      <c r="N1046" s="2" t="s">
        <v>21</v>
      </c>
    </row>
    <row r="1047" ht="15.75" customHeight="1">
      <c r="A1047" s="2">
        <v>2013.0</v>
      </c>
      <c r="B1047" s="2" t="s">
        <v>5601</v>
      </c>
      <c r="C1047" s="2" t="s">
        <v>5640</v>
      </c>
      <c r="D1047" s="2" t="str">
        <f>"2055944984"</f>
        <v>2055944984</v>
      </c>
      <c r="E1047" s="2" t="s">
        <v>843</v>
      </c>
      <c r="F1047" s="2" t="s">
        <v>585</v>
      </c>
      <c r="G1047" s="2" t="str">
        <f>"SR-1586"</f>
        <v>SR-1586</v>
      </c>
      <c r="H1047" s="2" t="s">
        <v>5641</v>
      </c>
      <c r="I1047" s="2" t="s">
        <v>5642</v>
      </c>
      <c r="K1047" s="2" t="s">
        <v>5019</v>
      </c>
      <c r="L1047" s="2" t="s">
        <v>539</v>
      </c>
      <c r="M1047" s="2">
        <v>35953.0</v>
      </c>
      <c r="N1047" s="2" t="s">
        <v>21</v>
      </c>
    </row>
    <row r="1048" ht="15.75" customHeight="1">
      <c r="A1048" s="2">
        <v>2013.0</v>
      </c>
      <c r="B1048" s="2" t="s">
        <v>5643</v>
      </c>
      <c r="D1048" s="2" t="str">
        <f>"(540)937-2135"</f>
        <v>(540)937-2135</v>
      </c>
      <c r="E1048" s="2" t="s">
        <v>301</v>
      </c>
      <c r="F1048" s="2" t="s">
        <v>5644</v>
      </c>
      <c r="G1048" s="2" t="str">
        <f>"SR-1589"</f>
        <v>SR-1589</v>
      </c>
      <c r="H1048" s="2" t="s">
        <v>5645</v>
      </c>
      <c r="I1048" s="2" t="s">
        <v>5646</v>
      </c>
      <c r="K1048" s="2" t="s">
        <v>4757</v>
      </c>
      <c r="L1048" s="2" t="s">
        <v>165</v>
      </c>
      <c r="M1048" s="2">
        <v>20106.0</v>
      </c>
      <c r="N1048" s="2" t="s">
        <v>21</v>
      </c>
    </row>
    <row r="1049" ht="15.75" customHeight="1">
      <c r="A1049" s="2">
        <v>2013.0</v>
      </c>
      <c r="B1049" s="2" t="s">
        <v>5647</v>
      </c>
      <c r="C1049" s="2" t="s">
        <v>5648</v>
      </c>
      <c r="D1049" s="2" t="str">
        <f>"3039909015"</f>
        <v>3039909015</v>
      </c>
      <c r="E1049" s="2" t="s">
        <v>5649</v>
      </c>
      <c r="F1049" s="2" t="s">
        <v>5650</v>
      </c>
      <c r="G1049" s="2" t="str">
        <f>"SR-1391"</f>
        <v>SR-1391</v>
      </c>
      <c r="H1049" s="2" t="s">
        <v>5651</v>
      </c>
      <c r="I1049" s="2" t="s">
        <v>5652</v>
      </c>
      <c r="K1049" s="2" t="s">
        <v>1889</v>
      </c>
      <c r="L1049" s="2" t="s">
        <v>157</v>
      </c>
      <c r="M1049" s="2">
        <v>80126.0</v>
      </c>
      <c r="N1049" s="2" t="s">
        <v>21</v>
      </c>
    </row>
    <row r="1050" ht="15.75" customHeight="1">
      <c r="A1050" s="2">
        <v>2013.0</v>
      </c>
      <c r="B1050" s="2" t="s">
        <v>5653</v>
      </c>
      <c r="D1050" s="2" t="str">
        <f>"(540)937-2135"</f>
        <v>(540)937-2135</v>
      </c>
      <c r="E1050" s="2" t="s">
        <v>843</v>
      </c>
      <c r="F1050" s="2" t="s">
        <v>5644</v>
      </c>
      <c r="G1050" s="2" t="str">
        <f>"SR-1590"</f>
        <v>SR-1590</v>
      </c>
      <c r="H1050" s="2" t="s">
        <v>5654</v>
      </c>
      <c r="I1050" s="2" t="s">
        <v>5646</v>
      </c>
      <c r="K1050" s="2" t="s">
        <v>4757</v>
      </c>
      <c r="L1050" s="2" t="s">
        <v>165</v>
      </c>
      <c r="M1050" s="2">
        <v>20106.0</v>
      </c>
      <c r="N1050" s="2" t="s">
        <v>21</v>
      </c>
    </row>
    <row r="1051" ht="15.75" customHeight="1">
      <c r="A1051" s="2">
        <v>2013.0</v>
      </c>
      <c r="B1051" s="2" t="s">
        <v>5655</v>
      </c>
      <c r="D1051" s="2" t="str">
        <f>"281-755-7485"</f>
        <v>281-755-7485</v>
      </c>
      <c r="E1051" s="2" t="s">
        <v>50</v>
      </c>
      <c r="F1051" s="2" t="s">
        <v>4347</v>
      </c>
      <c r="G1051" s="2" t="str">
        <f>"SR-1591"</f>
        <v>SR-1591</v>
      </c>
      <c r="H1051" s="2" t="s">
        <v>5656</v>
      </c>
      <c r="I1051" s="2" t="s">
        <v>5657</v>
      </c>
      <c r="K1051" s="2" t="s">
        <v>4350</v>
      </c>
      <c r="L1051" s="2" t="s">
        <v>172</v>
      </c>
      <c r="M1051" s="2">
        <v>77375.0</v>
      </c>
      <c r="N1051" s="2" t="s">
        <v>21</v>
      </c>
    </row>
    <row r="1052" ht="15.75" customHeight="1">
      <c r="A1052" s="2">
        <v>2013.0</v>
      </c>
      <c r="B1052" s="2" t="s">
        <v>5503</v>
      </c>
      <c r="C1052" s="2" t="s">
        <v>5658</v>
      </c>
      <c r="D1052" s="2" t="str">
        <f>"303-841-6799"</f>
        <v>303-841-6799</v>
      </c>
      <c r="E1052" s="2" t="s">
        <v>1088</v>
      </c>
      <c r="F1052" s="2" t="s">
        <v>5506</v>
      </c>
      <c r="G1052" s="2" t="str">
        <f>"SR-738"</f>
        <v>SR-738</v>
      </c>
      <c r="H1052" s="2" t="s">
        <v>5659</v>
      </c>
      <c r="I1052" s="2" t="s">
        <v>5508</v>
      </c>
      <c r="K1052" s="2" t="s">
        <v>1054</v>
      </c>
      <c r="L1052" s="2" t="s">
        <v>157</v>
      </c>
      <c r="M1052" s="2">
        <v>80134.0</v>
      </c>
      <c r="N1052" s="2" t="s">
        <v>21</v>
      </c>
    </row>
    <row r="1053" ht="15.75" customHeight="1">
      <c r="A1053" s="2">
        <v>2013.0</v>
      </c>
      <c r="B1053" s="2" t="s">
        <v>5660</v>
      </c>
      <c r="D1053" s="2" t="str">
        <f>"319-354-5498"</f>
        <v>319-354-5498</v>
      </c>
      <c r="E1053" s="2" t="s">
        <v>1263</v>
      </c>
      <c r="F1053" s="2" t="s">
        <v>5661</v>
      </c>
      <c r="G1053" s="2" t="str">
        <f>"SR-1592"</f>
        <v>SR-1592</v>
      </c>
      <c r="H1053" s="2" t="s">
        <v>5662</v>
      </c>
      <c r="I1053" s="2" t="s">
        <v>5663</v>
      </c>
      <c r="K1053" s="2" t="s">
        <v>5664</v>
      </c>
      <c r="L1053" s="2" t="s">
        <v>560</v>
      </c>
      <c r="M1053" s="2">
        <v>52241.0</v>
      </c>
      <c r="N1053" s="2" t="s">
        <v>21</v>
      </c>
    </row>
    <row r="1054" ht="15.75" customHeight="1">
      <c r="A1054" s="2">
        <v>2013.0</v>
      </c>
      <c r="B1054" s="2" t="s">
        <v>5665</v>
      </c>
      <c r="C1054" s="2" t="s">
        <v>5666</v>
      </c>
      <c r="D1054" s="2" t="str">
        <f>"423-886-4200"</f>
        <v>423-886-4200</v>
      </c>
      <c r="E1054" s="2" t="s">
        <v>5667</v>
      </c>
      <c r="F1054" s="2" t="s">
        <v>5668</v>
      </c>
      <c r="G1054" s="2" t="str">
        <f>"SR-1582"</f>
        <v>SR-1582</v>
      </c>
      <c r="H1054" s="2" t="s">
        <v>5669</v>
      </c>
      <c r="I1054" s="2" t="s">
        <v>5670</v>
      </c>
      <c r="K1054" s="2" t="s">
        <v>5671</v>
      </c>
      <c r="L1054" s="2" t="s">
        <v>279</v>
      </c>
      <c r="M1054" s="2">
        <v>37377.0</v>
      </c>
      <c r="N1054" s="2" t="s">
        <v>21</v>
      </c>
    </row>
    <row r="1055" ht="15.75" customHeight="1">
      <c r="A1055" s="2">
        <v>2013.0</v>
      </c>
      <c r="B1055" s="2" t="s">
        <v>5672</v>
      </c>
      <c r="C1055" s="2" t="s">
        <v>5673</v>
      </c>
      <c r="D1055" s="2" t="str">
        <f>"901-853-8126"</f>
        <v>901-853-8126</v>
      </c>
      <c r="E1055" s="2" t="s">
        <v>5674</v>
      </c>
      <c r="F1055" s="2" t="s">
        <v>5675</v>
      </c>
      <c r="G1055" s="2" t="str">
        <f>"SR-1385"</f>
        <v>SR-1385</v>
      </c>
      <c r="H1055" s="2" t="s">
        <v>5676</v>
      </c>
      <c r="I1055" s="2" t="s">
        <v>5677</v>
      </c>
      <c r="K1055" s="2" t="s">
        <v>5678</v>
      </c>
      <c r="L1055" s="2" t="s">
        <v>279</v>
      </c>
      <c r="M1055" s="2">
        <v>38017.0</v>
      </c>
      <c r="N1055" s="2" t="s">
        <v>21</v>
      </c>
    </row>
    <row r="1056" ht="15.75" customHeight="1">
      <c r="A1056" s="2">
        <v>2013.0</v>
      </c>
      <c r="B1056" s="2" t="s">
        <v>5679</v>
      </c>
      <c r="C1056" s="2" t="s">
        <v>5680</v>
      </c>
      <c r="D1056" s="2" t="str">
        <f>"813 684 3583"</f>
        <v>813 684 3583</v>
      </c>
      <c r="E1056" s="2" t="s">
        <v>590</v>
      </c>
      <c r="F1056" s="2" t="s">
        <v>543</v>
      </c>
      <c r="G1056" s="2" t="str">
        <f>"SR-1579"</f>
        <v>SR-1579</v>
      </c>
      <c r="H1056" s="2" t="s">
        <v>5681</v>
      </c>
      <c r="I1056" s="2" t="s">
        <v>5682</v>
      </c>
      <c r="K1056" s="2" t="s">
        <v>5683</v>
      </c>
      <c r="L1056" s="2" t="s">
        <v>208</v>
      </c>
      <c r="M1056" s="2">
        <v>33596.0</v>
      </c>
      <c r="N1056" s="2" t="s">
        <v>21</v>
      </c>
    </row>
    <row r="1057" ht="15.75" customHeight="1">
      <c r="A1057" s="2">
        <v>2013.0</v>
      </c>
      <c r="B1057" s="2" t="s">
        <v>5684</v>
      </c>
      <c r="D1057" s="2" t="str">
        <f>"256-746-8479"</f>
        <v>256-746-8479</v>
      </c>
      <c r="E1057" s="2" t="s">
        <v>3077</v>
      </c>
      <c r="F1057" s="2" t="s">
        <v>5685</v>
      </c>
      <c r="G1057" s="2" t="str">
        <f>"SR-1508"</f>
        <v>SR-1508</v>
      </c>
      <c r="H1057" s="2" t="s">
        <v>5686</v>
      </c>
      <c r="I1057" s="2" t="s">
        <v>5687</v>
      </c>
      <c r="K1057" s="2" t="s">
        <v>1953</v>
      </c>
      <c r="L1057" s="2" t="s">
        <v>539</v>
      </c>
      <c r="M1057" s="2">
        <v>35810.0</v>
      </c>
      <c r="N1057" s="2" t="s">
        <v>21</v>
      </c>
    </row>
    <row r="1058" ht="15.75" customHeight="1">
      <c r="A1058" s="2">
        <v>2013.0</v>
      </c>
      <c r="B1058" s="2" t="s">
        <v>5688</v>
      </c>
      <c r="C1058" s="2" t="s">
        <v>5688</v>
      </c>
      <c r="D1058" s="2" t="str">
        <f>"(319) 310-9185"</f>
        <v>(319) 310-9185</v>
      </c>
      <c r="E1058" s="2" t="s">
        <v>1455</v>
      </c>
      <c r="F1058" s="2" t="s">
        <v>5689</v>
      </c>
      <c r="G1058" s="2" t="str">
        <f>"SR-1557"</f>
        <v>SR-1557</v>
      </c>
      <c r="H1058" s="2" t="s">
        <v>5690</v>
      </c>
      <c r="I1058" s="2" t="s">
        <v>5691</v>
      </c>
      <c r="K1058" s="2" t="s">
        <v>5692</v>
      </c>
      <c r="L1058" s="2" t="s">
        <v>560</v>
      </c>
      <c r="M1058" s="2">
        <v>52315.0</v>
      </c>
      <c r="N1058" s="2" t="s">
        <v>21</v>
      </c>
    </row>
    <row r="1059" ht="15.75" customHeight="1">
      <c r="A1059" s="2">
        <v>2013.0</v>
      </c>
      <c r="B1059" s="2" t="s">
        <v>5693</v>
      </c>
      <c r="C1059" s="2" t="s">
        <v>5694</v>
      </c>
      <c r="D1059" s="2" t="str">
        <f>"5103753098"</f>
        <v>5103753098</v>
      </c>
      <c r="E1059" s="2" t="s">
        <v>261</v>
      </c>
      <c r="F1059" s="2" t="s">
        <v>5695</v>
      </c>
      <c r="G1059" s="2" t="str">
        <f>"SR-1513"</f>
        <v>SR-1513</v>
      </c>
      <c r="H1059" s="2" t="s">
        <v>5696</v>
      </c>
      <c r="I1059" s="2" t="s">
        <v>5697</v>
      </c>
      <c r="K1059" s="2" t="s">
        <v>5698</v>
      </c>
      <c r="L1059" s="2" t="s">
        <v>222</v>
      </c>
      <c r="M1059" s="2">
        <v>94530.0</v>
      </c>
      <c r="N1059" s="2" t="s">
        <v>21</v>
      </c>
    </row>
    <row r="1060" ht="15.75" customHeight="1">
      <c r="A1060" s="2">
        <v>2013.0</v>
      </c>
      <c r="B1060" s="2" t="s">
        <v>5699</v>
      </c>
      <c r="D1060" s="2" t="str">
        <f>""</f>
        <v/>
      </c>
      <c r="E1060" s="2" t="s">
        <v>908</v>
      </c>
      <c r="F1060" s="2" t="s">
        <v>5700</v>
      </c>
      <c r="G1060" s="2" t="str">
        <f>"SR-1124"</f>
        <v>SR-1124</v>
      </c>
      <c r="H1060" s="2" t="s">
        <v>5701</v>
      </c>
      <c r="N1060" s="2" t="s">
        <v>21</v>
      </c>
    </row>
    <row r="1061" ht="15.75" customHeight="1">
      <c r="A1061" s="2">
        <v>2013.0</v>
      </c>
      <c r="B1061" s="2" t="s">
        <v>5702</v>
      </c>
      <c r="C1061" s="2" t="s">
        <v>5703</v>
      </c>
      <c r="D1061" s="2" t="str">
        <f>"770 783 9737"</f>
        <v>770 783 9737</v>
      </c>
      <c r="E1061" s="2" t="s">
        <v>1088</v>
      </c>
      <c r="F1061" s="2" t="s">
        <v>5704</v>
      </c>
      <c r="G1061" s="2" t="str">
        <f>"SR-342"</f>
        <v>SR-342</v>
      </c>
      <c r="H1061" s="2" t="s">
        <v>5705</v>
      </c>
      <c r="I1061" s="2" t="s">
        <v>5706</v>
      </c>
      <c r="K1061" s="2" t="s">
        <v>2975</v>
      </c>
      <c r="L1061" s="2" t="s">
        <v>200</v>
      </c>
      <c r="M1061" s="2">
        <v>30134.0</v>
      </c>
      <c r="N1061" s="2" t="s">
        <v>21</v>
      </c>
    </row>
    <row r="1062" ht="15.75" customHeight="1">
      <c r="A1062" s="2">
        <v>2013.0</v>
      </c>
      <c r="B1062" s="2" t="s">
        <v>5707</v>
      </c>
      <c r="C1062" s="2" t="s">
        <v>5708</v>
      </c>
      <c r="D1062" s="2" t="str">
        <f>"865-484-1951"</f>
        <v>865-484-1951</v>
      </c>
      <c r="E1062" s="2" t="s">
        <v>72</v>
      </c>
      <c r="F1062" s="2" t="s">
        <v>5709</v>
      </c>
      <c r="G1062" s="2" t="str">
        <f>"SR-1569"</f>
        <v>SR-1569</v>
      </c>
      <c r="H1062" s="2" t="s">
        <v>5710</v>
      </c>
      <c r="I1062" s="2" t="s">
        <v>5711</v>
      </c>
      <c r="K1062" s="2" t="s">
        <v>5712</v>
      </c>
      <c r="L1062" s="2" t="s">
        <v>279</v>
      </c>
      <c r="M1062" s="2">
        <v>37725.0</v>
      </c>
      <c r="N1062" s="2" t="s">
        <v>21</v>
      </c>
    </row>
    <row r="1063" ht="15.75" customHeight="1">
      <c r="A1063" s="2">
        <v>2013.0</v>
      </c>
      <c r="B1063" s="2" t="s">
        <v>5713</v>
      </c>
      <c r="C1063" s="2" t="s">
        <v>5714</v>
      </c>
      <c r="D1063" s="2" t="str">
        <f>"608-786-1193"</f>
        <v>608-786-1193</v>
      </c>
      <c r="E1063" s="2" t="s">
        <v>267</v>
      </c>
      <c r="F1063" s="2" t="s">
        <v>5715</v>
      </c>
      <c r="G1063" s="2" t="str">
        <f>"SR-1598"</f>
        <v>SR-1598</v>
      </c>
      <c r="H1063" s="2" t="s">
        <v>5716</v>
      </c>
      <c r="I1063" s="2" t="s">
        <v>5717</v>
      </c>
      <c r="K1063" s="2" t="s">
        <v>5718</v>
      </c>
      <c r="L1063" s="2" t="s">
        <v>193</v>
      </c>
      <c r="M1063" s="2">
        <v>54669.0</v>
      </c>
      <c r="N1063" s="2" t="s">
        <v>21</v>
      </c>
    </row>
    <row r="1064" ht="15.75" customHeight="1">
      <c r="A1064" s="2">
        <v>2013.0</v>
      </c>
      <c r="B1064" s="2" t="s">
        <v>5719</v>
      </c>
      <c r="C1064" s="2" t="s">
        <v>5720</v>
      </c>
      <c r="D1064" s="2" t="str">
        <f>"8433844831"</f>
        <v>8433844831</v>
      </c>
      <c r="E1064" s="2" t="s">
        <v>572</v>
      </c>
      <c r="F1064" s="2" t="s">
        <v>5721</v>
      </c>
      <c r="G1064" s="2" t="str">
        <f>"SR-1201"</f>
        <v>SR-1201</v>
      </c>
      <c r="H1064" s="2" t="s">
        <v>5722</v>
      </c>
      <c r="I1064" s="2" t="s">
        <v>5723</v>
      </c>
      <c r="K1064" s="2" t="s">
        <v>5724</v>
      </c>
      <c r="L1064" s="2" t="s">
        <v>55</v>
      </c>
      <c r="M1064" s="2">
        <v>29926.0</v>
      </c>
      <c r="N1064" s="2" t="s">
        <v>21</v>
      </c>
    </row>
    <row r="1065" ht="15.75" customHeight="1">
      <c r="A1065" s="2">
        <v>2013.0</v>
      </c>
      <c r="B1065" s="2" t="s">
        <v>5725</v>
      </c>
      <c r="D1065" s="2" t="str">
        <f>"8176290891"</f>
        <v>8176290891</v>
      </c>
      <c r="E1065" s="2" t="s">
        <v>385</v>
      </c>
      <c r="F1065" s="2" t="s">
        <v>5726</v>
      </c>
      <c r="G1065" s="2" t="str">
        <f>"SR-1600"</f>
        <v>SR-1600</v>
      </c>
      <c r="H1065" s="2" t="s">
        <v>5727</v>
      </c>
      <c r="I1065" s="2" t="s">
        <v>5728</v>
      </c>
      <c r="K1065" s="2" t="s">
        <v>5729</v>
      </c>
      <c r="L1065" s="2" t="s">
        <v>172</v>
      </c>
      <c r="M1065" s="2">
        <v>76087.0</v>
      </c>
      <c r="N1065" s="2" t="s">
        <v>21</v>
      </c>
    </row>
    <row r="1066" ht="15.75" customHeight="1">
      <c r="A1066" s="2">
        <v>2013.0</v>
      </c>
      <c r="B1066" s="2" t="s">
        <v>5730</v>
      </c>
      <c r="C1066" s="2" t="s">
        <v>5731</v>
      </c>
      <c r="D1066" s="2" t="str">
        <f>"813-684-3583"</f>
        <v>813-684-3583</v>
      </c>
      <c r="E1066" s="2" t="s">
        <v>5732</v>
      </c>
      <c r="F1066" s="2" t="s">
        <v>543</v>
      </c>
      <c r="G1066" s="2" t="str">
        <f>"SR-1606"</f>
        <v>SR-1606</v>
      </c>
      <c r="H1066" s="2" t="s">
        <v>5733</v>
      </c>
      <c r="I1066" s="2" t="s">
        <v>5734</v>
      </c>
      <c r="K1066" s="2" t="s">
        <v>5683</v>
      </c>
      <c r="L1066" s="2" t="s">
        <v>208</v>
      </c>
      <c r="M1066" s="2">
        <v>33596.0</v>
      </c>
      <c r="N1066" s="2" t="s">
        <v>21</v>
      </c>
    </row>
    <row r="1067" ht="15.75" customHeight="1">
      <c r="A1067" s="2">
        <v>2013.0</v>
      </c>
      <c r="B1067" s="2" t="s">
        <v>5735</v>
      </c>
      <c r="C1067" s="2" t="s">
        <v>5735</v>
      </c>
      <c r="D1067" s="2" t="str">
        <f>"4088401035"</f>
        <v>4088401035</v>
      </c>
      <c r="E1067" s="2" t="s">
        <v>5736</v>
      </c>
      <c r="F1067" s="2" t="s">
        <v>5737</v>
      </c>
      <c r="G1067" s="2" t="str">
        <f>"SR-1420"</f>
        <v>SR-1420</v>
      </c>
      <c r="H1067" s="2" t="s">
        <v>5738</v>
      </c>
      <c r="I1067" s="2" t="s">
        <v>5739</v>
      </c>
      <c r="K1067" s="2" t="s">
        <v>5740</v>
      </c>
      <c r="L1067" s="2" t="s">
        <v>222</v>
      </c>
      <c r="M1067" s="2">
        <v>95926.0</v>
      </c>
      <c r="N1067" s="2" t="s">
        <v>21</v>
      </c>
    </row>
    <row r="1068" ht="15.75" customHeight="1">
      <c r="A1068" s="2">
        <v>2013.0</v>
      </c>
      <c r="B1068" s="2" t="s">
        <v>5741</v>
      </c>
      <c r="C1068" s="2" t="s">
        <v>5742</v>
      </c>
      <c r="D1068" s="2" t="str">
        <f>"812-236-5602"</f>
        <v>812-236-5602</v>
      </c>
      <c r="E1068" s="2" t="s">
        <v>2355</v>
      </c>
      <c r="F1068" s="2" t="s">
        <v>5743</v>
      </c>
      <c r="G1068" s="2" t="str">
        <f>"SR-1585"</f>
        <v>SR-1585</v>
      </c>
      <c r="H1068" s="2" t="s">
        <v>5744</v>
      </c>
      <c r="I1068" s="2" t="s">
        <v>5745</v>
      </c>
      <c r="K1068" s="2" t="s">
        <v>5746</v>
      </c>
      <c r="L1068" s="2" t="s">
        <v>149</v>
      </c>
      <c r="M1068" s="2">
        <v>47834.0</v>
      </c>
      <c r="N1068" s="2" t="s">
        <v>21</v>
      </c>
    </row>
    <row r="1069" ht="15.75" customHeight="1">
      <c r="A1069" s="2">
        <v>2013.0</v>
      </c>
      <c r="B1069" s="2" t="s">
        <v>5747</v>
      </c>
      <c r="C1069" s="2" t="s">
        <v>5747</v>
      </c>
      <c r="D1069" s="2" t="str">
        <f>"719-596-5374"</f>
        <v>719-596-5374</v>
      </c>
      <c r="E1069" s="2" t="s">
        <v>926</v>
      </c>
      <c r="F1069" s="2" t="s">
        <v>5748</v>
      </c>
      <c r="G1069" s="2" t="str">
        <f>"SR-1119"</f>
        <v>SR-1119</v>
      </c>
      <c r="H1069" s="2" t="s">
        <v>5749</v>
      </c>
      <c r="I1069" s="2" t="s">
        <v>5750</v>
      </c>
      <c r="K1069" s="2" t="s">
        <v>809</v>
      </c>
      <c r="L1069" s="2" t="s">
        <v>157</v>
      </c>
      <c r="M1069" s="2">
        <v>80922.0</v>
      </c>
      <c r="N1069" s="2" t="s">
        <v>21</v>
      </c>
    </row>
    <row r="1070" ht="15.75" customHeight="1">
      <c r="A1070" s="2">
        <v>2013.0</v>
      </c>
      <c r="B1070" s="2" t="s">
        <v>5730</v>
      </c>
      <c r="C1070" s="2" t="s">
        <v>5751</v>
      </c>
      <c r="D1070" s="2" t="str">
        <f>"(813) 684-3583"</f>
        <v>(813) 684-3583</v>
      </c>
      <c r="E1070" s="2" t="s">
        <v>225</v>
      </c>
      <c r="F1070" s="2" t="s">
        <v>543</v>
      </c>
      <c r="G1070" s="2" t="str">
        <f>"SR-1609"</f>
        <v>SR-1609</v>
      </c>
      <c r="H1070" s="2" t="s">
        <v>5752</v>
      </c>
      <c r="I1070" s="2" t="s">
        <v>5753</v>
      </c>
      <c r="K1070" s="2" t="s">
        <v>5683</v>
      </c>
      <c r="L1070" s="2" t="s">
        <v>208</v>
      </c>
      <c r="M1070" s="2">
        <v>33596.0</v>
      </c>
      <c r="N1070" s="2" t="s">
        <v>21</v>
      </c>
    </row>
    <row r="1071" ht="15.75" customHeight="1">
      <c r="A1071" s="2">
        <v>2013.0</v>
      </c>
      <c r="B1071" s="2" t="s">
        <v>5754</v>
      </c>
      <c r="D1071" s="2" t="str">
        <f>""</f>
        <v/>
      </c>
      <c r="E1071" s="2" t="s">
        <v>931</v>
      </c>
      <c r="F1071" s="2" t="s">
        <v>1612</v>
      </c>
      <c r="G1071" s="2" t="str">
        <f>"SR-1588"</f>
        <v>SR-1588</v>
      </c>
      <c r="H1071" s="2" t="s">
        <v>5755</v>
      </c>
    </row>
    <row r="1072" ht="15.75" customHeight="1">
      <c r="A1072" s="2">
        <v>2013.0</v>
      </c>
      <c r="B1072" s="2" t="s">
        <v>5756</v>
      </c>
      <c r="C1072" s="2" t="s">
        <v>5756</v>
      </c>
      <c r="D1072" s="2" t="str">
        <f>"8176296136"</f>
        <v>8176296136</v>
      </c>
      <c r="E1072" s="2" t="s">
        <v>1585</v>
      </c>
      <c r="F1072" s="2" t="s">
        <v>5726</v>
      </c>
      <c r="G1072" s="2" t="str">
        <f>"SR-1596"</f>
        <v>SR-1596</v>
      </c>
      <c r="H1072" s="2" t="s">
        <v>5757</v>
      </c>
      <c r="I1072" s="2" t="s">
        <v>5758</v>
      </c>
      <c r="K1072" s="2" t="s">
        <v>5729</v>
      </c>
      <c r="L1072" s="2" t="s">
        <v>172</v>
      </c>
      <c r="M1072" s="2">
        <v>76087.0</v>
      </c>
      <c r="N1072" s="2" t="s">
        <v>21</v>
      </c>
    </row>
    <row r="1073" ht="15.75" customHeight="1">
      <c r="A1073" s="2">
        <v>2013.0</v>
      </c>
      <c r="B1073" s="2" t="s">
        <v>5759</v>
      </c>
      <c r="C1073" s="2" t="s">
        <v>5759</v>
      </c>
      <c r="D1073" s="2" t="str">
        <f>"(574) 267-4466"</f>
        <v>(574) 267-4466</v>
      </c>
      <c r="E1073" s="2" t="s">
        <v>5760</v>
      </c>
      <c r="F1073" s="2" t="s">
        <v>160</v>
      </c>
      <c r="G1073" s="2" t="str">
        <f>"SR-1436"</f>
        <v>SR-1436</v>
      </c>
      <c r="H1073" s="2" t="s">
        <v>5761</v>
      </c>
      <c r="I1073" s="2" t="s">
        <v>5762</v>
      </c>
      <c r="K1073" s="2" t="s">
        <v>5763</v>
      </c>
      <c r="L1073" s="2" t="s">
        <v>149</v>
      </c>
      <c r="M1073" s="2">
        <v>46580.0</v>
      </c>
      <c r="N1073" s="2" t="s">
        <v>21</v>
      </c>
    </row>
    <row r="1074" ht="15.75" customHeight="1">
      <c r="A1074" s="2">
        <v>2013.0</v>
      </c>
      <c r="B1074" s="2" t="s">
        <v>5764</v>
      </c>
      <c r="C1074" s="2" t="s">
        <v>5765</v>
      </c>
      <c r="D1074" s="2" t="str">
        <f>"812-205-3998"</f>
        <v>812-205-3998</v>
      </c>
      <c r="E1074" s="2" t="s">
        <v>5766</v>
      </c>
      <c r="F1074" s="2" t="s">
        <v>5767</v>
      </c>
      <c r="G1074" s="2" t="str">
        <f>"SR-1602"</f>
        <v>SR-1602</v>
      </c>
      <c r="H1074" s="2" t="s">
        <v>5768</v>
      </c>
      <c r="I1074" s="2" t="s">
        <v>5769</v>
      </c>
      <c r="K1074" s="2" t="s">
        <v>148</v>
      </c>
      <c r="L1074" s="2" t="s">
        <v>149</v>
      </c>
      <c r="M1074" s="2">
        <v>47715.0</v>
      </c>
      <c r="N1074" s="2" t="s">
        <v>21</v>
      </c>
    </row>
    <row r="1075" ht="15.75" customHeight="1">
      <c r="A1075" s="2">
        <v>2013.0</v>
      </c>
      <c r="B1075" s="2" t="s">
        <v>5770</v>
      </c>
      <c r="C1075" s="2" t="s">
        <v>5771</v>
      </c>
      <c r="D1075" s="2" t="str">
        <f>"4043722703"</f>
        <v>4043722703</v>
      </c>
      <c r="E1075" s="2" t="s">
        <v>580</v>
      </c>
      <c r="F1075" s="2" t="s">
        <v>5772</v>
      </c>
      <c r="G1075" s="2" t="str">
        <f>"SR-1403"</f>
        <v>SR-1403</v>
      </c>
      <c r="H1075" s="2" t="s">
        <v>5773</v>
      </c>
      <c r="I1075" s="2" t="s">
        <v>5774</v>
      </c>
      <c r="K1075" s="2" t="s">
        <v>5775</v>
      </c>
      <c r="L1075" s="2" t="s">
        <v>200</v>
      </c>
      <c r="M1075" s="2">
        <v>30139.0</v>
      </c>
      <c r="N1075" s="2" t="s">
        <v>21</v>
      </c>
    </row>
    <row r="1076" ht="15.75" customHeight="1">
      <c r="A1076" s="2">
        <v>2013.0</v>
      </c>
      <c r="B1076" s="2" t="s">
        <v>5776</v>
      </c>
      <c r="C1076" s="2" t="s">
        <v>5776</v>
      </c>
      <c r="D1076" s="2" t="str">
        <f>"9529149116"</f>
        <v>9529149116</v>
      </c>
      <c r="E1076" s="2" t="s">
        <v>843</v>
      </c>
      <c r="F1076" s="2" t="s">
        <v>5777</v>
      </c>
      <c r="G1076" s="2" t="str">
        <f>"SR-1608"</f>
        <v>SR-1608</v>
      </c>
      <c r="H1076" s="2" t="s">
        <v>5778</v>
      </c>
      <c r="I1076" s="2" t="s">
        <v>5779</v>
      </c>
      <c r="K1076" s="2" t="s">
        <v>1490</v>
      </c>
      <c r="L1076" s="2" t="s">
        <v>62</v>
      </c>
      <c r="M1076" s="2">
        <v>55346.0</v>
      </c>
      <c r="N1076" s="2" t="s">
        <v>21</v>
      </c>
    </row>
    <row r="1077" ht="15.75" customHeight="1">
      <c r="A1077" s="2">
        <v>2013.0</v>
      </c>
      <c r="B1077" s="2" t="s">
        <v>5780</v>
      </c>
      <c r="D1077" s="2" t="str">
        <f>"3364994584"</f>
        <v>3364994584</v>
      </c>
      <c r="E1077" s="2" t="s">
        <v>2089</v>
      </c>
      <c r="F1077" s="2" t="s">
        <v>1859</v>
      </c>
      <c r="G1077" s="2" t="str">
        <f>"SR-1538"</f>
        <v>SR-1538</v>
      </c>
      <c r="H1077" s="2" t="s">
        <v>5781</v>
      </c>
      <c r="I1077" s="2" t="s">
        <v>5782</v>
      </c>
      <c r="K1077" s="2" t="s">
        <v>4174</v>
      </c>
      <c r="L1077" s="2" t="s">
        <v>20</v>
      </c>
      <c r="M1077" s="2">
        <v>27023.0</v>
      </c>
      <c r="N1077" s="2" t="s">
        <v>21</v>
      </c>
    </row>
    <row r="1078" ht="15.75" customHeight="1">
      <c r="A1078" s="2">
        <v>2013.0</v>
      </c>
      <c r="B1078" s="2" t="s">
        <v>5783</v>
      </c>
      <c r="C1078" s="2" t="s">
        <v>5784</v>
      </c>
      <c r="D1078" s="2" t="str">
        <f>"8174739543"</f>
        <v>8174739543</v>
      </c>
      <c r="E1078" s="2" t="s">
        <v>3400</v>
      </c>
      <c r="F1078" s="2" t="s">
        <v>5785</v>
      </c>
      <c r="G1078" s="2" t="str">
        <f>"SR-1570"</f>
        <v>SR-1570</v>
      </c>
      <c r="H1078" s="2" t="s">
        <v>5786</v>
      </c>
      <c r="I1078" s="2" t="s">
        <v>5787</v>
      </c>
      <c r="K1078" s="2" t="s">
        <v>887</v>
      </c>
      <c r="L1078" s="2" t="s">
        <v>172</v>
      </c>
      <c r="M1078" s="2">
        <v>76063.0</v>
      </c>
      <c r="N1078" s="2" t="s">
        <v>21</v>
      </c>
    </row>
    <row r="1079" ht="15.75" customHeight="1">
      <c r="A1079" s="2">
        <v>2013.0</v>
      </c>
      <c r="B1079" s="2" t="s">
        <v>5788</v>
      </c>
      <c r="C1079" s="2" t="s">
        <v>5789</v>
      </c>
      <c r="D1079" s="2" t="str">
        <f>"218 385 2204"</f>
        <v>218 385 2204</v>
      </c>
      <c r="E1079" s="2" t="s">
        <v>5790</v>
      </c>
      <c r="F1079" s="2" t="s">
        <v>5791</v>
      </c>
      <c r="G1079" s="2" t="str">
        <f>"SR-1566"</f>
        <v>SR-1566</v>
      </c>
      <c r="H1079" s="2" t="s">
        <v>5792</v>
      </c>
      <c r="I1079" s="2" t="s">
        <v>5793</v>
      </c>
      <c r="K1079" s="2" t="s">
        <v>5794</v>
      </c>
      <c r="L1079" s="2" t="s">
        <v>62</v>
      </c>
      <c r="M1079" s="2">
        <v>56571.0</v>
      </c>
      <c r="N1079" s="2" t="s">
        <v>21</v>
      </c>
    </row>
    <row r="1080" ht="15.75" customHeight="1">
      <c r="A1080" s="2">
        <v>2013.0</v>
      </c>
      <c r="B1080" s="2" t="s">
        <v>5795</v>
      </c>
      <c r="C1080" s="2" t="s">
        <v>5796</v>
      </c>
      <c r="D1080" s="2" t="str">
        <f>"2563663431"</f>
        <v>2563663431</v>
      </c>
      <c r="E1080" s="2" t="s">
        <v>1450</v>
      </c>
      <c r="F1080" s="2" t="s">
        <v>4497</v>
      </c>
      <c r="G1080" s="2" t="str">
        <f>"SR-1463"</f>
        <v>SR-1463</v>
      </c>
      <c r="H1080" s="2" t="s">
        <v>5797</v>
      </c>
      <c r="I1080" s="2" t="s">
        <v>5798</v>
      </c>
      <c r="K1080" s="2" t="s">
        <v>5799</v>
      </c>
      <c r="L1080" s="2" t="s">
        <v>539</v>
      </c>
      <c r="M1080" s="2">
        <v>35645.0</v>
      </c>
      <c r="N1080" s="2" t="s">
        <v>21</v>
      </c>
    </row>
    <row r="1081" ht="15.75" customHeight="1">
      <c r="A1081" s="2">
        <v>2013.0</v>
      </c>
      <c r="B1081" s="2" t="s">
        <v>5800</v>
      </c>
      <c r="C1081" s="2" t="s">
        <v>5801</v>
      </c>
      <c r="D1081" s="2" t="str">
        <f>"303-898-5567"</f>
        <v>303-898-5567</v>
      </c>
      <c r="E1081" s="2" t="s">
        <v>1585</v>
      </c>
      <c r="F1081" s="2" t="s">
        <v>5802</v>
      </c>
      <c r="G1081" s="2" t="str">
        <f>"SR-1499"</f>
        <v>SR-1499</v>
      </c>
      <c r="H1081" s="2" t="s">
        <v>5803</v>
      </c>
      <c r="I1081" s="2" t="s">
        <v>5804</v>
      </c>
      <c r="K1081" s="2" t="s">
        <v>5805</v>
      </c>
      <c r="L1081" s="2" t="s">
        <v>157</v>
      </c>
      <c r="M1081" s="2">
        <v>80513.0</v>
      </c>
      <c r="N1081" s="2" t="s">
        <v>21</v>
      </c>
    </row>
    <row r="1082" ht="15.75" customHeight="1">
      <c r="A1082" s="2">
        <v>2013.0</v>
      </c>
      <c r="B1082" s="2" t="s">
        <v>5806</v>
      </c>
      <c r="D1082" s="2" t="str">
        <f>""</f>
        <v/>
      </c>
      <c r="E1082" s="2" t="s">
        <v>5807</v>
      </c>
      <c r="F1082" s="2" t="s">
        <v>5808</v>
      </c>
      <c r="G1082" s="2" t="str">
        <f>"SR-1525"</f>
        <v>SR-1525</v>
      </c>
      <c r="H1082" s="2" t="s">
        <v>5809</v>
      </c>
      <c r="N1082" s="2" t="s">
        <v>21</v>
      </c>
    </row>
    <row r="1083" ht="15.75" customHeight="1">
      <c r="A1083" s="2">
        <v>2013.0</v>
      </c>
      <c r="B1083" s="2" t="s">
        <v>5810</v>
      </c>
      <c r="C1083" s="2" t="s">
        <v>5811</v>
      </c>
      <c r="D1083" s="2" t="str">
        <f>"407-482-9679"</f>
        <v>407-482-9679</v>
      </c>
      <c r="E1083" s="2" t="s">
        <v>301</v>
      </c>
      <c r="F1083" s="2" t="s">
        <v>5812</v>
      </c>
      <c r="G1083" s="2" t="str">
        <f>"SR-1607"</f>
        <v>SR-1607</v>
      </c>
      <c r="H1083" s="2" t="s">
        <v>5813</v>
      </c>
      <c r="I1083" s="2" t="s">
        <v>5814</v>
      </c>
      <c r="K1083" s="2" t="s">
        <v>4724</v>
      </c>
      <c r="L1083" s="2" t="s">
        <v>208</v>
      </c>
      <c r="M1083" s="2">
        <v>32812.0</v>
      </c>
      <c r="N1083" s="2" t="s">
        <v>21</v>
      </c>
    </row>
    <row r="1084" ht="15.75" customHeight="1">
      <c r="A1084" s="2">
        <v>2013.0</v>
      </c>
      <c r="B1084" s="2" t="s">
        <v>5815</v>
      </c>
      <c r="C1084" s="2" t="s">
        <v>5816</v>
      </c>
      <c r="D1084" s="2" t="str">
        <f>"5157205673"</f>
        <v>5157205673</v>
      </c>
      <c r="E1084" s="2" t="s">
        <v>1529</v>
      </c>
      <c r="F1084" s="2" t="s">
        <v>5817</v>
      </c>
      <c r="G1084" s="2" t="str">
        <f>"SR-1104"</f>
        <v>SR-1104</v>
      </c>
      <c r="H1084" s="2" t="s">
        <v>5818</v>
      </c>
      <c r="I1084" s="2" t="s">
        <v>5819</v>
      </c>
      <c r="K1084" s="2" t="s">
        <v>559</v>
      </c>
      <c r="L1084" s="2" t="s">
        <v>560</v>
      </c>
      <c r="M1084" s="2">
        <v>50023.0</v>
      </c>
      <c r="N1084" s="2" t="s">
        <v>21</v>
      </c>
    </row>
    <row r="1085" ht="15.75" customHeight="1">
      <c r="A1085" s="2">
        <v>2013.0</v>
      </c>
      <c r="B1085" s="2" t="s">
        <v>5810</v>
      </c>
      <c r="C1085" s="2" t="s">
        <v>5820</v>
      </c>
      <c r="D1085" s="2" t="str">
        <f>"407-230-9047"</f>
        <v>407-230-9047</v>
      </c>
      <c r="E1085" s="2" t="s">
        <v>1362</v>
      </c>
      <c r="F1085" s="2" t="s">
        <v>5812</v>
      </c>
      <c r="G1085" s="2" t="str">
        <f>"SR-1604"</f>
        <v>SR-1604</v>
      </c>
      <c r="H1085" s="2" t="s">
        <v>5821</v>
      </c>
      <c r="I1085" s="2" t="s">
        <v>5822</v>
      </c>
      <c r="K1085" s="2" t="s">
        <v>4724</v>
      </c>
      <c r="L1085" s="2" t="s">
        <v>208</v>
      </c>
      <c r="M1085" s="2">
        <v>32812.0</v>
      </c>
      <c r="N1085" s="2" t="s">
        <v>21</v>
      </c>
    </row>
    <row r="1086" ht="15.75" customHeight="1">
      <c r="A1086" s="2">
        <v>2013.0</v>
      </c>
      <c r="B1086" s="2" t="s">
        <v>5823</v>
      </c>
      <c r="C1086" s="2" t="s">
        <v>5823</v>
      </c>
      <c r="D1086" s="2" t="str">
        <f>"(408) 668-4105"</f>
        <v>(408) 668-4105</v>
      </c>
      <c r="E1086" s="2" t="s">
        <v>385</v>
      </c>
      <c r="F1086" s="2" t="s">
        <v>2753</v>
      </c>
      <c r="G1086" s="2" t="str">
        <f>"SR-1614"</f>
        <v>SR-1614</v>
      </c>
      <c r="H1086" s="2" t="s">
        <v>5824</v>
      </c>
      <c r="I1086" s="2" t="s">
        <v>5825</v>
      </c>
      <c r="K1086" s="2" t="s">
        <v>5826</v>
      </c>
      <c r="L1086" s="2" t="s">
        <v>222</v>
      </c>
      <c r="M1086" s="2">
        <v>95120.0</v>
      </c>
      <c r="N1086" s="2" t="s">
        <v>21</v>
      </c>
    </row>
    <row r="1087" ht="15.75" customHeight="1">
      <c r="A1087" s="2">
        <v>2013.0</v>
      </c>
      <c r="B1087" s="2" t="s">
        <v>5827</v>
      </c>
      <c r="C1087" s="2" t="s">
        <v>5828</v>
      </c>
      <c r="D1087" s="2" t="str">
        <f>"432-218-9396"</f>
        <v>432-218-9396</v>
      </c>
      <c r="E1087" s="2" t="s">
        <v>5829</v>
      </c>
      <c r="F1087" s="2" t="s">
        <v>5830</v>
      </c>
      <c r="G1087" s="2" t="str">
        <f>"SR-1617"</f>
        <v>SR-1617</v>
      </c>
      <c r="H1087" s="2" t="s">
        <v>5831</v>
      </c>
      <c r="I1087" s="2" t="s">
        <v>5832</v>
      </c>
      <c r="K1087" s="2" t="s">
        <v>5833</v>
      </c>
      <c r="L1087" s="2" t="s">
        <v>172</v>
      </c>
      <c r="M1087" s="2">
        <v>79707.0</v>
      </c>
      <c r="N1087" s="2" t="s">
        <v>21</v>
      </c>
    </row>
    <row r="1088" ht="15.75" customHeight="1">
      <c r="A1088" s="2">
        <v>2013.0</v>
      </c>
      <c r="B1088" s="2" t="s">
        <v>5834</v>
      </c>
      <c r="C1088" s="2" t="s">
        <v>5834</v>
      </c>
      <c r="D1088" s="2" t="str">
        <f>"(336)852-8845"</f>
        <v>(336)852-8845</v>
      </c>
      <c r="E1088" s="2" t="s">
        <v>5760</v>
      </c>
      <c r="F1088" s="2" t="s">
        <v>1848</v>
      </c>
      <c r="G1088" s="2" t="str">
        <f>"SR-1618"</f>
        <v>SR-1618</v>
      </c>
      <c r="H1088" s="2" t="s">
        <v>5835</v>
      </c>
      <c r="I1088" s="2" t="s">
        <v>5836</v>
      </c>
      <c r="K1088" s="2" t="s">
        <v>5837</v>
      </c>
      <c r="L1088" s="2" t="s">
        <v>20</v>
      </c>
      <c r="M1088" s="2">
        <v>27407.0</v>
      </c>
      <c r="N1088" s="2" t="s">
        <v>21</v>
      </c>
    </row>
    <row r="1089" ht="15.75" customHeight="1">
      <c r="A1089" s="2">
        <v>2013.0</v>
      </c>
      <c r="B1089" s="2" t="s">
        <v>5838</v>
      </c>
      <c r="C1089" s="2" t="s">
        <v>5839</v>
      </c>
      <c r="D1089" s="2" t="str">
        <f>"6158288795"</f>
        <v>6158288795</v>
      </c>
      <c r="E1089" s="2" t="s">
        <v>843</v>
      </c>
      <c r="F1089" s="2" t="s">
        <v>5840</v>
      </c>
      <c r="G1089" s="2" t="str">
        <f>"SR-1587"</f>
        <v>SR-1587</v>
      </c>
      <c r="H1089" s="2" t="s">
        <v>5841</v>
      </c>
      <c r="I1089" s="2" t="s">
        <v>5842</v>
      </c>
      <c r="K1089" s="2" t="s">
        <v>5843</v>
      </c>
      <c r="L1089" s="2" t="s">
        <v>279</v>
      </c>
      <c r="M1089" s="2">
        <v>37179.0</v>
      </c>
      <c r="N1089" s="2" t="s">
        <v>21</v>
      </c>
    </row>
    <row r="1090" ht="15.75" customHeight="1">
      <c r="A1090" s="2">
        <v>2013.0</v>
      </c>
      <c r="B1090" s="2" t="s">
        <v>5844</v>
      </c>
      <c r="C1090" s="2" t="s">
        <v>5845</v>
      </c>
      <c r="D1090" s="2" t="str">
        <f>"952-467-1967"</f>
        <v>952-467-1967</v>
      </c>
      <c r="E1090" s="2" t="s">
        <v>5846</v>
      </c>
      <c r="F1090" s="2" t="s">
        <v>5847</v>
      </c>
      <c r="G1090" s="2" t="str">
        <f>"SR-1616"</f>
        <v>SR-1616</v>
      </c>
      <c r="H1090" s="2" t="s">
        <v>5848</v>
      </c>
      <c r="I1090" s="2" t="s">
        <v>5849</v>
      </c>
      <c r="K1090" s="2" t="s">
        <v>5850</v>
      </c>
      <c r="L1090" s="2" t="s">
        <v>62</v>
      </c>
      <c r="M1090" s="2">
        <v>55397.0</v>
      </c>
      <c r="N1090" s="2" t="s">
        <v>21</v>
      </c>
    </row>
    <row r="1091" ht="15.75" customHeight="1">
      <c r="A1091" s="2">
        <v>2013.0</v>
      </c>
      <c r="B1091" s="2" t="s">
        <v>5851</v>
      </c>
      <c r="C1091" s="2" t="s">
        <v>5851</v>
      </c>
      <c r="D1091" s="2" t="str">
        <f>"281 655 8243"</f>
        <v>281 655 8243</v>
      </c>
      <c r="E1091" s="2" t="s">
        <v>3305</v>
      </c>
      <c r="F1091" s="2" t="s">
        <v>5852</v>
      </c>
      <c r="G1091" s="2" t="str">
        <f>"SR-1571"</f>
        <v>SR-1571</v>
      </c>
      <c r="H1091" s="2" t="s">
        <v>5853</v>
      </c>
      <c r="I1091" s="2" t="s">
        <v>5854</v>
      </c>
      <c r="K1091" s="2" t="s">
        <v>5855</v>
      </c>
      <c r="L1091" s="2" t="s">
        <v>172</v>
      </c>
      <c r="M1091" s="2">
        <v>77379.0</v>
      </c>
      <c r="N1091" s="2" t="s">
        <v>21</v>
      </c>
    </row>
    <row r="1092" ht="15.75" customHeight="1">
      <c r="A1092" s="2">
        <v>2013.0</v>
      </c>
      <c r="B1092" s="2" t="s">
        <v>5856</v>
      </c>
      <c r="C1092" s="2" t="s">
        <v>5857</v>
      </c>
      <c r="D1092" s="2" t="str">
        <f>"512-905-4113"</f>
        <v>512-905-4113</v>
      </c>
      <c r="E1092" s="2" t="s">
        <v>5858</v>
      </c>
      <c r="F1092" s="2" t="s">
        <v>5859</v>
      </c>
      <c r="G1092" s="2" t="str">
        <f>"SR-755"</f>
        <v>SR-755</v>
      </c>
      <c r="H1092" s="2" t="s">
        <v>5860</v>
      </c>
      <c r="I1092" s="2" t="s">
        <v>5861</v>
      </c>
      <c r="K1092" s="2" t="s">
        <v>5862</v>
      </c>
      <c r="L1092" s="2" t="s">
        <v>172</v>
      </c>
      <c r="M1092" s="2">
        <v>76567.0</v>
      </c>
      <c r="N1092" s="2" t="s">
        <v>21</v>
      </c>
    </row>
    <row r="1093" ht="15.75" customHeight="1">
      <c r="A1093" s="2">
        <v>2013.0</v>
      </c>
      <c r="B1093" s="2" t="s">
        <v>5863</v>
      </c>
      <c r="C1093" s="2" t="s">
        <v>5863</v>
      </c>
      <c r="D1093" s="2" t="str">
        <f>"205-876-3396"</f>
        <v>205-876-3396</v>
      </c>
      <c r="E1093" s="2" t="s">
        <v>301</v>
      </c>
      <c r="F1093" s="2" t="s">
        <v>847</v>
      </c>
      <c r="G1093" s="2" t="str">
        <f>"SR-1623"</f>
        <v>SR-1623</v>
      </c>
      <c r="H1093" s="2" t="s">
        <v>5864</v>
      </c>
      <c r="I1093" s="2" t="s">
        <v>5865</v>
      </c>
      <c r="K1093" s="2" t="s">
        <v>1173</v>
      </c>
      <c r="L1093" s="2" t="s">
        <v>539</v>
      </c>
      <c r="M1093" s="2">
        <v>35243.0</v>
      </c>
      <c r="N1093" s="2" t="s">
        <v>21</v>
      </c>
    </row>
    <row r="1094" ht="15.75" customHeight="1">
      <c r="A1094" s="2">
        <v>2013.0</v>
      </c>
      <c r="B1094" s="2" t="s">
        <v>5866</v>
      </c>
      <c r="C1094" s="2" t="s">
        <v>5867</v>
      </c>
      <c r="D1094" s="2" t="str">
        <f>"5038733245"</f>
        <v>5038733245</v>
      </c>
      <c r="E1094" s="2" t="s">
        <v>1980</v>
      </c>
      <c r="F1094" s="2" t="s">
        <v>5868</v>
      </c>
      <c r="G1094" s="2" t="str">
        <f>"SR-1622"</f>
        <v>SR-1622</v>
      </c>
      <c r="H1094" s="2" t="s">
        <v>5869</v>
      </c>
      <c r="I1094" s="2" t="s">
        <v>5870</v>
      </c>
      <c r="K1094" s="2" t="s">
        <v>5131</v>
      </c>
      <c r="L1094" s="2" t="s">
        <v>2389</v>
      </c>
      <c r="M1094" s="2">
        <v>97305.0</v>
      </c>
      <c r="N1094" s="2" t="s">
        <v>21</v>
      </c>
    </row>
    <row r="1095" ht="15.75" customHeight="1">
      <c r="A1095" s="2">
        <v>2013.0</v>
      </c>
      <c r="B1095" s="2" t="s">
        <v>5871</v>
      </c>
      <c r="C1095" s="2" t="s">
        <v>5871</v>
      </c>
      <c r="D1095" s="2" t="str">
        <f>"515-253-9429"</f>
        <v>515-253-9429</v>
      </c>
      <c r="E1095" s="2" t="s">
        <v>5872</v>
      </c>
      <c r="F1095" s="2" t="s">
        <v>5873</v>
      </c>
      <c r="G1095" s="2" t="str">
        <f>"SR-1627"</f>
        <v>SR-1627</v>
      </c>
      <c r="H1095" s="2" t="s">
        <v>5874</v>
      </c>
      <c r="I1095" s="2" t="s">
        <v>5875</v>
      </c>
      <c r="K1095" s="2" t="s">
        <v>3050</v>
      </c>
      <c r="L1095" s="2" t="s">
        <v>560</v>
      </c>
      <c r="M1095" s="2">
        <v>50322.0</v>
      </c>
      <c r="N1095" s="2" t="s">
        <v>21</v>
      </c>
    </row>
    <row r="1096" ht="15.75" customHeight="1">
      <c r="A1096" s="2">
        <v>2013.0</v>
      </c>
      <c r="B1096" s="2" t="s">
        <v>5783</v>
      </c>
      <c r="C1096" s="2" t="s">
        <v>5876</v>
      </c>
      <c r="D1096" s="2" t="str">
        <f>"8174739543"</f>
        <v>8174739543</v>
      </c>
      <c r="E1096" s="2" t="s">
        <v>36</v>
      </c>
      <c r="F1096" s="2" t="s">
        <v>5785</v>
      </c>
      <c r="G1096" s="2" t="str">
        <f>"SR-1562"</f>
        <v>SR-1562</v>
      </c>
      <c r="H1096" s="2" t="s">
        <v>5877</v>
      </c>
      <c r="I1096" s="2" t="s">
        <v>5878</v>
      </c>
      <c r="K1096" s="2" t="s">
        <v>887</v>
      </c>
      <c r="L1096" s="2" t="s">
        <v>172</v>
      </c>
      <c r="M1096" s="2">
        <v>76063.0</v>
      </c>
      <c r="N1096" s="2" t="s">
        <v>21</v>
      </c>
    </row>
    <row r="1097" ht="15.75" customHeight="1">
      <c r="A1097" s="2">
        <v>2013.0</v>
      </c>
      <c r="B1097" s="2" t="s">
        <v>5879</v>
      </c>
      <c r="C1097" s="2" t="s">
        <v>5880</v>
      </c>
      <c r="D1097" s="2" t="str">
        <f>"308-726-1234"</f>
        <v>308-726-1234</v>
      </c>
      <c r="E1097" s="2" t="s">
        <v>2361</v>
      </c>
      <c r="F1097" s="2" t="s">
        <v>5881</v>
      </c>
      <c r="G1097" s="2" t="str">
        <f>"SR-1626"</f>
        <v>SR-1626</v>
      </c>
      <c r="H1097" s="2" t="s">
        <v>5882</v>
      </c>
      <c r="I1097" s="2" t="s">
        <v>5883</v>
      </c>
      <c r="K1097" s="2" t="s">
        <v>5884</v>
      </c>
      <c r="L1097" s="2" t="s">
        <v>757</v>
      </c>
      <c r="M1097" s="2">
        <v>69146.0</v>
      </c>
      <c r="N1097" s="2" t="s">
        <v>21</v>
      </c>
    </row>
    <row r="1098" ht="15.75" customHeight="1">
      <c r="A1098" s="2">
        <v>2013.0</v>
      </c>
      <c r="B1098" s="2" t="s">
        <v>5885</v>
      </c>
      <c r="D1098" s="2" t="str">
        <f>"408-320-2380"</f>
        <v>408-320-2380</v>
      </c>
      <c r="E1098" s="2" t="s">
        <v>100</v>
      </c>
      <c r="F1098" s="2" t="s">
        <v>5886</v>
      </c>
      <c r="G1098" s="2" t="str">
        <f>"SR-1575"</f>
        <v>SR-1575</v>
      </c>
      <c r="H1098" s="2" t="s">
        <v>5887</v>
      </c>
      <c r="I1098" s="2" t="s">
        <v>5888</v>
      </c>
      <c r="K1098" s="2" t="s">
        <v>5826</v>
      </c>
      <c r="L1098" s="2" t="s">
        <v>222</v>
      </c>
      <c r="M1098" s="2">
        <v>95130.0</v>
      </c>
      <c r="N1098" s="2" t="s">
        <v>21</v>
      </c>
    </row>
    <row r="1099" ht="15.75" customHeight="1">
      <c r="A1099" s="2">
        <v>2013.0</v>
      </c>
      <c r="B1099" s="2" t="s">
        <v>5889</v>
      </c>
      <c r="C1099" s="2" t="s">
        <v>5889</v>
      </c>
      <c r="D1099" s="2" t="str">
        <f>"6822393040"</f>
        <v>6822393040</v>
      </c>
      <c r="E1099" s="2" t="s">
        <v>1032</v>
      </c>
      <c r="F1099" s="2" t="s">
        <v>5890</v>
      </c>
      <c r="G1099" s="2" t="str">
        <f>"SR-1633"</f>
        <v>SR-1633</v>
      </c>
      <c r="H1099" s="2" t="s">
        <v>5891</v>
      </c>
      <c r="I1099" s="2" t="s">
        <v>5892</v>
      </c>
      <c r="K1099" s="2" t="s">
        <v>1260</v>
      </c>
      <c r="L1099" s="2" t="s">
        <v>172</v>
      </c>
      <c r="M1099" s="2">
        <v>76109.0</v>
      </c>
      <c r="N1099" s="2" t="s">
        <v>21</v>
      </c>
    </row>
    <row r="1100" ht="15.75" customHeight="1">
      <c r="A1100" s="2">
        <v>2013.0</v>
      </c>
      <c r="B1100" s="2" t="s">
        <v>5893</v>
      </c>
      <c r="C1100" s="2" t="s">
        <v>5894</v>
      </c>
      <c r="D1100" s="2" t="str">
        <f>"(801)698.1183"</f>
        <v>(801)698.1183</v>
      </c>
      <c r="E1100" s="2" t="s">
        <v>659</v>
      </c>
      <c r="F1100" s="2" t="s">
        <v>5895</v>
      </c>
      <c r="G1100" s="2" t="str">
        <f>"SR-1628"</f>
        <v>SR-1628</v>
      </c>
      <c r="H1100" s="2" t="s">
        <v>5896</v>
      </c>
      <c r="I1100" s="2" t="s">
        <v>5897</v>
      </c>
      <c r="K1100" s="2" t="s">
        <v>5898</v>
      </c>
      <c r="L1100" s="2" t="s">
        <v>763</v>
      </c>
      <c r="M1100" s="2">
        <v>84040.0</v>
      </c>
      <c r="N1100" s="2" t="s">
        <v>21</v>
      </c>
    </row>
    <row r="1101" ht="15.75" customHeight="1">
      <c r="A1101" s="2">
        <v>2013.0</v>
      </c>
      <c r="B1101" s="2" t="s">
        <v>5899</v>
      </c>
      <c r="C1101" s="2" t="s">
        <v>5900</v>
      </c>
      <c r="D1101" s="2" t="str">
        <f>"425-222-5569"</f>
        <v>425-222-5569</v>
      </c>
      <c r="E1101" s="2" t="s">
        <v>5901</v>
      </c>
      <c r="F1101" s="2" t="s">
        <v>89</v>
      </c>
      <c r="G1101" s="2" t="str">
        <f>"SR-1277"</f>
        <v>SR-1277</v>
      </c>
      <c r="H1101" s="2" t="s">
        <v>5902</v>
      </c>
      <c r="I1101" s="2" t="s">
        <v>5903</v>
      </c>
      <c r="K1101" s="2" t="s">
        <v>5904</v>
      </c>
      <c r="L1101" s="2" t="s">
        <v>86</v>
      </c>
      <c r="M1101" s="2">
        <v>98024.0</v>
      </c>
      <c r="N1101" s="2" t="s">
        <v>21</v>
      </c>
    </row>
    <row r="1102" ht="15.75" customHeight="1">
      <c r="A1102" s="2">
        <v>2013.0</v>
      </c>
      <c r="B1102" s="2" t="s">
        <v>5363</v>
      </c>
      <c r="C1102" s="2" t="s">
        <v>5905</v>
      </c>
      <c r="D1102" s="2" t="str">
        <f>"6193120660"</f>
        <v>6193120660</v>
      </c>
      <c r="E1102" s="2" t="s">
        <v>5906</v>
      </c>
      <c r="F1102" s="2" t="s">
        <v>5365</v>
      </c>
      <c r="G1102" s="2" t="str">
        <f>"SR-1523"</f>
        <v>SR-1523</v>
      </c>
      <c r="H1102" s="2" t="s">
        <v>5907</v>
      </c>
      <c r="I1102" s="2" t="s">
        <v>5908</v>
      </c>
      <c r="K1102" s="2" t="s">
        <v>5909</v>
      </c>
      <c r="L1102" s="2" t="s">
        <v>222</v>
      </c>
      <c r="M1102" s="2">
        <v>92040.0</v>
      </c>
      <c r="N1102" s="2" t="s">
        <v>21</v>
      </c>
    </row>
    <row r="1103" ht="15.75" customHeight="1">
      <c r="A1103" s="2">
        <v>2013.0</v>
      </c>
      <c r="B1103" s="2" t="s">
        <v>5910</v>
      </c>
      <c r="D1103" s="2" t="str">
        <f>"479-445-2987"</f>
        <v>479-445-2987</v>
      </c>
      <c r="E1103" s="2" t="s">
        <v>1918</v>
      </c>
      <c r="F1103" s="2" t="s">
        <v>5911</v>
      </c>
      <c r="G1103" s="2" t="str">
        <f>"SR-753"</f>
        <v>SR-753</v>
      </c>
      <c r="H1103" s="2" t="s">
        <v>5912</v>
      </c>
      <c r="I1103" s="2" t="s">
        <v>5913</v>
      </c>
      <c r="K1103" s="2" t="s">
        <v>5914</v>
      </c>
      <c r="L1103" s="2" t="s">
        <v>214</v>
      </c>
      <c r="M1103" s="2">
        <v>65616.0</v>
      </c>
      <c r="N1103" s="2" t="s">
        <v>21</v>
      </c>
    </row>
    <row r="1104" ht="15.75" customHeight="1">
      <c r="A1104" s="2">
        <v>2013.0</v>
      </c>
      <c r="B1104" s="2" t="s">
        <v>5915</v>
      </c>
      <c r="C1104" s="2" t="s">
        <v>5915</v>
      </c>
      <c r="D1104" s="2" t="str">
        <f>"303-688-8888"</f>
        <v>303-688-8888</v>
      </c>
      <c r="E1104" s="2" t="s">
        <v>5916</v>
      </c>
      <c r="F1104" s="2" t="s">
        <v>5917</v>
      </c>
      <c r="G1104" s="2" t="str">
        <f>"SR-1635"</f>
        <v>SR-1635</v>
      </c>
      <c r="H1104" s="2" t="s">
        <v>5918</v>
      </c>
      <c r="I1104" s="2" t="s">
        <v>5919</v>
      </c>
      <c r="K1104" s="2" t="s">
        <v>5412</v>
      </c>
      <c r="L1104" s="2" t="s">
        <v>157</v>
      </c>
      <c r="M1104" s="2">
        <v>80135.0</v>
      </c>
      <c r="N1104" s="2" t="s">
        <v>21</v>
      </c>
    </row>
    <row r="1105" ht="15.75" customHeight="1">
      <c r="A1105" s="2">
        <v>2013.0</v>
      </c>
      <c r="B1105" s="2" t="s">
        <v>5920</v>
      </c>
      <c r="C1105" s="2" t="s">
        <v>5920</v>
      </c>
      <c r="D1105" s="2" t="str">
        <f>"9167529007"</f>
        <v>9167529007</v>
      </c>
      <c r="E1105" s="2" t="s">
        <v>5921</v>
      </c>
      <c r="F1105" s="2" t="s">
        <v>89</v>
      </c>
      <c r="G1105" s="2" t="str">
        <f>"SR-1080"</f>
        <v>SR-1080</v>
      </c>
      <c r="H1105" s="2" t="s">
        <v>5922</v>
      </c>
      <c r="I1105" s="2" t="s">
        <v>5923</v>
      </c>
      <c r="K1105" s="2" t="s">
        <v>5924</v>
      </c>
      <c r="L1105" s="2" t="s">
        <v>222</v>
      </c>
      <c r="M1105" s="2">
        <v>95757.0</v>
      </c>
      <c r="N1105" s="2" t="s">
        <v>21</v>
      </c>
    </row>
    <row r="1106" ht="15.75" customHeight="1">
      <c r="A1106" s="2">
        <v>2013.0</v>
      </c>
      <c r="B1106" s="2" t="s">
        <v>5925</v>
      </c>
      <c r="C1106" s="2" t="s">
        <v>5926</v>
      </c>
      <c r="D1106" s="2" t="str">
        <f>"360-535-3220"</f>
        <v>360-535-3220</v>
      </c>
      <c r="E1106" s="2" t="s">
        <v>5927</v>
      </c>
      <c r="F1106" s="2" t="s">
        <v>5928</v>
      </c>
      <c r="G1106" s="2" t="str">
        <f>"SR-1601"</f>
        <v>SR-1601</v>
      </c>
      <c r="H1106" s="2" t="s">
        <v>5929</v>
      </c>
      <c r="I1106" s="2" t="s">
        <v>5930</v>
      </c>
      <c r="K1106" s="2" t="s">
        <v>5931</v>
      </c>
      <c r="L1106" s="2" t="s">
        <v>86</v>
      </c>
      <c r="M1106" s="2">
        <v>98367.0</v>
      </c>
      <c r="N1106" s="2" t="s">
        <v>21</v>
      </c>
    </row>
    <row r="1107" ht="15.75" customHeight="1">
      <c r="A1107" s="2">
        <v>2013.0</v>
      </c>
      <c r="B1107" s="2" t="s">
        <v>5932</v>
      </c>
      <c r="C1107" s="2" t="s">
        <v>5933</v>
      </c>
      <c r="D1107" s="2" t="str">
        <f>"307-202-1381"</f>
        <v>307-202-1381</v>
      </c>
      <c r="E1107" s="2" t="s">
        <v>5934</v>
      </c>
      <c r="F1107" s="2" t="s">
        <v>133</v>
      </c>
      <c r="G1107" s="2" t="str">
        <f>"SR-1636"</f>
        <v>SR-1636</v>
      </c>
      <c r="H1107" s="2" t="s">
        <v>5935</v>
      </c>
      <c r="I1107" s="2" t="s">
        <v>5936</v>
      </c>
      <c r="K1107" s="2" t="s">
        <v>2771</v>
      </c>
      <c r="L1107" s="2" t="s">
        <v>1540</v>
      </c>
      <c r="M1107" s="2">
        <v>82435.0</v>
      </c>
      <c r="N1107" s="2" t="s">
        <v>21</v>
      </c>
    </row>
    <row r="1108" ht="15.75" customHeight="1">
      <c r="A1108" s="2">
        <v>2013.0</v>
      </c>
      <c r="B1108" s="2" t="s">
        <v>5937</v>
      </c>
      <c r="C1108" s="2" t="s">
        <v>5937</v>
      </c>
      <c r="D1108" s="2" t="str">
        <f>"6189854716"</f>
        <v>6189854716</v>
      </c>
      <c r="E1108" s="2" t="s">
        <v>3342</v>
      </c>
      <c r="F1108" s="2" t="s">
        <v>5938</v>
      </c>
      <c r="G1108" s="2" t="str">
        <f>"SR-1574"</f>
        <v>SR-1574</v>
      </c>
      <c r="H1108" s="2" t="s">
        <v>5939</v>
      </c>
      <c r="I1108" s="2" t="s">
        <v>5940</v>
      </c>
      <c r="K1108" s="2" t="s">
        <v>5941</v>
      </c>
      <c r="L1108" s="2" t="s">
        <v>105</v>
      </c>
      <c r="M1108" s="2">
        <v>62918.0</v>
      </c>
      <c r="N1108" s="2" t="s">
        <v>21</v>
      </c>
    </row>
    <row r="1109" ht="15.75" customHeight="1">
      <c r="A1109" s="2">
        <v>2013.0</v>
      </c>
      <c r="B1109" s="2" t="s">
        <v>5942</v>
      </c>
      <c r="D1109" s="2" t="str">
        <f>"(520) 975-3003"</f>
        <v>(520) 975-3003</v>
      </c>
      <c r="E1109" s="2" t="s">
        <v>824</v>
      </c>
      <c r="F1109" s="2" t="s">
        <v>5943</v>
      </c>
      <c r="G1109" s="2" t="str">
        <f>"SR-1642"</f>
        <v>SR-1642</v>
      </c>
      <c r="H1109" s="2" t="s">
        <v>5944</v>
      </c>
      <c r="I1109" s="2" t="s">
        <v>5945</v>
      </c>
      <c r="K1109" s="2" t="s">
        <v>5946</v>
      </c>
      <c r="L1109" s="2" t="s">
        <v>422</v>
      </c>
      <c r="M1109" s="2">
        <v>85737.0</v>
      </c>
      <c r="N1109" s="2" t="s">
        <v>21</v>
      </c>
    </row>
    <row r="1110" ht="15.75" customHeight="1">
      <c r="A1110" s="2">
        <v>2013.0</v>
      </c>
      <c r="B1110" s="2" t="s">
        <v>5947</v>
      </c>
      <c r="C1110" s="2" t="s">
        <v>5947</v>
      </c>
      <c r="D1110" s="2" t="str">
        <f>"719-495-0806"</f>
        <v>719-495-0806</v>
      </c>
      <c r="E1110" s="2" t="s">
        <v>167</v>
      </c>
      <c r="F1110" s="2" t="s">
        <v>962</v>
      </c>
      <c r="G1110" s="2" t="str">
        <f>"SR-1641"</f>
        <v>SR-1641</v>
      </c>
      <c r="H1110" s="2" t="s">
        <v>5948</v>
      </c>
      <c r="I1110" s="2" t="s">
        <v>5949</v>
      </c>
      <c r="K1110" s="2" t="s">
        <v>312</v>
      </c>
      <c r="L1110" s="2" t="s">
        <v>157</v>
      </c>
      <c r="M1110" s="2">
        <v>80106.0</v>
      </c>
      <c r="N1110" s="2" t="s">
        <v>21</v>
      </c>
    </row>
    <row r="1111" ht="15.75" customHeight="1">
      <c r="A1111" s="2">
        <v>2013.0</v>
      </c>
      <c r="B1111" s="2" t="s">
        <v>5950</v>
      </c>
      <c r="C1111" s="2" t="s">
        <v>5950</v>
      </c>
      <c r="D1111" s="2" t="str">
        <f>"3109954308"</f>
        <v>3109954308</v>
      </c>
      <c r="E1111" s="2" t="s">
        <v>5951</v>
      </c>
      <c r="F1111" s="2" t="s">
        <v>5952</v>
      </c>
      <c r="G1111" s="2" t="str">
        <f>"SR-1640"</f>
        <v>SR-1640</v>
      </c>
      <c r="H1111" s="2" t="s">
        <v>5953</v>
      </c>
      <c r="I1111" s="2" t="s">
        <v>5954</v>
      </c>
      <c r="K1111" s="2" t="s">
        <v>5955</v>
      </c>
      <c r="L1111" s="2" t="s">
        <v>222</v>
      </c>
      <c r="M1111" s="2">
        <v>90501.0</v>
      </c>
      <c r="N1111" s="2" t="s">
        <v>21</v>
      </c>
    </row>
    <row r="1112" ht="15.75" customHeight="1">
      <c r="A1112" s="2">
        <v>2013.0</v>
      </c>
      <c r="B1112" s="2" t="s">
        <v>5956</v>
      </c>
      <c r="C1112" s="2" t="s">
        <v>5956</v>
      </c>
      <c r="D1112" s="2" t="str">
        <f>"3109954318"</f>
        <v>3109954318</v>
      </c>
      <c r="E1112" s="2" t="s">
        <v>5957</v>
      </c>
      <c r="F1112" s="2" t="s">
        <v>5952</v>
      </c>
      <c r="G1112" s="2" t="str">
        <f>"SR-1639"</f>
        <v>SR-1639</v>
      </c>
      <c r="H1112" s="2" t="s">
        <v>5958</v>
      </c>
      <c r="I1112" s="2" t="s">
        <v>5959</v>
      </c>
      <c r="K1112" s="2" t="s">
        <v>5955</v>
      </c>
      <c r="L1112" s="2" t="s">
        <v>222</v>
      </c>
      <c r="M1112" s="2">
        <v>90501.0</v>
      </c>
      <c r="N1112" s="2" t="s">
        <v>21</v>
      </c>
    </row>
    <row r="1113" ht="15.75" customHeight="1">
      <c r="A1113" s="2">
        <v>2013.0</v>
      </c>
      <c r="B1113" s="2" t="s">
        <v>5960</v>
      </c>
      <c r="C1113" s="2" t="s">
        <v>5961</v>
      </c>
      <c r="D1113" s="2" t="str">
        <f>"571 420 2544"</f>
        <v>571 420 2544</v>
      </c>
      <c r="E1113" s="2" t="s">
        <v>5858</v>
      </c>
      <c r="F1113" s="2" t="s">
        <v>5962</v>
      </c>
      <c r="G1113" s="2" t="str">
        <f>"SR-1467"</f>
        <v>SR-1467</v>
      </c>
      <c r="H1113" s="2" t="s">
        <v>5963</v>
      </c>
      <c r="I1113" s="2" t="s">
        <v>5964</v>
      </c>
      <c r="K1113" s="2" t="s">
        <v>5965</v>
      </c>
      <c r="L1113" s="2" t="s">
        <v>2534</v>
      </c>
      <c r="M1113" s="2">
        <v>58704.0</v>
      </c>
      <c r="N1113" s="2" t="s">
        <v>21</v>
      </c>
    </row>
    <row r="1114" ht="15.75" customHeight="1">
      <c r="A1114" s="2">
        <v>2013.0</v>
      </c>
      <c r="B1114" s="2" t="s">
        <v>5966</v>
      </c>
      <c r="C1114" s="2" t="s">
        <v>5966</v>
      </c>
      <c r="D1114" s="2" t="str">
        <f>"3367754217"</f>
        <v>3367754217</v>
      </c>
      <c r="E1114" s="2" t="s">
        <v>1928</v>
      </c>
      <c r="F1114" s="2" t="s">
        <v>4148</v>
      </c>
      <c r="G1114" s="2" t="str">
        <f>"SR-1544"</f>
        <v>SR-1544</v>
      </c>
      <c r="H1114" s="2" t="s">
        <v>5967</v>
      </c>
      <c r="I1114" s="2" t="s">
        <v>5968</v>
      </c>
      <c r="K1114" s="2" t="s">
        <v>254</v>
      </c>
      <c r="L1114" s="2" t="s">
        <v>20</v>
      </c>
      <c r="M1114" s="2">
        <v>27295.0</v>
      </c>
      <c r="N1114" s="2" t="s">
        <v>21</v>
      </c>
    </row>
    <row r="1115" ht="15.75" customHeight="1">
      <c r="A1115" s="2">
        <v>2013.0</v>
      </c>
      <c r="B1115" s="2" t="s">
        <v>5969</v>
      </c>
      <c r="D1115" s="2" t="str">
        <f>"785-407-0416"</f>
        <v>785-407-0416</v>
      </c>
      <c r="E1115" s="2" t="s">
        <v>5970</v>
      </c>
      <c r="F1115" s="2" t="s">
        <v>5971</v>
      </c>
      <c r="G1115" s="2" t="str">
        <f>"SR-1370"</f>
        <v>SR-1370</v>
      </c>
      <c r="H1115" s="2" t="s">
        <v>5972</v>
      </c>
      <c r="I1115" s="2" t="s">
        <v>5973</v>
      </c>
      <c r="K1115" s="2" t="s">
        <v>5974</v>
      </c>
      <c r="L1115" s="2" t="s">
        <v>272</v>
      </c>
      <c r="M1115" s="2">
        <v>67484.0</v>
      </c>
      <c r="N1115" s="2" t="s">
        <v>21</v>
      </c>
    </row>
    <row r="1116" ht="15.75" customHeight="1">
      <c r="A1116" s="2">
        <v>2013.0</v>
      </c>
      <c r="B1116" s="2" t="s">
        <v>5975</v>
      </c>
      <c r="C1116" s="2" t="s">
        <v>5975</v>
      </c>
      <c r="D1116" s="2" t="str">
        <f>"949-303-9810"</f>
        <v>949-303-9810</v>
      </c>
      <c r="E1116" s="2" t="s">
        <v>5976</v>
      </c>
      <c r="F1116" s="2" t="s">
        <v>2474</v>
      </c>
      <c r="G1116" s="2" t="str">
        <f>"SR-1631"</f>
        <v>SR-1631</v>
      </c>
      <c r="H1116" s="2" t="s">
        <v>5977</v>
      </c>
      <c r="I1116" s="2" t="s">
        <v>5978</v>
      </c>
      <c r="K1116" s="2" t="s">
        <v>5979</v>
      </c>
      <c r="L1116" s="2" t="s">
        <v>222</v>
      </c>
      <c r="M1116" s="2">
        <v>92679.0</v>
      </c>
      <c r="N1116" s="2" t="s">
        <v>21</v>
      </c>
    </row>
    <row r="1117" ht="15.75" customHeight="1">
      <c r="A1117" s="2">
        <v>2013.0</v>
      </c>
      <c r="B1117" s="2" t="s">
        <v>5980</v>
      </c>
      <c r="D1117" s="2" t="str">
        <f>"(505) 715-7156"</f>
        <v>(505) 715-7156</v>
      </c>
      <c r="E1117" s="2" t="s">
        <v>2800</v>
      </c>
      <c r="F1117" s="2" t="s">
        <v>5981</v>
      </c>
      <c r="G1117" s="2" t="str">
        <f>"SR-1209"</f>
        <v>SR-1209</v>
      </c>
      <c r="H1117" s="2" t="s">
        <v>5982</v>
      </c>
      <c r="I1117" s="2" t="s">
        <v>5983</v>
      </c>
      <c r="K1117" s="2" t="s">
        <v>3803</v>
      </c>
      <c r="L1117" s="2" t="s">
        <v>789</v>
      </c>
      <c r="M1117" s="2">
        <v>87124.0</v>
      </c>
      <c r="N1117" s="2" t="s">
        <v>21</v>
      </c>
    </row>
    <row r="1118" ht="15.75" customHeight="1">
      <c r="A1118" s="2">
        <v>2013.0</v>
      </c>
      <c r="B1118" s="2" t="s">
        <v>5984</v>
      </c>
      <c r="C1118" s="2" t="s">
        <v>5984</v>
      </c>
      <c r="D1118" s="2" t="str">
        <f>"615-403-7569"</f>
        <v>615-403-7569</v>
      </c>
      <c r="E1118" s="2" t="s">
        <v>5985</v>
      </c>
      <c r="F1118" s="2" t="s">
        <v>94</v>
      </c>
      <c r="G1118" s="2" t="str">
        <f>"SR-1357"</f>
        <v>SR-1357</v>
      </c>
      <c r="H1118" s="2" t="s">
        <v>5986</v>
      </c>
      <c r="I1118" s="2" t="s">
        <v>5987</v>
      </c>
      <c r="K1118" s="2" t="s">
        <v>5988</v>
      </c>
      <c r="L1118" s="2" t="s">
        <v>279</v>
      </c>
      <c r="M1118" s="2">
        <v>37075.0</v>
      </c>
      <c r="N1118" s="2" t="s">
        <v>21</v>
      </c>
    </row>
    <row r="1119" ht="15.75" customHeight="1">
      <c r="A1119" s="2">
        <v>2013.0</v>
      </c>
      <c r="B1119" s="2" t="s">
        <v>5989</v>
      </c>
      <c r="C1119" s="2" t="s">
        <v>5989</v>
      </c>
      <c r="D1119" s="2" t="str">
        <f>"3037100951"</f>
        <v>3037100951</v>
      </c>
      <c r="E1119" s="2" t="s">
        <v>5990</v>
      </c>
      <c r="F1119" s="2" t="s">
        <v>5991</v>
      </c>
      <c r="G1119" s="2" t="str">
        <f>"SR-1611"</f>
        <v>SR-1611</v>
      </c>
      <c r="H1119" s="2" t="s">
        <v>5992</v>
      </c>
      <c r="I1119" s="2" t="s">
        <v>5993</v>
      </c>
      <c r="K1119" s="2" t="s">
        <v>5805</v>
      </c>
      <c r="L1119" s="2" t="s">
        <v>157</v>
      </c>
      <c r="M1119" s="2">
        <v>80513.0</v>
      </c>
      <c r="N1119" s="2" t="s">
        <v>21</v>
      </c>
    </row>
    <row r="1120" ht="15.75" customHeight="1">
      <c r="A1120" s="2">
        <v>2013.0</v>
      </c>
      <c r="B1120" s="2" t="s">
        <v>4395</v>
      </c>
      <c r="C1120" s="2" t="s">
        <v>5994</v>
      </c>
      <c r="D1120" s="2" t="str">
        <f>"7854362428"</f>
        <v>7854362428</v>
      </c>
      <c r="E1120" s="2" t="s">
        <v>1356</v>
      </c>
      <c r="F1120" s="2" t="s">
        <v>4397</v>
      </c>
      <c r="G1120" s="2" t="str">
        <f>"SR-1085"</f>
        <v>SR-1085</v>
      </c>
      <c r="H1120" s="2" t="s">
        <v>5995</v>
      </c>
      <c r="I1120" s="2" t="s">
        <v>4399</v>
      </c>
      <c r="K1120" s="2" t="s">
        <v>572</v>
      </c>
      <c r="L1120" s="2" t="s">
        <v>272</v>
      </c>
      <c r="M1120" s="2">
        <v>67455.0</v>
      </c>
      <c r="N1120" s="2" t="s">
        <v>21</v>
      </c>
    </row>
    <row r="1121" ht="15.75" customHeight="1">
      <c r="A1121" s="2">
        <v>2013.0</v>
      </c>
      <c r="B1121" s="2" t="s">
        <v>5996</v>
      </c>
      <c r="C1121" s="2" t="s">
        <v>5996</v>
      </c>
      <c r="D1121" s="2" t="str">
        <f>"770-229-9282"</f>
        <v>770-229-9282</v>
      </c>
      <c r="E1121" s="2" t="s">
        <v>1094</v>
      </c>
      <c r="F1121" s="2" t="s">
        <v>5997</v>
      </c>
      <c r="G1121" s="2" t="str">
        <f>"SR-1644"</f>
        <v>SR-1644</v>
      </c>
      <c r="H1121" s="2" t="s">
        <v>5998</v>
      </c>
      <c r="I1121" s="2" t="s">
        <v>5999</v>
      </c>
      <c r="K1121" s="2" t="s">
        <v>511</v>
      </c>
      <c r="L1121" s="2" t="s">
        <v>200</v>
      </c>
      <c r="M1121" s="2">
        <v>30224.0</v>
      </c>
      <c r="N1121" s="2" t="s">
        <v>21</v>
      </c>
    </row>
    <row r="1122" ht="15.75" customHeight="1">
      <c r="A1122" s="2">
        <v>2013.0</v>
      </c>
      <c r="B1122" s="2" t="s">
        <v>6000</v>
      </c>
      <c r="C1122" s="2" t="s">
        <v>6001</v>
      </c>
      <c r="D1122" s="2" t="str">
        <f>"317-634-8324"</f>
        <v>317-634-8324</v>
      </c>
      <c r="E1122" s="2" t="s">
        <v>4716</v>
      </c>
      <c r="F1122" s="2" t="s">
        <v>6002</v>
      </c>
      <c r="G1122" s="2" t="str">
        <f>"SR-1056"</f>
        <v>SR-1056</v>
      </c>
      <c r="H1122" s="2" t="s">
        <v>6003</v>
      </c>
      <c r="I1122" s="2" t="s">
        <v>6004</v>
      </c>
      <c r="K1122" s="2" t="s">
        <v>1188</v>
      </c>
      <c r="L1122" s="2" t="s">
        <v>149</v>
      </c>
      <c r="M1122" s="2">
        <v>46202.0</v>
      </c>
      <c r="N1122" s="2" t="s">
        <v>21</v>
      </c>
    </row>
    <row r="1123" ht="15.75" customHeight="1">
      <c r="A1123" s="2">
        <v>2013.0</v>
      </c>
      <c r="B1123" s="2" t="s">
        <v>6005</v>
      </c>
      <c r="C1123" s="2" t="s">
        <v>6006</v>
      </c>
      <c r="D1123" s="2" t="str">
        <f>"507 587 8025"</f>
        <v>507 587 8025</v>
      </c>
      <c r="E1123" s="2" t="s">
        <v>6007</v>
      </c>
      <c r="F1123" s="2" t="s">
        <v>6008</v>
      </c>
      <c r="G1123" s="2" t="str">
        <f>"SR-1082"</f>
        <v>SR-1082</v>
      </c>
      <c r="H1123" s="2" t="s">
        <v>6009</v>
      </c>
      <c r="I1123" s="2" t="s">
        <v>6010</v>
      </c>
      <c r="K1123" s="2" t="s">
        <v>6011</v>
      </c>
      <c r="L1123" s="2" t="s">
        <v>62</v>
      </c>
      <c r="M1123" s="2">
        <v>56180.0</v>
      </c>
      <c r="N1123" s="2" t="s">
        <v>21</v>
      </c>
    </row>
    <row r="1124" ht="15.75" customHeight="1">
      <c r="A1124" s="2">
        <v>2013.0</v>
      </c>
      <c r="B1124" s="2" t="s">
        <v>6012</v>
      </c>
      <c r="C1124" s="2" t="s">
        <v>6013</v>
      </c>
      <c r="D1124" s="2" t="str">
        <f t="shared" ref="D1124:D1125" si="13">"817-596-5917"</f>
        <v>817-596-5917</v>
      </c>
      <c r="E1124" s="2" t="s">
        <v>6014</v>
      </c>
      <c r="F1124" s="2" t="s">
        <v>4839</v>
      </c>
      <c r="G1124" s="2" t="str">
        <f>"SR-1612"</f>
        <v>SR-1612</v>
      </c>
      <c r="H1124" s="2" t="s">
        <v>6015</v>
      </c>
      <c r="I1124" s="2" t="s">
        <v>6016</v>
      </c>
      <c r="K1124" s="2" t="s">
        <v>6017</v>
      </c>
      <c r="L1124" s="2" t="s">
        <v>172</v>
      </c>
      <c r="M1124" s="2">
        <v>76008.0</v>
      </c>
      <c r="N1124" s="2" t="s">
        <v>21</v>
      </c>
    </row>
    <row r="1125" ht="15.75" customHeight="1">
      <c r="A1125" s="2">
        <v>2013.0</v>
      </c>
      <c r="B1125" s="2" t="s">
        <v>6012</v>
      </c>
      <c r="C1125" s="2" t="s">
        <v>6018</v>
      </c>
      <c r="D1125" s="2" t="str">
        <f t="shared" si="13"/>
        <v>817-596-5917</v>
      </c>
      <c r="E1125" s="2" t="s">
        <v>6019</v>
      </c>
      <c r="F1125" s="2" t="s">
        <v>4839</v>
      </c>
      <c r="G1125" s="2" t="str">
        <f>"SR-1630"</f>
        <v>SR-1630</v>
      </c>
      <c r="H1125" s="2" t="s">
        <v>6020</v>
      </c>
      <c r="I1125" s="2" t="s">
        <v>6016</v>
      </c>
      <c r="K1125" s="2" t="s">
        <v>6017</v>
      </c>
      <c r="L1125" s="2" t="s">
        <v>172</v>
      </c>
      <c r="M1125" s="2">
        <v>76008.0</v>
      </c>
      <c r="N1125" s="2" t="s">
        <v>21</v>
      </c>
    </row>
    <row r="1126" ht="15.75" customHeight="1">
      <c r="A1126" s="2">
        <v>2013.0</v>
      </c>
      <c r="B1126" s="2" t="s">
        <v>6021</v>
      </c>
      <c r="D1126" s="2" t="str">
        <f>""</f>
        <v/>
      </c>
      <c r="E1126" s="2" t="s">
        <v>1356</v>
      </c>
      <c r="F1126" s="2" t="s">
        <v>6022</v>
      </c>
      <c r="G1126" s="2" t="str">
        <f>"SR-1457"</f>
        <v>SR-1457</v>
      </c>
      <c r="H1126" s="2" t="s">
        <v>6023</v>
      </c>
      <c r="N1126" s="2" t="s">
        <v>21</v>
      </c>
    </row>
    <row r="1127" ht="15.75" customHeight="1">
      <c r="A1127" s="2">
        <v>2013.0</v>
      </c>
      <c r="B1127" s="2" t="s">
        <v>6024</v>
      </c>
      <c r="C1127" s="2" t="s">
        <v>6025</v>
      </c>
      <c r="D1127" s="2" t="str">
        <f>"6828882542"</f>
        <v>6828882542</v>
      </c>
      <c r="E1127" s="2" t="s">
        <v>6026</v>
      </c>
      <c r="F1127" s="2" t="s">
        <v>6027</v>
      </c>
      <c r="G1127" s="2" t="str">
        <f>"SR-244"</f>
        <v>SR-244</v>
      </c>
      <c r="H1127" s="2" t="s">
        <v>6028</v>
      </c>
      <c r="I1127" s="2" t="s">
        <v>6029</v>
      </c>
      <c r="K1127" s="2" t="s">
        <v>6030</v>
      </c>
      <c r="L1127" s="2" t="s">
        <v>172</v>
      </c>
      <c r="M1127" s="2">
        <v>76248.0</v>
      </c>
      <c r="N1127" s="2" t="s">
        <v>21</v>
      </c>
    </row>
    <row r="1128" ht="15.75" customHeight="1">
      <c r="A1128" s="2">
        <v>2013.0</v>
      </c>
      <c r="B1128" s="2" t="s">
        <v>6031</v>
      </c>
      <c r="C1128" s="2" t="s">
        <v>6031</v>
      </c>
      <c r="D1128" s="2" t="str">
        <f>"317-758-5504"</f>
        <v>317-758-5504</v>
      </c>
      <c r="E1128" s="2" t="s">
        <v>651</v>
      </c>
      <c r="F1128" s="2" t="s">
        <v>6032</v>
      </c>
      <c r="G1128" s="2" t="str">
        <f>"SR-1648"</f>
        <v>SR-1648</v>
      </c>
      <c r="H1128" s="2" t="s">
        <v>6033</v>
      </c>
      <c r="I1128" s="2" t="s">
        <v>6034</v>
      </c>
      <c r="K1128" s="2" t="s">
        <v>5258</v>
      </c>
      <c r="L1128" s="2" t="s">
        <v>149</v>
      </c>
      <c r="M1128" s="2">
        <v>46034.0</v>
      </c>
      <c r="N1128" s="2" t="s">
        <v>21</v>
      </c>
    </row>
    <row r="1129" ht="15.75" customHeight="1">
      <c r="A1129" s="2">
        <v>2013.0</v>
      </c>
      <c r="B1129" s="2" t="s">
        <v>6035</v>
      </c>
      <c r="D1129" s="2" t="str">
        <f t="shared" ref="D1129:D1130" si="14">"563-355-9053"</f>
        <v>563-355-9053</v>
      </c>
      <c r="E1129" s="2" t="s">
        <v>1088</v>
      </c>
      <c r="F1129" s="2" t="s">
        <v>6036</v>
      </c>
      <c r="G1129" s="2" t="str">
        <f>"SR-1446"</f>
        <v>SR-1446</v>
      </c>
      <c r="H1129" s="2" t="s">
        <v>6037</v>
      </c>
      <c r="I1129" s="2" t="s">
        <v>6038</v>
      </c>
      <c r="K1129" s="2" t="s">
        <v>6039</v>
      </c>
      <c r="L1129" s="2" t="s">
        <v>560</v>
      </c>
      <c r="M1129" s="2">
        <v>52722.0</v>
      </c>
      <c r="N1129" s="2" t="s">
        <v>21</v>
      </c>
    </row>
    <row r="1130" ht="15.75" customHeight="1">
      <c r="A1130" s="2">
        <v>2013.0</v>
      </c>
      <c r="B1130" s="2" t="s">
        <v>6035</v>
      </c>
      <c r="D1130" s="2" t="str">
        <f t="shared" si="14"/>
        <v>563-355-9053</v>
      </c>
      <c r="E1130" s="2" t="s">
        <v>705</v>
      </c>
      <c r="F1130" s="2" t="s">
        <v>6036</v>
      </c>
      <c r="G1130" s="2" t="str">
        <f>"SR-1442"</f>
        <v>SR-1442</v>
      </c>
      <c r="H1130" s="2" t="s">
        <v>6040</v>
      </c>
      <c r="I1130" s="2" t="s">
        <v>6038</v>
      </c>
      <c r="K1130" s="2" t="s">
        <v>6039</v>
      </c>
      <c r="L1130" s="2" t="s">
        <v>560</v>
      </c>
      <c r="M1130" s="2">
        <v>52722.0</v>
      </c>
      <c r="N1130" s="2" t="s">
        <v>21</v>
      </c>
    </row>
    <row r="1131" ht="15.75" customHeight="1">
      <c r="A1131" s="2">
        <v>2013.0</v>
      </c>
      <c r="B1131" s="2" t="s">
        <v>6041</v>
      </c>
      <c r="C1131" s="2" t="s">
        <v>6042</v>
      </c>
      <c r="D1131" s="2" t="str">
        <f>"601 807 5391"</f>
        <v>601 807 5391</v>
      </c>
      <c r="E1131" s="2" t="s">
        <v>1389</v>
      </c>
      <c r="F1131" s="2" t="s">
        <v>6043</v>
      </c>
      <c r="G1131" s="2" t="str">
        <f>"SR-1029"</f>
        <v>SR-1029</v>
      </c>
      <c r="H1131" s="2" t="s">
        <v>6044</v>
      </c>
      <c r="I1131" s="2" t="s">
        <v>6045</v>
      </c>
      <c r="K1131" s="2" t="s">
        <v>6046</v>
      </c>
      <c r="L1131" s="2" t="s">
        <v>1722</v>
      </c>
      <c r="M1131" s="2">
        <v>39652.0</v>
      </c>
      <c r="N1131" s="2" t="s">
        <v>21</v>
      </c>
    </row>
    <row r="1132" ht="15.75" customHeight="1">
      <c r="A1132" s="2">
        <v>2013.0</v>
      </c>
      <c r="B1132" s="2" t="s">
        <v>6047</v>
      </c>
      <c r="C1132" s="2" t="s">
        <v>6047</v>
      </c>
      <c r="D1132" s="2" t="str">
        <f>"770-468-6640"</f>
        <v>770-468-6640</v>
      </c>
      <c r="E1132" s="2" t="s">
        <v>2930</v>
      </c>
      <c r="F1132" s="2" t="s">
        <v>5997</v>
      </c>
      <c r="G1132" s="2" t="str">
        <f>"SR-1647"</f>
        <v>SR-1647</v>
      </c>
      <c r="H1132" s="2" t="s">
        <v>6048</v>
      </c>
      <c r="I1132" s="2" t="s">
        <v>5999</v>
      </c>
      <c r="K1132" s="2" t="s">
        <v>511</v>
      </c>
      <c r="L1132" s="2" t="s">
        <v>200</v>
      </c>
      <c r="M1132" s="2">
        <v>30224.0</v>
      </c>
      <c r="N1132" s="2" t="s">
        <v>21</v>
      </c>
    </row>
    <row r="1133" ht="15.75" customHeight="1">
      <c r="A1133" s="2">
        <v>2013.0</v>
      </c>
      <c r="B1133" s="2" t="s">
        <v>6049</v>
      </c>
      <c r="C1133" s="2" t="s">
        <v>6050</v>
      </c>
      <c r="D1133" s="2" t="str">
        <f>"3037338959"</f>
        <v>3037338959</v>
      </c>
      <c r="E1133" s="2" t="s">
        <v>456</v>
      </c>
      <c r="F1133" s="2" t="s">
        <v>2279</v>
      </c>
      <c r="G1133" s="2" t="str">
        <f>"SR-1217"</f>
        <v>SR-1217</v>
      </c>
      <c r="H1133" s="2" t="s">
        <v>6051</v>
      </c>
      <c r="I1133" s="2" t="s">
        <v>6052</v>
      </c>
      <c r="K1133" s="2" t="s">
        <v>2527</v>
      </c>
      <c r="L1133" s="2" t="s">
        <v>157</v>
      </c>
      <c r="M1133" s="2">
        <v>80210.0</v>
      </c>
      <c r="N1133" s="2" t="s">
        <v>21</v>
      </c>
    </row>
    <row r="1134" ht="15.75" customHeight="1">
      <c r="A1134" s="2">
        <v>2013.0</v>
      </c>
      <c r="B1134" s="2" t="s">
        <v>6053</v>
      </c>
      <c r="C1134" s="2" t="s">
        <v>6054</v>
      </c>
      <c r="D1134" s="2" t="str">
        <f>"913-742-3734"</f>
        <v>913-742-3734</v>
      </c>
      <c r="E1134" s="2" t="s">
        <v>3743</v>
      </c>
      <c r="F1134" s="2" t="s">
        <v>6055</v>
      </c>
      <c r="G1134" s="2" t="str">
        <f>"SR-1524"</f>
        <v>SR-1524</v>
      </c>
      <c r="H1134" s="2" t="s">
        <v>6056</v>
      </c>
      <c r="I1134" s="2" t="s">
        <v>6057</v>
      </c>
      <c r="K1134" s="2" t="s">
        <v>1067</v>
      </c>
      <c r="L1134" s="2" t="s">
        <v>272</v>
      </c>
      <c r="M1134" s="2">
        <v>66061.0</v>
      </c>
      <c r="N1134" s="2" t="s">
        <v>21</v>
      </c>
    </row>
    <row r="1135" ht="15.75" customHeight="1">
      <c r="A1135" s="2">
        <v>2013.0</v>
      </c>
      <c r="B1135" s="2" t="s">
        <v>6053</v>
      </c>
      <c r="C1135" s="2" t="s">
        <v>6058</v>
      </c>
      <c r="D1135" s="2" t="str">
        <f>"913-953-1652"</f>
        <v>913-953-1652</v>
      </c>
      <c r="E1135" s="2" t="s">
        <v>6059</v>
      </c>
      <c r="F1135" s="2" t="s">
        <v>6055</v>
      </c>
      <c r="G1135" s="2" t="str">
        <f>"SR-1603"</f>
        <v>SR-1603</v>
      </c>
      <c r="H1135" s="2" t="s">
        <v>6060</v>
      </c>
      <c r="I1135" s="2" t="s">
        <v>6057</v>
      </c>
      <c r="K1135" s="2" t="s">
        <v>1067</v>
      </c>
      <c r="L1135" s="2" t="s">
        <v>272</v>
      </c>
      <c r="M1135" s="2">
        <v>66061.0</v>
      </c>
      <c r="N1135" s="2" t="s">
        <v>21</v>
      </c>
    </row>
    <row r="1136" ht="15.75" customHeight="1">
      <c r="A1136" s="2">
        <v>2013.0</v>
      </c>
      <c r="B1136" s="2" t="s">
        <v>4827</v>
      </c>
      <c r="C1136" s="2" t="s">
        <v>6061</v>
      </c>
      <c r="D1136" s="2" t="str">
        <f>"507-289-5684"</f>
        <v>507-289-5684</v>
      </c>
      <c r="E1136" s="2" t="s">
        <v>6062</v>
      </c>
      <c r="F1136" s="2" t="s">
        <v>562</v>
      </c>
      <c r="G1136" s="2" t="str">
        <f>"SR-1362"</f>
        <v>SR-1362</v>
      </c>
      <c r="H1136" s="2" t="s">
        <v>6063</v>
      </c>
      <c r="I1136" s="2" t="s">
        <v>6064</v>
      </c>
      <c r="K1136" s="2" t="s">
        <v>2804</v>
      </c>
      <c r="L1136" s="2" t="s">
        <v>62</v>
      </c>
      <c r="M1136" s="2">
        <v>55904.0</v>
      </c>
      <c r="N1136" s="2" t="s">
        <v>21</v>
      </c>
    </row>
    <row r="1137" ht="15.75" customHeight="1">
      <c r="A1137" s="2">
        <v>2013.0</v>
      </c>
      <c r="B1137" s="2" t="s">
        <v>6065</v>
      </c>
      <c r="C1137" s="2" t="s">
        <v>6066</v>
      </c>
      <c r="D1137" s="2" t="str">
        <f>"808-826-7676"</f>
        <v>808-826-7676</v>
      </c>
      <c r="E1137" s="2" t="s">
        <v>465</v>
      </c>
      <c r="F1137" s="2" t="s">
        <v>3481</v>
      </c>
      <c r="G1137" s="2" t="str">
        <f>"SR-797"</f>
        <v>SR-797</v>
      </c>
      <c r="H1137" s="2" t="s">
        <v>6067</v>
      </c>
      <c r="I1137" s="2" t="s">
        <v>6068</v>
      </c>
      <c r="K1137" s="2" t="s">
        <v>6069</v>
      </c>
      <c r="L1137" s="2" t="s">
        <v>770</v>
      </c>
      <c r="M1137" s="2">
        <v>96746.0</v>
      </c>
      <c r="N1137" s="2" t="s">
        <v>21</v>
      </c>
    </row>
    <row r="1138" ht="15.75" customHeight="1">
      <c r="A1138" s="2">
        <v>2013.0</v>
      </c>
      <c r="B1138" s="2" t="s">
        <v>6070</v>
      </c>
      <c r="C1138" s="2" t="s">
        <v>6071</v>
      </c>
      <c r="D1138" s="2" t="str">
        <f>"336-524-9030"</f>
        <v>336-524-9030</v>
      </c>
      <c r="E1138" s="2" t="s">
        <v>160</v>
      </c>
      <c r="F1138" s="2" t="s">
        <v>6072</v>
      </c>
      <c r="G1138" s="2" t="str">
        <f>"SR-1558"</f>
        <v>SR-1558</v>
      </c>
      <c r="H1138" s="2" t="s">
        <v>6073</v>
      </c>
      <c r="I1138" s="2" t="s">
        <v>6074</v>
      </c>
      <c r="K1138" s="2" t="s">
        <v>6075</v>
      </c>
      <c r="L1138" s="2" t="s">
        <v>20</v>
      </c>
      <c r="M1138" s="2">
        <v>27215.0</v>
      </c>
      <c r="N1138" s="2" t="s">
        <v>21</v>
      </c>
    </row>
    <row r="1139" ht="15.75" customHeight="1">
      <c r="A1139" s="2">
        <v>2013.0</v>
      </c>
      <c r="B1139" s="2" t="s">
        <v>6076</v>
      </c>
      <c r="C1139" s="2" t="s">
        <v>6076</v>
      </c>
      <c r="D1139" s="2" t="str">
        <f>"620-842-3530"</f>
        <v>620-842-3530</v>
      </c>
      <c r="E1139" s="2" t="s">
        <v>6077</v>
      </c>
      <c r="F1139" s="2" t="s">
        <v>6078</v>
      </c>
      <c r="G1139" s="2" t="str">
        <f>"SR-1113"</f>
        <v>SR-1113</v>
      </c>
      <c r="H1139" s="2" t="s">
        <v>6079</v>
      </c>
      <c r="I1139" s="2" t="s">
        <v>6080</v>
      </c>
      <c r="K1139" s="2" t="s">
        <v>6081</v>
      </c>
      <c r="L1139" s="2" t="s">
        <v>272</v>
      </c>
      <c r="M1139" s="2">
        <v>67003.0</v>
      </c>
      <c r="N1139" s="2" t="s">
        <v>21</v>
      </c>
    </row>
    <row r="1140" ht="15.75" customHeight="1">
      <c r="A1140" s="2">
        <v>2013.0</v>
      </c>
      <c r="B1140" s="2" t="s">
        <v>6082</v>
      </c>
      <c r="C1140" s="2" t="s">
        <v>6082</v>
      </c>
      <c r="D1140" s="2" t="str">
        <f>"8179320135"</f>
        <v>8179320135</v>
      </c>
      <c r="E1140" s="2" t="s">
        <v>3750</v>
      </c>
      <c r="F1140" s="2" t="s">
        <v>6083</v>
      </c>
      <c r="G1140" s="2" t="str">
        <f>"SR-1296"</f>
        <v>SR-1296</v>
      </c>
      <c r="H1140" s="2" t="s">
        <v>6084</v>
      </c>
      <c r="I1140" s="2" t="s">
        <v>6085</v>
      </c>
      <c r="K1140" s="2" t="s">
        <v>887</v>
      </c>
      <c r="L1140" s="2" t="s">
        <v>172</v>
      </c>
      <c r="M1140" s="2">
        <v>76063.0</v>
      </c>
      <c r="N1140" s="2" t="s">
        <v>21</v>
      </c>
    </row>
    <row r="1141" ht="15.75" customHeight="1">
      <c r="A1141" s="2">
        <v>2013.0</v>
      </c>
      <c r="B1141" s="2" t="s">
        <v>6086</v>
      </c>
      <c r="C1141" s="2" t="s">
        <v>6086</v>
      </c>
      <c r="D1141" s="2" t="str">
        <f>"8055589406"</f>
        <v>8055589406</v>
      </c>
      <c r="E1141" s="2" t="s">
        <v>6087</v>
      </c>
      <c r="F1141" s="2" t="s">
        <v>6088</v>
      </c>
      <c r="G1141" s="2" t="str">
        <f>"SR-1355"</f>
        <v>SR-1355</v>
      </c>
      <c r="H1141" s="2" t="s">
        <v>6089</v>
      </c>
      <c r="I1141" s="2" t="s">
        <v>6090</v>
      </c>
      <c r="K1141" s="2" t="s">
        <v>3245</v>
      </c>
      <c r="L1141" s="2" t="s">
        <v>222</v>
      </c>
      <c r="M1141" s="2">
        <v>91320.0</v>
      </c>
      <c r="N1141" s="2" t="s">
        <v>21</v>
      </c>
    </row>
    <row r="1142" ht="15.75" customHeight="1">
      <c r="A1142" s="2">
        <v>2013.0</v>
      </c>
      <c r="B1142" s="2" t="s">
        <v>6091</v>
      </c>
      <c r="C1142" s="2" t="s">
        <v>6092</v>
      </c>
      <c r="D1142" s="2" t="str">
        <f>"919-362-1548"</f>
        <v>919-362-1548</v>
      </c>
      <c r="E1142" s="2" t="s">
        <v>4968</v>
      </c>
      <c r="F1142" s="2" t="s">
        <v>1151</v>
      </c>
      <c r="G1142" s="2" t="str">
        <f>"SR-1456"</f>
        <v>SR-1456</v>
      </c>
      <c r="H1142" s="2" t="s">
        <v>6093</v>
      </c>
      <c r="I1142" s="2" t="s">
        <v>6094</v>
      </c>
      <c r="K1142" s="2" t="s">
        <v>6095</v>
      </c>
      <c r="L1142" s="2" t="s">
        <v>20</v>
      </c>
      <c r="M1142" s="2">
        <v>27511.0</v>
      </c>
      <c r="N1142" s="2" t="s">
        <v>21</v>
      </c>
    </row>
    <row r="1143" ht="15.75" customHeight="1">
      <c r="A1143" s="2">
        <v>2013.0</v>
      </c>
      <c r="B1143" s="2" t="s">
        <v>6096</v>
      </c>
      <c r="C1143" s="2" t="s">
        <v>6097</v>
      </c>
      <c r="D1143" s="2" t="str">
        <f>"5403360325"</f>
        <v>5403360325</v>
      </c>
      <c r="E1143" s="2" t="s">
        <v>6098</v>
      </c>
      <c r="F1143" s="2" t="s">
        <v>6099</v>
      </c>
      <c r="G1143" s="2" t="str">
        <f>"SR-708"</f>
        <v>SR-708</v>
      </c>
      <c r="H1143" s="2" t="s">
        <v>6100</v>
      </c>
      <c r="I1143" s="2" t="s">
        <v>6101</v>
      </c>
      <c r="K1143" s="2" t="s">
        <v>594</v>
      </c>
      <c r="L1143" s="2" t="s">
        <v>165</v>
      </c>
      <c r="M1143" s="2">
        <v>22601.0</v>
      </c>
      <c r="N1143" s="2" t="s">
        <v>21</v>
      </c>
    </row>
    <row r="1144" ht="15.75" customHeight="1">
      <c r="A1144" s="2">
        <v>2013.0</v>
      </c>
      <c r="B1144" s="2" t="s">
        <v>6102</v>
      </c>
      <c r="C1144" s="2" t="s">
        <v>6102</v>
      </c>
      <c r="D1144" s="2" t="str">
        <f>"9725302115"</f>
        <v>9725302115</v>
      </c>
      <c r="E1144" s="2" t="s">
        <v>931</v>
      </c>
      <c r="F1144" s="2" t="s">
        <v>6103</v>
      </c>
      <c r="G1144" s="2" t="str">
        <f>"SR-1453"</f>
        <v>SR-1453</v>
      </c>
      <c r="H1144" s="2" t="s">
        <v>6104</v>
      </c>
      <c r="I1144" s="2" t="s">
        <v>6105</v>
      </c>
      <c r="K1144" s="2" t="s">
        <v>4079</v>
      </c>
      <c r="L1144" s="2" t="s">
        <v>172</v>
      </c>
      <c r="M1144" s="2">
        <v>75044.0</v>
      </c>
      <c r="N1144" s="2" t="s">
        <v>21</v>
      </c>
    </row>
    <row r="1145" ht="15.75" customHeight="1">
      <c r="A1145" s="2">
        <v>2013.0</v>
      </c>
      <c r="B1145" s="2" t="s">
        <v>6106</v>
      </c>
      <c r="C1145" s="2" t="s">
        <v>6107</v>
      </c>
      <c r="D1145" s="2" t="str">
        <f>"4024784452"</f>
        <v>4024784452</v>
      </c>
      <c r="E1145" s="2" t="s">
        <v>386</v>
      </c>
      <c r="F1145" s="2" t="s">
        <v>6108</v>
      </c>
      <c r="G1145" s="2" t="str">
        <f>"SR-1629"</f>
        <v>SR-1629</v>
      </c>
      <c r="H1145" s="2" t="s">
        <v>6109</v>
      </c>
      <c r="I1145" s="2" t="s">
        <v>6110</v>
      </c>
      <c r="K1145" s="2" t="s">
        <v>882</v>
      </c>
      <c r="L1145" s="2" t="s">
        <v>757</v>
      </c>
      <c r="M1145" s="2">
        <v>68002.0</v>
      </c>
      <c r="N1145" s="2" t="s">
        <v>21</v>
      </c>
    </row>
    <row r="1146" ht="15.75" customHeight="1">
      <c r="A1146" s="2">
        <v>2013.0</v>
      </c>
      <c r="B1146" s="2" t="s">
        <v>6111</v>
      </c>
      <c r="C1146" s="2" t="s">
        <v>6112</v>
      </c>
      <c r="D1146" s="2" t="str">
        <f>"863-412-1919"</f>
        <v>863-412-1919</v>
      </c>
      <c r="E1146" s="2" t="s">
        <v>6113</v>
      </c>
      <c r="F1146" s="2" t="s">
        <v>6114</v>
      </c>
      <c r="G1146" s="2" t="str">
        <f>"SR-1004"</f>
        <v>SR-1004</v>
      </c>
      <c r="H1146" s="2" t="s">
        <v>6115</v>
      </c>
      <c r="I1146" s="2" t="s">
        <v>6116</v>
      </c>
      <c r="K1146" s="2" t="s">
        <v>6117</v>
      </c>
      <c r="L1146" s="2" t="s">
        <v>208</v>
      </c>
      <c r="M1146" s="2">
        <v>33845.0</v>
      </c>
      <c r="N1146" s="2" t="s">
        <v>21</v>
      </c>
    </row>
    <row r="1147" ht="15.75" customHeight="1">
      <c r="A1147" s="2">
        <v>2013.0</v>
      </c>
      <c r="B1147" s="2" t="s">
        <v>6118</v>
      </c>
      <c r="C1147" s="2" t="s">
        <v>6119</v>
      </c>
      <c r="D1147" s="2" t="str">
        <f>"719-233-2318"</f>
        <v>719-233-2318</v>
      </c>
      <c r="E1147" s="2" t="s">
        <v>6120</v>
      </c>
      <c r="F1147" s="2" t="s">
        <v>6121</v>
      </c>
      <c r="G1147" s="2" t="str">
        <f>"SR-1653"</f>
        <v>SR-1653</v>
      </c>
      <c r="H1147" s="2" t="s">
        <v>6122</v>
      </c>
      <c r="I1147" s="2" t="s">
        <v>6123</v>
      </c>
      <c r="K1147" s="2" t="s">
        <v>809</v>
      </c>
      <c r="L1147" s="2" t="s">
        <v>157</v>
      </c>
      <c r="M1147" s="2">
        <v>80920.0</v>
      </c>
      <c r="N1147" s="2" t="s">
        <v>21</v>
      </c>
    </row>
    <row r="1148" ht="15.75" customHeight="1">
      <c r="A1148" s="2">
        <v>2013.0</v>
      </c>
      <c r="B1148" s="2" t="s">
        <v>6124</v>
      </c>
      <c r="C1148" s="2" t="s">
        <v>6125</v>
      </c>
      <c r="D1148" s="2" t="str">
        <f>"863-845-0067"</f>
        <v>863-845-0067</v>
      </c>
      <c r="E1148" s="2" t="s">
        <v>137</v>
      </c>
      <c r="F1148" s="2" t="s">
        <v>1190</v>
      </c>
      <c r="G1148" s="2" t="str">
        <f>"SR-1280"</f>
        <v>SR-1280</v>
      </c>
      <c r="H1148" s="2" t="s">
        <v>6126</v>
      </c>
      <c r="I1148" s="2" t="s">
        <v>6127</v>
      </c>
      <c r="K1148" s="2" t="s">
        <v>6117</v>
      </c>
      <c r="L1148" s="2" t="s">
        <v>208</v>
      </c>
      <c r="M1148" s="2">
        <v>33845.0</v>
      </c>
      <c r="N1148" s="2" t="s">
        <v>21</v>
      </c>
    </row>
    <row r="1149" ht="15.75" customHeight="1">
      <c r="A1149" s="2">
        <v>2013.0</v>
      </c>
      <c r="B1149" s="2" t="s">
        <v>6128</v>
      </c>
      <c r="C1149" s="2" t="s">
        <v>6129</v>
      </c>
      <c r="D1149" s="2" t="str">
        <f>"505-891-9325"</f>
        <v>505-891-9325</v>
      </c>
      <c r="E1149" s="2" t="s">
        <v>339</v>
      </c>
      <c r="F1149" s="2" t="s">
        <v>6130</v>
      </c>
      <c r="G1149" s="2" t="str">
        <f>"SR-1406"</f>
        <v>SR-1406</v>
      </c>
      <c r="H1149" s="2" t="s">
        <v>6131</v>
      </c>
      <c r="I1149" s="2" t="s">
        <v>6132</v>
      </c>
      <c r="K1149" s="2" t="s">
        <v>3803</v>
      </c>
      <c r="L1149" s="2" t="s">
        <v>789</v>
      </c>
      <c r="M1149" s="2">
        <v>87124.0</v>
      </c>
      <c r="N1149" s="2" t="s">
        <v>21</v>
      </c>
    </row>
    <row r="1150" ht="15.75" customHeight="1">
      <c r="A1150" s="2">
        <v>2013.0</v>
      </c>
      <c r="B1150" s="2" t="s">
        <v>6133</v>
      </c>
      <c r="C1150" s="2" t="s">
        <v>6134</v>
      </c>
      <c r="D1150" s="2" t="str">
        <f>"15183399865"</f>
        <v>15183399865</v>
      </c>
      <c r="E1150" s="2" t="s">
        <v>359</v>
      </c>
      <c r="F1150" s="2" t="s">
        <v>6135</v>
      </c>
      <c r="G1150" s="2" t="str">
        <f>"SR-1645"</f>
        <v>SR-1645</v>
      </c>
      <c r="H1150" s="2" t="s">
        <v>6136</v>
      </c>
      <c r="I1150" s="2" t="s">
        <v>6137</v>
      </c>
      <c r="K1150" s="2" t="s">
        <v>6138</v>
      </c>
      <c r="L1150" s="2" t="s">
        <v>142</v>
      </c>
      <c r="M1150" s="2">
        <v>12054.0</v>
      </c>
      <c r="N1150" s="2" t="s">
        <v>21</v>
      </c>
    </row>
    <row r="1151" ht="15.75" customHeight="1">
      <c r="A1151" s="2">
        <v>2013.0</v>
      </c>
      <c r="B1151" s="2" t="s">
        <v>6139</v>
      </c>
      <c r="C1151" s="2" t="s">
        <v>6140</v>
      </c>
      <c r="D1151" s="2" t="str">
        <f>"734 368-2247"</f>
        <v>734 368-2247</v>
      </c>
      <c r="E1151" s="2" t="s">
        <v>428</v>
      </c>
      <c r="F1151" s="2" t="s">
        <v>6141</v>
      </c>
      <c r="G1151" s="2" t="str">
        <f>"SR-1605"</f>
        <v>SR-1605</v>
      </c>
      <c r="H1151" s="2" t="s">
        <v>6142</v>
      </c>
      <c r="I1151" s="2" t="s">
        <v>6143</v>
      </c>
      <c r="K1151" s="2" t="s">
        <v>6144</v>
      </c>
      <c r="L1151" s="2" t="s">
        <v>29</v>
      </c>
      <c r="M1151" s="2">
        <v>48176.0</v>
      </c>
      <c r="N1151" s="2" t="s">
        <v>21</v>
      </c>
    </row>
    <row r="1152" ht="15.75" customHeight="1">
      <c r="A1152" s="2">
        <v>2013.0</v>
      </c>
      <c r="B1152" s="2" t="s">
        <v>6145</v>
      </c>
      <c r="C1152" s="2" t="s">
        <v>6145</v>
      </c>
      <c r="D1152" s="2" t="str">
        <f>"620-767-7057"</f>
        <v>620-767-7057</v>
      </c>
      <c r="E1152" s="2" t="s">
        <v>751</v>
      </c>
      <c r="F1152" s="2" t="s">
        <v>6146</v>
      </c>
      <c r="G1152" s="2" t="str">
        <f>"SR-1014"</f>
        <v>SR-1014</v>
      </c>
      <c r="H1152" s="2" t="s">
        <v>6147</v>
      </c>
      <c r="I1152" s="2" t="s">
        <v>6148</v>
      </c>
      <c r="K1152" s="2" t="s">
        <v>6149</v>
      </c>
      <c r="L1152" s="2" t="s">
        <v>272</v>
      </c>
      <c r="M1152" s="2">
        <v>66846.0</v>
      </c>
      <c r="N1152" s="2" t="s">
        <v>21</v>
      </c>
    </row>
    <row r="1153" ht="15.75" customHeight="1">
      <c r="A1153" s="2">
        <v>2013.0</v>
      </c>
      <c r="B1153" s="2" t="s">
        <v>6150</v>
      </c>
      <c r="C1153" s="2" t="s">
        <v>6150</v>
      </c>
      <c r="D1153" s="2" t="str">
        <f>"269-350-7307"</f>
        <v>269-350-7307</v>
      </c>
      <c r="E1153" s="2" t="s">
        <v>2158</v>
      </c>
      <c r="F1153" s="2" t="s">
        <v>6151</v>
      </c>
      <c r="G1153" s="2" t="str">
        <f>"SR-795"</f>
        <v>SR-795</v>
      </c>
      <c r="H1153" s="2" t="s">
        <v>6152</v>
      </c>
      <c r="I1153" s="2" t="s">
        <v>6153</v>
      </c>
      <c r="K1153" s="2" t="s">
        <v>6154</v>
      </c>
      <c r="L1153" s="2" t="s">
        <v>29</v>
      </c>
      <c r="M1153" s="2">
        <v>49036.0</v>
      </c>
      <c r="N1153" s="2" t="s">
        <v>21</v>
      </c>
    </row>
    <row r="1154" ht="15.75" customHeight="1">
      <c r="A1154" s="2">
        <v>2013.0</v>
      </c>
      <c r="B1154" s="2" t="s">
        <v>6155</v>
      </c>
      <c r="C1154" s="2" t="s">
        <v>6155</v>
      </c>
      <c r="D1154" s="2" t="str">
        <f>"3362533356"</f>
        <v>3362533356</v>
      </c>
      <c r="E1154" s="2" t="s">
        <v>15</v>
      </c>
      <c r="F1154" s="2" t="s">
        <v>984</v>
      </c>
      <c r="G1154" s="2" t="str">
        <f>"SR-1111"</f>
        <v>SR-1111</v>
      </c>
      <c r="H1154" s="2" t="s">
        <v>6156</v>
      </c>
      <c r="I1154" s="2" t="s">
        <v>6157</v>
      </c>
      <c r="K1154" s="2" t="s">
        <v>5837</v>
      </c>
      <c r="L1154" s="2" t="s">
        <v>20</v>
      </c>
      <c r="M1154" s="2">
        <v>27405.0</v>
      </c>
      <c r="N1154" s="2" t="s">
        <v>21</v>
      </c>
    </row>
    <row r="1155" ht="15.75" customHeight="1">
      <c r="A1155" s="2">
        <v>2013.0</v>
      </c>
      <c r="B1155" s="2" t="s">
        <v>6158</v>
      </c>
      <c r="C1155" s="2" t="s">
        <v>6158</v>
      </c>
      <c r="D1155" s="2" t="str">
        <f>"(405) 538-7671"</f>
        <v>(405) 538-7671</v>
      </c>
      <c r="E1155" s="2" t="s">
        <v>386</v>
      </c>
      <c r="F1155" s="2" t="s">
        <v>6159</v>
      </c>
      <c r="G1155" s="2" t="str">
        <f>"SR-1581"</f>
        <v>SR-1581</v>
      </c>
      <c r="H1155" s="2" t="s">
        <v>6160</v>
      </c>
      <c r="I1155" s="2" t="s">
        <v>6161</v>
      </c>
      <c r="K1155" s="2" t="s">
        <v>6162</v>
      </c>
      <c r="L1155" s="2" t="s">
        <v>840</v>
      </c>
      <c r="M1155" s="2">
        <v>73016.0</v>
      </c>
      <c r="N1155" s="2" t="s">
        <v>21</v>
      </c>
    </row>
    <row r="1156" ht="15.75" customHeight="1">
      <c r="A1156" s="2">
        <v>2013.0</v>
      </c>
      <c r="B1156" s="2" t="s">
        <v>6163</v>
      </c>
      <c r="D1156" s="2" t="str">
        <f>"8655483490"</f>
        <v>8655483490</v>
      </c>
      <c r="E1156" s="2" t="s">
        <v>6164</v>
      </c>
      <c r="F1156" s="2" t="s">
        <v>6165</v>
      </c>
      <c r="G1156" s="2" t="str">
        <f>"SR-1324"</f>
        <v>SR-1324</v>
      </c>
      <c r="H1156" s="2" t="s">
        <v>6166</v>
      </c>
      <c r="I1156" s="2" t="s">
        <v>6167</v>
      </c>
      <c r="K1156" s="2" t="s">
        <v>6168</v>
      </c>
      <c r="L1156" s="2" t="s">
        <v>279</v>
      </c>
      <c r="M1156" s="2">
        <v>37932.0</v>
      </c>
      <c r="N1156" s="2" t="s">
        <v>21</v>
      </c>
    </row>
    <row r="1157" ht="15.75" customHeight="1">
      <c r="A1157" s="2">
        <v>2013.0</v>
      </c>
      <c r="B1157" s="2" t="s">
        <v>6169</v>
      </c>
      <c r="D1157" s="2" t="str">
        <f>"813-918-8802"</f>
        <v>813-918-8802</v>
      </c>
      <c r="E1157" s="2" t="s">
        <v>6170</v>
      </c>
      <c r="F1157" s="2" t="s">
        <v>737</v>
      </c>
      <c r="G1157" s="2" t="str">
        <f>"SR-786"</f>
        <v>SR-786</v>
      </c>
      <c r="H1157" s="2" t="s">
        <v>6171</v>
      </c>
      <c r="I1157" s="2" t="s">
        <v>6172</v>
      </c>
      <c r="K1157" s="2" t="s">
        <v>1576</v>
      </c>
      <c r="L1157" s="2" t="s">
        <v>208</v>
      </c>
      <c r="M1157" s="2">
        <v>33563.0</v>
      </c>
      <c r="N1157" s="2" t="s">
        <v>21</v>
      </c>
    </row>
    <row r="1158" ht="15.75" customHeight="1">
      <c r="A1158" s="2">
        <v>2013.0</v>
      </c>
      <c r="B1158" s="2" t="s">
        <v>6173</v>
      </c>
      <c r="D1158" s="2" t="str">
        <f>"518-295-7710"</f>
        <v>518-295-7710</v>
      </c>
      <c r="E1158" s="2" t="s">
        <v>6174</v>
      </c>
      <c r="F1158" s="2" t="s">
        <v>6175</v>
      </c>
      <c r="G1158" s="2" t="str">
        <f>"SR-1597"</f>
        <v>SR-1597</v>
      </c>
      <c r="H1158" s="2" t="s">
        <v>6176</v>
      </c>
      <c r="I1158" s="2" t="s">
        <v>6177</v>
      </c>
      <c r="K1158" s="2" t="s">
        <v>6178</v>
      </c>
      <c r="L1158" s="2" t="s">
        <v>142</v>
      </c>
      <c r="M1158" s="2">
        <v>12157.0</v>
      </c>
      <c r="N1158" s="2" t="s">
        <v>21</v>
      </c>
    </row>
    <row r="1159" ht="15.75" customHeight="1">
      <c r="A1159" s="2">
        <v>2013.0</v>
      </c>
      <c r="B1159" s="2" t="s">
        <v>6179</v>
      </c>
      <c r="C1159" s="2" t="s">
        <v>6179</v>
      </c>
      <c r="D1159" s="2" t="str">
        <f>"405-406-1726"</f>
        <v>405-406-1726</v>
      </c>
      <c r="E1159" s="2" t="s">
        <v>4375</v>
      </c>
      <c r="F1159" s="2" t="s">
        <v>1151</v>
      </c>
      <c r="G1159" s="2" t="str">
        <f>"SR-1567"</f>
        <v>SR-1567</v>
      </c>
      <c r="H1159" s="2" t="s">
        <v>6180</v>
      </c>
      <c r="I1159" s="2" t="s">
        <v>6181</v>
      </c>
      <c r="K1159" s="2" t="s">
        <v>1546</v>
      </c>
      <c r="L1159" s="2" t="s">
        <v>840</v>
      </c>
      <c r="M1159" s="2">
        <v>73034.0</v>
      </c>
      <c r="N1159" s="2" t="s">
        <v>21</v>
      </c>
    </row>
    <row r="1160" ht="15.75" customHeight="1">
      <c r="A1160" s="2">
        <v>2013.0</v>
      </c>
      <c r="B1160" s="2" t="s">
        <v>6182</v>
      </c>
      <c r="C1160" s="2" t="s">
        <v>6183</v>
      </c>
      <c r="D1160" s="2" t="str">
        <f>"850-877-4485"</f>
        <v>850-877-4485</v>
      </c>
      <c r="E1160" s="2" t="s">
        <v>339</v>
      </c>
      <c r="F1160" s="2" t="s">
        <v>6184</v>
      </c>
      <c r="G1160" s="2" t="str">
        <f>"SR-1658"</f>
        <v>SR-1658</v>
      </c>
      <c r="H1160" s="2" t="s">
        <v>6185</v>
      </c>
      <c r="I1160" s="2" t="s">
        <v>6186</v>
      </c>
      <c r="K1160" s="2" t="s">
        <v>2007</v>
      </c>
      <c r="L1160" s="2" t="s">
        <v>208</v>
      </c>
      <c r="M1160" s="2">
        <v>32309.0</v>
      </c>
      <c r="N1160" s="2" t="s">
        <v>21</v>
      </c>
    </row>
    <row r="1161" ht="15.75" customHeight="1">
      <c r="A1161" s="2">
        <v>2013.0</v>
      </c>
      <c r="B1161" s="2" t="s">
        <v>6187</v>
      </c>
      <c r="C1161" s="2" t="s">
        <v>6188</v>
      </c>
      <c r="D1161" s="2" t="str">
        <f>"4083711115"</f>
        <v>4083711115</v>
      </c>
      <c r="E1161" s="2" t="s">
        <v>6189</v>
      </c>
      <c r="F1161" s="2" t="s">
        <v>6190</v>
      </c>
      <c r="G1161" s="2" t="str">
        <f>"SR-1662"</f>
        <v>SR-1662</v>
      </c>
      <c r="H1161" s="2" t="s">
        <v>6191</v>
      </c>
      <c r="I1161" s="2" t="s">
        <v>6192</v>
      </c>
      <c r="K1161" s="2" t="s">
        <v>6193</v>
      </c>
      <c r="L1161" s="2" t="s">
        <v>222</v>
      </c>
      <c r="M1161" s="2">
        <v>95008.0</v>
      </c>
      <c r="N1161" s="2" t="s">
        <v>21</v>
      </c>
    </row>
    <row r="1162" ht="15.75" customHeight="1">
      <c r="A1162" s="2">
        <v>2013.0</v>
      </c>
      <c r="B1162" s="2" t="s">
        <v>6194</v>
      </c>
      <c r="C1162" s="2" t="s">
        <v>6194</v>
      </c>
      <c r="D1162" s="2" t="str">
        <f t="shared" ref="D1162:D1163" si="15">"262 728 9211"</f>
        <v>262 728 9211</v>
      </c>
      <c r="E1162" s="2" t="s">
        <v>301</v>
      </c>
      <c r="F1162" s="2" t="s">
        <v>6195</v>
      </c>
      <c r="G1162" s="2" t="str">
        <f>"SR-1256"</f>
        <v>SR-1256</v>
      </c>
      <c r="H1162" s="2" t="s">
        <v>6196</v>
      </c>
      <c r="I1162" s="2" t="s">
        <v>6197</v>
      </c>
      <c r="K1162" s="2" t="s">
        <v>6198</v>
      </c>
      <c r="L1162" s="2" t="s">
        <v>193</v>
      </c>
      <c r="M1162" s="2">
        <v>53115.0</v>
      </c>
      <c r="N1162" s="2" t="s">
        <v>21</v>
      </c>
    </row>
    <row r="1163" ht="15.75" customHeight="1">
      <c r="A1163" s="2">
        <v>2013.0</v>
      </c>
      <c r="B1163" s="2" t="s">
        <v>6194</v>
      </c>
      <c r="D1163" s="2" t="str">
        <f t="shared" si="15"/>
        <v>262 728 9211</v>
      </c>
      <c r="E1163" s="2" t="s">
        <v>2752</v>
      </c>
      <c r="F1163" s="2" t="s">
        <v>6195</v>
      </c>
      <c r="G1163" s="2" t="str">
        <f>"SR-1251"</f>
        <v>SR-1251</v>
      </c>
      <c r="H1163" s="2" t="s">
        <v>6199</v>
      </c>
      <c r="I1163" s="2" t="s">
        <v>6197</v>
      </c>
      <c r="K1163" s="2" t="s">
        <v>6198</v>
      </c>
      <c r="L1163" s="2" t="s">
        <v>193</v>
      </c>
      <c r="M1163" s="2">
        <v>53115.0</v>
      </c>
      <c r="N1163" s="2" t="s">
        <v>21</v>
      </c>
    </row>
    <row r="1164" ht="15.75" customHeight="1">
      <c r="A1164" s="2">
        <v>2013.0</v>
      </c>
      <c r="B1164" s="2" t="s">
        <v>6200</v>
      </c>
      <c r="C1164" s="2" t="s">
        <v>6201</v>
      </c>
      <c r="D1164" s="2" t="str">
        <f>"16169491881"</f>
        <v>16169491881</v>
      </c>
      <c r="E1164" s="2" t="s">
        <v>6202</v>
      </c>
      <c r="F1164" s="2" t="s">
        <v>6203</v>
      </c>
      <c r="G1164" s="2" t="str">
        <f>"SR-1649"</f>
        <v>SR-1649</v>
      </c>
      <c r="H1164" s="2" t="s">
        <v>6204</v>
      </c>
      <c r="I1164" s="2" t="s">
        <v>6205</v>
      </c>
      <c r="J1164" s="2" t="s">
        <v>6206</v>
      </c>
      <c r="K1164" s="2" t="s">
        <v>40</v>
      </c>
      <c r="L1164" s="2" t="s">
        <v>29</v>
      </c>
      <c r="M1164" s="2">
        <v>49546.0</v>
      </c>
      <c r="N1164" s="2" t="s">
        <v>21</v>
      </c>
    </row>
    <row r="1165" ht="15.75" customHeight="1">
      <c r="A1165" s="2">
        <v>2013.0</v>
      </c>
      <c r="B1165" s="2" t="s">
        <v>6207</v>
      </c>
      <c r="C1165" s="2" t="s">
        <v>6208</v>
      </c>
      <c r="D1165" s="2" t="str">
        <f>"303-697-7700"</f>
        <v>303-697-7700</v>
      </c>
      <c r="E1165" s="2" t="s">
        <v>3196</v>
      </c>
      <c r="F1165" s="2" t="s">
        <v>1929</v>
      </c>
      <c r="G1165" s="2" t="str">
        <f>"SR-1386"</f>
        <v>SR-1386</v>
      </c>
      <c r="H1165" s="2" t="s">
        <v>6209</v>
      </c>
      <c r="I1165" s="2" t="s">
        <v>6210</v>
      </c>
      <c r="K1165" s="2" t="s">
        <v>1223</v>
      </c>
      <c r="L1165" s="2" t="s">
        <v>157</v>
      </c>
      <c r="M1165" s="2">
        <v>80433.0</v>
      </c>
      <c r="N1165" s="2" t="s">
        <v>21</v>
      </c>
    </row>
    <row r="1166" ht="15.75" customHeight="1">
      <c r="A1166" s="2">
        <v>2013.0</v>
      </c>
      <c r="B1166" s="2" t="s">
        <v>6211</v>
      </c>
      <c r="C1166" s="2" t="s">
        <v>6212</v>
      </c>
      <c r="D1166" s="2" t="str">
        <f>"620 947 2717"</f>
        <v>620 947 2717</v>
      </c>
      <c r="E1166" s="2" t="s">
        <v>778</v>
      </c>
      <c r="F1166" s="2" t="s">
        <v>6213</v>
      </c>
      <c r="G1166" s="2" t="str">
        <f>"SR-1191"</f>
        <v>SR-1191</v>
      </c>
      <c r="H1166" s="2" t="s">
        <v>6214</v>
      </c>
      <c r="I1166" s="2" t="s">
        <v>6215</v>
      </c>
      <c r="K1166" s="2" t="s">
        <v>788</v>
      </c>
      <c r="L1166" s="2" t="s">
        <v>272</v>
      </c>
      <c r="M1166" s="2">
        <v>67063.0</v>
      </c>
      <c r="N1166" s="2" t="s">
        <v>21</v>
      </c>
    </row>
    <row r="1167" ht="15.75" customHeight="1">
      <c r="A1167" s="2">
        <v>2013.0</v>
      </c>
      <c r="B1167" s="2" t="s">
        <v>6216</v>
      </c>
      <c r="C1167" s="2" t="s">
        <v>6216</v>
      </c>
      <c r="D1167" s="2" t="str">
        <f>"(760) 217-5207"</f>
        <v>(760) 217-5207</v>
      </c>
      <c r="E1167" s="2" t="s">
        <v>282</v>
      </c>
      <c r="F1167" s="2" t="s">
        <v>6217</v>
      </c>
      <c r="G1167" s="2" t="str">
        <f>"SR-1665"</f>
        <v>SR-1665</v>
      </c>
      <c r="H1167" s="2" t="s">
        <v>6218</v>
      </c>
      <c r="I1167" s="2" t="s">
        <v>6219</v>
      </c>
      <c r="K1167" s="2" t="s">
        <v>6220</v>
      </c>
      <c r="L1167" s="2" t="s">
        <v>222</v>
      </c>
      <c r="M1167" s="2">
        <v>92356.0</v>
      </c>
      <c r="N1167" s="2" t="s">
        <v>21</v>
      </c>
    </row>
    <row r="1168" ht="15.75" customHeight="1">
      <c r="A1168" s="2">
        <v>2013.0</v>
      </c>
      <c r="B1168" s="2" t="s">
        <v>6221</v>
      </c>
      <c r="C1168" s="2" t="s">
        <v>6221</v>
      </c>
      <c r="D1168" s="2" t="str">
        <f>"(360) 713-8798"</f>
        <v>(360) 713-8798</v>
      </c>
      <c r="E1168" s="2" t="s">
        <v>651</v>
      </c>
      <c r="F1168" s="2" t="s">
        <v>3286</v>
      </c>
      <c r="G1168" s="2" t="str">
        <f>"SR-1417"</f>
        <v>SR-1417</v>
      </c>
      <c r="H1168" s="2" t="s">
        <v>6222</v>
      </c>
      <c r="I1168" s="2" t="s">
        <v>6223</v>
      </c>
      <c r="K1168" s="2" t="s">
        <v>6224</v>
      </c>
      <c r="L1168" s="2" t="s">
        <v>214</v>
      </c>
      <c r="M1168" s="2">
        <v>63031.0</v>
      </c>
      <c r="N1168" s="2" t="s">
        <v>21</v>
      </c>
    </row>
    <row r="1169" ht="15.75" customHeight="1">
      <c r="A1169" s="2">
        <v>2013.0</v>
      </c>
      <c r="B1169" s="2" t="s">
        <v>6225</v>
      </c>
      <c r="C1169" s="2" t="s">
        <v>6226</v>
      </c>
      <c r="D1169" s="2" t="str">
        <f>"254-206-1917"</f>
        <v>254-206-1917</v>
      </c>
      <c r="E1169" s="2" t="s">
        <v>428</v>
      </c>
      <c r="F1169" s="2" t="s">
        <v>6227</v>
      </c>
      <c r="G1169" s="2" t="str">
        <f>"SR-1306"</f>
        <v>SR-1306</v>
      </c>
      <c r="H1169" s="2" t="s">
        <v>6228</v>
      </c>
      <c r="I1169" s="2" t="s">
        <v>6229</v>
      </c>
      <c r="K1169" s="2" t="s">
        <v>6230</v>
      </c>
      <c r="L1169" s="2" t="s">
        <v>172</v>
      </c>
      <c r="M1169" s="2">
        <v>76528.0</v>
      </c>
      <c r="N1169" s="2" t="s">
        <v>21</v>
      </c>
    </row>
    <row r="1170" ht="15.75" customHeight="1">
      <c r="A1170" s="2">
        <v>2013.0</v>
      </c>
      <c r="B1170" s="2" t="s">
        <v>6231</v>
      </c>
      <c r="C1170" s="2" t="s">
        <v>6232</v>
      </c>
      <c r="D1170" s="2" t="str">
        <f>"907-378-0277"</f>
        <v>907-378-0277</v>
      </c>
      <c r="E1170" s="2" t="s">
        <v>6233</v>
      </c>
      <c r="F1170" s="2" t="s">
        <v>6234</v>
      </c>
      <c r="G1170" s="2" t="str">
        <f>"SR-1667"</f>
        <v>SR-1667</v>
      </c>
      <c r="H1170" s="2" t="s">
        <v>6235</v>
      </c>
      <c r="I1170" s="2" t="s">
        <v>6236</v>
      </c>
      <c r="K1170" s="2" t="s">
        <v>6237</v>
      </c>
      <c r="L1170" s="2" t="s">
        <v>208</v>
      </c>
      <c r="M1170" s="2">
        <v>32708.0</v>
      </c>
      <c r="N1170" s="2" t="s">
        <v>21</v>
      </c>
    </row>
    <row r="1171" ht="15.75" customHeight="1">
      <c r="A1171" s="2">
        <v>2013.0</v>
      </c>
      <c r="B1171" s="2" t="s">
        <v>6238</v>
      </c>
      <c r="C1171" s="2" t="s">
        <v>6238</v>
      </c>
      <c r="D1171" s="2" t="str">
        <f>"4073520120"</f>
        <v>4073520120</v>
      </c>
      <c r="E1171" s="2" t="s">
        <v>1263</v>
      </c>
      <c r="F1171" s="2" t="s">
        <v>6239</v>
      </c>
      <c r="G1171" s="2" t="str">
        <f>"SR-1643"</f>
        <v>SR-1643</v>
      </c>
      <c r="H1171" s="2" t="s">
        <v>6240</v>
      </c>
      <c r="I1171" s="2" t="s">
        <v>6241</v>
      </c>
      <c r="K1171" s="2" t="s">
        <v>4724</v>
      </c>
      <c r="L1171" s="2" t="s">
        <v>208</v>
      </c>
      <c r="M1171" s="2">
        <v>32836.0</v>
      </c>
      <c r="N1171" s="2" t="s">
        <v>21</v>
      </c>
    </row>
    <row r="1172" ht="15.75" customHeight="1">
      <c r="A1172" s="2">
        <v>2013.0</v>
      </c>
      <c r="B1172" s="2" t="s">
        <v>6242</v>
      </c>
      <c r="C1172" s="2" t="s">
        <v>6243</v>
      </c>
      <c r="D1172" s="2" t="str">
        <f>"6305635379"</f>
        <v>6305635379</v>
      </c>
      <c r="E1172" s="2" t="s">
        <v>6244</v>
      </c>
      <c r="F1172" s="2" t="s">
        <v>6245</v>
      </c>
      <c r="G1172" s="2" t="str">
        <f>"SR-92"</f>
        <v>SR-92</v>
      </c>
      <c r="H1172" s="2" t="s">
        <v>6246</v>
      </c>
      <c r="I1172" s="2" t="s">
        <v>6247</v>
      </c>
      <c r="K1172" s="2" t="s">
        <v>6248</v>
      </c>
      <c r="L1172" s="2" t="s">
        <v>105</v>
      </c>
      <c r="M1172" s="2">
        <v>60126.0</v>
      </c>
      <c r="N1172" s="2" t="s">
        <v>21</v>
      </c>
    </row>
    <row r="1173" ht="15.75" customHeight="1">
      <c r="A1173" s="2">
        <v>2013.0</v>
      </c>
      <c r="B1173" s="2" t="s">
        <v>6249</v>
      </c>
      <c r="C1173" s="2" t="s">
        <v>6249</v>
      </c>
      <c r="D1173" s="2" t="str">
        <f>"336-449-5728"</f>
        <v>336-449-5728</v>
      </c>
      <c r="E1173" s="2" t="s">
        <v>1682</v>
      </c>
      <c r="F1173" s="2" t="s">
        <v>89</v>
      </c>
      <c r="G1173" s="2" t="str">
        <f>"SR-1551"</f>
        <v>SR-1551</v>
      </c>
      <c r="H1173" s="2" t="s">
        <v>6250</v>
      </c>
      <c r="I1173" s="2" t="s">
        <v>6251</v>
      </c>
      <c r="K1173" s="2" t="s">
        <v>6252</v>
      </c>
      <c r="L1173" s="2" t="s">
        <v>20</v>
      </c>
      <c r="M1173" s="2">
        <v>27244.0</v>
      </c>
      <c r="N1173" s="2" t="s">
        <v>21</v>
      </c>
    </row>
    <row r="1174" ht="15.75" customHeight="1">
      <c r="A1174" s="2">
        <v>2013.0</v>
      </c>
      <c r="B1174" s="2" t="s">
        <v>6253</v>
      </c>
      <c r="C1174" s="2" t="s">
        <v>6253</v>
      </c>
      <c r="D1174" s="2" t="str">
        <f>"3058786186"</f>
        <v>3058786186</v>
      </c>
      <c r="E1174" s="2" t="s">
        <v>339</v>
      </c>
      <c r="F1174" s="2" t="s">
        <v>6254</v>
      </c>
      <c r="G1174" s="2" t="str">
        <f>"SR-1537"</f>
        <v>SR-1537</v>
      </c>
      <c r="H1174" s="2" t="s">
        <v>6255</v>
      </c>
      <c r="I1174" s="2" t="s">
        <v>6256</v>
      </c>
      <c r="K1174" s="2" t="s">
        <v>2211</v>
      </c>
      <c r="L1174" s="2" t="s">
        <v>208</v>
      </c>
      <c r="M1174" s="2">
        <v>33173.0</v>
      </c>
      <c r="N1174" s="2" t="s">
        <v>21</v>
      </c>
    </row>
    <row r="1175" ht="15.75" customHeight="1">
      <c r="A1175" s="2">
        <v>2013.0</v>
      </c>
      <c r="B1175" s="2" t="s">
        <v>6257</v>
      </c>
      <c r="D1175" s="2" t="str">
        <f>"218-205-5378"</f>
        <v>218-205-5378</v>
      </c>
      <c r="E1175" s="2" t="s">
        <v>2598</v>
      </c>
      <c r="F1175" s="2" t="s">
        <v>1529</v>
      </c>
      <c r="G1175" s="2" t="str">
        <f>"SR-1638"</f>
        <v>SR-1638</v>
      </c>
      <c r="H1175" s="2" t="s">
        <v>6258</v>
      </c>
      <c r="I1175" s="2" t="s">
        <v>6259</v>
      </c>
      <c r="K1175" s="2" t="s">
        <v>6260</v>
      </c>
      <c r="L1175" s="2" t="s">
        <v>62</v>
      </c>
      <c r="M1175" s="2">
        <v>56537.0</v>
      </c>
      <c r="N1175" s="2" t="s">
        <v>21</v>
      </c>
    </row>
    <row r="1176" ht="15.75" customHeight="1">
      <c r="A1176" s="2">
        <v>2013.0</v>
      </c>
      <c r="B1176" s="2" t="s">
        <v>6261</v>
      </c>
      <c r="C1176" s="2" t="s">
        <v>6262</v>
      </c>
      <c r="D1176" s="2" t="str">
        <f>"319-363-4878"</f>
        <v>319-363-4878</v>
      </c>
      <c r="E1176" s="2" t="s">
        <v>167</v>
      </c>
      <c r="F1176" s="2" t="s">
        <v>962</v>
      </c>
      <c r="G1176" s="2" t="str">
        <f>"SR-1411"</f>
        <v>SR-1411</v>
      </c>
      <c r="H1176" s="2" t="s">
        <v>5948</v>
      </c>
      <c r="I1176" s="2" t="s">
        <v>6263</v>
      </c>
      <c r="K1176" s="2" t="s">
        <v>3273</v>
      </c>
      <c r="L1176" s="2" t="s">
        <v>560</v>
      </c>
      <c r="M1176" s="2">
        <v>52403.0</v>
      </c>
      <c r="N1176" s="2" t="s">
        <v>21</v>
      </c>
    </row>
    <row r="1177" ht="15.75" customHeight="1">
      <c r="A1177" s="2">
        <v>2013.0</v>
      </c>
      <c r="B1177" s="2" t="s">
        <v>6264</v>
      </c>
      <c r="C1177" s="2" t="s">
        <v>6265</v>
      </c>
      <c r="D1177" s="2" t="str">
        <f>"(876) 978 1698"</f>
        <v>(876) 978 1698</v>
      </c>
      <c r="E1177" s="2" t="s">
        <v>6266</v>
      </c>
      <c r="F1177" s="2" t="s">
        <v>6267</v>
      </c>
      <c r="G1177" s="2" t="str">
        <f>"SR-1668"</f>
        <v>SR-1668</v>
      </c>
      <c r="H1177" s="2" t="s">
        <v>6268</v>
      </c>
      <c r="I1177" s="2" t="s">
        <v>6269</v>
      </c>
      <c r="K1177" s="2" t="s">
        <v>6270</v>
      </c>
      <c r="N1177" s="2" t="s">
        <v>6271</v>
      </c>
    </row>
    <row r="1178" ht="15.75" customHeight="1">
      <c r="A1178" s="2">
        <v>2013.0</v>
      </c>
      <c r="B1178" s="2" t="s">
        <v>6272</v>
      </c>
      <c r="C1178" s="2" t="s">
        <v>6272</v>
      </c>
      <c r="D1178" s="2" t="str">
        <f>"5148127586"</f>
        <v>5148127586</v>
      </c>
      <c r="E1178" s="2" t="s">
        <v>6273</v>
      </c>
      <c r="F1178" s="2" t="s">
        <v>6274</v>
      </c>
      <c r="G1178" s="2" t="str">
        <f>"SR-1573"</f>
        <v>SR-1573</v>
      </c>
      <c r="H1178" s="2" t="s">
        <v>6275</v>
      </c>
      <c r="I1178" s="2" t="s">
        <v>6276</v>
      </c>
      <c r="K1178" s="2" t="s">
        <v>6277</v>
      </c>
      <c r="N1178" s="2" t="s">
        <v>1602</v>
      </c>
    </row>
    <row r="1179" ht="15.75" customHeight="1">
      <c r="A1179" s="2">
        <v>2013.0</v>
      </c>
      <c r="B1179" s="2" t="s">
        <v>6278</v>
      </c>
      <c r="C1179" s="2" t="s">
        <v>6278</v>
      </c>
      <c r="D1179" s="2" t="str">
        <f>"239-596-5770"</f>
        <v>239-596-5770</v>
      </c>
      <c r="E1179" s="2" t="s">
        <v>72</v>
      </c>
      <c r="F1179" s="2" t="s">
        <v>6279</v>
      </c>
      <c r="G1179" s="2" t="str">
        <f>"SR-1666"</f>
        <v>SR-1666</v>
      </c>
      <c r="H1179" s="2" t="s">
        <v>6280</v>
      </c>
      <c r="I1179" s="2" t="s">
        <v>6281</v>
      </c>
      <c r="K1179" s="2" t="s">
        <v>5046</v>
      </c>
      <c r="L1179" s="2" t="s">
        <v>208</v>
      </c>
      <c r="M1179" s="2">
        <v>34119.0</v>
      </c>
      <c r="N1179" s="2" t="s">
        <v>21</v>
      </c>
    </row>
    <row r="1180" ht="15.75" customHeight="1">
      <c r="A1180" s="2">
        <v>2013.0</v>
      </c>
      <c r="B1180" s="2" t="s">
        <v>6282</v>
      </c>
      <c r="C1180" s="2" t="s">
        <v>6282</v>
      </c>
      <c r="D1180" s="2" t="str">
        <f>"3604736062"</f>
        <v>3604736062</v>
      </c>
      <c r="E1180" s="2" t="s">
        <v>6283</v>
      </c>
      <c r="F1180" s="2" t="s">
        <v>6284</v>
      </c>
      <c r="G1180" s="2" t="str">
        <f>"SR-1366"</f>
        <v>SR-1366</v>
      </c>
      <c r="H1180" s="2" t="s">
        <v>6285</v>
      </c>
      <c r="I1180" s="2" t="s">
        <v>6286</v>
      </c>
      <c r="J1180" s="2" t="s">
        <v>6287</v>
      </c>
      <c r="K1180" s="2" t="s">
        <v>1121</v>
      </c>
      <c r="L1180" s="2" t="s">
        <v>172</v>
      </c>
      <c r="M1180" s="2">
        <v>79424.0</v>
      </c>
      <c r="N1180" s="2" t="s">
        <v>21</v>
      </c>
    </row>
    <row r="1181" ht="15.75" customHeight="1">
      <c r="A1181" s="2">
        <v>2013.0</v>
      </c>
      <c r="B1181" s="2" t="s">
        <v>6288</v>
      </c>
      <c r="C1181" s="2" t="s">
        <v>6289</v>
      </c>
      <c r="D1181" s="2" t="str">
        <f>"7202508196"</f>
        <v>7202508196</v>
      </c>
      <c r="E1181" s="2" t="s">
        <v>1022</v>
      </c>
      <c r="F1181" s="2" t="s">
        <v>6290</v>
      </c>
      <c r="G1181" s="2" t="str">
        <f>"SR-1378"</f>
        <v>SR-1378</v>
      </c>
      <c r="H1181" s="2" t="s">
        <v>6291</v>
      </c>
      <c r="I1181" s="2" t="s">
        <v>6292</v>
      </c>
      <c r="K1181" s="2" t="s">
        <v>1054</v>
      </c>
      <c r="L1181" s="2" t="s">
        <v>157</v>
      </c>
      <c r="M1181" s="2">
        <v>80134.0</v>
      </c>
      <c r="N1181" s="2" t="s">
        <v>21</v>
      </c>
    </row>
    <row r="1182" ht="15.75" customHeight="1">
      <c r="A1182" s="2">
        <v>2013.0</v>
      </c>
      <c r="B1182" s="2" t="s">
        <v>6288</v>
      </c>
      <c r="C1182" s="2" t="s">
        <v>6293</v>
      </c>
      <c r="D1182" s="2" t="str">
        <f>"303-524-4395"</f>
        <v>303-524-4395</v>
      </c>
      <c r="E1182" s="2" t="s">
        <v>6294</v>
      </c>
      <c r="F1182" s="2" t="s">
        <v>6295</v>
      </c>
      <c r="G1182" s="2" t="str">
        <f>"SR-1673"</f>
        <v>SR-1673</v>
      </c>
      <c r="H1182" s="2" t="s">
        <v>6296</v>
      </c>
      <c r="I1182" s="2" t="s">
        <v>6297</v>
      </c>
      <c r="K1182" s="2" t="s">
        <v>1398</v>
      </c>
      <c r="L1182" s="2" t="s">
        <v>157</v>
      </c>
      <c r="M1182" s="2">
        <v>80104.0</v>
      </c>
      <c r="N1182" s="2" t="s">
        <v>21</v>
      </c>
    </row>
    <row r="1183" ht="15.75" customHeight="1">
      <c r="A1183" s="2">
        <v>2013.0</v>
      </c>
      <c r="B1183" s="2" t="s">
        <v>6298</v>
      </c>
      <c r="C1183" s="2" t="s">
        <v>6299</v>
      </c>
      <c r="D1183" s="2" t="str">
        <f>"8066767078"</f>
        <v>8066767078</v>
      </c>
      <c r="E1183" s="2" t="s">
        <v>6300</v>
      </c>
      <c r="F1183" s="2" t="s">
        <v>6301</v>
      </c>
      <c r="G1183" s="2" t="str">
        <f>"SR-1679"</f>
        <v>SR-1679</v>
      </c>
      <c r="H1183" s="2" t="s">
        <v>6302</v>
      </c>
      <c r="I1183" s="2" t="s">
        <v>6303</v>
      </c>
      <c r="K1183" s="2" t="s">
        <v>6304</v>
      </c>
      <c r="L1183" s="2" t="s">
        <v>172</v>
      </c>
      <c r="M1183" s="2">
        <v>79012.0</v>
      </c>
      <c r="N1183" s="2" t="s">
        <v>21</v>
      </c>
    </row>
    <row r="1184" ht="15.75" customHeight="1">
      <c r="A1184" s="2">
        <v>2013.0</v>
      </c>
      <c r="B1184" s="2" t="s">
        <v>6288</v>
      </c>
      <c r="D1184" s="2" t="str">
        <f>"303-968-6979"</f>
        <v>303-968-6979</v>
      </c>
      <c r="E1184" s="2" t="s">
        <v>2851</v>
      </c>
      <c r="F1184" s="2" t="s">
        <v>6305</v>
      </c>
      <c r="G1184" s="2" t="str">
        <f>"SR-1670"</f>
        <v>SR-1670</v>
      </c>
      <c r="H1184" s="2" t="s">
        <v>6306</v>
      </c>
      <c r="I1184" s="2" t="s">
        <v>6307</v>
      </c>
      <c r="K1184" s="2" t="s">
        <v>6308</v>
      </c>
      <c r="L1184" s="2" t="s">
        <v>157</v>
      </c>
      <c r="M1184" s="2">
        <v>80116.0</v>
      </c>
      <c r="N1184" s="2" t="s">
        <v>21</v>
      </c>
    </row>
    <row r="1185" ht="15.75" customHeight="1">
      <c r="A1185" s="2">
        <v>2013.0</v>
      </c>
      <c r="B1185" s="2" t="s">
        <v>6309</v>
      </c>
      <c r="D1185" s="2" t="str">
        <f>"5308780308"</f>
        <v>5308780308</v>
      </c>
      <c r="E1185" s="2" t="s">
        <v>1585</v>
      </c>
      <c r="F1185" s="2" t="s">
        <v>2852</v>
      </c>
      <c r="G1185" s="2" t="str">
        <f>"SR-984"</f>
        <v>SR-984</v>
      </c>
      <c r="H1185" s="2" t="s">
        <v>6310</v>
      </c>
      <c r="I1185" s="2" t="s">
        <v>6311</v>
      </c>
      <c r="K1185" s="2" t="s">
        <v>6312</v>
      </c>
      <c r="L1185" s="2" t="s">
        <v>222</v>
      </c>
      <c r="M1185" s="2">
        <v>95602.0</v>
      </c>
      <c r="N1185" s="2" t="s">
        <v>21</v>
      </c>
    </row>
    <row r="1186" ht="15.75" customHeight="1">
      <c r="A1186" s="2">
        <v>2013.0</v>
      </c>
      <c r="B1186" s="2" t="s">
        <v>6313</v>
      </c>
      <c r="C1186" s="2" t="s">
        <v>6314</v>
      </c>
      <c r="D1186" s="2" t="str">
        <f>"9098604354"</f>
        <v>9098604354</v>
      </c>
      <c r="E1186" s="2" t="s">
        <v>6315</v>
      </c>
      <c r="F1186" s="2" t="s">
        <v>6316</v>
      </c>
      <c r="G1186" s="2" t="str">
        <f>"SR-1040"</f>
        <v>SR-1040</v>
      </c>
      <c r="H1186" s="2" t="s">
        <v>6317</v>
      </c>
      <c r="I1186" s="2" t="s">
        <v>6318</v>
      </c>
      <c r="K1186" s="2" t="s">
        <v>1444</v>
      </c>
      <c r="L1186" s="2" t="s">
        <v>222</v>
      </c>
      <c r="M1186" s="2">
        <v>91765.0</v>
      </c>
      <c r="N1186" s="2" t="s">
        <v>21</v>
      </c>
    </row>
    <row r="1187" ht="15.75" customHeight="1">
      <c r="A1187" s="2">
        <v>2013.0</v>
      </c>
      <c r="B1187" s="2" t="s">
        <v>6319</v>
      </c>
      <c r="C1187" s="2" t="s">
        <v>6320</v>
      </c>
      <c r="D1187" s="2" t="str">
        <f>"828-455-5262"</f>
        <v>828-455-5262</v>
      </c>
      <c r="E1187" s="2" t="s">
        <v>15</v>
      </c>
      <c r="F1187" s="2" t="s">
        <v>6321</v>
      </c>
      <c r="G1187" s="2" t="str">
        <f>"SR-1680"</f>
        <v>SR-1680</v>
      </c>
      <c r="H1187" s="2" t="s">
        <v>6322</v>
      </c>
      <c r="I1187" s="2" t="s">
        <v>6323</v>
      </c>
      <c r="K1187" s="2" t="s">
        <v>821</v>
      </c>
      <c r="L1187" s="2" t="s">
        <v>20</v>
      </c>
      <c r="M1187" s="2">
        <v>28601.0</v>
      </c>
      <c r="N1187" s="2" t="s">
        <v>21</v>
      </c>
    </row>
    <row r="1188" ht="15.75" customHeight="1">
      <c r="A1188" s="2">
        <v>2013.0</v>
      </c>
      <c r="B1188" s="2" t="s">
        <v>6320</v>
      </c>
      <c r="C1188" s="2" t="s">
        <v>6320</v>
      </c>
      <c r="D1188" s="2" t="str">
        <f>"828-455-5667"</f>
        <v>828-455-5667</v>
      </c>
      <c r="E1188" s="2" t="s">
        <v>6324</v>
      </c>
      <c r="F1188" s="2" t="s">
        <v>6325</v>
      </c>
      <c r="G1188" s="2" t="str">
        <f>"SR-1659"</f>
        <v>SR-1659</v>
      </c>
      <c r="H1188" s="2" t="s">
        <v>6326</v>
      </c>
      <c r="I1188" s="2" t="s">
        <v>6327</v>
      </c>
      <c r="K1188" s="2" t="s">
        <v>821</v>
      </c>
      <c r="L1188" s="2" t="s">
        <v>20</v>
      </c>
      <c r="M1188" s="2">
        <v>28601.0</v>
      </c>
      <c r="N1188" s="2" t="s">
        <v>21</v>
      </c>
    </row>
    <row r="1189" ht="15.75" customHeight="1">
      <c r="A1189" s="2">
        <v>2013.0</v>
      </c>
      <c r="B1189" s="2" t="s">
        <v>5838</v>
      </c>
      <c r="C1189" s="2" t="s">
        <v>6328</v>
      </c>
      <c r="D1189" s="2" t="str">
        <f>"615-591-5935"</f>
        <v>615-591-5935</v>
      </c>
      <c r="E1189" s="2" t="s">
        <v>1548</v>
      </c>
      <c r="F1189" s="2" t="s">
        <v>5840</v>
      </c>
      <c r="G1189" s="2" t="str">
        <f>"SR-1625"</f>
        <v>SR-1625</v>
      </c>
      <c r="H1189" s="2" t="s">
        <v>6329</v>
      </c>
      <c r="I1189" s="2" t="s">
        <v>5842</v>
      </c>
      <c r="K1189" s="2" t="s">
        <v>6330</v>
      </c>
      <c r="L1189" s="2" t="s">
        <v>279</v>
      </c>
      <c r="M1189" s="2">
        <v>37179.0</v>
      </c>
      <c r="N1189" s="2" t="s">
        <v>21</v>
      </c>
    </row>
    <row r="1190" ht="15.75" customHeight="1">
      <c r="A1190" s="2">
        <v>2013.0</v>
      </c>
      <c r="B1190" s="2" t="s">
        <v>5655</v>
      </c>
      <c r="D1190" s="2" t="str">
        <f>"832-418-2187"</f>
        <v>832-418-2187</v>
      </c>
      <c r="E1190" s="2" t="s">
        <v>6331</v>
      </c>
      <c r="F1190" s="2" t="s">
        <v>4347</v>
      </c>
      <c r="G1190" s="2" t="str">
        <f>"SR-1594"</f>
        <v>SR-1594</v>
      </c>
      <c r="H1190" s="2" t="s">
        <v>6332</v>
      </c>
      <c r="I1190" s="2" t="s">
        <v>6333</v>
      </c>
      <c r="K1190" s="2" t="s">
        <v>4350</v>
      </c>
      <c r="L1190" s="2" t="s">
        <v>172</v>
      </c>
      <c r="M1190" s="2">
        <v>77375.0</v>
      </c>
      <c r="N1190" s="2" t="s">
        <v>21</v>
      </c>
    </row>
    <row r="1191" ht="15.75" customHeight="1">
      <c r="A1191" s="2">
        <v>2013.0</v>
      </c>
      <c r="B1191" s="2" t="s">
        <v>6334</v>
      </c>
      <c r="C1191" s="2" t="s">
        <v>6335</v>
      </c>
      <c r="D1191" s="2" t="str">
        <f>"856-309-9562"</f>
        <v>856-309-9562</v>
      </c>
      <c r="E1191" s="2" t="s">
        <v>1782</v>
      </c>
      <c r="F1191" s="2" t="s">
        <v>6336</v>
      </c>
      <c r="G1191" s="2" t="str">
        <f>"SR-682"</f>
        <v>SR-682</v>
      </c>
      <c r="H1191" s="2" t="s">
        <v>6337</v>
      </c>
      <c r="I1191" s="2" t="s">
        <v>6338</v>
      </c>
      <c r="K1191" s="2" t="s">
        <v>6339</v>
      </c>
      <c r="L1191" s="2" t="s">
        <v>3618</v>
      </c>
      <c r="M1191" s="2">
        <v>8043.0</v>
      </c>
      <c r="N1191" s="2" t="s">
        <v>21</v>
      </c>
    </row>
    <row r="1192" ht="15.75" customHeight="1">
      <c r="A1192" s="2">
        <v>2013.0</v>
      </c>
      <c r="B1192" s="2" t="s">
        <v>6340</v>
      </c>
      <c r="D1192" s="2" t="str">
        <f>"479-650-5927"</f>
        <v>479-650-5927</v>
      </c>
      <c r="E1192" s="2" t="s">
        <v>167</v>
      </c>
      <c r="F1192" s="2" t="s">
        <v>1325</v>
      </c>
      <c r="G1192" s="2" t="str">
        <f>"SR-1671"</f>
        <v>SR-1671</v>
      </c>
      <c r="H1192" s="2" t="s">
        <v>6341</v>
      </c>
      <c r="I1192" s="2" t="s">
        <v>6342</v>
      </c>
      <c r="J1192" s="2" t="s">
        <v>6343</v>
      </c>
      <c r="K1192" s="2" t="s">
        <v>3164</v>
      </c>
      <c r="L1192" s="2" t="s">
        <v>1012</v>
      </c>
      <c r="M1192" s="2">
        <v>72701.0</v>
      </c>
      <c r="N1192" s="2" t="s">
        <v>21</v>
      </c>
    </row>
    <row r="1193" ht="15.75" customHeight="1">
      <c r="A1193" s="2">
        <v>2013.0</v>
      </c>
      <c r="B1193" s="2" t="s">
        <v>6344</v>
      </c>
      <c r="C1193" s="2" t="s">
        <v>6345</v>
      </c>
      <c r="D1193" s="2" t="str">
        <f>"6015131354"</f>
        <v>6015131354</v>
      </c>
      <c r="E1193" s="2" t="s">
        <v>1422</v>
      </c>
      <c r="F1193" s="2" t="s">
        <v>6346</v>
      </c>
      <c r="G1193" s="2" t="str">
        <f>"SR-452"</f>
        <v>SR-452</v>
      </c>
      <c r="H1193" s="2" t="s">
        <v>6347</v>
      </c>
      <c r="I1193" s="2" t="s">
        <v>6348</v>
      </c>
      <c r="K1193" s="2" t="s">
        <v>6349</v>
      </c>
      <c r="L1193" s="2" t="s">
        <v>1722</v>
      </c>
      <c r="M1193" s="2">
        <v>39330.0</v>
      </c>
      <c r="N1193" s="2" t="s">
        <v>21</v>
      </c>
    </row>
    <row r="1194" ht="15.75" customHeight="1">
      <c r="A1194" s="2">
        <v>2013.0</v>
      </c>
      <c r="B1194" s="2" t="s">
        <v>6350</v>
      </c>
      <c r="C1194" s="2" t="s">
        <v>6350</v>
      </c>
      <c r="D1194" s="2" t="str">
        <f>"515-460-2095"</f>
        <v>515-460-2095</v>
      </c>
      <c r="E1194" s="2" t="s">
        <v>2126</v>
      </c>
      <c r="F1194" s="2" t="s">
        <v>6351</v>
      </c>
      <c r="G1194" s="2" t="str">
        <f>"SR-1685"</f>
        <v>SR-1685</v>
      </c>
      <c r="H1194" s="2" t="s">
        <v>6352</v>
      </c>
      <c r="I1194" s="2" t="s">
        <v>6353</v>
      </c>
      <c r="K1194" s="2" t="s">
        <v>6354</v>
      </c>
      <c r="L1194" s="2" t="s">
        <v>560</v>
      </c>
      <c r="M1194" s="2">
        <v>50010.0</v>
      </c>
      <c r="N1194" s="2" t="s">
        <v>21</v>
      </c>
    </row>
    <row r="1195" ht="15.75" customHeight="1">
      <c r="A1195" s="2">
        <v>2013.0</v>
      </c>
      <c r="B1195" s="2" t="s">
        <v>6355</v>
      </c>
      <c r="D1195" s="2" t="str">
        <f>""</f>
        <v/>
      </c>
      <c r="E1195" s="2" t="s">
        <v>239</v>
      </c>
      <c r="F1195" s="2" t="s">
        <v>6356</v>
      </c>
      <c r="G1195" s="2" t="str">
        <f>"SR-1637"</f>
        <v>SR-1637</v>
      </c>
      <c r="H1195" s="2" t="s">
        <v>6357</v>
      </c>
    </row>
    <row r="1196" ht="15.75" customHeight="1">
      <c r="A1196" s="2">
        <v>2013.0</v>
      </c>
      <c r="B1196" s="2" t="s">
        <v>6358</v>
      </c>
      <c r="C1196" s="2" t="s">
        <v>6359</v>
      </c>
      <c r="D1196" s="2" t="str">
        <f>"2606243208"</f>
        <v>2606243208</v>
      </c>
      <c r="E1196" s="2" t="s">
        <v>144</v>
      </c>
      <c r="F1196" s="2" t="s">
        <v>6360</v>
      </c>
      <c r="G1196" s="2" t="str">
        <f>"SR-1684"</f>
        <v>SR-1684</v>
      </c>
      <c r="H1196" s="2" t="s">
        <v>6361</v>
      </c>
      <c r="I1196" s="2" t="s">
        <v>6362</v>
      </c>
      <c r="K1196" s="2" t="s">
        <v>6363</v>
      </c>
      <c r="L1196" s="2" t="s">
        <v>149</v>
      </c>
      <c r="M1196" s="2">
        <v>46703.0</v>
      </c>
      <c r="N1196" s="2" t="s">
        <v>21</v>
      </c>
    </row>
    <row r="1197" ht="15.75" customHeight="1">
      <c r="A1197" s="2">
        <v>2013.0</v>
      </c>
      <c r="B1197" s="2" t="s">
        <v>6364</v>
      </c>
      <c r="C1197" s="2" t="s">
        <v>6364</v>
      </c>
      <c r="D1197" s="2" t="str">
        <f>"2566535632"</f>
        <v>2566535632</v>
      </c>
      <c r="E1197" s="2" t="s">
        <v>6365</v>
      </c>
      <c r="F1197" s="2" t="s">
        <v>6366</v>
      </c>
      <c r="G1197" s="2" t="str">
        <f>"SR-1690"</f>
        <v>SR-1690</v>
      </c>
      <c r="H1197" s="2" t="s">
        <v>6367</v>
      </c>
      <c r="I1197" s="2" t="s">
        <v>6368</v>
      </c>
      <c r="K1197" s="2" t="s">
        <v>659</v>
      </c>
      <c r="L1197" s="2" t="s">
        <v>539</v>
      </c>
      <c r="M1197" s="2">
        <v>35758.0</v>
      </c>
      <c r="N1197" s="2" t="s">
        <v>21</v>
      </c>
    </row>
    <row r="1198" ht="15.75" customHeight="1">
      <c r="A1198" s="2">
        <v>2013.0</v>
      </c>
      <c r="B1198" s="2" t="s">
        <v>6369</v>
      </c>
      <c r="C1198" s="2" t="s">
        <v>6370</v>
      </c>
      <c r="D1198" s="2" t="str">
        <f>"541-333-2473"</f>
        <v>541-333-2473</v>
      </c>
      <c r="E1198" s="2" t="s">
        <v>4111</v>
      </c>
      <c r="F1198" s="2" t="s">
        <v>6371</v>
      </c>
      <c r="G1198" s="2" t="str">
        <f>"SR-1691"</f>
        <v>SR-1691</v>
      </c>
      <c r="H1198" s="2" t="s">
        <v>6372</v>
      </c>
      <c r="I1198" s="2" t="s">
        <v>6373</v>
      </c>
      <c r="K1198" s="2" t="s">
        <v>6374</v>
      </c>
      <c r="L1198" s="2" t="s">
        <v>2389</v>
      </c>
      <c r="M1198" s="2">
        <v>97029.0</v>
      </c>
      <c r="N1198" s="2" t="s">
        <v>21</v>
      </c>
    </row>
    <row r="1199" ht="15.75" customHeight="1">
      <c r="A1199" s="2">
        <v>2013.0</v>
      </c>
      <c r="B1199" s="2" t="s">
        <v>6288</v>
      </c>
      <c r="C1199" s="2" t="s">
        <v>6375</v>
      </c>
      <c r="D1199" s="2" t="str">
        <f>"7208808181"</f>
        <v>7208808181</v>
      </c>
      <c r="E1199" s="2" t="s">
        <v>1810</v>
      </c>
      <c r="F1199" s="2" t="s">
        <v>6376</v>
      </c>
      <c r="G1199" s="2" t="str">
        <f>"SR-1375"</f>
        <v>SR-1375</v>
      </c>
      <c r="H1199" s="2" t="s">
        <v>6377</v>
      </c>
      <c r="I1199" s="2" t="s">
        <v>6378</v>
      </c>
      <c r="K1199" s="2" t="s">
        <v>1398</v>
      </c>
      <c r="L1199" s="2" t="s">
        <v>157</v>
      </c>
      <c r="M1199" s="2">
        <v>80104.0</v>
      </c>
      <c r="N1199" s="2" t="s">
        <v>21</v>
      </c>
    </row>
    <row r="1200" ht="15.75" customHeight="1">
      <c r="A1200" s="2">
        <v>2013.0</v>
      </c>
      <c r="B1200" s="2" t="s">
        <v>6379</v>
      </c>
      <c r="C1200" s="2" t="s">
        <v>6380</v>
      </c>
      <c r="D1200" s="2" t="str">
        <f>"713-822-0470"</f>
        <v>713-822-0470</v>
      </c>
      <c r="E1200" s="2" t="s">
        <v>6381</v>
      </c>
      <c r="F1200" s="2" t="s">
        <v>283</v>
      </c>
      <c r="G1200" s="2" t="str">
        <f>"SR-1693"</f>
        <v>SR-1693</v>
      </c>
      <c r="H1200" s="2" t="s">
        <v>6382</v>
      </c>
      <c r="I1200" s="2" t="s">
        <v>6383</v>
      </c>
      <c r="K1200" s="2" t="s">
        <v>3524</v>
      </c>
      <c r="L1200" s="2" t="s">
        <v>172</v>
      </c>
      <c r="M1200" s="2">
        <v>77546.0</v>
      </c>
      <c r="N1200" s="2" t="s">
        <v>21</v>
      </c>
    </row>
    <row r="1201" ht="15.75" customHeight="1">
      <c r="A1201" s="2">
        <v>2013.0</v>
      </c>
      <c r="B1201" s="2" t="s">
        <v>6384</v>
      </c>
      <c r="C1201" s="2" t="s">
        <v>6385</v>
      </c>
      <c r="D1201" s="2" t="str">
        <f>"805-208-4023"</f>
        <v>805-208-4023</v>
      </c>
      <c r="E1201" s="2" t="s">
        <v>6386</v>
      </c>
      <c r="F1201" s="2" t="s">
        <v>6387</v>
      </c>
      <c r="G1201" s="2" t="str">
        <f>"SR-1695"</f>
        <v>SR-1695</v>
      </c>
      <c r="H1201" s="2" t="s">
        <v>6388</v>
      </c>
      <c r="I1201" s="2" t="s">
        <v>6389</v>
      </c>
      <c r="K1201" s="2" t="s">
        <v>5168</v>
      </c>
      <c r="L1201" s="2" t="s">
        <v>222</v>
      </c>
      <c r="M1201" s="2">
        <v>91360.0</v>
      </c>
      <c r="N1201" s="2" t="s">
        <v>21</v>
      </c>
    </row>
    <row r="1202" ht="15.75" customHeight="1">
      <c r="A1202" s="2">
        <v>2013.0</v>
      </c>
      <c r="B1202" s="2" t="s">
        <v>6390</v>
      </c>
      <c r="C1202" s="2" t="s">
        <v>6390</v>
      </c>
      <c r="D1202" s="2" t="str">
        <f>"2073193433"</f>
        <v>2073193433</v>
      </c>
      <c r="E1202" s="2" t="s">
        <v>4968</v>
      </c>
      <c r="F1202" s="2" t="s">
        <v>3283</v>
      </c>
      <c r="G1202" s="2" t="str">
        <f>"SR-1699"</f>
        <v>SR-1699</v>
      </c>
      <c r="H1202" s="2" t="s">
        <v>6391</v>
      </c>
      <c r="I1202" s="2" t="s">
        <v>6392</v>
      </c>
      <c r="K1202" s="2" t="s">
        <v>6393</v>
      </c>
      <c r="L1202" s="2" t="s">
        <v>3737</v>
      </c>
      <c r="M1202" s="2">
        <v>4252.0</v>
      </c>
      <c r="N1202" s="2" t="s">
        <v>21</v>
      </c>
    </row>
    <row r="1203" ht="15.75" customHeight="1">
      <c r="A1203" s="2">
        <v>2013.0</v>
      </c>
      <c r="B1203" s="2" t="s">
        <v>6394</v>
      </c>
      <c r="C1203" s="2" t="s">
        <v>6395</v>
      </c>
      <c r="D1203" s="2" t="str">
        <f>"3032043204"</f>
        <v>3032043204</v>
      </c>
      <c r="E1203" s="2" t="s">
        <v>2031</v>
      </c>
      <c r="F1203" s="2" t="s">
        <v>3656</v>
      </c>
      <c r="G1203" s="2" t="str">
        <f>"SR-1150"</f>
        <v>SR-1150</v>
      </c>
      <c r="H1203" s="2" t="s">
        <v>6396</v>
      </c>
      <c r="I1203" s="2" t="s">
        <v>6397</v>
      </c>
      <c r="K1203" s="2" t="s">
        <v>2317</v>
      </c>
      <c r="L1203" s="2" t="s">
        <v>157</v>
      </c>
      <c r="M1203" s="2">
        <v>80503.0</v>
      </c>
      <c r="N1203" s="2" t="s">
        <v>21</v>
      </c>
    </row>
    <row r="1204" ht="15.75" customHeight="1">
      <c r="A1204" s="2">
        <v>2013.0</v>
      </c>
      <c r="B1204" s="2" t="s">
        <v>6398</v>
      </c>
      <c r="C1204" s="2" t="s">
        <v>6399</v>
      </c>
      <c r="D1204" s="2" t="str">
        <f>"269.963.2766"</f>
        <v>269.963.2766</v>
      </c>
      <c r="E1204" s="2" t="s">
        <v>301</v>
      </c>
      <c r="F1204" s="2" t="s">
        <v>3533</v>
      </c>
      <c r="G1204" s="2" t="str">
        <f>"SR-1700"</f>
        <v>SR-1700</v>
      </c>
      <c r="H1204" s="2" t="s">
        <v>6400</v>
      </c>
      <c r="I1204" s="2" t="s">
        <v>6401</v>
      </c>
      <c r="K1204" s="2" t="s">
        <v>6402</v>
      </c>
      <c r="L1204" s="2" t="s">
        <v>29</v>
      </c>
      <c r="M1204" s="2">
        <v>49015.0</v>
      </c>
      <c r="N1204" s="2" t="s">
        <v>21</v>
      </c>
    </row>
    <row r="1205" ht="15.75" customHeight="1">
      <c r="A1205" s="2">
        <v>2013.0</v>
      </c>
      <c r="B1205" s="2" t="s">
        <v>6403</v>
      </c>
      <c r="C1205" s="2" t="s">
        <v>6403</v>
      </c>
      <c r="D1205" s="2" t="str">
        <f>"4076208302"</f>
        <v>4076208302</v>
      </c>
      <c r="E1205" s="2" t="s">
        <v>1799</v>
      </c>
      <c r="F1205" s="2" t="s">
        <v>6404</v>
      </c>
      <c r="G1205" s="2" t="str">
        <f>"SR-1697"</f>
        <v>SR-1697</v>
      </c>
      <c r="H1205" s="2" t="s">
        <v>6405</v>
      </c>
      <c r="I1205" s="2" t="s">
        <v>6406</v>
      </c>
      <c r="K1205" s="2" t="s">
        <v>3182</v>
      </c>
      <c r="L1205" s="2" t="s">
        <v>208</v>
      </c>
      <c r="M1205" s="2">
        <v>34786.0</v>
      </c>
      <c r="N1205" s="2" t="s">
        <v>21</v>
      </c>
    </row>
    <row r="1206" ht="15.75" customHeight="1">
      <c r="A1206" s="2">
        <v>2013.0</v>
      </c>
      <c r="B1206" s="2" t="s">
        <v>6407</v>
      </c>
      <c r="C1206" s="2" t="s">
        <v>6407</v>
      </c>
      <c r="D1206" s="2" t="str">
        <f>"4403820476"</f>
        <v>4403820476</v>
      </c>
      <c r="E1206" s="2" t="s">
        <v>3977</v>
      </c>
      <c r="F1206" s="2" t="s">
        <v>94</v>
      </c>
      <c r="G1206" s="2" t="str">
        <f>"SR-1175"</f>
        <v>SR-1175</v>
      </c>
      <c r="H1206" s="2" t="s">
        <v>6408</v>
      </c>
      <c r="I1206" s="2" t="s">
        <v>6409</v>
      </c>
      <c r="K1206" s="2" t="s">
        <v>6410</v>
      </c>
      <c r="L1206" s="2" t="s">
        <v>344</v>
      </c>
      <c r="M1206" s="2">
        <v>44141.0</v>
      </c>
      <c r="N1206" s="2" t="s">
        <v>21</v>
      </c>
    </row>
    <row r="1207" ht="15.75" customHeight="1">
      <c r="A1207" s="2">
        <v>2013.0</v>
      </c>
      <c r="B1207" s="2" t="s">
        <v>6411</v>
      </c>
      <c r="C1207" s="2" t="s">
        <v>6411</v>
      </c>
      <c r="D1207" s="2" t="str">
        <f>"7192299624"</f>
        <v>7192299624</v>
      </c>
      <c r="E1207" s="2" t="s">
        <v>6412</v>
      </c>
      <c r="F1207" s="2" t="s">
        <v>6413</v>
      </c>
      <c r="G1207" s="2" t="str">
        <f>"SR-103"</f>
        <v>SR-103</v>
      </c>
      <c r="H1207" s="2" t="s">
        <v>6414</v>
      </c>
      <c r="I1207" s="2" t="s">
        <v>6415</v>
      </c>
      <c r="K1207" s="2" t="s">
        <v>809</v>
      </c>
      <c r="L1207" s="2" t="s">
        <v>157</v>
      </c>
      <c r="M1207" s="2">
        <v>80911.0</v>
      </c>
      <c r="N1207" s="2" t="s">
        <v>21</v>
      </c>
    </row>
    <row r="1208" ht="15.75" customHeight="1">
      <c r="A1208" s="2">
        <v>2013.0</v>
      </c>
      <c r="B1208" s="2" t="s">
        <v>6416</v>
      </c>
      <c r="C1208" s="2" t="s">
        <v>6417</v>
      </c>
      <c r="D1208" s="2" t="str">
        <f>"2696505656"</f>
        <v>2696505656</v>
      </c>
      <c r="E1208" s="2" t="s">
        <v>926</v>
      </c>
      <c r="F1208" s="2" t="s">
        <v>6418</v>
      </c>
      <c r="G1208" s="2" t="str">
        <f>"SR-1678"</f>
        <v>SR-1678</v>
      </c>
      <c r="H1208" s="2" t="s">
        <v>6419</v>
      </c>
      <c r="I1208" s="2" t="s">
        <v>6420</v>
      </c>
      <c r="K1208" s="2" t="s">
        <v>19</v>
      </c>
      <c r="L1208" s="2" t="s">
        <v>29</v>
      </c>
      <c r="M1208" s="2">
        <v>48813.0</v>
      </c>
      <c r="N1208" s="2" t="s">
        <v>21</v>
      </c>
    </row>
    <row r="1209" ht="15.75" customHeight="1">
      <c r="A1209" s="2">
        <v>2013.0</v>
      </c>
      <c r="B1209" s="2" t="s">
        <v>6421</v>
      </c>
      <c r="C1209" s="2" t="s">
        <v>6422</v>
      </c>
      <c r="D1209" s="2" t="str">
        <f>"9725676738"</f>
        <v>9725676738</v>
      </c>
      <c r="E1209" s="2" t="s">
        <v>2438</v>
      </c>
      <c r="F1209" s="2" t="s">
        <v>457</v>
      </c>
      <c r="G1209" s="2" t="str">
        <f>"SR-1707"</f>
        <v>SR-1707</v>
      </c>
      <c r="H1209" s="2" t="s">
        <v>6423</v>
      </c>
      <c r="I1209" s="2" t="s">
        <v>6424</v>
      </c>
      <c r="K1209" s="2" t="s">
        <v>1255</v>
      </c>
      <c r="L1209" s="2" t="s">
        <v>172</v>
      </c>
      <c r="M1209" s="2">
        <v>75243.0</v>
      </c>
      <c r="N1209" s="2" t="s">
        <v>21</v>
      </c>
    </row>
    <row r="1210" ht="15.75" customHeight="1">
      <c r="A1210" s="2">
        <v>2013.0</v>
      </c>
      <c r="B1210" s="2" t="s">
        <v>6288</v>
      </c>
      <c r="C1210" s="2" t="s">
        <v>6425</v>
      </c>
      <c r="D1210" s="2" t="str">
        <f>"7203019261"</f>
        <v>7203019261</v>
      </c>
      <c r="E1210" s="2" t="s">
        <v>1713</v>
      </c>
      <c r="F1210" s="2" t="s">
        <v>6426</v>
      </c>
      <c r="G1210" s="2" t="str">
        <f>"SR-1708"</f>
        <v>SR-1708</v>
      </c>
      <c r="H1210" s="2" t="s">
        <v>6427</v>
      </c>
      <c r="I1210" s="2" t="s">
        <v>6428</v>
      </c>
      <c r="K1210" s="2" t="s">
        <v>1398</v>
      </c>
      <c r="L1210" s="2" t="s">
        <v>157</v>
      </c>
      <c r="M1210" s="2">
        <v>80108.0</v>
      </c>
      <c r="N1210" s="2" t="s">
        <v>21</v>
      </c>
    </row>
    <row r="1211" ht="15.75" customHeight="1">
      <c r="A1211" s="2">
        <v>2013.0</v>
      </c>
      <c r="B1211" s="2" t="s">
        <v>6429</v>
      </c>
      <c r="C1211" s="2" t="s">
        <v>6429</v>
      </c>
      <c r="D1211" s="2" t="str">
        <f>"505-896-6835"</f>
        <v>505-896-6835</v>
      </c>
      <c r="E1211" s="2" t="s">
        <v>611</v>
      </c>
      <c r="F1211" s="2" t="s">
        <v>6430</v>
      </c>
      <c r="G1211" s="2" t="str">
        <f>"SR-1711"</f>
        <v>SR-1711</v>
      </c>
      <c r="H1211" s="2" t="s">
        <v>6431</v>
      </c>
      <c r="I1211" s="2" t="s">
        <v>6432</v>
      </c>
      <c r="K1211" s="2" t="s">
        <v>3803</v>
      </c>
      <c r="L1211" s="2" t="s">
        <v>789</v>
      </c>
      <c r="M1211" s="2">
        <v>87124.0</v>
      </c>
      <c r="N1211" s="2" t="s">
        <v>21</v>
      </c>
    </row>
    <row r="1212" ht="15.75" customHeight="1">
      <c r="A1212" s="2">
        <v>2013.0</v>
      </c>
      <c r="B1212" s="2" t="s">
        <v>6433</v>
      </c>
      <c r="C1212" s="2" t="s">
        <v>6434</v>
      </c>
      <c r="D1212" s="2" t="str">
        <f>"715-417-0495"</f>
        <v>715-417-0495</v>
      </c>
      <c r="E1212" s="2" t="s">
        <v>2243</v>
      </c>
      <c r="F1212" s="2" t="s">
        <v>6435</v>
      </c>
      <c r="G1212" s="2" t="str">
        <f>"SR-1714"</f>
        <v>SR-1714</v>
      </c>
      <c r="H1212" s="2" t="s">
        <v>6436</v>
      </c>
      <c r="I1212" s="2" t="s">
        <v>6437</v>
      </c>
      <c r="K1212" s="2" t="s">
        <v>6438</v>
      </c>
      <c r="L1212" s="2" t="s">
        <v>193</v>
      </c>
      <c r="M1212" s="2">
        <v>54020.0</v>
      </c>
      <c r="N1212" s="2" t="s">
        <v>21</v>
      </c>
    </row>
    <row r="1213" ht="15.75" customHeight="1">
      <c r="A1213" s="2">
        <v>2013.0</v>
      </c>
      <c r="B1213" s="2" t="s">
        <v>6439</v>
      </c>
      <c r="C1213" s="2" t="s">
        <v>6440</v>
      </c>
      <c r="D1213" s="2" t="str">
        <f>"972-363-6339"</f>
        <v>972-363-6339</v>
      </c>
      <c r="E1213" s="2" t="s">
        <v>453</v>
      </c>
      <c r="F1213" s="2" t="s">
        <v>31</v>
      </c>
      <c r="G1213" s="2" t="str">
        <f>"SR-1721"</f>
        <v>SR-1721</v>
      </c>
      <c r="H1213" s="2" t="s">
        <v>6441</v>
      </c>
      <c r="I1213" s="2" t="s">
        <v>6442</v>
      </c>
      <c r="K1213" s="2" t="s">
        <v>357</v>
      </c>
      <c r="L1213" s="2" t="s">
        <v>172</v>
      </c>
      <c r="M1213" s="2">
        <v>75025.0</v>
      </c>
      <c r="N1213" s="2" t="s">
        <v>21</v>
      </c>
    </row>
    <row r="1214" ht="15.75" customHeight="1">
      <c r="A1214" s="2">
        <v>2013.0</v>
      </c>
      <c r="B1214" s="2" t="s">
        <v>6443</v>
      </c>
      <c r="C1214" s="2" t="s">
        <v>6444</v>
      </c>
      <c r="D1214" s="2" t="str">
        <f>"304-776-6592"</f>
        <v>304-776-6592</v>
      </c>
      <c r="E1214" s="2" t="s">
        <v>1054</v>
      </c>
      <c r="F1214" s="2" t="s">
        <v>6445</v>
      </c>
      <c r="G1214" s="2" t="str">
        <f>"SR-1703"</f>
        <v>SR-1703</v>
      </c>
      <c r="H1214" s="2" t="s">
        <v>6446</v>
      </c>
      <c r="I1214" s="2" t="s">
        <v>6447</v>
      </c>
      <c r="K1214" s="2" t="s">
        <v>6448</v>
      </c>
      <c r="L1214" s="2" t="s">
        <v>6449</v>
      </c>
      <c r="M1214" s="2">
        <v>25313.0</v>
      </c>
      <c r="N1214" s="2" t="s">
        <v>21</v>
      </c>
    </row>
    <row r="1215" ht="15.75" customHeight="1">
      <c r="A1215" s="2">
        <v>2013.0</v>
      </c>
      <c r="B1215" s="2" t="s">
        <v>6450</v>
      </c>
      <c r="C1215" s="2" t="s">
        <v>6451</v>
      </c>
      <c r="D1215" s="2" t="str">
        <f>"815-592-7071"</f>
        <v>815-592-7071</v>
      </c>
      <c r="E1215" s="2" t="s">
        <v>6452</v>
      </c>
      <c r="F1215" s="2" t="s">
        <v>6453</v>
      </c>
      <c r="G1215" s="2" t="str">
        <f>"SR-133"</f>
        <v>SR-133</v>
      </c>
      <c r="H1215" s="2" t="s">
        <v>6454</v>
      </c>
      <c r="I1215" s="2" t="s">
        <v>6455</v>
      </c>
      <c r="K1215" s="2" t="s">
        <v>6456</v>
      </c>
      <c r="L1215" s="2" t="s">
        <v>105</v>
      </c>
      <c r="M1215" s="2">
        <v>60970.0</v>
      </c>
      <c r="N1215" s="2" t="s">
        <v>21</v>
      </c>
    </row>
    <row r="1216" ht="15.75" customHeight="1">
      <c r="A1216" s="2">
        <v>2013.0</v>
      </c>
      <c r="B1216" s="2" t="s">
        <v>6450</v>
      </c>
      <c r="D1216" s="2" t="str">
        <f>"815 944-0555"</f>
        <v>815 944-0555</v>
      </c>
      <c r="E1216" s="2" t="s">
        <v>3977</v>
      </c>
      <c r="F1216" s="2" t="s">
        <v>6457</v>
      </c>
      <c r="G1216" s="2" t="str">
        <f>"SR-1071"</f>
        <v>SR-1071</v>
      </c>
      <c r="H1216" s="2" t="s">
        <v>6458</v>
      </c>
      <c r="I1216" s="2" t="s">
        <v>6459</v>
      </c>
      <c r="K1216" s="2" t="s">
        <v>6460</v>
      </c>
      <c r="L1216" s="2" t="s">
        <v>105</v>
      </c>
      <c r="M1216" s="2">
        <v>60964.0</v>
      </c>
      <c r="N1216" s="2" t="s">
        <v>21</v>
      </c>
    </row>
    <row r="1217" ht="15.75" customHeight="1">
      <c r="A1217" s="2">
        <v>2013.0</v>
      </c>
      <c r="B1217" s="2" t="s">
        <v>6461</v>
      </c>
      <c r="C1217" s="2" t="s">
        <v>6462</v>
      </c>
      <c r="D1217" s="2" t="str">
        <f>"307-413-5891"</f>
        <v>307-413-5891</v>
      </c>
      <c r="E1217" s="2" t="s">
        <v>843</v>
      </c>
      <c r="F1217" s="2" t="s">
        <v>6463</v>
      </c>
      <c r="G1217" s="2" t="str">
        <f>"SR-1728"</f>
        <v>SR-1728</v>
      </c>
      <c r="H1217" s="2" t="s">
        <v>6464</v>
      </c>
      <c r="I1217" s="2" t="s">
        <v>6465</v>
      </c>
      <c r="K1217" s="2" t="s">
        <v>6466</v>
      </c>
      <c r="L1217" s="2" t="s">
        <v>1722</v>
      </c>
      <c r="M1217" s="2">
        <v>39120.0</v>
      </c>
      <c r="N1217" s="2" t="s">
        <v>21</v>
      </c>
    </row>
    <row r="1218" ht="15.75" customHeight="1">
      <c r="A1218" s="2">
        <v>2013.0</v>
      </c>
      <c r="B1218" s="2" t="s">
        <v>6467</v>
      </c>
      <c r="C1218" s="2" t="s">
        <v>6468</v>
      </c>
      <c r="D1218" s="2" t="str">
        <f>"207 764 3457"</f>
        <v>207 764 3457</v>
      </c>
      <c r="E1218" s="2" t="s">
        <v>908</v>
      </c>
      <c r="F1218" s="2" t="s">
        <v>6469</v>
      </c>
      <c r="G1218" s="2" t="str">
        <f>"SR-1724"</f>
        <v>SR-1724</v>
      </c>
      <c r="H1218" s="2" t="s">
        <v>6470</v>
      </c>
      <c r="I1218" s="2" t="s">
        <v>6471</v>
      </c>
      <c r="K1218" s="2" t="s">
        <v>6472</v>
      </c>
      <c r="L1218" s="2" t="s">
        <v>3737</v>
      </c>
      <c r="M1218" s="2">
        <v>4769.0</v>
      </c>
      <c r="N1218" s="2" t="s">
        <v>21</v>
      </c>
    </row>
    <row r="1219" ht="15.75" customHeight="1">
      <c r="A1219" s="2">
        <v>2013.0</v>
      </c>
      <c r="B1219" s="2" t="s">
        <v>6473</v>
      </c>
      <c r="C1219" s="2" t="s">
        <v>6474</v>
      </c>
      <c r="D1219" s="2" t="str">
        <f>"815 944-7979"</f>
        <v>815 944-7979</v>
      </c>
      <c r="E1219" s="2" t="s">
        <v>6475</v>
      </c>
      <c r="F1219" s="2" t="s">
        <v>6476</v>
      </c>
      <c r="G1219" s="2" t="str">
        <f>"SR-1733"</f>
        <v>SR-1733</v>
      </c>
      <c r="H1219" s="2" t="s">
        <v>6477</v>
      </c>
      <c r="I1219" s="2" t="s">
        <v>6478</v>
      </c>
      <c r="K1219" s="2" t="s">
        <v>6479</v>
      </c>
      <c r="L1219" s="2" t="s">
        <v>105</v>
      </c>
      <c r="M1219" s="2">
        <v>60901.0</v>
      </c>
      <c r="N1219" s="2" t="s">
        <v>21</v>
      </c>
    </row>
    <row r="1220" ht="15.75" customHeight="1">
      <c r="A1220" s="2">
        <v>2013.0</v>
      </c>
      <c r="B1220" s="2" t="s">
        <v>6480</v>
      </c>
      <c r="C1220" s="2" t="s">
        <v>6480</v>
      </c>
      <c r="D1220" s="2" t="str">
        <f>"17045198918"</f>
        <v>17045198918</v>
      </c>
      <c r="E1220" s="2" t="s">
        <v>167</v>
      </c>
      <c r="F1220" s="2" t="s">
        <v>6481</v>
      </c>
      <c r="G1220" s="2" t="str">
        <f>"SR-428"</f>
        <v>SR-428</v>
      </c>
      <c r="H1220" s="2" t="s">
        <v>6482</v>
      </c>
      <c r="I1220" s="2" t="s">
        <v>6483</v>
      </c>
      <c r="K1220" s="2" t="s">
        <v>6484</v>
      </c>
      <c r="L1220" s="2" t="s">
        <v>105</v>
      </c>
      <c r="M1220" s="2">
        <v>60914.0</v>
      </c>
      <c r="N1220" s="2" t="s">
        <v>21</v>
      </c>
    </row>
    <row r="1221" ht="15.75" customHeight="1">
      <c r="A1221" s="2">
        <v>2013.0</v>
      </c>
      <c r="B1221" s="2" t="s">
        <v>6485</v>
      </c>
      <c r="D1221" s="2" t="str">
        <f>"18159338613"</f>
        <v>18159338613</v>
      </c>
      <c r="E1221" s="2" t="s">
        <v>1015</v>
      </c>
      <c r="F1221" s="2" t="s">
        <v>6486</v>
      </c>
      <c r="G1221" s="2" t="str">
        <f>"SR-425"</f>
        <v>SR-425</v>
      </c>
      <c r="H1221" s="2" t="s">
        <v>6487</v>
      </c>
      <c r="I1221" s="2" t="s">
        <v>6488</v>
      </c>
      <c r="K1221" s="2" t="s">
        <v>6479</v>
      </c>
      <c r="L1221" s="2" t="s">
        <v>105</v>
      </c>
      <c r="M1221" s="2">
        <v>60901.0</v>
      </c>
      <c r="N1221" s="2" t="s">
        <v>21</v>
      </c>
    </row>
    <row r="1222" ht="15.75" customHeight="1">
      <c r="A1222" s="2">
        <v>2013.0</v>
      </c>
      <c r="B1222" s="2" t="s">
        <v>6489</v>
      </c>
      <c r="D1222" s="2" t="str">
        <f>""</f>
        <v/>
      </c>
      <c r="E1222" s="2" t="s">
        <v>6490</v>
      </c>
      <c r="F1222" s="2" t="s">
        <v>639</v>
      </c>
      <c r="G1222" s="2" t="str">
        <f>"SR-1709"</f>
        <v>SR-1709</v>
      </c>
      <c r="H1222" s="2" t="s">
        <v>6491</v>
      </c>
      <c r="N1222" s="2" t="s">
        <v>21</v>
      </c>
    </row>
    <row r="1223" ht="15.75" customHeight="1">
      <c r="A1223" s="2">
        <v>2013.0</v>
      </c>
      <c r="B1223" s="2" t="s">
        <v>6492</v>
      </c>
      <c r="C1223" s="2" t="s">
        <v>6493</v>
      </c>
      <c r="D1223" s="2" t="str">
        <f>"303-450-0667"</f>
        <v>303-450-0667</v>
      </c>
      <c r="E1223" s="2" t="s">
        <v>385</v>
      </c>
      <c r="F1223" s="2" t="s">
        <v>6494</v>
      </c>
      <c r="G1223" s="2" t="str">
        <f>"SR-1737"</f>
        <v>SR-1737</v>
      </c>
      <c r="H1223" s="2" t="s">
        <v>6495</v>
      </c>
      <c r="I1223" s="2" t="s">
        <v>6496</v>
      </c>
      <c r="K1223" s="2" t="s">
        <v>6497</v>
      </c>
      <c r="L1223" s="2" t="s">
        <v>157</v>
      </c>
      <c r="M1223" s="2">
        <v>80233.0</v>
      </c>
      <c r="N1223" s="2" t="s">
        <v>21</v>
      </c>
    </row>
    <row r="1224" ht="15.75" customHeight="1">
      <c r="A1224" s="2">
        <v>2013.0</v>
      </c>
      <c r="B1224" s="2" t="s">
        <v>6498</v>
      </c>
      <c r="C1224" s="2" t="s">
        <v>6498</v>
      </c>
      <c r="D1224" s="2" t="str">
        <f>"432-270-5792"</f>
        <v>432-270-5792</v>
      </c>
      <c r="E1224" s="2" t="s">
        <v>6499</v>
      </c>
      <c r="F1224" s="2" t="s">
        <v>6500</v>
      </c>
      <c r="G1224" s="2" t="str">
        <f>"SR-1715"</f>
        <v>SR-1715</v>
      </c>
      <c r="H1224" s="2" t="s">
        <v>6501</v>
      </c>
      <c r="I1224" s="2" t="s">
        <v>6502</v>
      </c>
      <c r="K1224" s="2" t="s">
        <v>6503</v>
      </c>
      <c r="L1224" s="2" t="s">
        <v>172</v>
      </c>
      <c r="M1224" s="2">
        <v>79713.0</v>
      </c>
      <c r="N1224" s="2" t="s">
        <v>21</v>
      </c>
    </row>
    <row r="1225" ht="15.75" customHeight="1">
      <c r="A1225" s="2">
        <v>2013.0</v>
      </c>
      <c r="B1225" s="2" t="s">
        <v>6504</v>
      </c>
      <c r="C1225" s="2" t="s">
        <v>6505</v>
      </c>
      <c r="D1225" s="2" t="str">
        <f>"8067626558"</f>
        <v>8067626558</v>
      </c>
      <c r="E1225" s="2" t="s">
        <v>386</v>
      </c>
      <c r="F1225" s="2" t="s">
        <v>6506</v>
      </c>
      <c r="G1225" s="2" t="str">
        <f>"SR-1740"</f>
        <v>SR-1740</v>
      </c>
      <c r="H1225" s="2" t="s">
        <v>6507</v>
      </c>
      <c r="I1225" s="2" t="s">
        <v>6508</v>
      </c>
      <c r="K1225" s="2" t="s">
        <v>1121</v>
      </c>
      <c r="L1225" s="2" t="s">
        <v>172</v>
      </c>
      <c r="M1225" s="2">
        <v>79403.0</v>
      </c>
      <c r="N1225" s="2" t="s">
        <v>21</v>
      </c>
    </row>
    <row r="1226" ht="15.75" customHeight="1">
      <c r="A1226" s="2">
        <v>2013.0</v>
      </c>
      <c r="B1226" s="2" t="s">
        <v>6509</v>
      </c>
      <c r="C1226" s="2" t="s">
        <v>6510</v>
      </c>
      <c r="D1226" s="2" t="str">
        <f>"303-988-7065"</f>
        <v>303-988-7065</v>
      </c>
      <c r="E1226" s="2" t="s">
        <v>1190</v>
      </c>
      <c r="F1226" s="2" t="s">
        <v>6511</v>
      </c>
      <c r="G1226" s="2" t="str">
        <f>"SR-1742"</f>
        <v>SR-1742</v>
      </c>
      <c r="H1226" s="2" t="s">
        <v>6512</v>
      </c>
      <c r="I1226" s="2" t="s">
        <v>6513</v>
      </c>
      <c r="K1226" s="2" t="s">
        <v>6514</v>
      </c>
      <c r="L1226" s="2" t="s">
        <v>157</v>
      </c>
      <c r="M1226" s="2">
        <v>80227.0</v>
      </c>
      <c r="N1226" s="2" t="s">
        <v>21</v>
      </c>
    </row>
    <row r="1227" ht="15.75" customHeight="1">
      <c r="A1227" s="2">
        <v>2013.0</v>
      </c>
      <c r="B1227" s="2" t="s">
        <v>6515</v>
      </c>
      <c r="C1227" s="2" t="s">
        <v>6516</v>
      </c>
      <c r="D1227" s="2" t="str">
        <f>"4237751410"</f>
        <v>4237751410</v>
      </c>
      <c r="E1227" s="2" t="s">
        <v>1987</v>
      </c>
      <c r="F1227" s="2" t="s">
        <v>3978</v>
      </c>
      <c r="G1227" s="2" t="str">
        <f>"SR-1734"</f>
        <v>SR-1734</v>
      </c>
      <c r="H1227" s="2" t="s">
        <v>6517</v>
      </c>
      <c r="I1227" s="2" t="s">
        <v>6518</v>
      </c>
      <c r="K1227" s="2" t="s">
        <v>4310</v>
      </c>
      <c r="L1227" s="2" t="s">
        <v>279</v>
      </c>
      <c r="M1227" s="2">
        <v>37321.0</v>
      </c>
      <c r="N1227" s="2" t="s">
        <v>21</v>
      </c>
    </row>
    <row r="1228" ht="15.75" customHeight="1">
      <c r="A1228" s="2">
        <v>2013.0</v>
      </c>
      <c r="B1228" s="2" t="s">
        <v>6519</v>
      </c>
      <c r="C1228" s="2" t="s">
        <v>6519</v>
      </c>
      <c r="D1228" s="2" t="str">
        <f>"616 780-0456"</f>
        <v>616 780-0456</v>
      </c>
      <c r="E1228" s="2" t="s">
        <v>6520</v>
      </c>
      <c r="F1228" s="2" t="s">
        <v>6521</v>
      </c>
      <c r="G1228" s="2" t="str">
        <f>"SR-1736"</f>
        <v>SR-1736</v>
      </c>
      <c r="H1228" s="2" t="s">
        <v>6522</v>
      </c>
      <c r="I1228" s="2" t="s">
        <v>6523</v>
      </c>
      <c r="K1228" s="2" t="s">
        <v>6524</v>
      </c>
      <c r="L1228" s="2" t="s">
        <v>29</v>
      </c>
      <c r="M1228" s="2">
        <v>49418.0</v>
      </c>
      <c r="N1228" s="2" t="s">
        <v>21</v>
      </c>
    </row>
    <row r="1229" ht="15.75" customHeight="1">
      <c r="A1229" s="2">
        <v>2013.0</v>
      </c>
      <c r="B1229" s="2" t="s">
        <v>6525</v>
      </c>
      <c r="C1229" s="2" t="s">
        <v>6525</v>
      </c>
      <c r="D1229" s="2" t="str">
        <f>"719-495-5958"</f>
        <v>719-495-5958</v>
      </c>
      <c r="E1229" s="2" t="s">
        <v>6526</v>
      </c>
      <c r="F1229" s="2" t="s">
        <v>6527</v>
      </c>
      <c r="G1229" s="2" t="str">
        <f>"SR-1744"</f>
        <v>SR-1744</v>
      </c>
      <c r="H1229" s="2" t="s">
        <v>6528</v>
      </c>
      <c r="I1229" s="2" t="s">
        <v>6529</v>
      </c>
      <c r="K1229" s="2" t="s">
        <v>809</v>
      </c>
      <c r="L1229" s="2" t="s">
        <v>157</v>
      </c>
      <c r="M1229" s="2">
        <v>80908.0</v>
      </c>
      <c r="N1229" s="2" t="s">
        <v>21</v>
      </c>
    </row>
    <row r="1230" ht="15.75" customHeight="1">
      <c r="A1230" s="2">
        <v>2013.0</v>
      </c>
      <c r="B1230" s="2" t="s">
        <v>6530</v>
      </c>
      <c r="C1230" s="2" t="s">
        <v>6531</v>
      </c>
      <c r="D1230" s="2" t="str">
        <f>"432-520-4445"</f>
        <v>432-520-4445</v>
      </c>
      <c r="E1230" s="2" t="s">
        <v>6532</v>
      </c>
      <c r="F1230" s="2" t="s">
        <v>6533</v>
      </c>
      <c r="G1230" s="2" t="str">
        <f>"SR-1745"</f>
        <v>SR-1745</v>
      </c>
      <c r="H1230" s="2" t="s">
        <v>6534</v>
      </c>
      <c r="I1230" s="2" t="s">
        <v>6535</v>
      </c>
      <c r="K1230" s="2" t="s">
        <v>6536</v>
      </c>
      <c r="L1230" s="2" t="s">
        <v>172</v>
      </c>
      <c r="M1230" s="2">
        <v>79707.0</v>
      </c>
      <c r="N1230" s="2" t="s">
        <v>21</v>
      </c>
    </row>
    <row r="1231" ht="15.75" customHeight="1">
      <c r="A1231" s="2">
        <v>2013.0</v>
      </c>
      <c r="B1231" s="2" t="s">
        <v>6537</v>
      </c>
      <c r="C1231" s="2" t="s">
        <v>6538</v>
      </c>
      <c r="D1231" s="2" t="str">
        <f>"316-992-6060"</f>
        <v>316-992-6060</v>
      </c>
      <c r="E1231" s="2" t="s">
        <v>6539</v>
      </c>
      <c r="F1231" s="2" t="s">
        <v>6540</v>
      </c>
      <c r="G1231" s="2" t="str">
        <f>"SR-1739"</f>
        <v>SR-1739</v>
      </c>
      <c r="H1231" s="2" t="s">
        <v>6541</v>
      </c>
      <c r="I1231" s="2" t="s">
        <v>6542</v>
      </c>
      <c r="K1231" s="2" t="s">
        <v>6543</v>
      </c>
      <c r="L1231" s="2" t="s">
        <v>272</v>
      </c>
      <c r="M1231" s="2">
        <v>67013.0</v>
      </c>
      <c r="N1231" s="2" t="s">
        <v>21</v>
      </c>
    </row>
    <row r="1232" ht="15.75" customHeight="1">
      <c r="A1232" s="2">
        <v>2013.0</v>
      </c>
      <c r="B1232" s="2" t="s">
        <v>6544</v>
      </c>
      <c r="C1232" s="2" t="s">
        <v>6544</v>
      </c>
      <c r="D1232" s="2" t="str">
        <f>"719-775-2791"</f>
        <v>719-775-2791</v>
      </c>
      <c r="E1232" s="2" t="s">
        <v>1554</v>
      </c>
      <c r="F1232" s="2" t="s">
        <v>6545</v>
      </c>
      <c r="G1232" s="2" t="str">
        <f>"SR-1746"</f>
        <v>SR-1746</v>
      </c>
      <c r="H1232" s="2" t="s">
        <v>6546</v>
      </c>
      <c r="I1232" s="2" t="s">
        <v>6547</v>
      </c>
      <c r="K1232" s="2" t="s">
        <v>6548</v>
      </c>
      <c r="L1232" s="2" t="s">
        <v>157</v>
      </c>
      <c r="M1232" s="2">
        <v>80828.0</v>
      </c>
      <c r="N1232" s="2" t="s">
        <v>21</v>
      </c>
    </row>
    <row r="1233" ht="15.75" customHeight="1">
      <c r="A1233" s="2">
        <v>2013.0</v>
      </c>
      <c r="B1233" s="2" t="s">
        <v>6549</v>
      </c>
      <c r="C1233" s="2" t="s">
        <v>6549</v>
      </c>
      <c r="D1233" s="2" t="str">
        <f>"3378028677"</f>
        <v>3378028677</v>
      </c>
      <c r="E1233" s="2" t="s">
        <v>862</v>
      </c>
      <c r="F1233" s="2" t="s">
        <v>6550</v>
      </c>
      <c r="G1233" s="2" t="str">
        <f>"SR-1738"</f>
        <v>SR-1738</v>
      </c>
      <c r="H1233" s="2" t="s">
        <v>6551</v>
      </c>
      <c r="I1233" s="2" t="s">
        <v>6552</v>
      </c>
      <c r="K1233" s="2" t="s">
        <v>6553</v>
      </c>
      <c r="L1233" s="2" t="s">
        <v>715</v>
      </c>
      <c r="M1233" s="2">
        <v>70532.0</v>
      </c>
      <c r="N1233" s="2" t="s">
        <v>21</v>
      </c>
    </row>
    <row r="1234" ht="15.75" customHeight="1">
      <c r="A1234" s="2">
        <v>2013.0</v>
      </c>
      <c r="B1234" s="2" t="s">
        <v>6554</v>
      </c>
      <c r="C1234" s="2" t="s">
        <v>6544</v>
      </c>
      <c r="D1234" s="2" t="str">
        <f>"719-775-2791"</f>
        <v>719-775-2791</v>
      </c>
      <c r="E1234" s="2" t="s">
        <v>6555</v>
      </c>
      <c r="F1234" s="2" t="s">
        <v>6545</v>
      </c>
      <c r="G1234" s="2" t="str">
        <f>"SR-1748"</f>
        <v>SR-1748</v>
      </c>
      <c r="H1234" s="2" t="s">
        <v>6556</v>
      </c>
      <c r="I1234" s="2" t="s">
        <v>6547</v>
      </c>
      <c r="K1234" s="2" t="s">
        <v>6548</v>
      </c>
      <c r="L1234" s="2" t="s">
        <v>157</v>
      </c>
      <c r="M1234" s="2">
        <v>80828.0</v>
      </c>
      <c r="N1234" s="2" t="s">
        <v>21</v>
      </c>
    </row>
    <row r="1235" ht="15.75" customHeight="1">
      <c r="A1235" s="2">
        <v>2013.0</v>
      </c>
      <c r="B1235" s="2" t="s">
        <v>6557</v>
      </c>
      <c r="C1235" s="2" t="s">
        <v>6557</v>
      </c>
      <c r="D1235" s="2" t="str">
        <f>"4326383969"</f>
        <v>4326383969</v>
      </c>
      <c r="E1235" s="2" t="s">
        <v>938</v>
      </c>
      <c r="F1235" s="2" t="s">
        <v>283</v>
      </c>
      <c r="G1235" s="2" t="str">
        <f>"SR-1116"</f>
        <v>SR-1116</v>
      </c>
      <c r="H1235" s="2" t="s">
        <v>6558</v>
      </c>
      <c r="I1235" s="2" t="s">
        <v>6559</v>
      </c>
      <c r="K1235" s="2" t="s">
        <v>286</v>
      </c>
      <c r="L1235" s="2" t="s">
        <v>172</v>
      </c>
      <c r="M1235" s="2">
        <v>79705.0</v>
      </c>
      <c r="N1235" s="2" t="s">
        <v>21</v>
      </c>
    </row>
    <row r="1236" ht="15.75" customHeight="1">
      <c r="A1236" s="2">
        <v>2013.0</v>
      </c>
      <c r="B1236" s="2" t="s">
        <v>6560</v>
      </c>
      <c r="C1236" s="2" t="s">
        <v>6560</v>
      </c>
      <c r="D1236" s="2" t="str">
        <f>"(205) 221-9471"</f>
        <v>(205) 221-9471</v>
      </c>
      <c r="E1236" s="2" t="s">
        <v>6561</v>
      </c>
      <c r="F1236" s="2" t="s">
        <v>6562</v>
      </c>
      <c r="G1236" s="2" t="str">
        <f>"SR-754"</f>
        <v>SR-754</v>
      </c>
      <c r="H1236" s="2" t="s">
        <v>6563</v>
      </c>
      <c r="I1236" s="2" t="s">
        <v>6564</v>
      </c>
      <c r="K1236" s="2" t="s">
        <v>1915</v>
      </c>
      <c r="L1236" s="2" t="s">
        <v>539</v>
      </c>
      <c r="M1236" s="2">
        <v>35504.0</v>
      </c>
      <c r="N1236" s="2" t="s">
        <v>21</v>
      </c>
    </row>
    <row r="1237" ht="15.75" customHeight="1">
      <c r="A1237" s="2">
        <v>2013.0</v>
      </c>
      <c r="B1237" s="2" t="s">
        <v>6565</v>
      </c>
      <c r="D1237" s="2" t="str">
        <f>""</f>
        <v/>
      </c>
      <c r="E1237" s="2" t="s">
        <v>908</v>
      </c>
      <c r="F1237" s="2" t="s">
        <v>6566</v>
      </c>
      <c r="G1237" s="2" t="str">
        <f>"SR-1220"</f>
        <v>SR-1220</v>
      </c>
      <c r="H1237" s="2" t="s">
        <v>6567</v>
      </c>
      <c r="N1237" s="2" t="s">
        <v>21</v>
      </c>
    </row>
    <row r="1238" ht="15.75" customHeight="1">
      <c r="A1238" s="2">
        <v>2013.0</v>
      </c>
      <c r="B1238" s="2" t="s">
        <v>6568</v>
      </c>
      <c r="C1238" s="2" t="s">
        <v>6568</v>
      </c>
      <c r="D1238" s="2" t="str">
        <f>"(806)894-1952"</f>
        <v>(806)894-1952</v>
      </c>
      <c r="E1238" s="2" t="s">
        <v>3956</v>
      </c>
      <c r="F1238" s="2" t="s">
        <v>6569</v>
      </c>
      <c r="G1238" s="2" t="str">
        <f>"SR-1751"</f>
        <v>SR-1751</v>
      </c>
      <c r="H1238" s="2" t="s">
        <v>6570</v>
      </c>
      <c r="I1238" s="2" t="s">
        <v>6571</v>
      </c>
      <c r="K1238" s="2" t="s">
        <v>6572</v>
      </c>
      <c r="L1238" s="2" t="s">
        <v>172</v>
      </c>
      <c r="M1238" s="2">
        <v>79336.0</v>
      </c>
      <c r="N1238" s="2" t="s">
        <v>21</v>
      </c>
    </row>
    <row r="1239" ht="15.75" customHeight="1">
      <c r="A1239" s="2">
        <v>2013.0</v>
      </c>
      <c r="B1239" s="2" t="s">
        <v>6573</v>
      </c>
      <c r="C1239" s="2" t="s">
        <v>6573</v>
      </c>
      <c r="D1239" s="2" t="str">
        <f>"6789671573"</f>
        <v>6789671573</v>
      </c>
      <c r="E1239" s="2" t="s">
        <v>301</v>
      </c>
      <c r="F1239" s="2" t="s">
        <v>6574</v>
      </c>
      <c r="G1239" s="2" t="str">
        <f>"SR-1750"</f>
        <v>SR-1750</v>
      </c>
      <c r="H1239" s="2" t="s">
        <v>6575</v>
      </c>
      <c r="I1239" s="2" t="s">
        <v>6576</v>
      </c>
      <c r="K1239" s="2" t="s">
        <v>2192</v>
      </c>
      <c r="L1239" s="2" t="s">
        <v>200</v>
      </c>
      <c r="M1239" s="2">
        <v>30269.0</v>
      </c>
      <c r="N1239" s="2" t="s">
        <v>21</v>
      </c>
    </row>
    <row r="1240" ht="15.75" customHeight="1">
      <c r="A1240" s="2">
        <v>2013.0</v>
      </c>
      <c r="B1240" s="2" t="s">
        <v>6577</v>
      </c>
      <c r="C1240" s="2" t="s">
        <v>6578</v>
      </c>
      <c r="D1240" s="2" t="str">
        <f>"719 352-9028"</f>
        <v>719 352-9028</v>
      </c>
      <c r="E1240" s="2" t="s">
        <v>2433</v>
      </c>
      <c r="F1240" s="2" t="s">
        <v>128</v>
      </c>
      <c r="G1240" s="2" t="str">
        <f>"SR-1755"</f>
        <v>SR-1755</v>
      </c>
      <c r="H1240" s="2" t="s">
        <v>6579</v>
      </c>
      <c r="I1240" s="2" t="s">
        <v>6580</v>
      </c>
      <c r="K1240" s="2" t="s">
        <v>507</v>
      </c>
      <c r="L1240" s="2" t="s">
        <v>157</v>
      </c>
      <c r="M1240" s="2">
        <v>80132.0</v>
      </c>
      <c r="N1240" s="2" t="s">
        <v>21</v>
      </c>
    </row>
    <row r="1241" ht="15.75" customHeight="1">
      <c r="A1241" s="2">
        <v>2013.0</v>
      </c>
      <c r="B1241" s="2" t="s">
        <v>6581</v>
      </c>
      <c r="C1241" s="2" t="s">
        <v>6582</v>
      </c>
      <c r="D1241" s="2" t="str">
        <f>"480-620-0069"</f>
        <v>480-620-0069</v>
      </c>
      <c r="E1241" s="2" t="s">
        <v>339</v>
      </c>
      <c r="F1241" s="2" t="s">
        <v>6583</v>
      </c>
      <c r="G1241" s="2" t="str">
        <f>"SR-1756"</f>
        <v>SR-1756</v>
      </c>
      <c r="H1241" s="2" t="s">
        <v>6584</v>
      </c>
      <c r="I1241" s="2" t="s">
        <v>6585</v>
      </c>
      <c r="K1241" s="2" t="s">
        <v>4675</v>
      </c>
      <c r="L1241" s="2" t="s">
        <v>422</v>
      </c>
      <c r="M1241" s="2">
        <v>85233.0</v>
      </c>
      <c r="N1241" s="2" t="s">
        <v>21</v>
      </c>
    </row>
    <row r="1242" ht="15.75" customHeight="1">
      <c r="A1242" s="2">
        <v>2013.0</v>
      </c>
      <c r="B1242" s="2" t="s">
        <v>98</v>
      </c>
      <c r="C1242" s="2" t="s">
        <v>6586</v>
      </c>
      <c r="D1242" s="2" t="str">
        <f>"3093979246"</f>
        <v>3093979246</v>
      </c>
      <c r="E1242" s="2" t="s">
        <v>6202</v>
      </c>
      <c r="F1242" s="2" t="s">
        <v>2063</v>
      </c>
      <c r="G1242" s="2" t="str">
        <f>"SR-48"</f>
        <v>SR-48</v>
      </c>
      <c r="H1242" s="2" t="s">
        <v>6587</v>
      </c>
      <c r="I1242" s="2" t="s">
        <v>6588</v>
      </c>
      <c r="K1242" s="2" t="s">
        <v>104</v>
      </c>
      <c r="L1242" s="2" t="s">
        <v>105</v>
      </c>
      <c r="M1242" s="2">
        <v>61615.0</v>
      </c>
      <c r="N1242" s="2" t="s">
        <v>21</v>
      </c>
    </row>
    <row r="1243" ht="15.75" customHeight="1">
      <c r="A1243" s="2">
        <v>2013.0</v>
      </c>
      <c r="B1243" s="2" t="s">
        <v>6589</v>
      </c>
      <c r="C1243" s="2" t="s">
        <v>6589</v>
      </c>
      <c r="D1243" s="2" t="str">
        <f>"8159771914"</f>
        <v>8159771914</v>
      </c>
      <c r="E1243" s="2" t="s">
        <v>6590</v>
      </c>
      <c r="F1243" s="2" t="s">
        <v>6591</v>
      </c>
      <c r="G1243" s="2" t="str">
        <f>"SR-1753"</f>
        <v>SR-1753</v>
      </c>
      <c r="H1243" s="2" t="s">
        <v>6592</v>
      </c>
      <c r="I1243" s="2" t="s">
        <v>6593</v>
      </c>
      <c r="K1243" s="2" t="s">
        <v>6594</v>
      </c>
      <c r="L1243" s="2" t="s">
        <v>105</v>
      </c>
      <c r="M1243" s="2">
        <v>61115.0</v>
      </c>
      <c r="N1243" s="2" t="s">
        <v>21</v>
      </c>
    </row>
    <row r="1244" ht="15.75" customHeight="1">
      <c r="A1244" s="2">
        <v>2013.0</v>
      </c>
      <c r="B1244" s="2" t="s">
        <v>6595</v>
      </c>
      <c r="C1244" s="2" t="s">
        <v>6596</v>
      </c>
      <c r="D1244" s="2" t="str">
        <f>"512-288-7034"</f>
        <v>512-288-7034</v>
      </c>
      <c r="E1244" s="2" t="s">
        <v>72</v>
      </c>
      <c r="F1244" s="2" t="s">
        <v>6597</v>
      </c>
      <c r="G1244" s="2" t="str">
        <f>"SR-1730"</f>
        <v>SR-1730</v>
      </c>
      <c r="H1244" s="2" t="s">
        <v>6598</v>
      </c>
      <c r="I1244" s="2" t="s">
        <v>6599</v>
      </c>
      <c r="K1244" s="2" t="s">
        <v>1141</v>
      </c>
      <c r="L1244" s="2" t="s">
        <v>172</v>
      </c>
      <c r="M1244" s="2">
        <v>78737.0</v>
      </c>
      <c r="N1244" s="2" t="s">
        <v>21</v>
      </c>
    </row>
    <row r="1245" ht="15.75" customHeight="1">
      <c r="A1245" s="2">
        <v>2013.0</v>
      </c>
      <c r="B1245" s="2" t="s">
        <v>6600</v>
      </c>
      <c r="C1245" s="2" t="s">
        <v>6601</v>
      </c>
      <c r="D1245" s="2" t="str">
        <f>"813-752-2377"</f>
        <v>813-752-2377</v>
      </c>
      <c r="E1245" s="2" t="s">
        <v>160</v>
      </c>
      <c r="F1245" s="2" t="s">
        <v>2053</v>
      </c>
      <c r="G1245" s="2" t="str">
        <f>"SR-1749"</f>
        <v>SR-1749</v>
      </c>
      <c r="H1245" s="2" t="s">
        <v>6602</v>
      </c>
      <c r="I1245" s="2" t="s">
        <v>6603</v>
      </c>
      <c r="K1245" s="2" t="s">
        <v>1576</v>
      </c>
      <c r="L1245" s="2" t="s">
        <v>208</v>
      </c>
      <c r="M1245" s="2">
        <v>33566.0</v>
      </c>
      <c r="N1245" s="2" t="s">
        <v>21</v>
      </c>
    </row>
    <row r="1246" ht="15.75" customHeight="1">
      <c r="A1246" s="2">
        <v>2013.0</v>
      </c>
      <c r="B1246" s="2" t="s">
        <v>6604</v>
      </c>
      <c r="C1246" s="2" t="s">
        <v>6605</v>
      </c>
      <c r="D1246" s="2" t="str">
        <f>"3036907612"</f>
        <v>3036907612</v>
      </c>
      <c r="E1246" s="2" t="s">
        <v>6606</v>
      </c>
      <c r="F1246" s="2" t="s">
        <v>6607</v>
      </c>
      <c r="G1246" s="2" t="str">
        <f>"SR-1717"</f>
        <v>SR-1717</v>
      </c>
      <c r="H1246" s="2" t="s">
        <v>6608</v>
      </c>
      <c r="I1246" s="2" t="s">
        <v>6609</v>
      </c>
      <c r="K1246" s="2" t="s">
        <v>1520</v>
      </c>
      <c r="L1246" s="2" t="s">
        <v>157</v>
      </c>
      <c r="M1246" s="2">
        <v>80015.0</v>
      </c>
      <c r="N1246" s="2" t="s">
        <v>21</v>
      </c>
    </row>
    <row r="1247" ht="15.75" customHeight="1">
      <c r="A1247" s="2">
        <v>2013.0</v>
      </c>
      <c r="B1247" s="2" t="s">
        <v>6610</v>
      </c>
      <c r="C1247" s="2" t="s">
        <v>6611</v>
      </c>
      <c r="D1247" s="2" t="str">
        <f>"740-397-7556"</f>
        <v>740-397-7556</v>
      </c>
      <c r="E1247" s="2" t="s">
        <v>1422</v>
      </c>
      <c r="F1247" s="2" t="s">
        <v>6612</v>
      </c>
      <c r="G1247" s="2" t="str">
        <f>"SR-620"</f>
        <v>SR-620</v>
      </c>
      <c r="H1247" s="2" t="s">
        <v>6613</v>
      </c>
      <c r="I1247" s="2" t="s">
        <v>6614</v>
      </c>
      <c r="K1247" s="2" t="s">
        <v>6615</v>
      </c>
      <c r="L1247" s="2" t="s">
        <v>344</v>
      </c>
      <c r="M1247" s="2">
        <v>43050.0</v>
      </c>
      <c r="N1247" s="2" t="s">
        <v>21</v>
      </c>
    </row>
    <row r="1248" ht="15.75" customHeight="1">
      <c r="A1248" s="2">
        <v>2013.0</v>
      </c>
      <c r="B1248" s="2" t="s">
        <v>6616</v>
      </c>
      <c r="C1248" s="2" t="s">
        <v>6617</v>
      </c>
      <c r="D1248" s="2" t="str">
        <f>"4058313990"</f>
        <v>4058313990</v>
      </c>
      <c r="E1248" s="2" t="s">
        <v>6618</v>
      </c>
      <c r="F1248" s="2" t="s">
        <v>6619</v>
      </c>
      <c r="G1248" s="2" t="str">
        <f>"SR-1760"</f>
        <v>SR-1760</v>
      </c>
      <c r="H1248" s="2" t="s">
        <v>6620</v>
      </c>
      <c r="I1248" s="2" t="s">
        <v>6621</v>
      </c>
      <c r="K1248" s="2" t="s">
        <v>6622</v>
      </c>
      <c r="L1248" s="2" t="s">
        <v>840</v>
      </c>
      <c r="M1248" s="2">
        <v>73162.0</v>
      </c>
      <c r="N1248" s="2" t="s">
        <v>21</v>
      </c>
    </row>
    <row r="1249" ht="15.75" customHeight="1">
      <c r="A1249" s="2">
        <v>2013.0</v>
      </c>
      <c r="B1249" s="2" t="s">
        <v>6623</v>
      </c>
      <c r="D1249" s="2" t="str">
        <f>"262-646-5362"</f>
        <v>262-646-5362</v>
      </c>
      <c r="E1249" s="2" t="s">
        <v>57</v>
      </c>
      <c r="F1249" s="2" t="s">
        <v>6624</v>
      </c>
      <c r="G1249" s="2" t="str">
        <f>"SR-107"</f>
        <v>SR-107</v>
      </c>
      <c r="H1249" s="2" t="s">
        <v>6625</v>
      </c>
      <c r="I1249" s="2" t="s">
        <v>6626</v>
      </c>
      <c r="K1249" s="2" t="s">
        <v>6627</v>
      </c>
      <c r="L1249" s="2" t="s">
        <v>193</v>
      </c>
      <c r="M1249" s="2">
        <v>53018.0</v>
      </c>
      <c r="N1249" s="2" t="s">
        <v>21</v>
      </c>
    </row>
    <row r="1250" ht="15.75" customHeight="1">
      <c r="A1250" s="2">
        <v>2013.0</v>
      </c>
      <c r="B1250" s="2" t="s">
        <v>6628</v>
      </c>
      <c r="C1250" s="2" t="s">
        <v>6628</v>
      </c>
      <c r="D1250" s="2" t="str">
        <f>"828-421-0834"</f>
        <v>828-421-0834</v>
      </c>
      <c r="E1250" s="2" t="s">
        <v>6629</v>
      </c>
      <c r="F1250" s="2" t="s">
        <v>3964</v>
      </c>
      <c r="G1250" s="2" t="str">
        <f>"SR-1722"</f>
        <v>SR-1722</v>
      </c>
      <c r="H1250" s="2" t="s">
        <v>6630</v>
      </c>
      <c r="I1250" s="2" t="s">
        <v>6631</v>
      </c>
      <c r="K1250" s="2" t="s">
        <v>278</v>
      </c>
      <c r="L1250" s="2" t="s">
        <v>20</v>
      </c>
      <c r="M1250" s="2">
        <v>28734.0</v>
      </c>
      <c r="N1250" s="2" t="s">
        <v>21</v>
      </c>
    </row>
    <row r="1251" ht="15.75" customHeight="1">
      <c r="A1251" s="2">
        <v>2013.0</v>
      </c>
      <c r="B1251" s="2" t="s">
        <v>6632</v>
      </c>
      <c r="C1251" s="2" t="s">
        <v>6632</v>
      </c>
      <c r="D1251" s="2" t="str">
        <f>"303-695- 6109"</f>
        <v>303-695- 6109</v>
      </c>
      <c r="E1251" s="2" t="s">
        <v>1022</v>
      </c>
      <c r="F1251" s="2" t="s">
        <v>6633</v>
      </c>
      <c r="G1251" s="2" t="str">
        <f>"SR-1759"</f>
        <v>SR-1759</v>
      </c>
      <c r="H1251" s="2" t="s">
        <v>6634</v>
      </c>
      <c r="I1251" s="2" t="s">
        <v>6635</v>
      </c>
      <c r="K1251" s="2" t="s">
        <v>1520</v>
      </c>
      <c r="L1251" s="2" t="s">
        <v>157</v>
      </c>
      <c r="M1251" s="2">
        <v>80012.0</v>
      </c>
      <c r="N1251" s="2" t="s">
        <v>21</v>
      </c>
    </row>
    <row r="1252" ht="15.75" customHeight="1">
      <c r="A1252" s="2">
        <v>2013.0</v>
      </c>
      <c r="B1252" s="2" t="s">
        <v>6636</v>
      </c>
      <c r="C1252" s="2" t="s">
        <v>6637</v>
      </c>
      <c r="D1252" s="2" t="str">
        <f t="shared" ref="D1252:D1253" si="16">"9524049257"</f>
        <v>9524049257</v>
      </c>
      <c r="E1252" s="2" t="s">
        <v>1400</v>
      </c>
      <c r="F1252" s="2" t="s">
        <v>6638</v>
      </c>
      <c r="G1252" s="2" t="str">
        <f>"SR-1712"</f>
        <v>SR-1712</v>
      </c>
      <c r="H1252" s="2" t="s">
        <v>6639</v>
      </c>
      <c r="I1252" s="2" t="s">
        <v>6640</v>
      </c>
      <c r="K1252" s="2" t="s">
        <v>6641</v>
      </c>
      <c r="L1252" s="2" t="s">
        <v>62</v>
      </c>
      <c r="M1252" s="2">
        <v>55391.0</v>
      </c>
      <c r="N1252" s="2" t="s">
        <v>21</v>
      </c>
    </row>
    <row r="1253" ht="15.75" customHeight="1">
      <c r="A1253" s="2">
        <v>2013.0</v>
      </c>
      <c r="B1253" s="2" t="s">
        <v>6636</v>
      </c>
      <c r="C1253" s="2" t="s">
        <v>6642</v>
      </c>
      <c r="D1253" s="2" t="str">
        <f t="shared" si="16"/>
        <v>9524049257</v>
      </c>
      <c r="E1253" s="2" t="s">
        <v>167</v>
      </c>
      <c r="F1253" s="2" t="s">
        <v>6638</v>
      </c>
      <c r="G1253" s="2" t="str">
        <f>"SR-1773"</f>
        <v>SR-1773</v>
      </c>
      <c r="H1253" s="2" t="s">
        <v>6643</v>
      </c>
      <c r="I1253" s="2" t="s">
        <v>6644</v>
      </c>
      <c r="K1253" s="2" t="s">
        <v>6641</v>
      </c>
      <c r="L1253" s="2" t="s">
        <v>62</v>
      </c>
      <c r="M1253" s="2">
        <v>55391.0</v>
      </c>
      <c r="N1253" s="2" t="s">
        <v>21</v>
      </c>
    </row>
    <row r="1254" ht="15.75" customHeight="1">
      <c r="A1254" s="2">
        <v>2013.0</v>
      </c>
      <c r="B1254" s="2" t="s">
        <v>6645</v>
      </c>
      <c r="C1254" s="2" t="s">
        <v>6646</v>
      </c>
      <c r="D1254" s="2" t="str">
        <f>"(260) 495-0369"</f>
        <v>(260) 495-0369</v>
      </c>
      <c r="E1254" s="2" t="s">
        <v>261</v>
      </c>
      <c r="F1254" s="2" t="s">
        <v>639</v>
      </c>
      <c r="G1254" s="2" t="str">
        <f>"SR-1747"</f>
        <v>SR-1747</v>
      </c>
      <c r="H1254" s="2" t="s">
        <v>6647</v>
      </c>
      <c r="I1254" s="2" t="s">
        <v>6648</v>
      </c>
      <c r="K1254" s="2" t="s">
        <v>6649</v>
      </c>
      <c r="L1254" s="2" t="s">
        <v>149</v>
      </c>
      <c r="M1254" s="2">
        <v>46737.0</v>
      </c>
      <c r="N1254" s="2" t="s">
        <v>21</v>
      </c>
    </row>
    <row r="1255" ht="15.75" customHeight="1">
      <c r="A1255" s="2">
        <v>2013.0</v>
      </c>
      <c r="B1255" s="2" t="s">
        <v>6650</v>
      </c>
      <c r="C1255" s="2" t="s">
        <v>6651</v>
      </c>
      <c r="D1255" s="2" t="str">
        <f>"830-980-8952"</f>
        <v>830-980-8952</v>
      </c>
      <c r="E1255" s="2" t="s">
        <v>705</v>
      </c>
      <c r="F1255" s="2" t="s">
        <v>2548</v>
      </c>
      <c r="G1255" s="2" t="str">
        <f>"SR-1705"</f>
        <v>SR-1705</v>
      </c>
      <c r="H1255" s="2" t="s">
        <v>6652</v>
      </c>
      <c r="I1255" s="2" t="s">
        <v>6653</v>
      </c>
      <c r="K1255" s="2" t="s">
        <v>632</v>
      </c>
      <c r="L1255" s="2" t="s">
        <v>172</v>
      </c>
      <c r="M1255" s="2">
        <v>78261.0</v>
      </c>
      <c r="N1255" s="2" t="s">
        <v>21</v>
      </c>
    </row>
    <row r="1256" ht="15.75" customHeight="1">
      <c r="A1256" s="2">
        <v>2013.0</v>
      </c>
      <c r="B1256" s="2" t="s">
        <v>6654</v>
      </c>
      <c r="C1256" s="2" t="s">
        <v>6654</v>
      </c>
      <c r="D1256" s="2" t="str">
        <f>"704-804-1950"</f>
        <v>704-804-1950</v>
      </c>
      <c r="E1256" s="2" t="s">
        <v>2941</v>
      </c>
      <c r="F1256" s="2" t="s">
        <v>6655</v>
      </c>
      <c r="G1256" s="2" t="str">
        <f>"SR-1148"</f>
        <v>SR-1148</v>
      </c>
      <c r="H1256" s="2" t="s">
        <v>6656</v>
      </c>
      <c r="I1256" s="2" t="s">
        <v>6657</v>
      </c>
      <c r="K1256" s="2" t="s">
        <v>6658</v>
      </c>
      <c r="L1256" s="2" t="s">
        <v>20</v>
      </c>
      <c r="M1256" s="2">
        <v>28025.0</v>
      </c>
      <c r="N1256" s="2" t="s">
        <v>21</v>
      </c>
    </row>
    <row r="1257" ht="15.75" customHeight="1">
      <c r="A1257" s="2">
        <v>2013.0</v>
      </c>
      <c r="B1257" s="2" t="s">
        <v>6659</v>
      </c>
      <c r="C1257" s="2" t="s">
        <v>6660</v>
      </c>
      <c r="D1257" s="2" t="str">
        <f>"406-248-2932"</f>
        <v>406-248-2932</v>
      </c>
      <c r="E1257" s="2" t="s">
        <v>2259</v>
      </c>
      <c r="F1257" s="2" t="s">
        <v>6661</v>
      </c>
      <c r="G1257" s="2" t="str">
        <f>"SR-1780"</f>
        <v>SR-1780</v>
      </c>
      <c r="H1257" s="2" t="s">
        <v>6662</v>
      </c>
      <c r="I1257" s="2" t="s">
        <v>6663</v>
      </c>
      <c r="K1257" s="2" t="s">
        <v>3548</v>
      </c>
      <c r="L1257" s="2" t="s">
        <v>2696</v>
      </c>
      <c r="M1257" s="2">
        <v>59105.0</v>
      </c>
      <c r="N1257" s="2" t="s">
        <v>21</v>
      </c>
    </row>
    <row r="1258" ht="15.75" customHeight="1">
      <c r="A1258" s="2">
        <v>2013.0</v>
      </c>
      <c r="B1258" s="2" t="s">
        <v>6664</v>
      </c>
      <c r="C1258" s="2" t="s">
        <v>6664</v>
      </c>
      <c r="D1258" s="2" t="str">
        <f>"8145205153"</f>
        <v>8145205153</v>
      </c>
      <c r="E1258" s="2" t="s">
        <v>6665</v>
      </c>
      <c r="F1258" s="2" t="s">
        <v>6666</v>
      </c>
      <c r="G1258" s="2" t="str">
        <f>"SR-1781"</f>
        <v>SR-1781</v>
      </c>
      <c r="H1258" s="2" t="s">
        <v>6667</v>
      </c>
      <c r="I1258" s="2" t="s">
        <v>6668</v>
      </c>
      <c r="K1258" s="2" t="s">
        <v>6669</v>
      </c>
      <c r="L1258" s="2" t="s">
        <v>179</v>
      </c>
      <c r="M1258" s="2">
        <v>16415.0</v>
      </c>
      <c r="N1258" s="2" t="s">
        <v>21</v>
      </c>
    </row>
    <row r="1259" ht="15.75" customHeight="1">
      <c r="A1259" s="2">
        <v>2013.0</v>
      </c>
      <c r="B1259" s="2" t="s">
        <v>6670</v>
      </c>
      <c r="C1259" s="2" t="s">
        <v>6671</v>
      </c>
      <c r="D1259" s="2" t="str">
        <f>"3153762207"</f>
        <v>3153762207</v>
      </c>
      <c r="E1259" s="2" t="s">
        <v>6170</v>
      </c>
      <c r="F1259" s="2" t="s">
        <v>6672</v>
      </c>
      <c r="G1259" s="2" t="str">
        <f>"SR-1775"</f>
        <v>SR-1775</v>
      </c>
      <c r="H1259" s="2" t="s">
        <v>6673</v>
      </c>
      <c r="I1259" s="2" t="s">
        <v>6674</v>
      </c>
      <c r="K1259" s="2" t="s">
        <v>3593</v>
      </c>
      <c r="L1259" s="2" t="s">
        <v>142</v>
      </c>
      <c r="M1259" s="2">
        <v>13367.0</v>
      </c>
      <c r="N1259" s="2" t="s">
        <v>21</v>
      </c>
    </row>
    <row r="1260" ht="15.75" customHeight="1">
      <c r="A1260" s="2">
        <v>2013.0</v>
      </c>
      <c r="B1260" s="2" t="s">
        <v>6675</v>
      </c>
      <c r="C1260" s="2" t="s">
        <v>6675</v>
      </c>
      <c r="D1260" s="2" t="str">
        <f>"608-604-9870"</f>
        <v>608-604-9870</v>
      </c>
      <c r="E1260" s="2" t="s">
        <v>100</v>
      </c>
      <c r="F1260" s="2" t="s">
        <v>639</v>
      </c>
      <c r="G1260" s="2" t="str">
        <f>"SR-1710"</f>
        <v>SR-1710</v>
      </c>
      <c r="H1260" s="2" t="s">
        <v>6676</v>
      </c>
      <c r="I1260" s="2" t="s">
        <v>6677</v>
      </c>
      <c r="K1260" s="2" t="s">
        <v>6678</v>
      </c>
      <c r="L1260" s="2" t="s">
        <v>193</v>
      </c>
      <c r="M1260" s="2">
        <v>53581.0</v>
      </c>
      <c r="N1260" s="2" t="s">
        <v>21</v>
      </c>
    </row>
    <row r="1261" ht="15.75" customHeight="1">
      <c r="A1261" s="2">
        <v>2013.0</v>
      </c>
      <c r="B1261" s="2" t="s">
        <v>6679</v>
      </c>
      <c r="C1261" s="2" t="s">
        <v>6680</v>
      </c>
      <c r="D1261" s="2" t="str">
        <f>"480-892-6587"</f>
        <v>480-892-6587</v>
      </c>
      <c r="E1261" s="2" t="s">
        <v>132</v>
      </c>
      <c r="F1261" s="2" t="s">
        <v>6681</v>
      </c>
      <c r="G1261" s="2" t="str">
        <f>"SR-1784"</f>
        <v>SR-1784</v>
      </c>
      <c r="H1261" s="2" t="s">
        <v>6682</v>
      </c>
      <c r="I1261" s="2" t="s">
        <v>6683</v>
      </c>
      <c r="K1261" s="2" t="s">
        <v>4675</v>
      </c>
      <c r="L1261" s="2" t="s">
        <v>422</v>
      </c>
      <c r="M1261" s="2">
        <v>85234.0</v>
      </c>
      <c r="N1261" s="2" t="s">
        <v>21</v>
      </c>
    </row>
    <row r="1262" ht="15.75" customHeight="1">
      <c r="A1262" s="2">
        <v>2013.0</v>
      </c>
      <c r="B1262" s="2" t="s">
        <v>6684</v>
      </c>
      <c r="C1262" s="2" t="s">
        <v>6685</v>
      </c>
      <c r="D1262" s="2" t="str">
        <f>"828 371 5947"</f>
        <v>828 371 5947</v>
      </c>
      <c r="E1262" s="2" t="s">
        <v>651</v>
      </c>
      <c r="F1262" s="2" t="s">
        <v>6686</v>
      </c>
      <c r="G1262" s="2" t="str">
        <f>"SR-1788"</f>
        <v>SR-1788</v>
      </c>
      <c r="H1262" s="2" t="s">
        <v>6687</v>
      </c>
      <c r="I1262" s="2" t="s">
        <v>6688</v>
      </c>
      <c r="K1262" s="2" t="s">
        <v>278</v>
      </c>
      <c r="L1262" s="2" t="s">
        <v>20</v>
      </c>
      <c r="M1262" s="2">
        <v>28734.0</v>
      </c>
      <c r="N1262" s="2" t="s">
        <v>21</v>
      </c>
    </row>
    <row r="1263" ht="15.75" customHeight="1">
      <c r="A1263" s="2">
        <v>2013.0</v>
      </c>
      <c r="B1263" s="2" t="s">
        <v>6689</v>
      </c>
      <c r="C1263" s="2" t="s">
        <v>6689</v>
      </c>
      <c r="D1263" s="2" t="str">
        <f>"530 736-1381"</f>
        <v>530 736-1381</v>
      </c>
      <c r="E1263" s="2" t="s">
        <v>267</v>
      </c>
      <c r="F1263" s="2" t="s">
        <v>6690</v>
      </c>
      <c r="G1263" s="2" t="str">
        <f>"SR-1793"</f>
        <v>SR-1793</v>
      </c>
      <c r="H1263" s="2" t="s">
        <v>6691</v>
      </c>
      <c r="I1263" s="2" t="s">
        <v>6692</v>
      </c>
      <c r="K1263" s="2" t="s">
        <v>6693</v>
      </c>
      <c r="L1263" s="2" t="s">
        <v>222</v>
      </c>
      <c r="M1263" s="2">
        <v>96022.0</v>
      </c>
      <c r="N1263" s="2" t="s">
        <v>21</v>
      </c>
    </row>
    <row r="1264" ht="15.75" customHeight="1">
      <c r="A1264" s="2">
        <v>2013.0</v>
      </c>
      <c r="B1264" s="2" t="s">
        <v>6694</v>
      </c>
      <c r="C1264" s="2" t="s">
        <v>6695</v>
      </c>
      <c r="D1264" s="2" t="str">
        <f>"913-951-1166"</f>
        <v>913-951-1166</v>
      </c>
      <c r="E1264" s="2" t="s">
        <v>465</v>
      </c>
      <c r="F1264" s="2" t="s">
        <v>6696</v>
      </c>
      <c r="G1264" s="2" t="str">
        <f>"SR-1792"</f>
        <v>SR-1792</v>
      </c>
      <c r="H1264" s="2" t="s">
        <v>6697</v>
      </c>
      <c r="I1264" s="2" t="s">
        <v>6698</v>
      </c>
      <c r="K1264" s="2" t="s">
        <v>1814</v>
      </c>
      <c r="L1264" s="2" t="s">
        <v>272</v>
      </c>
      <c r="M1264" s="2">
        <v>66109.0</v>
      </c>
      <c r="N1264" s="2" t="s">
        <v>21</v>
      </c>
    </row>
    <row r="1265" ht="15.75" customHeight="1">
      <c r="A1265" s="2">
        <v>2013.0</v>
      </c>
      <c r="B1265" s="2" t="s">
        <v>6699</v>
      </c>
      <c r="C1265" s="2" t="s">
        <v>6700</v>
      </c>
      <c r="D1265" s="2" t="str">
        <f>"4237020757"</f>
        <v>4237020757</v>
      </c>
      <c r="E1265" s="2" t="s">
        <v>3037</v>
      </c>
      <c r="F1265" s="2" t="s">
        <v>5675</v>
      </c>
      <c r="G1265" s="2" t="str">
        <f>"SR-1776"</f>
        <v>SR-1776</v>
      </c>
      <c r="H1265" s="2" t="s">
        <v>6701</v>
      </c>
      <c r="I1265" s="2" t="s">
        <v>6702</v>
      </c>
      <c r="K1265" s="2" t="s">
        <v>6703</v>
      </c>
      <c r="L1265" s="2" t="s">
        <v>279</v>
      </c>
      <c r="M1265" s="2">
        <v>37377.0</v>
      </c>
      <c r="N1265" s="2" t="s">
        <v>21</v>
      </c>
    </row>
    <row r="1266" ht="15.75" customHeight="1">
      <c r="A1266" s="2">
        <v>2013.0</v>
      </c>
      <c r="B1266" s="2" t="s">
        <v>6704</v>
      </c>
      <c r="C1266" s="2" t="s">
        <v>6704</v>
      </c>
      <c r="D1266" s="2" t="str">
        <f>"530-736-5507"</f>
        <v>530-736-5507</v>
      </c>
      <c r="E1266" s="2" t="s">
        <v>4111</v>
      </c>
      <c r="F1266" s="2" t="s">
        <v>5105</v>
      </c>
      <c r="G1266" s="2" t="str">
        <f>"SR-1796"</f>
        <v>SR-1796</v>
      </c>
      <c r="H1266" s="2" t="s">
        <v>6705</v>
      </c>
      <c r="I1266" s="2" t="s">
        <v>6706</v>
      </c>
      <c r="K1266" s="2" t="s">
        <v>6707</v>
      </c>
      <c r="L1266" s="2" t="s">
        <v>222</v>
      </c>
      <c r="M1266" s="2">
        <v>96080.0</v>
      </c>
      <c r="N1266" s="2" t="s">
        <v>21</v>
      </c>
    </row>
    <row r="1267" ht="15.75" customHeight="1">
      <c r="A1267" s="2">
        <v>2013.0</v>
      </c>
      <c r="B1267" s="2" t="s">
        <v>6699</v>
      </c>
      <c r="C1267" s="2" t="s">
        <v>6708</v>
      </c>
      <c r="D1267" s="2" t="str">
        <f>"4196702611"</f>
        <v>4196702611</v>
      </c>
      <c r="E1267" s="2" t="s">
        <v>1141</v>
      </c>
      <c r="F1267" s="2" t="s">
        <v>5675</v>
      </c>
      <c r="G1267" s="2" t="str">
        <f>"SR-1798"</f>
        <v>SR-1798</v>
      </c>
      <c r="H1267" s="2" t="s">
        <v>6709</v>
      </c>
      <c r="I1267" s="2" t="s">
        <v>6710</v>
      </c>
      <c r="K1267" s="2" t="s">
        <v>6711</v>
      </c>
      <c r="L1267" s="2" t="s">
        <v>344</v>
      </c>
      <c r="M1267" s="2">
        <v>45879.0</v>
      </c>
      <c r="N1267" s="2" t="s">
        <v>21</v>
      </c>
    </row>
    <row r="1268" ht="15.75" customHeight="1">
      <c r="A1268" s="2">
        <v>2013.0</v>
      </c>
      <c r="B1268" s="2" t="s">
        <v>6699</v>
      </c>
      <c r="C1268" s="2" t="s">
        <v>6712</v>
      </c>
      <c r="D1268" s="2" t="str">
        <f>"4196702607"</f>
        <v>4196702607</v>
      </c>
      <c r="E1268" s="2" t="s">
        <v>6713</v>
      </c>
      <c r="F1268" s="2" t="s">
        <v>6714</v>
      </c>
      <c r="G1268" s="2" t="str">
        <f>"SR-1799"</f>
        <v>SR-1799</v>
      </c>
      <c r="H1268" s="2" t="s">
        <v>6715</v>
      </c>
      <c r="I1268" s="2" t="s">
        <v>6716</v>
      </c>
      <c r="K1268" s="2" t="s">
        <v>6711</v>
      </c>
      <c r="L1268" s="2" t="s">
        <v>344</v>
      </c>
      <c r="M1268" s="2">
        <v>45879.0</v>
      </c>
      <c r="N1268" s="2" t="s">
        <v>21</v>
      </c>
    </row>
    <row r="1269" ht="15.75" customHeight="1">
      <c r="A1269" s="2">
        <v>2013.0</v>
      </c>
      <c r="B1269" s="2" t="s">
        <v>6717</v>
      </c>
      <c r="D1269" s="2" t="str">
        <f>"5072851108"</f>
        <v>5072851108</v>
      </c>
      <c r="E1269" s="2" t="s">
        <v>6718</v>
      </c>
      <c r="F1269" s="2" t="s">
        <v>6719</v>
      </c>
      <c r="G1269" s="2" t="str">
        <f>"SR-1805"</f>
        <v>SR-1805</v>
      </c>
      <c r="H1269" s="2" t="s">
        <v>6720</v>
      </c>
      <c r="I1269" s="2" t="s">
        <v>6721</v>
      </c>
      <c r="K1269" s="2" t="s">
        <v>2804</v>
      </c>
      <c r="L1269" s="2" t="s">
        <v>62</v>
      </c>
      <c r="M1269" s="2">
        <v>55901.0</v>
      </c>
      <c r="N1269" s="2" t="s">
        <v>21</v>
      </c>
    </row>
    <row r="1270" ht="15.75" customHeight="1">
      <c r="A1270" s="2">
        <v>2013.0</v>
      </c>
      <c r="B1270" s="2" t="s">
        <v>6722</v>
      </c>
      <c r="C1270" s="2" t="s">
        <v>6723</v>
      </c>
      <c r="D1270" s="2" t="str">
        <f>"403 4744842"</f>
        <v>403 4744842</v>
      </c>
      <c r="E1270" s="2" t="s">
        <v>261</v>
      </c>
      <c r="F1270" s="2" t="s">
        <v>3978</v>
      </c>
      <c r="G1270" s="2" t="str">
        <f>"SR-1803"</f>
        <v>SR-1803</v>
      </c>
      <c r="H1270" s="2" t="s">
        <v>5511</v>
      </c>
      <c r="I1270" s="2" t="s">
        <v>6724</v>
      </c>
      <c r="K1270" s="2" t="s">
        <v>6725</v>
      </c>
      <c r="L1270" s="2" t="s">
        <v>6726</v>
      </c>
      <c r="M1270" s="2" t="s">
        <v>6727</v>
      </c>
      <c r="N1270" s="2" t="s">
        <v>1602</v>
      </c>
    </row>
    <row r="1271" ht="15.75" customHeight="1">
      <c r="A1271" s="2">
        <v>2013.0</v>
      </c>
      <c r="B1271" s="2" t="s">
        <v>6722</v>
      </c>
      <c r="C1271" s="2" t="s">
        <v>6728</v>
      </c>
      <c r="D1271" s="2" t="str">
        <f>"4034744842"</f>
        <v>4034744842</v>
      </c>
      <c r="E1271" s="2" t="s">
        <v>485</v>
      </c>
      <c r="F1271" s="2" t="s">
        <v>3978</v>
      </c>
      <c r="G1271" s="2" t="str">
        <f>"SR-1806"</f>
        <v>SR-1806</v>
      </c>
      <c r="H1271" s="2" t="s">
        <v>6729</v>
      </c>
      <c r="I1271" s="2" t="s">
        <v>6730</v>
      </c>
      <c r="K1271" s="2" t="s">
        <v>6725</v>
      </c>
      <c r="L1271" s="2" t="s">
        <v>6726</v>
      </c>
      <c r="M1271" s="2" t="s">
        <v>6727</v>
      </c>
      <c r="N1271" s="2" t="s">
        <v>1602</v>
      </c>
    </row>
    <row r="1272" ht="15.75" customHeight="1">
      <c r="A1272" s="2">
        <v>2013.0</v>
      </c>
      <c r="B1272" s="2" t="s">
        <v>6731</v>
      </c>
      <c r="C1272" s="2" t="s">
        <v>6732</v>
      </c>
      <c r="D1272" s="2" t="str">
        <f>"(403) 317 - 2084"</f>
        <v>(403) 317 - 2084</v>
      </c>
      <c r="E1272" s="2" t="s">
        <v>2126</v>
      </c>
      <c r="F1272" s="2" t="s">
        <v>6733</v>
      </c>
      <c r="G1272" s="2" t="str">
        <f>"SR-1560"</f>
        <v>SR-1560</v>
      </c>
      <c r="H1272" s="2" t="s">
        <v>6734</v>
      </c>
      <c r="I1272" s="2" t="s">
        <v>6735</v>
      </c>
      <c r="K1272" s="2" t="s">
        <v>6736</v>
      </c>
      <c r="L1272" s="2" t="s">
        <v>2397</v>
      </c>
      <c r="M1272" s="2" t="s">
        <v>6737</v>
      </c>
      <c r="N1272" s="2" t="s">
        <v>1602</v>
      </c>
    </row>
    <row r="1273" ht="15.75" customHeight="1">
      <c r="A1273" s="2">
        <v>2013.0</v>
      </c>
      <c r="B1273" s="2" t="s">
        <v>6731</v>
      </c>
      <c r="C1273" s="2" t="s">
        <v>6738</v>
      </c>
      <c r="D1273" s="2" t="str">
        <f>"4033172084"</f>
        <v>4033172084</v>
      </c>
      <c r="E1273" s="2" t="s">
        <v>6739</v>
      </c>
      <c r="F1273" s="2" t="s">
        <v>6733</v>
      </c>
      <c r="G1273" s="2" t="str">
        <f>"SR-1556"</f>
        <v>SR-1556</v>
      </c>
      <c r="H1273" s="2" t="s">
        <v>6740</v>
      </c>
      <c r="I1273" s="2" t="s">
        <v>6741</v>
      </c>
      <c r="K1273" s="2" t="s">
        <v>6736</v>
      </c>
      <c r="L1273" s="2" t="s">
        <v>6726</v>
      </c>
      <c r="M1273" s="2" t="s">
        <v>6742</v>
      </c>
      <c r="N1273" s="2" t="s">
        <v>1602</v>
      </c>
    </row>
    <row r="1274" ht="15.75" customHeight="1">
      <c r="A1274" s="2">
        <v>2013.0</v>
      </c>
      <c r="B1274" s="2" t="s">
        <v>6731</v>
      </c>
      <c r="C1274" s="2" t="s">
        <v>6743</v>
      </c>
      <c r="D1274" s="2" t="str">
        <f>"1 403 487 3456"</f>
        <v>1 403 487 3456</v>
      </c>
      <c r="E1274" s="2" t="s">
        <v>485</v>
      </c>
      <c r="F1274" s="2" t="s">
        <v>6744</v>
      </c>
      <c r="G1274" s="2" t="str">
        <f>"SR-1561"</f>
        <v>SR-1561</v>
      </c>
      <c r="H1274" s="2" t="s">
        <v>6745</v>
      </c>
      <c r="I1274" s="2" t="s">
        <v>6746</v>
      </c>
      <c r="K1274" s="2" t="s">
        <v>6747</v>
      </c>
      <c r="L1274" s="2" t="s">
        <v>2397</v>
      </c>
      <c r="N1274" s="2" t="s">
        <v>1602</v>
      </c>
    </row>
    <row r="1275" ht="15.75" customHeight="1">
      <c r="A1275" s="2">
        <v>2013.0</v>
      </c>
      <c r="B1275" s="2" t="s">
        <v>6748</v>
      </c>
      <c r="C1275" s="2" t="s">
        <v>6748</v>
      </c>
      <c r="D1275" s="2" t="str">
        <f>"6076253479"</f>
        <v>6076253479</v>
      </c>
      <c r="E1275" s="2" t="s">
        <v>6718</v>
      </c>
      <c r="F1275" s="2" t="s">
        <v>6749</v>
      </c>
      <c r="G1275" s="2" t="str">
        <f>"SR-1790"</f>
        <v>SR-1790</v>
      </c>
      <c r="H1275" s="2" t="s">
        <v>6750</v>
      </c>
      <c r="I1275" s="2" t="s">
        <v>6751</v>
      </c>
      <c r="K1275" s="2" t="s">
        <v>6752</v>
      </c>
      <c r="L1275" s="2" t="s">
        <v>142</v>
      </c>
      <c r="M1275" s="2">
        <v>13732.0</v>
      </c>
      <c r="N1275" s="2" t="s">
        <v>21</v>
      </c>
    </row>
    <row r="1276" ht="15.75" customHeight="1">
      <c r="A1276" s="2">
        <v>2013.0</v>
      </c>
      <c r="B1276" s="2" t="s">
        <v>6753</v>
      </c>
      <c r="C1276" s="2" t="s">
        <v>6754</v>
      </c>
      <c r="D1276" s="2" t="str">
        <f>"5022318312"</f>
        <v>5022318312</v>
      </c>
      <c r="E1276" s="2" t="s">
        <v>465</v>
      </c>
      <c r="F1276" s="2" t="s">
        <v>6755</v>
      </c>
      <c r="G1276" s="2" t="str">
        <f>"SR-1813"</f>
        <v>SR-1813</v>
      </c>
      <c r="H1276" s="2" t="s">
        <v>6756</v>
      </c>
      <c r="I1276" s="2" t="s">
        <v>6757</v>
      </c>
      <c r="K1276" s="2" t="s">
        <v>5288</v>
      </c>
      <c r="L1276" s="2" t="s">
        <v>1236</v>
      </c>
      <c r="M1276" s="2">
        <v>40299.0</v>
      </c>
      <c r="N1276" s="2" t="s">
        <v>21</v>
      </c>
    </row>
    <row r="1277" ht="15.75" customHeight="1">
      <c r="A1277" s="2">
        <v>2013.0</v>
      </c>
      <c r="B1277" s="2" t="s">
        <v>6758</v>
      </c>
      <c r="C1277" s="2" t="s">
        <v>6758</v>
      </c>
      <c r="D1277" s="2" t="str">
        <f>"952-955-1338"</f>
        <v>952-955-1338</v>
      </c>
      <c r="E1277" s="2" t="s">
        <v>6759</v>
      </c>
      <c r="F1277" s="2" t="s">
        <v>6760</v>
      </c>
      <c r="G1277" s="2" t="str">
        <f>"SR-1364"</f>
        <v>SR-1364</v>
      </c>
      <c r="H1277" s="2" t="s">
        <v>6761</v>
      </c>
      <c r="I1277" s="2" t="s">
        <v>6762</v>
      </c>
      <c r="K1277" s="2" t="s">
        <v>3598</v>
      </c>
      <c r="L1277" s="2" t="s">
        <v>62</v>
      </c>
      <c r="M1277" s="2">
        <v>55360.0</v>
      </c>
      <c r="N1277" s="2" t="s">
        <v>21</v>
      </c>
    </row>
    <row r="1278" ht="15.75" customHeight="1">
      <c r="A1278" s="2">
        <v>2013.0</v>
      </c>
      <c r="B1278" s="2" t="s">
        <v>6763</v>
      </c>
      <c r="C1278" s="2" t="s">
        <v>6764</v>
      </c>
      <c r="D1278" s="2" t="str">
        <f>"8172283067"</f>
        <v>8172283067</v>
      </c>
      <c r="E1278" s="2" t="s">
        <v>862</v>
      </c>
      <c r="F1278" s="2" t="s">
        <v>6765</v>
      </c>
      <c r="G1278" s="2" t="str">
        <f>"SR-1692"</f>
        <v>SR-1692</v>
      </c>
      <c r="H1278" s="2" t="s">
        <v>6766</v>
      </c>
      <c r="I1278" s="2" t="s">
        <v>6767</v>
      </c>
      <c r="K1278" s="2" t="s">
        <v>5729</v>
      </c>
      <c r="L1278" s="2" t="s">
        <v>172</v>
      </c>
      <c r="M1278" s="2">
        <v>76085.0</v>
      </c>
      <c r="N1278" s="2" t="s">
        <v>21</v>
      </c>
    </row>
    <row r="1279" ht="15.75" customHeight="1">
      <c r="A1279" s="2">
        <v>2013.0</v>
      </c>
      <c r="B1279" s="2" t="s">
        <v>6768</v>
      </c>
      <c r="C1279" s="2" t="s">
        <v>6768</v>
      </c>
      <c r="D1279" s="2" t="str">
        <f>"9704492401"</f>
        <v>9704492401</v>
      </c>
      <c r="E1279" s="2" t="s">
        <v>751</v>
      </c>
      <c r="F1279" s="2" t="s">
        <v>6769</v>
      </c>
      <c r="G1279" s="2" t="str">
        <f>"SR-1816"</f>
        <v>SR-1816</v>
      </c>
      <c r="H1279" s="2" t="s">
        <v>6770</v>
      </c>
      <c r="I1279" s="2" t="s">
        <v>6771</v>
      </c>
      <c r="K1279" s="2" t="s">
        <v>656</v>
      </c>
      <c r="L1279" s="2" t="s">
        <v>157</v>
      </c>
      <c r="M1279" s="2">
        <v>80525.0</v>
      </c>
      <c r="N1279" s="2" t="s">
        <v>21</v>
      </c>
    </row>
    <row r="1280" ht="15.75" customHeight="1">
      <c r="A1280" s="2">
        <v>2013.0</v>
      </c>
      <c r="B1280" s="2" t="s">
        <v>6772</v>
      </c>
      <c r="C1280" s="2" t="s">
        <v>6772</v>
      </c>
      <c r="D1280" s="2" t="str">
        <f>"719-488-8784"</f>
        <v>719-488-8784</v>
      </c>
      <c r="E1280" s="2" t="s">
        <v>6773</v>
      </c>
      <c r="F1280" s="2" t="s">
        <v>6774</v>
      </c>
      <c r="G1280" s="2" t="str">
        <f>"SR-1397"</f>
        <v>SR-1397</v>
      </c>
      <c r="H1280" s="2" t="s">
        <v>6775</v>
      </c>
      <c r="I1280" s="2" t="s">
        <v>6776</v>
      </c>
      <c r="K1280" s="2" t="s">
        <v>809</v>
      </c>
      <c r="L1280" s="2" t="s">
        <v>157</v>
      </c>
      <c r="M1280" s="2">
        <v>80921.0</v>
      </c>
      <c r="N1280" s="2" t="s">
        <v>21</v>
      </c>
    </row>
    <row r="1281" ht="15.75" customHeight="1">
      <c r="A1281" s="2">
        <v>2013.0</v>
      </c>
      <c r="B1281" s="2" t="s">
        <v>6777</v>
      </c>
      <c r="C1281" s="2" t="s">
        <v>6778</v>
      </c>
      <c r="D1281" s="2" t="str">
        <f>"765-650-0470"</f>
        <v>765-650-0470</v>
      </c>
      <c r="E1281" s="2" t="s">
        <v>3037</v>
      </c>
      <c r="F1281" s="2" t="s">
        <v>6779</v>
      </c>
      <c r="G1281" s="2" t="str">
        <f>"SR-1593"</f>
        <v>SR-1593</v>
      </c>
      <c r="H1281" s="2" t="s">
        <v>6780</v>
      </c>
      <c r="I1281" s="2" t="s">
        <v>6781</v>
      </c>
      <c r="J1281" s="2" t="s">
        <v>6782</v>
      </c>
      <c r="K1281" s="2" t="s">
        <v>6783</v>
      </c>
      <c r="L1281" s="2" t="s">
        <v>149</v>
      </c>
      <c r="M1281" s="2">
        <v>46987.0</v>
      </c>
      <c r="N1281" s="2" t="s">
        <v>21</v>
      </c>
    </row>
    <row r="1282" ht="15.75" customHeight="1">
      <c r="A1282" s="2">
        <v>2013.0</v>
      </c>
      <c r="B1282" s="2" t="s">
        <v>6784</v>
      </c>
      <c r="C1282" s="2" t="s">
        <v>6785</v>
      </c>
      <c r="D1282" s="2" t="str">
        <f>"347-583-7889"</f>
        <v>347-583-7889</v>
      </c>
      <c r="E1282" s="2" t="s">
        <v>3173</v>
      </c>
      <c r="F1282" s="2" t="s">
        <v>108</v>
      </c>
      <c r="G1282" s="2" t="str">
        <f>"SR-1804"</f>
        <v>SR-1804</v>
      </c>
      <c r="H1282" s="2" t="s">
        <v>6786</v>
      </c>
      <c r="I1282" s="2" t="s">
        <v>6787</v>
      </c>
      <c r="J1282" s="2" t="s">
        <v>6788</v>
      </c>
      <c r="K1282" s="2" t="s">
        <v>6789</v>
      </c>
      <c r="L1282" s="2" t="s">
        <v>142</v>
      </c>
      <c r="M1282" s="2">
        <v>10314.0</v>
      </c>
      <c r="N1282" s="2" t="s">
        <v>21</v>
      </c>
    </row>
    <row r="1283" ht="15.75" customHeight="1">
      <c r="A1283" s="2">
        <v>2013.0</v>
      </c>
      <c r="B1283" s="2" t="s">
        <v>6790</v>
      </c>
      <c r="C1283" s="2" t="s">
        <v>6791</v>
      </c>
      <c r="D1283" s="2" t="str">
        <f>"207-825-2118"</f>
        <v>207-825-2118</v>
      </c>
      <c r="E1283" s="2" t="s">
        <v>6792</v>
      </c>
      <c r="F1283" s="2" t="s">
        <v>6793</v>
      </c>
      <c r="G1283" s="2" t="str">
        <f>"SR-1797"</f>
        <v>SR-1797</v>
      </c>
      <c r="H1283" s="2" t="s">
        <v>6794</v>
      </c>
      <c r="I1283" s="2" t="s">
        <v>6795</v>
      </c>
      <c r="K1283" s="2" t="s">
        <v>6796</v>
      </c>
      <c r="L1283" s="2" t="s">
        <v>3737</v>
      </c>
      <c r="M1283" s="2">
        <v>4474.0</v>
      </c>
      <c r="N1283" s="2" t="s">
        <v>21</v>
      </c>
    </row>
    <row r="1284" ht="15.75" customHeight="1">
      <c r="A1284" s="2">
        <v>2013.0</v>
      </c>
      <c r="B1284" s="2" t="s">
        <v>6797</v>
      </c>
      <c r="C1284" s="2" t="s">
        <v>6798</v>
      </c>
      <c r="D1284" s="2" t="str">
        <f>"260-484-7002"</f>
        <v>260-484-7002</v>
      </c>
      <c r="E1284" s="2" t="s">
        <v>1263</v>
      </c>
      <c r="F1284" s="2" t="s">
        <v>6799</v>
      </c>
      <c r="G1284" s="2" t="str">
        <f>"SR-494"</f>
        <v>SR-494</v>
      </c>
      <c r="H1284" s="2" t="s">
        <v>6800</v>
      </c>
      <c r="I1284" s="2" t="s">
        <v>6801</v>
      </c>
      <c r="K1284" s="2" t="s">
        <v>4298</v>
      </c>
      <c r="L1284" s="2" t="s">
        <v>149</v>
      </c>
      <c r="M1284" s="2">
        <v>46825.0</v>
      </c>
      <c r="N1284" s="2" t="s">
        <v>21</v>
      </c>
    </row>
    <row r="1285" ht="15.75" customHeight="1">
      <c r="A1285" s="2">
        <v>2013.0</v>
      </c>
      <c r="B1285" s="2" t="s">
        <v>6802</v>
      </c>
      <c r="C1285" s="2" t="s">
        <v>6803</v>
      </c>
      <c r="D1285" s="2" t="str">
        <f>"281-880-6604"</f>
        <v>281-880-6604</v>
      </c>
      <c r="E1285" s="2" t="s">
        <v>2126</v>
      </c>
      <c r="F1285" s="2" t="s">
        <v>6804</v>
      </c>
      <c r="G1285" s="2" t="str">
        <f>"SR-1689"</f>
        <v>SR-1689</v>
      </c>
      <c r="H1285" s="2" t="s">
        <v>6805</v>
      </c>
      <c r="I1285" s="2" t="s">
        <v>6806</v>
      </c>
      <c r="K1285" s="2" t="s">
        <v>444</v>
      </c>
      <c r="L1285" s="2" t="s">
        <v>172</v>
      </c>
      <c r="M1285" s="2">
        <v>77014.0</v>
      </c>
      <c r="N1285" s="2" t="s">
        <v>21</v>
      </c>
    </row>
    <row r="1286" ht="15.75" customHeight="1">
      <c r="A1286" s="2">
        <v>2013.0</v>
      </c>
      <c r="B1286" s="2" t="s">
        <v>6807</v>
      </c>
      <c r="C1286" s="2" t="s">
        <v>6808</v>
      </c>
      <c r="D1286" s="2" t="str">
        <f>"949-9230955"</f>
        <v>949-9230955</v>
      </c>
      <c r="E1286" s="2" t="s">
        <v>1039</v>
      </c>
      <c r="F1286" s="2" t="s">
        <v>2753</v>
      </c>
      <c r="G1286" s="2" t="str">
        <f>"SR-1794"</f>
        <v>SR-1794</v>
      </c>
      <c r="H1286" s="2" t="s">
        <v>6809</v>
      </c>
      <c r="I1286" s="2" t="s">
        <v>6810</v>
      </c>
      <c r="K1286" s="2" t="s">
        <v>6811</v>
      </c>
      <c r="L1286" s="2" t="s">
        <v>222</v>
      </c>
      <c r="M1286" s="2">
        <v>92653.0</v>
      </c>
      <c r="N1286" s="2" t="s">
        <v>21</v>
      </c>
    </row>
    <row r="1287" ht="15.75" customHeight="1">
      <c r="A1287" s="2">
        <v>2013.0</v>
      </c>
      <c r="B1287" s="2" t="s">
        <v>6812</v>
      </c>
      <c r="C1287" s="2" t="s">
        <v>6812</v>
      </c>
      <c r="D1287" s="2" t="str">
        <f>"912-537-7327"</f>
        <v>912-537-7327</v>
      </c>
      <c r="E1287" s="2" t="s">
        <v>5128</v>
      </c>
      <c r="F1287" s="2" t="s">
        <v>6813</v>
      </c>
      <c r="G1287" s="2" t="str">
        <f>"SR-952"</f>
        <v>SR-952</v>
      </c>
      <c r="H1287" s="2" t="s">
        <v>6814</v>
      </c>
      <c r="I1287" s="2" t="s">
        <v>6815</v>
      </c>
      <c r="J1287" s="2" t="s">
        <v>6816</v>
      </c>
      <c r="K1287" s="2" t="s">
        <v>6817</v>
      </c>
      <c r="L1287" s="2" t="s">
        <v>200</v>
      </c>
      <c r="M1287" s="2">
        <v>30475.0</v>
      </c>
      <c r="N1287" s="2" t="s">
        <v>21</v>
      </c>
    </row>
    <row r="1288" ht="15.75" customHeight="1">
      <c r="A1288" s="2">
        <v>2013.0</v>
      </c>
      <c r="B1288" s="2" t="s">
        <v>6818</v>
      </c>
      <c r="C1288" s="2" t="s">
        <v>6819</v>
      </c>
      <c r="D1288" s="2" t="str">
        <f>"651-686-5706"</f>
        <v>651-686-5706</v>
      </c>
      <c r="E1288" s="2" t="s">
        <v>908</v>
      </c>
      <c r="F1288" s="2" t="s">
        <v>3868</v>
      </c>
      <c r="G1288" s="2" t="str">
        <f>"SR-1761"</f>
        <v>SR-1761</v>
      </c>
      <c r="H1288" s="2" t="s">
        <v>6820</v>
      </c>
      <c r="I1288" s="2" t="s">
        <v>6821</v>
      </c>
      <c r="K1288" s="2" t="s">
        <v>501</v>
      </c>
      <c r="L1288" s="2" t="s">
        <v>62</v>
      </c>
      <c r="M1288" s="2">
        <v>55123.0</v>
      </c>
      <c r="N1288" s="2" t="s">
        <v>21</v>
      </c>
    </row>
    <row r="1289" ht="15.75" customHeight="1">
      <c r="A1289" s="2">
        <v>2013.0</v>
      </c>
      <c r="B1289" s="2" t="s">
        <v>6822</v>
      </c>
      <c r="C1289" s="2" t="s">
        <v>6823</v>
      </c>
      <c r="D1289" s="2" t="str">
        <f>"707-815-5040"</f>
        <v>707-815-5040</v>
      </c>
      <c r="E1289" s="2" t="s">
        <v>100</v>
      </c>
      <c r="F1289" s="2" t="s">
        <v>6824</v>
      </c>
      <c r="G1289" s="2" t="str">
        <f>"SR-1772"</f>
        <v>SR-1772</v>
      </c>
      <c r="H1289" s="2" t="s">
        <v>6825</v>
      </c>
      <c r="I1289" s="2" t="s">
        <v>6826</v>
      </c>
      <c r="K1289" s="2" t="s">
        <v>6827</v>
      </c>
      <c r="L1289" s="2" t="s">
        <v>222</v>
      </c>
      <c r="M1289" s="2">
        <v>94503.0</v>
      </c>
      <c r="N1289" s="2" t="s">
        <v>21</v>
      </c>
    </row>
    <row r="1290" ht="15.75" customHeight="1">
      <c r="A1290" s="2">
        <v>2013.0</v>
      </c>
      <c r="B1290" s="2" t="s">
        <v>6828</v>
      </c>
      <c r="C1290" s="2" t="s">
        <v>6829</v>
      </c>
      <c r="D1290" s="2" t="str">
        <f>"612-720-3668"</f>
        <v>612-720-3668</v>
      </c>
      <c r="E1290" s="2" t="s">
        <v>1034</v>
      </c>
      <c r="F1290" s="2" t="s">
        <v>2906</v>
      </c>
      <c r="G1290" s="2" t="str">
        <f>"SR-823"</f>
        <v>SR-823</v>
      </c>
      <c r="H1290" s="2" t="s">
        <v>6830</v>
      </c>
      <c r="I1290" s="2" t="s">
        <v>2908</v>
      </c>
      <c r="K1290" s="2" t="s">
        <v>2909</v>
      </c>
      <c r="L1290" s="2" t="s">
        <v>62</v>
      </c>
      <c r="M1290" s="2">
        <v>55441.0</v>
      </c>
      <c r="N1290" s="2" t="s">
        <v>21</v>
      </c>
    </row>
    <row r="1291" ht="15.75" customHeight="1">
      <c r="A1291" s="2">
        <v>2013.0</v>
      </c>
      <c r="B1291" s="2" t="s">
        <v>6831</v>
      </c>
      <c r="C1291" s="2" t="s">
        <v>6832</v>
      </c>
      <c r="D1291" s="2" t="str">
        <f>"9078223717"</f>
        <v>9078223717</v>
      </c>
      <c r="E1291" s="2" t="s">
        <v>4456</v>
      </c>
      <c r="F1291" s="2" t="s">
        <v>6833</v>
      </c>
      <c r="G1291" s="2" t="str">
        <f>"SR-1741"</f>
        <v>SR-1741</v>
      </c>
      <c r="H1291" s="2" t="s">
        <v>6834</v>
      </c>
      <c r="I1291" s="2" t="s">
        <v>6835</v>
      </c>
      <c r="J1291" s="2" t="s">
        <v>6836</v>
      </c>
      <c r="K1291" s="2" t="s">
        <v>6837</v>
      </c>
      <c r="L1291" s="2" t="s">
        <v>70</v>
      </c>
      <c r="M1291" s="2">
        <v>99573.0</v>
      </c>
      <c r="N1291" s="2" t="s">
        <v>21</v>
      </c>
    </row>
    <row r="1292" ht="15.75" customHeight="1">
      <c r="A1292" s="2">
        <v>2013.0</v>
      </c>
      <c r="B1292" s="2" t="s">
        <v>6838</v>
      </c>
      <c r="C1292" s="2" t="s">
        <v>6839</v>
      </c>
      <c r="D1292" s="2" t="str">
        <f>"321 794-2416"</f>
        <v>321 794-2416</v>
      </c>
      <c r="E1292" s="2" t="s">
        <v>4275</v>
      </c>
      <c r="F1292" s="2" t="s">
        <v>3947</v>
      </c>
      <c r="G1292" s="2" t="str">
        <f>"SR-1832"</f>
        <v>SR-1832</v>
      </c>
      <c r="H1292" s="2" t="s">
        <v>6840</v>
      </c>
      <c r="I1292" s="2" t="s">
        <v>6841</v>
      </c>
      <c r="K1292" s="2" t="s">
        <v>6842</v>
      </c>
      <c r="L1292" s="2" t="s">
        <v>208</v>
      </c>
      <c r="M1292" s="2">
        <v>32926.0</v>
      </c>
      <c r="N1292" s="2" t="s">
        <v>21</v>
      </c>
    </row>
    <row r="1293" ht="15.75" customHeight="1">
      <c r="A1293" s="2">
        <v>2013.0</v>
      </c>
      <c r="B1293" s="2" t="s">
        <v>6843</v>
      </c>
      <c r="C1293" s="2" t="s">
        <v>6843</v>
      </c>
      <c r="D1293" s="2" t="str">
        <f>"406-388-2997"</f>
        <v>406-388-2997</v>
      </c>
      <c r="E1293" s="2" t="s">
        <v>6844</v>
      </c>
      <c r="F1293" s="2" t="s">
        <v>6845</v>
      </c>
      <c r="G1293" s="2" t="str">
        <f>"SR-1762"</f>
        <v>SR-1762</v>
      </c>
      <c r="H1293" s="2" t="s">
        <v>6846</v>
      </c>
      <c r="I1293" s="2" t="s">
        <v>6847</v>
      </c>
      <c r="J1293" s="2" t="s">
        <v>6848</v>
      </c>
      <c r="K1293" s="2" t="s">
        <v>6849</v>
      </c>
      <c r="L1293" s="2" t="s">
        <v>2696</v>
      </c>
      <c r="M1293" s="2">
        <v>59714.0</v>
      </c>
      <c r="N1293" s="2" t="s">
        <v>21</v>
      </c>
    </row>
    <row r="1294" ht="15.75" customHeight="1">
      <c r="A1294" s="2">
        <v>2013.0</v>
      </c>
      <c r="B1294" s="2" t="s">
        <v>6850</v>
      </c>
      <c r="C1294" s="2" t="s">
        <v>6851</v>
      </c>
      <c r="D1294" s="2" t="str">
        <f>"615-394-2076"</f>
        <v>615-394-2076</v>
      </c>
      <c r="E1294" s="2" t="s">
        <v>6852</v>
      </c>
      <c r="F1294" s="2" t="s">
        <v>6853</v>
      </c>
      <c r="G1294" s="2" t="str">
        <f>"SR-1786"</f>
        <v>SR-1786</v>
      </c>
      <c r="H1294" s="2" t="s">
        <v>6854</v>
      </c>
      <c r="I1294" s="2" t="s">
        <v>6855</v>
      </c>
      <c r="K1294" s="2" t="s">
        <v>278</v>
      </c>
      <c r="L1294" s="2" t="s">
        <v>279</v>
      </c>
      <c r="M1294" s="2">
        <v>37069.0</v>
      </c>
      <c r="N1294" s="2" t="s">
        <v>21</v>
      </c>
    </row>
    <row r="1295" ht="15.75" customHeight="1">
      <c r="A1295" s="2">
        <v>2013.0</v>
      </c>
      <c r="B1295" s="2" t="s">
        <v>6856</v>
      </c>
      <c r="C1295" s="2" t="s">
        <v>6857</v>
      </c>
      <c r="D1295" s="2" t="str">
        <f>"540 454-0155"</f>
        <v>540 454-0155</v>
      </c>
      <c r="E1295" s="2" t="s">
        <v>43</v>
      </c>
      <c r="F1295" s="2" t="s">
        <v>718</v>
      </c>
      <c r="G1295" s="2" t="str">
        <f>"SR-1682"</f>
        <v>SR-1682</v>
      </c>
      <c r="H1295" s="2" t="s">
        <v>6858</v>
      </c>
      <c r="I1295" s="2" t="s">
        <v>6859</v>
      </c>
      <c r="K1295" s="2" t="s">
        <v>6860</v>
      </c>
      <c r="L1295" s="2" t="s">
        <v>165</v>
      </c>
      <c r="M1295" s="2">
        <v>20132.0</v>
      </c>
      <c r="N1295" s="2" t="s">
        <v>21</v>
      </c>
    </row>
    <row r="1296" ht="15.75" customHeight="1">
      <c r="A1296" s="2">
        <v>2013.0</v>
      </c>
      <c r="B1296" s="2" t="s">
        <v>6861</v>
      </c>
      <c r="C1296" s="2" t="s">
        <v>6861</v>
      </c>
      <c r="D1296" s="2" t="str">
        <f>"315-350-7364"</f>
        <v>315-350-7364</v>
      </c>
      <c r="E1296" s="2" t="s">
        <v>690</v>
      </c>
      <c r="F1296" s="2" t="s">
        <v>6862</v>
      </c>
      <c r="G1296" s="2" t="str">
        <f>"SR-1835"</f>
        <v>SR-1835</v>
      </c>
      <c r="H1296" s="2" t="s">
        <v>6863</v>
      </c>
      <c r="I1296" s="2" t="s">
        <v>6864</v>
      </c>
      <c r="K1296" s="2" t="s">
        <v>6865</v>
      </c>
      <c r="L1296" s="2" t="s">
        <v>142</v>
      </c>
      <c r="M1296" s="2">
        <v>13088.0</v>
      </c>
      <c r="N1296" s="2" t="s">
        <v>21</v>
      </c>
    </row>
    <row r="1297" ht="15.75" customHeight="1">
      <c r="A1297" s="2">
        <v>2013.0</v>
      </c>
      <c r="B1297" s="2" t="s">
        <v>6866</v>
      </c>
      <c r="C1297" s="2" t="s">
        <v>6867</v>
      </c>
      <c r="D1297" s="2" t="str">
        <f>"7705009997"</f>
        <v>7705009997</v>
      </c>
      <c r="E1297" s="2" t="s">
        <v>6868</v>
      </c>
      <c r="F1297" s="2" t="s">
        <v>6869</v>
      </c>
      <c r="G1297" s="2" t="str">
        <f>"SR-1811"</f>
        <v>SR-1811</v>
      </c>
      <c r="H1297" s="2" t="s">
        <v>6870</v>
      </c>
      <c r="I1297" s="2" t="s">
        <v>6871</v>
      </c>
      <c r="K1297" s="2" t="s">
        <v>4061</v>
      </c>
      <c r="L1297" s="2" t="s">
        <v>200</v>
      </c>
      <c r="M1297" s="2">
        <v>30132.0</v>
      </c>
      <c r="N1297" s="2" t="s">
        <v>21</v>
      </c>
    </row>
    <row r="1298" ht="15.75" customHeight="1">
      <c r="A1298" s="2">
        <v>2013.0</v>
      </c>
      <c r="B1298" s="2" t="s">
        <v>6872</v>
      </c>
      <c r="C1298" s="2" t="s">
        <v>6872</v>
      </c>
      <c r="D1298" s="2" t="str">
        <f>"208-407-6520"</f>
        <v>208-407-6520</v>
      </c>
      <c r="E1298" s="2" t="s">
        <v>339</v>
      </c>
      <c r="F1298" s="2" t="s">
        <v>6873</v>
      </c>
      <c r="G1298" s="2" t="str">
        <f>"SR-1655"</f>
        <v>SR-1655</v>
      </c>
      <c r="H1298" s="2" t="s">
        <v>6874</v>
      </c>
      <c r="I1298" s="2" t="s">
        <v>6875</v>
      </c>
      <c r="K1298" s="2" t="s">
        <v>6876</v>
      </c>
      <c r="L1298" s="2" t="s">
        <v>2613</v>
      </c>
      <c r="M1298" s="2">
        <v>83616.0</v>
      </c>
      <c r="N1298" s="2" t="s">
        <v>21</v>
      </c>
    </row>
    <row r="1299" ht="15.75" customHeight="1">
      <c r="A1299" s="2">
        <v>2013.0</v>
      </c>
      <c r="B1299" s="2" t="s">
        <v>6877</v>
      </c>
      <c r="C1299" s="2" t="s">
        <v>6878</v>
      </c>
      <c r="D1299" s="2" t="str">
        <f>"303-809-8089"</f>
        <v>303-809-8089</v>
      </c>
      <c r="E1299" s="2" t="s">
        <v>2314</v>
      </c>
      <c r="F1299" s="2" t="s">
        <v>6879</v>
      </c>
      <c r="G1299" s="2" t="str">
        <f>"SR-1834"</f>
        <v>SR-1834</v>
      </c>
      <c r="H1299" s="2" t="s">
        <v>6880</v>
      </c>
      <c r="I1299" s="2" t="s">
        <v>6881</v>
      </c>
      <c r="K1299" s="2" t="s">
        <v>2527</v>
      </c>
      <c r="L1299" s="2" t="s">
        <v>157</v>
      </c>
      <c r="M1299" s="2">
        <v>80220.0</v>
      </c>
      <c r="N1299" s="2" t="s">
        <v>21</v>
      </c>
    </row>
    <row r="1300" ht="15.75" customHeight="1">
      <c r="A1300" s="2">
        <v>2013.0</v>
      </c>
      <c r="B1300" s="2" t="s">
        <v>6882</v>
      </c>
      <c r="C1300" s="2" t="s">
        <v>6883</v>
      </c>
      <c r="D1300" s="2" t="str">
        <f>"260-925-8482"</f>
        <v>260-925-8482</v>
      </c>
      <c r="E1300" s="2" t="s">
        <v>373</v>
      </c>
      <c r="F1300" s="2" t="s">
        <v>6884</v>
      </c>
      <c r="G1300" s="2" t="str">
        <f>"SR-1831"</f>
        <v>SR-1831</v>
      </c>
      <c r="H1300" s="2" t="s">
        <v>6885</v>
      </c>
      <c r="I1300" s="2" t="s">
        <v>6886</v>
      </c>
      <c r="K1300" s="2" t="s">
        <v>6312</v>
      </c>
      <c r="L1300" s="2" t="s">
        <v>149</v>
      </c>
      <c r="M1300" s="2">
        <v>46706.0</v>
      </c>
      <c r="N1300" s="2" t="s">
        <v>21</v>
      </c>
    </row>
    <row r="1301" ht="15.75" customHeight="1">
      <c r="A1301" s="2">
        <v>2013.0</v>
      </c>
      <c r="B1301" s="2" t="s">
        <v>6887</v>
      </c>
      <c r="C1301" s="2" t="s">
        <v>6888</v>
      </c>
      <c r="D1301" s="2" t="str">
        <f>"719-494-1938"</f>
        <v>719-494-1938</v>
      </c>
      <c r="E1301" s="2" t="s">
        <v>88</v>
      </c>
      <c r="F1301" s="2" t="s">
        <v>6889</v>
      </c>
      <c r="G1301" s="2" t="str">
        <f>"SR-1713"</f>
        <v>SR-1713</v>
      </c>
      <c r="H1301" s="2" t="s">
        <v>6890</v>
      </c>
      <c r="I1301" s="2" t="s">
        <v>6891</v>
      </c>
      <c r="K1301" s="2" t="s">
        <v>312</v>
      </c>
      <c r="L1301" s="2" t="s">
        <v>157</v>
      </c>
      <c r="M1301" s="2">
        <v>80106.0</v>
      </c>
      <c r="N1301" s="2" t="s">
        <v>21</v>
      </c>
    </row>
    <row r="1302" ht="15.75" customHeight="1">
      <c r="A1302" s="2">
        <v>2013.0</v>
      </c>
      <c r="B1302" s="2" t="s">
        <v>6892</v>
      </c>
      <c r="C1302" s="2" t="s">
        <v>6893</v>
      </c>
      <c r="D1302" s="2" t="str">
        <f>"770-506-4006"</f>
        <v>770-506-4006</v>
      </c>
      <c r="E1302" s="2" t="s">
        <v>15</v>
      </c>
      <c r="F1302" s="2" t="s">
        <v>984</v>
      </c>
      <c r="G1302" s="2" t="str">
        <f>"SR-365"</f>
        <v>SR-365</v>
      </c>
      <c r="H1302" s="2" t="s">
        <v>6156</v>
      </c>
      <c r="I1302" s="2" t="s">
        <v>6894</v>
      </c>
      <c r="K1302" s="2" t="s">
        <v>6895</v>
      </c>
      <c r="L1302" s="2" t="s">
        <v>200</v>
      </c>
      <c r="M1302" s="2">
        <v>30281.0</v>
      </c>
      <c r="N1302" s="2" t="s">
        <v>21</v>
      </c>
    </row>
    <row r="1303" ht="15.75" customHeight="1">
      <c r="A1303" s="2">
        <v>2013.0</v>
      </c>
      <c r="B1303" s="2" t="s">
        <v>6896</v>
      </c>
      <c r="C1303" s="2" t="s">
        <v>6896</v>
      </c>
      <c r="D1303" s="2" t="str">
        <f>"7852494584"</f>
        <v>7852494584</v>
      </c>
      <c r="E1303" s="2" t="s">
        <v>6897</v>
      </c>
      <c r="F1303" s="2" t="s">
        <v>6898</v>
      </c>
      <c r="G1303" s="2" t="str">
        <f>"SR-1137"</f>
        <v>SR-1137</v>
      </c>
      <c r="H1303" s="2" t="s">
        <v>6899</v>
      </c>
      <c r="I1303" s="2" t="s">
        <v>6900</v>
      </c>
      <c r="K1303" s="2" t="s">
        <v>6149</v>
      </c>
      <c r="L1303" s="2" t="s">
        <v>272</v>
      </c>
      <c r="M1303" s="2">
        <v>66846.0</v>
      </c>
      <c r="N1303" s="2" t="s">
        <v>21</v>
      </c>
    </row>
    <row r="1304" ht="15.75" customHeight="1">
      <c r="A1304" s="2">
        <v>2013.0</v>
      </c>
      <c r="B1304" s="2" t="s">
        <v>6901</v>
      </c>
      <c r="C1304" s="2" t="s">
        <v>6901</v>
      </c>
      <c r="D1304" s="2" t="str">
        <f>"704-785-8828"</f>
        <v>704-785-8828</v>
      </c>
      <c r="E1304" s="2" t="s">
        <v>528</v>
      </c>
      <c r="F1304" s="2" t="s">
        <v>6902</v>
      </c>
      <c r="G1304" s="2" t="str">
        <f>"SR-1764"</f>
        <v>SR-1764</v>
      </c>
      <c r="H1304" s="2" t="s">
        <v>6903</v>
      </c>
      <c r="I1304" s="2" t="s">
        <v>6904</v>
      </c>
      <c r="K1304" s="2" t="s">
        <v>6658</v>
      </c>
      <c r="L1304" s="2" t="s">
        <v>20</v>
      </c>
      <c r="M1304" s="2">
        <v>28027.0</v>
      </c>
      <c r="N1304" s="2" t="s">
        <v>21</v>
      </c>
    </row>
    <row r="1305" ht="15.75" customHeight="1">
      <c r="A1305" s="2">
        <v>2013.0</v>
      </c>
      <c r="B1305" s="2" t="s">
        <v>6905</v>
      </c>
      <c r="C1305" s="2" t="s">
        <v>6906</v>
      </c>
      <c r="D1305" s="2" t="str">
        <f>"719-459-9600"</f>
        <v>719-459-9600</v>
      </c>
      <c r="E1305" s="2" t="s">
        <v>6907</v>
      </c>
      <c r="F1305" s="2" t="s">
        <v>6908</v>
      </c>
      <c r="G1305" s="2" t="str">
        <f>"SR-1845"</f>
        <v>SR-1845</v>
      </c>
      <c r="H1305" s="2" t="s">
        <v>6909</v>
      </c>
      <c r="I1305" s="2" t="s">
        <v>6910</v>
      </c>
      <c r="K1305" s="2" t="s">
        <v>809</v>
      </c>
      <c r="L1305" s="2" t="s">
        <v>157</v>
      </c>
      <c r="M1305" s="2">
        <v>80920.0</v>
      </c>
      <c r="N1305" s="2" t="s">
        <v>21</v>
      </c>
    </row>
    <row r="1306" ht="15.75" customHeight="1">
      <c r="A1306" s="2">
        <v>2013.0</v>
      </c>
      <c r="B1306" s="2" t="s">
        <v>6911</v>
      </c>
      <c r="C1306" s="2" t="s">
        <v>6911</v>
      </c>
      <c r="D1306" s="2" t="str">
        <f>"9788740229"</f>
        <v>9788740229</v>
      </c>
      <c r="E1306" s="2" t="s">
        <v>428</v>
      </c>
      <c r="F1306" s="2" t="s">
        <v>6912</v>
      </c>
      <c r="G1306" s="2" t="str">
        <f>"SR-1844"</f>
        <v>SR-1844</v>
      </c>
      <c r="H1306" s="2" t="s">
        <v>6913</v>
      </c>
      <c r="I1306" s="2" t="s">
        <v>6914</v>
      </c>
      <c r="K1306" s="2" t="s">
        <v>6915</v>
      </c>
      <c r="L1306" s="2" t="s">
        <v>4108</v>
      </c>
      <c r="M1306" s="2">
        <v>1473.0</v>
      </c>
      <c r="N1306" s="2" t="s">
        <v>21</v>
      </c>
    </row>
    <row r="1307" ht="15.75" customHeight="1">
      <c r="A1307" s="2">
        <v>2013.0</v>
      </c>
      <c r="B1307" s="2" t="s">
        <v>6916</v>
      </c>
      <c r="C1307" s="2" t="s">
        <v>6917</v>
      </c>
      <c r="D1307" s="2" t="str">
        <f>"315 458-2084"</f>
        <v>315 458-2084</v>
      </c>
      <c r="E1307" s="2" t="s">
        <v>239</v>
      </c>
      <c r="F1307" s="2" t="s">
        <v>3511</v>
      </c>
      <c r="G1307" s="2" t="str">
        <f>"SR-1849"</f>
        <v>SR-1849</v>
      </c>
      <c r="H1307" s="2" t="s">
        <v>6918</v>
      </c>
      <c r="I1307" s="2" t="s">
        <v>6919</v>
      </c>
      <c r="K1307" s="2" t="s">
        <v>6920</v>
      </c>
      <c r="L1307" s="2" t="s">
        <v>142</v>
      </c>
      <c r="M1307" s="2">
        <v>13212.0</v>
      </c>
      <c r="N1307" s="2" t="s">
        <v>21</v>
      </c>
    </row>
    <row r="1308" ht="15.75" customHeight="1">
      <c r="A1308" s="2">
        <v>2013.0</v>
      </c>
      <c r="B1308" s="2" t="s">
        <v>6549</v>
      </c>
      <c r="C1308" s="2" t="s">
        <v>6921</v>
      </c>
      <c r="D1308" s="2" t="str">
        <f>"9364337635"</f>
        <v>9364337635</v>
      </c>
      <c r="E1308" s="2" t="s">
        <v>6922</v>
      </c>
      <c r="F1308" s="2" t="s">
        <v>6923</v>
      </c>
      <c r="G1308" s="2" t="str">
        <f>"SR-1825"</f>
        <v>SR-1825</v>
      </c>
      <c r="H1308" s="2" t="s">
        <v>6924</v>
      </c>
      <c r="I1308" s="2" t="s">
        <v>6925</v>
      </c>
      <c r="K1308" s="2" t="s">
        <v>2784</v>
      </c>
      <c r="L1308" s="2" t="s">
        <v>172</v>
      </c>
      <c r="M1308" s="2">
        <v>77351.0</v>
      </c>
      <c r="N1308" s="2" t="s">
        <v>21</v>
      </c>
    </row>
    <row r="1309" ht="15.75" customHeight="1">
      <c r="A1309" s="2">
        <v>2013.0</v>
      </c>
      <c r="B1309" s="2" t="s">
        <v>6926</v>
      </c>
      <c r="C1309" s="2" t="s">
        <v>6927</v>
      </c>
      <c r="D1309" s="2" t="str">
        <f>"7573745944"</f>
        <v>7573745944</v>
      </c>
      <c r="E1309" s="2" t="s">
        <v>590</v>
      </c>
      <c r="F1309" s="2" t="s">
        <v>6928</v>
      </c>
      <c r="G1309" s="2" t="str">
        <f>"SR-1852"</f>
        <v>SR-1852</v>
      </c>
      <c r="H1309" s="2" t="s">
        <v>6929</v>
      </c>
      <c r="I1309" s="2" t="s">
        <v>6930</v>
      </c>
      <c r="K1309" s="2" t="s">
        <v>809</v>
      </c>
      <c r="L1309" s="2" t="s">
        <v>157</v>
      </c>
      <c r="M1309" s="2">
        <v>80922.0</v>
      </c>
      <c r="N1309" s="2" t="s">
        <v>21</v>
      </c>
    </row>
    <row r="1310" ht="15.75" customHeight="1">
      <c r="A1310" s="2">
        <v>2013.0</v>
      </c>
      <c r="B1310" s="2" t="s">
        <v>6931</v>
      </c>
      <c r="D1310" s="2" t="str">
        <f t="shared" ref="D1310:D1311" si="17">"303-798-8196"</f>
        <v>303-798-8196</v>
      </c>
      <c r="E1310" s="2" t="s">
        <v>453</v>
      </c>
      <c r="F1310" s="2" t="s">
        <v>6932</v>
      </c>
      <c r="G1310" s="2" t="str">
        <f>"SR-1853"</f>
        <v>SR-1853</v>
      </c>
      <c r="H1310" s="2" t="s">
        <v>6933</v>
      </c>
      <c r="I1310" s="2" t="s">
        <v>6934</v>
      </c>
      <c r="K1310" s="2" t="s">
        <v>6308</v>
      </c>
      <c r="L1310" s="2" t="s">
        <v>157</v>
      </c>
      <c r="M1310" s="2">
        <v>80116.0</v>
      </c>
      <c r="N1310" s="2" t="s">
        <v>21</v>
      </c>
    </row>
    <row r="1311" ht="15.75" customHeight="1">
      <c r="A1311" s="2">
        <v>2013.0</v>
      </c>
      <c r="B1311" s="2" t="s">
        <v>6931</v>
      </c>
      <c r="C1311" s="2" t="s">
        <v>6931</v>
      </c>
      <c r="D1311" s="2" t="str">
        <f t="shared" si="17"/>
        <v>303-798-8196</v>
      </c>
      <c r="E1311" s="2" t="s">
        <v>580</v>
      </c>
      <c r="F1311" s="2" t="s">
        <v>6932</v>
      </c>
      <c r="G1311" s="2" t="str">
        <f>"SR-1854"</f>
        <v>SR-1854</v>
      </c>
      <c r="H1311" s="2" t="s">
        <v>6935</v>
      </c>
      <c r="I1311" s="2" t="s">
        <v>6934</v>
      </c>
      <c r="K1311" s="2" t="s">
        <v>6308</v>
      </c>
      <c r="L1311" s="2" t="s">
        <v>157</v>
      </c>
      <c r="M1311" s="2">
        <v>80116.0</v>
      </c>
      <c r="N1311" s="2" t="s">
        <v>21</v>
      </c>
    </row>
    <row r="1312" ht="15.75" customHeight="1">
      <c r="A1312" s="2">
        <v>2013.0</v>
      </c>
      <c r="B1312" s="2" t="s">
        <v>6936</v>
      </c>
      <c r="C1312" s="2" t="s">
        <v>6936</v>
      </c>
      <c r="D1312" s="2" t="str">
        <f>"8658288502"</f>
        <v>8658288502</v>
      </c>
      <c r="E1312" s="2" t="s">
        <v>6937</v>
      </c>
      <c r="F1312" s="2" t="s">
        <v>6938</v>
      </c>
      <c r="G1312" s="2" t="str">
        <f>"SR-1857"</f>
        <v>SR-1857</v>
      </c>
      <c r="H1312" s="2" t="s">
        <v>6939</v>
      </c>
      <c r="I1312" s="2" t="s">
        <v>6940</v>
      </c>
      <c r="K1312" s="2" t="s">
        <v>6941</v>
      </c>
      <c r="L1312" s="2" t="s">
        <v>279</v>
      </c>
      <c r="M1312" s="2">
        <v>37861.0</v>
      </c>
      <c r="N1312" s="2" t="s">
        <v>21</v>
      </c>
    </row>
    <row r="1313" ht="15.75" customHeight="1">
      <c r="A1313" s="2">
        <v>2013.0</v>
      </c>
      <c r="B1313" s="2" t="s">
        <v>6942</v>
      </c>
      <c r="C1313" s="2" t="s">
        <v>6943</v>
      </c>
      <c r="D1313" s="2" t="str">
        <f>"2085474353"</f>
        <v>2085474353</v>
      </c>
      <c r="E1313" s="2" t="s">
        <v>1664</v>
      </c>
      <c r="F1313" s="2" t="s">
        <v>6944</v>
      </c>
      <c r="G1313" s="2" t="str">
        <f>"SR-1856"</f>
        <v>SR-1856</v>
      </c>
      <c r="H1313" s="2" t="s">
        <v>6945</v>
      </c>
      <c r="I1313" s="2" t="s">
        <v>6946</v>
      </c>
      <c r="K1313" s="2" t="s">
        <v>6947</v>
      </c>
      <c r="L1313" s="2" t="s">
        <v>2613</v>
      </c>
      <c r="M1313" s="2">
        <v>83276.0</v>
      </c>
      <c r="N1313" s="2" t="s">
        <v>21</v>
      </c>
    </row>
    <row r="1314" ht="15.75" customHeight="1">
      <c r="A1314" s="2">
        <v>2013.0</v>
      </c>
      <c r="B1314" s="2" t="s">
        <v>6948</v>
      </c>
      <c r="D1314" s="2" t="str">
        <f>"6053603294"</f>
        <v>6053603294</v>
      </c>
      <c r="E1314" s="2" t="s">
        <v>6949</v>
      </c>
      <c r="F1314" s="2" t="s">
        <v>6950</v>
      </c>
      <c r="G1314" s="2" t="str">
        <f>"SR-1843"</f>
        <v>SR-1843</v>
      </c>
      <c r="H1314" s="2" t="s">
        <v>6951</v>
      </c>
      <c r="I1314" s="2" t="s">
        <v>6952</v>
      </c>
      <c r="J1314" s="2" t="s">
        <v>6953</v>
      </c>
      <c r="K1314" s="2" t="s">
        <v>6954</v>
      </c>
      <c r="L1314" s="2" t="s">
        <v>920</v>
      </c>
      <c r="M1314" s="2">
        <v>57003.0</v>
      </c>
      <c r="N1314" s="2" t="s">
        <v>21</v>
      </c>
    </row>
    <row r="1315" ht="15.75" customHeight="1">
      <c r="A1315" s="2">
        <v>2013.0</v>
      </c>
      <c r="B1315" s="2" t="s">
        <v>6942</v>
      </c>
      <c r="C1315" s="2" t="s">
        <v>6955</v>
      </c>
      <c r="D1315" s="2" t="str">
        <f>"2082426947"</f>
        <v>2082426947</v>
      </c>
      <c r="E1315" s="2" t="s">
        <v>72</v>
      </c>
      <c r="F1315" s="2" t="s">
        <v>6944</v>
      </c>
      <c r="G1315" s="2" t="str">
        <f>"SR-1858"</f>
        <v>SR-1858</v>
      </c>
      <c r="H1315" s="2" t="s">
        <v>6956</v>
      </c>
      <c r="I1315" s="2" t="s">
        <v>6946</v>
      </c>
      <c r="K1315" s="2" t="s">
        <v>6947</v>
      </c>
      <c r="L1315" s="2" t="s">
        <v>2613</v>
      </c>
      <c r="M1315" s="2">
        <v>83276.0</v>
      </c>
      <c r="N1315" s="2" t="s">
        <v>21</v>
      </c>
    </row>
    <row r="1316" ht="15.75" customHeight="1">
      <c r="A1316" s="2">
        <v>2013.0</v>
      </c>
      <c r="B1316" s="2" t="s">
        <v>6957</v>
      </c>
      <c r="C1316" s="2" t="s">
        <v>6958</v>
      </c>
      <c r="D1316" s="2" t="str">
        <f>"567 277 3001"</f>
        <v>567 277 3001</v>
      </c>
      <c r="E1316" s="2" t="s">
        <v>456</v>
      </c>
      <c r="F1316" s="2" t="s">
        <v>6165</v>
      </c>
      <c r="G1316" s="2" t="str">
        <f>"SR-1839"</f>
        <v>SR-1839</v>
      </c>
      <c r="H1316" s="2" t="s">
        <v>6959</v>
      </c>
      <c r="I1316" s="2" t="s">
        <v>6960</v>
      </c>
      <c r="K1316" s="2" t="s">
        <v>6961</v>
      </c>
      <c r="L1316" s="2" t="s">
        <v>3618</v>
      </c>
      <c r="M1316" s="2">
        <v>8056.0</v>
      </c>
      <c r="N1316" s="2" t="s">
        <v>21</v>
      </c>
    </row>
    <row r="1317" ht="15.75" customHeight="1">
      <c r="A1317" s="2">
        <v>2013.0</v>
      </c>
      <c r="B1317" s="2" t="s">
        <v>6957</v>
      </c>
      <c r="C1317" s="2" t="s">
        <v>6962</v>
      </c>
      <c r="D1317" s="2" t="str">
        <f>"567 277 3430"</f>
        <v>567 277 3430</v>
      </c>
      <c r="E1317" s="2" t="s">
        <v>2361</v>
      </c>
      <c r="F1317" s="2" t="s">
        <v>6165</v>
      </c>
      <c r="G1317" s="2" t="str">
        <f>"SR-1864"</f>
        <v>SR-1864</v>
      </c>
      <c r="H1317" s="2" t="s">
        <v>6963</v>
      </c>
      <c r="I1317" s="2" t="s">
        <v>6960</v>
      </c>
      <c r="K1317" s="2" t="s">
        <v>6961</v>
      </c>
      <c r="L1317" s="2" t="s">
        <v>3618</v>
      </c>
      <c r="M1317" s="2">
        <v>8056.0</v>
      </c>
      <c r="N1317" s="2" t="s">
        <v>21</v>
      </c>
    </row>
    <row r="1318" ht="15.75" customHeight="1">
      <c r="A1318" s="2">
        <v>2013.0</v>
      </c>
      <c r="B1318" s="2" t="s">
        <v>6964</v>
      </c>
      <c r="C1318" s="2" t="s">
        <v>6965</v>
      </c>
      <c r="D1318" s="2" t="str">
        <f>"7042257706"</f>
        <v>7042257706</v>
      </c>
      <c r="E1318" s="2" t="s">
        <v>2941</v>
      </c>
      <c r="F1318" s="2" t="s">
        <v>6966</v>
      </c>
      <c r="G1318" s="2" t="str">
        <f>"SR-1827"</f>
        <v>SR-1827</v>
      </c>
      <c r="H1318" s="2" t="s">
        <v>6967</v>
      </c>
      <c r="I1318" s="2">
        <v>603.0</v>
      </c>
      <c r="J1318" s="2" t="s">
        <v>6968</v>
      </c>
      <c r="K1318" s="2" t="s">
        <v>4519</v>
      </c>
      <c r="L1318" s="2" t="s">
        <v>20</v>
      </c>
      <c r="M1318" s="2">
        <v>28112.0</v>
      </c>
      <c r="N1318" s="2" t="s">
        <v>21</v>
      </c>
    </row>
    <row r="1319" ht="15.75" customHeight="1">
      <c r="A1319" s="2">
        <v>2013.0</v>
      </c>
      <c r="B1319" s="2" t="s">
        <v>6969</v>
      </c>
      <c r="C1319" s="2" t="s">
        <v>6969</v>
      </c>
      <c r="D1319" s="2" t="str">
        <f>"3034307052"</f>
        <v>3034307052</v>
      </c>
      <c r="E1319" s="2" t="s">
        <v>5489</v>
      </c>
      <c r="F1319" s="2" t="s">
        <v>6970</v>
      </c>
      <c r="G1319" s="2" t="str">
        <f>"SR-1866"</f>
        <v>SR-1866</v>
      </c>
      <c r="H1319" s="2" t="s">
        <v>6971</v>
      </c>
      <c r="I1319" s="2" t="s">
        <v>6972</v>
      </c>
      <c r="K1319" s="2" t="s">
        <v>6915</v>
      </c>
      <c r="L1319" s="2" t="s">
        <v>157</v>
      </c>
      <c r="M1319" s="2">
        <v>80031.0</v>
      </c>
      <c r="N1319" s="2" t="s">
        <v>21</v>
      </c>
    </row>
    <row r="1320" ht="15.75" customHeight="1">
      <c r="A1320" s="2">
        <v>2013.0</v>
      </c>
      <c r="B1320" s="2" t="s">
        <v>6973</v>
      </c>
      <c r="C1320" s="2" t="s">
        <v>6973</v>
      </c>
      <c r="D1320" s="2" t="str">
        <f>"(507)329-5775"</f>
        <v>(507)329-5775</v>
      </c>
      <c r="E1320" s="2" t="s">
        <v>862</v>
      </c>
      <c r="F1320" s="2" t="s">
        <v>6974</v>
      </c>
      <c r="G1320" s="2" t="str">
        <f>"SR-1869"</f>
        <v>SR-1869</v>
      </c>
      <c r="H1320" s="2" t="s">
        <v>6975</v>
      </c>
      <c r="I1320" s="2" t="s">
        <v>6976</v>
      </c>
      <c r="K1320" s="2" t="s">
        <v>6977</v>
      </c>
      <c r="L1320" s="2" t="s">
        <v>62</v>
      </c>
      <c r="M1320" s="2">
        <v>56187.0</v>
      </c>
      <c r="N1320" s="2" t="s">
        <v>21</v>
      </c>
    </row>
    <row r="1321" ht="15.75" customHeight="1">
      <c r="A1321" s="2">
        <v>2013.0</v>
      </c>
      <c r="B1321" s="2" t="s">
        <v>6978</v>
      </c>
      <c r="D1321" s="2" t="str">
        <f>"+61 487685915"</f>
        <v>+61 487685915</v>
      </c>
      <c r="E1321" s="2" t="s">
        <v>471</v>
      </c>
      <c r="F1321" s="2" t="s">
        <v>309</v>
      </c>
      <c r="G1321" s="2" t="str">
        <f>"SR-1871"</f>
        <v>SR-1871</v>
      </c>
      <c r="H1321" s="2" t="s">
        <v>6979</v>
      </c>
      <c r="I1321" s="2" t="s">
        <v>6980</v>
      </c>
      <c r="K1321" s="2" t="s">
        <v>6981</v>
      </c>
      <c r="L1321" s="2" t="s">
        <v>6982</v>
      </c>
      <c r="M1321" s="2">
        <v>4211.0</v>
      </c>
      <c r="N1321" s="2" t="s">
        <v>4442</v>
      </c>
    </row>
    <row r="1322" ht="15.75" customHeight="1">
      <c r="A1322" s="2">
        <v>2013.0</v>
      </c>
      <c r="B1322" s="2" t="s">
        <v>6983</v>
      </c>
      <c r="C1322" s="2" t="s">
        <v>6984</v>
      </c>
      <c r="D1322" s="2" t="str">
        <f>"757 471 9615"</f>
        <v>757 471 9615</v>
      </c>
      <c r="E1322" s="2" t="s">
        <v>580</v>
      </c>
      <c r="F1322" s="2" t="s">
        <v>6985</v>
      </c>
      <c r="G1322" s="2" t="str">
        <f>"SR-1868"</f>
        <v>SR-1868</v>
      </c>
      <c r="H1322" s="2" t="s">
        <v>6986</v>
      </c>
      <c r="I1322" s="2" t="s">
        <v>6987</v>
      </c>
      <c r="K1322" s="2" t="s">
        <v>6988</v>
      </c>
      <c r="L1322" s="2" t="s">
        <v>165</v>
      </c>
      <c r="M1322" s="2">
        <v>23456.0</v>
      </c>
      <c r="N1322" s="2" t="s">
        <v>21</v>
      </c>
    </row>
    <row r="1323" ht="15.75" customHeight="1">
      <c r="A1323" s="2">
        <v>2013.0</v>
      </c>
      <c r="B1323" s="2" t="s">
        <v>6989</v>
      </c>
      <c r="C1323" s="2" t="s">
        <v>6990</v>
      </c>
      <c r="D1323" s="2" t="str">
        <f>"260-357-5852"</f>
        <v>260-357-5852</v>
      </c>
      <c r="E1323" s="2" t="s">
        <v>6937</v>
      </c>
      <c r="F1323" s="2" t="s">
        <v>6991</v>
      </c>
      <c r="G1323" s="2" t="str">
        <f>"SR-1867"</f>
        <v>SR-1867</v>
      </c>
      <c r="H1323" s="2" t="s">
        <v>6992</v>
      </c>
      <c r="I1323" s="2" t="s">
        <v>6993</v>
      </c>
      <c r="K1323" s="2" t="s">
        <v>6994</v>
      </c>
      <c r="L1323" s="2" t="s">
        <v>149</v>
      </c>
      <c r="M1323" s="2">
        <v>46710.0</v>
      </c>
      <c r="N1323" s="2" t="s">
        <v>21</v>
      </c>
    </row>
    <row r="1324" ht="15.75" customHeight="1">
      <c r="A1324" s="2">
        <v>2013.0</v>
      </c>
      <c r="B1324" s="2" t="s">
        <v>6995</v>
      </c>
      <c r="C1324" s="2" t="s">
        <v>6995</v>
      </c>
      <c r="D1324" s="2" t="str">
        <f>"423-280-2156"</f>
        <v>423-280-2156</v>
      </c>
      <c r="E1324" s="2" t="s">
        <v>1243</v>
      </c>
      <c r="F1324" s="2" t="s">
        <v>275</v>
      </c>
      <c r="G1324" s="2" t="str">
        <f>"SR-1674"</f>
        <v>SR-1674</v>
      </c>
      <c r="H1324" s="2" t="s">
        <v>6996</v>
      </c>
      <c r="I1324" s="2" t="s">
        <v>6997</v>
      </c>
      <c r="K1324" s="2" t="s">
        <v>6998</v>
      </c>
      <c r="L1324" s="2" t="s">
        <v>157</v>
      </c>
      <c r="M1324" s="2">
        <v>80829.0</v>
      </c>
      <c r="N1324" s="2" t="s">
        <v>21</v>
      </c>
    </row>
    <row r="1325" ht="15.75" customHeight="1">
      <c r="A1325" s="2">
        <v>2013.0</v>
      </c>
      <c r="B1325" s="2" t="s">
        <v>6999</v>
      </c>
      <c r="C1325" s="2" t="s">
        <v>6999</v>
      </c>
      <c r="D1325" s="2" t="str">
        <f>"(907) 854-4447"</f>
        <v>(907) 854-4447</v>
      </c>
      <c r="E1325" s="2" t="s">
        <v>7000</v>
      </c>
      <c r="F1325" s="2" t="s">
        <v>1726</v>
      </c>
      <c r="G1325" s="2" t="str">
        <f>"SR-529"</f>
        <v>SR-529</v>
      </c>
      <c r="H1325" s="2" t="s">
        <v>7001</v>
      </c>
      <c r="I1325" s="2" t="s">
        <v>7002</v>
      </c>
      <c r="K1325" s="2" t="s">
        <v>1336</v>
      </c>
      <c r="L1325" s="2" t="s">
        <v>70</v>
      </c>
      <c r="M1325" s="2">
        <v>99669.0</v>
      </c>
      <c r="N1325" s="2" t="s">
        <v>21</v>
      </c>
    </row>
    <row r="1326" ht="15.75" customHeight="1">
      <c r="A1326" s="2">
        <v>2013.0</v>
      </c>
      <c r="B1326" s="2" t="s">
        <v>7003</v>
      </c>
      <c r="D1326" s="2" t="str">
        <f>"605-224-9245"</f>
        <v>605-224-9245</v>
      </c>
      <c r="E1326" s="2" t="s">
        <v>1642</v>
      </c>
      <c r="F1326" s="2" t="s">
        <v>7004</v>
      </c>
      <c r="G1326" s="2" t="str">
        <f>"SR-1847"</f>
        <v>SR-1847</v>
      </c>
      <c r="H1326" s="2" t="s">
        <v>7005</v>
      </c>
      <c r="I1326" s="2" t="s">
        <v>7006</v>
      </c>
      <c r="K1326" s="2" t="s">
        <v>4355</v>
      </c>
      <c r="L1326" s="2" t="s">
        <v>920</v>
      </c>
      <c r="M1326" s="2">
        <v>57501.0</v>
      </c>
      <c r="N1326" s="2" t="s">
        <v>21</v>
      </c>
    </row>
    <row r="1327" ht="15.75" customHeight="1">
      <c r="A1327" s="2">
        <v>2013.0</v>
      </c>
      <c r="B1327" s="2" t="s">
        <v>7007</v>
      </c>
      <c r="C1327" s="2" t="s">
        <v>7008</v>
      </c>
      <c r="D1327" s="2" t="str">
        <f>"678-777-9670"</f>
        <v>678-777-9670</v>
      </c>
      <c r="E1327" s="2" t="s">
        <v>7009</v>
      </c>
      <c r="F1327" s="2" t="s">
        <v>529</v>
      </c>
      <c r="G1327" s="2" t="str">
        <f>"SR-633"</f>
        <v>SR-633</v>
      </c>
      <c r="H1327" s="2" t="s">
        <v>7010</v>
      </c>
      <c r="I1327" s="2" t="s">
        <v>7011</v>
      </c>
      <c r="K1327" s="2" t="s">
        <v>7012</v>
      </c>
      <c r="L1327" s="2" t="s">
        <v>200</v>
      </c>
      <c r="M1327" s="2">
        <v>30005.0</v>
      </c>
      <c r="N1327" s="2" t="s">
        <v>21</v>
      </c>
    </row>
    <row r="1328" ht="15.75" customHeight="1">
      <c r="A1328" s="2">
        <v>2013.0</v>
      </c>
      <c r="B1328" s="2" t="s">
        <v>7013</v>
      </c>
      <c r="C1328" s="2" t="s">
        <v>7014</v>
      </c>
      <c r="D1328" s="2" t="str">
        <f>"(360)468-3374"</f>
        <v>(360)468-3374</v>
      </c>
      <c r="E1328" s="2" t="s">
        <v>167</v>
      </c>
      <c r="F1328" s="2" t="s">
        <v>847</v>
      </c>
      <c r="G1328" s="2" t="str">
        <f>"SR-1850"</f>
        <v>SR-1850</v>
      </c>
      <c r="H1328" s="2" t="s">
        <v>7015</v>
      </c>
      <c r="I1328" s="2" t="s">
        <v>7016</v>
      </c>
      <c r="K1328" s="2" t="s">
        <v>7017</v>
      </c>
      <c r="L1328" s="2" t="s">
        <v>86</v>
      </c>
      <c r="M1328" s="2">
        <v>98286.0</v>
      </c>
      <c r="N1328" s="2" t="s">
        <v>21</v>
      </c>
    </row>
    <row r="1329" ht="15.75" customHeight="1">
      <c r="A1329" s="2">
        <v>2013.0</v>
      </c>
      <c r="B1329" s="2" t="s">
        <v>7018</v>
      </c>
      <c r="C1329" s="2" t="s">
        <v>7019</v>
      </c>
      <c r="D1329" s="2" t="str">
        <f>"4056830274"</f>
        <v>4056830274</v>
      </c>
      <c r="E1329" s="2" t="s">
        <v>659</v>
      </c>
      <c r="F1329" s="2" t="s">
        <v>7020</v>
      </c>
      <c r="G1329" s="2" t="str">
        <f>"SR-1620"</f>
        <v>SR-1620</v>
      </c>
      <c r="H1329" s="2" t="s">
        <v>7021</v>
      </c>
      <c r="I1329" s="2" t="s">
        <v>7022</v>
      </c>
      <c r="K1329" s="2" t="s">
        <v>7023</v>
      </c>
      <c r="L1329" s="2" t="s">
        <v>840</v>
      </c>
      <c r="M1329" s="2">
        <v>74849.0</v>
      </c>
      <c r="N1329" s="2" t="s">
        <v>21</v>
      </c>
    </row>
    <row r="1330" ht="15.75" customHeight="1">
      <c r="A1330" s="2">
        <v>2013.0</v>
      </c>
      <c r="B1330" s="2" t="s">
        <v>7024</v>
      </c>
      <c r="C1330" s="2" t="s">
        <v>7024</v>
      </c>
      <c r="D1330" s="2" t="str">
        <f>"386-364-6933"</f>
        <v>386-364-6933</v>
      </c>
      <c r="E1330" s="2" t="s">
        <v>908</v>
      </c>
      <c r="F1330" s="2" t="s">
        <v>89</v>
      </c>
      <c r="G1330" s="2" t="str">
        <f>"SR-1863"</f>
        <v>SR-1863</v>
      </c>
      <c r="H1330" s="2" t="s">
        <v>7025</v>
      </c>
      <c r="I1330" s="2" t="s">
        <v>7026</v>
      </c>
      <c r="K1330" s="2" t="s">
        <v>5162</v>
      </c>
      <c r="L1330" s="2" t="s">
        <v>208</v>
      </c>
      <c r="M1330" s="2">
        <v>32060.0</v>
      </c>
      <c r="N1330" s="2" t="s">
        <v>21</v>
      </c>
    </row>
    <row r="1331" ht="15.75" customHeight="1">
      <c r="A1331" s="2">
        <v>2013.0</v>
      </c>
      <c r="B1331" s="2" t="s">
        <v>7027</v>
      </c>
      <c r="D1331" s="2" t="str">
        <f>"616-490-2019"</f>
        <v>616-490-2019</v>
      </c>
      <c r="E1331" s="2" t="s">
        <v>6937</v>
      </c>
      <c r="F1331" s="2" t="s">
        <v>7028</v>
      </c>
      <c r="G1331" s="2" t="str">
        <f>"SR-1885"</f>
        <v>SR-1885</v>
      </c>
      <c r="H1331" s="2" t="s">
        <v>7029</v>
      </c>
      <c r="I1331" s="2" t="s">
        <v>7030</v>
      </c>
      <c r="K1331" s="2" t="s">
        <v>40</v>
      </c>
      <c r="L1331" s="2" t="s">
        <v>29</v>
      </c>
      <c r="M1331" s="2">
        <v>49546.0</v>
      </c>
      <c r="N1331" s="2" t="s">
        <v>21</v>
      </c>
    </row>
    <row r="1332" ht="15.75" customHeight="1">
      <c r="A1332" s="2">
        <v>2013.0</v>
      </c>
      <c r="B1332" s="2" t="s">
        <v>7031</v>
      </c>
      <c r="D1332" s="2" t="str">
        <f>"504-304-0423"</f>
        <v>504-304-0423</v>
      </c>
      <c r="E1332" s="2" t="s">
        <v>7032</v>
      </c>
      <c r="F1332" s="2" t="s">
        <v>7033</v>
      </c>
      <c r="G1332" s="2" t="str">
        <f>"SR-1718"</f>
        <v>SR-1718</v>
      </c>
      <c r="H1332" s="2" t="s">
        <v>7034</v>
      </c>
      <c r="I1332" s="2" t="s">
        <v>7035</v>
      </c>
      <c r="K1332" s="2" t="s">
        <v>7036</v>
      </c>
      <c r="L1332" s="2" t="s">
        <v>715</v>
      </c>
      <c r="M1332" s="2">
        <v>70131.0</v>
      </c>
      <c r="N1332" s="2" t="s">
        <v>21</v>
      </c>
    </row>
    <row r="1333" ht="15.75" customHeight="1">
      <c r="A1333" s="2">
        <v>2013.0</v>
      </c>
      <c r="B1333" s="2" t="s">
        <v>7037</v>
      </c>
      <c r="C1333" s="2" t="s">
        <v>7038</v>
      </c>
      <c r="D1333" s="2" t="str">
        <f>"2525655435"</f>
        <v>2525655435</v>
      </c>
      <c r="E1333" s="2" t="s">
        <v>225</v>
      </c>
      <c r="F1333" s="2" t="s">
        <v>7039</v>
      </c>
      <c r="G1333" s="2" t="str">
        <f>"SR-1881"</f>
        <v>SR-1881</v>
      </c>
      <c r="H1333" s="2" t="s">
        <v>7040</v>
      </c>
      <c r="I1333" s="2">
        <v>4228.0</v>
      </c>
      <c r="K1333" s="2" t="s">
        <v>54</v>
      </c>
      <c r="L1333" s="2" t="s">
        <v>20</v>
      </c>
      <c r="M1333" s="2">
        <v>27858.0</v>
      </c>
      <c r="N1333" s="2" t="s">
        <v>21</v>
      </c>
    </row>
    <row r="1334" ht="15.75" customHeight="1">
      <c r="A1334" s="2">
        <v>2013.0</v>
      </c>
      <c r="B1334" s="2" t="s">
        <v>7037</v>
      </c>
      <c r="C1334" s="2" t="s">
        <v>7041</v>
      </c>
      <c r="D1334" s="2" t="str">
        <f>"252 565-5435"</f>
        <v>252 565-5435</v>
      </c>
      <c r="E1334" s="2" t="s">
        <v>7042</v>
      </c>
      <c r="F1334" s="2" t="s">
        <v>7039</v>
      </c>
      <c r="G1334" s="2" t="str">
        <f>"SR-1882"</f>
        <v>SR-1882</v>
      </c>
      <c r="H1334" s="2" t="s">
        <v>7043</v>
      </c>
      <c r="I1334" s="2" t="s">
        <v>7044</v>
      </c>
      <c r="K1334" s="2" t="s">
        <v>54</v>
      </c>
      <c r="L1334" s="2" t="s">
        <v>20</v>
      </c>
      <c r="M1334" s="2">
        <v>27858.0</v>
      </c>
      <c r="N1334" s="2" t="s">
        <v>21</v>
      </c>
    </row>
    <row r="1335" ht="15.75" customHeight="1">
      <c r="A1335" s="2">
        <v>2013.0</v>
      </c>
      <c r="B1335" s="2" t="s">
        <v>7045</v>
      </c>
      <c r="C1335" s="2" t="s">
        <v>7045</v>
      </c>
      <c r="D1335" s="2" t="str">
        <f>"(970) 692-1760"</f>
        <v>(970) 692-1760</v>
      </c>
      <c r="E1335" s="2" t="s">
        <v>7046</v>
      </c>
      <c r="F1335" s="2" t="s">
        <v>7047</v>
      </c>
      <c r="G1335" s="2" t="str">
        <f>"SR-1820"</f>
        <v>SR-1820</v>
      </c>
      <c r="H1335" s="2" t="s">
        <v>7048</v>
      </c>
      <c r="I1335" s="2" t="s">
        <v>7049</v>
      </c>
      <c r="K1335" s="2" t="s">
        <v>1632</v>
      </c>
      <c r="L1335" s="2" t="s">
        <v>157</v>
      </c>
      <c r="M1335" s="2">
        <v>80550.0</v>
      </c>
      <c r="N1335" s="2" t="s">
        <v>21</v>
      </c>
    </row>
    <row r="1336" ht="15.75" customHeight="1">
      <c r="A1336" s="2">
        <v>2013.0</v>
      </c>
      <c r="B1336" s="2" t="s">
        <v>7050</v>
      </c>
      <c r="C1336" s="2" t="s">
        <v>7050</v>
      </c>
      <c r="D1336" s="2" t="str">
        <f>"5037780213"</f>
        <v>5037780213</v>
      </c>
      <c r="E1336" s="2" t="s">
        <v>7051</v>
      </c>
      <c r="F1336" s="2" t="s">
        <v>7052</v>
      </c>
      <c r="G1336" s="2" t="str">
        <f>"SR-585"</f>
        <v>SR-585</v>
      </c>
      <c r="H1336" s="2" t="s">
        <v>7053</v>
      </c>
      <c r="I1336" s="2" t="s">
        <v>7054</v>
      </c>
      <c r="K1336" s="2" t="s">
        <v>7055</v>
      </c>
      <c r="L1336" s="2" t="s">
        <v>208</v>
      </c>
      <c r="M1336" s="2">
        <v>32615.0</v>
      </c>
      <c r="N1336" s="2" t="s">
        <v>21</v>
      </c>
    </row>
    <row r="1337" ht="15.75" customHeight="1">
      <c r="A1337" s="2">
        <v>2013.0</v>
      </c>
      <c r="B1337" s="2" t="s">
        <v>7056</v>
      </c>
      <c r="C1337" s="2" t="s">
        <v>7056</v>
      </c>
      <c r="D1337" s="2" t="str">
        <f>"6015721516"</f>
        <v>6015721516</v>
      </c>
      <c r="E1337" s="2" t="s">
        <v>1548</v>
      </c>
      <c r="F1337" s="2" t="s">
        <v>7057</v>
      </c>
      <c r="G1337" s="2" t="str">
        <f>"SR-1664"</f>
        <v>SR-1664</v>
      </c>
      <c r="H1337" s="2" t="s">
        <v>7058</v>
      </c>
      <c r="I1337" s="2" t="s">
        <v>7059</v>
      </c>
      <c r="K1337" s="2" t="s">
        <v>659</v>
      </c>
      <c r="L1337" s="2" t="s">
        <v>1722</v>
      </c>
      <c r="M1337" s="2">
        <v>39110.0</v>
      </c>
      <c r="N1337" s="2" t="s">
        <v>21</v>
      </c>
    </row>
    <row r="1338" ht="15.75" customHeight="1">
      <c r="A1338" s="2">
        <v>2013.0</v>
      </c>
      <c r="B1338" s="2" t="s">
        <v>7060</v>
      </c>
      <c r="C1338" s="2" t="s">
        <v>7061</v>
      </c>
      <c r="D1338" s="2" t="str">
        <f>"303-907-4996"</f>
        <v>303-907-4996</v>
      </c>
      <c r="E1338" s="2" t="s">
        <v>843</v>
      </c>
      <c r="F1338" s="2" t="s">
        <v>7062</v>
      </c>
      <c r="G1338" s="2" t="str">
        <f>"SR-1657"</f>
        <v>SR-1657</v>
      </c>
      <c r="H1338" s="2" t="s">
        <v>7063</v>
      </c>
      <c r="I1338" s="2" t="s">
        <v>7064</v>
      </c>
      <c r="K1338" s="2" t="s">
        <v>992</v>
      </c>
      <c r="L1338" s="2" t="s">
        <v>157</v>
      </c>
      <c r="M1338" s="2">
        <v>80122.0</v>
      </c>
      <c r="N1338" s="2" t="s">
        <v>21</v>
      </c>
    </row>
    <row r="1339" ht="15.75" customHeight="1">
      <c r="A1339" s="2">
        <v>2013.0</v>
      </c>
      <c r="B1339" s="2" t="s">
        <v>7065</v>
      </c>
      <c r="C1339" s="2" t="s">
        <v>7065</v>
      </c>
      <c r="D1339" s="2" t="str">
        <f>"763-516-2653"</f>
        <v>763-516-2653</v>
      </c>
      <c r="E1339" s="2" t="s">
        <v>596</v>
      </c>
      <c r="F1339" s="2" t="s">
        <v>7066</v>
      </c>
      <c r="G1339" s="2" t="str">
        <f>"SR-1613"</f>
        <v>SR-1613</v>
      </c>
      <c r="H1339" s="2" t="s">
        <v>7067</v>
      </c>
      <c r="I1339" s="2" t="s">
        <v>7068</v>
      </c>
      <c r="K1339" s="2" t="s">
        <v>2909</v>
      </c>
      <c r="L1339" s="2" t="s">
        <v>62</v>
      </c>
      <c r="M1339" s="2">
        <v>55441.0</v>
      </c>
      <c r="N1339" s="2" t="s">
        <v>21</v>
      </c>
    </row>
    <row r="1340" ht="15.75" customHeight="1">
      <c r="A1340" s="2">
        <v>2013.0</v>
      </c>
      <c r="B1340" s="2" t="s">
        <v>7069</v>
      </c>
      <c r="C1340" s="2" t="s">
        <v>7069</v>
      </c>
      <c r="D1340" s="2" t="str">
        <f>"225-324-9746"</f>
        <v>225-324-9746</v>
      </c>
      <c r="E1340" s="2" t="s">
        <v>373</v>
      </c>
      <c r="F1340" s="2" t="s">
        <v>7070</v>
      </c>
      <c r="G1340" s="2" t="str">
        <f>"SR-1389"</f>
        <v>SR-1389</v>
      </c>
      <c r="H1340" s="2" t="s">
        <v>7071</v>
      </c>
      <c r="I1340" s="2" t="s">
        <v>7072</v>
      </c>
      <c r="K1340" s="2" t="s">
        <v>3654</v>
      </c>
      <c r="L1340" s="2" t="s">
        <v>715</v>
      </c>
      <c r="M1340" s="2">
        <v>70808.0</v>
      </c>
      <c r="N1340" s="2" t="s">
        <v>21</v>
      </c>
    </row>
    <row r="1341" ht="15.75" customHeight="1">
      <c r="A1341" s="2">
        <v>2013.0</v>
      </c>
      <c r="B1341" s="2" t="s">
        <v>7073</v>
      </c>
      <c r="C1341" s="2" t="s">
        <v>7074</v>
      </c>
      <c r="D1341" s="2" t="str">
        <f>"405-584-1624"</f>
        <v>405-584-1624</v>
      </c>
      <c r="E1341" s="2" t="s">
        <v>6526</v>
      </c>
      <c r="F1341" s="2" t="s">
        <v>3903</v>
      </c>
      <c r="G1341" s="2" t="str">
        <f>"SR-1624"</f>
        <v>SR-1624</v>
      </c>
      <c r="H1341" s="2" t="s">
        <v>7075</v>
      </c>
      <c r="I1341" s="2" t="s">
        <v>7076</v>
      </c>
      <c r="K1341" s="2" t="s">
        <v>7023</v>
      </c>
      <c r="L1341" s="2" t="s">
        <v>840</v>
      </c>
      <c r="M1341" s="2">
        <v>74849.0</v>
      </c>
      <c r="N1341" s="2" t="s">
        <v>21</v>
      </c>
    </row>
    <row r="1342" ht="15.75" customHeight="1">
      <c r="A1342" s="2">
        <v>2013.0</v>
      </c>
      <c r="B1342" s="2" t="s">
        <v>7077</v>
      </c>
      <c r="C1342" s="2" t="s">
        <v>7077</v>
      </c>
      <c r="D1342" s="2" t="str">
        <f>"806-778-3661"</f>
        <v>806-778-3661</v>
      </c>
      <c r="E1342" s="2" t="s">
        <v>7078</v>
      </c>
      <c r="F1342" s="2" t="s">
        <v>7079</v>
      </c>
      <c r="G1342" s="2" t="str">
        <f>"SR-386"</f>
        <v>SR-386</v>
      </c>
      <c r="H1342" s="2" t="s">
        <v>7080</v>
      </c>
      <c r="I1342" s="2" t="s">
        <v>7081</v>
      </c>
      <c r="K1342" s="2" t="s">
        <v>1121</v>
      </c>
      <c r="L1342" s="2" t="s">
        <v>172</v>
      </c>
      <c r="M1342" s="2">
        <v>79413.0</v>
      </c>
      <c r="N1342" s="2" t="s">
        <v>21</v>
      </c>
    </row>
    <row r="1343" ht="15.75" customHeight="1">
      <c r="A1343" s="2">
        <v>2013.0</v>
      </c>
      <c r="B1343" s="2" t="s">
        <v>7082</v>
      </c>
      <c r="C1343" s="2" t="s">
        <v>7083</v>
      </c>
      <c r="D1343" s="2" t="str">
        <f>"432 260 9950"</f>
        <v>432 260 9950</v>
      </c>
      <c r="E1343" s="2" t="s">
        <v>718</v>
      </c>
      <c r="F1343" s="2" t="s">
        <v>6793</v>
      </c>
      <c r="G1343" s="2" t="str">
        <f>"SR-1652"</f>
        <v>SR-1652</v>
      </c>
      <c r="H1343" s="2" t="s">
        <v>7084</v>
      </c>
      <c r="I1343" s="2" t="s">
        <v>7085</v>
      </c>
      <c r="K1343" s="2" t="s">
        <v>286</v>
      </c>
      <c r="L1343" s="2" t="s">
        <v>172</v>
      </c>
      <c r="M1343" s="2">
        <v>79705.0</v>
      </c>
      <c r="N1343" s="2" t="s">
        <v>21</v>
      </c>
    </row>
    <row r="1344" ht="15.75" customHeight="1">
      <c r="A1344" s="2">
        <v>2013.0</v>
      </c>
      <c r="B1344" s="2" t="s">
        <v>7082</v>
      </c>
      <c r="C1344" s="2" t="s">
        <v>7086</v>
      </c>
      <c r="D1344" s="2" t="str">
        <f>"432 770-7452"</f>
        <v>432 770-7452</v>
      </c>
      <c r="E1344" s="2" t="s">
        <v>1585</v>
      </c>
      <c r="F1344" s="2" t="s">
        <v>7087</v>
      </c>
      <c r="G1344" s="2" t="str">
        <f>"SR-1651"</f>
        <v>SR-1651</v>
      </c>
      <c r="H1344" s="2" t="s">
        <v>7088</v>
      </c>
      <c r="I1344" s="2" t="s">
        <v>7089</v>
      </c>
      <c r="K1344" s="2" t="s">
        <v>286</v>
      </c>
      <c r="L1344" s="2" t="s">
        <v>172</v>
      </c>
      <c r="M1344" s="2">
        <v>79707.0</v>
      </c>
      <c r="N1344" s="2" t="s">
        <v>21</v>
      </c>
    </row>
    <row r="1345" ht="15.75" customHeight="1">
      <c r="A1345" s="2">
        <v>2013.0</v>
      </c>
      <c r="B1345" s="2" t="s">
        <v>7090</v>
      </c>
      <c r="C1345" s="2" t="s">
        <v>7090</v>
      </c>
      <c r="D1345" s="2" t="str">
        <f>"(913) 850-4657"</f>
        <v>(913) 850-4657</v>
      </c>
      <c r="E1345" s="2" t="s">
        <v>1208</v>
      </c>
      <c r="F1345" s="2" t="s">
        <v>7091</v>
      </c>
      <c r="G1345" s="2" t="str">
        <f>"SR-1779"</f>
        <v>SR-1779</v>
      </c>
      <c r="H1345" s="2" t="s">
        <v>7092</v>
      </c>
      <c r="I1345" s="2" t="s">
        <v>7093</v>
      </c>
      <c r="K1345" s="2" t="s">
        <v>1067</v>
      </c>
      <c r="L1345" s="2" t="s">
        <v>272</v>
      </c>
      <c r="M1345" s="2">
        <v>66062.0</v>
      </c>
      <c r="N1345" s="2" t="s">
        <v>21</v>
      </c>
    </row>
    <row r="1346" ht="15.75" customHeight="1">
      <c r="A1346" s="2">
        <v>2013.0</v>
      </c>
      <c r="B1346" s="2" t="s">
        <v>7094</v>
      </c>
      <c r="C1346" s="2" t="s">
        <v>7094</v>
      </c>
      <c r="D1346" s="2" t="str">
        <f>"913-451-1421"</f>
        <v>913-451-1421</v>
      </c>
      <c r="E1346" s="2" t="s">
        <v>7095</v>
      </c>
      <c r="F1346" s="2" t="s">
        <v>7091</v>
      </c>
      <c r="G1346" s="2" t="str">
        <f>"SR-1778"</f>
        <v>SR-1778</v>
      </c>
      <c r="H1346" s="2" t="s">
        <v>7096</v>
      </c>
      <c r="I1346" s="2" t="s">
        <v>7097</v>
      </c>
      <c r="K1346" s="2" t="s">
        <v>1067</v>
      </c>
      <c r="L1346" s="2" t="s">
        <v>272</v>
      </c>
      <c r="M1346" s="2">
        <v>66062.0</v>
      </c>
      <c r="N1346" s="2" t="s">
        <v>21</v>
      </c>
    </row>
    <row r="1347" ht="15.75" customHeight="1">
      <c r="A1347" s="2">
        <v>2013.0</v>
      </c>
      <c r="B1347" s="2" t="s">
        <v>7098</v>
      </c>
      <c r="C1347" s="2" t="s">
        <v>7098</v>
      </c>
      <c r="D1347" s="2" t="str">
        <f>"3052153378"</f>
        <v>3052153378</v>
      </c>
      <c r="E1347" s="2" t="s">
        <v>144</v>
      </c>
      <c r="F1347" s="2" t="s">
        <v>645</v>
      </c>
      <c r="G1347" s="2" t="str">
        <f>"SR-1767"</f>
        <v>SR-1767</v>
      </c>
      <c r="H1347" s="2" t="s">
        <v>7099</v>
      </c>
      <c r="I1347" s="2" t="s">
        <v>7100</v>
      </c>
      <c r="K1347" s="2" t="s">
        <v>2211</v>
      </c>
      <c r="L1347" s="2" t="s">
        <v>208</v>
      </c>
      <c r="M1347" s="2">
        <v>33157.0</v>
      </c>
      <c r="N1347" s="2" t="s">
        <v>21</v>
      </c>
    </row>
    <row r="1348" ht="15.75" customHeight="1">
      <c r="A1348" s="2">
        <v>2013.0</v>
      </c>
      <c r="B1348" s="2" t="s">
        <v>7101</v>
      </c>
      <c r="C1348" s="2" t="s">
        <v>7101</v>
      </c>
      <c r="D1348" s="2" t="str">
        <f>"719-495-6503"</f>
        <v>719-495-6503</v>
      </c>
      <c r="E1348" s="2" t="s">
        <v>4437</v>
      </c>
      <c r="F1348" s="2" t="s">
        <v>7102</v>
      </c>
      <c r="G1348" s="2" t="str">
        <f>"SR-1895"</f>
        <v>SR-1895</v>
      </c>
      <c r="H1348" s="2" t="s">
        <v>7103</v>
      </c>
      <c r="I1348" s="2" t="s">
        <v>7104</v>
      </c>
      <c r="J1348" s="2" t="s">
        <v>7105</v>
      </c>
      <c r="K1348" s="2" t="s">
        <v>7106</v>
      </c>
      <c r="L1348" s="2" t="s">
        <v>157</v>
      </c>
      <c r="M1348" s="2">
        <v>80831.0</v>
      </c>
      <c r="N1348" s="2" t="s">
        <v>21</v>
      </c>
    </row>
    <row r="1349" ht="15.75" customHeight="1">
      <c r="A1349" s="2">
        <v>2013.0</v>
      </c>
      <c r="B1349" s="2" t="s">
        <v>7107</v>
      </c>
      <c r="C1349" s="2" t="s">
        <v>7108</v>
      </c>
      <c r="D1349" s="2" t="str">
        <f>"970-344-5099"</f>
        <v>970-344-5099</v>
      </c>
      <c r="E1349" s="2" t="s">
        <v>4968</v>
      </c>
      <c r="F1349" s="2" t="s">
        <v>7109</v>
      </c>
      <c r="G1349" s="2" t="str">
        <f>"SR-1091"</f>
        <v>SR-1091</v>
      </c>
      <c r="H1349" s="2" t="s">
        <v>7110</v>
      </c>
      <c r="I1349" s="2" t="s">
        <v>7111</v>
      </c>
      <c r="K1349" s="2" t="s">
        <v>5805</v>
      </c>
      <c r="L1349" s="2" t="s">
        <v>157</v>
      </c>
      <c r="M1349" s="2">
        <v>80513.0</v>
      </c>
      <c r="N1349" s="2" t="s">
        <v>21</v>
      </c>
    </row>
    <row r="1350" ht="15.75" customHeight="1">
      <c r="A1350" s="2">
        <v>2013.0</v>
      </c>
      <c r="B1350" s="2" t="s">
        <v>7112</v>
      </c>
      <c r="C1350" s="2" t="s">
        <v>7112</v>
      </c>
      <c r="D1350" s="2" t="str">
        <f t="shared" ref="D1350:D1351" si="18">"207-949-8462"</f>
        <v>207-949-8462</v>
      </c>
      <c r="E1350" s="2" t="s">
        <v>2930</v>
      </c>
      <c r="F1350" s="2" t="s">
        <v>7113</v>
      </c>
      <c r="G1350" s="2" t="str">
        <f>"SR-1892"</f>
        <v>SR-1892</v>
      </c>
      <c r="H1350" s="2" t="s">
        <v>7114</v>
      </c>
      <c r="I1350" s="2" t="s">
        <v>7115</v>
      </c>
      <c r="K1350" s="2" t="s">
        <v>7116</v>
      </c>
      <c r="L1350" s="2" t="s">
        <v>3737</v>
      </c>
      <c r="M1350" s="2">
        <v>4428.0</v>
      </c>
      <c r="N1350" s="2" t="s">
        <v>21</v>
      </c>
    </row>
    <row r="1351" ht="15.75" customHeight="1">
      <c r="A1351" s="2">
        <v>2013.0</v>
      </c>
      <c r="B1351" s="2" t="s">
        <v>7117</v>
      </c>
      <c r="C1351" s="2" t="s">
        <v>7117</v>
      </c>
      <c r="D1351" s="2" t="str">
        <f t="shared" si="18"/>
        <v>207-949-8462</v>
      </c>
      <c r="E1351" s="2" t="s">
        <v>3037</v>
      </c>
      <c r="F1351" s="2" t="s">
        <v>7113</v>
      </c>
      <c r="G1351" s="2" t="str">
        <f>"SR-1888"</f>
        <v>SR-1888</v>
      </c>
      <c r="H1351" s="2" t="s">
        <v>7118</v>
      </c>
      <c r="I1351" s="2" t="s">
        <v>7115</v>
      </c>
      <c r="K1351" s="2" t="s">
        <v>7116</v>
      </c>
      <c r="L1351" s="2" t="s">
        <v>3737</v>
      </c>
      <c r="M1351" s="2">
        <v>4428.0</v>
      </c>
      <c r="N1351" s="2" t="s">
        <v>21</v>
      </c>
    </row>
    <row r="1352" ht="15.75" customHeight="1">
      <c r="A1352" s="2">
        <v>2013.0</v>
      </c>
      <c r="B1352" s="2" t="s">
        <v>7119</v>
      </c>
      <c r="D1352" s="2" t="str">
        <f t="shared" ref="D1352:D1353" si="19">"541-212-5429"</f>
        <v>541-212-5429</v>
      </c>
      <c r="E1352" s="2" t="s">
        <v>288</v>
      </c>
      <c r="F1352" s="2" t="s">
        <v>6655</v>
      </c>
      <c r="G1352" s="2" t="str">
        <f>"SR-1894"</f>
        <v>SR-1894</v>
      </c>
      <c r="H1352" s="2" t="s">
        <v>7120</v>
      </c>
      <c r="I1352" s="2" t="s">
        <v>7121</v>
      </c>
      <c r="K1352" s="2" t="s">
        <v>7122</v>
      </c>
      <c r="L1352" s="2" t="s">
        <v>2613</v>
      </c>
      <c r="M1352" s="2">
        <v>83660.0</v>
      </c>
      <c r="N1352" s="2" t="s">
        <v>21</v>
      </c>
    </row>
    <row r="1353" ht="15.75" customHeight="1">
      <c r="A1353" s="2">
        <v>2013.0</v>
      </c>
      <c r="B1353" s="2" t="s">
        <v>7119</v>
      </c>
      <c r="C1353" s="2" t="s">
        <v>7119</v>
      </c>
      <c r="D1353" s="2" t="str">
        <f t="shared" si="19"/>
        <v>541-212-5429</v>
      </c>
      <c r="E1353" s="2" t="s">
        <v>7123</v>
      </c>
      <c r="F1353" s="2" t="s">
        <v>6655</v>
      </c>
      <c r="G1353" s="2" t="str">
        <f>"SR-1898"</f>
        <v>SR-1898</v>
      </c>
      <c r="H1353" s="2" t="s">
        <v>7124</v>
      </c>
      <c r="I1353" s="2" t="s">
        <v>7121</v>
      </c>
      <c r="K1353" s="2" t="s">
        <v>7122</v>
      </c>
      <c r="L1353" s="2" t="s">
        <v>2613</v>
      </c>
      <c r="M1353" s="2">
        <v>83660.0</v>
      </c>
      <c r="N1353" s="2" t="s">
        <v>21</v>
      </c>
    </row>
    <row r="1354" ht="15.75" customHeight="1">
      <c r="A1354" s="2">
        <v>2013.0</v>
      </c>
      <c r="B1354" s="2" t="s">
        <v>7125</v>
      </c>
      <c r="D1354" s="2" t="str">
        <f>"239-370-2277"</f>
        <v>239-370-2277</v>
      </c>
      <c r="E1354" s="2" t="s">
        <v>72</v>
      </c>
      <c r="F1354" s="2" t="s">
        <v>7126</v>
      </c>
      <c r="G1354" s="2" t="str">
        <f>"SR-1704"</f>
        <v>SR-1704</v>
      </c>
      <c r="H1354" s="2" t="s">
        <v>7127</v>
      </c>
      <c r="I1354" s="2" t="s">
        <v>7128</v>
      </c>
      <c r="K1354" s="2" t="s">
        <v>5046</v>
      </c>
      <c r="L1354" s="2" t="s">
        <v>208</v>
      </c>
      <c r="M1354" s="2">
        <v>34116.0</v>
      </c>
      <c r="N1354" s="2" t="s">
        <v>21</v>
      </c>
    </row>
    <row r="1355" ht="15.75" customHeight="1">
      <c r="A1355" s="2">
        <v>2013.0</v>
      </c>
      <c r="B1355" s="2" t="s">
        <v>7129</v>
      </c>
      <c r="C1355" s="2" t="s">
        <v>7130</v>
      </c>
      <c r="D1355" s="2" t="str">
        <f>"402-604-0951"</f>
        <v>402-604-0951</v>
      </c>
      <c r="E1355" s="2" t="s">
        <v>167</v>
      </c>
      <c r="F1355" s="2" t="s">
        <v>2350</v>
      </c>
      <c r="G1355" s="2" t="str">
        <f>"SR-1890"</f>
        <v>SR-1890</v>
      </c>
      <c r="H1355" s="2" t="s">
        <v>7131</v>
      </c>
      <c r="I1355" s="2" t="s">
        <v>7132</v>
      </c>
      <c r="K1355" s="2" t="s">
        <v>7133</v>
      </c>
      <c r="L1355" s="2" t="s">
        <v>757</v>
      </c>
      <c r="M1355" s="2">
        <v>68843.0</v>
      </c>
      <c r="N1355" s="2" t="s">
        <v>21</v>
      </c>
    </row>
    <row r="1356" ht="15.75" customHeight="1">
      <c r="A1356" s="2">
        <v>2013.0</v>
      </c>
      <c r="B1356" s="2" t="s">
        <v>7134</v>
      </c>
      <c r="C1356" s="2" t="s">
        <v>7134</v>
      </c>
      <c r="D1356" s="2" t="str">
        <f>"2144696120"</f>
        <v>2144696120</v>
      </c>
      <c r="E1356" s="2" t="s">
        <v>7135</v>
      </c>
      <c r="F1356" s="2" t="s">
        <v>7136</v>
      </c>
      <c r="G1356" s="2" t="str">
        <f>"SR-1218"</f>
        <v>SR-1218</v>
      </c>
      <c r="H1356" s="2" t="s">
        <v>7137</v>
      </c>
      <c r="I1356" s="2" t="s">
        <v>7138</v>
      </c>
      <c r="K1356" s="2" t="s">
        <v>1255</v>
      </c>
      <c r="L1356" s="2" t="s">
        <v>172</v>
      </c>
      <c r="M1356" s="2">
        <v>75243.0</v>
      </c>
      <c r="N1356" s="2" t="s">
        <v>21</v>
      </c>
    </row>
    <row r="1357" ht="15.75" customHeight="1">
      <c r="A1357" s="2">
        <v>2013.0</v>
      </c>
      <c r="B1357" s="2" t="s">
        <v>7139</v>
      </c>
      <c r="C1357" s="2" t="s">
        <v>7139</v>
      </c>
      <c r="D1357" s="2" t="str">
        <f>"703 501-6514"</f>
        <v>703 501-6514</v>
      </c>
      <c r="E1357" s="2" t="s">
        <v>7140</v>
      </c>
      <c r="F1357" s="2" t="s">
        <v>7141</v>
      </c>
      <c r="G1357" s="2" t="str">
        <f>"SR-1896"</f>
        <v>SR-1896</v>
      </c>
      <c r="H1357" s="2" t="s">
        <v>7142</v>
      </c>
      <c r="I1357" s="2" t="s">
        <v>7143</v>
      </c>
      <c r="K1357" s="2" t="s">
        <v>7144</v>
      </c>
      <c r="L1357" s="2" t="s">
        <v>165</v>
      </c>
      <c r="M1357" s="2">
        <v>20112.0</v>
      </c>
      <c r="N1357" s="2" t="s">
        <v>21</v>
      </c>
    </row>
    <row r="1358" ht="15.75" customHeight="1">
      <c r="A1358" s="2">
        <v>2013.0</v>
      </c>
      <c r="B1358" s="2" t="s">
        <v>7139</v>
      </c>
      <c r="C1358" s="2" t="s">
        <v>7139</v>
      </c>
      <c r="D1358" s="2" t="str">
        <f>"703 501 6514"</f>
        <v>703 501 6514</v>
      </c>
      <c r="E1358" s="2" t="s">
        <v>7145</v>
      </c>
      <c r="F1358" s="2" t="s">
        <v>2753</v>
      </c>
      <c r="G1358" s="2" t="str">
        <f>"SR-1906"</f>
        <v>SR-1906</v>
      </c>
      <c r="H1358" s="2" t="s">
        <v>7146</v>
      </c>
      <c r="I1358" s="2" t="s">
        <v>7147</v>
      </c>
      <c r="K1358" s="2" t="s">
        <v>7148</v>
      </c>
      <c r="L1358" s="2" t="s">
        <v>165</v>
      </c>
      <c r="M1358" s="2">
        <v>20112.0</v>
      </c>
      <c r="N1358" s="2" t="s">
        <v>21</v>
      </c>
    </row>
    <row r="1359" ht="15.75" customHeight="1">
      <c r="A1359" s="2">
        <v>2013.0</v>
      </c>
      <c r="B1359" s="2" t="s">
        <v>7149</v>
      </c>
      <c r="C1359" s="2" t="s">
        <v>7150</v>
      </c>
      <c r="D1359" s="2" t="str">
        <f>"520-299-9476"</f>
        <v>520-299-9476</v>
      </c>
      <c r="E1359" s="2" t="s">
        <v>4769</v>
      </c>
      <c r="F1359" s="2" t="s">
        <v>562</v>
      </c>
      <c r="G1359" s="2" t="str">
        <f>"SR-1003"</f>
        <v>SR-1003</v>
      </c>
      <c r="H1359" s="2" t="s">
        <v>7151</v>
      </c>
      <c r="I1359" s="2" t="s">
        <v>7152</v>
      </c>
      <c r="K1359" s="2" t="s">
        <v>5946</v>
      </c>
      <c r="L1359" s="2" t="s">
        <v>422</v>
      </c>
      <c r="M1359" s="2">
        <v>85748.0</v>
      </c>
      <c r="N1359" s="2" t="s">
        <v>21</v>
      </c>
    </row>
    <row r="1360" ht="15.75" customHeight="1">
      <c r="A1360" s="2">
        <v>2013.0</v>
      </c>
      <c r="B1360" s="2" t="s">
        <v>7153</v>
      </c>
      <c r="C1360" s="2" t="s">
        <v>7154</v>
      </c>
      <c r="D1360" s="2" t="str">
        <f>"7203155802"</f>
        <v>7203155802</v>
      </c>
      <c r="E1360" s="2" t="s">
        <v>7155</v>
      </c>
      <c r="F1360" s="2" t="s">
        <v>2753</v>
      </c>
      <c r="G1360" s="2" t="str">
        <f>"SR-1902"</f>
        <v>SR-1902</v>
      </c>
      <c r="H1360" s="2" t="s">
        <v>7156</v>
      </c>
      <c r="I1360" s="2" t="s">
        <v>7157</v>
      </c>
      <c r="K1360" s="2" t="s">
        <v>3588</v>
      </c>
      <c r="L1360" s="2" t="s">
        <v>157</v>
      </c>
      <c r="M1360" s="2">
        <v>80475.0</v>
      </c>
      <c r="N1360" s="2" t="s">
        <v>21</v>
      </c>
    </row>
    <row r="1361" ht="15.75" customHeight="1">
      <c r="A1361" s="2">
        <v>2013.0</v>
      </c>
      <c r="B1361" s="2" t="s">
        <v>7158</v>
      </c>
      <c r="C1361" s="2" t="s">
        <v>7159</v>
      </c>
      <c r="D1361" s="2" t="str">
        <f>"210-497-4445"</f>
        <v>210-497-4445</v>
      </c>
      <c r="E1361" s="2" t="s">
        <v>339</v>
      </c>
      <c r="F1361" s="2" t="s">
        <v>7160</v>
      </c>
      <c r="G1361" s="2" t="str">
        <f>"SR-1891"</f>
        <v>SR-1891</v>
      </c>
      <c r="H1361" s="2" t="s">
        <v>7161</v>
      </c>
      <c r="I1361" s="2" t="s">
        <v>7162</v>
      </c>
      <c r="K1361" s="2" t="s">
        <v>632</v>
      </c>
      <c r="L1361" s="2" t="s">
        <v>172</v>
      </c>
      <c r="M1361" s="2">
        <v>78258.0</v>
      </c>
      <c r="N1361" s="2" t="s">
        <v>21</v>
      </c>
    </row>
    <row r="1362" ht="15.75" customHeight="1">
      <c r="A1362" s="2">
        <v>2013.0</v>
      </c>
      <c r="B1362" s="2" t="s">
        <v>7163</v>
      </c>
      <c r="C1362" s="2" t="s">
        <v>7164</v>
      </c>
      <c r="D1362" s="2" t="str">
        <f>"734-476-4348"</f>
        <v>734-476-4348</v>
      </c>
      <c r="E1362" s="2" t="s">
        <v>1263</v>
      </c>
      <c r="F1362" s="2" t="s">
        <v>7165</v>
      </c>
      <c r="G1362" s="2" t="str">
        <f>"SR-1914"</f>
        <v>SR-1914</v>
      </c>
      <c r="H1362" s="2" t="s">
        <v>7166</v>
      </c>
      <c r="I1362" s="2" t="s">
        <v>7167</v>
      </c>
      <c r="K1362" s="2" t="s">
        <v>7168</v>
      </c>
      <c r="L1362" s="2" t="s">
        <v>29</v>
      </c>
      <c r="M1362" s="2">
        <v>48198.0</v>
      </c>
      <c r="N1362" s="2" t="s">
        <v>21</v>
      </c>
    </row>
    <row r="1363" ht="15.75" customHeight="1">
      <c r="A1363" s="2">
        <v>2013.0</v>
      </c>
      <c r="B1363" s="2" t="s">
        <v>7169</v>
      </c>
      <c r="C1363" s="2" t="s">
        <v>7170</v>
      </c>
      <c r="D1363" s="2" t="str">
        <f>"734-645-0781"</f>
        <v>734-645-0781</v>
      </c>
      <c r="E1363" s="2" t="s">
        <v>453</v>
      </c>
      <c r="F1363" s="2" t="s">
        <v>7171</v>
      </c>
      <c r="G1363" s="2" t="str">
        <f>"SR-1915"</f>
        <v>SR-1915</v>
      </c>
      <c r="H1363" s="2" t="s">
        <v>7172</v>
      </c>
      <c r="I1363" s="2" t="s">
        <v>7173</v>
      </c>
      <c r="K1363" s="2" t="s">
        <v>7174</v>
      </c>
      <c r="L1363" s="2" t="s">
        <v>29</v>
      </c>
      <c r="M1363" s="2">
        <v>48130.0</v>
      </c>
      <c r="N1363" s="2" t="s">
        <v>21</v>
      </c>
    </row>
    <row r="1364" ht="15.75" customHeight="1">
      <c r="A1364" s="2">
        <v>2013.0</v>
      </c>
      <c r="B1364" s="2" t="s">
        <v>7175</v>
      </c>
      <c r="C1364" s="2" t="s">
        <v>7175</v>
      </c>
      <c r="D1364" s="2" t="str">
        <f>"719 203 6036"</f>
        <v>719 203 6036</v>
      </c>
      <c r="E1364" s="2" t="s">
        <v>1141</v>
      </c>
      <c r="F1364" s="2" t="s">
        <v>7176</v>
      </c>
      <c r="G1364" s="2" t="str">
        <f>"SR-1706"</f>
        <v>SR-1706</v>
      </c>
      <c r="H1364" s="2" t="s">
        <v>7177</v>
      </c>
      <c r="I1364" s="2" t="s">
        <v>7178</v>
      </c>
      <c r="K1364" s="2" t="s">
        <v>2098</v>
      </c>
      <c r="L1364" s="2" t="s">
        <v>157</v>
      </c>
      <c r="M1364" s="2">
        <v>80840.0</v>
      </c>
      <c r="N1364" s="2" t="s">
        <v>21</v>
      </c>
    </row>
    <row r="1365" ht="15.75" customHeight="1">
      <c r="A1365" s="2">
        <v>2013.0</v>
      </c>
      <c r="B1365" s="2" t="s">
        <v>7179</v>
      </c>
      <c r="C1365" s="2" t="s">
        <v>7179</v>
      </c>
      <c r="D1365" s="2" t="str">
        <f>"408-371-8483"</f>
        <v>408-371-8483</v>
      </c>
      <c r="E1365" s="2" t="s">
        <v>261</v>
      </c>
      <c r="F1365" s="2" t="s">
        <v>7180</v>
      </c>
      <c r="G1365" s="2" t="str">
        <f>"SR-1905"</f>
        <v>SR-1905</v>
      </c>
      <c r="H1365" s="2" t="s">
        <v>7181</v>
      </c>
      <c r="I1365" s="2" t="s">
        <v>7182</v>
      </c>
      <c r="K1365" s="2" t="s">
        <v>5826</v>
      </c>
      <c r="L1365" s="2" t="s">
        <v>222</v>
      </c>
      <c r="M1365" s="2">
        <v>95124.0</v>
      </c>
      <c r="N1365" s="2" t="s">
        <v>21</v>
      </c>
    </row>
    <row r="1366" ht="15.75" customHeight="1">
      <c r="A1366" s="2">
        <v>2013.0</v>
      </c>
      <c r="B1366" s="2" t="s">
        <v>7183</v>
      </c>
      <c r="C1366" s="2" t="s">
        <v>7184</v>
      </c>
      <c r="D1366" s="2" t="str">
        <f>"937-289-9525"</f>
        <v>937-289-9525</v>
      </c>
      <c r="E1366" s="2" t="s">
        <v>1245</v>
      </c>
      <c r="F1366" s="2" t="s">
        <v>7185</v>
      </c>
      <c r="G1366" s="2" t="str">
        <f>"SR-1802"</f>
        <v>SR-1802</v>
      </c>
      <c r="H1366" s="2" t="s">
        <v>7186</v>
      </c>
      <c r="I1366" s="2" t="s">
        <v>7187</v>
      </c>
      <c r="K1366" s="2" t="s">
        <v>3671</v>
      </c>
      <c r="L1366" s="2" t="s">
        <v>344</v>
      </c>
      <c r="M1366" s="2">
        <v>45113.0</v>
      </c>
      <c r="N1366" s="2" t="s">
        <v>21</v>
      </c>
    </row>
    <row r="1367" ht="15.75" customHeight="1">
      <c r="A1367" s="2">
        <v>2013.0</v>
      </c>
      <c r="B1367" s="2" t="s">
        <v>7188</v>
      </c>
      <c r="C1367" s="2" t="s">
        <v>7188</v>
      </c>
      <c r="D1367" s="2" t="str">
        <f>"3059845521"</f>
        <v>3059845521</v>
      </c>
      <c r="E1367" s="2" t="s">
        <v>1015</v>
      </c>
      <c r="F1367" s="2" t="s">
        <v>7189</v>
      </c>
      <c r="G1367" s="2" t="str">
        <f>"SR-1731"</f>
        <v>SR-1731</v>
      </c>
      <c r="H1367" s="2" t="s">
        <v>7190</v>
      </c>
      <c r="I1367" s="2" t="s">
        <v>7191</v>
      </c>
      <c r="K1367" s="2" t="s">
        <v>7192</v>
      </c>
      <c r="L1367" s="2" t="s">
        <v>208</v>
      </c>
      <c r="M1367" s="2">
        <v>33016.0</v>
      </c>
      <c r="N1367" s="2" t="s">
        <v>21</v>
      </c>
    </row>
    <row r="1368" ht="15.75" customHeight="1">
      <c r="A1368" s="2">
        <v>2013.0</v>
      </c>
      <c r="B1368" s="2" t="s">
        <v>7193</v>
      </c>
      <c r="D1368" s="2" t="str">
        <f>"5058962990"</f>
        <v>5058962990</v>
      </c>
      <c r="E1368" s="2" t="s">
        <v>7194</v>
      </c>
      <c r="F1368" s="2" t="s">
        <v>7195</v>
      </c>
      <c r="G1368" s="2" t="str">
        <f>"SR-1919"</f>
        <v>SR-1919</v>
      </c>
      <c r="H1368" s="2" t="s">
        <v>7196</v>
      </c>
      <c r="I1368" s="2" t="s">
        <v>7197</v>
      </c>
      <c r="K1368" s="2" t="s">
        <v>3803</v>
      </c>
      <c r="L1368" s="2" t="s">
        <v>789</v>
      </c>
      <c r="M1368" s="2">
        <v>87124.0</v>
      </c>
      <c r="N1368" s="2" t="s">
        <v>21</v>
      </c>
    </row>
    <row r="1369" ht="15.75" customHeight="1">
      <c r="A1369" s="2">
        <v>2013.0</v>
      </c>
      <c r="B1369" s="2" t="s">
        <v>7183</v>
      </c>
      <c r="C1369" s="2" t="s">
        <v>7198</v>
      </c>
      <c r="D1369" s="2" t="str">
        <f>"937-289-9525"</f>
        <v>937-289-9525</v>
      </c>
      <c r="E1369" s="2" t="s">
        <v>1114</v>
      </c>
      <c r="F1369" s="2" t="s">
        <v>7185</v>
      </c>
      <c r="G1369" s="2" t="str">
        <f>"SR-1872"</f>
        <v>SR-1872</v>
      </c>
      <c r="H1369" s="2" t="s">
        <v>7199</v>
      </c>
      <c r="I1369" s="2" t="s">
        <v>7187</v>
      </c>
      <c r="K1369" s="2" t="s">
        <v>3671</v>
      </c>
      <c r="L1369" s="2" t="s">
        <v>344</v>
      </c>
      <c r="M1369" s="2">
        <v>45113.0</v>
      </c>
      <c r="N1369" s="2" t="s">
        <v>21</v>
      </c>
    </row>
    <row r="1370" ht="15.75" customHeight="1">
      <c r="A1370" s="2">
        <v>2013.0</v>
      </c>
      <c r="B1370" s="2" t="s">
        <v>7200</v>
      </c>
      <c r="C1370" s="2" t="s">
        <v>7200</v>
      </c>
      <c r="D1370" s="2" t="str">
        <f>"(248) 672-3703"</f>
        <v>(248) 672-3703</v>
      </c>
      <c r="E1370" s="2" t="s">
        <v>7201</v>
      </c>
      <c r="F1370" s="2" t="s">
        <v>283</v>
      </c>
      <c r="G1370" s="2" t="str">
        <f>"SR-1913"</f>
        <v>SR-1913</v>
      </c>
      <c r="H1370" s="2" t="s">
        <v>7202</v>
      </c>
      <c r="I1370" s="2" t="s">
        <v>7203</v>
      </c>
      <c r="K1370" s="2" t="s">
        <v>7204</v>
      </c>
      <c r="L1370" s="2" t="s">
        <v>29</v>
      </c>
      <c r="M1370" s="2">
        <v>49316.0</v>
      </c>
      <c r="N1370" s="2" t="s">
        <v>21</v>
      </c>
    </row>
    <row r="1371" ht="15.75" customHeight="1">
      <c r="A1371" s="2">
        <v>2013.0</v>
      </c>
      <c r="B1371" s="2" t="s">
        <v>7205</v>
      </c>
      <c r="C1371" s="2" t="s">
        <v>7205</v>
      </c>
      <c r="D1371" s="2" t="str">
        <f>"(719) 351-8993"</f>
        <v>(719) 351-8993</v>
      </c>
      <c r="E1371" s="2" t="s">
        <v>36</v>
      </c>
      <c r="F1371" s="2" t="s">
        <v>320</v>
      </c>
      <c r="G1371" s="2" t="str">
        <f>"SR-1884"</f>
        <v>SR-1884</v>
      </c>
      <c r="H1371" s="2" t="s">
        <v>7206</v>
      </c>
      <c r="I1371" s="2" t="s">
        <v>7207</v>
      </c>
      <c r="K1371" s="2" t="s">
        <v>809</v>
      </c>
      <c r="L1371" s="2" t="s">
        <v>157</v>
      </c>
      <c r="M1371" s="2">
        <v>80920.0</v>
      </c>
      <c r="N1371" s="2" t="s">
        <v>21</v>
      </c>
    </row>
    <row r="1372" ht="15.75" customHeight="1">
      <c r="A1372" s="2">
        <v>2013.0</v>
      </c>
      <c r="B1372" s="2" t="s">
        <v>7208</v>
      </c>
      <c r="C1372" s="2" t="s">
        <v>7209</v>
      </c>
      <c r="D1372" s="2" t="str">
        <f>"303-816-1935"</f>
        <v>303-816-1935</v>
      </c>
      <c r="E1372" s="2" t="s">
        <v>7210</v>
      </c>
      <c r="F1372" s="2" t="s">
        <v>7211</v>
      </c>
      <c r="G1372" s="2" t="str">
        <f>"SR-1001"</f>
        <v>SR-1001</v>
      </c>
      <c r="H1372" s="2" t="s">
        <v>7212</v>
      </c>
      <c r="I1372" s="2" t="s">
        <v>7213</v>
      </c>
      <c r="K1372" s="2" t="s">
        <v>1223</v>
      </c>
      <c r="L1372" s="2" t="s">
        <v>157</v>
      </c>
      <c r="M1372" s="2">
        <v>80433.0</v>
      </c>
      <c r="N1372" s="2" t="s">
        <v>21</v>
      </c>
    </row>
    <row r="1373" ht="15.75" customHeight="1">
      <c r="A1373" s="2">
        <v>2013.0</v>
      </c>
      <c r="B1373" s="2" t="s">
        <v>7214</v>
      </c>
      <c r="D1373" s="2" t="str">
        <f>"7703300118"</f>
        <v>7703300118</v>
      </c>
      <c r="E1373" s="2" t="s">
        <v>1810</v>
      </c>
      <c r="F1373" s="2" t="s">
        <v>7215</v>
      </c>
      <c r="G1373" s="2" t="str">
        <f>"SR-1920"</f>
        <v>SR-1920</v>
      </c>
      <c r="H1373" s="2" t="s">
        <v>7216</v>
      </c>
      <c r="I1373" s="2" t="s">
        <v>7217</v>
      </c>
      <c r="K1373" s="2" t="s">
        <v>7218</v>
      </c>
      <c r="L1373" s="2" t="s">
        <v>200</v>
      </c>
      <c r="M1373" s="2">
        <v>30075.0</v>
      </c>
      <c r="N1373" s="2" t="s">
        <v>21</v>
      </c>
    </row>
    <row r="1374" ht="15.75" customHeight="1">
      <c r="A1374" s="2">
        <v>2013.0</v>
      </c>
      <c r="B1374" s="2" t="s">
        <v>7219</v>
      </c>
      <c r="C1374" s="2" t="s">
        <v>7219</v>
      </c>
      <c r="D1374" s="2" t="str">
        <f>"5172422959"</f>
        <v>5172422959</v>
      </c>
      <c r="E1374" s="2" t="s">
        <v>36</v>
      </c>
      <c r="F1374" s="2" t="s">
        <v>1726</v>
      </c>
      <c r="G1374" s="2" t="str">
        <f>"SR-1926"</f>
        <v>SR-1926</v>
      </c>
      <c r="H1374" s="2" t="s">
        <v>7220</v>
      </c>
      <c r="I1374" s="2" t="s">
        <v>7221</v>
      </c>
      <c r="K1374" s="2" t="s">
        <v>6876</v>
      </c>
      <c r="L1374" s="2" t="s">
        <v>29</v>
      </c>
      <c r="M1374" s="2">
        <v>48822.0</v>
      </c>
      <c r="N1374" s="2" t="s">
        <v>21</v>
      </c>
    </row>
    <row r="1375" ht="15.75" customHeight="1">
      <c r="A1375" s="2">
        <v>2013.0</v>
      </c>
      <c r="B1375" s="2" t="s">
        <v>7222</v>
      </c>
      <c r="C1375" s="2" t="s">
        <v>7222</v>
      </c>
      <c r="D1375" s="2" t="str">
        <f>"9035707810"</f>
        <v>9035707810</v>
      </c>
      <c r="E1375" s="2" t="s">
        <v>908</v>
      </c>
      <c r="F1375" s="2" t="s">
        <v>1214</v>
      </c>
      <c r="G1375" s="2" t="str">
        <f>"SR-1889"</f>
        <v>SR-1889</v>
      </c>
      <c r="H1375" s="2" t="s">
        <v>7223</v>
      </c>
      <c r="I1375" s="2" t="s">
        <v>7224</v>
      </c>
      <c r="K1375" s="2" t="s">
        <v>465</v>
      </c>
      <c r="L1375" s="2" t="s">
        <v>172</v>
      </c>
      <c r="M1375" s="2">
        <v>75703.0</v>
      </c>
      <c r="N1375" s="2" t="s">
        <v>21</v>
      </c>
    </row>
    <row r="1376" ht="15.75" customHeight="1">
      <c r="A1376" s="2">
        <v>2013.0</v>
      </c>
      <c r="B1376" s="2" t="s">
        <v>7225</v>
      </c>
      <c r="C1376" s="2" t="s">
        <v>7225</v>
      </c>
      <c r="D1376" s="2" t="str">
        <f>"305-247-8834"</f>
        <v>305-247-8834</v>
      </c>
      <c r="E1376" s="2" t="s">
        <v>144</v>
      </c>
      <c r="F1376" s="2" t="s">
        <v>7226</v>
      </c>
      <c r="G1376" s="2" t="str">
        <f>"SR-1911"</f>
        <v>SR-1911</v>
      </c>
      <c r="H1376" s="2" t="s">
        <v>7227</v>
      </c>
      <c r="I1376" s="2" t="s">
        <v>7228</v>
      </c>
      <c r="K1376" s="2" t="s">
        <v>7229</v>
      </c>
      <c r="L1376" s="2" t="s">
        <v>208</v>
      </c>
      <c r="M1376" s="2">
        <v>33033.0</v>
      </c>
      <c r="N1376" s="2" t="s">
        <v>21</v>
      </c>
    </row>
    <row r="1377" ht="15.75" customHeight="1">
      <c r="A1377" s="2">
        <v>2013.0</v>
      </c>
      <c r="B1377" s="2" t="s">
        <v>7230</v>
      </c>
      <c r="C1377" s="2" t="s">
        <v>7230</v>
      </c>
      <c r="D1377" s="2" t="str">
        <f>"4053872615"</f>
        <v>4053872615</v>
      </c>
      <c r="E1377" s="2" t="s">
        <v>908</v>
      </c>
      <c r="F1377" s="2" t="s">
        <v>2648</v>
      </c>
      <c r="G1377" s="2" t="str">
        <f>"SR-1935"</f>
        <v>SR-1935</v>
      </c>
      <c r="H1377" s="2" t="s">
        <v>7231</v>
      </c>
      <c r="I1377" s="2" t="s">
        <v>7232</v>
      </c>
      <c r="K1377" s="2" t="s">
        <v>7233</v>
      </c>
      <c r="L1377" s="2" t="s">
        <v>840</v>
      </c>
      <c r="M1377" s="2">
        <v>73065.0</v>
      </c>
      <c r="N1377" s="2" t="s">
        <v>21</v>
      </c>
    </row>
    <row r="1378" ht="15.75" customHeight="1">
      <c r="A1378" s="2">
        <v>2013.0</v>
      </c>
      <c r="B1378" s="2" t="s">
        <v>7234</v>
      </c>
      <c r="C1378" s="2" t="s">
        <v>7234</v>
      </c>
      <c r="D1378" s="2" t="str">
        <f>"320-444-5110"</f>
        <v>320-444-5110</v>
      </c>
      <c r="E1378" s="2" t="s">
        <v>908</v>
      </c>
      <c r="F1378" s="2" t="s">
        <v>2770</v>
      </c>
      <c r="G1378" s="2" t="str">
        <f>"SR-29"</f>
        <v>SR-29</v>
      </c>
      <c r="H1378" s="2" t="s">
        <v>7235</v>
      </c>
      <c r="I1378" s="2" t="s">
        <v>7236</v>
      </c>
      <c r="K1378" s="2" t="s">
        <v>7237</v>
      </c>
      <c r="L1378" s="2" t="s">
        <v>62</v>
      </c>
      <c r="M1378" s="2">
        <v>56251.0</v>
      </c>
      <c r="N1378" s="2" t="s">
        <v>21</v>
      </c>
    </row>
    <row r="1379" ht="15.75" customHeight="1">
      <c r="A1379" s="2">
        <v>2013.0</v>
      </c>
      <c r="B1379" s="2" t="s">
        <v>7238</v>
      </c>
      <c r="C1379" s="2" t="s">
        <v>7238</v>
      </c>
      <c r="D1379" s="2" t="str">
        <f>"360-594-7464"</f>
        <v>360-594-7464</v>
      </c>
      <c r="E1379" s="2" t="s">
        <v>1548</v>
      </c>
      <c r="F1379" s="2" t="s">
        <v>386</v>
      </c>
      <c r="G1379" s="2" t="str">
        <f>"SR-1939"</f>
        <v>SR-1939</v>
      </c>
      <c r="H1379" s="2" t="s">
        <v>7239</v>
      </c>
      <c r="I1379" s="2" t="s">
        <v>7240</v>
      </c>
      <c r="K1379" s="2" t="s">
        <v>7241</v>
      </c>
      <c r="L1379" s="2" t="s">
        <v>86</v>
      </c>
      <c r="M1379" s="2">
        <v>98247.0</v>
      </c>
      <c r="N1379" s="2" t="s">
        <v>21</v>
      </c>
    </row>
    <row r="1380" ht="15.75" customHeight="1">
      <c r="A1380" s="2">
        <v>2013.0</v>
      </c>
      <c r="B1380" s="2" t="s">
        <v>7242</v>
      </c>
      <c r="C1380" s="2" t="s">
        <v>7243</v>
      </c>
      <c r="D1380" s="2" t="str">
        <f>"5745369756"</f>
        <v>5745369756</v>
      </c>
      <c r="E1380" s="2" t="s">
        <v>7244</v>
      </c>
      <c r="F1380" s="2" t="s">
        <v>7245</v>
      </c>
      <c r="G1380" s="2" t="str">
        <f>"SR-1940"</f>
        <v>SR-1940</v>
      </c>
      <c r="H1380" s="2" t="s">
        <v>7246</v>
      </c>
      <c r="I1380" s="2" t="s">
        <v>7247</v>
      </c>
      <c r="K1380" s="2" t="s">
        <v>7248</v>
      </c>
      <c r="L1380" s="2" t="s">
        <v>149</v>
      </c>
      <c r="M1380" s="2">
        <v>46540.0</v>
      </c>
      <c r="N1380" s="2" t="s">
        <v>21</v>
      </c>
    </row>
    <row r="1381" ht="15.75" customHeight="1">
      <c r="A1381" s="2">
        <v>2013.0</v>
      </c>
      <c r="B1381" s="2" t="s">
        <v>7249</v>
      </c>
      <c r="C1381" s="2" t="s">
        <v>7250</v>
      </c>
      <c r="D1381" s="2" t="str">
        <f>"757-294-0808"</f>
        <v>757-294-0808</v>
      </c>
      <c r="E1381" s="2" t="s">
        <v>288</v>
      </c>
      <c r="F1381" s="2" t="s">
        <v>7251</v>
      </c>
      <c r="G1381" s="2" t="str">
        <f>"SR-1942"</f>
        <v>SR-1942</v>
      </c>
      <c r="H1381" s="2" t="s">
        <v>7252</v>
      </c>
      <c r="I1381" s="2" t="s">
        <v>7253</v>
      </c>
      <c r="K1381" s="2" t="s">
        <v>7254</v>
      </c>
      <c r="L1381" s="2" t="s">
        <v>165</v>
      </c>
      <c r="M1381" s="2">
        <v>23883.0</v>
      </c>
      <c r="N1381" s="2" t="s">
        <v>21</v>
      </c>
    </row>
    <row r="1382" ht="15.75" customHeight="1">
      <c r="A1382" s="2">
        <v>2013.0</v>
      </c>
      <c r="B1382" s="2" t="s">
        <v>7255</v>
      </c>
      <c r="C1382" s="2" t="s">
        <v>7256</v>
      </c>
      <c r="D1382" s="2" t="str">
        <f>"316-772-0223"</f>
        <v>316-772-0223</v>
      </c>
      <c r="E1382" s="2" t="s">
        <v>7257</v>
      </c>
      <c r="F1382" s="2" t="s">
        <v>7258</v>
      </c>
      <c r="G1382" s="2" t="str">
        <f>"SR-1828"</f>
        <v>SR-1828</v>
      </c>
      <c r="H1382" s="2" t="s">
        <v>7259</v>
      </c>
      <c r="I1382" s="2" t="s">
        <v>7260</v>
      </c>
      <c r="J1382" s="2" t="s">
        <v>7261</v>
      </c>
      <c r="K1382" s="2" t="s">
        <v>7262</v>
      </c>
      <c r="L1382" s="2" t="s">
        <v>272</v>
      </c>
      <c r="M1382" s="2">
        <v>67135.0</v>
      </c>
      <c r="N1382" s="2" t="s">
        <v>21</v>
      </c>
    </row>
    <row r="1383" ht="15.75" customHeight="1">
      <c r="A1383" s="2">
        <v>2013.0</v>
      </c>
      <c r="B1383" s="2" t="s">
        <v>7263</v>
      </c>
      <c r="C1383" s="2" t="s">
        <v>7264</v>
      </c>
      <c r="D1383" s="2" t="str">
        <f>"901-324-3176"</f>
        <v>901-324-3176</v>
      </c>
      <c r="E1383" s="2" t="s">
        <v>2941</v>
      </c>
      <c r="F1383" s="2" t="s">
        <v>7265</v>
      </c>
      <c r="G1383" s="2" t="str">
        <f>"SR-1944"</f>
        <v>SR-1944</v>
      </c>
      <c r="H1383" s="2" t="s">
        <v>7266</v>
      </c>
      <c r="I1383" s="2" t="s">
        <v>7267</v>
      </c>
      <c r="K1383" s="2" t="s">
        <v>5519</v>
      </c>
      <c r="L1383" s="2" t="s">
        <v>279</v>
      </c>
      <c r="M1383" s="2">
        <v>38111.0</v>
      </c>
      <c r="N1383" s="2" t="s">
        <v>21</v>
      </c>
    </row>
    <row r="1384" ht="15.75" customHeight="1">
      <c r="A1384" s="2">
        <v>2013.0</v>
      </c>
      <c r="B1384" s="2" t="s">
        <v>7268</v>
      </c>
      <c r="C1384" s="2" t="s">
        <v>7269</v>
      </c>
      <c r="D1384" s="2" t="str">
        <f>"(214)-284-9969"</f>
        <v>(214)-284-9969</v>
      </c>
      <c r="E1384" s="2" t="s">
        <v>429</v>
      </c>
      <c r="F1384" s="2" t="s">
        <v>3984</v>
      </c>
      <c r="G1384" s="2" t="str">
        <f>"SR-1938"</f>
        <v>SR-1938</v>
      </c>
      <c r="H1384" s="2" t="s">
        <v>7270</v>
      </c>
      <c r="I1384" s="2" t="s">
        <v>7271</v>
      </c>
      <c r="K1384" s="2" t="s">
        <v>4079</v>
      </c>
      <c r="L1384" s="2" t="s">
        <v>172</v>
      </c>
      <c r="M1384" s="2">
        <v>75044.0</v>
      </c>
      <c r="N1384" s="2" t="s">
        <v>21</v>
      </c>
    </row>
    <row r="1385" ht="15.75" customHeight="1">
      <c r="A1385" s="2">
        <v>2013.0</v>
      </c>
      <c r="B1385" s="2" t="s">
        <v>7272</v>
      </c>
      <c r="C1385" s="2" t="s">
        <v>7272</v>
      </c>
      <c r="D1385" s="2" t="str">
        <f>"405-623-6068"</f>
        <v>405-623-6068</v>
      </c>
      <c r="E1385" s="2" t="s">
        <v>7273</v>
      </c>
      <c r="F1385" s="2" t="s">
        <v>7274</v>
      </c>
      <c r="G1385" s="2" t="str">
        <f>"SR-1946"</f>
        <v>SR-1946</v>
      </c>
      <c r="H1385" s="2" t="s">
        <v>7275</v>
      </c>
      <c r="I1385" s="2" t="s">
        <v>7276</v>
      </c>
      <c r="K1385" s="2" t="s">
        <v>2870</v>
      </c>
      <c r="L1385" s="2" t="s">
        <v>840</v>
      </c>
      <c r="M1385" s="2">
        <v>73072.0</v>
      </c>
      <c r="N1385" s="2" t="s">
        <v>21</v>
      </c>
    </row>
    <row r="1386" ht="15.75" customHeight="1">
      <c r="A1386" s="2">
        <v>2013.0</v>
      </c>
      <c r="B1386" s="2" t="s">
        <v>7277</v>
      </c>
      <c r="C1386" s="2" t="s">
        <v>7277</v>
      </c>
      <c r="D1386" s="2" t="str">
        <f>"504-322-6867"</f>
        <v>504-322-6867</v>
      </c>
      <c r="E1386" s="2" t="s">
        <v>7278</v>
      </c>
      <c r="F1386" s="2" t="s">
        <v>7279</v>
      </c>
      <c r="G1386" s="2" t="str">
        <f>"SR-1951"</f>
        <v>SR-1951</v>
      </c>
      <c r="H1386" s="2" t="s">
        <v>7280</v>
      </c>
      <c r="I1386" s="2" t="s">
        <v>7281</v>
      </c>
      <c r="K1386" s="2" t="s">
        <v>4497</v>
      </c>
      <c r="L1386" s="2" t="s">
        <v>715</v>
      </c>
      <c r="M1386" s="2">
        <v>70058.0</v>
      </c>
      <c r="N1386" s="2" t="s">
        <v>21</v>
      </c>
    </row>
    <row r="1387" ht="15.75" customHeight="1">
      <c r="A1387" s="2">
        <v>2013.0</v>
      </c>
      <c r="B1387" s="2" t="s">
        <v>7282</v>
      </c>
      <c r="C1387" s="2" t="s">
        <v>7283</v>
      </c>
      <c r="D1387" s="2" t="str">
        <f>"972-898-0949"</f>
        <v>972-898-0949</v>
      </c>
      <c r="E1387" s="2" t="s">
        <v>2031</v>
      </c>
      <c r="F1387" s="2" t="s">
        <v>7284</v>
      </c>
      <c r="G1387" s="2" t="str">
        <f>"SR-1945"</f>
        <v>SR-1945</v>
      </c>
      <c r="H1387" s="2" t="s">
        <v>7285</v>
      </c>
      <c r="I1387" s="2" t="s">
        <v>7286</v>
      </c>
      <c r="K1387" s="2" t="s">
        <v>4079</v>
      </c>
      <c r="L1387" s="2" t="s">
        <v>172</v>
      </c>
      <c r="M1387" s="2">
        <v>75044.0</v>
      </c>
      <c r="N1387" s="2" t="s">
        <v>21</v>
      </c>
    </row>
    <row r="1388" ht="15.75" customHeight="1">
      <c r="A1388" s="2">
        <v>2013.0</v>
      </c>
      <c r="B1388" s="2" t="s">
        <v>7287</v>
      </c>
      <c r="C1388" s="2" t="s">
        <v>7287</v>
      </c>
      <c r="D1388" s="2" t="str">
        <f>"952-944-6755"</f>
        <v>952-944-6755</v>
      </c>
      <c r="E1388" s="2" t="s">
        <v>678</v>
      </c>
      <c r="F1388" s="2" t="s">
        <v>7288</v>
      </c>
      <c r="G1388" s="2" t="str">
        <f>"SR-843"</f>
        <v>SR-843</v>
      </c>
      <c r="H1388" s="2" t="s">
        <v>7289</v>
      </c>
      <c r="I1388" s="2" t="s">
        <v>7290</v>
      </c>
      <c r="K1388" s="2" t="s">
        <v>3109</v>
      </c>
      <c r="L1388" s="2" t="s">
        <v>62</v>
      </c>
      <c r="M1388" s="2">
        <v>55439.0</v>
      </c>
      <c r="N1388" s="2" t="s">
        <v>21</v>
      </c>
    </row>
    <row r="1389" ht="15.75" customHeight="1">
      <c r="A1389" s="2">
        <v>2013.0</v>
      </c>
      <c r="B1389" s="2" t="s">
        <v>7291</v>
      </c>
      <c r="D1389" s="2" t="str">
        <f>"662-547-9603"</f>
        <v>662-547-9603</v>
      </c>
      <c r="E1389" s="2" t="s">
        <v>7292</v>
      </c>
      <c r="F1389" s="2" t="s">
        <v>7293</v>
      </c>
      <c r="G1389" s="2" t="str">
        <f>"SR-1783"</f>
        <v>SR-1783</v>
      </c>
      <c r="H1389" s="2" t="s">
        <v>7294</v>
      </c>
      <c r="I1389" s="2" t="s">
        <v>7295</v>
      </c>
      <c r="K1389" s="2" t="s">
        <v>7296</v>
      </c>
      <c r="L1389" s="2" t="s">
        <v>1722</v>
      </c>
      <c r="M1389" s="2">
        <v>39108.0</v>
      </c>
      <c r="N1389" s="2" t="s">
        <v>21</v>
      </c>
    </row>
    <row r="1390" ht="15.75" customHeight="1">
      <c r="A1390" s="2">
        <v>2013.0</v>
      </c>
      <c r="B1390" s="2" t="s">
        <v>7297</v>
      </c>
      <c r="C1390" s="2" t="s">
        <v>7298</v>
      </c>
      <c r="D1390" s="2" t="str">
        <f>"903-752-0945"</f>
        <v>903-752-0945</v>
      </c>
      <c r="E1390" s="2" t="s">
        <v>1180</v>
      </c>
      <c r="F1390" s="2" t="s">
        <v>7299</v>
      </c>
      <c r="G1390" s="2" t="str">
        <f>"SR-1958"</f>
        <v>SR-1958</v>
      </c>
      <c r="H1390" s="2" t="s">
        <v>7300</v>
      </c>
      <c r="I1390" s="2" t="s">
        <v>7301</v>
      </c>
      <c r="K1390" s="2" t="s">
        <v>465</v>
      </c>
      <c r="L1390" s="2" t="s">
        <v>172</v>
      </c>
      <c r="M1390" s="2">
        <v>75704.0</v>
      </c>
      <c r="N1390" s="2" t="s">
        <v>21</v>
      </c>
    </row>
    <row r="1391" ht="15.75" customHeight="1">
      <c r="A1391" s="2">
        <v>2013.0</v>
      </c>
      <c r="B1391" s="2" t="s">
        <v>7302</v>
      </c>
      <c r="D1391" s="2" t="str">
        <f t="shared" ref="D1391:D1392" si="20">"270-872-9379"</f>
        <v>270-872-9379</v>
      </c>
      <c r="E1391" s="2" t="s">
        <v>666</v>
      </c>
      <c r="F1391" s="2" t="s">
        <v>7303</v>
      </c>
      <c r="G1391" s="2" t="str">
        <f>"SR-1960"</f>
        <v>SR-1960</v>
      </c>
      <c r="H1391" s="2" t="s">
        <v>7304</v>
      </c>
      <c r="I1391" s="2" t="s">
        <v>7305</v>
      </c>
      <c r="K1391" s="2" t="s">
        <v>7306</v>
      </c>
      <c r="L1391" s="2" t="s">
        <v>1236</v>
      </c>
      <c r="M1391" s="2">
        <v>40175.0</v>
      </c>
      <c r="N1391" s="2" t="s">
        <v>21</v>
      </c>
    </row>
    <row r="1392" ht="15.75" customHeight="1">
      <c r="A1392" s="2">
        <v>2013.0</v>
      </c>
      <c r="B1392" s="2" t="s">
        <v>7302</v>
      </c>
      <c r="D1392" s="2" t="str">
        <f t="shared" si="20"/>
        <v>270-872-9379</v>
      </c>
      <c r="E1392" s="2" t="s">
        <v>7307</v>
      </c>
      <c r="F1392" s="2" t="s">
        <v>7303</v>
      </c>
      <c r="G1392" s="2" t="str">
        <f>"SR-1961"</f>
        <v>SR-1961</v>
      </c>
      <c r="H1392" s="2" t="s">
        <v>7308</v>
      </c>
      <c r="I1392" s="2" t="s">
        <v>7309</v>
      </c>
      <c r="K1392" s="2" t="s">
        <v>7306</v>
      </c>
      <c r="L1392" s="2" t="s">
        <v>1236</v>
      </c>
      <c r="M1392" s="2">
        <v>40175.0</v>
      </c>
      <c r="N1392" s="2" t="s">
        <v>21</v>
      </c>
    </row>
    <row r="1393" ht="15.75" customHeight="1">
      <c r="A1393" s="2">
        <v>2013.0</v>
      </c>
      <c r="B1393" s="2" t="s">
        <v>7310</v>
      </c>
      <c r="C1393" s="2" t="s">
        <v>7310</v>
      </c>
      <c r="D1393" s="2" t="str">
        <f>"954-243-9879"</f>
        <v>954-243-9879</v>
      </c>
      <c r="E1393" s="2" t="s">
        <v>4231</v>
      </c>
      <c r="F1393" s="2" t="s">
        <v>2189</v>
      </c>
      <c r="G1393" s="2" t="str">
        <f>"SR-1732"</f>
        <v>SR-1732</v>
      </c>
      <c r="H1393" s="2" t="s">
        <v>7311</v>
      </c>
      <c r="I1393" s="2" t="s">
        <v>7312</v>
      </c>
      <c r="K1393" s="2" t="s">
        <v>7313</v>
      </c>
      <c r="L1393" s="2" t="s">
        <v>208</v>
      </c>
      <c r="M1393" s="2">
        <v>33024.0</v>
      </c>
      <c r="N1393" s="2" t="s">
        <v>21</v>
      </c>
    </row>
    <row r="1394" ht="15.75" customHeight="1">
      <c r="A1394" s="2">
        <v>2013.0</v>
      </c>
      <c r="B1394" s="2" t="s">
        <v>7314</v>
      </c>
      <c r="C1394" s="2" t="s">
        <v>7315</v>
      </c>
      <c r="D1394" s="2" t="str">
        <f>"6269639906"</f>
        <v>6269639906</v>
      </c>
      <c r="E1394" s="2" t="s">
        <v>7316</v>
      </c>
      <c r="F1394" s="2" t="s">
        <v>7317</v>
      </c>
      <c r="G1394" s="2" t="str">
        <f>"SR-1970"</f>
        <v>SR-1970</v>
      </c>
      <c r="H1394" s="2" t="s">
        <v>7318</v>
      </c>
      <c r="I1394" s="2" t="s">
        <v>7319</v>
      </c>
      <c r="K1394" s="2" t="s">
        <v>7320</v>
      </c>
      <c r="L1394" s="2" t="s">
        <v>222</v>
      </c>
      <c r="M1394" s="2">
        <v>91741.0</v>
      </c>
      <c r="N1394" s="2" t="s">
        <v>21</v>
      </c>
    </row>
    <row r="1395" ht="15.75" customHeight="1">
      <c r="A1395" s="2">
        <v>2013.0</v>
      </c>
      <c r="B1395" s="2" t="s">
        <v>7321</v>
      </c>
      <c r="C1395" s="2" t="s">
        <v>7322</v>
      </c>
      <c r="D1395" s="2" t="str">
        <f>"920-479-8699"</f>
        <v>920-479-8699</v>
      </c>
      <c r="E1395" s="2" t="s">
        <v>3196</v>
      </c>
      <c r="F1395" s="2" t="s">
        <v>7323</v>
      </c>
      <c r="G1395" s="2" t="str">
        <f>"SR-1968"</f>
        <v>SR-1968</v>
      </c>
      <c r="H1395" s="2" t="s">
        <v>7324</v>
      </c>
      <c r="I1395" s="2" t="s">
        <v>7325</v>
      </c>
      <c r="K1395" s="2" t="s">
        <v>4139</v>
      </c>
      <c r="L1395" s="2" t="s">
        <v>193</v>
      </c>
      <c r="M1395" s="2">
        <v>54947.0</v>
      </c>
      <c r="N1395" s="2" t="s">
        <v>21</v>
      </c>
    </row>
    <row r="1396" ht="15.75" customHeight="1">
      <c r="A1396" s="2">
        <v>2013.0</v>
      </c>
      <c r="B1396" s="2" t="s">
        <v>7326</v>
      </c>
      <c r="C1396" s="2" t="s">
        <v>7327</v>
      </c>
      <c r="D1396" s="2" t="str">
        <f>"620-877-0394"</f>
        <v>620-877-0394</v>
      </c>
      <c r="E1396" s="2" t="s">
        <v>1288</v>
      </c>
      <c r="F1396" s="2" t="s">
        <v>3903</v>
      </c>
      <c r="G1396" s="2" t="str">
        <f>"SR-1976"</f>
        <v>SR-1976</v>
      </c>
      <c r="H1396" s="2" t="s">
        <v>7328</v>
      </c>
      <c r="I1396" s="2" t="s">
        <v>7329</v>
      </c>
      <c r="K1396" s="2" t="s">
        <v>788</v>
      </c>
      <c r="L1396" s="2" t="s">
        <v>272</v>
      </c>
      <c r="M1396" s="2">
        <v>67063.0</v>
      </c>
      <c r="N1396" s="2" t="s">
        <v>21</v>
      </c>
    </row>
    <row r="1397" ht="15.75" customHeight="1">
      <c r="A1397" s="2">
        <v>2013.0</v>
      </c>
      <c r="B1397" s="2" t="s">
        <v>7330</v>
      </c>
      <c r="C1397" s="2" t="s">
        <v>7330</v>
      </c>
      <c r="D1397" s="2" t="str">
        <f>"4068500191"</f>
        <v>4068500191</v>
      </c>
      <c r="E1397" s="2" t="s">
        <v>651</v>
      </c>
      <c r="F1397" s="2" t="s">
        <v>7331</v>
      </c>
      <c r="G1397" s="2" t="str">
        <f>"SR-1978"</f>
        <v>SR-1978</v>
      </c>
      <c r="H1397" s="2" t="s">
        <v>7332</v>
      </c>
      <c r="I1397" s="2" t="s">
        <v>7333</v>
      </c>
      <c r="K1397" s="2" t="s">
        <v>3548</v>
      </c>
      <c r="L1397" s="2" t="s">
        <v>2696</v>
      </c>
      <c r="M1397" s="2">
        <v>59101.0</v>
      </c>
      <c r="N1397" s="2" t="s">
        <v>21</v>
      </c>
    </row>
    <row r="1398" ht="15.75" customHeight="1">
      <c r="A1398" s="2">
        <v>2013.0</v>
      </c>
      <c r="B1398" s="2" t="s">
        <v>7334</v>
      </c>
      <c r="C1398" s="2" t="s">
        <v>7335</v>
      </c>
      <c r="D1398" s="2" t="str">
        <f>"952-836-8854"</f>
        <v>952-836-8854</v>
      </c>
      <c r="E1398" s="2" t="s">
        <v>7336</v>
      </c>
      <c r="F1398" s="2" t="s">
        <v>7337</v>
      </c>
      <c r="G1398" s="2" t="str">
        <f>"SR-1883"</f>
        <v>SR-1883</v>
      </c>
      <c r="H1398" s="2" t="s">
        <v>7338</v>
      </c>
      <c r="I1398" s="2" t="s">
        <v>7339</v>
      </c>
      <c r="K1398" s="2" t="s">
        <v>7340</v>
      </c>
      <c r="L1398" s="2" t="s">
        <v>62</v>
      </c>
      <c r="M1398" s="2">
        <v>55356.0</v>
      </c>
      <c r="N1398" s="2" t="s">
        <v>21</v>
      </c>
    </row>
    <row r="1399" ht="15.75" customHeight="1">
      <c r="A1399" s="2">
        <v>2013.0</v>
      </c>
      <c r="B1399" s="2" t="s">
        <v>7341</v>
      </c>
      <c r="C1399" s="2" t="s">
        <v>7341</v>
      </c>
      <c r="D1399" s="2" t="str">
        <f>"313-590-7367"</f>
        <v>313-590-7367</v>
      </c>
      <c r="E1399" s="2" t="s">
        <v>7342</v>
      </c>
      <c r="F1399" s="2" t="s">
        <v>7343</v>
      </c>
      <c r="G1399" s="2" t="str">
        <f>"SR-1840"</f>
        <v>SR-1840</v>
      </c>
      <c r="H1399" s="2" t="s">
        <v>7344</v>
      </c>
      <c r="I1399" s="2" t="s">
        <v>7345</v>
      </c>
      <c r="K1399" s="2" t="s">
        <v>47</v>
      </c>
      <c r="L1399" s="2" t="s">
        <v>29</v>
      </c>
      <c r="M1399" s="2">
        <v>49221.0</v>
      </c>
      <c r="N1399" s="2" t="s">
        <v>21</v>
      </c>
    </row>
    <row r="1400" ht="15.75" customHeight="1">
      <c r="A1400" s="2">
        <v>2013.0</v>
      </c>
      <c r="B1400" s="2" t="s">
        <v>7346</v>
      </c>
      <c r="C1400" s="2" t="s">
        <v>7346</v>
      </c>
      <c r="D1400" s="2" t="str">
        <f>"88635921834"</f>
        <v>88635921834</v>
      </c>
      <c r="E1400" s="2" t="s">
        <v>1505</v>
      </c>
      <c r="F1400" s="2" t="s">
        <v>1864</v>
      </c>
      <c r="G1400" s="2" t="str">
        <f>"SR-1862"</f>
        <v>SR-1862</v>
      </c>
      <c r="H1400" s="2" t="s">
        <v>7347</v>
      </c>
      <c r="I1400" s="2" t="s">
        <v>7348</v>
      </c>
      <c r="K1400" s="2" t="s">
        <v>7349</v>
      </c>
      <c r="M1400" s="2">
        <v>30745.0</v>
      </c>
      <c r="N1400" s="2" t="s">
        <v>7350</v>
      </c>
    </row>
    <row r="1401" ht="15.75" customHeight="1">
      <c r="A1401" s="2">
        <v>2013.0</v>
      </c>
      <c r="B1401" s="2" t="s">
        <v>7351</v>
      </c>
      <c r="C1401" s="2" t="s">
        <v>7352</v>
      </c>
      <c r="D1401" s="2" t="str">
        <f>"804 240 1823"</f>
        <v>804 240 1823</v>
      </c>
      <c r="E1401" s="2" t="s">
        <v>1664</v>
      </c>
      <c r="F1401" s="2" t="s">
        <v>7353</v>
      </c>
      <c r="G1401" s="2" t="str">
        <f>"SR-1957"</f>
        <v>SR-1957</v>
      </c>
      <c r="H1401" s="2" t="s">
        <v>7354</v>
      </c>
      <c r="I1401" s="2" t="s">
        <v>7355</v>
      </c>
      <c r="K1401" s="2" t="s">
        <v>7356</v>
      </c>
      <c r="L1401" s="2" t="s">
        <v>165</v>
      </c>
      <c r="M1401" s="2">
        <v>23086.0</v>
      </c>
      <c r="N1401" s="2" t="s">
        <v>21</v>
      </c>
    </row>
    <row r="1402" ht="15.75" customHeight="1">
      <c r="A1402" s="2">
        <v>2013.0</v>
      </c>
      <c r="B1402" s="2" t="s">
        <v>7357</v>
      </c>
      <c r="D1402" s="2" t="str">
        <f>""</f>
        <v/>
      </c>
      <c r="E1402" s="2" t="s">
        <v>144</v>
      </c>
      <c r="F1402" s="2" t="s">
        <v>7358</v>
      </c>
      <c r="G1402" s="2" t="str">
        <f>"SR-1687"</f>
        <v>SR-1687</v>
      </c>
      <c r="H1402" s="2" t="s">
        <v>7359</v>
      </c>
      <c r="N1402" s="2" t="s">
        <v>21</v>
      </c>
    </row>
    <row r="1403" ht="15.75" customHeight="1">
      <c r="A1403" s="2">
        <v>2013.0</v>
      </c>
      <c r="B1403" s="2" t="s">
        <v>7360</v>
      </c>
      <c r="C1403" s="2" t="s">
        <v>7361</v>
      </c>
      <c r="D1403" s="2" t="str">
        <f>"303-422-5540"</f>
        <v>303-422-5540</v>
      </c>
      <c r="E1403" s="2" t="s">
        <v>2126</v>
      </c>
      <c r="F1403" s="2" t="s">
        <v>7362</v>
      </c>
      <c r="G1403" s="2" t="str">
        <f>"SR-1994"</f>
        <v>SR-1994</v>
      </c>
      <c r="H1403" s="2" t="s">
        <v>7363</v>
      </c>
      <c r="I1403" s="2" t="s">
        <v>7364</v>
      </c>
      <c r="K1403" s="2" t="s">
        <v>1502</v>
      </c>
      <c r="L1403" s="2" t="s">
        <v>157</v>
      </c>
      <c r="M1403" s="2">
        <v>80005.0</v>
      </c>
      <c r="N1403" s="2" t="s">
        <v>21</v>
      </c>
    </row>
    <row r="1404" ht="15.75" customHeight="1">
      <c r="A1404" s="2">
        <v>2013.0</v>
      </c>
      <c r="B1404" s="2" t="s">
        <v>7365</v>
      </c>
      <c r="C1404" s="2" t="s">
        <v>7365</v>
      </c>
      <c r="D1404" s="2" t="str">
        <f>"5036323760"</f>
        <v>5036323760</v>
      </c>
      <c r="E1404" s="2" t="s">
        <v>167</v>
      </c>
      <c r="F1404" s="2" t="s">
        <v>7366</v>
      </c>
      <c r="G1404" s="2" t="str">
        <f>"SR-1735"</f>
        <v>SR-1735</v>
      </c>
      <c r="H1404" s="2" t="s">
        <v>7367</v>
      </c>
      <c r="I1404" s="2" t="s">
        <v>7368</v>
      </c>
      <c r="J1404" s="2" t="s">
        <v>7369</v>
      </c>
      <c r="K1404" s="2" t="s">
        <v>7370</v>
      </c>
      <c r="L1404" s="2" t="s">
        <v>2389</v>
      </c>
      <c r="M1404" s="2">
        <v>97045.0</v>
      </c>
      <c r="N1404" s="2" t="s">
        <v>21</v>
      </c>
    </row>
    <row r="1405" ht="15.75" customHeight="1">
      <c r="A1405" s="2">
        <v>2013.0</v>
      </c>
      <c r="B1405" s="2" t="s">
        <v>7371</v>
      </c>
      <c r="D1405" s="2" t="str">
        <f>"740 541-0708"</f>
        <v>740 541-0708</v>
      </c>
      <c r="E1405" s="2" t="s">
        <v>6520</v>
      </c>
      <c r="F1405" s="2" t="s">
        <v>7372</v>
      </c>
      <c r="G1405" s="2" t="str">
        <f>"SR-1819"</f>
        <v>SR-1819</v>
      </c>
      <c r="H1405" s="2" t="s">
        <v>7373</v>
      </c>
      <c r="I1405" s="2" t="s">
        <v>7374</v>
      </c>
      <c r="K1405" s="2" t="s">
        <v>5108</v>
      </c>
      <c r="L1405" s="2" t="s">
        <v>344</v>
      </c>
      <c r="M1405" s="2">
        <v>45701.0</v>
      </c>
      <c r="N1405" s="2" t="s">
        <v>21</v>
      </c>
    </row>
    <row r="1406" ht="15.75" customHeight="1">
      <c r="A1406" s="2">
        <v>2013.0</v>
      </c>
      <c r="B1406" s="2" t="s">
        <v>7375</v>
      </c>
      <c r="C1406" s="2" t="s">
        <v>7376</v>
      </c>
      <c r="D1406" s="2" t="str">
        <f>"952-934-8972"</f>
        <v>952-934-8972</v>
      </c>
      <c r="E1406" s="2" t="s">
        <v>7377</v>
      </c>
      <c r="F1406" s="2" t="s">
        <v>7378</v>
      </c>
      <c r="G1406" s="2" t="str">
        <f>"SR-1948"</f>
        <v>SR-1948</v>
      </c>
      <c r="H1406" s="2" t="s">
        <v>7379</v>
      </c>
      <c r="I1406" s="2" t="s">
        <v>7380</v>
      </c>
      <c r="K1406" s="2" t="s">
        <v>1490</v>
      </c>
      <c r="L1406" s="2" t="s">
        <v>62</v>
      </c>
      <c r="M1406" s="2">
        <v>55346.0</v>
      </c>
      <c r="N1406" s="2" t="s">
        <v>21</v>
      </c>
    </row>
    <row r="1407" ht="15.75" customHeight="1">
      <c r="A1407" s="2">
        <v>2013.0</v>
      </c>
      <c r="B1407" s="2" t="s">
        <v>7381</v>
      </c>
      <c r="C1407" s="2" t="s">
        <v>7381</v>
      </c>
      <c r="D1407" s="2" t="str">
        <f>"(601)5205210"</f>
        <v>(601)5205210</v>
      </c>
      <c r="E1407" s="2" t="s">
        <v>534</v>
      </c>
      <c r="F1407" s="2" t="s">
        <v>7382</v>
      </c>
      <c r="G1407" s="2" t="str">
        <f>"SR-1873"</f>
        <v>SR-1873</v>
      </c>
      <c r="H1407" s="2" t="s">
        <v>7383</v>
      </c>
      <c r="I1407" s="2" t="s">
        <v>7384</v>
      </c>
      <c r="K1407" s="2" t="s">
        <v>7385</v>
      </c>
      <c r="L1407" s="2" t="s">
        <v>1722</v>
      </c>
      <c r="M1407" s="2">
        <v>39402.0</v>
      </c>
      <c r="N1407" s="2" t="s">
        <v>21</v>
      </c>
    </row>
    <row r="1408" ht="15.75" customHeight="1">
      <c r="A1408" s="2">
        <v>2013.0</v>
      </c>
      <c r="B1408" s="2" t="s">
        <v>7386</v>
      </c>
      <c r="D1408" s="2" t="str">
        <f>"910 483 8293"</f>
        <v>910 483 8293</v>
      </c>
      <c r="E1408" s="2" t="s">
        <v>580</v>
      </c>
      <c r="F1408" s="2" t="s">
        <v>283</v>
      </c>
      <c r="G1408" s="2" t="str">
        <f>"SR-1977"</f>
        <v>SR-1977</v>
      </c>
      <c r="H1408" s="2" t="s">
        <v>7387</v>
      </c>
      <c r="I1408" s="2" t="s">
        <v>7388</v>
      </c>
      <c r="K1408" s="2" t="s">
        <v>7389</v>
      </c>
      <c r="L1408" s="2" t="s">
        <v>20</v>
      </c>
      <c r="M1408" s="2">
        <v>28395.0</v>
      </c>
      <c r="N1408" s="2" t="s">
        <v>21</v>
      </c>
    </row>
    <row r="1409" ht="15.75" customHeight="1">
      <c r="A1409" s="2">
        <v>2013.0</v>
      </c>
      <c r="B1409" s="2" t="s">
        <v>7390</v>
      </c>
      <c r="C1409" s="2" t="s">
        <v>7391</v>
      </c>
      <c r="D1409" s="2" t="str">
        <f>"608-785-2431"</f>
        <v>608-785-2431</v>
      </c>
      <c r="E1409" s="2" t="s">
        <v>440</v>
      </c>
      <c r="F1409" s="2" t="s">
        <v>615</v>
      </c>
      <c r="G1409" s="2" t="str">
        <f>"SR-1981"</f>
        <v>SR-1981</v>
      </c>
      <c r="H1409" s="2" t="s">
        <v>7392</v>
      </c>
      <c r="I1409" s="2" t="s">
        <v>7393</v>
      </c>
      <c r="K1409" s="2" t="s">
        <v>7394</v>
      </c>
      <c r="L1409" s="2" t="s">
        <v>193</v>
      </c>
      <c r="M1409" s="2">
        <v>54601.0</v>
      </c>
      <c r="N1409" s="2" t="s">
        <v>21</v>
      </c>
    </row>
    <row r="1410" ht="15.75" customHeight="1">
      <c r="A1410" s="2">
        <v>2013.0</v>
      </c>
      <c r="B1410" s="2" t="s">
        <v>7395</v>
      </c>
      <c r="C1410" s="2" t="s">
        <v>7395</v>
      </c>
      <c r="D1410" s="2" t="str">
        <f>"813-767-2702"</f>
        <v>813-767-2702</v>
      </c>
      <c r="E1410" s="2" t="s">
        <v>7396</v>
      </c>
      <c r="F1410" s="2" t="s">
        <v>58</v>
      </c>
      <c r="G1410" s="2" t="str">
        <f>"SR-1996"</f>
        <v>SR-1996</v>
      </c>
      <c r="H1410" s="2" t="s">
        <v>7397</v>
      </c>
      <c r="I1410" s="2" t="s">
        <v>7398</v>
      </c>
      <c r="K1410" s="2" t="s">
        <v>168</v>
      </c>
      <c r="L1410" s="2" t="s">
        <v>208</v>
      </c>
      <c r="M1410" s="2">
        <v>33549.0</v>
      </c>
      <c r="N1410" s="2" t="s">
        <v>21</v>
      </c>
    </row>
    <row r="1411" ht="15.75" customHeight="1">
      <c r="A1411" s="2">
        <v>2013.0</v>
      </c>
      <c r="B1411" s="2" t="s">
        <v>7399</v>
      </c>
      <c r="C1411" s="2" t="s">
        <v>7399</v>
      </c>
      <c r="D1411" s="2" t="str">
        <f>"585-889-2198"</f>
        <v>585-889-2198</v>
      </c>
      <c r="E1411" s="2" t="s">
        <v>2384</v>
      </c>
      <c r="F1411" s="2" t="s">
        <v>2174</v>
      </c>
      <c r="G1411" s="2" t="str">
        <f>"SR-749"</f>
        <v>SR-749</v>
      </c>
      <c r="H1411" s="2" t="s">
        <v>7400</v>
      </c>
      <c r="I1411" s="2" t="s">
        <v>7401</v>
      </c>
      <c r="K1411" s="2" t="s">
        <v>2804</v>
      </c>
      <c r="L1411" s="2" t="s">
        <v>142</v>
      </c>
      <c r="M1411" s="2">
        <v>14624.0</v>
      </c>
      <c r="N1411" s="2" t="s">
        <v>21</v>
      </c>
    </row>
    <row r="1412" ht="15.75" customHeight="1">
      <c r="A1412" s="2">
        <v>2013.0</v>
      </c>
      <c r="B1412" s="2" t="s">
        <v>7402</v>
      </c>
      <c r="C1412" s="2" t="s">
        <v>7402</v>
      </c>
      <c r="D1412" s="2" t="str">
        <f>"(786) 376-7625"</f>
        <v>(786) 376-7625</v>
      </c>
      <c r="E1412" s="2" t="s">
        <v>3743</v>
      </c>
      <c r="F1412" s="2" t="s">
        <v>7403</v>
      </c>
      <c r="G1412" s="2" t="str">
        <f>"SR-2004"</f>
        <v>SR-2004</v>
      </c>
      <c r="H1412" s="2" t="s">
        <v>7404</v>
      </c>
      <c r="I1412" s="2" t="s">
        <v>7405</v>
      </c>
      <c r="K1412" s="2" t="s">
        <v>7406</v>
      </c>
      <c r="L1412" s="2" t="s">
        <v>208</v>
      </c>
      <c r="M1412" s="2">
        <v>33023.0</v>
      </c>
      <c r="N1412" s="2" t="s">
        <v>21</v>
      </c>
    </row>
    <row r="1413" ht="15.75" customHeight="1">
      <c r="A1413" s="2">
        <v>2013.0</v>
      </c>
      <c r="B1413" s="2" t="s">
        <v>7407</v>
      </c>
      <c r="C1413" s="2" t="s">
        <v>7408</v>
      </c>
      <c r="D1413" s="2" t="str">
        <f>"941-484-7605"</f>
        <v>941-484-7605</v>
      </c>
      <c r="E1413" s="2" t="s">
        <v>5335</v>
      </c>
      <c r="F1413" s="2" t="s">
        <v>711</v>
      </c>
      <c r="G1413" s="2" t="str">
        <f>"SR-1950"</f>
        <v>SR-1950</v>
      </c>
      <c r="H1413" s="2" t="s">
        <v>7409</v>
      </c>
      <c r="I1413" s="2" t="s">
        <v>7410</v>
      </c>
      <c r="K1413" s="2" t="s">
        <v>330</v>
      </c>
      <c r="L1413" s="2" t="s">
        <v>208</v>
      </c>
      <c r="M1413" s="2">
        <v>34285.0</v>
      </c>
      <c r="N1413" s="2" t="s">
        <v>21</v>
      </c>
    </row>
    <row r="1414" ht="15.75" customHeight="1">
      <c r="A1414" s="2">
        <v>2013.0</v>
      </c>
      <c r="B1414" s="2" t="s">
        <v>7411</v>
      </c>
      <c r="C1414" s="2" t="s">
        <v>7412</v>
      </c>
      <c r="D1414" s="2" t="str">
        <f>"2143681700"</f>
        <v>2143681700</v>
      </c>
      <c r="E1414" s="2" t="s">
        <v>4213</v>
      </c>
      <c r="F1414" s="2" t="s">
        <v>6612</v>
      </c>
      <c r="G1414" s="2" t="str">
        <f>"SR-2008"</f>
        <v>SR-2008</v>
      </c>
      <c r="H1414" s="2" t="s">
        <v>7413</v>
      </c>
      <c r="I1414" s="2" t="s">
        <v>7414</v>
      </c>
      <c r="K1414" s="2" t="s">
        <v>1255</v>
      </c>
      <c r="L1414" s="2" t="s">
        <v>172</v>
      </c>
      <c r="M1414" s="2">
        <v>75225.0</v>
      </c>
      <c r="N1414" s="2" t="s">
        <v>21</v>
      </c>
    </row>
    <row r="1415" ht="15.75" customHeight="1">
      <c r="A1415" s="2">
        <v>2013.0</v>
      </c>
      <c r="B1415" s="2" t="s">
        <v>7415</v>
      </c>
      <c r="C1415" s="2" t="s">
        <v>7416</v>
      </c>
      <c r="D1415" s="2" t="str">
        <f>"319-378-0993"</f>
        <v>319-378-0993</v>
      </c>
      <c r="E1415" s="2" t="s">
        <v>7417</v>
      </c>
      <c r="F1415" s="2" t="s">
        <v>1083</v>
      </c>
      <c r="G1415" s="2" t="str">
        <f>"SR-1956"</f>
        <v>SR-1956</v>
      </c>
      <c r="H1415" s="2" t="s">
        <v>7418</v>
      </c>
      <c r="I1415" s="2" t="s">
        <v>7419</v>
      </c>
      <c r="K1415" s="2" t="s">
        <v>3273</v>
      </c>
      <c r="L1415" s="2" t="s">
        <v>560</v>
      </c>
      <c r="M1415" s="2">
        <v>52411.0</v>
      </c>
      <c r="N1415" s="2" t="s">
        <v>21</v>
      </c>
    </row>
    <row r="1416" ht="15.75" customHeight="1">
      <c r="A1416" s="2">
        <v>2013.0</v>
      </c>
      <c r="B1416" s="2" t="s">
        <v>7420</v>
      </c>
      <c r="C1416" s="2" t="s">
        <v>7420</v>
      </c>
      <c r="D1416" s="2" t="str">
        <f>"208-238-7650"</f>
        <v>208-238-7650</v>
      </c>
      <c r="E1416" s="2" t="s">
        <v>428</v>
      </c>
      <c r="F1416" s="2" t="s">
        <v>7421</v>
      </c>
      <c r="G1416" s="2" t="str">
        <f>"SR-1886"</f>
        <v>SR-1886</v>
      </c>
      <c r="H1416" s="2" t="s">
        <v>7422</v>
      </c>
      <c r="I1416" s="2" t="s">
        <v>7423</v>
      </c>
      <c r="K1416" s="2" t="s">
        <v>7424</v>
      </c>
      <c r="L1416" s="2" t="s">
        <v>2613</v>
      </c>
      <c r="M1416" s="2">
        <v>83202.0</v>
      </c>
      <c r="N1416" s="2" t="s">
        <v>21</v>
      </c>
    </row>
    <row r="1417" ht="15.75" customHeight="1">
      <c r="A1417" s="2">
        <v>2013.0</v>
      </c>
      <c r="B1417" s="2" t="s">
        <v>7425</v>
      </c>
      <c r="C1417" s="2" t="s">
        <v>7425</v>
      </c>
      <c r="D1417" s="2" t="str">
        <f>"719-963-4409"</f>
        <v>719-963-4409</v>
      </c>
      <c r="E1417" s="2" t="s">
        <v>1088</v>
      </c>
      <c r="F1417" s="2" t="s">
        <v>7426</v>
      </c>
      <c r="G1417" s="2" t="str">
        <f>"SR-2014"</f>
        <v>SR-2014</v>
      </c>
      <c r="H1417" s="2" t="s">
        <v>7427</v>
      </c>
      <c r="I1417" s="2" t="s">
        <v>7428</v>
      </c>
      <c r="K1417" s="2" t="s">
        <v>809</v>
      </c>
      <c r="L1417" s="2" t="s">
        <v>157</v>
      </c>
      <c r="M1417" s="2">
        <v>80921.0</v>
      </c>
      <c r="N1417" s="2" t="s">
        <v>21</v>
      </c>
    </row>
    <row r="1418" ht="15.75" customHeight="1">
      <c r="A1418" s="2">
        <v>2013.0</v>
      </c>
      <c r="B1418" s="2" t="s">
        <v>7429</v>
      </c>
      <c r="D1418" s="2" t="str">
        <f>""</f>
        <v/>
      </c>
      <c r="E1418" s="2" t="s">
        <v>7430</v>
      </c>
      <c r="F1418" s="2" t="s">
        <v>7431</v>
      </c>
      <c r="G1418" s="2" t="str">
        <f>"SR-851"</f>
        <v>SR-851</v>
      </c>
      <c r="H1418" s="2" t="s">
        <v>7432</v>
      </c>
      <c r="N1418" s="2" t="s">
        <v>21</v>
      </c>
    </row>
    <row r="1419" ht="15.75" customHeight="1">
      <c r="A1419" s="2">
        <v>2013.0</v>
      </c>
      <c r="B1419" s="2" t="s">
        <v>7360</v>
      </c>
      <c r="C1419" s="2" t="s">
        <v>7433</v>
      </c>
      <c r="D1419" s="2" t="str">
        <f>"303-422-5540"</f>
        <v>303-422-5540</v>
      </c>
      <c r="E1419" s="2" t="s">
        <v>478</v>
      </c>
      <c r="F1419" s="2" t="s">
        <v>7362</v>
      </c>
      <c r="G1419" s="2" t="str">
        <f>"SR-2017"</f>
        <v>SR-2017</v>
      </c>
      <c r="H1419" s="2" t="s">
        <v>7434</v>
      </c>
      <c r="I1419" s="2" t="s">
        <v>7435</v>
      </c>
      <c r="K1419" s="2" t="s">
        <v>1502</v>
      </c>
      <c r="L1419" s="2" t="s">
        <v>157</v>
      </c>
      <c r="M1419" s="2">
        <v>80005.0</v>
      </c>
      <c r="N1419" s="2" t="s">
        <v>21</v>
      </c>
    </row>
    <row r="1420" ht="15.75" customHeight="1">
      <c r="A1420" s="2">
        <v>2013.0</v>
      </c>
      <c r="B1420" s="2" t="s">
        <v>7436</v>
      </c>
      <c r="D1420" s="2" t="str">
        <f>"4254579182"</f>
        <v>4254579182</v>
      </c>
      <c r="E1420" s="2" t="s">
        <v>72</v>
      </c>
      <c r="F1420" s="2" t="s">
        <v>5281</v>
      </c>
      <c r="G1420" s="2" t="str">
        <f>"SR-1901"</f>
        <v>SR-1901</v>
      </c>
      <c r="H1420" s="2" t="s">
        <v>7437</v>
      </c>
      <c r="I1420" s="2" t="s">
        <v>7438</v>
      </c>
      <c r="K1420" s="2" t="s">
        <v>7439</v>
      </c>
      <c r="L1420" s="2" t="s">
        <v>86</v>
      </c>
      <c r="M1420" s="2">
        <v>98296.0</v>
      </c>
      <c r="N1420" s="2" t="s">
        <v>21</v>
      </c>
    </row>
    <row r="1421" ht="15.75" customHeight="1">
      <c r="A1421" s="2">
        <v>2013.0</v>
      </c>
      <c r="B1421" s="2" t="s">
        <v>7440</v>
      </c>
      <c r="C1421" s="2" t="s">
        <v>7441</v>
      </c>
      <c r="D1421" s="2" t="str">
        <f>"615-473-3064"</f>
        <v>615-473-3064</v>
      </c>
      <c r="E1421" s="2" t="s">
        <v>2083</v>
      </c>
      <c r="F1421" s="2" t="s">
        <v>7442</v>
      </c>
      <c r="G1421" s="2" t="str">
        <f>"SR-1972"</f>
        <v>SR-1972</v>
      </c>
      <c r="H1421" s="2" t="s">
        <v>7443</v>
      </c>
      <c r="I1421" s="2" t="s">
        <v>7444</v>
      </c>
      <c r="K1421" s="2" t="s">
        <v>7445</v>
      </c>
      <c r="L1421" s="2" t="s">
        <v>279</v>
      </c>
      <c r="M1421" s="2">
        <v>37174.0</v>
      </c>
      <c r="N1421" s="2" t="s">
        <v>21</v>
      </c>
    </row>
    <row r="1422" ht="15.75" customHeight="1">
      <c r="A1422" s="2">
        <v>2013.0</v>
      </c>
      <c r="B1422" s="2" t="s">
        <v>7446</v>
      </c>
      <c r="D1422" s="2" t="str">
        <f>""</f>
        <v/>
      </c>
      <c r="E1422" s="2" t="s">
        <v>580</v>
      </c>
      <c r="F1422" s="2" t="s">
        <v>3144</v>
      </c>
      <c r="G1422" s="2" t="str">
        <f>"SR-1979"</f>
        <v>SR-1979</v>
      </c>
      <c r="H1422" s="2" t="s">
        <v>7447</v>
      </c>
      <c r="N1422" s="2" t="s">
        <v>21</v>
      </c>
    </row>
    <row r="1423" ht="15.75" customHeight="1">
      <c r="A1423" s="2">
        <v>2013.0</v>
      </c>
      <c r="B1423" s="2" t="s">
        <v>7448</v>
      </c>
      <c r="C1423" s="2" t="s">
        <v>7448</v>
      </c>
      <c r="D1423" s="2" t="str">
        <f>"336-416-0378"</f>
        <v>336-416-0378</v>
      </c>
      <c r="E1423" s="2" t="s">
        <v>1450</v>
      </c>
      <c r="F1423" s="2" t="s">
        <v>7449</v>
      </c>
      <c r="G1423" s="2" t="str">
        <f>"SR-1924"</f>
        <v>SR-1924</v>
      </c>
      <c r="H1423" s="2" t="s">
        <v>7450</v>
      </c>
      <c r="I1423" s="2" t="s">
        <v>7451</v>
      </c>
      <c r="K1423" s="2" t="s">
        <v>7452</v>
      </c>
      <c r="L1423" s="2" t="s">
        <v>20</v>
      </c>
      <c r="M1423" s="2">
        <v>27103.0</v>
      </c>
      <c r="N1423" s="2" t="s">
        <v>21</v>
      </c>
    </row>
    <row r="1424" ht="15.75" customHeight="1">
      <c r="A1424" s="2">
        <v>2013.0</v>
      </c>
      <c r="B1424" s="2" t="s">
        <v>7453</v>
      </c>
      <c r="C1424" s="2" t="s">
        <v>7454</v>
      </c>
      <c r="D1424" s="2" t="str">
        <f>"9522393569"</f>
        <v>9522393569</v>
      </c>
      <c r="E1424" s="2" t="s">
        <v>5927</v>
      </c>
      <c r="F1424" s="2" t="s">
        <v>1209</v>
      </c>
      <c r="G1424" s="2" t="str">
        <f>"SR-2026"</f>
        <v>SR-2026</v>
      </c>
      <c r="H1424" s="2" t="s">
        <v>7455</v>
      </c>
      <c r="I1424" s="2" t="s">
        <v>7456</v>
      </c>
      <c r="K1424" s="2" t="s">
        <v>1321</v>
      </c>
      <c r="L1424" s="2" t="s">
        <v>62</v>
      </c>
      <c r="M1424" s="2">
        <v>55372.0</v>
      </c>
      <c r="N1424" s="2" t="s">
        <v>21</v>
      </c>
    </row>
    <row r="1425" ht="15.75" customHeight="1">
      <c r="A1425" s="2">
        <v>2013.0</v>
      </c>
      <c r="B1425" s="2" t="s">
        <v>7457</v>
      </c>
      <c r="C1425" s="2" t="s">
        <v>7457</v>
      </c>
      <c r="D1425" s="2" t="str">
        <f>"786-278-5559"</f>
        <v>786-278-5559</v>
      </c>
      <c r="E1425" s="2" t="s">
        <v>2031</v>
      </c>
      <c r="F1425" s="2" t="s">
        <v>7458</v>
      </c>
      <c r="G1425" s="2" t="str">
        <f>"SR-1932"</f>
        <v>SR-1932</v>
      </c>
      <c r="H1425" s="2" t="s">
        <v>7459</v>
      </c>
      <c r="I1425" s="2" t="s">
        <v>7460</v>
      </c>
      <c r="K1425" s="2" t="s">
        <v>2211</v>
      </c>
      <c r="L1425" s="2" t="s">
        <v>208</v>
      </c>
      <c r="M1425" s="2">
        <v>33015.0</v>
      </c>
      <c r="N1425" s="2" t="s">
        <v>21</v>
      </c>
    </row>
    <row r="1426" ht="15.75" customHeight="1">
      <c r="A1426" s="2">
        <v>2013.0</v>
      </c>
      <c r="B1426" s="2" t="s">
        <v>7461</v>
      </c>
      <c r="C1426" s="2" t="s">
        <v>7461</v>
      </c>
      <c r="D1426" s="2" t="str">
        <f>"7576341494"</f>
        <v>7576341494</v>
      </c>
      <c r="E1426" s="2" t="s">
        <v>5858</v>
      </c>
      <c r="F1426" s="2" t="s">
        <v>639</v>
      </c>
      <c r="G1426" s="2" t="str">
        <f>"SR-2028"</f>
        <v>SR-2028</v>
      </c>
      <c r="H1426" s="2" t="s">
        <v>7462</v>
      </c>
      <c r="I1426" s="2" t="s">
        <v>7463</v>
      </c>
      <c r="K1426" s="2" t="s">
        <v>7464</v>
      </c>
      <c r="L1426" s="2" t="s">
        <v>165</v>
      </c>
      <c r="M1426" s="2">
        <v>23883.0</v>
      </c>
      <c r="N1426" s="2" t="s">
        <v>21</v>
      </c>
    </row>
    <row r="1427" ht="15.75" customHeight="1">
      <c r="A1427" s="2">
        <v>2013.0</v>
      </c>
      <c r="B1427" s="2" t="s">
        <v>7465</v>
      </c>
      <c r="C1427" s="2" t="s">
        <v>7465</v>
      </c>
      <c r="D1427" s="2" t="str">
        <f>"205-565-5199"</f>
        <v>205-565-5199</v>
      </c>
      <c r="E1427" s="2" t="s">
        <v>5760</v>
      </c>
      <c r="F1427" s="2" t="s">
        <v>7466</v>
      </c>
      <c r="G1427" s="2" t="str">
        <f>"SR-2023"</f>
        <v>SR-2023</v>
      </c>
      <c r="H1427" s="2" t="s">
        <v>7467</v>
      </c>
      <c r="I1427" s="2" t="s">
        <v>7468</v>
      </c>
      <c r="K1427" s="2" t="s">
        <v>7469</v>
      </c>
      <c r="L1427" s="2" t="s">
        <v>539</v>
      </c>
      <c r="M1427" s="2">
        <v>35128.0</v>
      </c>
      <c r="N1427" s="2" t="s">
        <v>21</v>
      </c>
    </row>
    <row r="1428" ht="15.75" customHeight="1">
      <c r="A1428" s="2">
        <v>2013.0</v>
      </c>
      <c r="B1428" s="2" t="s">
        <v>7470</v>
      </c>
      <c r="C1428" s="2" t="s">
        <v>7470</v>
      </c>
      <c r="D1428" s="2" t="str">
        <f>"719-289-0598"</f>
        <v>719-289-0598</v>
      </c>
      <c r="E1428" s="2" t="s">
        <v>2814</v>
      </c>
      <c r="F1428" s="2" t="s">
        <v>7396</v>
      </c>
      <c r="G1428" s="2" t="str">
        <f>"SR-2030"</f>
        <v>SR-2030</v>
      </c>
      <c r="H1428" s="2" t="s">
        <v>7471</v>
      </c>
      <c r="I1428" s="2" t="s">
        <v>7472</v>
      </c>
      <c r="K1428" s="2" t="s">
        <v>7473</v>
      </c>
      <c r="L1428" s="2" t="s">
        <v>157</v>
      </c>
      <c r="M1428" s="2">
        <v>81007.0</v>
      </c>
      <c r="N1428" s="2" t="s">
        <v>21</v>
      </c>
    </row>
    <row r="1429" ht="15.75" customHeight="1">
      <c r="A1429" s="2">
        <v>2013.0</v>
      </c>
      <c r="B1429" s="2" t="s">
        <v>7474</v>
      </c>
      <c r="C1429" s="2" t="s">
        <v>7475</v>
      </c>
      <c r="D1429" s="2" t="str">
        <f>"303-518-9722"</f>
        <v>303-518-9722</v>
      </c>
      <c r="E1429" s="2" t="s">
        <v>7476</v>
      </c>
      <c r="F1429" s="2" t="s">
        <v>7477</v>
      </c>
      <c r="G1429" s="2" t="str">
        <f>"SR-2019"</f>
        <v>SR-2019</v>
      </c>
      <c r="H1429" s="2" t="s">
        <v>7478</v>
      </c>
      <c r="I1429" s="2" t="s">
        <v>7479</v>
      </c>
      <c r="K1429" s="2" t="s">
        <v>7480</v>
      </c>
      <c r="L1429" s="2" t="s">
        <v>157</v>
      </c>
      <c r="M1429" s="2">
        <v>80602.0</v>
      </c>
      <c r="N1429" s="2" t="s">
        <v>21</v>
      </c>
    </row>
    <row r="1430" ht="15.75" customHeight="1">
      <c r="A1430" s="2">
        <v>2013.0</v>
      </c>
      <c r="B1430" s="2" t="s">
        <v>7481</v>
      </c>
      <c r="C1430" s="2" t="s">
        <v>7482</v>
      </c>
      <c r="D1430" s="2" t="str">
        <f>"320-485-3813"</f>
        <v>320-485-3813</v>
      </c>
      <c r="E1430" s="2" t="s">
        <v>1208</v>
      </c>
      <c r="F1430" s="2" t="s">
        <v>7483</v>
      </c>
      <c r="G1430" s="2" t="str">
        <f>"SR-1955"</f>
        <v>SR-1955</v>
      </c>
      <c r="H1430" s="2" t="s">
        <v>7484</v>
      </c>
      <c r="I1430" s="2" t="s">
        <v>7485</v>
      </c>
      <c r="K1430" s="2" t="s">
        <v>7486</v>
      </c>
      <c r="L1430" s="2" t="s">
        <v>62</v>
      </c>
      <c r="M1430" s="2">
        <v>55395.0</v>
      </c>
      <c r="N1430" s="2" t="s">
        <v>21</v>
      </c>
    </row>
    <row r="1431" ht="15.75" customHeight="1">
      <c r="A1431" s="2">
        <v>2013.0</v>
      </c>
      <c r="B1431" s="2" t="s">
        <v>7487</v>
      </c>
      <c r="C1431" s="2" t="s">
        <v>7487</v>
      </c>
      <c r="D1431" s="2" t="str">
        <f>"402-318-2529"</f>
        <v>402-318-2529</v>
      </c>
      <c r="E1431" s="2" t="s">
        <v>584</v>
      </c>
      <c r="F1431" s="2" t="s">
        <v>457</v>
      </c>
      <c r="G1431" s="2" t="str">
        <f>"SR-1333"</f>
        <v>SR-1333</v>
      </c>
      <c r="H1431" s="2" t="s">
        <v>7488</v>
      </c>
      <c r="I1431" s="2" t="s">
        <v>7489</v>
      </c>
      <c r="K1431" s="2" t="s">
        <v>572</v>
      </c>
      <c r="L1431" s="2" t="s">
        <v>757</v>
      </c>
      <c r="M1431" s="2">
        <v>68526.0</v>
      </c>
      <c r="N1431" s="2" t="s">
        <v>21</v>
      </c>
    </row>
    <row r="1432" ht="15.75" customHeight="1">
      <c r="A1432" s="2">
        <v>2013.0</v>
      </c>
      <c r="B1432" s="2" t="s">
        <v>7490</v>
      </c>
      <c r="C1432" s="2" t="s">
        <v>7491</v>
      </c>
      <c r="D1432" s="2" t="str">
        <f>"405-537-5036"</f>
        <v>405-537-5036</v>
      </c>
      <c r="E1432" s="2" t="s">
        <v>7492</v>
      </c>
      <c r="F1432" s="2" t="s">
        <v>7493</v>
      </c>
      <c r="G1432" s="2" t="str">
        <f>"SR-2033"</f>
        <v>SR-2033</v>
      </c>
      <c r="H1432" s="2" t="s">
        <v>7494</v>
      </c>
      <c r="I1432" s="2" t="s">
        <v>7495</v>
      </c>
      <c r="K1432" s="2" t="s">
        <v>6622</v>
      </c>
      <c r="L1432" s="2" t="s">
        <v>840</v>
      </c>
      <c r="M1432" s="2">
        <v>73120.0</v>
      </c>
      <c r="N1432" s="2" t="s">
        <v>21</v>
      </c>
    </row>
    <row r="1433" ht="15.75" customHeight="1">
      <c r="A1433" s="2">
        <v>2013.0</v>
      </c>
      <c r="B1433" s="2" t="s">
        <v>7496</v>
      </c>
      <c r="C1433" s="2" t="s">
        <v>7497</v>
      </c>
      <c r="D1433" s="2" t="str">
        <f>"479-651-2336"</f>
        <v>479-651-2336</v>
      </c>
      <c r="E1433" s="2" t="s">
        <v>7498</v>
      </c>
      <c r="F1433" s="2" t="s">
        <v>4605</v>
      </c>
      <c r="G1433" s="2" t="str">
        <f>"SR-2038"</f>
        <v>SR-2038</v>
      </c>
      <c r="H1433" s="2" t="s">
        <v>7499</v>
      </c>
      <c r="I1433" s="2" t="s">
        <v>7500</v>
      </c>
      <c r="K1433" s="2" t="s">
        <v>7501</v>
      </c>
      <c r="L1433" s="2" t="s">
        <v>1012</v>
      </c>
      <c r="M1433" s="2">
        <v>72952.0</v>
      </c>
      <c r="N1433" s="2" t="s">
        <v>21</v>
      </c>
    </row>
    <row r="1434" ht="15.75" customHeight="1">
      <c r="A1434" s="2">
        <v>2013.0</v>
      </c>
      <c r="B1434" s="2" t="s">
        <v>7502</v>
      </c>
      <c r="D1434" s="2" t="str">
        <f>"9722126458"</f>
        <v>9722126458</v>
      </c>
      <c r="E1434" s="2" t="s">
        <v>1523</v>
      </c>
      <c r="F1434" s="2" t="s">
        <v>7503</v>
      </c>
      <c r="G1434" s="2" t="str">
        <f>"SR-1908"</f>
        <v>SR-1908</v>
      </c>
      <c r="H1434" s="2" t="s">
        <v>7504</v>
      </c>
      <c r="I1434" s="2" t="s">
        <v>7505</v>
      </c>
      <c r="K1434" s="2" t="s">
        <v>475</v>
      </c>
      <c r="L1434" s="2" t="s">
        <v>172</v>
      </c>
      <c r="M1434" s="2">
        <v>75098.0</v>
      </c>
      <c r="N1434" s="2" t="s">
        <v>21</v>
      </c>
    </row>
    <row r="1435" ht="15.75" customHeight="1">
      <c r="A1435" s="2">
        <v>2013.0</v>
      </c>
      <c r="B1435" s="2" t="s">
        <v>7506</v>
      </c>
      <c r="C1435" s="2" t="s">
        <v>7507</v>
      </c>
      <c r="D1435" s="2" t="str">
        <f>"717-875-2149"</f>
        <v>717-875-2149</v>
      </c>
      <c r="E1435" s="2" t="s">
        <v>938</v>
      </c>
      <c r="F1435" s="2" t="s">
        <v>7508</v>
      </c>
      <c r="G1435" s="2" t="str">
        <f>"SR-2031"</f>
        <v>SR-2031</v>
      </c>
      <c r="H1435" s="2" t="s">
        <v>7509</v>
      </c>
      <c r="I1435" s="2" t="s">
        <v>7510</v>
      </c>
      <c r="K1435" s="2" t="s">
        <v>2750</v>
      </c>
      <c r="L1435" s="2" t="s">
        <v>179</v>
      </c>
      <c r="M1435" s="2">
        <v>17512.0</v>
      </c>
      <c r="N1435" s="2" t="s">
        <v>21</v>
      </c>
    </row>
    <row r="1436" ht="15.75" customHeight="1">
      <c r="A1436" s="2">
        <v>2013.0</v>
      </c>
      <c r="B1436" s="2" t="s">
        <v>7511</v>
      </c>
      <c r="C1436" s="2" t="s">
        <v>7511</v>
      </c>
      <c r="D1436" s="2" t="str">
        <f>"530-347-4993"</f>
        <v>530-347-4993</v>
      </c>
      <c r="E1436" s="2" t="s">
        <v>7512</v>
      </c>
      <c r="F1436" s="2" t="s">
        <v>7513</v>
      </c>
      <c r="G1436" s="2" t="str">
        <f>"SR-1918"</f>
        <v>SR-1918</v>
      </c>
      <c r="H1436" s="2" t="s">
        <v>7514</v>
      </c>
      <c r="I1436" s="2" t="s">
        <v>7515</v>
      </c>
      <c r="K1436" s="2" t="s">
        <v>6693</v>
      </c>
      <c r="L1436" s="2" t="s">
        <v>222</v>
      </c>
      <c r="M1436" s="2">
        <v>96022.0</v>
      </c>
      <c r="N1436" s="2" t="s">
        <v>21</v>
      </c>
    </row>
    <row r="1437" ht="15.75" customHeight="1">
      <c r="A1437" s="2">
        <v>2013.0</v>
      </c>
      <c r="B1437" s="2" t="s">
        <v>7516</v>
      </c>
      <c r="C1437" s="2" t="s">
        <v>7516</v>
      </c>
      <c r="D1437" s="2" t="str">
        <f>"225 610 2989"</f>
        <v>225 610 2989</v>
      </c>
      <c r="E1437" s="2" t="s">
        <v>7517</v>
      </c>
      <c r="F1437" s="2" t="s">
        <v>7518</v>
      </c>
      <c r="G1437" s="2" t="str">
        <f>"SR-2045"</f>
        <v>SR-2045</v>
      </c>
      <c r="H1437" s="2" t="s">
        <v>7519</v>
      </c>
      <c r="I1437" s="2" t="s">
        <v>7520</v>
      </c>
      <c r="K1437" s="2" t="s">
        <v>7521</v>
      </c>
      <c r="L1437" s="2" t="s">
        <v>715</v>
      </c>
      <c r="M1437" s="2">
        <v>70739.0</v>
      </c>
      <c r="N1437" s="2" t="s">
        <v>21</v>
      </c>
    </row>
    <row r="1438" ht="15.75" customHeight="1">
      <c r="A1438" s="2">
        <v>2013.0</v>
      </c>
      <c r="B1438" s="2" t="s">
        <v>7522</v>
      </c>
      <c r="D1438" s="2" t="str">
        <f>""</f>
        <v/>
      </c>
      <c r="E1438" s="2" t="s">
        <v>2361</v>
      </c>
      <c r="F1438" s="2" t="s">
        <v>7523</v>
      </c>
      <c r="G1438" s="2" t="str">
        <f>"SR-1925"</f>
        <v>SR-1925</v>
      </c>
      <c r="H1438" s="2" t="s">
        <v>7524</v>
      </c>
      <c r="N1438" s="2" t="s">
        <v>21</v>
      </c>
    </row>
    <row r="1439" ht="15.75" customHeight="1">
      <c r="A1439" s="2">
        <v>2013.0</v>
      </c>
      <c r="B1439" s="2" t="s">
        <v>7525</v>
      </c>
      <c r="C1439" s="2" t="s">
        <v>7525</v>
      </c>
      <c r="D1439" s="2" t="str">
        <f>"619-669-6773"</f>
        <v>619-669-6773</v>
      </c>
      <c r="E1439" s="2" t="s">
        <v>203</v>
      </c>
      <c r="F1439" s="2" t="s">
        <v>7526</v>
      </c>
      <c r="G1439" s="2" t="str">
        <f>"SR-2041"</f>
        <v>SR-2041</v>
      </c>
      <c r="H1439" s="2" t="s">
        <v>7527</v>
      </c>
      <c r="I1439" s="2" t="s">
        <v>7528</v>
      </c>
      <c r="K1439" s="2" t="s">
        <v>7529</v>
      </c>
      <c r="L1439" s="2" t="s">
        <v>222</v>
      </c>
      <c r="M1439" s="2">
        <v>91935.0</v>
      </c>
      <c r="N1439" s="2" t="s">
        <v>21</v>
      </c>
    </row>
    <row r="1440" ht="15.75" customHeight="1">
      <c r="A1440" s="2">
        <v>2013.0</v>
      </c>
      <c r="B1440" s="2" t="s">
        <v>7530</v>
      </c>
      <c r="C1440" s="2" t="s">
        <v>7530</v>
      </c>
      <c r="D1440" s="2" t="str">
        <f>"3107558308"</f>
        <v>3107558308</v>
      </c>
      <c r="E1440" s="2" t="s">
        <v>7531</v>
      </c>
      <c r="F1440" s="2" t="s">
        <v>7532</v>
      </c>
      <c r="G1440" s="2" t="str">
        <f>"SR-2037"</f>
        <v>SR-2037</v>
      </c>
      <c r="H1440" s="2" t="s">
        <v>7533</v>
      </c>
      <c r="I1440" s="2" t="s">
        <v>7534</v>
      </c>
      <c r="K1440" s="2" t="s">
        <v>5955</v>
      </c>
      <c r="L1440" s="2" t="s">
        <v>222</v>
      </c>
      <c r="M1440" s="2">
        <v>90505.0</v>
      </c>
      <c r="N1440" s="2" t="s">
        <v>21</v>
      </c>
    </row>
    <row r="1441" ht="15.75" customHeight="1">
      <c r="A1441" s="2">
        <v>2013.0</v>
      </c>
      <c r="B1441" s="2" t="s">
        <v>7535</v>
      </c>
      <c r="C1441" s="2" t="s">
        <v>7536</v>
      </c>
      <c r="D1441" s="2" t="str">
        <f>"2603381530"</f>
        <v>2603381530</v>
      </c>
      <c r="E1441" s="2" t="s">
        <v>301</v>
      </c>
      <c r="F1441" s="2" t="s">
        <v>7537</v>
      </c>
      <c r="G1441" s="2" t="str">
        <f>"SR-2049"</f>
        <v>SR-2049</v>
      </c>
      <c r="H1441" s="2" t="s">
        <v>7538</v>
      </c>
      <c r="I1441" s="2" t="s">
        <v>7539</v>
      </c>
      <c r="K1441" s="2" t="s">
        <v>7540</v>
      </c>
      <c r="L1441" s="2" t="s">
        <v>165</v>
      </c>
      <c r="M1441" s="2">
        <v>22625.0</v>
      </c>
      <c r="N1441" s="2" t="s">
        <v>21</v>
      </c>
    </row>
    <row r="1442" ht="15.75" customHeight="1">
      <c r="A1442" s="2">
        <v>2013.0</v>
      </c>
      <c r="B1442" s="2" t="s">
        <v>7541</v>
      </c>
      <c r="C1442" s="2" t="s">
        <v>7542</v>
      </c>
      <c r="D1442" s="2" t="str">
        <f>"702-376-4946"</f>
        <v>702-376-4946</v>
      </c>
      <c r="E1442" s="2" t="s">
        <v>7543</v>
      </c>
      <c r="F1442" s="2" t="s">
        <v>7544</v>
      </c>
      <c r="G1442" s="2" t="str">
        <f>"SR-2050"</f>
        <v>SR-2050</v>
      </c>
      <c r="H1442" s="2" t="s">
        <v>7545</v>
      </c>
      <c r="I1442" s="2" t="s">
        <v>7546</v>
      </c>
      <c r="K1442" s="2" t="s">
        <v>309</v>
      </c>
      <c r="L1442" s="2" t="s">
        <v>1419</v>
      </c>
      <c r="M1442" s="2">
        <v>89015.0</v>
      </c>
      <c r="N1442" s="2" t="s">
        <v>21</v>
      </c>
    </row>
    <row r="1443" ht="15.75" customHeight="1">
      <c r="A1443" s="2">
        <v>2013.0</v>
      </c>
      <c r="B1443" s="2" t="s">
        <v>7547</v>
      </c>
      <c r="D1443" s="2" t="str">
        <f>"937-205-4678"</f>
        <v>937-205-4678</v>
      </c>
      <c r="E1443" s="2" t="s">
        <v>1483</v>
      </c>
      <c r="F1443" s="2" t="s">
        <v>7548</v>
      </c>
      <c r="G1443" s="2" t="str">
        <f>"SR-2062"</f>
        <v>SR-2062</v>
      </c>
      <c r="H1443" s="2" t="s">
        <v>7549</v>
      </c>
      <c r="I1443" s="2" t="s">
        <v>7550</v>
      </c>
      <c r="K1443" s="2" t="s">
        <v>7551</v>
      </c>
      <c r="L1443" s="2" t="s">
        <v>1722</v>
      </c>
      <c r="M1443" s="2">
        <v>38672.0</v>
      </c>
      <c r="N1443" s="2" t="s">
        <v>21</v>
      </c>
    </row>
    <row r="1444" ht="15.75" customHeight="1">
      <c r="A1444" s="2">
        <v>2013.0</v>
      </c>
      <c r="B1444" s="2" t="s">
        <v>7552</v>
      </c>
      <c r="C1444" s="2" t="s">
        <v>7553</v>
      </c>
      <c r="D1444" s="2" t="str">
        <f>"650-575-3838"</f>
        <v>650-575-3838</v>
      </c>
      <c r="E1444" s="2" t="s">
        <v>580</v>
      </c>
      <c r="F1444" s="2" t="s">
        <v>283</v>
      </c>
      <c r="G1444" s="2" t="str">
        <f>"SR-2000"</f>
        <v>SR-2000</v>
      </c>
      <c r="H1444" s="2" t="s">
        <v>7387</v>
      </c>
      <c r="I1444" s="2" t="s">
        <v>7554</v>
      </c>
      <c r="K1444" s="2" t="s">
        <v>7555</v>
      </c>
      <c r="L1444" s="2" t="s">
        <v>222</v>
      </c>
      <c r="M1444" s="2">
        <v>94087.0</v>
      </c>
      <c r="N1444" s="2" t="s">
        <v>21</v>
      </c>
    </row>
    <row r="1445" ht="15.75" customHeight="1">
      <c r="A1445" s="2">
        <v>2013.0</v>
      </c>
      <c r="B1445" s="2" t="s">
        <v>7556</v>
      </c>
      <c r="C1445" s="2" t="s">
        <v>7556</v>
      </c>
      <c r="D1445" s="2" t="str">
        <f>"3108505654"</f>
        <v>3108505654</v>
      </c>
      <c r="E1445" s="2" t="s">
        <v>1713</v>
      </c>
      <c r="F1445" s="2" t="s">
        <v>7557</v>
      </c>
      <c r="G1445" s="2" t="str">
        <f>"SR-2063"</f>
        <v>SR-2063</v>
      </c>
      <c r="H1445" s="2" t="s">
        <v>7558</v>
      </c>
      <c r="I1445" s="2" t="s">
        <v>7559</v>
      </c>
      <c r="K1445" s="2" t="s">
        <v>5955</v>
      </c>
      <c r="L1445" s="2" t="s">
        <v>222</v>
      </c>
      <c r="M1445" s="2">
        <v>90504.0</v>
      </c>
      <c r="N1445" s="2" t="s">
        <v>21</v>
      </c>
    </row>
    <row r="1446" ht="15.75" customHeight="1">
      <c r="A1446" s="2">
        <v>2013.0</v>
      </c>
      <c r="B1446" s="2" t="s">
        <v>7560</v>
      </c>
      <c r="C1446" s="2" t="s">
        <v>7560</v>
      </c>
      <c r="D1446" s="2" t="str">
        <f>"408-401-7572"</f>
        <v>408-401-7572</v>
      </c>
      <c r="E1446" s="2" t="s">
        <v>100</v>
      </c>
      <c r="F1446" s="2" t="s">
        <v>7561</v>
      </c>
      <c r="G1446" s="2" t="str">
        <f>"SR-2068"</f>
        <v>SR-2068</v>
      </c>
      <c r="H1446" s="2" t="s">
        <v>7562</v>
      </c>
      <c r="I1446" s="2" t="s">
        <v>7563</v>
      </c>
      <c r="K1446" s="2" t="s">
        <v>5826</v>
      </c>
      <c r="L1446" s="2" t="s">
        <v>222</v>
      </c>
      <c r="M1446" s="2">
        <v>95120.0</v>
      </c>
      <c r="N1446" s="2" t="s">
        <v>21</v>
      </c>
    </row>
    <row r="1447" ht="15.75" customHeight="1">
      <c r="A1447" s="2">
        <v>2013.0</v>
      </c>
      <c r="B1447" s="2" t="s">
        <v>7560</v>
      </c>
      <c r="C1447" s="2" t="s">
        <v>7564</v>
      </c>
      <c r="D1447" s="2" t="str">
        <f>"4084972191"</f>
        <v>4084972191</v>
      </c>
      <c r="E1447" s="2" t="s">
        <v>7565</v>
      </c>
      <c r="F1447" s="2" t="s">
        <v>7561</v>
      </c>
      <c r="G1447" s="2" t="str">
        <f>"SR-2069"</f>
        <v>SR-2069</v>
      </c>
      <c r="H1447" s="2" t="s">
        <v>7566</v>
      </c>
      <c r="I1447" s="2" t="s">
        <v>7567</v>
      </c>
      <c r="K1447" s="2" t="s">
        <v>7568</v>
      </c>
      <c r="L1447" s="2" t="s">
        <v>222</v>
      </c>
      <c r="M1447" s="2">
        <v>95120.0</v>
      </c>
      <c r="N1447" s="2" t="s">
        <v>21</v>
      </c>
    </row>
    <row r="1448" ht="15.75" customHeight="1">
      <c r="A1448" s="2">
        <v>2013.0</v>
      </c>
      <c r="B1448" s="2" t="s">
        <v>7569</v>
      </c>
      <c r="C1448" s="2" t="s">
        <v>7569</v>
      </c>
      <c r="D1448" s="2" t="str">
        <f>"423-605-0212"</f>
        <v>423-605-0212</v>
      </c>
      <c r="E1448" s="2" t="s">
        <v>1141</v>
      </c>
      <c r="F1448" s="2" t="s">
        <v>3903</v>
      </c>
      <c r="G1448" s="2" t="str">
        <f>"SR-2034"</f>
        <v>SR-2034</v>
      </c>
      <c r="H1448" s="2" t="s">
        <v>7570</v>
      </c>
      <c r="I1448" s="2" t="s">
        <v>7571</v>
      </c>
      <c r="K1448" s="2" t="s">
        <v>4501</v>
      </c>
      <c r="L1448" s="2" t="s">
        <v>279</v>
      </c>
      <c r="M1448" s="2">
        <v>37341.0</v>
      </c>
      <c r="N1448" s="2" t="s">
        <v>21</v>
      </c>
    </row>
    <row r="1449" ht="15.75" customHeight="1">
      <c r="A1449" s="2">
        <v>2013.0</v>
      </c>
      <c r="B1449" s="2" t="s">
        <v>7572</v>
      </c>
      <c r="C1449" s="2" t="s">
        <v>7573</v>
      </c>
      <c r="D1449" s="2" t="str">
        <f>"719-313-0023"</f>
        <v>719-313-0023</v>
      </c>
      <c r="E1449" s="2" t="s">
        <v>7574</v>
      </c>
      <c r="F1449" s="2" t="s">
        <v>7575</v>
      </c>
      <c r="G1449" s="2" t="str">
        <f>"SR-2016"</f>
        <v>SR-2016</v>
      </c>
      <c r="H1449" s="2" t="s">
        <v>7576</v>
      </c>
      <c r="I1449" s="2" t="s">
        <v>7577</v>
      </c>
      <c r="K1449" s="2" t="s">
        <v>7578</v>
      </c>
      <c r="L1449" s="2" t="s">
        <v>157</v>
      </c>
      <c r="M1449" s="2">
        <v>80118.0</v>
      </c>
      <c r="N1449" s="2" t="s">
        <v>21</v>
      </c>
    </row>
    <row r="1450" ht="15.75" customHeight="1">
      <c r="A1450" s="2">
        <v>2013.0</v>
      </c>
      <c r="B1450" s="2" t="s">
        <v>7579</v>
      </c>
      <c r="C1450" s="2" t="s">
        <v>7580</v>
      </c>
      <c r="D1450" s="2" t="str">
        <f>"4799657941"</f>
        <v>4799657941</v>
      </c>
      <c r="E1450" s="2" t="s">
        <v>261</v>
      </c>
      <c r="F1450" s="2" t="s">
        <v>31</v>
      </c>
      <c r="G1450" s="2" t="str">
        <f>"SR-2039"</f>
        <v>SR-2039</v>
      </c>
      <c r="H1450" s="2" t="s">
        <v>7581</v>
      </c>
      <c r="I1450" s="2" t="s">
        <v>7582</v>
      </c>
      <c r="K1450" s="2" t="s">
        <v>1984</v>
      </c>
      <c r="L1450" s="2" t="s">
        <v>1012</v>
      </c>
      <c r="M1450" s="2">
        <v>72933.0</v>
      </c>
      <c r="N1450" s="2" t="s">
        <v>21</v>
      </c>
    </row>
    <row r="1451" ht="15.75" customHeight="1">
      <c r="A1451" s="2">
        <v>2013.0</v>
      </c>
      <c r="B1451" s="2" t="s">
        <v>7583</v>
      </c>
      <c r="C1451" s="2" t="s">
        <v>7583</v>
      </c>
      <c r="D1451" s="2" t="str">
        <f>"317-494-2792"</f>
        <v>317-494-2792</v>
      </c>
      <c r="E1451" s="2" t="s">
        <v>7584</v>
      </c>
      <c r="F1451" s="2" t="s">
        <v>3576</v>
      </c>
      <c r="G1451" s="2" t="str">
        <f>"SR-2020"</f>
        <v>SR-2020</v>
      </c>
      <c r="H1451" s="2" t="s">
        <v>7585</v>
      </c>
      <c r="I1451" s="2" t="s">
        <v>7586</v>
      </c>
      <c r="K1451" s="2" t="s">
        <v>278</v>
      </c>
      <c r="L1451" s="2" t="s">
        <v>149</v>
      </c>
      <c r="M1451" s="2">
        <v>46131.0</v>
      </c>
      <c r="N1451" s="2" t="s">
        <v>21</v>
      </c>
    </row>
    <row r="1452" ht="15.75" customHeight="1">
      <c r="A1452" s="2">
        <v>2013.0</v>
      </c>
      <c r="B1452" s="2" t="s">
        <v>7587</v>
      </c>
      <c r="C1452" s="2" t="s">
        <v>7587</v>
      </c>
      <c r="D1452" s="2" t="str">
        <f>"5014102063"</f>
        <v>5014102063</v>
      </c>
      <c r="E1452" s="2" t="s">
        <v>1548</v>
      </c>
      <c r="F1452" s="2" t="s">
        <v>7588</v>
      </c>
      <c r="G1452" s="2" t="str">
        <f>"SR-2012"</f>
        <v>SR-2012</v>
      </c>
      <c r="H1452" s="2" t="s">
        <v>7589</v>
      </c>
      <c r="I1452" s="2" t="s">
        <v>7590</v>
      </c>
      <c r="K1452" s="2" t="s">
        <v>7591</v>
      </c>
      <c r="L1452" s="2" t="s">
        <v>149</v>
      </c>
      <c r="M1452" s="2">
        <v>72212.0</v>
      </c>
      <c r="N1452" s="2" t="s">
        <v>21</v>
      </c>
    </row>
    <row r="1453" ht="15.75" customHeight="1">
      <c r="A1453" s="2">
        <v>2013.0</v>
      </c>
      <c r="B1453" s="2" t="s">
        <v>7592</v>
      </c>
      <c r="C1453" s="2" t="s">
        <v>7593</v>
      </c>
      <c r="D1453" s="2" t="str">
        <f>"952-250-9487"</f>
        <v>952-250-9487</v>
      </c>
      <c r="E1453" s="2" t="s">
        <v>926</v>
      </c>
      <c r="F1453" s="2" t="s">
        <v>7594</v>
      </c>
      <c r="G1453" s="2" t="str">
        <f>"SR-2056"</f>
        <v>SR-2056</v>
      </c>
      <c r="H1453" s="2" t="s">
        <v>7595</v>
      </c>
      <c r="I1453" s="2" t="s">
        <v>7596</v>
      </c>
      <c r="K1453" s="2" t="s">
        <v>3109</v>
      </c>
      <c r="L1453" s="2" t="s">
        <v>62</v>
      </c>
      <c r="M1453" s="2">
        <v>55435.0</v>
      </c>
      <c r="N1453" s="2" t="s">
        <v>21</v>
      </c>
    </row>
    <row r="1454" ht="15.75" customHeight="1">
      <c r="A1454" s="2">
        <v>2013.0</v>
      </c>
      <c r="B1454" s="2" t="s">
        <v>7597</v>
      </c>
      <c r="C1454" s="2" t="s">
        <v>7598</v>
      </c>
      <c r="D1454" s="2" t="str">
        <f>"336-998-7719"</f>
        <v>336-998-7719</v>
      </c>
      <c r="E1454" s="2" t="s">
        <v>580</v>
      </c>
      <c r="F1454" s="2" t="s">
        <v>7599</v>
      </c>
      <c r="G1454" s="2" t="str">
        <f>"SR-1984"</f>
        <v>SR-1984</v>
      </c>
      <c r="H1454" s="2" t="s">
        <v>7600</v>
      </c>
      <c r="I1454" s="2" t="s">
        <v>7601</v>
      </c>
      <c r="J1454" s="2" t="s">
        <v>7602</v>
      </c>
      <c r="K1454" s="2" t="s">
        <v>7603</v>
      </c>
      <c r="L1454" s="2" t="s">
        <v>20</v>
      </c>
      <c r="M1454" s="2">
        <v>27006.0</v>
      </c>
      <c r="N1454" s="2" t="s">
        <v>21</v>
      </c>
    </row>
    <row r="1455" ht="15.75" customHeight="1">
      <c r="A1455" s="2">
        <v>2013.0</v>
      </c>
      <c r="B1455" s="2" t="s">
        <v>7604</v>
      </c>
      <c r="C1455" s="2" t="s">
        <v>7605</v>
      </c>
      <c r="D1455" s="2" t="str">
        <f>"336 307 3831"</f>
        <v>336 307 3831</v>
      </c>
      <c r="E1455" s="2" t="s">
        <v>36</v>
      </c>
      <c r="F1455" s="2" t="s">
        <v>7606</v>
      </c>
      <c r="G1455" s="2" t="str">
        <f>"SR-1877"</f>
        <v>SR-1877</v>
      </c>
      <c r="H1455" s="2" t="s">
        <v>7607</v>
      </c>
      <c r="I1455" s="2" t="s">
        <v>7608</v>
      </c>
      <c r="K1455" s="2" t="s">
        <v>7609</v>
      </c>
      <c r="L1455" s="2" t="s">
        <v>20</v>
      </c>
      <c r="M1455" s="2">
        <v>27265.0</v>
      </c>
      <c r="N1455" s="2" t="s">
        <v>21</v>
      </c>
    </row>
    <row r="1456" ht="15.75" customHeight="1">
      <c r="A1456" s="2">
        <v>2013.0</v>
      </c>
      <c r="B1456" s="2" t="s">
        <v>7610</v>
      </c>
      <c r="C1456" s="2" t="s">
        <v>7610</v>
      </c>
      <c r="D1456" s="2" t="str">
        <f>"8137318271"</f>
        <v>8137318271</v>
      </c>
      <c r="E1456" s="2" t="s">
        <v>2361</v>
      </c>
      <c r="F1456" s="2" t="s">
        <v>7611</v>
      </c>
      <c r="G1456" s="2" t="str">
        <f>"SR-2073"</f>
        <v>SR-2073</v>
      </c>
      <c r="H1456" s="2" t="s">
        <v>7612</v>
      </c>
      <c r="I1456" s="2" t="s">
        <v>7613</v>
      </c>
      <c r="K1456" s="2" t="s">
        <v>7614</v>
      </c>
      <c r="L1456" s="2" t="s">
        <v>208</v>
      </c>
      <c r="M1456" s="2">
        <v>33525.0</v>
      </c>
      <c r="N1456" s="2" t="s">
        <v>21</v>
      </c>
    </row>
    <row r="1457" ht="15.75" customHeight="1">
      <c r="A1457" s="2">
        <v>2013.0</v>
      </c>
      <c r="B1457" s="2" t="s">
        <v>7615</v>
      </c>
      <c r="C1457" s="2" t="s">
        <v>7616</v>
      </c>
      <c r="D1457" s="2" t="str">
        <f>"386-801-3142"</f>
        <v>386-801-3142</v>
      </c>
      <c r="E1457" s="2" t="s">
        <v>1208</v>
      </c>
      <c r="F1457" s="2" t="s">
        <v>7617</v>
      </c>
      <c r="G1457" s="2" t="str">
        <f>"SR-2059"</f>
        <v>SR-2059</v>
      </c>
      <c r="H1457" s="2" t="s">
        <v>7618</v>
      </c>
      <c r="I1457" s="2" t="s">
        <v>7619</v>
      </c>
      <c r="K1457" s="2" t="s">
        <v>7620</v>
      </c>
      <c r="L1457" s="2" t="s">
        <v>208</v>
      </c>
      <c r="M1457" s="2">
        <v>32724.0</v>
      </c>
      <c r="N1457" s="2" t="s">
        <v>21</v>
      </c>
    </row>
    <row r="1458" ht="15.75" customHeight="1">
      <c r="A1458" s="2">
        <v>2013.0</v>
      </c>
      <c r="B1458" s="2" t="s">
        <v>7621</v>
      </c>
      <c r="C1458" s="2" t="s">
        <v>7621</v>
      </c>
      <c r="D1458" s="2" t="str">
        <f>"4192811125"</f>
        <v>4192811125</v>
      </c>
      <c r="E1458" s="2" t="s">
        <v>2126</v>
      </c>
      <c r="F1458" s="2" t="s">
        <v>7622</v>
      </c>
      <c r="G1458" s="2" t="str">
        <f>"SR-1170"</f>
        <v>SR-1170</v>
      </c>
      <c r="H1458" s="2" t="s">
        <v>7623</v>
      </c>
      <c r="I1458" s="2" t="s">
        <v>7624</v>
      </c>
      <c r="K1458" s="2" t="s">
        <v>1154</v>
      </c>
      <c r="L1458" s="2" t="s">
        <v>344</v>
      </c>
      <c r="M1458" s="2">
        <v>44805.0</v>
      </c>
      <c r="N1458" s="2" t="s">
        <v>21</v>
      </c>
    </row>
    <row r="1459" ht="15.75" customHeight="1">
      <c r="A1459" s="2">
        <v>2013.0</v>
      </c>
      <c r="B1459" s="2" t="s">
        <v>7625</v>
      </c>
      <c r="C1459" s="2" t="s">
        <v>7626</v>
      </c>
      <c r="D1459" s="2" t="str">
        <f>"336 817 6808"</f>
        <v>336 817 6808</v>
      </c>
      <c r="E1459" s="2" t="s">
        <v>386</v>
      </c>
      <c r="F1459" s="2" t="s">
        <v>7627</v>
      </c>
      <c r="G1459" s="2" t="str">
        <f>"SR-2046"</f>
        <v>SR-2046</v>
      </c>
      <c r="H1459" s="2" t="s">
        <v>7628</v>
      </c>
      <c r="I1459" s="2" t="s">
        <v>7629</v>
      </c>
      <c r="K1459" s="2" t="s">
        <v>7630</v>
      </c>
      <c r="L1459" s="2" t="s">
        <v>20</v>
      </c>
      <c r="M1459" s="2">
        <v>27104.0</v>
      </c>
      <c r="N1459" s="2" t="s">
        <v>21</v>
      </c>
    </row>
    <row r="1460" ht="15.75" customHeight="1">
      <c r="A1460" s="2">
        <v>2013.0</v>
      </c>
      <c r="B1460" s="2" t="s">
        <v>7631</v>
      </c>
      <c r="C1460" s="2" t="s">
        <v>7631</v>
      </c>
      <c r="D1460" s="2" t="str">
        <f>"6513309360"</f>
        <v>6513309360</v>
      </c>
      <c r="E1460" s="2" t="s">
        <v>1664</v>
      </c>
      <c r="F1460" s="2" t="s">
        <v>7632</v>
      </c>
      <c r="G1460" s="2" t="str">
        <f>"SR-2076"</f>
        <v>SR-2076</v>
      </c>
      <c r="H1460" s="2" t="s">
        <v>7633</v>
      </c>
      <c r="I1460" s="2" t="s">
        <v>7634</v>
      </c>
      <c r="K1460" s="2" t="s">
        <v>7635</v>
      </c>
      <c r="L1460" s="2" t="s">
        <v>62</v>
      </c>
      <c r="M1460" s="2">
        <v>55122.0</v>
      </c>
      <c r="N1460" s="2" t="s">
        <v>21</v>
      </c>
    </row>
    <row r="1461" ht="15.75" customHeight="1">
      <c r="A1461" s="2">
        <v>2013.0</v>
      </c>
      <c r="B1461" s="2" t="s">
        <v>7636</v>
      </c>
      <c r="C1461" s="2" t="s">
        <v>7636</v>
      </c>
      <c r="D1461" s="2" t="str">
        <f>"717-733-5500"</f>
        <v>717-733-5500</v>
      </c>
      <c r="E1461" s="2" t="s">
        <v>1088</v>
      </c>
      <c r="F1461" s="2" t="s">
        <v>7637</v>
      </c>
      <c r="G1461" s="2" t="str">
        <f>"SR-2077"</f>
        <v>SR-2077</v>
      </c>
      <c r="H1461" s="2" t="s">
        <v>7638</v>
      </c>
      <c r="I1461" s="2" t="s">
        <v>7639</v>
      </c>
      <c r="K1461" s="2" t="s">
        <v>7640</v>
      </c>
      <c r="L1461" s="2" t="s">
        <v>179</v>
      </c>
      <c r="M1461" s="2">
        <v>17543.0</v>
      </c>
      <c r="N1461" s="2" t="s">
        <v>21</v>
      </c>
    </row>
    <row r="1462" ht="15.75" customHeight="1">
      <c r="A1462" s="2">
        <v>2013.0</v>
      </c>
      <c r="B1462" s="2" t="s">
        <v>7641</v>
      </c>
      <c r="C1462" s="2" t="s">
        <v>7642</v>
      </c>
      <c r="D1462" s="2" t="str">
        <f>"904-635-7681"</f>
        <v>904-635-7681</v>
      </c>
      <c r="E1462" s="2" t="s">
        <v>261</v>
      </c>
      <c r="F1462" s="2" t="s">
        <v>5035</v>
      </c>
      <c r="G1462" s="2" t="str">
        <f>"SR-1818"</f>
        <v>SR-1818</v>
      </c>
      <c r="H1462" s="2" t="s">
        <v>7643</v>
      </c>
      <c r="I1462" s="2" t="s">
        <v>7644</v>
      </c>
      <c r="K1462" s="2" t="s">
        <v>7645</v>
      </c>
      <c r="L1462" s="2" t="s">
        <v>208</v>
      </c>
      <c r="M1462" s="2">
        <v>32259.0</v>
      </c>
      <c r="N1462" s="2" t="s">
        <v>21</v>
      </c>
    </row>
    <row r="1463" ht="15.75" customHeight="1">
      <c r="A1463" s="2">
        <v>2013.0</v>
      </c>
      <c r="B1463" s="2" t="s">
        <v>7646</v>
      </c>
      <c r="C1463" s="2" t="s">
        <v>7646</v>
      </c>
      <c r="D1463" s="2" t="str">
        <f>"580-272-7314"</f>
        <v>580-272-7314</v>
      </c>
      <c r="E1463" s="2" t="s">
        <v>515</v>
      </c>
      <c r="F1463" s="2" t="s">
        <v>7647</v>
      </c>
      <c r="G1463" s="2" t="str">
        <f>"SR-1768"</f>
        <v>SR-1768</v>
      </c>
      <c r="H1463" s="2" t="s">
        <v>7648</v>
      </c>
      <c r="I1463" s="2" t="s">
        <v>7649</v>
      </c>
      <c r="K1463" s="2" t="s">
        <v>7650</v>
      </c>
      <c r="L1463" s="2" t="s">
        <v>840</v>
      </c>
      <c r="M1463" s="2">
        <v>74872.0</v>
      </c>
      <c r="N1463" s="2" t="s">
        <v>21</v>
      </c>
    </row>
    <row r="1464" ht="15.75" customHeight="1">
      <c r="A1464" s="2">
        <v>2013.0</v>
      </c>
      <c r="B1464" s="2" t="s">
        <v>7651</v>
      </c>
      <c r="D1464" s="2" t="str">
        <f>"770-602-4941"</f>
        <v>770-602-4941</v>
      </c>
      <c r="E1464" s="2" t="s">
        <v>7652</v>
      </c>
      <c r="F1464" s="2" t="s">
        <v>7653</v>
      </c>
      <c r="G1464" s="2" t="str">
        <f>"SR-1897"</f>
        <v>SR-1897</v>
      </c>
      <c r="H1464" s="2" t="s">
        <v>7654</v>
      </c>
      <c r="I1464" s="2" t="s">
        <v>7655</v>
      </c>
      <c r="K1464" s="2" t="s">
        <v>7656</v>
      </c>
      <c r="L1464" s="2" t="s">
        <v>200</v>
      </c>
      <c r="M1464" s="2">
        <v>30094.0</v>
      </c>
      <c r="N1464" s="2" t="s">
        <v>21</v>
      </c>
    </row>
    <row r="1465" ht="15.75" customHeight="1">
      <c r="A1465" s="2">
        <v>2013.0</v>
      </c>
      <c r="B1465" s="2" t="s">
        <v>7657</v>
      </c>
      <c r="C1465" s="2" t="s">
        <v>7658</v>
      </c>
      <c r="D1465" s="2" t="str">
        <f>"2314092252"</f>
        <v>2314092252</v>
      </c>
      <c r="E1465" s="2" t="s">
        <v>705</v>
      </c>
      <c r="F1465" s="2" t="s">
        <v>7659</v>
      </c>
      <c r="G1465" s="2" t="str">
        <f>"SR-2083"</f>
        <v>SR-2083</v>
      </c>
      <c r="H1465" s="2" t="s">
        <v>7660</v>
      </c>
      <c r="I1465" s="2" t="s">
        <v>7661</v>
      </c>
      <c r="K1465" s="2" t="s">
        <v>7662</v>
      </c>
      <c r="L1465" s="2" t="s">
        <v>29</v>
      </c>
      <c r="M1465" s="2">
        <v>49684.0</v>
      </c>
      <c r="N1465" s="2" t="s">
        <v>21</v>
      </c>
    </row>
    <row r="1466" ht="15.75" customHeight="1">
      <c r="A1466" s="2">
        <v>2013.0</v>
      </c>
      <c r="B1466" s="2" t="s">
        <v>7663</v>
      </c>
      <c r="C1466" s="2" t="s">
        <v>7663</v>
      </c>
      <c r="D1466" s="2" t="str">
        <f>"318-255-3306"</f>
        <v>318-255-3306</v>
      </c>
      <c r="E1466" s="2" t="s">
        <v>417</v>
      </c>
      <c r="F1466" s="2" t="s">
        <v>7279</v>
      </c>
      <c r="G1466" s="2" t="str">
        <f>"SR-2042"</f>
        <v>SR-2042</v>
      </c>
      <c r="H1466" s="2" t="s">
        <v>7664</v>
      </c>
      <c r="I1466" s="2" t="s">
        <v>7665</v>
      </c>
      <c r="K1466" s="2" t="s">
        <v>714</v>
      </c>
      <c r="L1466" s="2" t="s">
        <v>715</v>
      </c>
      <c r="M1466" s="2">
        <v>71270.0</v>
      </c>
      <c r="N1466" s="2" t="s">
        <v>21</v>
      </c>
    </row>
    <row r="1467" ht="15.75" customHeight="1">
      <c r="A1467" s="2">
        <v>2013.0</v>
      </c>
      <c r="B1467" s="2" t="s">
        <v>7666</v>
      </c>
      <c r="C1467" s="2" t="s">
        <v>7666</v>
      </c>
      <c r="D1467" s="2" t="str">
        <f>"229-436-2706"</f>
        <v>229-436-2706</v>
      </c>
      <c r="E1467" s="2" t="s">
        <v>24</v>
      </c>
      <c r="F1467" s="2" t="s">
        <v>7667</v>
      </c>
      <c r="G1467" s="2" t="str">
        <f>"SR-358"</f>
        <v>SR-358</v>
      </c>
      <c r="H1467" s="2" t="s">
        <v>7668</v>
      </c>
      <c r="I1467" s="2" t="s">
        <v>7669</v>
      </c>
      <c r="K1467" s="2" t="s">
        <v>7670</v>
      </c>
      <c r="L1467" s="2" t="s">
        <v>200</v>
      </c>
      <c r="M1467" s="2">
        <v>31705.0</v>
      </c>
      <c r="N1467" s="2" t="s">
        <v>21</v>
      </c>
    </row>
    <row r="1468" ht="15.75" customHeight="1">
      <c r="A1468" s="2">
        <v>2013.0</v>
      </c>
      <c r="B1468" s="2" t="s">
        <v>7671</v>
      </c>
      <c r="C1468" s="2" t="s">
        <v>7672</v>
      </c>
      <c r="D1468" s="2" t="str">
        <f>"(720) 560-1663"</f>
        <v>(720) 560-1663</v>
      </c>
      <c r="E1468" s="2" t="s">
        <v>7673</v>
      </c>
      <c r="F1468" s="2" t="s">
        <v>3052</v>
      </c>
      <c r="G1468" s="2" t="str">
        <f>"SR-767"</f>
        <v>SR-767</v>
      </c>
      <c r="H1468" s="2" t="s">
        <v>7674</v>
      </c>
      <c r="I1468" s="2" t="s">
        <v>7675</v>
      </c>
      <c r="K1468" s="2" t="s">
        <v>1889</v>
      </c>
      <c r="L1468" s="2" t="s">
        <v>157</v>
      </c>
      <c r="M1468" s="2">
        <v>80128.0</v>
      </c>
      <c r="N1468" s="2" t="s">
        <v>21</v>
      </c>
    </row>
    <row r="1469" ht="15.75" customHeight="1">
      <c r="A1469" s="2">
        <v>2013.0</v>
      </c>
      <c r="B1469" s="2" t="s">
        <v>7676</v>
      </c>
      <c r="C1469" s="2" t="s">
        <v>7677</v>
      </c>
      <c r="D1469" s="2" t="str">
        <f>"(204) 888-3004"</f>
        <v>(204) 888-3004</v>
      </c>
      <c r="E1469" s="2" t="s">
        <v>1440</v>
      </c>
      <c r="F1469" s="2" t="s">
        <v>7678</v>
      </c>
      <c r="G1469" s="2" t="str">
        <f>"SR-2051"</f>
        <v>SR-2051</v>
      </c>
      <c r="H1469" s="2" t="s">
        <v>7679</v>
      </c>
      <c r="I1469" s="2" t="s">
        <v>7680</v>
      </c>
      <c r="K1469" s="2" t="s">
        <v>7681</v>
      </c>
      <c r="L1469" s="2" t="s">
        <v>7682</v>
      </c>
      <c r="M1469" s="2" t="s">
        <v>7683</v>
      </c>
      <c r="N1469" s="2" t="s">
        <v>1602</v>
      </c>
    </row>
    <row r="1470" ht="15.75" customHeight="1">
      <c r="A1470" s="2">
        <v>2013.0</v>
      </c>
      <c r="B1470" s="2" t="s">
        <v>7684</v>
      </c>
      <c r="C1470" s="2" t="s">
        <v>7684</v>
      </c>
      <c r="D1470" s="2" t="str">
        <f>"4025708684"</f>
        <v>4025708684</v>
      </c>
      <c r="E1470" s="2" t="s">
        <v>1362</v>
      </c>
      <c r="F1470" s="2" t="s">
        <v>7685</v>
      </c>
      <c r="G1470" s="2" t="str">
        <f>"SR-1743"</f>
        <v>SR-1743</v>
      </c>
      <c r="H1470" s="2" t="s">
        <v>7686</v>
      </c>
      <c r="I1470" s="2" t="s">
        <v>7687</v>
      </c>
      <c r="K1470" s="2" t="s">
        <v>572</v>
      </c>
      <c r="L1470" s="2" t="s">
        <v>757</v>
      </c>
      <c r="M1470" s="2">
        <v>68516.0</v>
      </c>
      <c r="N1470" s="2" t="s">
        <v>21</v>
      </c>
    </row>
    <row r="1471" ht="15.75" customHeight="1">
      <c r="A1471" s="2">
        <v>2013.0</v>
      </c>
      <c r="B1471" s="2" t="s">
        <v>7688</v>
      </c>
      <c r="C1471" s="2" t="s">
        <v>7688</v>
      </c>
      <c r="D1471" s="2" t="str">
        <f>"919-902-0636"</f>
        <v>919-902-0636</v>
      </c>
      <c r="E1471" s="2" t="s">
        <v>314</v>
      </c>
      <c r="F1471" s="2" t="s">
        <v>7689</v>
      </c>
      <c r="G1471" s="2" t="str">
        <f>"SR-2090"</f>
        <v>SR-2090</v>
      </c>
      <c r="H1471" s="2" t="s">
        <v>7690</v>
      </c>
      <c r="I1471" s="2" t="s">
        <v>7691</v>
      </c>
      <c r="K1471" s="2" t="s">
        <v>7692</v>
      </c>
      <c r="L1471" s="2" t="s">
        <v>20</v>
      </c>
      <c r="M1471" s="2">
        <v>27504.0</v>
      </c>
      <c r="N1471" s="2" t="s">
        <v>21</v>
      </c>
    </row>
    <row r="1472" ht="15.75" customHeight="1">
      <c r="A1472" s="2">
        <v>2013.0</v>
      </c>
      <c r="B1472" s="2" t="s">
        <v>7693</v>
      </c>
      <c r="C1472" s="2" t="s">
        <v>7694</v>
      </c>
      <c r="D1472" s="2" t="str">
        <f>"281-508-6354"</f>
        <v>281-508-6354</v>
      </c>
      <c r="E1472" s="2" t="s">
        <v>7695</v>
      </c>
      <c r="F1472" s="2" t="s">
        <v>7696</v>
      </c>
      <c r="G1472" s="2" t="str">
        <f>"SR-2058"</f>
        <v>SR-2058</v>
      </c>
      <c r="H1472" s="2" t="s">
        <v>7697</v>
      </c>
      <c r="I1472" s="2" t="s">
        <v>7698</v>
      </c>
      <c r="K1472" s="2" t="s">
        <v>7699</v>
      </c>
      <c r="L1472" s="2" t="s">
        <v>172</v>
      </c>
      <c r="M1472" s="2">
        <v>77521.0</v>
      </c>
      <c r="N1472" s="2" t="s">
        <v>21</v>
      </c>
    </row>
    <row r="1473" ht="15.75" customHeight="1">
      <c r="A1473" s="2">
        <v>2013.0</v>
      </c>
      <c r="B1473" s="2" t="s">
        <v>7700</v>
      </c>
      <c r="C1473" s="2" t="s">
        <v>7701</v>
      </c>
      <c r="D1473" s="2" t="str">
        <f>"910-485-3309"</f>
        <v>910-485-3309</v>
      </c>
      <c r="E1473" s="2" t="s">
        <v>1928</v>
      </c>
      <c r="F1473" s="2" t="s">
        <v>7702</v>
      </c>
      <c r="G1473" s="2" t="str">
        <f>"SR-2084"</f>
        <v>SR-2084</v>
      </c>
      <c r="H1473" s="2" t="s">
        <v>7703</v>
      </c>
      <c r="I1473" s="2" t="s">
        <v>7704</v>
      </c>
      <c r="K1473" s="2" t="s">
        <v>3164</v>
      </c>
      <c r="L1473" s="2" t="s">
        <v>20</v>
      </c>
      <c r="M1473" s="2">
        <v>28304.0</v>
      </c>
      <c r="N1473" s="2" t="s">
        <v>21</v>
      </c>
    </row>
    <row r="1474" ht="15.75" customHeight="1">
      <c r="A1474" s="2">
        <v>2013.0</v>
      </c>
      <c r="B1474" s="2" t="s">
        <v>7705</v>
      </c>
      <c r="C1474" s="2" t="s">
        <v>7706</v>
      </c>
      <c r="D1474" s="2" t="str">
        <f>"908-281-9355"</f>
        <v>908-281-9355</v>
      </c>
      <c r="E1474" s="2" t="s">
        <v>2147</v>
      </c>
      <c r="F1474" s="2" t="s">
        <v>7707</v>
      </c>
      <c r="G1474" s="2" t="str">
        <f>"SR-2070"</f>
        <v>SR-2070</v>
      </c>
      <c r="H1474" s="2" t="s">
        <v>7708</v>
      </c>
      <c r="I1474" s="2" t="s">
        <v>7709</v>
      </c>
      <c r="K1474" s="2" t="s">
        <v>1285</v>
      </c>
      <c r="L1474" s="2" t="s">
        <v>3618</v>
      </c>
      <c r="M1474" s="2">
        <v>8844.0</v>
      </c>
      <c r="N1474" s="2" t="s">
        <v>21</v>
      </c>
    </row>
    <row r="1475" ht="15.75" customHeight="1">
      <c r="A1475" s="2">
        <v>2013.0</v>
      </c>
      <c r="B1475" s="2" t="s">
        <v>7710</v>
      </c>
      <c r="C1475" s="2" t="s">
        <v>7710</v>
      </c>
      <c r="D1475" s="2" t="str">
        <f>"406-860-8780"</f>
        <v>406-860-8780</v>
      </c>
      <c r="E1475" s="2" t="s">
        <v>301</v>
      </c>
      <c r="F1475" s="2" t="s">
        <v>7711</v>
      </c>
      <c r="G1475" s="2" t="str">
        <f>"SR-1822"</f>
        <v>SR-1822</v>
      </c>
      <c r="H1475" s="2" t="s">
        <v>7712</v>
      </c>
      <c r="I1475" s="2" t="s">
        <v>7713</v>
      </c>
      <c r="K1475" s="2" t="s">
        <v>3548</v>
      </c>
      <c r="L1475" s="2" t="s">
        <v>2696</v>
      </c>
      <c r="M1475" s="2">
        <v>59102.0</v>
      </c>
      <c r="N1475" s="2" t="s">
        <v>21</v>
      </c>
    </row>
    <row r="1476" ht="15.75" customHeight="1">
      <c r="A1476" s="2">
        <v>2013.0</v>
      </c>
      <c r="B1476" s="2" t="s">
        <v>7714</v>
      </c>
      <c r="C1476" s="2" t="s">
        <v>7714</v>
      </c>
      <c r="D1476" s="2" t="str">
        <f>"6154402885"</f>
        <v>6154402885</v>
      </c>
      <c r="E1476" s="2" t="s">
        <v>908</v>
      </c>
      <c r="F1476" s="2" t="s">
        <v>7715</v>
      </c>
      <c r="G1476" s="2" t="str">
        <f>"SR-1838"</f>
        <v>SR-1838</v>
      </c>
      <c r="H1476" s="2" t="s">
        <v>7716</v>
      </c>
      <c r="I1476" s="2" t="s">
        <v>7717</v>
      </c>
      <c r="K1476" s="2" t="s">
        <v>278</v>
      </c>
      <c r="L1476" s="2" t="s">
        <v>279</v>
      </c>
      <c r="M1476" s="2">
        <v>37064.0</v>
      </c>
      <c r="N1476" s="2" t="s">
        <v>21</v>
      </c>
    </row>
    <row r="1477" ht="15.75" customHeight="1">
      <c r="A1477" s="2">
        <v>2013.0</v>
      </c>
      <c r="B1477" s="2" t="s">
        <v>7718</v>
      </c>
      <c r="C1477" s="2" t="s">
        <v>7719</v>
      </c>
      <c r="D1477" s="2" t="str">
        <f>"612 309-0309"</f>
        <v>612 309-0309</v>
      </c>
      <c r="E1477" s="2" t="s">
        <v>2930</v>
      </c>
      <c r="F1477" s="2" t="s">
        <v>1483</v>
      </c>
      <c r="G1477" s="2" t="str">
        <f>"SR-2061"</f>
        <v>SR-2061</v>
      </c>
      <c r="H1477" s="2" t="s">
        <v>7720</v>
      </c>
      <c r="I1477" s="2" t="s">
        <v>7721</v>
      </c>
      <c r="K1477" s="2" t="s">
        <v>7722</v>
      </c>
      <c r="L1477" s="2" t="s">
        <v>62</v>
      </c>
      <c r="M1477" s="2">
        <v>55306.0</v>
      </c>
      <c r="N1477" s="2" t="s">
        <v>21</v>
      </c>
    </row>
    <row r="1478" ht="15.75" customHeight="1">
      <c r="A1478" s="2">
        <v>2013.0</v>
      </c>
      <c r="B1478" s="2" t="s">
        <v>7723</v>
      </c>
      <c r="C1478" s="2" t="s">
        <v>7723</v>
      </c>
      <c r="D1478" s="2" t="str">
        <f>"(409) 434-7033"</f>
        <v>(409) 434-7033</v>
      </c>
      <c r="E1478" s="2" t="s">
        <v>2167</v>
      </c>
      <c r="F1478" s="2" t="s">
        <v>7724</v>
      </c>
      <c r="G1478" s="2" t="str">
        <f>"SR-2082"</f>
        <v>SR-2082</v>
      </c>
      <c r="H1478" s="2" t="s">
        <v>7725</v>
      </c>
      <c r="I1478" s="2" t="s">
        <v>7726</v>
      </c>
      <c r="K1478" s="2" t="s">
        <v>7727</v>
      </c>
      <c r="L1478" s="2" t="s">
        <v>172</v>
      </c>
      <c r="M1478" s="2">
        <v>77657.0</v>
      </c>
      <c r="N1478" s="2" t="s">
        <v>21</v>
      </c>
    </row>
    <row r="1479" ht="15.75" customHeight="1">
      <c r="A1479" s="2">
        <v>2013.0</v>
      </c>
      <c r="B1479" s="2" t="s">
        <v>7728</v>
      </c>
      <c r="C1479" s="2" t="s">
        <v>7729</v>
      </c>
      <c r="D1479" s="2" t="str">
        <f>"719-484-9022"</f>
        <v>719-484-9022</v>
      </c>
      <c r="E1479" s="2" t="s">
        <v>5760</v>
      </c>
      <c r="F1479" s="2" t="s">
        <v>7730</v>
      </c>
      <c r="G1479" s="2" t="str">
        <f>"SR-2092"</f>
        <v>SR-2092</v>
      </c>
      <c r="H1479" s="2" t="s">
        <v>7731</v>
      </c>
      <c r="I1479" s="2" t="s">
        <v>7732</v>
      </c>
      <c r="K1479" s="2" t="s">
        <v>975</v>
      </c>
      <c r="L1479" s="2" t="s">
        <v>157</v>
      </c>
      <c r="M1479" s="2">
        <v>80831.0</v>
      </c>
      <c r="N1479" s="2" t="s">
        <v>21</v>
      </c>
    </row>
    <row r="1480" ht="15.75" customHeight="1">
      <c r="A1480" s="2">
        <v>2013.0</v>
      </c>
      <c r="B1480" s="2" t="s">
        <v>7733</v>
      </c>
      <c r="C1480" s="2" t="s">
        <v>7733</v>
      </c>
      <c r="D1480" s="2" t="str">
        <f>"931-374-7013"</f>
        <v>931-374-7013</v>
      </c>
      <c r="E1480" s="2" t="s">
        <v>250</v>
      </c>
      <c r="F1480" s="2" t="s">
        <v>7588</v>
      </c>
      <c r="G1480" s="2" t="str">
        <f>"SR-2103"</f>
        <v>SR-2103</v>
      </c>
      <c r="H1480" s="2" t="s">
        <v>7734</v>
      </c>
      <c r="I1480" s="2" t="s">
        <v>7735</v>
      </c>
      <c r="K1480" s="2" t="s">
        <v>1759</v>
      </c>
      <c r="L1480" s="2" t="s">
        <v>1012</v>
      </c>
      <c r="M1480" s="2">
        <v>72212.0</v>
      </c>
      <c r="N1480" s="2" t="s">
        <v>21</v>
      </c>
    </row>
    <row r="1481" ht="15.75" customHeight="1">
      <c r="A1481" s="2">
        <v>2013.0</v>
      </c>
      <c r="B1481" s="2" t="s">
        <v>7736</v>
      </c>
      <c r="C1481" s="2" t="s">
        <v>7736</v>
      </c>
      <c r="D1481" s="2" t="str">
        <f>"(231)649-6837"</f>
        <v>(231)649-6837</v>
      </c>
      <c r="E1481" s="2" t="s">
        <v>503</v>
      </c>
      <c r="F1481" s="2" t="s">
        <v>7737</v>
      </c>
      <c r="G1481" s="2" t="str">
        <f>"SR-2107"</f>
        <v>SR-2107</v>
      </c>
      <c r="H1481" s="2" t="s">
        <v>7738</v>
      </c>
      <c r="I1481" s="2" t="s">
        <v>7739</v>
      </c>
      <c r="K1481" s="2" t="s">
        <v>7740</v>
      </c>
      <c r="L1481" s="2" t="s">
        <v>715</v>
      </c>
      <c r="M1481" s="2">
        <v>70660.0</v>
      </c>
      <c r="N1481" s="2" t="s">
        <v>21</v>
      </c>
    </row>
    <row r="1482" ht="15.75" customHeight="1">
      <c r="A1482" s="2">
        <v>2013.0</v>
      </c>
      <c r="B1482" s="2" t="s">
        <v>7741</v>
      </c>
      <c r="C1482" s="2" t="s">
        <v>7741</v>
      </c>
      <c r="D1482" s="2" t="str">
        <f>"405-420-4709"</f>
        <v>405-420-4709</v>
      </c>
      <c r="E1482" s="2" t="s">
        <v>1548</v>
      </c>
      <c r="F1482" s="2" t="s">
        <v>7742</v>
      </c>
      <c r="G1482" s="2" t="str">
        <f>"SR-2089"</f>
        <v>SR-2089</v>
      </c>
      <c r="H1482" s="2" t="s">
        <v>7743</v>
      </c>
      <c r="I1482" s="2" t="s">
        <v>7744</v>
      </c>
      <c r="K1482" s="2" t="s">
        <v>7745</v>
      </c>
      <c r="L1482" s="2" t="s">
        <v>840</v>
      </c>
      <c r="M1482" s="2">
        <v>73115.0</v>
      </c>
      <c r="N1482" s="2" t="s">
        <v>21</v>
      </c>
    </row>
    <row r="1483" ht="15.75" customHeight="1">
      <c r="A1483" s="2">
        <v>2013.0</v>
      </c>
      <c r="B1483" s="2" t="s">
        <v>7746</v>
      </c>
      <c r="C1483" s="2" t="s">
        <v>7746</v>
      </c>
      <c r="D1483" s="2" t="str">
        <f>"423-414-8229"</f>
        <v>423-414-8229</v>
      </c>
      <c r="E1483" s="2" t="s">
        <v>456</v>
      </c>
      <c r="F1483" s="2" t="s">
        <v>7747</v>
      </c>
      <c r="G1483" s="2" t="str">
        <f>"SR-2105"</f>
        <v>SR-2105</v>
      </c>
      <c r="H1483" s="2" t="s">
        <v>7748</v>
      </c>
      <c r="I1483" s="2" t="s">
        <v>7749</v>
      </c>
      <c r="K1483" s="2" t="s">
        <v>7750</v>
      </c>
      <c r="L1483" s="2" t="s">
        <v>200</v>
      </c>
      <c r="M1483" s="2">
        <v>30707.0</v>
      </c>
      <c r="N1483" s="2" t="s">
        <v>21</v>
      </c>
    </row>
    <row r="1484" ht="15.75" customHeight="1">
      <c r="A1484" s="2">
        <v>2013.0</v>
      </c>
      <c r="B1484" s="2" t="s">
        <v>7751</v>
      </c>
      <c r="C1484" s="2" t="s">
        <v>7751</v>
      </c>
      <c r="D1484" s="2" t="str">
        <f>"256-415-2074"</f>
        <v>256-415-2074</v>
      </c>
      <c r="E1484" s="2" t="s">
        <v>5244</v>
      </c>
      <c r="F1484" s="2" t="s">
        <v>1496</v>
      </c>
      <c r="G1484" s="2" t="str">
        <f>"SR-1880"</f>
        <v>SR-1880</v>
      </c>
      <c r="H1484" s="2" t="s">
        <v>7752</v>
      </c>
      <c r="I1484" s="2" t="s">
        <v>7753</v>
      </c>
      <c r="K1484" s="2" t="s">
        <v>254</v>
      </c>
      <c r="L1484" s="2" t="s">
        <v>539</v>
      </c>
      <c r="M1484" s="2">
        <v>35648.0</v>
      </c>
      <c r="N1484" s="2" t="s">
        <v>21</v>
      </c>
    </row>
    <row r="1485" ht="15.75" customHeight="1">
      <c r="A1485" s="2">
        <v>2013.0</v>
      </c>
      <c r="B1485" s="2" t="s">
        <v>2700</v>
      </c>
      <c r="D1485" s="2" t="str">
        <f>"662-269-2115"</f>
        <v>662-269-2115</v>
      </c>
      <c r="E1485" s="2" t="s">
        <v>7754</v>
      </c>
      <c r="F1485" s="2" t="s">
        <v>2702</v>
      </c>
      <c r="G1485" s="2" t="str">
        <f>"SR-1987"</f>
        <v>SR-1987</v>
      </c>
      <c r="H1485" s="2" t="s">
        <v>7755</v>
      </c>
      <c r="I1485" s="2" t="s">
        <v>2704</v>
      </c>
      <c r="K1485" s="2" t="s">
        <v>2432</v>
      </c>
      <c r="L1485" s="2" t="s">
        <v>1722</v>
      </c>
      <c r="M1485" s="2">
        <v>38801.0</v>
      </c>
      <c r="N1485" s="2" t="s">
        <v>21</v>
      </c>
    </row>
    <row r="1486" ht="15.75" customHeight="1">
      <c r="A1486" s="2">
        <v>2013.0</v>
      </c>
      <c r="B1486" s="2" t="s">
        <v>7756</v>
      </c>
      <c r="C1486" s="2" t="s">
        <v>7757</v>
      </c>
      <c r="D1486" s="2" t="str">
        <f>"7196944363"</f>
        <v>7196944363</v>
      </c>
      <c r="E1486" s="2" t="s">
        <v>7758</v>
      </c>
      <c r="F1486" s="2" t="s">
        <v>7759</v>
      </c>
      <c r="G1486" s="2" t="str">
        <f>"SR-2113"</f>
        <v>SR-2113</v>
      </c>
      <c r="H1486" s="2" t="s">
        <v>7760</v>
      </c>
      <c r="I1486" s="2" t="s">
        <v>7761</v>
      </c>
      <c r="K1486" s="2" t="s">
        <v>809</v>
      </c>
      <c r="L1486" s="2" t="s">
        <v>157</v>
      </c>
      <c r="M1486" s="2">
        <v>80920.0</v>
      </c>
      <c r="N1486" s="2" t="s">
        <v>21</v>
      </c>
    </row>
    <row r="1487" ht="15.75" customHeight="1">
      <c r="A1487" s="2">
        <v>2013.0</v>
      </c>
      <c r="B1487" s="2" t="s">
        <v>7762</v>
      </c>
      <c r="C1487" s="2" t="s">
        <v>7763</v>
      </c>
      <c r="D1487" s="2" t="str">
        <f>"303-547-2825"</f>
        <v>303-547-2825</v>
      </c>
      <c r="E1487" s="2" t="s">
        <v>137</v>
      </c>
      <c r="F1487" s="2" t="s">
        <v>7764</v>
      </c>
      <c r="G1487" s="2" t="str">
        <f>"SR-2117"</f>
        <v>SR-2117</v>
      </c>
      <c r="H1487" s="2" t="s">
        <v>7765</v>
      </c>
      <c r="I1487" s="2" t="s">
        <v>7766</v>
      </c>
      <c r="K1487" s="2" t="s">
        <v>7767</v>
      </c>
      <c r="L1487" s="2" t="s">
        <v>222</v>
      </c>
      <c r="M1487" s="2">
        <v>92082.0</v>
      </c>
      <c r="N1487" s="2" t="s">
        <v>21</v>
      </c>
    </row>
    <row r="1488" ht="15.75" customHeight="1">
      <c r="A1488" s="2">
        <v>2013.0</v>
      </c>
      <c r="B1488" s="2" t="s">
        <v>7768</v>
      </c>
      <c r="C1488" s="2" t="s">
        <v>7768</v>
      </c>
      <c r="D1488" s="2" t="str">
        <f>"(225)-324-9394"</f>
        <v>(225)-324-9394</v>
      </c>
      <c r="E1488" s="2" t="s">
        <v>659</v>
      </c>
      <c r="F1488" s="2" t="s">
        <v>6527</v>
      </c>
      <c r="G1488" s="2" t="str">
        <f>"SR-2114"</f>
        <v>SR-2114</v>
      </c>
      <c r="H1488" s="2" t="s">
        <v>7769</v>
      </c>
      <c r="I1488" s="2" t="s">
        <v>7770</v>
      </c>
      <c r="K1488" s="2" t="s">
        <v>7771</v>
      </c>
      <c r="L1488" s="2" t="s">
        <v>715</v>
      </c>
      <c r="M1488" s="2">
        <v>70780.0</v>
      </c>
      <c r="N1488" s="2" t="s">
        <v>21</v>
      </c>
    </row>
    <row r="1489" ht="15.75" customHeight="1">
      <c r="A1489" s="2">
        <v>2013.0</v>
      </c>
      <c r="B1489" s="2" t="s">
        <v>7772</v>
      </c>
      <c r="C1489" s="2" t="s">
        <v>7772</v>
      </c>
      <c r="D1489" s="2" t="str">
        <f>"808 595-7367"</f>
        <v>808 595-7367</v>
      </c>
      <c r="E1489" s="2" t="s">
        <v>1870</v>
      </c>
      <c r="F1489" s="2" t="s">
        <v>7773</v>
      </c>
      <c r="G1489" s="2" t="str">
        <f>"SR-2094"</f>
        <v>SR-2094</v>
      </c>
      <c r="H1489" s="2" t="s">
        <v>7774</v>
      </c>
      <c r="I1489" s="2" t="s">
        <v>7775</v>
      </c>
      <c r="K1489" s="2" t="s">
        <v>7776</v>
      </c>
      <c r="L1489" s="2" t="s">
        <v>770</v>
      </c>
      <c r="M1489" s="2">
        <v>96817.0</v>
      </c>
      <c r="N1489" s="2" t="s">
        <v>21</v>
      </c>
    </row>
    <row r="1490" ht="15.75" customHeight="1">
      <c r="A1490" s="2">
        <v>2013.0</v>
      </c>
      <c r="B1490" s="2" t="s">
        <v>7777</v>
      </c>
      <c r="C1490" s="2" t="s">
        <v>7778</v>
      </c>
      <c r="D1490" s="2" t="str">
        <f>"3334408269"</f>
        <v>3334408269</v>
      </c>
      <c r="E1490" s="2" t="s">
        <v>137</v>
      </c>
      <c r="F1490" s="2" t="s">
        <v>7779</v>
      </c>
      <c r="G1490" s="2" t="str">
        <f>"SR-2095"</f>
        <v>SR-2095</v>
      </c>
      <c r="H1490" s="2" t="s">
        <v>7780</v>
      </c>
      <c r="I1490" s="2" t="s">
        <v>7781</v>
      </c>
      <c r="K1490" s="2" t="s">
        <v>7782</v>
      </c>
      <c r="L1490" s="2" t="s">
        <v>7783</v>
      </c>
      <c r="M1490" s="2">
        <v>45660.0</v>
      </c>
      <c r="N1490" s="2" t="s">
        <v>7784</v>
      </c>
    </row>
    <row r="1491" ht="15.75" customHeight="1">
      <c r="A1491" s="2">
        <v>2013.0</v>
      </c>
      <c r="B1491" s="2" t="s">
        <v>7785</v>
      </c>
      <c r="C1491" s="2" t="s">
        <v>7786</v>
      </c>
      <c r="D1491" s="2" t="str">
        <f>"251-442-5370"</f>
        <v>251-442-5370</v>
      </c>
      <c r="E1491" s="2" t="s">
        <v>1782</v>
      </c>
      <c r="F1491" s="2" t="s">
        <v>639</v>
      </c>
      <c r="G1491" s="2" t="str">
        <f>"SR-2104"</f>
        <v>SR-2104</v>
      </c>
      <c r="H1491" s="2" t="s">
        <v>7787</v>
      </c>
      <c r="I1491" s="2">
        <v>7499.0</v>
      </c>
      <c r="J1491" s="2" t="s">
        <v>7788</v>
      </c>
      <c r="K1491" s="2" t="s">
        <v>5293</v>
      </c>
      <c r="L1491" s="2" t="s">
        <v>539</v>
      </c>
      <c r="M1491" s="2">
        <v>36695.0</v>
      </c>
      <c r="N1491" s="2" t="s">
        <v>21</v>
      </c>
    </row>
    <row r="1492" ht="15.75" customHeight="1">
      <c r="A1492" s="2">
        <v>2013.0</v>
      </c>
      <c r="B1492" s="2" t="s">
        <v>7789</v>
      </c>
      <c r="C1492" s="2" t="s">
        <v>7789</v>
      </c>
      <c r="D1492" s="2" t="str">
        <f>"064-4-5673730"</f>
        <v>064-4-5673730</v>
      </c>
      <c r="E1492" s="2" t="s">
        <v>705</v>
      </c>
      <c r="F1492" s="2" t="s">
        <v>7790</v>
      </c>
      <c r="G1492" s="2" t="str">
        <f>"SR-2007"</f>
        <v>SR-2007</v>
      </c>
      <c r="H1492" s="2" t="s">
        <v>7791</v>
      </c>
      <c r="I1492" s="2" t="s">
        <v>7792</v>
      </c>
      <c r="J1492" s="2" t="s">
        <v>3823</v>
      </c>
      <c r="K1492" s="2" t="s">
        <v>7793</v>
      </c>
      <c r="L1492" s="2" t="s">
        <v>702</v>
      </c>
      <c r="M1492" s="2">
        <v>5011.0</v>
      </c>
      <c r="N1492" s="2" t="s">
        <v>702</v>
      </c>
    </row>
    <row r="1493" ht="15.75" customHeight="1">
      <c r="A1493" s="2">
        <v>2013.0</v>
      </c>
      <c r="B1493" s="2" t="s">
        <v>7794</v>
      </c>
      <c r="C1493" s="2" t="s">
        <v>7795</v>
      </c>
      <c r="D1493" s="2" t="str">
        <f>"740-358-2103"</f>
        <v>740-358-2103</v>
      </c>
      <c r="E1493" s="2" t="s">
        <v>7796</v>
      </c>
      <c r="F1493" s="2" t="s">
        <v>7797</v>
      </c>
      <c r="G1493" s="2" t="str">
        <f>"SR-2130"</f>
        <v>SR-2130</v>
      </c>
      <c r="H1493" s="2" t="s">
        <v>7798</v>
      </c>
      <c r="I1493" s="2" t="s">
        <v>7799</v>
      </c>
      <c r="K1493" s="2" t="s">
        <v>6615</v>
      </c>
      <c r="L1493" s="2" t="s">
        <v>344</v>
      </c>
      <c r="M1493" s="2">
        <v>43050.0</v>
      </c>
      <c r="N1493" s="2" t="s">
        <v>21</v>
      </c>
    </row>
    <row r="1494" ht="15.75" customHeight="1">
      <c r="A1494" s="2">
        <v>2013.0</v>
      </c>
      <c r="B1494" s="2" t="s">
        <v>7800</v>
      </c>
      <c r="C1494" s="2" t="s">
        <v>7800</v>
      </c>
      <c r="D1494" s="2" t="str">
        <f>"9123528796"</f>
        <v>9123528796</v>
      </c>
      <c r="E1494" s="2" t="s">
        <v>931</v>
      </c>
      <c r="F1494" s="2" t="s">
        <v>7801</v>
      </c>
      <c r="G1494" s="2" t="str">
        <f>"SR-628"</f>
        <v>SR-628</v>
      </c>
      <c r="H1494" s="2" t="s">
        <v>7802</v>
      </c>
      <c r="I1494" s="2" t="s">
        <v>7803</v>
      </c>
      <c r="K1494" s="2" t="s">
        <v>1239</v>
      </c>
      <c r="L1494" s="2" t="s">
        <v>200</v>
      </c>
      <c r="M1494" s="2">
        <v>31406.0</v>
      </c>
      <c r="N1494" s="2" t="s">
        <v>21</v>
      </c>
    </row>
    <row r="1495" ht="15.75" customHeight="1">
      <c r="A1495" s="2">
        <v>2013.0</v>
      </c>
      <c r="B1495" s="2" t="s">
        <v>7804</v>
      </c>
      <c r="D1495" s="2" t="str">
        <f>"(912) 661-0401"</f>
        <v>(912) 661-0401</v>
      </c>
      <c r="E1495" s="2" t="s">
        <v>3668</v>
      </c>
      <c r="F1495" s="2" t="s">
        <v>7805</v>
      </c>
      <c r="G1495" s="2" t="str">
        <f>"SR-666"</f>
        <v>SR-666</v>
      </c>
      <c r="H1495" s="2" t="s">
        <v>7806</v>
      </c>
      <c r="I1495" s="2" t="s">
        <v>7807</v>
      </c>
      <c r="K1495" s="2" t="s">
        <v>1239</v>
      </c>
      <c r="L1495" s="2" t="s">
        <v>200</v>
      </c>
      <c r="M1495" s="2">
        <v>31411.0</v>
      </c>
      <c r="N1495" s="2" t="s">
        <v>21</v>
      </c>
    </row>
    <row r="1496" ht="15.75" customHeight="1">
      <c r="A1496" s="2">
        <v>2013.0</v>
      </c>
      <c r="B1496" s="2" t="s">
        <v>7808</v>
      </c>
      <c r="C1496" s="2" t="s">
        <v>7808</v>
      </c>
      <c r="D1496" s="2" t="str">
        <f>"9129211247"</f>
        <v>9129211247</v>
      </c>
      <c r="E1496" s="2" t="s">
        <v>6244</v>
      </c>
      <c r="F1496" s="2" t="s">
        <v>89</v>
      </c>
      <c r="G1496" s="2" t="str">
        <f>"SR-433"</f>
        <v>SR-433</v>
      </c>
      <c r="H1496" s="2" t="s">
        <v>7809</v>
      </c>
      <c r="I1496" s="2" t="s">
        <v>7810</v>
      </c>
      <c r="K1496" s="2" t="s">
        <v>1239</v>
      </c>
      <c r="L1496" s="2" t="s">
        <v>200</v>
      </c>
      <c r="M1496" s="2">
        <v>31419.0</v>
      </c>
      <c r="N1496" s="2" t="s">
        <v>21</v>
      </c>
    </row>
    <row r="1497" ht="15.75" customHeight="1">
      <c r="A1497" s="2">
        <v>2013.0</v>
      </c>
      <c r="B1497" s="2" t="s">
        <v>7811</v>
      </c>
      <c r="C1497" s="2" t="s">
        <v>7811</v>
      </c>
      <c r="D1497" s="2" t="str">
        <f>"9126550063"</f>
        <v>9126550063</v>
      </c>
      <c r="E1497" s="2" t="s">
        <v>5858</v>
      </c>
      <c r="F1497" s="2" t="s">
        <v>1859</v>
      </c>
      <c r="G1497" s="2" t="str">
        <f>"SR-531"</f>
        <v>SR-531</v>
      </c>
      <c r="H1497" s="2" t="s">
        <v>7812</v>
      </c>
      <c r="I1497" s="2" t="s">
        <v>7813</v>
      </c>
      <c r="K1497" s="2" t="s">
        <v>1239</v>
      </c>
      <c r="L1497" s="2" t="s">
        <v>200</v>
      </c>
      <c r="M1497" s="2">
        <v>31406.0</v>
      </c>
      <c r="N1497" s="2" t="s">
        <v>21</v>
      </c>
    </row>
    <row r="1498" ht="15.75" customHeight="1">
      <c r="A1498" s="2">
        <v>2013.0</v>
      </c>
      <c r="B1498" s="2" t="s">
        <v>7814</v>
      </c>
      <c r="C1498" s="2" t="s">
        <v>7814</v>
      </c>
      <c r="D1498" s="2" t="str">
        <f>"(912) 433-5652"</f>
        <v>(912) 433-5652</v>
      </c>
      <c r="E1498" s="2" t="s">
        <v>1197</v>
      </c>
      <c r="F1498" s="2" t="s">
        <v>7815</v>
      </c>
      <c r="G1498" s="2" t="str">
        <f>"SR-436"</f>
        <v>SR-436</v>
      </c>
      <c r="H1498" s="2" t="s">
        <v>7816</v>
      </c>
      <c r="I1498" s="2" t="s">
        <v>7817</v>
      </c>
      <c r="K1498" s="2" t="s">
        <v>1239</v>
      </c>
      <c r="L1498" s="2" t="s">
        <v>200</v>
      </c>
      <c r="M1498" s="2">
        <v>31419.0</v>
      </c>
      <c r="N1498" s="2" t="s">
        <v>21</v>
      </c>
    </row>
    <row r="1499" ht="15.75" customHeight="1">
      <c r="A1499" s="2">
        <v>2013.0</v>
      </c>
      <c r="B1499" s="2" t="s">
        <v>7818</v>
      </c>
      <c r="C1499" s="2" t="s">
        <v>7818</v>
      </c>
      <c r="D1499" s="2" t="str">
        <f>"9123123040"</f>
        <v>9123123040</v>
      </c>
      <c r="E1499" s="2" t="s">
        <v>7819</v>
      </c>
      <c r="F1499" s="2" t="s">
        <v>7820</v>
      </c>
      <c r="G1499" s="2" t="str">
        <f>"SR-512"</f>
        <v>SR-512</v>
      </c>
      <c r="H1499" s="2" t="s">
        <v>7821</v>
      </c>
      <c r="I1499" s="2" t="s">
        <v>7822</v>
      </c>
      <c r="K1499" s="2" t="s">
        <v>7823</v>
      </c>
      <c r="L1499" s="2" t="s">
        <v>200</v>
      </c>
      <c r="M1499" s="2">
        <v>31302.0</v>
      </c>
      <c r="N1499" s="2" t="s">
        <v>21</v>
      </c>
    </row>
    <row r="1500" ht="15.75" customHeight="1">
      <c r="A1500" s="2">
        <v>2013.0</v>
      </c>
      <c r="B1500" s="2" t="s">
        <v>7824</v>
      </c>
      <c r="C1500" s="2" t="s">
        <v>7824</v>
      </c>
      <c r="D1500" s="2" t="str">
        <f>"9126042211"</f>
        <v>9126042211</v>
      </c>
      <c r="E1500" s="2" t="s">
        <v>1274</v>
      </c>
      <c r="F1500" s="2" t="s">
        <v>7825</v>
      </c>
      <c r="G1500" s="2" t="str">
        <f>"SR-505"</f>
        <v>SR-505</v>
      </c>
      <c r="H1500" s="2" t="s">
        <v>7826</v>
      </c>
      <c r="I1500" s="2" t="s">
        <v>7827</v>
      </c>
      <c r="K1500" s="2" t="s">
        <v>1239</v>
      </c>
      <c r="L1500" s="2" t="s">
        <v>200</v>
      </c>
      <c r="M1500" s="2">
        <v>31410.0</v>
      </c>
      <c r="N1500" s="2" t="s">
        <v>21</v>
      </c>
    </row>
    <row r="1501" ht="15.75" customHeight="1">
      <c r="A1501" s="2">
        <v>2013.0</v>
      </c>
      <c r="B1501" s="2" t="s">
        <v>7828</v>
      </c>
      <c r="C1501" s="2" t="s">
        <v>7828</v>
      </c>
      <c r="D1501" s="2" t="str">
        <f>"9127486976"</f>
        <v>9127486976</v>
      </c>
      <c r="E1501" s="2" t="s">
        <v>5858</v>
      </c>
      <c r="F1501" s="2" t="s">
        <v>1151</v>
      </c>
      <c r="G1501" s="2" t="str">
        <f>"SR-513"</f>
        <v>SR-513</v>
      </c>
      <c r="H1501" s="2" t="s">
        <v>7829</v>
      </c>
      <c r="I1501" s="2" t="s">
        <v>7830</v>
      </c>
      <c r="K1501" s="2" t="s">
        <v>7831</v>
      </c>
      <c r="L1501" s="2" t="s">
        <v>200</v>
      </c>
      <c r="M1501" s="2">
        <v>31322.0</v>
      </c>
      <c r="N1501" s="2" t="s">
        <v>21</v>
      </c>
    </row>
    <row r="1502" ht="15.75" customHeight="1">
      <c r="A1502" s="2">
        <v>2013.0</v>
      </c>
      <c r="B1502" s="2" t="s">
        <v>7832</v>
      </c>
      <c r="D1502" s="2" t="str">
        <f>"912-272-9911"</f>
        <v>912-272-9911</v>
      </c>
      <c r="E1502" s="2" t="s">
        <v>6087</v>
      </c>
      <c r="F1502" s="2" t="s">
        <v>2573</v>
      </c>
      <c r="G1502" s="2" t="str">
        <f>"SR-752"</f>
        <v>SR-752</v>
      </c>
      <c r="H1502" s="2" t="s">
        <v>7833</v>
      </c>
      <c r="I1502" s="2" t="s">
        <v>7834</v>
      </c>
      <c r="K1502" s="2" t="s">
        <v>1239</v>
      </c>
      <c r="L1502" s="2" t="s">
        <v>200</v>
      </c>
      <c r="M1502" s="2">
        <v>31410.0</v>
      </c>
      <c r="N1502" s="2" t="s">
        <v>21</v>
      </c>
    </row>
    <row r="1503" ht="15.75" customHeight="1">
      <c r="A1503" s="2">
        <v>2013.0</v>
      </c>
      <c r="B1503" s="2" t="s">
        <v>7835</v>
      </c>
      <c r="C1503" s="2" t="s">
        <v>7835</v>
      </c>
      <c r="D1503" s="2" t="str">
        <f>"912-232-8475"</f>
        <v>912-232-8475</v>
      </c>
      <c r="E1503" s="2" t="s">
        <v>1529</v>
      </c>
      <c r="F1503" s="2" t="s">
        <v>7836</v>
      </c>
      <c r="G1503" s="2" t="str">
        <f>"SR-530"</f>
        <v>SR-530</v>
      </c>
      <c r="H1503" s="2" t="s">
        <v>7837</v>
      </c>
      <c r="I1503" s="2" t="s">
        <v>7838</v>
      </c>
      <c r="K1503" s="2" t="s">
        <v>1239</v>
      </c>
      <c r="L1503" s="2" t="s">
        <v>200</v>
      </c>
      <c r="M1503" s="2">
        <v>31405.0</v>
      </c>
      <c r="N1503" s="2" t="s">
        <v>21</v>
      </c>
    </row>
    <row r="1504" ht="15.75" customHeight="1">
      <c r="A1504" s="2">
        <v>2013.0</v>
      </c>
      <c r="B1504" s="2" t="s">
        <v>7839</v>
      </c>
      <c r="C1504" s="2" t="s">
        <v>7839</v>
      </c>
      <c r="D1504" s="2" t="str">
        <f>"6623611577"</f>
        <v>6623611577</v>
      </c>
      <c r="E1504" s="2" t="s">
        <v>7476</v>
      </c>
      <c r="F1504" s="2" t="s">
        <v>7840</v>
      </c>
      <c r="G1504" s="2" t="str">
        <f>"SR-2055"</f>
        <v>SR-2055</v>
      </c>
      <c r="H1504" s="2" t="s">
        <v>7841</v>
      </c>
      <c r="I1504" s="2" t="s">
        <v>7842</v>
      </c>
      <c r="K1504" s="2" t="s">
        <v>7843</v>
      </c>
      <c r="L1504" s="2" t="s">
        <v>1722</v>
      </c>
      <c r="M1504" s="2">
        <v>39341.0</v>
      </c>
      <c r="N1504" s="2" t="s">
        <v>21</v>
      </c>
    </row>
    <row r="1505" ht="15.75" customHeight="1">
      <c r="A1505" s="2">
        <v>2013.0</v>
      </c>
      <c r="B1505" s="2" t="s">
        <v>7844</v>
      </c>
      <c r="C1505" s="2" t="s">
        <v>7845</v>
      </c>
      <c r="D1505" s="2" t="str">
        <f>"7722330189"</f>
        <v>7722330189</v>
      </c>
      <c r="E1505" s="2" t="s">
        <v>644</v>
      </c>
      <c r="F1505" s="2" t="s">
        <v>7846</v>
      </c>
      <c r="G1505" s="2" t="str">
        <f>"SR-2119"</f>
        <v>SR-2119</v>
      </c>
      <c r="H1505" s="2" t="s">
        <v>7847</v>
      </c>
      <c r="I1505" s="2" t="s">
        <v>7848</v>
      </c>
      <c r="K1505" s="2" t="s">
        <v>7849</v>
      </c>
      <c r="L1505" s="2" t="s">
        <v>208</v>
      </c>
      <c r="M1505" s="2">
        <v>34990.0</v>
      </c>
      <c r="N1505" s="2" t="s">
        <v>21</v>
      </c>
    </row>
    <row r="1506" ht="15.75" customHeight="1">
      <c r="A1506" s="2">
        <v>2013.0</v>
      </c>
      <c r="B1506" s="2" t="s">
        <v>7850</v>
      </c>
      <c r="C1506" s="2" t="s">
        <v>7851</v>
      </c>
      <c r="D1506" s="2" t="str">
        <f>"(209) 662- 4261"</f>
        <v>(209) 662- 4261</v>
      </c>
      <c r="E1506" s="2" t="s">
        <v>843</v>
      </c>
      <c r="F1506" s="2" t="s">
        <v>7852</v>
      </c>
      <c r="G1506" s="2" t="str">
        <f>"SR-2136"</f>
        <v>SR-2136</v>
      </c>
      <c r="H1506" s="2" t="s">
        <v>7853</v>
      </c>
      <c r="I1506" s="2" t="s">
        <v>7854</v>
      </c>
      <c r="K1506" s="2" t="s">
        <v>7855</v>
      </c>
      <c r="L1506" s="2" t="s">
        <v>222</v>
      </c>
      <c r="M1506" s="2">
        <v>95236.0</v>
      </c>
      <c r="N1506" s="2" t="s">
        <v>21</v>
      </c>
    </row>
    <row r="1507" ht="15.75" customHeight="1">
      <c r="A1507" s="2">
        <v>2013.0</v>
      </c>
      <c r="B1507" s="2" t="s">
        <v>7856</v>
      </c>
      <c r="C1507" s="2" t="s">
        <v>7857</v>
      </c>
      <c r="D1507" s="2" t="str">
        <f>"731-439-1126"</f>
        <v>731-439-1126</v>
      </c>
      <c r="E1507" s="2" t="s">
        <v>1263</v>
      </c>
      <c r="F1507" s="2" t="s">
        <v>7858</v>
      </c>
      <c r="G1507" s="2" t="str">
        <f>"SR-2138"</f>
        <v>SR-2138</v>
      </c>
      <c r="H1507" s="2" t="s">
        <v>7859</v>
      </c>
      <c r="I1507" s="2" t="s">
        <v>7860</v>
      </c>
      <c r="K1507" s="2" t="s">
        <v>7861</v>
      </c>
      <c r="L1507" s="2" t="s">
        <v>279</v>
      </c>
      <c r="M1507" s="2">
        <v>38337.0</v>
      </c>
      <c r="N1507" s="2" t="s">
        <v>21</v>
      </c>
    </row>
    <row r="1508" ht="15.75" customHeight="1">
      <c r="A1508" s="2">
        <v>2013.0</v>
      </c>
      <c r="B1508" s="2" t="s">
        <v>7862</v>
      </c>
      <c r="C1508" s="2" t="s">
        <v>7863</v>
      </c>
      <c r="D1508" s="2" t="str">
        <f>"586 215 1989"</f>
        <v>586 215 1989</v>
      </c>
      <c r="E1508" s="2" t="s">
        <v>7864</v>
      </c>
      <c r="F1508" s="2" t="s">
        <v>962</v>
      </c>
      <c r="G1508" s="2" t="str">
        <f>"SR-2139"</f>
        <v>SR-2139</v>
      </c>
      <c r="H1508" s="2" t="s">
        <v>7865</v>
      </c>
      <c r="I1508" s="2" t="s">
        <v>7866</v>
      </c>
      <c r="K1508" s="2" t="s">
        <v>7867</v>
      </c>
      <c r="L1508" s="2" t="s">
        <v>29</v>
      </c>
      <c r="M1508" s="2">
        <v>48066.0</v>
      </c>
      <c r="N1508" s="2" t="s">
        <v>21</v>
      </c>
    </row>
    <row r="1509" ht="15.75" customHeight="1">
      <c r="A1509" s="2">
        <v>2013.0</v>
      </c>
      <c r="B1509" s="2" t="s">
        <v>7868</v>
      </c>
      <c r="C1509" s="2" t="s">
        <v>7869</v>
      </c>
      <c r="D1509" s="2" t="str">
        <f>"206-949-7292"</f>
        <v>206-949-7292</v>
      </c>
      <c r="E1509" s="2" t="s">
        <v>6526</v>
      </c>
      <c r="F1509" s="2" t="s">
        <v>7870</v>
      </c>
      <c r="G1509" s="2" t="str">
        <f>"SR-2120"</f>
        <v>SR-2120</v>
      </c>
      <c r="H1509" s="2" t="s">
        <v>7871</v>
      </c>
      <c r="I1509" s="2" t="s">
        <v>7872</v>
      </c>
      <c r="K1509" s="2" t="s">
        <v>7873</v>
      </c>
      <c r="L1509" s="2" t="s">
        <v>86</v>
      </c>
      <c r="M1509" s="2">
        <v>98004.0</v>
      </c>
      <c r="N1509" s="2" t="s">
        <v>21</v>
      </c>
    </row>
    <row r="1510" ht="15.75" customHeight="1">
      <c r="A1510" s="2">
        <v>2013.0</v>
      </c>
      <c r="B1510" s="2" t="s">
        <v>7874</v>
      </c>
      <c r="C1510" s="2" t="s">
        <v>7874</v>
      </c>
      <c r="D1510" s="2" t="str">
        <f>"(308) 258-0847"</f>
        <v>(308) 258-0847</v>
      </c>
      <c r="E1510" s="2" t="s">
        <v>7875</v>
      </c>
      <c r="F1510" s="2" t="s">
        <v>7876</v>
      </c>
      <c r="G1510" s="2" t="str">
        <f>"SR-2142"</f>
        <v>SR-2142</v>
      </c>
      <c r="H1510" s="2" t="s">
        <v>7877</v>
      </c>
      <c r="I1510" s="2" t="s">
        <v>7878</v>
      </c>
      <c r="K1510" s="2" t="s">
        <v>7879</v>
      </c>
      <c r="L1510" s="2" t="s">
        <v>757</v>
      </c>
      <c r="M1510" s="2">
        <v>68803.0</v>
      </c>
      <c r="N1510" s="2" t="s">
        <v>21</v>
      </c>
    </row>
    <row r="1511" ht="15.75" customHeight="1">
      <c r="A1511" s="2">
        <v>2013.0</v>
      </c>
      <c r="B1511" s="2" t="s">
        <v>7880</v>
      </c>
      <c r="C1511" s="2" t="s">
        <v>7881</v>
      </c>
      <c r="D1511" s="2" t="str">
        <f>"316-282-1044"</f>
        <v>316-282-1044</v>
      </c>
      <c r="E1511" s="2" t="s">
        <v>385</v>
      </c>
      <c r="F1511" s="2" t="s">
        <v>7882</v>
      </c>
      <c r="G1511" s="2" t="str">
        <f>"SR-2134"</f>
        <v>SR-2134</v>
      </c>
      <c r="H1511" s="2" t="s">
        <v>7883</v>
      </c>
      <c r="I1511" s="2" t="s">
        <v>7884</v>
      </c>
      <c r="K1511" s="2" t="s">
        <v>3212</v>
      </c>
      <c r="L1511" s="2" t="s">
        <v>272</v>
      </c>
      <c r="M1511" s="2">
        <v>67114.0</v>
      </c>
      <c r="N1511" s="2" t="s">
        <v>21</v>
      </c>
    </row>
    <row r="1512" ht="15.75" customHeight="1">
      <c r="A1512" s="2">
        <v>2013.0</v>
      </c>
      <c r="B1512" s="2" t="s">
        <v>7885</v>
      </c>
      <c r="C1512" s="2" t="s">
        <v>7886</v>
      </c>
      <c r="D1512" s="2" t="str">
        <f>"425-441-8444"</f>
        <v>425-441-8444</v>
      </c>
      <c r="E1512" s="2" t="s">
        <v>862</v>
      </c>
      <c r="F1512" s="2" t="s">
        <v>7887</v>
      </c>
      <c r="G1512" s="2" t="str">
        <f>"SR-2096"</f>
        <v>SR-2096</v>
      </c>
      <c r="H1512" s="2" t="s">
        <v>7888</v>
      </c>
      <c r="I1512" s="2" t="s">
        <v>7889</v>
      </c>
      <c r="K1512" s="2" t="s">
        <v>7890</v>
      </c>
      <c r="L1512" s="2" t="s">
        <v>86</v>
      </c>
      <c r="M1512" s="2">
        <v>98075.0</v>
      </c>
      <c r="N1512" s="2" t="s">
        <v>21</v>
      </c>
    </row>
    <row r="1513" ht="15.75" customHeight="1">
      <c r="A1513" s="2">
        <v>2013.0</v>
      </c>
      <c r="B1513" s="2" t="s">
        <v>7891</v>
      </c>
      <c r="D1513" s="2" t="str">
        <f>"8034621413"</f>
        <v>8034621413</v>
      </c>
      <c r="E1513" s="2" t="s">
        <v>7892</v>
      </c>
      <c r="F1513" s="2" t="s">
        <v>7893</v>
      </c>
      <c r="G1513" s="2" t="str">
        <f>"SR-2088"</f>
        <v>SR-2088</v>
      </c>
      <c r="H1513" s="2" t="s">
        <v>7894</v>
      </c>
      <c r="I1513" s="2" t="s">
        <v>7895</v>
      </c>
      <c r="K1513" s="2" t="s">
        <v>2750</v>
      </c>
      <c r="L1513" s="2" t="s">
        <v>55</v>
      </c>
      <c r="M1513" s="2">
        <v>29223.0</v>
      </c>
      <c r="N1513" s="2" t="s">
        <v>21</v>
      </c>
    </row>
    <row r="1514" ht="15.75" customHeight="1">
      <c r="A1514" s="2">
        <v>2013.0</v>
      </c>
      <c r="B1514" s="2" t="s">
        <v>7896</v>
      </c>
      <c r="C1514" s="2" t="s">
        <v>7896</v>
      </c>
      <c r="D1514" s="2" t="str">
        <f>"(575)494-3296"</f>
        <v>(575)494-3296</v>
      </c>
      <c r="E1514" s="2" t="s">
        <v>6490</v>
      </c>
      <c r="F1514" s="2" t="s">
        <v>7897</v>
      </c>
      <c r="G1514" s="2" t="str">
        <f>"SR-958"</f>
        <v>SR-958</v>
      </c>
      <c r="H1514" s="2" t="s">
        <v>7898</v>
      </c>
      <c r="I1514" s="2" t="s">
        <v>7899</v>
      </c>
      <c r="K1514" s="2" t="s">
        <v>7900</v>
      </c>
      <c r="L1514" s="2" t="s">
        <v>789</v>
      </c>
      <c r="M1514" s="2">
        <v>88030.0</v>
      </c>
      <c r="N1514" s="2" t="s">
        <v>21</v>
      </c>
    </row>
    <row r="1515" ht="15.75" customHeight="1">
      <c r="A1515" s="2">
        <v>2013.0</v>
      </c>
      <c r="B1515" s="2" t="s">
        <v>7901</v>
      </c>
      <c r="C1515" s="2" t="s">
        <v>7901</v>
      </c>
      <c r="D1515" s="2" t="str">
        <f>"901-651-1517"</f>
        <v>901-651-1517</v>
      </c>
      <c r="E1515" s="2" t="s">
        <v>908</v>
      </c>
      <c r="F1515" s="2" t="s">
        <v>7902</v>
      </c>
      <c r="G1515" s="2" t="str">
        <f>"SR-160"</f>
        <v>SR-160</v>
      </c>
      <c r="H1515" s="2" t="s">
        <v>7903</v>
      </c>
      <c r="I1515" s="2" t="s">
        <v>7904</v>
      </c>
      <c r="K1515" s="2" t="s">
        <v>5678</v>
      </c>
      <c r="L1515" s="2" t="s">
        <v>279</v>
      </c>
      <c r="M1515" s="2">
        <v>38917.0</v>
      </c>
      <c r="N1515" s="2" t="s">
        <v>21</v>
      </c>
    </row>
    <row r="1516" ht="15.75" customHeight="1">
      <c r="A1516" s="2">
        <v>2013.0</v>
      </c>
      <c r="B1516" s="2" t="s">
        <v>7905</v>
      </c>
      <c r="C1516" s="2" t="s">
        <v>7906</v>
      </c>
      <c r="D1516" s="2" t="str">
        <f>"423-989-3464"</f>
        <v>423-989-3464</v>
      </c>
      <c r="E1516" s="2" t="s">
        <v>1088</v>
      </c>
      <c r="F1516" s="2" t="s">
        <v>2279</v>
      </c>
      <c r="G1516" s="2" t="str">
        <f>"SR-2121"</f>
        <v>SR-2121</v>
      </c>
      <c r="H1516" s="2" t="s">
        <v>7907</v>
      </c>
      <c r="I1516" s="2" t="s">
        <v>7908</v>
      </c>
      <c r="K1516" s="2" t="s">
        <v>5493</v>
      </c>
      <c r="L1516" s="2" t="s">
        <v>279</v>
      </c>
      <c r="M1516" s="2">
        <v>37620.0</v>
      </c>
      <c r="N1516" s="2" t="s">
        <v>21</v>
      </c>
    </row>
    <row r="1517" ht="15.75" customHeight="1">
      <c r="A1517" s="2">
        <v>2013.0</v>
      </c>
      <c r="B1517" s="2" t="s">
        <v>7909</v>
      </c>
      <c r="C1517" s="2" t="s">
        <v>7909</v>
      </c>
      <c r="D1517" s="2" t="str">
        <f>"(317) 736-9142"</f>
        <v>(317) 736-9142</v>
      </c>
      <c r="E1517" s="2" t="s">
        <v>485</v>
      </c>
      <c r="F1517" s="2" t="s">
        <v>1859</v>
      </c>
      <c r="G1517" s="2" t="str">
        <f>"SR-2140"</f>
        <v>SR-2140</v>
      </c>
      <c r="H1517" s="2" t="s">
        <v>7910</v>
      </c>
      <c r="I1517" s="2" t="s">
        <v>7911</v>
      </c>
      <c r="K1517" s="2" t="s">
        <v>278</v>
      </c>
      <c r="L1517" s="2" t="s">
        <v>149</v>
      </c>
      <c r="M1517" s="2">
        <v>46131.0</v>
      </c>
      <c r="N1517" s="2" t="s">
        <v>21</v>
      </c>
    </row>
    <row r="1518" ht="15.75" customHeight="1">
      <c r="A1518" s="2">
        <v>2013.0</v>
      </c>
      <c r="B1518" s="2" t="s">
        <v>7912</v>
      </c>
      <c r="C1518" s="2" t="s">
        <v>7912</v>
      </c>
      <c r="D1518" s="2" t="str">
        <f>"317-931-9638"</f>
        <v>317-931-9638</v>
      </c>
      <c r="E1518" s="2" t="s">
        <v>2433</v>
      </c>
      <c r="F1518" s="2" t="s">
        <v>1859</v>
      </c>
      <c r="G1518" s="2" t="str">
        <f>"SR-2149"</f>
        <v>SR-2149</v>
      </c>
      <c r="H1518" s="2" t="s">
        <v>7913</v>
      </c>
      <c r="I1518" s="2" t="s">
        <v>7914</v>
      </c>
      <c r="J1518" s="2" t="s">
        <v>7915</v>
      </c>
      <c r="K1518" s="2" t="s">
        <v>278</v>
      </c>
      <c r="L1518" s="2" t="s">
        <v>149</v>
      </c>
      <c r="M1518" s="2">
        <v>46131.0</v>
      </c>
      <c r="N1518" s="2" t="s">
        <v>21</v>
      </c>
    </row>
    <row r="1519" ht="15.75" customHeight="1">
      <c r="A1519" s="2">
        <v>2013.0</v>
      </c>
      <c r="B1519" s="2" t="s">
        <v>7916</v>
      </c>
      <c r="D1519" s="2" t="str">
        <f>"423/316-9265"</f>
        <v>423/316-9265</v>
      </c>
      <c r="E1519" s="2" t="s">
        <v>1263</v>
      </c>
      <c r="F1519" s="2" t="s">
        <v>7917</v>
      </c>
      <c r="G1519" s="2" t="str">
        <f>"SR-1016"</f>
        <v>SR-1016</v>
      </c>
      <c r="H1519" s="2" t="s">
        <v>7918</v>
      </c>
      <c r="I1519" s="2" t="s">
        <v>7919</v>
      </c>
      <c r="K1519" s="2" t="s">
        <v>3975</v>
      </c>
      <c r="L1519" s="2" t="s">
        <v>279</v>
      </c>
      <c r="M1519" s="2">
        <v>37421.0</v>
      </c>
      <c r="N1519" s="2" t="s">
        <v>21</v>
      </c>
    </row>
    <row r="1520" ht="15.75" customHeight="1">
      <c r="A1520" s="2">
        <v>2013.0</v>
      </c>
      <c r="B1520" s="2" t="s">
        <v>7920</v>
      </c>
      <c r="C1520" s="2" t="s">
        <v>7921</v>
      </c>
      <c r="D1520" s="2" t="str">
        <f>"815-434-0441"</f>
        <v>815-434-0441</v>
      </c>
      <c r="E1520" s="2" t="s">
        <v>4300</v>
      </c>
      <c r="F1520" s="2" t="s">
        <v>962</v>
      </c>
      <c r="G1520" s="2" t="str">
        <f>"SR-2148"</f>
        <v>SR-2148</v>
      </c>
      <c r="H1520" s="2" t="s">
        <v>7922</v>
      </c>
      <c r="I1520" s="2" t="s">
        <v>7923</v>
      </c>
      <c r="K1520" s="2" t="s">
        <v>7924</v>
      </c>
      <c r="L1520" s="2" t="s">
        <v>105</v>
      </c>
      <c r="M1520" s="2">
        <v>61350.0</v>
      </c>
      <c r="N1520" s="2" t="s">
        <v>21</v>
      </c>
    </row>
    <row r="1521" ht="15.75" customHeight="1">
      <c r="A1521" s="2">
        <v>2013.0</v>
      </c>
      <c r="B1521" s="2" t="s">
        <v>7925</v>
      </c>
      <c r="C1521" s="2" t="s">
        <v>7926</v>
      </c>
      <c r="D1521" s="2" t="str">
        <f>"321-972-2310"</f>
        <v>321-972-2310</v>
      </c>
      <c r="E1521" s="2" t="s">
        <v>137</v>
      </c>
      <c r="F1521" s="2" t="s">
        <v>7251</v>
      </c>
      <c r="G1521" s="2" t="str">
        <f>"SR-1986"</f>
        <v>SR-1986</v>
      </c>
      <c r="H1521" s="2" t="s">
        <v>7927</v>
      </c>
      <c r="I1521" s="2" t="s">
        <v>7928</v>
      </c>
      <c r="K1521" s="2" t="s">
        <v>6237</v>
      </c>
      <c r="L1521" s="2" t="s">
        <v>208</v>
      </c>
      <c r="M1521" s="2">
        <v>32708.0</v>
      </c>
      <c r="N1521" s="2" t="s">
        <v>21</v>
      </c>
    </row>
    <row r="1522" ht="15.75" customHeight="1">
      <c r="A1522" s="2">
        <v>2013.0</v>
      </c>
      <c r="B1522" s="2" t="s">
        <v>7929</v>
      </c>
      <c r="C1522" s="2" t="s">
        <v>7929</v>
      </c>
      <c r="D1522" s="2" t="str">
        <f>"8173131494"</f>
        <v>8173131494</v>
      </c>
      <c r="E1522" s="2" t="s">
        <v>7930</v>
      </c>
      <c r="F1522" s="2" t="s">
        <v>984</v>
      </c>
      <c r="G1522" s="2" t="str">
        <f>"SR-2155"</f>
        <v>SR-2155</v>
      </c>
      <c r="H1522" s="2" t="s">
        <v>7931</v>
      </c>
      <c r="I1522" s="2" t="s">
        <v>7932</v>
      </c>
      <c r="K1522" s="2" t="s">
        <v>7933</v>
      </c>
      <c r="L1522" s="2" t="s">
        <v>172</v>
      </c>
      <c r="M1522" s="2">
        <v>76182.0</v>
      </c>
      <c r="N1522" s="2" t="s">
        <v>21</v>
      </c>
    </row>
    <row r="1523" ht="15.75" customHeight="1">
      <c r="A1523" s="2">
        <v>2013.0</v>
      </c>
      <c r="B1523" s="2" t="s">
        <v>7934</v>
      </c>
      <c r="C1523" s="2" t="s">
        <v>7935</v>
      </c>
      <c r="D1523" s="2" t="str">
        <f>"7709170252"</f>
        <v>7709170252</v>
      </c>
      <c r="E1523" s="2" t="s">
        <v>651</v>
      </c>
      <c r="F1523" s="2" t="s">
        <v>3106</v>
      </c>
      <c r="G1523" s="2" t="str">
        <f>"SR-2009"</f>
        <v>SR-2009</v>
      </c>
      <c r="H1523" s="2" t="s">
        <v>7936</v>
      </c>
      <c r="I1523" s="2" t="s">
        <v>7937</v>
      </c>
      <c r="K1523" s="2" t="s">
        <v>7938</v>
      </c>
      <c r="L1523" s="2" t="s">
        <v>200</v>
      </c>
      <c r="M1523" s="2">
        <v>30101.0</v>
      </c>
      <c r="N1523" s="2" t="s">
        <v>21</v>
      </c>
    </row>
    <row r="1524" ht="15.75" customHeight="1">
      <c r="A1524" s="2">
        <v>2013.0</v>
      </c>
      <c r="B1524" s="2" t="s">
        <v>7939</v>
      </c>
      <c r="C1524" s="2" t="s">
        <v>7939</v>
      </c>
      <c r="D1524" s="2" t="str">
        <f>"434-676-8048"</f>
        <v>434-676-8048</v>
      </c>
      <c r="E1524" s="2" t="s">
        <v>1548</v>
      </c>
      <c r="F1524" s="2" t="s">
        <v>7940</v>
      </c>
      <c r="G1524" s="2" t="str">
        <f>"SR-2161"</f>
        <v>SR-2161</v>
      </c>
      <c r="H1524" s="2" t="s">
        <v>7941</v>
      </c>
      <c r="I1524" s="2" t="s">
        <v>7942</v>
      </c>
      <c r="K1524" s="2" t="s">
        <v>7943</v>
      </c>
      <c r="L1524" s="2" t="s">
        <v>165</v>
      </c>
      <c r="M1524" s="2">
        <v>23944.0</v>
      </c>
      <c r="N1524" s="2" t="s">
        <v>21</v>
      </c>
    </row>
    <row r="1525" ht="15.75" customHeight="1">
      <c r="A1525" s="2">
        <v>2013.0</v>
      </c>
      <c r="B1525" s="2" t="s">
        <v>7944</v>
      </c>
      <c r="C1525" s="2" t="s">
        <v>7944</v>
      </c>
      <c r="D1525" s="2" t="str">
        <f>"480-776-9199"</f>
        <v>480-776-9199</v>
      </c>
      <c r="E1525" s="2" t="s">
        <v>678</v>
      </c>
      <c r="F1525" s="2" t="s">
        <v>7396</v>
      </c>
      <c r="G1525" s="2" t="str">
        <f>"SR-1903"</f>
        <v>SR-1903</v>
      </c>
      <c r="H1525" s="2" t="s">
        <v>7945</v>
      </c>
      <c r="I1525" s="2" t="s">
        <v>7946</v>
      </c>
      <c r="K1525" s="2" t="s">
        <v>2841</v>
      </c>
      <c r="L1525" s="2" t="s">
        <v>422</v>
      </c>
      <c r="M1525" s="2">
        <v>85248.0</v>
      </c>
      <c r="N1525" s="2" t="s">
        <v>21</v>
      </c>
    </row>
    <row r="1526" ht="15.75" customHeight="1">
      <c r="A1526" s="2">
        <v>2013.0</v>
      </c>
      <c r="B1526" s="2" t="s">
        <v>7947</v>
      </c>
      <c r="C1526" s="2" t="s">
        <v>7948</v>
      </c>
      <c r="D1526" s="2" t="str">
        <f>"731-925-1238"</f>
        <v>731-925-1238</v>
      </c>
      <c r="E1526" s="2" t="s">
        <v>2259</v>
      </c>
      <c r="F1526" s="2" t="s">
        <v>1151</v>
      </c>
      <c r="G1526" s="2" t="str">
        <f>"SR-2156"</f>
        <v>SR-2156</v>
      </c>
      <c r="H1526" s="2" t="s">
        <v>7949</v>
      </c>
      <c r="I1526" s="2" t="s">
        <v>7950</v>
      </c>
      <c r="K1526" s="2" t="s">
        <v>7951</v>
      </c>
      <c r="L1526" s="2" t="s">
        <v>279</v>
      </c>
      <c r="M1526" s="2">
        <v>38326.0</v>
      </c>
      <c r="N1526" s="2" t="s">
        <v>21</v>
      </c>
    </row>
    <row r="1527" ht="15.75" customHeight="1">
      <c r="A1527" s="2">
        <v>2013.0</v>
      </c>
      <c r="B1527" s="2" t="s">
        <v>7952</v>
      </c>
      <c r="C1527" s="2" t="s">
        <v>7952</v>
      </c>
      <c r="D1527" s="2" t="str">
        <f>"(865) 769-5123"</f>
        <v>(865) 769-5123</v>
      </c>
      <c r="E1527" s="2" t="s">
        <v>7758</v>
      </c>
      <c r="F1527" s="2" t="s">
        <v>7953</v>
      </c>
      <c r="G1527" s="2" t="str">
        <f>"SR-1855"</f>
        <v>SR-1855</v>
      </c>
      <c r="H1527" s="2" t="s">
        <v>7954</v>
      </c>
      <c r="I1527" s="2" t="s">
        <v>7955</v>
      </c>
      <c r="K1527" s="2" t="s">
        <v>6168</v>
      </c>
      <c r="L1527" s="2" t="s">
        <v>279</v>
      </c>
      <c r="M1527" s="2">
        <v>37923.0</v>
      </c>
      <c r="N1527" s="2" t="s">
        <v>21</v>
      </c>
    </row>
    <row r="1528" ht="15.75" customHeight="1">
      <c r="A1528" s="2">
        <v>2013.0</v>
      </c>
      <c r="B1528" s="2" t="s">
        <v>7956</v>
      </c>
      <c r="C1528" s="2" t="s">
        <v>7956</v>
      </c>
      <c r="D1528" s="2" t="str">
        <f>"2256423800"</f>
        <v>2256423800</v>
      </c>
      <c r="E1528" s="2" t="s">
        <v>5906</v>
      </c>
      <c r="F1528" s="2" t="s">
        <v>6527</v>
      </c>
      <c r="G1528" s="2" t="str">
        <f>"SR-2112"</f>
        <v>SR-2112</v>
      </c>
      <c r="H1528" s="2" t="s">
        <v>7957</v>
      </c>
      <c r="I1528" s="2" t="s">
        <v>7770</v>
      </c>
      <c r="K1528" s="2" t="s">
        <v>7771</v>
      </c>
      <c r="L1528" s="2" t="s">
        <v>715</v>
      </c>
      <c r="M1528" s="2">
        <v>70780.0</v>
      </c>
      <c r="N1528" s="2" t="s">
        <v>21</v>
      </c>
    </row>
    <row r="1529" ht="15.75" customHeight="1">
      <c r="A1529" s="2">
        <v>2013.0</v>
      </c>
      <c r="B1529" s="2" t="s">
        <v>7885</v>
      </c>
      <c r="C1529" s="2" t="s">
        <v>7958</v>
      </c>
      <c r="D1529" s="2" t="str">
        <f>"425-441-8444"</f>
        <v>425-441-8444</v>
      </c>
      <c r="E1529" s="2" t="s">
        <v>3743</v>
      </c>
      <c r="F1529" s="2" t="s">
        <v>7887</v>
      </c>
      <c r="G1529" s="2" t="str">
        <f>"SR-2097"</f>
        <v>SR-2097</v>
      </c>
      <c r="H1529" s="2" t="s">
        <v>7959</v>
      </c>
      <c r="I1529" s="2" t="s">
        <v>7889</v>
      </c>
      <c r="K1529" s="2" t="s">
        <v>7890</v>
      </c>
      <c r="L1529" s="2" t="s">
        <v>86</v>
      </c>
      <c r="M1529" s="2">
        <v>98075.0</v>
      </c>
      <c r="N1529" s="2" t="s">
        <v>21</v>
      </c>
    </row>
    <row r="1530" ht="15.75" customHeight="1">
      <c r="A1530" s="2">
        <v>2013.0</v>
      </c>
      <c r="B1530" s="2" t="s">
        <v>7960</v>
      </c>
      <c r="C1530" s="2" t="s">
        <v>7961</v>
      </c>
      <c r="D1530" s="2" t="str">
        <f>"8046158458"</f>
        <v>8046158458</v>
      </c>
      <c r="E1530" s="2" t="s">
        <v>7962</v>
      </c>
      <c r="F1530" s="2" t="s">
        <v>7963</v>
      </c>
      <c r="G1530" s="2" t="str">
        <f>"SR-2165"</f>
        <v>SR-2165</v>
      </c>
      <c r="H1530" s="2" t="s">
        <v>7964</v>
      </c>
      <c r="I1530" s="2" t="s">
        <v>7965</v>
      </c>
      <c r="K1530" s="2" t="s">
        <v>7966</v>
      </c>
      <c r="L1530" s="2" t="s">
        <v>165</v>
      </c>
      <c r="M1530" s="2">
        <v>23060.0</v>
      </c>
      <c r="N1530" s="2" t="s">
        <v>21</v>
      </c>
    </row>
    <row r="1531" ht="15.75" customHeight="1">
      <c r="A1531" s="2">
        <v>2013.0</v>
      </c>
      <c r="B1531" s="2" t="s">
        <v>7967</v>
      </c>
      <c r="C1531" s="2" t="s">
        <v>7968</v>
      </c>
      <c r="D1531" s="2" t="str">
        <f>"8047792049"</f>
        <v>8047792049</v>
      </c>
      <c r="E1531" s="2" t="s">
        <v>1946</v>
      </c>
      <c r="F1531" s="2" t="s">
        <v>863</v>
      </c>
      <c r="G1531" s="2" t="str">
        <f>"SR-2172"</f>
        <v>SR-2172</v>
      </c>
      <c r="H1531" s="2" t="s">
        <v>7969</v>
      </c>
      <c r="I1531" s="2" t="s">
        <v>7970</v>
      </c>
      <c r="K1531" s="2" t="s">
        <v>7971</v>
      </c>
      <c r="L1531" s="2" t="s">
        <v>165</v>
      </c>
      <c r="M1531" s="2">
        <v>23111.0</v>
      </c>
      <c r="N1531" s="2" t="s">
        <v>21</v>
      </c>
    </row>
    <row r="1532" ht="15.75" customHeight="1">
      <c r="A1532" s="2">
        <v>2013.0</v>
      </c>
      <c r="B1532" s="2" t="s">
        <v>7972</v>
      </c>
      <c r="C1532" s="2" t="s">
        <v>7972</v>
      </c>
      <c r="D1532" s="2" t="str">
        <f>"205-702-4499"</f>
        <v>205-702-4499</v>
      </c>
      <c r="E1532" s="2" t="s">
        <v>2243</v>
      </c>
      <c r="F1532" s="2" t="s">
        <v>7973</v>
      </c>
      <c r="G1532" s="2" t="str">
        <f>"SR-608"</f>
        <v>SR-608</v>
      </c>
      <c r="H1532" s="2" t="s">
        <v>7974</v>
      </c>
      <c r="I1532" s="2" t="s">
        <v>7975</v>
      </c>
      <c r="K1532" s="2" t="s">
        <v>1173</v>
      </c>
      <c r="L1532" s="2" t="s">
        <v>539</v>
      </c>
      <c r="M1532" s="2">
        <v>35094.0</v>
      </c>
      <c r="N1532" s="2" t="s">
        <v>21</v>
      </c>
    </row>
    <row r="1533" ht="15.75" customHeight="1">
      <c r="A1533" s="2">
        <v>2013.0</v>
      </c>
      <c r="B1533" s="2" t="s">
        <v>7976</v>
      </c>
      <c r="C1533" s="2" t="s">
        <v>7976</v>
      </c>
      <c r="D1533" s="2" t="str">
        <f>"5042514922"</f>
        <v>5042514922</v>
      </c>
      <c r="E1533" s="2" t="s">
        <v>456</v>
      </c>
      <c r="F1533" s="2" t="s">
        <v>7977</v>
      </c>
      <c r="G1533" s="2" t="str">
        <f>"SR-2066"</f>
        <v>SR-2066</v>
      </c>
      <c r="H1533" s="2" t="s">
        <v>7978</v>
      </c>
      <c r="I1533" s="2" t="s">
        <v>7979</v>
      </c>
      <c r="K1533" s="2" t="s">
        <v>7980</v>
      </c>
      <c r="L1533" s="2" t="s">
        <v>715</v>
      </c>
      <c r="M1533" s="2">
        <v>70080.0</v>
      </c>
      <c r="N1533" s="2" t="s">
        <v>21</v>
      </c>
    </row>
    <row r="1534" ht="15.75" customHeight="1">
      <c r="A1534" s="2">
        <v>2013.0</v>
      </c>
      <c r="B1534" s="2" t="s">
        <v>7981</v>
      </c>
      <c r="C1534" s="2" t="s">
        <v>7981</v>
      </c>
      <c r="D1534" s="2" t="str">
        <f>"561-927-7001"</f>
        <v>561-927-7001</v>
      </c>
      <c r="E1534" s="2" t="s">
        <v>4115</v>
      </c>
      <c r="F1534" s="2" t="s">
        <v>7982</v>
      </c>
      <c r="G1534" s="2" t="str">
        <f>"SR-2179"</f>
        <v>SR-2179</v>
      </c>
      <c r="H1534" s="2" t="s">
        <v>7983</v>
      </c>
      <c r="I1534" s="2" t="s">
        <v>7984</v>
      </c>
      <c r="K1534" s="2" t="s">
        <v>2273</v>
      </c>
      <c r="L1534" s="2" t="s">
        <v>208</v>
      </c>
      <c r="M1534" s="2">
        <v>33433.0</v>
      </c>
      <c r="N1534" s="2" t="s">
        <v>21</v>
      </c>
    </row>
    <row r="1535" ht="15.75" customHeight="1">
      <c r="A1535" s="2">
        <v>2013.0</v>
      </c>
      <c r="B1535" s="2" t="s">
        <v>7985</v>
      </c>
      <c r="C1535" s="2" t="s">
        <v>7985</v>
      </c>
      <c r="D1535" s="2" t="str">
        <f>"3179410395"</f>
        <v>3179410395</v>
      </c>
      <c r="E1535" s="2" t="s">
        <v>1208</v>
      </c>
      <c r="F1535" s="2" t="s">
        <v>3712</v>
      </c>
      <c r="G1535" s="2" t="str">
        <f>"SR-2174"</f>
        <v>SR-2174</v>
      </c>
      <c r="H1535" s="2" t="s">
        <v>7986</v>
      </c>
      <c r="I1535" s="2" t="s">
        <v>7987</v>
      </c>
      <c r="K1535" s="2" t="s">
        <v>278</v>
      </c>
      <c r="L1535" s="2" t="s">
        <v>149</v>
      </c>
      <c r="M1535" s="2">
        <v>46131.0</v>
      </c>
      <c r="N1535" s="2" t="s">
        <v>21</v>
      </c>
    </row>
    <row r="1536" ht="15.75" customHeight="1">
      <c r="A1536" s="2">
        <v>2013.0</v>
      </c>
      <c r="B1536" s="2" t="s">
        <v>7988</v>
      </c>
      <c r="C1536" s="2" t="s">
        <v>7989</v>
      </c>
      <c r="D1536" s="2" t="str">
        <f>"919-618-0745"</f>
        <v>919-618-0745</v>
      </c>
      <c r="E1536" s="2" t="s">
        <v>339</v>
      </c>
      <c r="F1536" s="2" t="s">
        <v>7990</v>
      </c>
      <c r="G1536" s="2" t="str">
        <f>"SR-2152"</f>
        <v>SR-2152</v>
      </c>
      <c r="H1536" s="2" t="s">
        <v>7991</v>
      </c>
      <c r="I1536" s="2" t="s">
        <v>7992</v>
      </c>
      <c r="K1536" s="2" t="s">
        <v>7993</v>
      </c>
      <c r="L1536" s="2" t="s">
        <v>20</v>
      </c>
      <c r="M1536" s="2">
        <v>27609.0</v>
      </c>
      <c r="N1536" s="2" t="s">
        <v>21</v>
      </c>
    </row>
    <row r="1537" ht="15.75" customHeight="1">
      <c r="A1537" s="2">
        <v>2013.0</v>
      </c>
      <c r="B1537" s="2" t="s">
        <v>7994</v>
      </c>
      <c r="C1537" s="2" t="s">
        <v>7995</v>
      </c>
      <c r="D1537" s="2" t="str">
        <f>"410-398-0263"</f>
        <v>410-398-0263</v>
      </c>
      <c r="E1537" s="2" t="s">
        <v>7996</v>
      </c>
      <c r="F1537" s="2" t="s">
        <v>7997</v>
      </c>
      <c r="G1537" s="2" t="str">
        <f>"SR-1909"</f>
        <v>SR-1909</v>
      </c>
      <c r="H1537" s="2" t="s">
        <v>7998</v>
      </c>
      <c r="I1537" s="2" t="s">
        <v>7999</v>
      </c>
      <c r="K1537" s="2" t="s">
        <v>8000</v>
      </c>
      <c r="L1537" s="2" t="s">
        <v>1868</v>
      </c>
      <c r="M1537" s="2">
        <v>21921.0</v>
      </c>
      <c r="N1537" s="2" t="s">
        <v>21</v>
      </c>
    </row>
    <row r="1538" ht="15.75" customHeight="1">
      <c r="A1538" s="2">
        <v>2013.0</v>
      </c>
      <c r="B1538" s="2" t="s">
        <v>8001</v>
      </c>
      <c r="D1538" s="2" t="str">
        <f t="shared" ref="D1538:D1539" si="21">"337-528-3298"</f>
        <v>337-528-3298</v>
      </c>
      <c r="E1538" s="2" t="s">
        <v>485</v>
      </c>
      <c r="F1538" s="2" t="s">
        <v>8002</v>
      </c>
      <c r="G1538" s="2" t="str">
        <f>"SR-2182"</f>
        <v>SR-2182</v>
      </c>
      <c r="H1538" s="2" t="s">
        <v>8003</v>
      </c>
      <c r="I1538" s="2" t="s">
        <v>8004</v>
      </c>
      <c r="K1538" s="2" t="s">
        <v>8005</v>
      </c>
      <c r="L1538" s="2" t="s">
        <v>715</v>
      </c>
      <c r="M1538" s="2">
        <v>70663.0</v>
      </c>
      <c r="N1538" s="2" t="s">
        <v>21</v>
      </c>
    </row>
    <row r="1539" ht="15.75" customHeight="1">
      <c r="A1539" s="2">
        <v>2013.0</v>
      </c>
      <c r="B1539" s="2" t="s">
        <v>8001</v>
      </c>
      <c r="C1539" s="2" t="s">
        <v>8006</v>
      </c>
      <c r="D1539" s="2" t="str">
        <f t="shared" si="21"/>
        <v>337-528-3298</v>
      </c>
      <c r="E1539" s="2" t="s">
        <v>2306</v>
      </c>
      <c r="F1539" s="2" t="s">
        <v>8007</v>
      </c>
      <c r="G1539" s="2" t="str">
        <f>"SR-2184"</f>
        <v>SR-2184</v>
      </c>
      <c r="H1539" s="2" t="s">
        <v>8008</v>
      </c>
      <c r="I1539" s="2" t="s">
        <v>8009</v>
      </c>
      <c r="K1539" s="2" t="s">
        <v>8005</v>
      </c>
      <c r="L1539" s="2" t="s">
        <v>715</v>
      </c>
      <c r="M1539" s="2">
        <v>70663.0</v>
      </c>
      <c r="N1539" s="2" t="s">
        <v>21</v>
      </c>
    </row>
    <row r="1540" ht="15.75" customHeight="1">
      <c r="A1540" s="2">
        <v>2013.0</v>
      </c>
      <c r="B1540" s="2" t="s">
        <v>8010</v>
      </c>
      <c r="C1540" s="2" t="s">
        <v>8010</v>
      </c>
      <c r="D1540" s="2" t="str">
        <f>"5014012794"</f>
        <v>5014012794</v>
      </c>
      <c r="E1540" s="2" t="s">
        <v>282</v>
      </c>
      <c r="F1540" s="2" t="s">
        <v>7588</v>
      </c>
      <c r="G1540" s="2" t="str">
        <f>"SR-2075"</f>
        <v>SR-2075</v>
      </c>
      <c r="H1540" s="2" t="s">
        <v>8011</v>
      </c>
      <c r="I1540" s="2" t="s">
        <v>8012</v>
      </c>
      <c r="K1540" s="2" t="s">
        <v>7591</v>
      </c>
      <c r="L1540" s="2" t="s">
        <v>149</v>
      </c>
      <c r="M1540" s="2">
        <v>46163.0</v>
      </c>
      <c r="N1540" s="2" t="s">
        <v>21</v>
      </c>
    </row>
    <row r="1541" ht="15.75" customHeight="1">
      <c r="A1541" s="2">
        <v>2013.0</v>
      </c>
      <c r="B1541" s="2" t="s">
        <v>8013</v>
      </c>
      <c r="C1541" s="2" t="s">
        <v>8014</v>
      </c>
      <c r="D1541" s="2" t="str">
        <f>"504-335-8356"</f>
        <v>504-335-8356</v>
      </c>
      <c r="E1541" s="2" t="s">
        <v>6081</v>
      </c>
      <c r="F1541" s="2" t="s">
        <v>8015</v>
      </c>
      <c r="G1541" s="2" t="str">
        <f>"SR-2129"</f>
        <v>SR-2129</v>
      </c>
      <c r="H1541" s="2" t="s">
        <v>8016</v>
      </c>
      <c r="I1541" s="2" t="s">
        <v>8017</v>
      </c>
      <c r="K1541" s="2" t="s">
        <v>8018</v>
      </c>
      <c r="L1541" s="2" t="s">
        <v>715</v>
      </c>
      <c r="M1541" s="2">
        <v>70114.0</v>
      </c>
      <c r="N1541" s="2" t="s">
        <v>21</v>
      </c>
    </row>
    <row r="1542" ht="15.75" customHeight="1">
      <c r="A1542" s="2">
        <v>2013.0</v>
      </c>
      <c r="B1542" s="2" t="s">
        <v>8019</v>
      </c>
      <c r="C1542" s="2" t="s">
        <v>8019</v>
      </c>
      <c r="D1542" s="2" t="str">
        <f>"9136081691"</f>
        <v>9136081691</v>
      </c>
      <c r="E1542" s="2" t="s">
        <v>4787</v>
      </c>
      <c r="F1542" s="2" t="s">
        <v>8020</v>
      </c>
      <c r="G1542" s="2" t="str">
        <f>"SR-1777"</f>
        <v>SR-1777</v>
      </c>
      <c r="H1542" s="2" t="s">
        <v>8021</v>
      </c>
      <c r="I1542" s="2" t="s">
        <v>8022</v>
      </c>
      <c r="K1542" s="2" t="s">
        <v>3103</v>
      </c>
      <c r="L1542" s="2" t="s">
        <v>272</v>
      </c>
      <c r="M1542" s="2">
        <v>66224.0</v>
      </c>
      <c r="N1542" s="2" t="s">
        <v>21</v>
      </c>
    </row>
    <row r="1543" ht="15.75" customHeight="1">
      <c r="A1543" s="2">
        <v>2013.0</v>
      </c>
      <c r="B1543" s="2" t="s">
        <v>8023</v>
      </c>
      <c r="C1543" s="2" t="s">
        <v>8024</v>
      </c>
      <c r="D1543" s="2" t="str">
        <f>"804-739-6848"</f>
        <v>804-739-6848</v>
      </c>
      <c r="E1543" s="2" t="s">
        <v>453</v>
      </c>
      <c r="F1543" s="2" t="s">
        <v>8025</v>
      </c>
      <c r="G1543" s="2" t="str">
        <f>"SR-2191"</f>
        <v>SR-2191</v>
      </c>
      <c r="H1543" s="2" t="s">
        <v>8026</v>
      </c>
      <c r="I1543" s="2" t="s">
        <v>8027</v>
      </c>
      <c r="K1543" s="2" t="s">
        <v>8028</v>
      </c>
      <c r="L1543" s="2" t="s">
        <v>165</v>
      </c>
      <c r="M1543" s="2">
        <v>23120.0</v>
      </c>
      <c r="N1543" s="2" t="s">
        <v>21</v>
      </c>
    </row>
    <row r="1544" ht="15.75" customHeight="1">
      <c r="A1544" s="2">
        <v>2013.0</v>
      </c>
      <c r="B1544" s="2" t="s">
        <v>8029</v>
      </c>
      <c r="C1544" s="2" t="s">
        <v>8030</v>
      </c>
      <c r="D1544" s="2" t="str">
        <f>"602-971-7818"</f>
        <v>602-971-7818</v>
      </c>
      <c r="E1544" s="2" t="s">
        <v>339</v>
      </c>
      <c r="F1544" s="2" t="s">
        <v>8031</v>
      </c>
      <c r="G1544" s="2" t="str">
        <f>"SR-2197"</f>
        <v>SR-2197</v>
      </c>
      <c r="H1544" s="2" t="s">
        <v>8032</v>
      </c>
      <c r="I1544" s="2" t="s">
        <v>8033</v>
      </c>
      <c r="K1544" s="2" t="s">
        <v>421</v>
      </c>
      <c r="L1544" s="2" t="s">
        <v>422</v>
      </c>
      <c r="M1544" s="2">
        <v>85032.0</v>
      </c>
      <c r="N1544" s="2" t="s">
        <v>21</v>
      </c>
    </row>
    <row r="1545" ht="15.75" customHeight="1">
      <c r="A1545" s="2">
        <v>2013.0</v>
      </c>
      <c r="B1545" s="2" t="s">
        <v>8034</v>
      </c>
      <c r="C1545" s="2" t="s">
        <v>8034</v>
      </c>
      <c r="D1545" s="2" t="str">
        <f>"2566000031"</f>
        <v>2566000031</v>
      </c>
      <c r="E1545" s="2" t="s">
        <v>988</v>
      </c>
      <c r="F1545" s="2" t="s">
        <v>457</v>
      </c>
      <c r="G1545" s="2" t="str">
        <f>"SR-2201"</f>
        <v>SR-2201</v>
      </c>
      <c r="H1545" s="2" t="s">
        <v>8035</v>
      </c>
      <c r="I1545" s="2" t="s">
        <v>8036</v>
      </c>
      <c r="K1545" s="2" t="s">
        <v>451</v>
      </c>
      <c r="L1545" s="2" t="s">
        <v>539</v>
      </c>
      <c r="M1545" s="2">
        <v>36265.0</v>
      </c>
      <c r="N1545" s="2" t="s">
        <v>21</v>
      </c>
    </row>
    <row r="1546" ht="15.75" customHeight="1">
      <c r="A1546" s="2">
        <v>2013.0</v>
      </c>
      <c r="B1546" s="2" t="s">
        <v>8037</v>
      </c>
      <c r="C1546" s="2" t="s">
        <v>8038</v>
      </c>
      <c r="D1546" s="2" t="str">
        <f>"9372995852"</f>
        <v>9372995852</v>
      </c>
      <c r="E1546" s="2" t="s">
        <v>8039</v>
      </c>
      <c r="F1546" s="2" t="s">
        <v>8040</v>
      </c>
      <c r="G1546" s="2" t="str">
        <f>"SR-2171"</f>
        <v>SR-2171</v>
      </c>
      <c r="H1546" s="2" t="s">
        <v>8041</v>
      </c>
      <c r="I1546" s="2" t="s">
        <v>8042</v>
      </c>
      <c r="K1546" s="2" t="s">
        <v>8043</v>
      </c>
      <c r="L1546" s="2" t="s">
        <v>344</v>
      </c>
      <c r="M1546" s="2">
        <v>45409.0</v>
      </c>
      <c r="N1546" s="2" t="s">
        <v>21</v>
      </c>
    </row>
    <row r="1547" ht="15.75" customHeight="1">
      <c r="A1547" s="2">
        <v>2013.0</v>
      </c>
      <c r="B1547" s="2" t="s">
        <v>8044</v>
      </c>
      <c r="C1547" s="2" t="s">
        <v>8045</v>
      </c>
      <c r="D1547" s="2" t="str">
        <f>"3162003478"</f>
        <v>3162003478</v>
      </c>
      <c r="E1547" s="2" t="s">
        <v>8046</v>
      </c>
      <c r="F1547" s="2" t="s">
        <v>8047</v>
      </c>
      <c r="G1547" s="2" t="str">
        <f>"SR-2210"</f>
        <v>SR-2210</v>
      </c>
      <c r="H1547" s="2" t="s">
        <v>8048</v>
      </c>
      <c r="I1547" s="2" t="s">
        <v>8049</v>
      </c>
      <c r="K1547" s="2" t="s">
        <v>8050</v>
      </c>
      <c r="L1547" s="2" t="s">
        <v>272</v>
      </c>
      <c r="M1547" s="2">
        <v>67226.0</v>
      </c>
      <c r="N1547" s="2" t="s">
        <v>21</v>
      </c>
    </row>
    <row r="1548" ht="15.75" customHeight="1">
      <c r="A1548" s="2">
        <v>2013.0</v>
      </c>
      <c r="B1548" s="2" t="s">
        <v>2104</v>
      </c>
      <c r="D1548" s="2" t="str">
        <f>"817 422 2804"</f>
        <v>817 422 2804</v>
      </c>
      <c r="E1548" s="2" t="s">
        <v>8051</v>
      </c>
      <c r="F1548" s="2" t="s">
        <v>8052</v>
      </c>
      <c r="G1548" s="2" t="str">
        <f>"SR-747"</f>
        <v>SR-747</v>
      </c>
      <c r="H1548" s="2" t="s">
        <v>8053</v>
      </c>
      <c r="I1548" s="2" t="s">
        <v>2107</v>
      </c>
      <c r="K1548" s="2" t="s">
        <v>2108</v>
      </c>
      <c r="L1548" s="2" t="s">
        <v>172</v>
      </c>
      <c r="M1548" s="2">
        <v>76020.0</v>
      </c>
      <c r="N1548" s="2" t="s">
        <v>21</v>
      </c>
    </row>
    <row r="1549" ht="15.75" customHeight="1">
      <c r="A1549" s="2">
        <v>2013.0</v>
      </c>
      <c r="B1549" s="2" t="s">
        <v>8054</v>
      </c>
      <c r="C1549" s="2" t="s">
        <v>8054</v>
      </c>
      <c r="D1549" s="2" t="str">
        <f>"828-702-2633"</f>
        <v>828-702-2633</v>
      </c>
      <c r="E1549" s="2" t="s">
        <v>2162</v>
      </c>
      <c r="F1549" s="2" t="s">
        <v>8055</v>
      </c>
      <c r="G1549" s="2" t="str">
        <f>"SR-2212"</f>
        <v>SR-2212</v>
      </c>
      <c r="H1549" s="2" t="s">
        <v>8056</v>
      </c>
      <c r="I1549" s="2" t="s">
        <v>8057</v>
      </c>
      <c r="K1549" s="2" t="s">
        <v>8058</v>
      </c>
      <c r="L1549" s="2" t="s">
        <v>20</v>
      </c>
      <c r="M1549" s="2">
        <v>28715.0</v>
      </c>
      <c r="N1549" s="2" t="s">
        <v>21</v>
      </c>
    </row>
    <row r="1550" ht="15.75" customHeight="1">
      <c r="A1550" s="2">
        <v>2013.0</v>
      </c>
      <c r="B1550" s="2" t="s">
        <v>8059</v>
      </c>
      <c r="C1550" s="2" t="s">
        <v>8059</v>
      </c>
      <c r="D1550" s="2" t="str">
        <f>"989-705-1954"</f>
        <v>989-705-1954</v>
      </c>
      <c r="E1550" s="2" t="s">
        <v>1529</v>
      </c>
      <c r="F1550" s="2" t="s">
        <v>1151</v>
      </c>
      <c r="G1550" s="2" t="str">
        <f>"SR-2164"</f>
        <v>SR-2164</v>
      </c>
      <c r="H1550" s="2" t="s">
        <v>8060</v>
      </c>
      <c r="I1550" s="2" t="s">
        <v>8061</v>
      </c>
      <c r="K1550" s="2" t="s">
        <v>8062</v>
      </c>
      <c r="L1550" s="2" t="s">
        <v>29</v>
      </c>
      <c r="M1550" s="2">
        <v>49735.0</v>
      </c>
      <c r="N1550" s="2" t="s">
        <v>21</v>
      </c>
    </row>
    <row r="1551" ht="15.75" customHeight="1">
      <c r="A1551" s="2">
        <v>2013.0</v>
      </c>
      <c r="B1551" s="2" t="s">
        <v>8063</v>
      </c>
      <c r="C1551" s="2" t="s">
        <v>8063</v>
      </c>
      <c r="D1551" s="2" t="str">
        <f>"706-319-1505"</f>
        <v>706-319-1505</v>
      </c>
      <c r="E1551" s="2" t="s">
        <v>843</v>
      </c>
      <c r="F1551" s="2" t="s">
        <v>8064</v>
      </c>
      <c r="G1551" s="2" t="str">
        <f>"SR-2208"</f>
        <v>SR-2208</v>
      </c>
      <c r="H1551" s="2" t="s">
        <v>8065</v>
      </c>
      <c r="I1551" s="2" t="s">
        <v>8066</v>
      </c>
      <c r="K1551" s="2" t="s">
        <v>1239</v>
      </c>
      <c r="L1551" s="2" t="s">
        <v>200</v>
      </c>
      <c r="M1551" s="2">
        <v>31411.0</v>
      </c>
      <c r="N1551" s="2" t="s">
        <v>21</v>
      </c>
    </row>
    <row r="1552" ht="15.75" customHeight="1">
      <c r="A1552" s="2">
        <v>2013.0</v>
      </c>
      <c r="B1552" s="2" t="s">
        <v>8067</v>
      </c>
      <c r="C1552" s="2" t="s">
        <v>8067</v>
      </c>
      <c r="D1552" s="2" t="str">
        <f>"9379643193"</f>
        <v>9379643193</v>
      </c>
      <c r="E1552" s="2" t="s">
        <v>160</v>
      </c>
      <c r="F1552" s="2" t="s">
        <v>1243</v>
      </c>
      <c r="G1552" s="2" t="str">
        <f>"SR-2218"</f>
        <v>SR-2218</v>
      </c>
      <c r="H1552" s="2" t="s">
        <v>8068</v>
      </c>
      <c r="I1552" s="2" t="s">
        <v>8069</v>
      </c>
      <c r="K1552" s="2" t="s">
        <v>8070</v>
      </c>
      <c r="L1552" s="2" t="s">
        <v>344</v>
      </c>
      <c r="M1552" s="2">
        <v>45344.0</v>
      </c>
      <c r="N1552" s="2" t="s">
        <v>21</v>
      </c>
    </row>
    <row r="1553" ht="15.75" customHeight="1">
      <c r="A1553" s="2">
        <v>2013.0</v>
      </c>
      <c r="B1553" s="2" t="s">
        <v>8071</v>
      </c>
      <c r="C1553" s="2" t="s">
        <v>8071</v>
      </c>
      <c r="D1553" s="2" t="str">
        <f>"812-401-3468"</f>
        <v>812-401-3468</v>
      </c>
      <c r="E1553" s="2" t="s">
        <v>1548</v>
      </c>
      <c r="F1553" s="2" t="s">
        <v>8072</v>
      </c>
      <c r="G1553" s="2" t="str">
        <f>"SR-2213"</f>
        <v>SR-2213</v>
      </c>
      <c r="H1553" s="2" t="s">
        <v>8073</v>
      </c>
      <c r="I1553" s="2" t="s">
        <v>8074</v>
      </c>
      <c r="K1553" s="2" t="s">
        <v>148</v>
      </c>
      <c r="L1553" s="2" t="s">
        <v>149</v>
      </c>
      <c r="M1553" s="2">
        <v>47715.0</v>
      </c>
      <c r="N1553" s="2" t="s">
        <v>21</v>
      </c>
    </row>
    <row r="1554" ht="15.75" customHeight="1">
      <c r="A1554" s="2">
        <v>2013.0</v>
      </c>
      <c r="B1554" s="2" t="s">
        <v>8075</v>
      </c>
      <c r="C1554" s="2" t="s">
        <v>8075</v>
      </c>
      <c r="D1554" s="2" t="str">
        <f>"5615587894"</f>
        <v>5615587894</v>
      </c>
      <c r="E1554" s="2" t="s">
        <v>1141</v>
      </c>
      <c r="F1554" s="2" t="s">
        <v>8076</v>
      </c>
      <c r="G1554" s="2" t="str">
        <f>"SR-2193"</f>
        <v>SR-2193</v>
      </c>
      <c r="H1554" s="2" t="s">
        <v>8077</v>
      </c>
      <c r="I1554" s="2" t="s">
        <v>8078</v>
      </c>
      <c r="K1554" s="2" t="s">
        <v>2273</v>
      </c>
      <c r="L1554" s="2" t="s">
        <v>208</v>
      </c>
      <c r="M1554" s="2">
        <v>33432.0</v>
      </c>
      <c r="N1554" s="2" t="s">
        <v>21</v>
      </c>
    </row>
    <row r="1555" ht="15.75" customHeight="1">
      <c r="A1555" s="2">
        <v>2013.0</v>
      </c>
      <c r="B1555" s="2" t="s">
        <v>8079</v>
      </c>
      <c r="D1555" s="2" t="str">
        <f>""</f>
        <v/>
      </c>
      <c r="E1555" s="2" t="s">
        <v>8080</v>
      </c>
      <c r="F1555" s="2" t="s">
        <v>199</v>
      </c>
      <c r="G1555" s="2" t="str">
        <f>"SR-757"</f>
        <v>SR-757</v>
      </c>
      <c r="H1555" s="2" t="s">
        <v>8081</v>
      </c>
    </row>
    <row r="1556" ht="15.75" customHeight="1">
      <c r="A1556" s="2">
        <v>2013.0</v>
      </c>
      <c r="B1556" s="2" t="s">
        <v>8082</v>
      </c>
      <c r="C1556" s="2" t="s">
        <v>8083</v>
      </c>
      <c r="D1556" s="2" t="str">
        <f>"903-592-6999"</f>
        <v>903-592-6999</v>
      </c>
      <c r="E1556" s="2" t="s">
        <v>1015</v>
      </c>
      <c r="F1556" s="2" t="s">
        <v>8084</v>
      </c>
      <c r="G1556" s="2" t="str">
        <f>"SR-2173"</f>
        <v>SR-2173</v>
      </c>
      <c r="H1556" s="2" t="s">
        <v>8085</v>
      </c>
      <c r="I1556" s="2" t="s">
        <v>8086</v>
      </c>
      <c r="K1556" s="2" t="s">
        <v>465</v>
      </c>
      <c r="L1556" s="2" t="s">
        <v>172</v>
      </c>
      <c r="M1556" s="2">
        <v>75704.0</v>
      </c>
      <c r="N1556" s="2" t="s">
        <v>21</v>
      </c>
    </row>
    <row r="1557" ht="15.75" customHeight="1">
      <c r="A1557" s="2">
        <v>2013.0</v>
      </c>
      <c r="B1557" s="2" t="s">
        <v>7615</v>
      </c>
      <c r="C1557" s="2" t="s">
        <v>8087</v>
      </c>
      <c r="D1557" s="2" t="str">
        <f>"386-801-3471"</f>
        <v>386-801-3471</v>
      </c>
      <c r="E1557" s="2" t="s">
        <v>93</v>
      </c>
      <c r="F1557" s="2" t="s">
        <v>7617</v>
      </c>
      <c r="G1557" s="2" t="str">
        <f>"SR-2223"</f>
        <v>SR-2223</v>
      </c>
      <c r="H1557" s="2" t="s">
        <v>8088</v>
      </c>
      <c r="I1557" s="2">
        <v>1609.0</v>
      </c>
      <c r="J1557" s="2" t="s">
        <v>8089</v>
      </c>
      <c r="K1557" s="2" t="s">
        <v>7620</v>
      </c>
      <c r="L1557" s="2" t="s">
        <v>208</v>
      </c>
      <c r="M1557" s="2">
        <v>32724.0</v>
      </c>
      <c r="N1557" s="2" t="s">
        <v>21</v>
      </c>
    </row>
    <row r="1558" ht="15.75" customHeight="1">
      <c r="A1558" s="2">
        <v>2013.0</v>
      </c>
      <c r="B1558" s="2" t="s">
        <v>8090</v>
      </c>
      <c r="C1558" s="2" t="s">
        <v>8090</v>
      </c>
      <c r="D1558" s="2" t="str">
        <f>"540-578-2795"</f>
        <v>540-578-2795</v>
      </c>
      <c r="E1558" s="2" t="s">
        <v>678</v>
      </c>
      <c r="F1558" s="2" t="s">
        <v>645</v>
      </c>
      <c r="G1558" s="2" t="str">
        <f>"SR-2204"</f>
        <v>SR-2204</v>
      </c>
      <c r="H1558" s="2" t="s">
        <v>8091</v>
      </c>
      <c r="I1558" s="2" t="s">
        <v>8092</v>
      </c>
      <c r="K1558" s="2" t="s">
        <v>8093</v>
      </c>
      <c r="L1558" s="2" t="s">
        <v>165</v>
      </c>
      <c r="M1558" s="2">
        <v>22815.0</v>
      </c>
      <c r="N1558" s="2" t="s">
        <v>21</v>
      </c>
    </row>
    <row r="1559" ht="15.75" customHeight="1">
      <c r="A1559" s="2">
        <v>2013.0</v>
      </c>
      <c r="B1559" s="2" t="s">
        <v>8094</v>
      </c>
      <c r="C1559" s="2" t="s">
        <v>8094</v>
      </c>
      <c r="D1559" s="2" t="str">
        <f>"937-964-3193"</f>
        <v>937-964-3193</v>
      </c>
      <c r="E1559" s="2" t="s">
        <v>15</v>
      </c>
      <c r="F1559" s="2" t="s">
        <v>1243</v>
      </c>
      <c r="G1559" s="2" t="str">
        <f>"SR-2226"</f>
        <v>SR-2226</v>
      </c>
      <c r="H1559" s="2" t="s">
        <v>8095</v>
      </c>
      <c r="I1559" s="2" t="s">
        <v>8069</v>
      </c>
      <c r="K1559" s="2" t="s">
        <v>8070</v>
      </c>
      <c r="L1559" s="2" t="s">
        <v>344</v>
      </c>
      <c r="M1559" s="2">
        <v>45344.0</v>
      </c>
      <c r="N1559" s="2" t="s">
        <v>21</v>
      </c>
    </row>
    <row r="1560" ht="15.75" customHeight="1">
      <c r="A1560" s="2">
        <v>2013.0</v>
      </c>
      <c r="B1560" s="2" t="s">
        <v>8096</v>
      </c>
      <c r="D1560" s="2" t="str">
        <f>"612-718-4491"</f>
        <v>612-718-4491</v>
      </c>
      <c r="E1560" s="2" t="s">
        <v>862</v>
      </c>
      <c r="F1560" s="2" t="s">
        <v>8097</v>
      </c>
      <c r="G1560" s="2" t="str">
        <f>"SR-2109"</f>
        <v>SR-2109</v>
      </c>
      <c r="H1560" s="2" t="s">
        <v>8098</v>
      </c>
      <c r="I1560" s="2" t="s">
        <v>8099</v>
      </c>
      <c r="K1560" s="2" t="s">
        <v>1019</v>
      </c>
      <c r="L1560" s="2" t="s">
        <v>62</v>
      </c>
      <c r="M1560" s="2">
        <v>55438.0</v>
      </c>
      <c r="N1560" s="2" t="s">
        <v>21</v>
      </c>
    </row>
    <row r="1561" ht="15.75" customHeight="1">
      <c r="A1561" s="2">
        <v>2013.0</v>
      </c>
      <c r="B1561" s="2" t="s">
        <v>8100</v>
      </c>
      <c r="C1561" s="2" t="s">
        <v>8101</v>
      </c>
      <c r="D1561" s="2" t="str">
        <f>"6126554139"</f>
        <v>6126554139</v>
      </c>
      <c r="E1561" s="2" t="s">
        <v>1088</v>
      </c>
      <c r="F1561" s="2" t="s">
        <v>8102</v>
      </c>
      <c r="G1561" s="2" t="str">
        <f>"SR-606"</f>
        <v>SR-606</v>
      </c>
      <c r="H1561" s="2" t="s">
        <v>8103</v>
      </c>
      <c r="I1561" s="2" t="s">
        <v>8104</v>
      </c>
      <c r="K1561" s="2" t="s">
        <v>7722</v>
      </c>
      <c r="L1561" s="2" t="s">
        <v>62</v>
      </c>
      <c r="M1561" s="2">
        <v>55337.0</v>
      </c>
      <c r="N1561" s="2" t="s">
        <v>21</v>
      </c>
    </row>
    <row r="1562" ht="15.75" customHeight="1">
      <c r="A1562" s="2">
        <v>2013.0</v>
      </c>
      <c r="B1562" s="2" t="s">
        <v>7688</v>
      </c>
      <c r="C1562" s="2" t="s">
        <v>8105</v>
      </c>
      <c r="D1562" s="2" t="str">
        <f>"(910)488-0330"</f>
        <v>(910)488-0330</v>
      </c>
      <c r="E1562" s="2" t="s">
        <v>8106</v>
      </c>
      <c r="F1562" s="2" t="s">
        <v>8107</v>
      </c>
      <c r="G1562" s="2" t="str">
        <f>"SR-2176"</f>
        <v>SR-2176</v>
      </c>
      <c r="H1562" s="2" t="s">
        <v>8108</v>
      </c>
      <c r="I1562" s="2" t="s">
        <v>8109</v>
      </c>
      <c r="K1562" s="2" t="s">
        <v>3164</v>
      </c>
      <c r="L1562" s="2" t="s">
        <v>20</v>
      </c>
      <c r="M1562" s="2">
        <v>28311.0</v>
      </c>
      <c r="N1562" s="2" t="s">
        <v>21</v>
      </c>
    </row>
    <row r="1563" ht="15.75" customHeight="1">
      <c r="A1563" s="2">
        <v>2013.0</v>
      </c>
      <c r="B1563" s="2" t="s">
        <v>8110</v>
      </c>
      <c r="C1563" s="2" t="s">
        <v>8110</v>
      </c>
      <c r="D1563" s="2" t="str">
        <f>"817-757-9322"</f>
        <v>817-757-9322</v>
      </c>
      <c r="E1563" s="2" t="s">
        <v>124</v>
      </c>
      <c r="F1563" s="2" t="s">
        <v>167</v>
      </c>
      <c r="G1563" s="2" t="str">
        <f>"SR-2229"</f>
        <v>SR-2229</v>
      </c>
      <c r="H1563" s="2" t="s">
        <v>8111</v>
      </c>
      <c r="I1563" s="2" t="s">
        <v>8112</v>
      </c>
      <c r="K1563" s="2" t="s">
        <v>5729</v>
      </c>
      <c r="L1563" s="2" t="s">
        <v>172</v>
      </c>
      <c r="M1563" s="2">
        <v>76087.0</v>
      </c>
      <c r="N1563" s="2" t="s">
        <v>21</v>
      </c>
    </row>
    <row r="1564" ht="15.75" customHeight="1">
      <c r="A1564" s="2">
        <v>2013.0</v>
      </c>
      <c r="B1564" s="2" t="s">
        <v>8113</v>
      </c>
      <c r="C1564" s="2" t="s">
        <v>8114</v>
      </c>
      <c r="D1564" s="2" t="str">
        <f>"815-784-4260"</f>
        <v>815-784-4260</v>
      </c>
      <c r="E1564" s="2" t="s">
        <v>2401</v>
      </c>
      <c r="F1564" s="2" t="s">
        <v>8115</v>
      </c>
      <c r="G1564" s="2" t="str">
        <f>"SR-2221"</f>
        <v>SR-2221</v>
      </c>
      <c r="H1564" s="2" t="s">
        <v>8116</v>
      </c>
      <c r="I1564" s="2" t="s">
        <v>8117</v>
      </c>
      <c r="K1564" s="2" t="s">
        <v>8118</v>
      </c>
      <c r="L1564" s="2" t="s">
        <v>105</v>
      </c>
      <c r="M1564" s="2">
        <v>60135.0</v>
      </c>
      <c r="N1564" s="2" t="s">
        <v>21</v>
      </c>
    </row>
    <row r="1565" ht="15.75" customHeight="1">
      <c r="A1565" s="2">
        <v>2013.0</v>
      </c>
      <c r="B1565" s="2" t="s">
        <v>8119</v>
      </c>
      <c r="C1565" s="2" t="s">
        <v>8119</v>
      </c>
      <c r="D1565" s="2" t="str">
        <f>"860-918-4607"</f>
        <v>860-918-4607</v>
      </c>
      <c r="E1565" s="2" t="s">
        <v>301</v>
      </c>
      <c r="F1565" s="2" t="s">
        <v>645</v>
      </c>
      <c r="G1565" s="2" t="str">
        <f>"SR-2230"</f>
        <v>SR-2230</v>
      </c>
      <c r="H1565" s="2" t="s">
        <v>8120</v>
      </c>
      <c r="I1565" s="2" t="s">
        <v>8121</v>
      </c>
      <c r="K1565" s="2" t="s">
        <v>8122</v>
      </c>
      <c r="L1565" s="2" t="s">
        <v>165</v>
      </c>
      <c r="M1565" s="2">
        <v>23832.0</v>
      </c>
      <c r="N1565" s="2" t="s">
        <v>21</v>
      </c>
    </row>
    <row r="1566" ht="15.75" customHeight="1">
      <c r="A1566" s="2">
        <v>2013.0</v>
      </c>
      <c r="B1566" s="2" t="s">
        <v>8123</v>
      </c>
      <c r="C1566" s="2" t="s">
        <v>8124</v>
      </c>
      <c r="D1566" s="2" t="str">
        <f>"404-545-1693"</f>
        <v>404-545-1693</v>
      </c>
      <c r="E1566" s="2" t="s">
        <v>1141</v>
      </c>
      <c r="F1566" s="2" t="s">
        <v>8125</v>
      </c>
      <c r="G1566" s="2" t="str">
        <f>"SR-2232"</f>
        <v>SR-2232</v>
      </c>
      <c r="H1566" s="2" t="s">
        <v>8126</v>
      </c>
      <c r="I1566" s="2" t="s">
        <v>8127</v>
      </c>
      <c r="K1566" s="2" t="s">
        <v>8128</v>
      </c>
      <c r="L1566" s="2" t="s">
        <v>200</v>
      </c>
      <c r="M1566" s="2">
        <v>30005.0</v>
      </c>
      <c r="N1566" s="2" t="s">
        <v>21</v>
      </c>
    </row>
    <row r="1567" ht="15.75" customHeight="1">
      <c r="A1567" s="2">
        <v>2013.0</v>
      </c>
      <c r="B1567" s="2" t="s">
        <v>8129</v>
      </c>
      <c r="C1567" s="2" t="s">
        <v>8129</v>
      </c>
      <c r="D1567" s="2" t="str">
        <f>"229-776-8823"</f>
        <v>229-776-8823</v>
      </c>
      <c r="E1567" s="2" t="s">
        <v>1974</v>
      </c>
      <c r="F1567" s="2" t="s">
        <v>3551</v>
      </c>
      <c r="G1567" s="2" t="str">
        <f>"SR-2234"</f>
        <v>SR-2234</v>
      </c>
      <c r="H1567" s="2" t="s">
        <v>8130</v>
      </c>
      <c r="I1567" s="2" t="s">
        <v>8131</v>
      </c>
      <c r="K1567" s="2" t="s">
        <v>8132</v>
      </c>
      <c r="L1567" s="2" t="s">
        <v>200</v>
      </c>
      <c r="M1567" s="2">
        <v>31791.0</v>
      </c>
      <c r="N1567" s="2" t="s">
        <v>21</v>
      </c>
    </row>
    <row r="1568" ht="15.75" customHeight="1">
      <c r="A1568" s="2">
        <v>2013.0</v>
      </c>
      <c r="B1568" s="2" t="s">
        <v>8133</v>
      </c>
      <c r="D1568" s="2" t="str">
        <f>"765-570-2080"</f>
        <v>765-570-2080</v>
      </c>
      <c r="E1568" s="2" t="s">
        <v>2433</v>
      </c>
      <c r="F1568" s="2" t="s">
        <v>8134</v>
      </c>
      <c r="G1568" s="2" t="str">
        <f>"SR-2219"</f>
        <v>SR-2219</v>
      </c>
      <c r="H1568" s="2" t="s">
        <v>8135</v>
      </c>
      <c r="I1568" s="2" t="s">
        <v>8136</v>
      </c>
      <c r="K1568" s="2" t="s">
        <v>8137</v>
      </c>
      <c r="L1568" s="2" t="s">
        <v>149</v>
      </c>
      <c r="M1568" s="2">
        <v>46173.0</v>
      </c>
      <c r="N1568" s="2" t="s">
        <v>21</v>
      </c>
    </row>
    <row r="1569" ht="15.75" customHeight="1">
      <c r="A1569" s="2">
        <v>2013.0</v>
      </c>
      <c r="B1569" s="2" t="s">
        <v>8138</v>
      </c>
      <c r="C1569" s="2" t="s">
        <v>8138</v>
      </c>
      <c r="D1569" s="2" t="str">
        <f>"(502) 348-2209"</f>
        <v>(502) 348-2209</v>
      </c>
      <c r="E1569" s="2" t="s">
        <v>3778</v>
      </c>
      <c r="F1569" s="2" t="s">
        <v>8139</v>
      </c>
      <c r="G1569" s="2" t="str">
        <f>"SR-2002"</f>
        <v>SR-2002</v>
      </c>
      <c r="H1569" s="2" t="s">
        <v>8140</v>
      </c>
      <c r="I1569" s="2" t="s">
        <v>8141</v>
      </c>
      <c r="K1569" s="2" t="s">
        <v>8142</v>
      </c>
      <c r="L1569" s="2" t="s">
        <v>1236</v>
      </c>
      <c r="M1569" s="2">
        <v>40013.0</v>
      </c>
      <c r="N1569" s="2" t="s">
        <v>21</v>
      </c>
    </row>
    <row r="1570" ht="15.75" customHeight="1">
      <c r="A1570" s="2">
        <v>2013.0</v>
      </c>
      <c r="B1570" s="2" t="s">
        <v>8143</v>
      </c>
      <c r="C1570" s="2" t="s">
        <v>8143</v>
      </c>
      <c r="D1570" s="2" t="str">
        <f>"(813) 653-2366"</f>
        <v>(813) 653-2366</v>
      </c>
      <c r="E1570" s="2" t="s">
        <v>339</v>
      </c>
      <c r="F1570" s="2" t="s">
        <v>2863</v>
      </c>
      <c r="G1570" s="2" t="str">
        <f>"SR-2207"</f>
        <v>SR-2207</v>
      </c>
      <c r="H1570" s="2" t="s">
        <v>8144</v>
      </c>
      <c r="I1570" s="2" t="s">
        <v>8145</v>
      </c>
      <c r="K1570" s="2" t="s">
        <v>2147</v>
      </c>
      <c r="L1570" s="2" t="s">
        <v>208</v>
      </c>
      <c r="M1570" s="2">
        <v>33511.0</v>
      </c>
      <c r="N1570" s="2" t="s">
        <v>21</v>
      </c>
    </row>
    <row r="1571" ht="15.75" customHeight="1">
      <c r="A1571" s="2">
        <v>2013.0</v>
      </c>
      <c r="B1571" s="2" t="s">
        <v>8146</v>
      </c>
      <c r="C1571" s="2" t="s">
        <v>8147</v>
      </c>
      <c r="D1571" s="2" t="str">
        <f>"7208728487"</f>
        <v>7208728487</v>
      </c>
      <c r="E1571" s="2" t="s">
        <v>8148</v>
      </c>
      <c r="F1571" s="2" t="s">
        <v>8149</v>
      </c>
      <c r="G1571" s="2" t="str">
        <f>"SR-2227"</f>
        <v>SR-2227</v>
      </c>
      <c r="H1571" s="2" t="s">
        <v>8150</v>
      </c>
      <c r="I1571" s="2" t="s">
        <v>8151</v>
      </c>
      <c r="K1571" s="2" t="s">
        <v>7480</v>
      </c>
      <c r="L1571" s="2" t="s">
        <v>157</v>
      </c>
      <c r="M1571" s="2">
        <v>80241.0</v>
      </c>
      <c r="N1571" s="2" t="s">
        <v>21</v>
      </c>
    </row>
    <row r="1572" ht="15.75" customHeight="1">
      <c r="A1572" s="2">
        <v>2013.0</v>
      </c>
      <c r="B1572" s="2" t="s">
        <v>8152</v>
      </c>
      <c r="C1572" s="2" t="s">
        <v>8153</v>
      </c>
      <c r="D1572" s="2" t="str">
        <f>"2483565218"</f>
        <v>2483565218</v>
      </c>
      <c r="E1572" s="2" t="s">
        <v>2355</v>
      </c>
      <c r="F1572" s="2" t="s">
        <v>2063</v>
      </c>
      <c r="G1572" s="2" t="str">
        <f>"SR-1726"</f>
        <v>SR-1726</v>
      </c>
      <c r="H1572" s="2" t="s">
        <v>8154</v>
      </c>
      <c r="I1572" s="2" t="s">
        <v>8155</v>
      </c>
      <c r="K1572" s="2" t="s">
        <v>8156</v>
      </c>
      <c r="L1572" s="2" t="s">
        <v>29</v>
      </c>
      <c r="M1572" s="2">
        <v>48033.0</v>
      </c>
      <c r="N1572" s="2" t="s">
        <v>21</v>
      </c>
    </row>
    <row r="1573" ht="15.75" customHeight="1">
      <c r="A1573" s="2">
        <v>2013.0</v>
      </c>
      <c r="B1573" s="2" t="s">
        <v>8157</v>
      </c>
      <c r="C1573" s="2" t="s">
        <v>8158</v>
      </c>
      <c r="D1573" s="2" t="str">
        <f>"970-690-5419"</f>
        <v>970-690-5419</v>
      </c>
      <c r="E1573" s="2" t="s">
        <v>8159</v>
      </c>
      <c r="F1573" s="2" t="s">
        <v>8160</v>
      </c>
      <c r="G1573" s="2" t="str">
        <f>"SR-2242"</f>
        <v>SR-2242</v>
      </c>
      <c r="H1573" s="2" t="s">
        <v>8161</v>
      </c>
      <c r="I1573" s="2" t="s">
        <v>8162</v>
      </c>
      <c r="K1573" s="2" t="s">
        <v>522</v>
      </c>
      <c r="L1573" s="2" t="s">
        <v>157</v>
      </c>
      <c r="M1573" s="2">
        <v>80612.0</v>
      </c>
      <c r="N1573" s="2" t="s">
        <v>21</v>
      </c>
    </row>
    <row r="1574" ht="15.75" customHeight="1">
      <c r="A1574" s="2">
        <v>2013.0</v>
      </c>
      <c r="B1574" s="2" t="s">
        <v>8163</v>
      </c>
      <c r="C1574" s="2" t="s">
        <v>8164</v>
      </c>
      <c r="D1574" s="2" t="str">
        <f>"5053146488"</f>
        <v>5053146488</v>
      </c>
      <c r="E1574" s="2" t="s">
        <v>267</v>
      </c>
      <c r="F1574" s="2" t="s">
        <v>8165</v>
      </c>
      <c r="G1574" s="2" t="str">
        <f>"SR-2241"</f>
        <v>SR-2241</v>
      </c>
      <c r="H1574" s="2" t="s">
        <v>8166</v>
      </c>
      <c r="I1574" s="2" t="s">
        <v>8167</v>
      </c>
      <c r="K1574" s="2" t="s">
        <v>3803</v>
      </c>
      <c r="L1574" s="2" t="s">
        <v>789</v>
      </c>
      <c r="M1574" s="2">
        <v>87124.0</v>
      </c>
      <c r="N1574" s="2" t="s">
        <v>21</v>
      </c>
    </row>
    <row r="1575" ht="15.75" customHeight="1">
      <c r="A1575" s="2">
        <v>2013.0</v>
      </c>
      <c r="B1575" s="2" t="s">
        <v>8168</v>
      </c>
      <c r="C1575" s="2" t="s">
        <v>8169</v>
      </c>
      <c r="D1575" s="2" t="str">
        <f>"651-213-0658"</f>
        <v>651-213-0658</v>
      </c>
      <c r="E1575" s="2" t="s">
        <v>8170</v>
      </c>
      <c r="F1575" s="2" t="s">
        <v>8171</v>
      </c>
      <c r="G1575" s="2" t="str">
        <f>"SR-2239"</f>
        <v>SR-2239</v>
      </c>
      <c r="H1575" s="2" t="s">
        <v>8172</v>
      </c>
      <c r="I1575" s="2" t="s">
        <v>8173</v>
      </c>
      <c r="K1575" s="2" t="s">
        <v>856</v>
      </c>
      <c r="L1575" s="2" t="s">
        <v>62</v>
      </c>
      <c r="M1575" s="2">
        <v>55045.0</v>
      </c>
      <c r="N1575" s="2" t="s">
        <v>21</v>
      </c>
    </row>
    <row r="1576" ht="15.75" customHeight="1">
      <c r="A1576" s="2">
        <v>2013.0</v>
      </c>
      <c r="B1576" s="2" t="s">
        <v>8174</v>
      </c>
      <c r="C1576" s="2" t="s">
        <v>8174</v>
      </c>
      <c r="D1576" s="2" t="str">
        <f>"5125509116"</f>
        <v>5125509116</v>
      </c>
      <c r="E1576" s="2" t="s">
        <v>2988</v>
      </c>
      <c r="F1576" s="2" t="s">
        <v>8175</v>
      </c>
      <c r="G1576" s="2" t="str">
        <f>"SR-2025"</f>
        <v>SR-2025</v>
      </c>
      <c r="H1576" s="2" t="s">
        <v>8176</v>
      </c>
      <c r="I1576" s="2" t="s">
        <v>8177</v>
      </c>
      <c r="K1576" s="2" t="s">
        <v>1662</v>
      </c>
      <c r="L1576" s="2" t="s">
        <v>172</v>
      </c>
      <c r="M1576" s="2">
        <v>78645.0</v>
      </c>
      <c r="N1576" s="2" t="s">
        <v>21</v>
      </c>
    </row>
    <row r="1577" ht="15.75" customHeight="1">
      <c r="A1577" s="2">
        <v>2013.0</v>
      </c>
      <c r="B1577" s="2" t="s">
        <v>8178</v>
      </c>
      <c r="D1577" s="2" t="str">
        <f>"330-875-5783"</f>
        <v>330-875-5783</v>
      </c>
      <c r="E1577" s="2" t="s">
        <v>8179</v>
      </c>
      <c r="F1577" s="2" t="s">
        <v>8180</v>
      </c>
      <c r="G1577" s="2" t="str">
        <f>"SR-2163"</f>
        <v>SR-2163</v>
      </c>
      <c r="H1577" s="2" t="s">
        <v>8181</v>
      </c>
      <c r="I1577" s="2" t="s">
        <v>8182</v>
      </c>
      <c r="K1577" s="2" t="s">
        <v>8183</v>
      </c>
      <c r="L1577" s="2" t="s">
        <v>344</v>
      </c>
      <c r="M1577" s="2">
        <v>44641.0</v>
      </c>
      <c r="N1577" s="2" t="s">
        <v>21</v>
      </c>
    </row>
    <row r="1578" ht="15.75" customHeight="1">
      <c r="A1578" s="2">
        <v>2013.0</v>
      </c>
      <c r="B1578" s="2" t="s">
        <v>8184</v>
      </c>
      <c r="C1578" s="2" t="s">
        <v>8185</v>
      </c>
      <c r="D1578" s="2" t="str">
        <f>"508-529-6518"</f>
        <v>508-529-6518</v>
      </c>
      <c r="E1578" s="2" t="s">
        <v>2936</v>
      </c>
      <c r="F1578" s="2" t="s">
        <v>8186</v>
      </c>
      <c r="G1578" s="2" t="str">
        <f>"SR-2244"</f>
        <v>SR-2244</v>
      </c>
      <c r="H1578" s="2" t="s">
        <v>8187</v>
      </c>
      <c r="I1578" s="2" t="s">
        <v>8188</v>
      </c>
      <c r="K1578" s="2" t="s">
        <v>8189</v>
      </c>
      <c r="L1578" s="2" t="s">
        <v>4108</v>
      </c>
      <c r="M1578" s="2">
        <v>1568.0</v>
      </c>
      <c r="N1578" s="2" t="s">
        <v>21</v>
      </c>
    </row>
    <row r="1579" ht="15.75" customHeight="1">
      <c r="A1579" s="2">
        <v>2013.0</v>
      </c>
      <c r="B1579" s="2" t="s">
        <v>8190</v>
      </c>
      <c r="C1579" s="2" t="s">
        <v>8191</v>
      </c>
      <c r="D1579" s="2" t="str">
        <f>"919-749-7321"</f>
        <v>919-749-7321</v>
      </c>
      <c r="E1579" s="2" t="s">
        <v>908</v>
      </c>
      <c r="F1579" s="2" t="s">
        <v>5675</v>
      </c>
      <c r="G1579" s="2" t="str">
        <f>"SR-2060"</f>
        <v>SR-2060</v>
      </c>
      <c r="H1579" s="2" t="s">
        <v>8192</v>
      </c>
      <c r="I1579" s="2" t="s">
        <v>8193</v>
      </c>
      <c r="K1579" s="2" t="s">
        <v>7993</v>
      </c>
      <c r="L1579" s="2" t="s">
        <v>20</v>
      </c>
      <c r="M1579" s="2">
        <v>27615.0</v>
      </c>
      <c r="N1579" s="2" t="s">
        <v>21</v>
      </c>
    </row>
    <row r="1580" ht="15.75" customHeight="1">
      <c r="A1580" s="2">
        <v>2013.0</v>
      </c>
      <c r="B1580" s="2" t="s">
        <v>8194</v>
      </c>
      <c r="C1580" s="2" t="s">
        <v>8194</v>
      </c>
      <c r="D1580" s="2" t="str">
        <f>"336-675-9640"</f>
        <v>336-675-9640</v>
      </c>
      <c r="E1580" s="2" t="s">
        <v>7123</v>
      </c>
      <c r="F1580" s="2" t="s">
        <v>8195</v>
      </c>
      <c r="G1580" s="2" t="str">
        <f>"SR-2233"</f>
        <v>SR-2233</v>
      </c>
      <c r="H1580" s="2" t="s">
        <v>8196</v>
      </c>
      <c r="I1580" s="2" t="s">
        <v>8197</v>
      </c>
      <c r="K1580" s="2" t="s">
        <v>6075</v>
      </c>
      <c r="L1580" s="2" t="s">
        <v>20</v>
      </c>
      <c r="M1580" s="2">
        <v>27217.0</v>
      </c>
      <c r="N1580" s="2" t="s">
        <v>21</v>
      </c>
    </row>
    <row r="1581" ht="15.75" customHeight="1">
      <c r="A1581" s="2">
        <v>2013.0</v>
      </c>
      <c r="B1581" s="2" t="s">
        <v>8198</v>
      </c>
      <c r="C1581" s="2" t="s">
        <v>8199</v>
      </c>
      <c r="D1581" s="2" t="str">
        <f>"770-598-1812"</f>
        <v>770-598-1812</v>
      </c>
      <c r="E1581" s="2" t="s">
        <v>1257</v>
      </c>
      <c r="F1581" s="2" t="s">
        <v>472</v>
      </c>
      <c r="G1581" s="2" t="str">
        <f>"SR-2247"</f>
        <v>SR-2247</v>
      </c>
      <c r="H1581" s="2" t="s">
        <v>8200</v>
      </c>
      <c r="I1581" s="2" t="s">
        <v>8201</v>
      </c>
      <c r="K1581" s="2" t="s">
        <v>7938</v>
      </c>
      <c r="L1581" s="2" t="s">
        <v>200</v>
      </c>
      <c r="M1581" s="2">
        <v>30101.0</v>
      </c>
      <c r="N1581" s="2" t="s">
        <v>21</v>
      </c>
    </row>
    <row r="1582" ht="15.75" customHeight="1">
      <c r="A1582" s="2">
        <v>2013.0</v>
      </c>
      <c r="B1582" s="2" t="s">
        <v>8202</v>
      </c>
      <c r="C1582" s="2" t="s">
        <v>8203</v>
      </c>
      <c r="D1582" s="2" t="str">
        <f>"(251) 368-1275"</f>
        <v>(251) 368-1275</v>
      </c>
      <c r="E1582" s="2" t="s">
        <v>15</v>
      </c>
      <c r="F1582" s="2" t="s">
        <v>8204</v>
      </c>
      <c r="G1582" s="2" t="str">
        <f>"SR-2250"</f>
        <v>SR-2250</v>
      </c>
      <c r="H1582" s="2" t="s">
        <v>8205</v>
      </c>
      <c r="I1582" s="2" t="s">
        <v>8206</v>
      </c>
      <c r="J1582" s="2" t="s">
        <v>8207</v>
      </c>
      <c r="K1582" s="2" t="s">
        <v>8208</v>
      </c>
      <c r="L1582" s="2" t="s">
        <v>539</v>
      </c>
      <c r="M1582" s="2">
        <v>36502.0</v>
      </c>
      <c r="N1582" s="2" t="s">
        <v>21</v>
      </c>
    </row>
    <row r="1583" ht="15.75" customHeight="1">
      <c r="A1583" s="2">
        <v>2013.0</v>
      </c>
      <c r="B1583" s="2" t="s">
        <v>8209</v>
      </c>
      <c r="D1583" s="2" t="str">
        <f>""</f>
        <v/>
      </c>
      <c r="E1583" s="2" t="s">
        <v>8210</v>
      </c>
      <c r="F1583" s="2" t="s">
        <v>8211</v>
      </c>
      <c r="G1583" s="2" t="str">
        <f>"SR-1973"</f>
        <v>SR-1973</v>
      </c>
      <c r="H1583" s="2" t="s">
        <v>8212</v>
      </c>
      <c r="N1583" s="2" t="s">
        <v>21</v>
      </c>
    </row>
    <row r="1584" ht="15.75" customHeight="1">
      <c r="A1584" s="2">
        <v>2013.0</v>
      </c>
      <c r="B1584" s="2" t="s">
        <v>8213</v>
      </c>
      <c r="C1584" s="2" t="s">
        <v>8213</v>
      </c>
      <c r="D1584" s="2" t="str">
        <f>"9139077418"</f>
        <v>9139077418</v>
      </c>
      <c r="E1584" s="2" t="s">
        <v>50</v>
      </c>
      <c r="F1584" s="2" t="s">
        <v>8214</v>
      </c>
      <c r="G1584" s="2" t="str">
        <f>"SR-2214"</f>
        <v>SR-2214</v>
      </c>
      <c r="H1584" s="2" t="s">
        <v>8215</v>
      </c>
      <c r="I1584" s="2" t="s">
        <v>8216</v>
      </c>
      <c r="K1584" s="2" t="s">
        <v>8217</v>
      </c>
      <c r="L1584" s="2" t="s">
        <v>272</v>
      </c>
      <c r="M1584" s="2">
        <v>66208.0</v>
      </c>
      <c r="N1584" s="2" t="s">
        <v>21</v>
      </c>
    </row>
    <row r="1585" ht="15.75" customHeight="1">
      <c r="A1585" s="2">
        <v>2013.0</v>
      </c>
      <c r="B1585" s="2" t="s">
        <v>8218</v>
      </c>
      <c r="D1585" s="2" t="str">
        <f>""</f>
        <v/>
      </c>
      <c r="E1585" s="2" t="s">
        <v>503</v>
      </c>
      <c r="F1585" s="2" t="s">
        <v>8219</v>
      </c>
      <c r="G1585" s="2" t="str">
        <f>"SR-2253"</f>
        <v>SR-2253</v>
      </c>
      <c r="H1585" s="2" t="s">
        <v>8220</v>
      </c>
      <c r="N1585" s="2" t="s">
        <v>21</v>
      </c>
    </row>
    <row r="1586" ht="15.75" customHeight="1">
      <c r="A1586" s="2">
        <v>2013.0</v>
      </c>
      <c r="B1586" s="2" t="s">
        <v>8221</v>
      </c>
      <c r="C1586" s="2" t="s">
        <v>8222</v>
      </c>
      <c r="D1586" s="2" t="str">
        <f>"205-612-7949"</f>
        <v>205-612-7949</v>
      </c>
      <c r="E1586" s="2" t="s">
        <v>167</v>
      </c>
      <c r="F1586" s="2" t="s">
        <v>529</v>
      </c>
      <c r="G1586" s="2" t="str">
        <f>"SR-2252"</f>
        <v>SR-2252</v>
      </c>
      <c r="H1586" s="2" t="s">
        <v>8223</v>
      </c>
      <c r="I1586" s="2" t="s">
        <v>8224</v>
      </c>
      <c r="K1586" s="2" t="s">
        <v>8225</v>
      </c>
      <c r="L1586" s="2" t="s">
        <v>539</v>
      </c>
      <c r="M1586" s="2">
        <v>35097.0</v>
      </c>
      <c r="N1586" s="2" t="s">
        <v>21</v>
      </c>
    </row>
    <row r="1587" ht="15.75" customHeight="1">
      <c r="A1587" s="2">
        <v>2013.0</v>
      </c>
      <c r="B1587" s="2" t="s">
        <v>8226</v>
      </c>
      <c r="C1587" s="2" t="s">
        <v>8227</v>
      </c>
      <c r="D1587" s="2" t="str">
        <f>"2565777589"</f>
        <v>2565777589</v>
      </c>
      <c r="E1587" s="2" t="s">
        <v>1440</v>
      </c>
      <c r="F1587" s="2" t="s">
        <v>8228</v>
      </c>
      <c r="G1587" s="2" t="str">
        <f>"SR-2257"</f>
        <v>SR-2257</v>
      </c>
      <c r="H1587" s="2" t="s">
        <v>8229</v>
      </c>
      <c r="I1587" s="2" t="s">
        <v>8230</v>
      </c>
      <c r="K1587" s="2" t="s">
        <v>8231</v>
      </c>
      <c r="L1587" s="2" t="s">
        <v>539</v>
      </c>
      <c r="M1587" s="2">
        <v>35601.0</v>
      </c>
      <c r="N1587" s="2" t="s">
        <v>21</v>
      </c>
    </row>
    <row r="1588" ht="15.75" customHeight="1">
      <c r="A1588" s="2">
        <v>2013.0</v>
      </c>
      <c r="B1588" s="2" t="s">
        <v>8232</v>
      </c>
      <c r="C1588" s="2" t="s">
        <v>8233</v>
      </c>
      <c r="D1588" s="2" t="str">
        <f>"682-553-4211"</f>
        <v>682-553-4211</v>
      </c>
      <c r="E1588" s="2" t="s">
        <v>160</v>
      </c>
      <c r="F1588" s="2" t="s">
        <v>8234</v>
      </c>
      <c r="G1588" s="2" t="str">
        <f>"SR-2254"</f>
        <v>SR-2254</v>
      </c>
      <c r="H1588" s="2" t="s">
        <v>8235</v>
      </c>
      <c r="I1588" s="2" t="s">
        <v>8236</v>
      </c>
      <c r="K1588" s="2" t="s">
        <v>5399</v>
      </c>
      <c r="L1588" s="2" t="s">
        <v>172</v>
      </c>
      <c r="M1588" s="2">
        <v>76021.0</v>
      </c>
      <c r="N1588" s="2" t="s">
        <v>21</v>
      </c>
    </row>
    <row r="1589" ht="15.75" customHeight="1">
      <c r="A1589" s="2">
        <v>2013.0</v>
      </c>
      <c r="B1589" s="2" t="s">
        <v>8237</v>
      </c>
      <c r="C1589" s="2" t="s">
        <v>8237</v>
      </c>
      <c r="D1589" s="2" t="str">
        <f>"7192711361"</f>
        <v>7192711361</v>
      </c>
      <c r="E1589" s="2" t="s">
        <v>8238</v>
      </c>
      <c r="F1589" s="2" t="s">
        <v>8239</v>
      </c>
      <c r="G1589" s="2" t="str">
        <f>"SR-2118"</f>
        <v>SR-2118</v>
      </c>
      <c r="H1589" s="2" t="s">
        <v>8240</v>
      </c>
      <c r="I1589" s="2" t="s">
        <v>8241</v>
      </c>
      <c r="K1589" s="2" t="s">
        <v>809</v>
      </c>
      <c r="L1589" s="2" t="s">
        <v>157</v>
      </c>
      <c r="M1589" s="2">
        <v>80908.0</v>
      </c>
      <c r="N1589" s="2" t="s">
        <v>21</v>
      </c>
    </row>
    <row r="1590" ht="15.75" customHeight="1">
      <c r="A1590" s="2">
        <v>2013.0</v>
      </c>
      <c r="B1590" s="2" t="s">
        <v>8226</v>
      </c>
      <c r="C1590" s="2" t="s">
        <v>8242</v>
      </c>
      <c r="D1590" s="2" t="str">
        <f>"256-577-7702"</f>
        <v>256-577-7702</v>
      </c>
      <c r="E1590" s="2" t="s">
        <v>3650</v>
      </c>
      <c r="F1590" s="2" t="s">
        <v>8228</v>
      </c>
      <c r="G1590" s="2" t="str">
        <f>"SR-2260"</f>
        <v>SR-2260</v>
      </c>
      <c r="H1590" s="2" t="s">
        <v>8243</v>
      </c>
      <c r="I1590" s="2" t="s">
        <v>8244</v>
      </c>
      <c r="K1590" s="2" t="s">
        <v>8231</v>
      </c>
      <c r="L1590" s="2" t="s">
        <v>539</v>
      </c>
      <c r="M1590" s="2">
        <v>35601.0</v>
      </c>
      <c r="N1590" s="2" t="s">
        <v>21</v>
      </c>
    </row>
    <row r="1591" ht="15.75" customHeight="1">
      <c r="A1591" s="2">
        <v>2013.0</v>
      </c>
      <c r="B1591" s="2" t="s">
        <v>8245</v>
      </c>
      <c r="C1591" s="2" t="s">
        <v>8246</v>
      </c>
      <c r="D1591" s="2" t="str">
        <f>"503-320-8039"</f>
        <v>503-320-8039</v>
      </c>
      <c r="E1591" s="2" t="s">
        <v>456</v>
      </c>
      <c r="F1591" s="2" t="s">
        <v>8247</v>
      </c>
      <c r="G1591" s="2" t="str">
        <f>"SR-1974"</f>
        <v>SR-1974</v>
      </c>
      <c r="H1591" s="2" t="s">
        <v>8248</v>
      </c>
      <c r="I1591" s="2" t="s">
        <v>8249</v>
      </c>
      <c r="K1591" s="2" t="s">
        <v>8250</v>
      </c>
      <c r="L1591" s="2" t="s">
        <v>222</v>
      </c>
      <c r="M1591" s="2">
        <v>92127.0</v>
      </c>
      <c r="N1591" s="2" t="s">
        <v>21</v>
      </c>
    </row>
    <row r="1592" ht="15.75" customHeight="1">
      <c r="A1592" s="2">
        <v>2013.0</v>
      </c>
      <c r="B1592" s="2" t="s">
        <v>8251</v>
      </c>
      <c r="C1592" s="2" t="s">
        <v>8251</v>
      </c>
      <c r="D1592" s="2" t="str">
        <f>"850-580-1617"</f>
        <v>850-580-1617</v>
      </c>
      <c r="E1592" s="2" t="s">
        <v>137</v>
      </c>
      <c r="F1592" s="2" t="s">
        <v>2852</v>
      </c>
      <c r="G1592" s="2" t="str">
        <f>"SR-2246"</f>
        <v>SR-2246</v>
      </c>
      <c r="H1592" s="2" t="s">
        <v>8252</v>
      </c>
      <c r="I1592" s="2" t="s">
        <v>8253</v>
      </c>
      <c r="K1592" s="2" t="s">
        <v>2007</v>
      </c>
      <c r="L1592" s="2" t="s">
        <v>208</v>
      </c>
      <c r="M1592" s="2">
        <v>32311.0</v>
      </c>
      <c r="N1592" s="2" t="s">
        <v>21</v>
      </c>
    </row>
    <row r="1593" ht="15.75" customHeight="1">
      <c r="A1593" s="2">
        <v>2013.0</v>
      </c>
      <c r="B1593" s="2" t="s">
        <v>8254</v>
      </c>
      <c r="C1593" s="2" t="s">
        <v>8254</v>
      </c>
      <c r="D1593" s="2" t="str">
        <f>"720-733-1510"</f>
        <v>720-733-1510</v>
      </c>
      <c r="E1593" s="2" t="s">
        <v>678</v>
      </c>
      <c r="F1593" s="2" t="s">
        <v>8255</v>
      </c>
      <c r="G1593" s="2" t="str">
        <f>"SR-2261"</f>
        <v>SR-2261</v>
      </c>
      <c r="H1593" s="2" t="s">
        <v>8256</v>
      </c>
      <c r="I1593" s="2" t="s">
        <v>8257</v>
      </c>
      <c r="K1593" s="2" t="s">
        <v>6308</v>
      </c>
      <c r="L1593" s="2" t="s">
        <v>157</v>
      </c>
      <c r="M1593" s="2">
        <v>80116.0</v>
      </c>
      <c r="N1593" s="2" t="s">
        <v>21</v>
      </c>
    </row>
    <row r="1594" ht="15.75" customHeight="1">
      <c r="A1594" s="2">
        <v>2013.0</v>
      </c>
      <c r="B1594" s="2" t="s">
        <v>8258</v>
      </c>
      <c r="C1594" s="2" t="s">
        <v>8259</v>
      </c>
      <c r="D1594" s="2" t="str">
        <f>"5016580358"</f>
        <v>5016580358</v>
      </c>
      <c r="E1594" s="2" t="s">
        <v>4300</v>
      </c>
      <c r="F1594" s="2" t="s">
        <v>8260</v>
      </c>
      <c r="G1594" s="2" t="str">
        <f>"SR-2106"</f>
        <v>SR-2106</v>
      </c>
      <c r="H1594" s="2" t="s">
        <v>8261</v>
      </c>
      <c r="I1594" s="2" t="s">
        <v>8262</v>
      </c>
      <c r="K1594" s="2" t="s">
        <v>1759</v>
      </c>
      <c r="L1594" s="2" t="s">
        <v>1012</v>
      </c>
      <c r="M1594" s="2">
        <v>72223.0</v>
      </c>
      <c r="N1594" s="2" t="s">
        <v>21</v>
      </c>
    </row>
    <row r="1595" ht="15.75" customHeight="1">
      <c r="A1595" s="2">
        <v>2013.0</v>
      </c>
      <c r="B1595" s="2" t="s">
        <v>8263</v>
      </c>
      <c r="C1595" s="2" t="s">
        <v>8263</v>
      </c>
      <c r="D1595" s="2" t="str">
        <f>"219-767-2401"</f>
        <v>219-767-2401</v>
      </c>
      <c r="E1595" s="2" t="s">
        <v>651</v>
      </c>
      <c r="F1595" s="2" t="s">
        <v>283</v>
      </c>
      <c r="G1595" s="2" t="str">
        <f>"SR-2263"</f>
        <v>SR-2263</v>
      </c>
      <c r="H1595" s="2" t="s">
        <v>8264</v>
      </c>
      <c r="I1595" s="2" t="s">
        <v>8265</v>
      </c>
      <c r="K1595" s="2" t="s">
        <v>8266</v>
      </c>
      <c r="L1595" s="2" t="s">
        <v>149</v>
      </c>
      <c r="M1595" s="2">
        <v>46382.0</v>
      </c>
      <c r="N1595" s="2" t="s">
        <v>21</v>
      </c>
    </row>
    <row r="1596" ht="15.75" customHeight="1">
      <c r="A1596" s="2">
        <v>2013.0</v>
      </c>
      <c r="B1596" s="2" t="s">
        <v>8267</v>
      </c>
      <c r="C1596" s="2" t="s">
        <v>8267</v>
      </c>
      <c r="D1596" s="2" t="str">
        <f>"5026496876"</f>
        <v>5026496876</v>
      </c>
      <c r="E1596" s="2" t="s">
        <v>485</v>
      </c>
      <c r="F1596" s="2" t="s">
        <v>1151</v>
      </c>
      <c r="G1596" s="2" t="str">
        <f>"SR-2262"</f>
        <v>SR-2262</v>
      </c>
      <c r="H1596" s="2" t="s">
        <v>8268</v>
      </c>
      <c r="I1596" s="2" t="s">
        <v>8269</v>
      </c>
      <c r="K1596" s="2" t="s">
        <v>1548</v>
      </c>
      <c r="L1596" s="2" t="s">
        <v>157</v>
      </c>
      <c r="M1596" s="2">
        <v>80107.0</v>
      </c>
      <c r="N1596" s="2" t="s">
        <v>21</v>
      </c>
    </row>
    <row r="1597" ht="15.75" customHeight="1">
      <c r="A1597" s="2">
        <v>2013.0</v>
      </c>
      <c r="B1597" s="2" t="s">
        <v>8270</v>
      </c>
      <c r="C1597" s="2" t="s">
        <v>8271</v>
      </c>
      <c r="D1597" s="2" t="str">
        <f>"703-930-6605"</f>
        <v>703-930-6605</v>
      </c>
      <c r="E1597" s="2" t="s">
        <v>938</v>
      </c>
      <c r="F1597" s="2" t="s">
        <v>2753</v>
      </c>
      <c r="G1597" s="2" t="str">
        <f>"SR-2264"</f>
        <v>SR-2264</v>
      </c>
      <c r="H1597" s="2" t="s">
        <v>8272</v>
      </c>
      <c r="I1597" s="2" t="s">
        <v>8273</v>
      </c>
      <c r="K1597" s="2" t="s">
        <v>8274</v>
      </c>
      <c r="L1597" s="2" t="s">
        <v>165</v>
      </c>
      <c r="M1597" s="2">
        <v>20148.0</v>
      </c>
      <c r="N1597" s="2" t="s">
        <v>21</v>
      </c>
    </row>
    <row r="1598" ht="15.75" customHeight="1">
      <c r="A1598" s="2">
        <v>2013.0</v>
      </c>
      <c r="B1598" s="2" t="s">
        <v>4995</v>
      </c>
      <c r="C1598" s="2" t="s">
        <v>4995</v>
      </c>
      <c r="D1598" s="2" t="str">
        <f>"205-594-4942"</f>
        <v>205-594-4942</v>
      </c>
      <c r="E1598" s="2" t="s">
        <v>1129</v>
      </c>
      <c r="F1598" s="2" t="s">
        <v>3028</v>
      </c>
      <c r="G1598" s="2" t="str">
        <f>"SR-2198"</f>
        <v>SR-2198</v>
      </c>
      <c r="H1598" s="2" t="s">
        <v>4996</v>
      </c>
      <c r="I1598" s="2" t="s">
        <v>8275</v>
      </c>
      <c r="K1598" s="2" t="s">
        <v>5019</v>
      </c>
      <c r="L1598" s="2" t="s">
        <v>539</v>
      </c>
      <c r="M1598" s="2">
        <v>35953.0</v>
      </c>
      <c r="N1598" s="2" t="s">
        <v>21</v>
      </c>
    </row>
    <row r="1599" ht="15.75" customHeight="1">
      <c r="A1599" s="2">
        <v>2013.0</v>
      </c>
      <c r="B1599" s="2" t="s">
        <v>8276</v>
      </c>
      <c r="D1599" s="2" t="str">
        <f>"(956) 873-3801"</f>
        <v>(956) 873-3801</v>
      </c>
      <c r="E1599" s="2" t="s">
        <v>8277</v>
      </c>
      <c r="F1599" s="2" t="s">
        <v>8278</v>
      </c>
      <c r="G1599" s="2" t="str">
        <f>"SR-2266"</f>
        <v>SR-2266</v>
      </c>
      <c r="H1599" s="2" t="s">
        <v>8279</v>
      </c>
      <c r="I1599" s="2" t="s">
        <v>8280</v>
      </c>
      <c r="K1599" s="2" t="s">
        <v>6312</v>
      </c>
      <c r="L1599" s="2" t="s">
        <v>539</v>
      </c>
      <c r="M1599" s="2">
        <v>36832.0</v>
      </c>
      <c r="N1599" s="2" t="s">
        <v>21</v>
      </c>
    </row>
    <row r="1600" ht="15.75" customHeight="1">
      <c r="A1600" s="2">
        <v>2013.0</v>
      </c>
      <c r="B1600" s="2" t="s">
        <v>8281</v>
      </c>
      <c r="C1600" s="2" t="s">
        <v>8281</v>
      </c>
      <c r="D1600" s="2" t="str">
        <f>"8438121977"</f>
        <v>8438121977</v>
      </c>
      <c r="E1600" s="2" t="s">
        <v>580</v>
      </c>
      <c r="F1600" s="2" t="s">
        <v>836</v>
      </c>
      <c r="G1600" s="2" t="str">
        <f>"SR-2267"</f>
        <v>SR-2267</v>
      </c>
      <c r="H1600" s="2" t="s">
        <v>8282</v>
      </c>
      <c r="I1600" s="2" t="s">
        <v>8283</v>
      </c>
      <c r="K1600" s="2" t="s">
        <v>8284</v>
      </c>
      <c r="L1600" s="2" t="s">
        <v>55</v>
      </c>
      <c r="M1600" s="2">
        <v>29940.0</v>
      </c>
      <c r="N1600" s="2" t="s">
        <v>21</v>
      </c>
    </row>
    <row r="1601" ht="15.75" customHeight="1">
      <c r="A1601" s="2">
        <v>2013.0</v>
      </c>
      <c r="B1601" s="2" t="s">
        <v>8285</v>
      </c>
      <c r="C1601" s="2" t="s">
        <v>8286</v>
      </c>
      <c r="D1601" s="2" t="str">
        <f>"2483480848"</f>
        <v>2483480848</v>
      </c>
      <c r="E1601" s="2" t="s">
        <v>8287</v>
      </c>
      <c r="F1601" s="2" t="s">
        <v>8288</v>
      </c>
      <c r="G1601" s="2" t="str">
        <f>"SR-2192"</f>
        <v>SR-2192</v>
      </c>
      <c r="H1601" s="2" t="s">
        <v>8289</v>
      </c>
      <c r="I1601" s="2" t="s">
        <v>8290</v>
      </c>
      <c r="K1601" s="2" t="s">
        <v>8291</v>
      </c>
      <c r="L1601" s="2" t="s">
        <v>29</v>
      </c>
      <c r="M1601" s="2">
        <v>48374.0</v>
      </c>
      <c r="N1601" s="2" t="s">
        <v>21</v>
      </c>
    </row>
    <row r="1602" ht="15.75" customHeight="1">
      <c r="A1602" s="2">
        <v>2013.0</v>
      </c>
      <c r="B1602" s="2" t="s">
        <v>8292</v>
      </c>
      <c r="C1602" s="2" t="s">
        <v>8293</v>
      </c>
      <c r="D1602" s="2" t="str">
        <f>"650-965-2463"</f>
        <v>650-965-2463</v>
      </c>
      <c r="E1602" s="2" t="s">
        <v>50</v>
      </c>
      <c r="F1602" s="2" t="s">
        <v>8294</v>
      </c>
      <c r="G1602" s="2" t="str">
        <f>"SR-2268"</f>
        <v>SR-2268</v>
      </c>
      <c r="H1602" s="2" t="s">
        <v>8295</v>
      </c>
      <c r="I1602" s="2" t="s">
        <v>8296</v>
      </c>
      <c r="K1602" s="2" t="s">
        <v>8297</v>
      </c>
      <c r="L1602" s="2" t="s">
        <v>222</v>
      </c>
      <c r="M1602" s="2">
        <v>94040.0</v>
      </c>
      <c r="N1602" s="2" t="s">
        <v>21</v>
      </c>
    </row>
    <row r="1603" ht="15.75" customHeight="1">
      <c r="A1603" s="2">
        <v>2013.0</v>
      </c>
      <c r="B1603" s="2" t="s">
        <v>8298</v>
      </c>
      <c r="D1603" s="2" t="str">
        <f>"618-967-7809"</f>
        <v>618-967-7809</v>
      </c>
      <c r="E1603" s="2" t="s">
        <v>2412</v>
      </c>
      <c r="F1603" s="2" t="s">
        <v>8299</v>
      </c>
      <c r="G1603" s="2" t="str">
        <f>"SR-2271"</f>
        <v>SR-2271</v>
      </c>
      <c r="H1603" s="2" t="s">
        <v>8300</v>
      </c>
      <c r="I1603" s="2" t="s">
        <v>8301</v>
      </c>
      <c r="K1603" s="2" t="s">
        <v>4250</v>
      </c>
      <c r="L1603" s="2" t="s">
        <v>105</v>
      </c>
      <c r="M1603" s="2">
        <v>62952.0</v>
      </c>
      <c r="N1603" s="2" t="s">
        <v>21</v>
      </c>
    </row>
    <row r="1604" ht="15.75" customHeight="1">
      <c r="A1604" s="2">
        <v>2013.0</v>
      </c>
      <c r="B1604" s="2" t="s">
        <v>8298</v>
      </c>
      <c r="C1604" s="2" t="s">
        <v>8298</v>
      </c>
      <c r="D1604" s="2" t="str">
        <f>"618-697-6234"</f>
        <v>618-697-6234</v>
      </c>
      <c r="E1604" s="2" t="s">
        <v>843</v>
      </c>
      <c r="F1604" s="2" t="s">
        <v>8299</v>
      </c>
      <c r="G1604" s="2" t="str">
        <f>"SR-2272"</f>
        <v>SR-2272</v>
      </c>
      <c r="H1604" s="2" t="s">
        <v>8302</v>
      </c>
      <c r="I1604" s="2" t="s">
        <v>8303</v>
      </c>
      <c r="K1604" s="2" t="s">
        <v>4250</v>
      </c>
      <c r="L1604" s="2" t="s">
        <v>105</v>
      </c>
      <c r="M1604" s="2">
        <v>62952.0</v>
      </c>
      <c r="N1604" s="2" t="s">
        <v>21</v>
      </c>
    </row>
    <row r="1605" ht="15.75" customHeight="1">
      <c r="A1605" s="2">
        <v>2013.0</v>
      </c>
      <c r="B1605" s="2" t="s">
        <v>8304</v>
      </c>
      <c r="C1605" s="2" t="s">
        <v>8304</v>
      </c>
      <c r="D1605" s="2" t="str">
        <f>"719-225-9821"</f>
        <v>719-225-9821</v>
      </c>
      <c r="E1605" s="2" t="s">
        <v>843</v>
      </c>
      <c r="F1605" s="2" t="s">
        <v>8305</v>
      </c>
      <c r="G1605" s="2" t="str">
        <f>"SR-1765"</f>
        <v>SR-1765</v>
      </c>
      <c r="H1605" s="2" t="s">
        <v>8306</v>
      </c>
      <c r="I1605" s="2" t="s">
        <v>8307</v>
      </c>
      <c r="K1605" s="2" t="s">
        <v>8308</v>
      </c>
      <c r="L1605" s="2" t="s">
        <v>157</v>
      </c>
      <c r="M1605" s="2">
        <v>81005.0</v>
      </c>
      <c r="N1605" s="2" t="s">
        <v>21</v>
      </c>
    </row>
    <row r="1606" ht="15.75" customHeight="1">
      <c r="A1606" s="2">
        <v>2013.0</v>
      </c>
      <c r="B1606" s="2" t="s">
        <v>8309</v>
      </c>
      <c r="C1606" s="2" t="s">
        <v>8309</v>
      </c>
      <c r="D1606" s="2" t="str">
        <f>"7792252994"</f>
        <v>7792252994</v>
      </c>
      <c r="E1606" s="2" t="s">
        <v>261</v>
      </c>
      <c r="F1606" s="2" t="s">
        <v>8310</v>
      </c>
      <c r="G1606" s="2" t="str">
        <f>"SR-2274"</f>
        <v>SR-2274</v>
      </c>
      <c r="H1606" s="2" t="s">
        <v>8311</v>
      </c>
      <c r="I1606" s="2" t="s">
        <v>8312</v>
      </c>
      <c r="K1606" s="2" t="s">
        <v>8313</v>
      </c>
      <c r="L1606" s="2" t="s">
        <v>105</v>
      </c>
      <c r="M1606" s="2">
        <v>60410.0</v>
      </c>
      <c r="N1606" s="2" t="s">
        <v>21</v>
      </c>
    </row>
    <row r="1607" ht="15.75" customHeight="1">
      <c r="A1607" s="2">
        <v>2013.0</v>
      </c>
      <c r="B1607" s="2" t="s">
        <v>8314</v>
      </c>
      <c r="C1607" s="2" t="s">
        <v>8315</v>
      </c>
      <c r="D1607" s="2" t="str">
        <f>"6622922600"</f>
        <v>6622922600</v>
      </c>
      <c r="E1607" s="2" t="s">
        <v>8316</v>
      </c>
      <c r="F1607" s="2" t="s">
        <v>8317</v>
      </c>
      <c r="G1607" s="2" t="str">
        <f>"SR-1923"</f>
        <v>SR-1923</v>
      </c>
      <c r="H1607" s="2" t="s">
        <v>8318</v>
      </c>
      <c r="I1607" s="2" t="s">
        <v>8319</v>
      </c>
      <c r="J1607" s="2" t="s">
        <v>8320</v>
      </c>
      <c r="K1607" s="2" t="s">
        <v>3705</v>
      </c>
      <c r="L1607" s="2" t="s">
        <v>789</v>
      </c>
      <c r="M1607" s="2">
        <v>87108.0</v>
      </c>
      <c r="N1607" s="2" t="s">
        <v>21</v>
      </c>
    </row>
    <row r="1608" ht="15.75" customHeight="1">
      <c r="A1608" s="2">
        <v>2013.0</v>
      </c>
      <c r="B1608" s="2" t="s">
        <v>8321</v>
      </c>
      <c r="C1608" s="2" t="s">
        <v>8321</v>
      </c>
      <c r="D1608" s="2" t="str">
        <f>"937-823-3121"</f>
        <v>937-823-3121</v>
      </c>
      <c r="E1608" s="2" t="s">
        <v>8322</v>
      </c>
      <c r="F1608" s="2" t="s">
        <v>8323</v>
      </c>
      <c r="G1608" s="2" t="str">
        <f>"SR-2166"</f>
        <v>SR-2166</v>
      </c>
      <c r="H1608" s="2" t="s">
        <v>8324</v>
      </c>
      <c r="I1608" s="2" t="s">
        <v>8325</v>
      </c>
      <c r="K1608" s="2" t="s">
        <v>8326</v>
      </c>
      <c r="L1608" s="2" t="s">
        <v>344</v>
      </c>
      <c r="M1608" s="2">
        <v>45314.0</v>
      </c>
      <c r="N1608" s="2" t="s">
        <v>21</v>
      </c>
    </row>
    <row r="1609" ht="15.75" customHeight="1">
      <c r="A1609" s="2">
        <v>2013.0</v>
      </c>
      <c r="B1609" s="2" t="s">
        <v>8327</v>
      </c>
      <c r="C1609" s="2" t="s">
        <v>8327</v>
      </c>
      <c r="D1609" s="2" t="str">
        <f>"719 640 0711"</f>
        <v>719 640 0711</v>
      </c>
      <c r="E1609" s="2" t="s">
        <v>1129</v>
      </c>
      <c r="F1609" s="2" t="s">
        <v>8328</v>
      </c>
      <c r="G1609" s="2" t="str">
        <f>"SR-2190"</f>
        <v>SR-2190</v>
      </c>
      <c r="H1609" s="2" t="s">
        <v>8329</v>
      </c>
      <c r="I1609" s="2" t="s">
        <v>8330</v>
      </c>
      <c r="K1609" s="2" t="s">
        <v>809</v>
      </c>
      <c r="L1609" s="2" t="s">
        <v>157</v>
      </c>
      <c r="M1609" s="2">
        <v>80906.0</v>
      </c>
      <c r="N1609" s="2" t="s">
        <v>21</v>
      </c>
    </row>
    <row r="1610" ht="15.75" customHeight="1">
      <c r="A1610" s="2">
        <v>2013.0</v>
      </c>
      <c r="B1610" s="2" t="s">
        <v>8331</v>
      </c>
      <c r="C1610" s="2" t="s">
        <v>8331</v>
      </c>
      <c r="D1610" s="2" t="str">
        <f>"5039851911"</f>
        <v>5039851911</v>
      </c>
      <c r="E1610" s="2" t="s">
        <v>8332</v>
      </c>
      <c r="F1610" s="2" t="s">
        <v>8333</v>
      </c>
      <c r="G1610" s="2" t="str">
        <f>"SR-1260"</f>
        <v>SR-1260</v>
      </c>
      <c r="H1610" s="2" t="s">
        <v>8334</v>
      </c>
      <c r="I1610" s="2" t="s">
        <v>8335</v>
      </c>
      <c r="K1610" s="2" t="s">
        <v>4054</v>
      </c>
      <c r="L1610" s="2" t="s">
        <v>2389</v>
      </c>
      <c r="M1610" s="2">
        <v>97119.0</v>
      </c>
      <c r="N1610" s="2" t="s">
        <v>21</v>
      </c>
    </row>
    <row r="1611" ht="15.75" customHeight="1">
      <c r="A1611" s="2">
        <v>2013.0</v>
      </c>
      <c r="B1611" s="2" t="s">
        <v>7688</v>
      </c>
      <c r="C1611" s="2" t="s">
        <v>8336</v>
      </c>
      <c r="D1611" s="2" t="str">
        <f>"919-902-3405"</f>
        <v>919-902-3405</v>
      </c>
      <c r="E1611" s="2" t="s">
        <v>1880</v>
      </c>
      <c r="F1611" s="2" t="s">
        <v>7689</v>
      </c>
      <c r="G1611" s="2" t="str">
        <f>"SR-2277"</f>
        <v>SR-2277</v>
      </c>
      <c r="H1611" s="2" t="s">
        <v>8337</v>
      </c>
      <c r="I1611" s="2" t="s">
        <v>7691</v>
      </c>
      <c r="K1611" s="2" t="s">
        <v>7692</v>
      </c>
      <c r="L1611" s="2" t="s">
        <v>20</v>
      </c>
      <c r="M1611" s="2">
        <v>27504.0</v>
      </c>
      <c r="N1611" s="2" t="s">
        <v>21</v>
      </c>
    </row>
    <row r="1612" ht="15.75" customHeight="1">
      <c r="A1612" s="2">
        <v>2013.0</v>
      </c>
      <c r="B1612" s="2" t="s">
        <v>8338</v>
      </c>
      <c r="C1612" s="2" t="s">
        <v>8339</v>
      </c>
      <c r="D1612" s="2" t="str">
        <f>"248.396.1771"</f>
        <v>248.396.1771</v>
      </c>
      <c r="E1612" s="2" t="s">
        <v>8340</v>
      </c>
      <c r="F1612" s="2" t="s">
        <v>8341</v>
      </c>
      <c r="G1612" s="2" t="str">
        <f>"SR-2278"</f>
        <v>SR-2278</v>
      </c>
      <c r="H1612" s="2" t="s">
        <v>8342</v>
      </c>
      <c r="I1612" s="2" t="s">
        <v>8343</v>
      </c>
      <c r="K1612" s="2" t="s">
        <v>8344</v>
      </c>
      <c r="L1612" s="2" t="s">
        <v>29</v>
      </c>
      <c r="M1612" s="2">
        <v>48386.0</v>
      </c>
      <c r="N1612" s="2" t="s">
        <v>21</v>
      </c>
    </row>
    <row r="1613" ht="15.75" customHeight="1">
      <c r="A1613" s="2">
        <v>2013.0</v>
      </c>
      <c r="B1613" s="2" t="s">
        <v>8338</v>
      </c>
      <c r="C1613" s="2" t="s">
        <v>8345</v>
      </c>
      <c r="D1613" s="2" t="str">
        <f>"248.390.1680"</f>
        <v>248.390.1680</v>
      </c>
      <c r="E1613" s="2" t="s">
        <v>862</v>
      </c>
      <c r="F1613" s="2" t="s">
        <v>8341</v>
      </c>
      <c r="G1613" s="2" t="str">
        <f>"SR-2265"</f>
        <v>SR-2265</v>
      </c>
      <c r="H1613" s="2" t="s">
        <v>8346</v>
      </c>
      <c r="I1613" s="2" t="s">
        <v>8343</v>
      </c>
      <c r="K1613" s="2" t="s">
        <v>8344</v>
      </c>
      <c r="L1613" s="2" t="s">
        <v>29</v>
      </c>
      <c r="M1613" s="2">
        <v>48386.0</v>
      </c>
      <c r="N1613" s="2" t="s">
        <v>21</v>
      </c>
    </row>
    <row r="1614" ht="15.75" customHeight="1">
      <c r="A1614" s="2">
        <v>2013.0</v>
      </c>
      <c r="B1614" s="2" t="s">
        <v>8347</v>
      </c>
      <c r="C1614" s="2" t="s">
        <v>8348</v>
      </c>
      <c r="D1614" s="2" t="str">
        <f>"931-434-2834"</f>
        <v>931-434-2834</v>
      </c>
      <c r="E1614" s="2" t="s">
        <v>1015</v>
      </c>
      <c r="F1614" s="2" t="s">
        <v>5205</v>
      </c>
      <c r="G1614" s="2" t="str">
        <f>"SR-2279"</f>
        <v>SR-2279</v>
      </c>
      <c r="H1614" s="2" t="s">
        <v>8349</v>
      </c>
      <c r="I1614" s="2" t="s">
        <v>8350</v>
      </c>
      <c r="K1614" s="2" t="s">
        <v>8351</v>
      </c>
      <c r="L1614" s="2" t="s">
        <v>279</v>
      </c>
      <c r="M1614" s="2">
        <v>37388.0</v>
      </c>
      <c r="N1614" s="2" t="s">
        <v>21</v>
      </c>
    </row>
    <row r="1615" ht="15.75" customHeight="1">
      <c r="A1615" s="2">
        <v>2013.0</v>
      </c>
      <c r="B1615" s="2" t="s">
        <v>8352</v>
      </c>
      <c r="C1615" s="2" t="s">
        <v>8352</v>
      </c>
      <c r="D1615" s="2" t="str">
        <f>"540 816 5056"</f>
        <v>540 816 5056</v>
      </c>
      <c r="E1615" s="2" t="s">
        <v>8353</v>
      </c>
      <c r="F1615" s="2" t="s">
        <v>8354</v>
      </c>
      <c r="G1615" s="2" t="str">
        <f>"SR-2281"</f>
        <v>SR-2281</v>
      </c>
      <c r="H1615" s="2" t="s">
        <v>8355</v>
      </c>
      <c r="I1615" s="2" t="s">
        <v>8356</v>
      </c>
      <c r="K1615" s="2" t="s">
        <v>8357</v>
      </c>
      <c r="L1615" s="2" t="s">
        <v>165</v>
      </c>
      <c r="M1615" s="2">
        <v>24523.0</v>
      </c>
      <c r="N1615" s="2" t="s">
        <v>21</v>
      </c>
    </row>
    <row r="1616" ht="15.75" customHeight="1">
      <c r="A1616" s="2">
        <v>2013.0</v>
      </c>
      <c r="B1616" s="2" t="s">
        <v>8358</v>
      </c>
      <c r="C1616" s="2" t="s">
        <v>8358</v>
      </c>
      <c r="D1616" s="2" t="str">
        <f>"217-508-7340"</f>
        <v>217-508-7340</v>
      </c>
      <c r="E1616" s="2" t="s">
        <v>584</v>
      </c>
      <c r="F1616" s="2" t="s">
        <v>8359</v>
      </c>
      <c r="G1616" s="2" t="str">
        <f>"SR-2293"</f>
        <v>SR-2293</v>
      </c>
      <c r="H1616" s="2" t="s">
        <v>8360</v>
      </c>
      <c r="I1616" s="2" t="s">
        <v>8361</v>
      </c>
      <c r="K1616" s="2" t="s">
        <v>1984</v>
      </c>
      <c r="L1616" s="2" t="s">
        <v>105</v>
      </c>
      <c r="M1616" s="2">
        <v>61920.0</v>
      </c>
      <c r="N1616" s="2" t="s">
        <v>21</v>
      </c>
    </row>
    <row r="1617" ht="15.75" customHeight="1">
      <c r="A1617" s="2">
        <v>2013.0</v>
      </c>
      <c r="B1617" s="2" t="s">
        <v>8362</v>
      </c>
      <c r="C1617" s="2" t="s">
        <v>8363</v>
      </c>
      <c r="D1617" s="2" t="str">
        <f>"541-399-2720"</f>
        <v>541-399-2720</v>
      </c>
      <c r="E1617" s="2" t="s">
        <v>8364</v>
      </c>
      <c r="F1617" s="2" t="s">
        <v>8365</v>
      </c>
      <c r="G1617" s="2" t="str">
        <f>"SR-2297"</f>
        <v>SR-2297</v>
      </c>
      <c r="H1617" s="2" t="s">
        <v>8366</v>
      </c>
      <c r="I1617" s="2" t="s">
        <v>8367</v>
      </c>
      <c r="K1617" s="2" t="s">
        <v>8368</v>
      </c>
      <c r="L1617" s="2" t="s">
        <v>2389</v>
      </c>
      <c r="M1617" s="2">
        <v>97031.0</v>
      </c>
      <c r="N1617" s="2" t="s">
        <v>21</v>
      </c>
    </row>
    <row r="1618" ht="15.75" customHeight="1">
      <c r="A1618" s="2">
        <v>2013.0</v>
      </c>
      <c r="B1618" s="2" t="s">
        <v>8369</v>
      </c>
      <c r="C1618" s="2" t="s">
        <v>8369</v>
      </c>
      <c r="D1618" s="2" t="str">
        <f>"779-772-9078"</f>
        <v>779-772-9078</v>
      </c>
      <c r="E1618" s="2" t="s">
        <v>1022</v>
      </c>
      <c r="F1618" s="2" t="s">
        <v>8370</v>
      </c>
      <c r="G1618" s="2" t="str">
        <f>"SR-2299"</f>
        <v>SR-2299</v>
      </c>
      <c r="H1618" s="2" t="s">
        <v>8371</v>
      </c>
      <c r="I1618" s="2" t="s">
        <v>8372</v>
      </c>
      <c r="K1618" s="2" t="s">
        <v>8373</v>
      </c>
      <c r="L1618" s="2" t="s">
        <v>105</v>
      </c>
      <c r="M1618" s="2">
        <v>61008.0</v>
      </c>
      <c r="N1618" s="2" t="s">
        <v>21</v>
      </c>
    </row>
    <row r="1619" ht="15.75" customHeight="1">
      <c r="A1619" s="2">
        <v>2013.0</v>
      </c>
      <c r="B1619" s="2" t="s">
        <v>8374</v>
      </c>
      <c r="D1619" s="2" t="str">
        <f>""</f>
        <v/>
      </c>
      <c r="E1619" s="2" t="s">
        <v>428</v>
      </c>
      <c r="F1619" s="2" t="s">
        <v>8375</v>
      </c>
      <c r="G1619" s="2" t="str">
        <f>"SR-2209"</f>
        <v>SR-2209</v>
      </c>
      <c r="H1619" s="2" t="s">
        <v>8376</v>
      </c>
      <c r="N1619" s="2" t="s">
        <v>21</v>
      </c>
    </row>
    <row r="1620" ht="15.75" customHeight="1">
      <c r="A1620" s="2">
        <v>2013.0</v>
      </c>
      <c r="B1620" s="2" t="s">
        <v>6731</v>
      </c>
      <c r="C1620" s="2" t="s">
        <v>8377</v>
      </c>
      <c r="D1620" s="2" t="str">
        <f>"(403)360-0114"</f>
        <v>(403)360-0114</v>
      </c>
      <c r="E1620" s="2" t="s">
        <v>8378</v>
      </c>
      <c r="F1620" s="2" t="s">
        <v>6733</v>
      </c>
      <c r="G1620" s="2" t="str">
        <f>"SR-466"</f>
        <v>SR-466</v>
      </c>
      <c r="H1620" s="2" t="s">
        <v>8379</v>
      </c>
      <c r="I1620" s="2" t="s">
        <v>8380</v>
      </c>
      <c r="K1620" s="2" t="s">
        <v>6736</v>
      </c>
      <c r="L1620" s="2" t="s">
        <v>6726</v>
      </c>
      <c r="M1620" s="2" t="s">
        <v>6742</v>
      </c>
      <c r="N1620" s="2" t="s">
        <v>1602</v>
      </c>
    </row>
    <row r="1621" ht="15.75" customHeight="1">
      <c r="A1621" s="2">
        <v>2013.0</v>
      </c>
      <c r="B1621" s="2" t="s">
        <v>8381</v>
      </c>
      <c r="C1621" s="2" t="s">
        <v>8381</v>
      </c>
      <c r="D1621" s="2" t="str">
        <f>"(605) 386-2812"</f>
        <v>(605) 386-2812</v>
      </c>
      <c r="E1621" s="2" t="s">
        <v>8382</v>
      </c>
      <c r="F1621" s="2" t="s">
        <v>8383</v>
      </c>
      <c r="G1621" s="2" t="str">
        <f>"SR-1812"</f>
        <v>SR-1812</v>
      </c>
      <c r="H1621" s="2" t="s">
        <v>8384</v>
      </c>
      <c r="I1621" s="2" t="s">
        <v>8385</v>
      </c>
      <c r="J1621" s="2" t="s">
        <v>8385</v>
      </c>
      <c r="K1621" s="2" t="s">
        <v>8386</v>
      </c>
      <c r="L1621" s="2" t="s">
        <v>920</v>
      </c>
      <c r="M1621" s="2">
        <v>57775.0</v>
      </c>
      <c r="N1621" s="2" t="s">
        <v>21</v>
      </c>
    </row>
    <row r="1622" ht="15.75" customHeight="1">
      <c r="A1622" s="2">
        <v>2013.0</v>
      </c>
      <c r="B1622" s="2" t="s">
        <v>8387</v>
      </c>
      <c r="C1622" s="2" t="s">
        <v>8388</v>
      </c>
      <c r="D1622" s="2" t="str">
        <f>"405-627-4079"</f>
        <v>405-627-4079</v>
      </c>
      <c r="E1622" s="2" t="s">
        <v>8389</v>
      </c>
      <c r="F1622" s="2" t="s">
        <v>8390</v>
      </c>
      <c r="G1622" s="2" t="str">
        <f>"SR-2305"</f>
        <v>SR-2305</v>
      </c>
      <c r="H1622" s="2" t="s">
        <v>8391</v>
      </c>
      <c r="I1622" s="2" t="s">
        <v>8392</v>
      </c>
      <c r="K1622" s="2" t="s">
        <v>1546</v>
      </c>
      <c r="L1622" s="2" t="s">
        <v>840</v>
      </c>
      <c r="M1622" s="2">
        <v>73025.0</v>
      </c>
      <c r="N1622" s="2" t="s">
        <v>21</v>
      </c>
    </row>
    <row r="1623" ht="15.75" customHeight="1">
      <c r="A1623" s="2">
        <v>2013.0</v>
      </c>
      <c r="B1623" s="2" t="s">
        <v>8393</v>
      </c>
      <c r="D1623" s="2" t="str">
        <f>"719-351-6545"</f>
        <v>719-351-6545</v>
      </c>
      <c r="E1623" s="2" t="s">
        <v>8394</v>
      </c>
      <c r="F1623" s="2" t="s">
        <v>8395</v>
      </c>
      <c r="G1623" s="2" t="str">
        <f>"SR-2303"</f>
        <v>SR-2303</v>
      </c>
      <c r="H1623" s="2" t="s">
        <v>8396</v>
      </c>
      <c r="I1623" s="2" t="s">
        <v>8397</v>
      </c>
      <c r="K1623" s="2" t="s">
        <v>8398</v>
      </c>
      <c r="L1623" s="2" t="s">
        <v>172</v>
      </c>
      <c r="M1623" s="2">
        <v>75078.0</v>
      </c>
      <c r="N1623" s="2" t="s">
        <v>21</v>
      </c>
    </row>
    <row r="1624" ht="15.75" customHeight="1">
      <c r="A1624" s="2">
        <v>2013.0</v>
      </c>
      <c r="B1624" s="2" t="s">
        <v>8399</v>
      </c>
      <c r="C1624" s="2" t="s">
        <v>8400</v>
      </c>
      <c r="D1624" s="2" t="str">
        <f>"303.648.3440"</f>
        <v>303.648.3440</v>
      </c>
      <c r="E1624" s="2" t="s">
        <v>1664</v>
      </c>
      <c r="F1624" s="2" t="s">
        <v>1756</v>
      </c>
      <c r="G1624" s="2" t="str">
        <f>"SR-2280"</f>
        <v>SR-2280</v>
      </c>
      <c r="H1624" s="2" t="s">
        <v>8401</v>
      </c>
      <c r="I1624" s="2" t="s">
        <v>8402</v>
      </c>
      <c r="K1624" s="2" t="s">
        <v>312</v>
      </c>
      <c r="L1624" s="2" t="s">
        <v>157</v>
      </c>
      <c r="M1624" s="2">
        <v>80106.0</v>
      </c>
      <c r="N1624" s="2" t="s">
        <v>21</v>
      </c>
    </row>
    <row r="1625" ht="15.75" customHeight="1">
      <c r="A1625" s="2">
        <v>2013.0</v>
      </c>
      <c r="B1625" s="2" t="s">
        <v>8403</v>
      </c>
      <c r="C1625" s="2" t="s">
        <v>8404</v>
      </c>
      <c r="D1625" s="2" t="str">
        <f>"(937)969-9192"</f>
        <v>(937)969-9192</v>
      </c>
      <c r="E1625" s="2" t="s">
        <v>1803</v>
      </c>
      <c r="F1625" s="2" t="s">
        <v>8405</v>
      </c>
      <c r="G1625" s="2" t="str">
        <f>"SR-2310"</f>
        <v>SR-2310</v>
      </c>
      <c r="H1625" s="2" t="s">
        <v>8406</v>
      </c>
      <c r="I1625" s="2" t="s">
        <v>8407</v>
      </c>
      <c r="K1625" s="2" t="s">
        <v>3239</v>
      </c>
      <c r="L1625" s="2" t="s">
        <v>344</v>
      </c>
      <c r="M1625" s="2">
        <v>45502.0</v>
      </c>
      <c r="N1625" s="2" t="s">
        <v>21</v>
      </c>
    </row>
    <row r="1626" ht="15.75" customHeight="1">
      <c r="A1626" s="2">
        <v>2013.0</v>
      </c>
      <c r="B1626" s="2" t="s">
        <v>8408</v>
      </c>
      <c r="C1626" s="2" t="s">
        <v>8408</v>
      </c>
      <c r="D1626" s="2" t="str">
        <f>"0220655013"</f>
        <v>0220655013</v>
      </c>
      <c r="E1626" s="2" t="s">
        <v>651</v>
      </c>
      <c r="F1626" s="2" t="s">
        <v>8409</v>
      </c>
      <c r="G1626" s="2" t="str">
        <f>"SR-2315"</f>
        <v>SR-2315</v>
      </c>
      <c r="H1626" s="2" t="s">
        <v>8410</v>
      </c>
      <c r="I1626" s="2" t="s">
        <v>8411</v>
      </c>
      <c r="J1626" s="2" t="s">
        <v>8412</v>
      </c>
      <c r="K1626" s="2" t="s">
        <v>7793</v>
      </c>
      <c r="L1626" s="2" t="s">
        <v>8413</v>
      </c>
      <c r="M1626" s="2">
        <v>5010.0</v>
      </c>
      <c r="N1626" s="2" t="s">
        <v>702</v>
      </c>
    </row>
    <row r="1627" ht="15.75" customHeight="1">
      <c r="A1627" s="2">
        <v>2013.0</v>
      </c>
      <c r="B1627" s="2" t="s">
        <v>8414</v>
      </c>
      <c r="C1627" s="2" t="s">
        <v>8415</v>
      </c>
      <c r="D1627" s="2" t="str">
        <f>"720-318-0892"</f>
        <v>720-318-0892</v>
      </c>
      <c r="E1627" s="2" t="s">
        <v>8416</v>
      </c>
      <c r="F1627" s="2" t="s">
        <v>8417</v>
      </c>
      <c r="G1627" s="2" t="str">
        <f>"SR-2144"</f>
        <v>SR-2144</v>
      </c>
      <c r="H1627" s="2" t="s">
        <v>8418</v>
      </c>
      <c r="I1627" s="2" t="s">
        <v>8419</v>
      </c>
      <c r="K1627" s="2" t="s">
        <v>2317</v>
      </c>
      <c r="L1627" s="2" t="s">
        <v>157</v>
      </c>
      <c r="M1627" s="2">
        <v>80503.0</v>
      </c>
      <c r="N1627" s="2" t="s">
        <v>21</v>
      </c>
    </row>
    <row r="1628" ht="15.75" customHeight="1">
      <c r="A1628" s="2">
        <v>2013.0</v>
      </c>
      <c r="B1628" s="2" t="s">
        <v>8420</v>
      </c>
      <c r="C1628" s="2" t="s">
        <v>8420</v>
      </c>
      <c r="D1628" s="2" t="str">
        <f>"8325497926"</f>
        <v>8325497926</v>
      </c>
      <c r="E1628" s="2" t="s">
        <v>132</v>
      </c>
      <c r="F1628" s="2" t="s">
        <v>1209</v>
      </c>
      <c r="G1628" s="2" t="str">
        <f>"SR-2319"</f>
        <v>SR-2319</v>
      </c>
      <c r="H1628" s="2" t="s">
        <v>8421</v>
      </c>
      <c r="I1628" s="2" t="s">
        <v>8422</v>
      </c>
      <c r="K1628" s="2" t="s">
        <v>5855</v>
      </c>
      <c r="L1628" s="2" t="s">
        <v>172</v>
      </c>
      <c r="M1628" s="2">
        <v>77389.0</v>
      </c>
      <c r="N1628" s="2" t="s">
        <v>21</v>
      </c>
    </row>
    <row r="1629" ht="15.75" customHeight="1">
      <c r="A1629" s="2">
        <v>2013.0</v>
      </c>
      <c r="B1629" s="2" t="s">
        <v>8423</v>
      </c>
      <c r="C1629" s="2" t="s">
        <v>8424</v>
      </c>
      <c r="D1629" s="2" t="str">
        <f>"970-824-6911"</f>
        <v>970-824-6911</v>
      </c>
      <c r="E1629" s="2" t="s">
        <v>144</v>
      </c>
      <c r="F1629" s="2" t="s">
        <v>3052</v>
      </c>
      <c r="G1629" s="2" t="str">
        <f>"SR-2320"</f>
        <v>SR-2320</v>
      </c>
      <c r="H1629" s="2" t="s">
        <v>8425</v>
      </c>
      <c r="I1629" s="2" t="s">
        <v>8426</v>
      </c>
      <c r="K1629" s="2" t="s">
        <v>8427</v>
      </c>
      <c r="L1629" s="2" t="s">
        <v>157</v>
      </c>
      <c r="M1629" s="2">
        <v>81625.0</v>
      </c>
      <c r="N1629" s="2" t="s">
        <v>21</v>
      </c>
    </row>
    <row r="1630" ht="15.75" customHeight="1">
      <c r="A1630" s="2">
        <v>2013.0</v>
      </c>
      <c r="B1630" s="2" t="s">
        <v>8428</v>
      </c>
      <c r="C1630" s="2" t="s">
        <v>8428</v>
      </c>
      <c r="D1630" s="2" t="str">
        <f>"98237381"</f>
        <v>98237381</v>
      </c>
      <c r="E1630" s="2" t="s">
        <v>5158</v>
      </c>
      <c r="F1630" s="2" t="s">
        <v>8429</v>
      </c>
      <c r="G1630" s="2" t="str">
        <f>"SR-2322"</f>
        <v>SR-2322</v>
      </c>
      <c r="H1630" s="2" t="s">
        <v>8430</v>
      </c>
      <c r="I1630" s="2" t="s">
        <v>8431</v>
      </c>
      <c r="K1630" s="2" t="s">
        <v>8432</v>
      </c>
      <c r="M1630" s="2">
        <v>259662.0</v>
      </c>
      <c r="N1630" s="2" t="s">
        <v>8433</v>
      </c>
    </row>
    <row r="1631" ht="15.75" customHeight="1">
      <c r="A1631" s="2">
        <v>2013.0</v>
      </c>
      <c r="B1631" s="2" t="s">
        <v>8434</v>
      </c>
      <c r="C1631" s="2" t="s">
        <v>8434</v>
      </c>
      <c r="D1631" s="2" t="str">
        <f>"5308723860"</f>
        <v>5308723860</v>
      </c>
      <c r="E1631" s="2" t="s">
        <v>57</v>
      </c>
      <c r="F1631" s="2" t="s">
        <v>4978</v>
      </c>
      <c r="G1631" s="2" t="str">
        <f>"SR-2327"</f>
        <v>SR-2327</v>
      </c>
      <c r="H1631" s="2" t="s">
        <v>8435</v>
      </c>
      <c r="I1631" s="2" t="s">
        <v>8436</v>
      </c>
      <c r="K1631" s="2" t="s">
        <v>8437</v>
      </c>
      <c r="L1631" s="2" t="s">
        <v>222</v>
      </c>
      <c r="M1631" s="2">
        <v>95969.0</v>
      </c>
      <c r="N1631" s="2" t="s">
        <v>21</v>
      </c>
    </row>
    <row r="1632" ht="15.75" customHeight="1">
      <c r="A1632" s="2">
        <v>2013.0</v>
      </c>
      <c r="B1632" s="2" t="s">
        <v>8438</v>
      </c>
      <c r="C1632" s="2" t="s">
        <v>8439</v>
      </c>
      <c r="D1632" s="2" t="str">
        <f>"6195046131"</f>
        <v>6195046131</v>
      </c>
      <c r="E1632" s="2" t="s">
        <v>8440</v>
      </c>
      <c r="F1632" s="2" t="s">
        <v>8441</v>
      </c>
      <c r="G1632" s="2" t="str">
        <f>"SR-2333"</f>
        <v>SR-2333</v>
      </c>
      <c r="H1632" s="2" t="s">
        <v>8442</v>
      </c>
      <c r="I1632" s="2" t="s">
        <v>8443</v>
      </c>
      <c r="K1632" s="2" t="s">
        <v>8444</v>
      </c>
      <c r="L1632" s="2" t="s">
        <v>222</v>
      </c>
      <c r="M1632" s="2">
        <v>92020.0</v>
      </c>
      <c r="N1632" s="2" t="s">
        <v>21</v>
      </c>
    </row>
    <row r="1633" ht="15.75" customHeight="1">
      <c r="A1633" s="2">
        <v>2013.0</v>
      </c>
      <c r="B1633" s="2" t="s">
        <v>8445</v>
      </c>
      <c r="D1633" s="2" t="str">
        <f>"713-515-9831"</f>
        <v>713-515-9831</v>
      </c>
      <c r="E1633" s="2" t="s">
        <v>1810</v>
      </c>
      <c r="F1633" s="2" t="s">
        <v>8446</v>
      </c>
      <c r="G1633" s="2" t="str">
        <f>"SR-2328"</f>
        <v>SR-2328</v>
      </c>
      <c r="H1633" s="2" t="s">
        <v>8447</v>
      </c>
      <c r="I1633" s="2" t="s">
        <v>8448</v>
      </c>
      <c r="K1633" s="2" t="s">
        <v>2651</v>
      </c>
      <c r="L1633" s="2" t="s">
        <v>172</v>
      </c>
      <c r="M1633" s="2">
        <v>77381.0</v>
      </c>
      <c r="N1633" s="2" t="s">
        <v>21</v>
      </c>
    </row>
    <row r="1634" ht="15.75" customHeight="1">
      <c r="A1634" s="2">
        <v>2013.0</v>
      </c>
      <c r="B1634" s="2" t="s">
        <v>8449</v>
      </c>
      <c r="C1634" s="2" t="s">
        <v>8450</v>
      </c>
      <c r="D1634" s="2" t="str">
        <f>"7149930923"</f>
        <v>7149930923</v>
      </c>
      <c r="E1634" s="2" t="s">
        <v>453</v>
      </c>
      <c r="F1634" s="2" t="s">
        <v>8451</v>
      </c>
      <c r="G1634" s="2" t="str">
        <f>"SR-2337"</f>
        <v>SR-2337</v>
      </c>
      <c r="H1634" s="2" t="s">
        <v>8452</v>
      </c>
      <c r="I1634" s="2" t="s">
        <v>8453</v>
      </c>
      <c r="K1634" s="2" t="s">
        <v>8454</v>
      </c>
      <c r="L1634" s="2" t="s">
        <v>222</v>
      </c>
      <c r="M1634" s="2">
        <v>92823.0</v>
      </c>
      <c r="N1634" s="2" t="s">
        <v>21</v>
      </c>
    </row>
    <row r="1635" ht="15.75" customHeight="1">
      <c r="A1635" s="2">
        <v>2013.0</v>
      </c>
      <c r="B1635" s="2" t="s">
        <v>8455</v>
      </c>
      <c r="D1635" s="2" t="str">
        <f>"620-899-4701"</f>
        <v>620-899-4701</v>
      </c>
      <c r="E1635" s="2" t="s">
        <v>2598</v>
      </c>
      <c r="F1635" s="2" t="s">
        <v>8456</v>
      </c>
      <c r="G1635" s="2" t="str">
        <f>"SR-2216"</f>
        <v>SR-2216</v>
      </c>
      <c r="H1635" s="2" t="s">
        <v>8457</v>
      </c>
      <c r="I1635" s="2" t="s">
        <v>8458</v>
      </c>
      <c r="K1635" s="2" t="s">
        <v>5351</v>
      </c>
      <c r="L1635" s="2" t="s">
        <v>272</v>
      </c>
      <c r="M1635" s="2">
        <v>67501.0</v>
      </c>
      <c r="N1635" s="2" t="s">
        <v>21</v>
      </c>
    </row>
    <row r="1636" ht="15.75" customHeight="1">
      <c r="A1636" s="2">
        <v>2013.0</v>
      </c>
      <c r="B1636" s="2" t="s">
        <v>8459</v>
      </c>
      <c r="D1636" s="2" t="str">
        <f>"7044915510"</f>
        <v>7044915510</v>
      </c>
      <c r="E1636" s="2" t="s">
        <v>160</v>
      </c>
      <c r="F1636" s="2" t="s">
        <v>8460</v>
      </c>
      <c r="G1636" s="2" t="str">
        <f>"SR-2338"</f>
        <v>SR-2338</v>
      </c>
      <c r="H1636" s="2" t="s">
        <v>8461</v>
      </c>
      <c r="I1636" s="2" t="s">
        <v>8462</v>
      </c>
      <c r="K1636" s="2" t="s">
        <v>19</v>
      </c>
      <c r="L1636" s="2" t="s">
        <v>20</v>
      </c>
      <c r="M1636" s="2">
        <v>28216.0</v>
      </c>
      <c r="N1636" s="2" t="s">
        <v>21</v>
      </c>
    </row>
    <row r="1637" ht="15.75" customHeight="1">
      <c r="A1637" s="2">
        <v>2013.0</v>
      </c>
      <c r="B1637" s="2" t="s">
        <v>8463</v>
      </c>
      <c r="C1637" s="2" t="s">
        <v>8464</v>
      </c>
      <c r="D1637" s="2" t="str">
        <f t="shared" ref="D1637:D1638" si="22">"5206096840"</f>
        <v>5206096840</v>
      </c>
      <c r="E1637" s="2" t="s">
        <v>2031</v>
      </c>
      <c r="F1637" s="2" t="s">
        <v>278</v>
      </c>
      <c r="G1637" s="2" t="str">
        <f>"SR-2324"</f>
        <v>SR-2324</v>
      </c>
      <c r="H1637" s="2" t="s">
        <v>8465</v>
      </c>
      <c r="I1637" s="2" t="s">
        <v>8466</v>
      </c>
      <c r="K1637" s="2" t="s">
        <v>5946</v>
      </c>
      <c r="L1637" s="2" t="s">
        <v>422</v>
      </c>
      <c r="M1637" s="2">
        <v>85710.0</v>
      </c>
      <c r="N1637" s="2" t="s">
        <v>21</v>
      </c>
    </row>
    <row r="1638" ht="15.75" customHeight="1">
      <c r="A1638" s="2">
        <v>2013.0</v>
      </c>
      <c r="B1638" s="2" t="s">
        <v>8467</v>
      </c>
      <c r="C1638" s="2" t="s">
        <v>8467</v>
      </c>
      <c r="D1638" s="2" t="str">
        <f t="shared" si="22"/>
        <v>5206096840</v>
      </c>
      <c r="E1638" s="2" t="s">
        <v>261</v>
      </c>
      <c r="F1638" s="2" t="s">
        <v>278</v>
      </c>
      <c r="G1638" s="2" t="str">
        <f>"SR-2323"</f>
        <v>SR-2323</v>
      </c>
      <c r="H1638" s="2" t="s">
        <v>8468</v>
      </c>
      <c r="I1638" s="2" t="s">
        <v>8469</v>
      </c>
      <c r="K1638" s="2" t="s">
        <v>5946</v>
      </c>
      <c r="L1638" s="2" t="s">
        <v>422</v>
      </c>
      <c r="M1638" s="2">
        <v>85710.0</v>
      </c>
      <c r="N1638" s="2" t="s">
        <v>21</v>
      </c>
    </row>
    <row r="1639" ht="15.75" customHeight="1">
      <c r="A1639" s="2">
        <v>2013.0</v>
      </c>
      <c r="B1639" s="2" t="s">
        <v>8470</v>
      </c>
      <c r="C1639" s="2" t="s">
        <v>8471</v>
      </c>
      <c r="D1639" s="2" t="str">
        <f>"7572532518"</f>
        <v>7572532518</v>
      </c>
      <c r="E1639" s="2" t="s">
        <v>8472</v>
      </c>
      <c r="F1639" s="2" t="s">
        <v>89</v>
      </c>
      <c r="G1639" s="2" t="str">
        <f>"SR-1396"</f>
        <v>SR-1396</v>
      </c>
      <c r="H1639" s="2" t="s">
        <v>8473</v>
      </c>
      <c r="I1639" s="2" t="s">
        <v>8474</v>
      </c>
      <c r="K1639" s="2" t="s">
        <v>8475</v>
      </c>
      <c r="L1639" s="2" t="s">
        <v>165</v>
      </c>
      <c r="M1639" s="2">
        <v>23185.0</v>
      </c>
      <c r="N1639" s="2" t="s">
        <v>21</v>
      </c>
    </row>
    <row r="1640" ht="15.75" customHeight="1">
      <c r="A1640" s="2">
        <v>2013.0</v>
      </c>
      <c r="B1640" s="2" t="s">
        <v>8476</v>
      </c>
      <c r="C1640" s="2" t="s">
        <v>8476</v>
      </c>
      <c r="D1640" s="2" t="str">
        <f>"803-754-6744"</f>
        <v>803-754-6744</v>
      </c>
      <c r="E1640" s="2" t="s">
        <v>1548</v>
      </c>
      <c r="F1640" s="2" t="s">
        <v>6869</v>
      </c>
      <c r="G1640" s="2" t="str">
        <f>"SR-2340"</f>
        <v>SR-2340</v>
      </c>
      <c r="H1640" s="2" t="s">
        <v>8477</v>
      </c>
      <c r="I1640" s="2" t="s">
        <v>8478</v>
      </c>
      <c r="K1640" s="2" t="s">
        <v>8479</v>
      </c>
      <c r="L1640" s="2" t="s">
        <v>55</v>
      </c>
      <c r="M1640" s="2">
        <v>29016.0</v>
      </c>
      <c r="N1640" s="2" t="s">
        <v>21</v>
      </c>
    </row>
    <row r="1641" ht="15.75" customHeight="1">
      <c r="A1641" s="2">
        <v>2013.0</v>
      </c>
      <c r="B1641" s="2" t="s">
        <v>8480</v>
      </c>
      <c r="C1641" s="2" t="s">
        <v>8480</v>
      </c>
      <c r="D1641" s="2" t="str">
        <f>"803-808-9385"</f>
        <v>803-808-9385</v>
      </c>
      <c r="E1641" s="2" t="s">
        <v>282</v>
      </c>
      <c r="F1641" s="2" t="s">
        <v>2833</v>
      </c>
      <c r="G1641" s="2" t="str">
        <f>"SR-2330"</f>
        <v>SR-2330</v>
      </c>
      <c r="H1641" s="2" t="s">
        <v>8481</v>
      </c>
      <c r="I1641" s="2" t="s">
        <v>8482</v>
      </c>
      <c r="K1641" s="2" t="s">
        <v>254</v>
      </c>
      <c r="L1641" s="2" t="s">
        <v>55</v>
      </c>
      <c r="M1641" s="2">
        <v>29072.0</v>
      </c>
      <c r="N1641" s="2" t="s">
        <v>21</v>
      </c>
    </row>
    <row r="1642" ht="15.75" customHeight="1">
      <c r="A1642" s="2">
        <v>2013.0</v>
      </c>
      <c r="B1642" s="2" t="s">
        <v>8483</v>
      </c>
      <c r="C1642" s="2" t="s">
        <v>8484</v>
      </c>
      <c r="D1642" s="2" t="str">
        <f>"803-252-2473"</f>
        <v>803-252-2473</v>
      </c>
      <c r="E1642" s="2" t="s">
        <v>8485</v>
      </c>
      <c r="F1642" s="2" t="s">
        <v>8486</v>
      </c>
      <c r="G1642" s="2" t="str">
        <f>"SR-2341"</f>
        <v>SR-2341</v>
      </c>
      <c r="H1642" s="2" t="s">
        <v>8487</v>
      </c>
      <c r="I1642" s="2" t="s">
        <v>8488</v>
      </c>
      <c r="K1642" s="2" t="s">
        <v>2750</v>
      </c>
      <c r="L1642" s="2" t="s">
        <v>55</v>
      </c>
      <c r="M1642" s="2">
        <v>29201.0</v>
      </c>
      <c r="N1642" s="2" t="s">
        <v>21</v>
      </c>
    </row>
    <row r="1643" ht="15.75" customHeight="1">
      <c r="A1643" s="2">
        <v>2013.0</v>
      </c>
      <c r="B1643" s="2" t="s">
        <v>8489</v>
      </c>
      <c r="D1643" s="2" t="str">
        <f>"2082459365"</f>
        <v>2082459365</v>
      </c>
      <c r="E1643" s="2" t="s">
        <v>8490</v>
      </c>
      <c r="F1643" s="2" t="s">
        <v>8491</v>
      </c>
      <c r="G1643" s="2" t="str">
        <f>"SR-2343"</f>
        <v>SR-2343</v>
      </c>
      <c r="H1643" s="2" t="s">
        <v>8492</v>
      </c>
      <c r="I1643" s="2" t="s">
        <v>8493</v>
      </c>
      <c r="K1643" s="2" t="s">
        <v>8494</v>
      </c>
      <c r="L1643" s="2" t="s">
        <v>2613</v>
      </c>
      <c r="M1643" s="2">
        <v>83830.0</v>
      </c>
      <c r="N1643" s="2" t="s">
        <v>21</v>
      </c>
    </row>
    <row r="1644" ht="15.75" customHeight="1">
      <c r="A1644" s="2">
        <v>2013.0</v>
      </c>
      <c r="B1644" s="2" t="s">
        <v>8495</v>
      </c>
      <c r="C1644" s="2" t="s">
        <v>8496</v>
      </c>
      <c r="D1644" s="2" t="str">
        <f>"9705310630"</f>
        <v>9705310630</v>
      </c>
      <c r="E1644" s="2" t="s">
        <v>453</v>
      </c>
      <c r="F1644" s="2" t="s">
        <v>8497</v>
      </c>
      <c r="G1644" s="2" t="str">
        <f>"SR-2235"</f>
        <v>SR-2235</v>
      </c>
      <c r="H1644" s="2" t="s">
        <v>8498</v>
      </c>
      <c r="I1644" s="2" t="s">
        <v>8499</v>
      </c>
      <c r="K1644" s="2" t="s">
        <v>809</v>
      </c>
      <c r="L1644" s="2" t="s">
        <v>157</v>
      </c>
      <c r="M1644" s="2">
        <v>80908.0</v>
      </c>
      <c r="N1644" s="2" t="s">
        <v>21</v>
      </c>
    </row>
    <row r="1645" ht="15.75" customHeight="1">
      <c r="A1645" s="2">
        <v>2013.0</v>
      </c>
      <c r="B1645" s="2" t="s">
        <v>8500</v>
      </c>
      <c r="C1645" s="2" t="s">
        <v>8500</v>
      </c>
      <c r="D1645" s="2" t="str">
        <f>"(218)-837-5581"</f>
        <v>(218)-837-5581</v>
      </c>
      <c r="E1645" s="2" t="s">
        <v>1094</v>
      </c>
      <c r="F1645" s="2" t="s">
        <v>8501</v>
      </c>
      <c r="G1645" s="2" t="str">
        <f>"SR-2346"</f>
        <v>SR-2346</v>
      </c>
      <c r="H1645" s="2" t="s">
        <v>8502</v>
      </c>
      <c r="I1645" s="2" t="s">
        <v>8503</v>
      </c>
      <c r="K1645" s="2" t="s">
        <v>8504</v>
      </c>
      <c r="L1645" s="2" t="s">
        <v>62</v>
      </c>
      <c r="M1645" s="2">
        <v>56477.0</v>
      </c>
      <c r="N1645" s="2" t="s">
        <v>21</v>
      </c>
    </row>
    <row r="1646" ht="15.75" customHeight="1">
      <c r="A1646" s="2">
        <v>2013.0</v>
      </c>
      <c r="B1646" s="2" t="s">
        <v>7535</v>
      </c>
      <c r="C1646" s="2" t="s">
        <v>8505</v>
      </c>
      <c r="D1646" s="2" t="str">
        <f>"260-348-5232"</f>
        <v>260-348-5232</v>
      </c>
      <c r="E1646" s="2" t="s">
        <v>8506</v>
      </c>
      <c r="F1646" s="2" t="s">
        <v>8507</v>
      </c>
      <c r="G1646" s="2" t="str">
        <f>"SR-2348"</f>
        <v>SR-2348</v>
      </c>
      <c r="H1646" s="2" t="s">
        <v>8508</v>
      </c>
      <c r="I1646" s="2" t="s">
        <v>8509</v>
      </c>
      <c r="K1646" s="2" t="s">
        <v>8510</v>
      </c>
      <c r="L1646" s="2" t="s">
        <v>157</v>
      </c>
      <c r="M1646" s="2">
        <v>80132.0</v>
      </c>
      <c r="N1646" s="2" t="s">
        <v>21</v>
      </c>
    </row>
    <row r="1647" ht="15.75" customHeight="1">
      <c r="A1647" s="2">
        <v>2013.0</v>
      </c>
      <c r="B1647" s="2" t="s">
        <v>8511</v>
      </c>
      <c r="C1647" s="2" t="s">
        <v>8512</v>
      </c>
      <c r="D1647" s="2" t="str">
        <f>"903-286-2863"</f>
        <v>903-286-2863</v>
      </c>
      <c r="E1647" s="2" t="s">
        <v>843</v>
      </c>
      <c r="F1647" s="2" t="s">
        <v>8513</v>
      </c>
      <c r="G1647" s="2" t="str">
        <f>"SR-2350"</f>
        <v>SR-2350</v>
      </c>
      <c r="H1647" s="2" t="s">
        <v>8514</v>
      </c>
      <c r="I1647" s="2" t="s">
        <v>8515</v>
      </c>
      <c r="K1647" s="2" t="s">
        <v>8516</v>
      </c>
      <c r="L1647" s="2" t="s">
        <v>172</v>
      </c>
      <c r="M1647" s="2">
        <v>75148.0</v>
      </c>
      <c r="N1647" s="2" t="s">
        <v>21</v>
      </c>
    </row>
    <row r="1648" ht="15.75" customHeight="1">
      <c r="A1648" s="2">
        <v>2013.0</v>
      </c>
      <c r="B1648" s="2" t="s">
        <v>8517</v>
      </c>
      <c r="C1648" s="2" t="s">
        <v>8517</v>
      </c>
      <c r="D1648" s="2" t="str">
        <f>"(719) 388-1543"</f>
        <v>(719) 388-1543</v>
      </c>
      <c r="E1648" s="2" t="s">
        <v>339</v>
      </c>
      <c r="F1648" s="2" t="s">
        <v>8518</v>
      </c>
      <c r="G1648" s="2" t="str">
        <f>"SR-2352"</f>
        <v>SR-2352</v>
      </c>
      <c r="H1648" s="2" t="s">
        <v>8519</v>
      </c>
      <c r="I1648" s="2" t="s">
        <v>8520</v>
      </c>
      <c r="K1648" s="2" t="s">
        <v>809</v>
      </c>
      <c r="L1648" s="2" t="s">
        <v>157</v>
      </c>
      <c r="M1648" s="2">
        <v>80918.0</v>
      </c>
      <c r="N1648" s="2" t="s">
        <v>21</v>
      </c>
    </row>
    <row r="1649" ht="15.75" customHeight="1">
      <c r="A1649" s="2">
        <v>2013.0</v>
      </c>
      <c r="B1649" s="2" t="s">
        <v>8521</v>
      </c>
      <c r="C1649" s="2" t="s">
        <v>8522</v>
      </c>
      <c r="D1649" s="2" t="str">
        <f>"612 -735- 0405"</f>
        <v>612 -735- 0405</v>
      </c>
      <c r="E1649" s="2" t="s">
        <v>2126</v>
      </c>
      <c r="F1649" s="2" t="s">
        <v>3727</v>
      </c>
      <c r="G1649" s="2" t="str">
        <f>"SR-2353"</f>
        <v>SR-2353</v>
      </c>
      <c r="H1649" s="2" t="s">
        <v>8523</v>
      </c>
      <c r="I1649" s="2" t="s">
        <v>8524</v>
      </c>
      <c r="K1649" s="2" t="s">
        <v>3730</v>
      </c>
      <c r="L1649" s="2" t="s">
        <v>62</v>
      </c>
      <c r="M1649" s="2">
        <v>55371.0</v>
      </c>
      <c r="N1649" s="2" t="s">
        <v>21</v>
      </c>
    </row>
    <row r="1650" ht="15.75" customHeight="1">
      <c r="A1650" s="2">
        <v>2013.0</v>
      </c>
      <c r="B1650" s="2" t="s">
        <v>8525</v>
      </c>
      <c r="C1650" s="2" t="s">
        <v>8526</v>
      </c>
      <c r="D1650" s="2" t="str">
        <f>"507-830-1068"</f>
        <v>507-830-1068</v>
      </c>
      <c r="E1650" s="2" t="s">
        <v>1440</v>
      </c>
      <c r="F1650" s="2" t="s">
        <v>8527</v>
      </c>
      <c r="G1650" s="2" t="str">
        <f>"SR-2311"</f>
        <v>SR-2311</v>
      </c>
      <c r="H1650" s="2" t="s">
        <v>8528</v>
      </c>
      <c r="I1650" s="2" t="s">
        <v>8529</v>
      </c>
      <c r="K1650" s="2" t="s">
        <v>8530</v>
      </c>
      <c r="L1650" s="2" t="s">
        <v>62</v>
      </c>
      <c r="M1650" s="2">
        <v>56101.0</v>
      </c>
      <c r="N1650" s="2" t="s">
        <v>21</v>
      </c>
    </row>
    <row r="1651" ht="15.75" customHeight="1">
      <c r="A1651" s="2">
        <v>2014.0</v>
      </c>
      <c r="B1651" s="2" t="s">
        <v>8531</v>
      </c>
      <c r="C1651" s="2" t="s">
        <v>8532</v>
      </c>
      <c r="D1651" s="2" t="str">
        <f>"1231231234"</f>
        <v>1231231234</v>
      </c>
      <c r="E1651" s="2" t="s">
        <v>8533</v>
      </c>
      <c r="F1651" s="2" t="s">
        <v>8534</v>
      </c>
      <c r="G1651" s="2" t="str">
        <f>"SR-3"</f>
        <v>SR-3</v>
      </c>
      <c r="H1651" s="2" t="s">
        <v>8535</v>
      </c>
      <c r="I1651" s="2" t="s">
        <v>8536</v>
      </c>
      <c r="K1651" s="2" t="s">
        <v>8537</v>
      </c>
      <c r="L1651" s="2" t="s">
        <v>222</v>
      </c>
      <c r="M1651" s="2">
        <v>80908.0</v>
      </c>
      <c r="N1651" s="2" t="s">
        <v>21</v>
      </c>
    </row>
    <row r="1652" ht="15.75" customHeight="1">
      <c r="A1652" s="2">
        <v>2014.0</v>
      </c>
      <c r="B1652" s="2" t="s">
        <v>8538</v>
      </c>
      <c r="C1652" s="2" t="s">
        <v>8539</v>
      </c>
      <c r="D1652" s="2" t="str">
        <f t="shared" ref="D1652:D1653" si="23">"512-825-8546"</f>
        <v>512-825-8546</v>
      </c>
      <c r="E1652" s="2" t="s">
        <v>386</v>
      </c>
      <c r="F1652" s="2" t="s">
        <v>8540</v>
      </c>
      <c r="G1652" s="2" t="str">
        <f>"SR-2392"</f>
        <v>SR-2392</v>
      </c>
      <c r="H1652" s="2" t="s">
        <v>8541</v>
      </c>
      <c r="I1652" s="2" t="s">
        <v>8542</v>
      </c>
      <c r="K1652" s="2" t="s">
        <v>1054</v>
      </c>
      <c r="L1652" s="2" t="s">
        <v>157</v>
      </c>
      <c r="M1652" s="2">
        <v>80138.0</v>
      </c>
      <c r="N1652" s="2" t="s">
        <v>21</v>
      </c>
    </row>
    <row r="1653" ht="15.75" customHeight="1">
      <c r="A1653" s="2">
        <v>2014.0</v>
      </c>
      <c r="B1653" s="2" t="s">
        <v>8538</v>
      </c>
      <c r="C1653" s="2" t="s">
        <v>8543</v>
      </c>
      <c r="D1653" s="2" t="str">
        <f t="shared" si="23"/>
        <v>512-825-8546</v>
      </c>
      <c r="E1653" s="2" t="s">
        <v>1782</v>
      </c>
      <c r="F1653" s="2" t="s">
        <v>8540</v>
      </c>
      <c r="G1653" s="2" t="str">
        <f>"SR-2393"</f>
        <v>SR-2393</v>
      </c>
      <c r="H1653" s="2" t="s">
        <v>8544</v>
      </c>
      <c r="I1653" s="2" t="s">
        <v>8542</v>
      </c>
      <c r="K1653" s="2" t="s">
        <v>1054</v>
      </c>
      <c r="L1653" s="2" t="s">
        <v>157</v>
      </c>
      <c r="M1653" s="2">
        <v>80138.0</v>
      </c>
      <c r="N1653" s="2" t="s">
        <v>21</v>
      </c>
    </row>
    <row r="1654" ht="15.75" customHeight="1">
      <c r="A1654" s="2">
        <v>2014.0</v>
      </c>
      <c r="B1654" s="2" t="s">
        <v>6320</v>
      </c>
      <c r="C1654" s="2" t="s">
        <v>6320</v>
      </c>
      <c r="D1654" s="2" t="str">
        <f t="shared" ref="D1654:D1655" si="24">"828-455-5667"</f>
        <v>828-455-5667</v>
      </c>
      <c r="E1654" s="2" t="s">
        <v>6324</v>
      </c>
      <c r="F1654" s="2" t="s">
        <v>6325</v>
      </c>
      <c r="G1654" s="2" t="str">
        <f>"SR-1659"</f>
        <v>SR-1659</v>
      </c>
      <c r="H1654" s="2" t="s">
        <v>6326</v>
      </c>
      <c r="I1654" s="2" t="s">
        <v>6327</v>
      </c>
      <c r="K1654" s="2" t="s">
        <v>821</v>
      </c>
      <c r="L1654" s="2" t="s">
        <v>20</v>
      </c>
      <c r="M1654" s="2">
        <v>28601.0</v>
      </c>
      <c r="N1654" s="2" t="s">
        <v>21</v>
      </c>
    </row>
    <row r="1655" ht="15.75" customHeight="1">
      <c r="A1655" s="2">
        <v>2014.0</v>
      </c>
      <c r="B1655" s="2" t="s">
        <v>8545</v>
      </c>
      <c r="C1655" s="2" t="s">
        <v>8545</v>
      </c>
      <c r="D1655" s="2" t="str">
        <f t="shared" si="24"/>
        <v>828-455-5667</v>
      </c>
      <c r="E1655" s="2" t="s">
        <v>15</v>
      </c>
      <c r="F1655" s="2" t="s">
        <v>6321</v>
      </c>
      <c r="G1655" s="2" t="str">
        <f>"SR-2399"</f>
        <v>SR-2399</v>
      </c>
      <c r="H1655" s="2" t="s">
        <v>6322</v>
      </c>
      <c r="I1655" s="2" t="s">
        <v>6327</v>
      </c>
      <c r="K1655" s="2" t="s">
        <v>821</v>
      </c>
      <c r="L1655" s="2" t="s">
        <v>20</v>
      </c>
      <c r="M1655" s="2">
        <v>28601.0</v>
      </c>
      <c r="N1655" s="2" t="s">
        <v>21</v>
      </c>
    </row>
    <row r="1656" ht="15.75" customHeight="1">
      <c r="A1656" s="2">
        <v>2014.0</v>
      </c>
      <c r="B1656" s="2" t="s">
        <v>8546</v>
      </c>
      <c r="C1656" s="2" t="s">
        <v>8547</v>
      </c>
      <c r="D1656" s="2" t="str">
        <f>"502-614-7035"</f>
        <v>502-614-7035</v>
      </c>
      <c r="E1656" s="2" t="s">
        <v>8548</v>
      </c>
      <c r="F1656" s="2" t="s">
        <v>8549</v>
      </c>
      <c r="G1656" s="2" t="str">
        <f>"SR-2400"</f>
        <v>SR-2400</v>
      </c>
      <c r="H1656" s="2" t="s">
        <v>8550</v>
      </c>
      <c r="I1656" s="2" t="s">
        <v>8551</v>
      </c>
      <c r="K1656" s="2" t="s">
        <v>8552</v>
      </c>
      <c r="L1656" s="2" t="s">
        <v>1236</v>
      </c>
      <c r="M1656" s="2">
        <v>40299.0</v>
      </c>
      <c r="N1656" s="2" t="s">
        <v>21</v>
      </c>
    </row>
    <row r="1657" ht="15.75" customHeight="1">
      <c r="A1657" s="2">
        <v>2014.0</v>
      </c>
      <c r="B1657" s="2" t="s">
        <v>8553</v>
      </c>
      <c r="C1657" s="2" t="s">
        <v>8554</v>
      </c>
      <c r="D1657" s="2" t="str">
        <f>"(626) 446-3605"</f>
        <v>(626) 446-3605</v>
      </c>
      <c r="E1657" s="2" t="s">
        <v>3312</v>
      </c>
      <c r="F1657" s="2" t="s">
        <v>8555</v>
      </c>
      <c r="G1657" s="2" t="str">
        <f>"SR-2396"</f>
        <v>SR-2396</v>
      </c>
      <c r="H1657" s="2" t="s">
        <v>8556</v>
      </c>
      <c r="I1657" s="2" t="s">
        <v>8557</v>
      </c>
      <c r="K1657" s="2" t="s">
        <v>8558</v>
      </c>
      <c r="L1657" s="2" t="s">
        <v>222</v>
      </c>
      <c r="M1657" s="2">
        <v>91006.0</v>
      </c>
      <c r="N1657" s="2" t="s">
        <v>21</v>
      </c>
    </row>
    <row r="1658" ht="15.75" customHeight="1">
      <c r="A1658" s="2">
        <v>2014.0</v>
      </c>
      <c r="B1658" s="2" t="s">
        <v>8553</v>
      </c>
      <c r="C1658" s="2" t="s">
        <v>8554</v>
      </c>
      <c r="D1658" s="2" t="str">
        <f>"626-446-3605"</f>
        <v>626-446-3605</v>
      </c>
      <c r="E1658" s="2" t="s">
        <v>7042</v>
      </c>
      <c r="F1658" s="2" t="s">
        <v>8555</v>
      </c>
      <c r="G1658" s="2" t="str">
        <f>"SR-2397"</f>
        <v>SR-2397</v>
      </c>
      <c r="H1658" s="2" t="s">
        <v>8559</v>
      </c>
      <c r="I1658" s="2" t="s">
        <v>8557</v>
      </c>
      <c r="K1658" s="2" t="s">
        <v>8558</v>
      </c>
      <c r="L1658" s="2" t="s">
        <v>222</v>
      </c>
      <c r="M1658" s="2">
        <v>94006.0</v>
      </c>
      <c r="N1658" s="2" t="s">
        <v>21</v>
      </c>
    </row>
    <row r="1659" ht="15.75" customHeight="1">
      <c r="A1659" s="2">
        <v>2014.0</v>
      </c>
      <c r="B1659" s="2" t="s">
        <v>8560</v>
      </c>
      <c r="C1659" s="2" t="s">
        <v>8560</v>
      </c>
      <c r="D1659" s="2" t="str">
        <f>"863-413-1380"</f>
        <v>863-413-1380</v>
      </c>
      <c r="E1659" s="2" t="s">
        <v>8561</v>
      </c>
      <c r="F1659" s="2" t="s">
        <v>275</v>
      </c>
      <c r="G1659" s="2" t="str">
        <f>"SR-2409"</f>
        <v>SR-2409</v>
      </c>
      <c r="H1659" s="2" t="s">
        <v>8562</v>
      </c>
      <c r="I1659" s="2" t="s">
        <v>8563</v>
      </c>
      <c r="K1659" s="2" t="s">
        <v>1570</v>
      </c>
      <c r="L1659" s="2" t="s">
        <v>208</v>
      </c>
      <c r="M1659" s="2">
        <v>33803.0</v>
      </c>
      <c r="N1659" s="2" t="s">
        <v>21</v>
      </c>
    </row>
    <row r="1660" ht="15.75" customHeight="1">
      <c r="A1660" s="2">
        <v>2014.0</v>
      </c>
      <c r="B1660" s="2" t="s">
        <v>8564</v>
      </c>
      <c r="C1660" s="2" t="s">
        <v>8564</v>
      </c>
      <c r="D1660" s="2" t="str">
        <f>"813-335-2414"</f>
        <v>813-335-2414</v>
      </c>
      <c r="E1660" s="2" t="s">
        <v>585</v>
      </c>
      <c r="F1660" s="2" t="s">
        <v>8565</v>
      </c>
      <c r="G1660" s="2" t="str">
        <f>"SR-2410"</f>
        <v>SR-2410</v>
      </c>
      <c r="H1660" s="2" t="s">
        <v>8566</v>
      </c>
      <c r="I1660" s="2" t="s">
        <v>8567</v>
      </c>
      <c r="K1660" s="2" t="s">
        <v>3431</v>
      </c>
      <c r="L1660" s="2" t="s">
        <v>208</v>
      </c>
      <c r="M1660" s="2">
        <v>33629.0</v>
      </c>
      <c r="N1660" s="2" t="s">
        <v>21</v>
      </c>
    </row>
    <row r="1661" ht="15.75" customHeight="1">
      <c r="A1661" s="2">
        <v>2014.0</v>
      </c>
      <c r="B1661" s="2" t="s">
        <v>8568</v>
      </c>
      <c r="C1661" s="2" t="s">
        <v>8568</v>
      </c>
      <c r="D1661" s="2" t="str">
        <f>"(423) 298-8028"</f>
        <v>(423) 298-8028</v>
      </c>
      <c r="E1661" s="2" t="s">
        <v>1782</v>
      </c>
      <c r="F1661" s="2" t="s">
        <v>8569</v>
      </c>
      <c r="G1661" s="2" t="str">
        <f>"SR-2411"</f>
        <v>SR-2411</v>
      </c>
      <c r="H1661" s="2" t="s">
        <v>8570</v>
      </c>
      <c r="I1661" s="2" t="s">
        <v>8571</v>
      </c>
      <c r="K1661" s="2" t="s">
        <v>8572</v>
      </c>
      <c r="L1661" s="2" t="s">
        <v>279</v>
      </c>
      <c r="M1661" s="2">
        <v>37379.0</v>
      </c>
      <c r="N1661" s="2" t="s">
        <v>21</v>
      </c>
    </row>
    <row r="1662" ht="15.75" customHeight="1">
      <c r="A1662" s="2">
        <v>2014.0</v>
      </c>
      <c r="B1662" s="2" t="s">
        <v>8573</v>
      </c>
      <c r="C1662" s="2" t="s">
        <v>8574</v>
      </c>
      <c r="D1662" s="2" t="str">
        <f>"952-892-0815"</f>
        <v>952-892-0815</v>
      </c>
      <c r="E1662" s="2" t="s">
        <v>72</v>
      </c>
      <c r="F1662" s="2" t="s">
        <v>256</v>
      </c>
      <c r="G1662" s="2" t="str">
        <f>"SR-2416"</f>
        <v>SR-2416</v>
      </c>
      <c r="H1662" s="2" t="s">
        <v>8575</v>
      </c>
      <c r="I1662" s="2" t="s">
        <v>8576</v>
      </c>
      <c r="K1662" s="2" t="s">
        <v>7722</v>
      </c>
      <c r="L1662" s="2" t="s">
        <v>62</v>
      </c>
      <c r="M1662" s="2">
        <v>55306.0</v>
      </c>
      <c r="N1662" s="2" t="s">
        <v>21</v>
      </c>
    </row>
    <row r="1663" ht="15.75" customHeight="1">
      <c r="A1663" s="2">
        <v>2014.0</v>
      </c>
      <c r="B1663" s="2" t="s">
        <v>8577</v>
      </c>
      <c r="C1663" s="2" t="s">
        <v>8578</v>
      </c>
      <c r="D1663" s="2" t="str">
        <f>"952-931-9125"</f>
        <v>952-931-9125</v>
      </c>
      <c r="E1663" s="2" t="s">
        <v>651</v>
      </c>
      <c r="F1663" s="2" t="s">
        <v>962</v>
      </c>
      <c r="G1663" s="2" t="str">
        <f>"SR-2421"</f>
        <v>SR-2421</v>
      </c>
      <c r="H1663" s="2" t="s">
        <v>8579</v>
      </c>
      <c r="I1663" s="2" t="s">
        <v>8580</v>
      </c>
      <c r="K1663" s="2" t="s">
        <v>8581</v>
      </c>
      <c r="L1663" s="2" t="s">
        <v>62</v>
      </c>
      <c r="M1663" s="2">
        <v>55426.0</v>
      </c>
      <c r="N1663" s="2" t="s">
        <v>21</v>
      </c>
    </row>
    <row r="1664" ht="15.75" customHeight="1">
      <c r="A1664" s="2">
        <v>2014.0</v>
      </c>
      <c r="B1664" s="2" t="s">
        <v>8582</v>
      </c>
      <c r="C1664" s="2" t="s">
        <v>8582</v>
      </c>
      <c r="D1664" s="2" t="str">
        <f>"319-365-1338"</f>
        <v>319-365-1338</v>
      </c>
      <c r="E1664" s="2" t="s">
        <v>8583</v>
      </c>
      <c r="F1664" s="2" t="s">
        <v>8584</v>
      </c>
      <c r="G1664" s="2" t="str">
        <f>"SR-2424"</f>
        <v>SR-2424</v>
      </c>
      <c r="H1664" s="2" t="s">
        <v>8585</v>
      </c>
      <c r="I1664" s="2" t="s">
        <v>8586</v>
      </c>
      <c r="K1664" s="2" t="s">
        <v>3273</v>
      </c>
      <c r="L1664" s="2" t="s">
        <v>560</v>
      </c>
      <c r="M1664" s="2">
        <v>52403.0</v>
      </c>
      <c r="N1664" s="2" t="s">
        <v>21</v>
      </c>
    </row>
    <row r="1665" ht="15.75" customHeight="1">
      <c r="A1665" s="2">
        <v>2014.0</v>
      </c>
      <c r="B1665" s="2" t="s">
        <v>8587</v>
      </c>
      <c r="C1665" s="2" t="s">
        <v>8588</v>
      </c>
      <c r="D1665" s="2" t="str">
        <f>"9528880491"</f>
        <v>9528880491</v>
      </c>
      <c r="E1665" s="2" t="s">
        <v>2572</v>
      </c>
      <c r="F1665" s="2" t="s">
        <v>8589</v>
      </c>
      <c r="G1665" s="2" t="str">
        <f>"SR-2420"</f>
        <v>SR-2420</v>
      </c>
      <c r="H1665" s="2" t="s">
        <v>8590</v>
      </c>
      <c r="I1665" s="2" t="s">
        <v>8591</v>
      </c>
      <c r="K1665" s="2" t="s">
        <v>1019</v>
      </c>
      <c r="L1665" s="2" t="s">
        <v>62</v>
      </c>
      <c r="M1665" s="2">
        <v>55420.0</v>
      </c>
      <c r="N1665" s="2" t="s">
        <v>21</v>
      </c>
    </row>
    <row r="1666" ht="15.75" customHeight="1">
      <c r="A1666" s="2">
        <v>2014.0</v>
      </c>
      <c r="B1666" s="2" t="s">
        <v>8592</v>
      </c>
      <c r="C1666" s="2" t="s">
        <v>8593</v>
      </c>
      <c r="D1666" s="2" t="str">
        <f>"832-675-0577"</f>
        <v>832-675-0577</v>
      </c>
      <c r="E1666" s="2" t="s">
        <v>167</v>
      </c>
      <c r="F1666" s="2" t="s">
        <v>8594</v>
      </c>
      <c r="G1666" s="2" t="str">
        <f>"SR-2403"</f>
        <v>SR-2403</v>
      </c>
      <c r="H1666" s="2" t="s">
        <v>8595</v>
      </c>
      <c r="I1666" s="2" t="s">
        <v>8596</v>
      </c>
      <c r="K1666" s="2" t="s">
        <v>4216</v>
      </c>
      <c r="L1666" s="2" t="s">
        <v>172</v>
      </c>
      <c r="M1666" s="2">
        <v>77406.0</v>
      </c>
      <c r="N1666" s="2" t="s">
        <v>21</v>
      </c>
    </row>
    <row r="1667" ht="15.75" customHeight="1">
      <c r="A1667" s="2">
        <v>2014.0</v>
      </c>
      <c r="B1667" s="2" t="s">
        <v>8597</v>
      </c>
      <c r="C1667" s="2" t="s">
        <v>8597</v>
      </c>
      <c r="D1667" s="2" t="str">
        <f>"727-581-9016"</f>
        <v>727-581-9016</v>
      </c>
      <c r="E1667" s="2" t="s">
        <v>2361</v>
      </c>
      <c r="F1667" s="2" t="s">
        <v>660</v>
      </c>
      <c r="G1667" s="2" t="str">
        <f>"SR-2402"</f>
        <v>SR-2402</v>
      </c>
      <c r="H1667" s="2" t="s">
        <v>8598</v>
      </c>
      <c r="I1667" s="2" t="s">
        <v>8599</v>
      </c>
      <c r="K1667" s="2" t="s">
        <v>8600</v>
      </c>
      <c r="L1667" s="2" t="s">
        <v>208</v>
      </c>
      <c r="M1667" s="2">
        <v>33770.0</v>
      </c>
      <c r="N1667" s="2" t="s">
        <v>21</v>
      </c>
    </row>
    <row r="1668" ht="15.75" customHeight="1">
      <c r="A1668" s="2">
        <v>2014.0</v>
      </c>
      <c r="B1668" s="2" t="s">
        <v>8592</v>
      </c>
      <c r="C1668" s="2" t="s">
        <v>8601</v>
      </c>
      <c r="D1668" s="2" t="str">
        <f>"8328787992"</f>
        <v>8328787992</v>
      </c>
      <c r="E1668" s="2" t="s">
        <v>843</v>
      </c>
      <c r="F1668" s="2" t="s">
        <v>8594</v>
      </c>
      <c r="G1668" s="2" t="str">
        <f>"SR-2404"</f>
        <v>SR-2404</v>
      </c>
      <c r="H1668" s="2" t="s">
        <v>8602</v>
      </c>
      <c r="I1668" s="2" t="s">
        <v>8603</v>
      </c>
      <c r="K1668" s="2" t="s">
        <v>4216</v>
      </c>
      <c r="L1668" s="2" t="s">
        <v>172</v>
      </c>
      <c r="M1668" s="2">
        <v>77406.0</v>
      </c>
      <c r="N1668" s="2" t="s">
        <v>21</v>
      </c>
    </row>
    <row r="1669" ht="15.75" customHeight="1">
      <c r="A1669" s="2">
        <v>2014.0</v>
      </c>
      <c r="B1669" s="2" t="s">
        <v>8604</v>
      </c>
      <c r="C1669" s="2" t="s">
        <v>8604</v>
      </c>
      <c r="D1669" s="2" t="str">
        <f>"7634204356"</f>
        <v>7634204356</v>
      </c>
      <c r="E1669" s="2" t="s">
        <v>8605</v>
      </c>
      <c r="F1669" s="2" t="s">
        <v>8606</v>
      </c>
      <c r="G1669" s="2" t="str">
        <f>"SR-2407"</f>
        <v>SR-2407</v>
      </c>
      <c r="H1669" s="2" t="s">
        <v>8607</v>
      </c>
      <c r="I1669" s="2" t="s">
        <v>8608</v>
      </c>
      <c r="K1669" s="2" t="s">
        <v>8609</v>
      </c>
      <c r="L1669" s="2" t="s">
        <v>62</v>
      </c>
      <c r="M1669" s="2">
        <v>55311.0</v>
      </c>
      <c r="N1669" s="2" t="s">
        <v>21</v>
      </c>
    </row>
    <row r="1670" ht="15.75" customHeight="1">
      <c r="A1670" s="2">
        <v>2014.0</v>
      </c>
      <c r="B1670" s="2" t="s">
        <v>8610</v>
      </c>
      <c r="C1670" s="2" t="s">
        <v>8611</v>
      </c>
      <c r="D1670" s="2" t="str">
        <f>"612-861-2466"</f>
        <v>612-861-2466</v>
      </c>
      <c r="E1670" s="2" t="s">
        <v>8612</v>
      </c>
      <c r="F1670" s="2" t="s">
        <v>8613</v>
      </c>
      <c r="G1670" s="2" t="str">
        <f>"SR-2422"</f>
        <v>SR-2422</v>
      </c>
      <c r="H1670" s="2" t="s">
        <v>8614</v>
      </c>
      <c r="I1670" s="2" t="s">
        <v>8615</v>
      </c>
      <c r="K1670" s="2" t="s">
        <v>4803</v>
      </c>
      <c r="L1670" s="2" t="s">
        <v>62</v>
      </c>
      <c r="M1670" s="2">
        <v>55423.0</v>
      </c>
      <c r="N1670" s="2" t="s">
        <v>21</v>
      </c>
    </row>
    <row r="1671" ht="15.75" customHeight="1">
      <c r="A1671" s="2">
        <v>2014.0</v>
      </c>
      <c r="B1671" s="2" t="s">
        <v>8616</v>
      </c>
      <c r="C1671" s="2" t="s">
        <v>8617</v>
      </c>
      <c r="D1671" s="2" t="str">
        <f>"720-5880747"</f>
        <v>720-5880747</v>
      </c>
      <c r="E1671" s="2" t="s">
        <v>261</v>
      </c>
      <c r="F1671" s="2" t="s">
        <v>8618</v>
      </c>
      <c r="G1671" s="2" t="str">
        <f>"SR-2444"</f>
        <v>SR-2444</v>
      </c>
      <c r="H1671" s="2" t="s">
        <v>8619</v>
      </c>
      <c r="I1671" s="2" t="s">
        <v>8620</v>
      </c>
      <c r="K1671" s="2" t="s">
        <v>1520</v>
      </c>
      <c r="L1671" s="2" t="s">
        <v>157</v>
      </c>
      <c r="M1671" s="2">
        <v>80013.0</v>
      </c>
      <c r="N1671" s="2" t="s">
        <v>21</v>
      </c>
    </row>
    <row r="1672" ht="15.75" customHeight="1">
      <c r="A1672" s="2">
        <v>2014.0</v>
      </c>
      <c r="B1672" s="2" t="s">
        <v>8621</v>
      </c>
      <c r="C1672" s="2" t="s">
        <v>8622</v>
      </c>
      <c r="D1672" s="2" t="str">
        <f>"970-669-0538"</f>
        <v>970-669-0538</v>
      </c>
      <c r="E1672" s="2" t="s">
        <v>167</v>
      </c>
      <c r="F1672" s="2" t="s">
        <v>8623</v>
      </c>
      <c r="G1672" s="2" t="str">
        <f>"SR-2439"</f>
        <v>SR-2439</v>
      </c>
      <c r="H1672" s="2" t="s">
        <v>8624</v>
      </c>
      <c r="I1672" s="2" t="s">
        <v>8625</v>
      </c>
      <c r="K1672" s="2" t="s">
        <v>1048</v>
      </c>
      <c r="L1672" s="2" t="s">
        <v>157</v>
      </c>
      <c r="M1672" s="2">
        <v>80538.0</v>
      </c>
      <c r="N1672" s="2" t="s">
        <v>21</v>
      </c>
    </row>
    <row r="1673" ht="15.75" customHeight="1">
      <c r="A1673" s="2">
        <v>2014.0</v>
      </c>
      <c r="B1673" s="2" t="s">
        <v>8626</v>
      </c>
      <c r="C1673" s="2" t="s">
        <v>8627</v>
      </c>
      <c r="D1673" s="2" t="str">
        <f>"6052202565"</f>
        <v>6052202565</v>
      </c>
      <c r="E1673" s="2" t="s">
        <v>908</v>
      </c>
      <c r="F1673" s="2" t="s">
        <v>8628</v>
      </c>
      <c r="G1673" s="2" t="str">
        <f>"SR-2446"</f>
        <v>SR-2446</v>
      </c>
      <c r="H1673" s="2" t="s">
        <v>8629</v>
      </c>
      <c r="I1673" s="2" t="s">
        <v>8630</v>
      </c>
      <c r="K1673" s="2" t="s">
        <v>4355</v>
      </c>
      <c r="L1673" s="2" t="s">
        <v>920</v>
      </c>
      <c r="M1673" s="2">
        <v>57501.0</v>
      </c>
      <c r="N1673" s="2" t="s">
        <v>21</v>
      </c>
    </row>
    <row r="1674" ht="15.75" customHeight="1">
      <c r="A1674" s="2">
        <v>2014.0</v>
      </c>
      <c r="B1674" s="2" t="s">
        <v>3835</v>
      </c>
      <c r="C1674" s="2" t="s">
        <v>8631</v>
      </c>
      <c r="D1674" s="2" t="str">
        <f>"3035061551"</f>
        <v>3035061551</v>
      </c>
      <c r="E1674" s="2" t="s">
        <v>590</v>
      </c>
      <c r="F1674" s="2" t="s">
        <v>3837</v>
      </c>
      <c r="G1674" s="2" t="str">
        <f>"SR-2452"</f>
        <v>SR-2452</v>
      </c>
      <c r="H1674" s="2" t="s">
        <v>8632</v>
      </c>
      <c r="I1674" s="2" t="s">
        <v>8633</v>
      </c>
      <c r="K1674" s="2" t="s">
        <v>1054</v>
      </c>
      <c r="L1674" s="2" t="s">
        <v>157</v>
      </c>
      <c r="M1674" s="2">
        <v>80138.0</v>
      </c>
      <c r="N1674" s="2" t="s">
        <v>21</v>
      </c>
    </row>
    <row r="1675" ht="15.75" customHeight="1">
      <c r="A1675" s="2">
        <v>2014.0</v>
      </c>
      <c r="B1675" s="2" t="s">
        <v>8634</v>
      </c>
      <c r="C1675" s="2" t="s">
        <v>8635</v>
      </c>
      <c r="D1675" s="2" t="str">
        <f>"6194483797"</f>
        <v>6194483797</v>
      </c>
      <c r="E1675" s="2" t="s">
        <v>2598</v>
      </c>
      <c r="F1675" s="2" t="s">
        <v>8636</v>
      </c>
      <c r="G1675" s="2" t="str">
        <f>"SR-2387"</f>
        <v>SR-2387</v>
      </c>
      <c r="H1675" s="2" t="s">
        <v>8637</v>
      </c>
      <c r="I1675" s="2" t="s">
        <v>8638</v>
      </c>
      <c r="K1675" s="2" t="s">
        <v>8639</v>
      </c>
      <c r="L1675" s="2" t="s">
        <v>222</v>
      </c>
      <c r="M1675" s="2">
        <v>92071.0</v>
      </c>
      <c r="N1675" s="2" t="s">
        <v>21</v>
      </c>
    </row>
    <row r="1676" ht="15.75" customHeight="1">
      <c r="A1676" s="2">
        <v>2014.0</v>
      </c>
      <c r="B1676" s="2" t="s">
        <v>7728</v>
      </c>
      <c r="C1676" s="2" t="s">
        <v>8640</v>
      </c>
      <c r="D1676" s="2" t="str">
        <f>"303-898-3410"</f>
        <v>303-898-3410</v>
      </c>
      <c r="E1676" s="2" t="s">
        <v>562</v>
      </c>
      <c r="F1676" s="2" t="s">
        <v>7730</v>
      </c>
      <c r="G1676" s="2" t="str">
        <f>"SR-2457"</f>
        <v>SR-2457</v>
      </c>
      <c r="H1676" s="2" t="s">
        <v>8641</v>
      </c>
      <c r="I1676" s="2" t="s">
        <v>7732</v>
      </c>
      <c r="K1676" s="2" t="s">
        <v>975</v>
      </c>
      <c r="L1676" s="2" t="s">
        <v>157</v>
      </c>
      <c r="M1676" s="2">
        <v>80831.0</v>
      </c>
      <c r="N1676" s="2" t="s">
        <v>21</v>
      </c>
    </row>
    <row r="1677" ht="15.75" customHeight="1">
      <c r="A1677" s="2">
        <v>2014.0</v>
      </c>
      <c r="B1677" s="2" t="s">
        <v>8168</v>
      </c>
      <c r="C1677" s="2" t="s">
        <v>8642</v>
      </c>
      <c r="D1677" s="2" t="str">
        <f>"2188551380"</f>
        <v>2188551380</v>
      </c>
      <c r="E1677" s="2" t="s">
        <v>8643</v>
      </c>
      <c r="F1677" s="2" t="s">
        <v>8171</v>
      </c>
      <c r="G1677" s="2" t="str">
        <f>"SR-2394"</f>
        <v>SR-2394</v>
      </c>
      <c r="H1677" s="2" t="s">
        <v>8644</v>
      </c>
      <c r="I1677" s="2" t="s">
        <v>8645</v>
      </c>
      <c r="K1677" s="2" t="s">
        <v>8646</v>
      </c>
      <c r="L1677" s="2" t="s">
        <v>62</v>
      </c>
      <c r="M1677" s="2">
        <v>56425.0</v>
      </c>
      <c r="N1677" s="2" t="s">
        <v>21</v>
      </c>
    </row>
    <row r="1678" ht="15.75" customHeight="1">
      <c r="A1678" s="2">
        <v>2014.0</v>
      </c>
      <c r="B1678" s="2" t="s">
        <v>1027</v>
      </c>
      <c r="C1678" s="2" t="s">
        <v>1027</v>
      </c>
      <c r="D1678" s="2" t="str">
        <f>"3616766497"</f>
        <v>3616766497</v>
      </c>
      <c r="E1678" s="2" t="s">
        <v>1028</v>
      </c>
      <c r="F1678" s="2" t="s">
        <v>1029</v>
      </c>
      <c r="G1678" s="2" t="str">
        <f>"SR-407"</f>
        <v>SR-407</v>
      </c>
      <c r="H1678" s="2" t="s">
        <v>1030</v>
      </c>
      <c r="I1678" s="2" t="s">
        <v>1031</v>
      </c>
      <c r="K1678" s="2" t="s">
        <v>1032</v>
      </c>
      <c r="L1678" s="2" t="s">
        <v>172</v>
      </c>
      <c r="M1678" s="2">
        <v>77904.0</v>
      </c>
      <c r="N1678" s="2" t="s">
        <v>21</v>
      </c>
    </row>
    <row r="1679" ht="15.75" customHeight="1">
      <c r="A1679" s="2">
        <v>2014.0</v>
      </c>
      <c r="B1679" s="2" t="s">
        <v>8647</v>
      </c>
      <c r="C1679" s="2" t="s">
        <v>8648</v>
      </c>
      <c r="D1679" s="2" t="str">
        <f>"714-987-9994"</f>
        <v>714-987-9994</v>
      </c>
      <c r="E1679" s="2" t="s">
        <v>8649</v>
      </c>
      <c r="F1679" s="2" t="s">
        <v>8650</v>
      </c>
      <c r="G1679" s="2" t="str">
        <f>"SR-2467"</f>
        <v>SR-2467</v>
      </c>
      <c r="H1679" s="2" t="s">
        <v>8651</v>
      </c>
      <c r="I1679" s="2" t="s">
        <v>8652</v>
      </c>
      <c r="K1679" s="2" t="s">
        <v>8250</v>
      </c>
      <c r="L1679" s="2" t="s">
        <v>222</v>
      </c>
      <c r="M1679" s="2">
        <v>92109.0</v>
      </c>
      <c r="N1679" s="2" t="s">
        <v>21</v>
      </c>
    </row>
    <row r="1680" ht="15.75" customHeight="1">
      <c r="A1680" s="2">
        <v>2014.0</v>
      </c>
      <c r="B1680" s="2" t="s">
        <v>8653</v>
      </c>
      <c r="C1680" s="2" t="s">
        <v>8654</v>
      </c>
      <c r="D1680" s="2" t="str">
        <f>"7067783020"</f>
        <v>7067783020</v>
      </c>
      <c r="E1680" s="2" t="s">
        <v>8655</v>
      </c>
      <c r="F1680" s="2" t="s">
        <v>457</v>
      </c>
      <c r="G1680" s="2" t="str">
        <f>"SR-2465"</f>
        <v>SR-2465</v>
      </c>
      <c r="H1680" s="2" t="s">
        <v>8656</v>
      </c>
      <c r="I1680" s="2" t="s">
        <v>8657</v>
      </c>
      <c r="K1680" s="2" t="s">
        <v>8658</v>
      </c>
      <c r="L1680" s="2" t="s">
        <v>200</v>
      </c>
      <c r="M1680" s="2">
        <v>30510.0</v>
      </c>
      <c r="N1680" s="2" t="s">
        <v>21</v>
      </c>
    </row>
    <row r="1681" ht="15.75" customHeight="1">
      <c r="A1681" s="2">
        <v>2014.0</v>
      </c>
      <c r="B1681" s="2" t="s">
        <v>8659</v>
      </c>
      <c r="C1681" s="2" t="s">
        <v>8660</v>
      </c>
      <c r="D1681" s="2" t="str">
        <f>"541-541-9006"</f>
        <v>541-541-9006</v>
      </c>
      <c r="E1681" s="2" t="s">
        <v>2412</v>
      </c>
      <c r="F1681" s="2" t="s">
        <v>8661</v>
      </c>
      <c r="G1681" s="2" t="str">
        <f>"SR-2474"</f>
        <v>SR-2474</v>
      </c>
      <c r="H1681" s="2" t="s">
        <v>8662</v>
      </c>
      <c r="I1681" s="2" t="s">
        <v>8663</v>
      </c>
      <c r="K1681" s="2" t="s">
        <v>421</v>
      </c>
      <c r="L1681" s="2" t="s">
        <v>2389</v>
      </c>
      <c r="M1681" s="2">
        <v>97535.0</v>
      </c>
      <c r="N1681" s="2" t="s">
        <v>21</v>
      </c>
    </row>
    <row r="1682" ht="15.75" customHeight="1">
      <c r="A1682" s="2">
        <v>2014.0</v>
      </c>
      <c r="B1682" s="2" t="s">
        <v>8664</v>
      </c>
      <c r="C1682" s="2" t="s">
        <v>8664</v>
      </c>
      <c r="D1682" s="2" t="str">
        <f>"(970) 224-9907"</f>
        <v>(970) 224-9907</v>
      </c>
      <c r="E1682" s="2" t="s">
        <v>8665</v>
      </c>
      <c r="F1682" s="2" t="s">
        <v>8666</v>
      </c>
      <c r="G1682" s="2" t="str">
        <f>"SR-2458"</f>
        <v>SR-2458</v>
      </c>
      <c r="H1682" s="2" t="s">
        <v>8667</v>
      </c>
      <c r="I1682" s="2" t="s">
        <v>8668</v>
      </c>
      <c r="K1682" s="2" t="s">
        <v>656</v>
      </c>
      <c r="L1682" s="2" t="s">
        <v>157</v>
      </c>
      <c r="M1682" s="2">
        <v>80521.0</v>
      </c>
      <c r="N1682" s="2" t="s">
        <v>21</v>
      </c>
    </row>
    <row r="1683" ht="15.75" customHeight="1">
      <c r="A1683" s="2">
        <v>2014.0</v>
      </c>
      <c r="B1683" s="2" t="s">
        <v>5363</v>
      </c>
      <c r="C1683" s="2" t="s">
        <v>8669</v>
      </c>
      <c r="D1683" s="2" t="str">
        <f>"760-822-0676"</f>
        <v>760-822-0676</v>
      </c>
      <c r="E1683" s="2" t="s">
        <v>8670</v>
      </c>
      <c r="F1683" s="2" t="s">
        <v>5365</v>
      </c>
      <c r="G1683" s="2" t="str">
        <f>"SR-2479"</f>
        <v>SR-2479</v>
      </c>
      <c r="H1683" s="2" t="s">
        <v>8671</v>
      </c>
      <c r="I1683" s="2" t="s">
        <v>8672</v>
      </c>
      <c r="K1683" s="2" t="s">
        <v>8673</v>
      </c>
      <c r="L1683" s="2" t="s">
        <v>222</v>
      </c>
      <c r="M1683" s="2">
        <v>92040.0</v>
      </c>
      <c r="N1683" s="2" t="s">
        <v>21</v>
      </c>
    </row>
    <row r="1684" ht="15.75" customHeight="1">
      <c r="A1684" s="2">
        <v>2014.0</v>
      </c>
      <c r="B1684" s="2" t="s">
        <v>8674</v>
      </c>
      <c r="C1684" s="2" t="s">
        <v>8675</v>
      </c>
      <c r="D1684" s="2" t="str">
        <f>"7064996792"</f>
        <v>7064996792</v>
      </c>
      <c r="E1684" s="2" t="s">
        <v>282</v>
      </c>
      <c r="F1684" s="2" t="s">
        <v>386</v>
      </c>
      <c r="G1684" s="2" t="str">
        <f>"SR-2470"</f>
        <v>SR-2470</v>
      </c>
      <c r="H1684" s="2" t="s">
        <v>8676</v>
      </c>
      <c r="I1684" s="2" t="s">
        <v>8677</v>
      </c>
      <c r="K1684" s="2" t="s">
        <v>8678</v>
      </c>
      <c r="L1684" s="2" t="s">
        <v>200</v>
      </c>
      <c r="M1684" s="2">
        <v>30563.0</v>
      </c>
      <c r="N1684" s="2" t="s">
        <v>21</v>
      </c>
    </row>
    <row r="1685" ht="15.75" customHeight="1">
      <c r="A1685" s="2">
        <v>2014.0</v>
      </c>
      <c r="B1685" s="2" t="s">
        <v>8679</v>
      </c>
      <c r="C1685" s="2" t="s">
        <v>8680</v>
      </c>
      <c r="D1685" s="2" t="str">
        <f>"812 870-3156"</f>
        <v>812 870-3156</v>
      </c>
      <c r="E1685" s="2" t="s">
        <v>7758</v>
      </c>
      <c r="F1685" s="2" t="s">
        <v>8681</v>
      </c>
      <c r="G1685" s="2" t="str">
        <f>"SR-2463"</f>
        <v>SR-2463</v>
      </c>
      <c r="H1685" s="2" t="s">
        <v>8682</v>
      </c>
      <c r="I1685" s="2" t="s">
        <v>8683</v>
      </c>
      <c r="K1685" s="2" t="s">
        <v>8684</v>
      </c>
      <c r="L1685" s="2" t="s">
        <v>149</v>
      </c>
      <c r="M1685" s="2">
        <v>47802.0</v>
      </c>
      <c r="N1685" s="2" t="s">
        <v>21</v>
      </c>
    </row>
    <row r="1686" ht="15.75" customHeight="1">
      <c r="A1686" s="2">
        <v>2014.0</v>
      </c>
      <c r="B1686" s="2" t="s">
        <v>8685</v>
      </c>
      <c r="C1686" s="2" t="s">
        <v>8686</v>
      </c>
      <c r="D1686" s="2" t="str">
        <f>"3193789149"</f>
        <v>3193789149</v>
      </c>
      <c r="E1686" s="2" t="s">
        <v>8687</v>
      </c>
      <c r="F1686" s="2" t="s">
        <v>8688</v>
      </c>
      <c r="G1686" s="2" t="str">
        <f>"SR-2498"</f>
        <v>SR-2498</v>
      </c>
      <c r="H1686" s="2" t="s">
        <v>8689</v>
      </c>
      <c r="I1686" s="2" t="s">
        <v>8690</v>
      </c>
      <c r="K1686" s="2" t="s">
        <v>3273</v>
      </c>
      <c r="L1686" s="2" t="s">
        <v>560</v>
      </c>
      <c r="M1686" s="2">
        <v>52402.0</v>
      </c>
      <c r="N1686" s="2" t="s">
        <v>21</v>
      </c>
    </row>
    <row r="1687" ht="15.75" customHeight="1">
      <c r="A1687" s="2">
        <v>2014.0</v>
      </c>
      <c r="B1687" s="2" t="s">
        <v>8691</v>
      </c>
      <c r="C1687" s="2" t="s">
        <v>8692</v>
      </c>
      <c r="D1687" s="2" t="str">
        <f>"319-721-4310"</f>
        <v>319-721-4310</v>
      </c>
      <c r="E1687" s="2" t="s">
        <v>8693</v>
      </c>
      <c r="F1687" s="2" t="s">
        <v>8694</v>
      </c>
      <c r="G1687" s="2" t="str">
        <f>"SR-2499"</f>
        <v>SR-2499</v>
      </c>
      <c r="H1687" s="2" t="s">
        <v>8695</v>
      </c>
      <c r="I1687" s="2" t="s">
        <v>8696</v>
      </c>
      <c r="K1687" s="2" t="s">
        <v>8697</v>
      </c>
      <c r="L1687" s="2" t="s">
        <v>560</v>
      </c>
      <c r="M1687" s="2">
        <v>52313.0</v>
      </c>
      <c r="N1687" s="2" t="s">
        <v>21</v>
      </c>
    </row>
    <row r="1688" ht="15.75" customHeight="1">
      <c r="A1688" s="2">
        <v>2014.0</v>
      </c>
      <c r="B1688" s="2" t="s">
        <v>8698</v>
      </c>
      <c r="C1688" s="2" t="s">
        <v>8699</v>
      </c>
      <c r="D1688" s="2" t="str">
        <f t="shared" ref="D1688:D1689" si="25">"303-325-7770"</f>
        <v>303-325-7770</v>
      </c>
      <c r="E1688" s="2" t="s">
        <v>2314</v>
      </c>
      <c r="F1688" s="2" t="s">
        <v>8700</v>
      </c>
      <c r="G1688" s="2" t="str">
        <f>"SR-2501"</f>
        <v>SR-2501</v>
      </c>
      <c r="H1688" s="2" t="s">
        <v>8701</v>
      </c>
      <c r="I1688" s="2" t="s">
        <v>8702</v>
      </c>
      <c r="J1688" s="2" t="s">
        <v>8703</v>
      </c>
      <c r="K1688" s="2" t="s">
        <v>1889</v>
      </c>
      <c r="L1688" s="2" t="s">
        <v>157</v>
      </c>
      <c r="M1688" s="2">
        <v>80120.0</v>
      </c>
      <c r="N1688" s="2" t="s">
        <v>21</v>
      </c>
    </row>
    <row r="1689" ht="15.75" customHeight="1">
      <c r="A1689" s="2">
        <v>2014.0</v>
      </c>
      <c r="B1689" s="2" t="s">
        <v>8698</v>
      </c>
      <c r="C1689" s="2" t="s">
        <v>8698</v>
      </c>
      <c r="D1689" s="2" t="str">
        <f t="shared" si="25"/>
        <v>303-325-7770</v>
      </c>
      <c r="E1689" s="2" t="s">
        <v>453</v>
      </c>
      <c r="F1689" s="2" t="s">
        <v>8700</v>
      </c>
      <c r="G1689" s="2" t="str">
        <f>"SR-2503"</f>
        <v>SR-2503</v>
      </c>
      <c r="H1689" s="2" t="s">
        <v>8704</v>
      </c>
      <c r="I1689" s="2" t="s">
        <v>8702</v>
      </c>
      <c r="J1689" s="2" t="s">
        <v>8703</v>
      </c>
      <c r="K1689" s="2" t="s">
        <v>1889</v>
      </c>
      <c r="L1689" s="2" t="s">
        <v>157</v>
      </c>
      <c r="M1689" s="2">
        <v>80120.0</v>
      </c>
      <c r="N1689" s="2" t="s">
        <v>21</v>
      </c>
    </row>
    <row r="1690" ht="15.75" customHeight="1">
      <c r="A1690" s="2">
        <v>2014.0</v>
      </c>
      <c r="B1690" s="2" t="s">
        <v>8705</v>
      </c>
      <c r="C1690" s="2" t="s">
        <v>8705</v>
      </c>
      <c r="D1690" s="2" t="str">
        <f>"(303)750-2171"</f>
        <v>(303)750-2171</v>
      </c>
      <c r="E1690" s="2" t="s">
        <v>288</v>
      </c>
      <c r="F1690" s="2" t="s">
        <v>8706</v>
      </c>
      <c r="G1690" s="2" t="str">
        <f>"SR-2450"</f>
        <v>SR-2450</v>
      </c>
      <c r="H1690" s="2" t="s">
        <v>8707</v>
      </c>
      <c r="I1690" s="2" t="s">
        <v>8708</v>
      </c>
      <c r="K1690" s="2" t="s">
        <v>1520</v>
      </c>
      <c r="L1690" s="2" t="s">
        <v>157</v>
      </c>
      <c r="M1690" s="2">
        <v>80017.0</v>
      </c>
      <c r="N1690" s="2" t="s">
        <v>21</v>
      </c>
    </row>
    <row r="1691" ht="15.75" customHeight="1">
      <c r="A1691" s="2">
        <v>2014.0</v>
      </c>
      <c r="B1691" s="2" t="s">
        <v>8709</v>
      </c>
      <c r="C1691" s="2" t="s">
        <v>8709</v>
      </c>
      <c r="D1691" s="2" t="str">
        <f>"(319)-521-3966"</f>
        <v>(319)-521-3966</v>
      </c>
      <c r="E1691" s="2" t="s">
        <v>1197</v>
      </c>
      <c r="F1691" s="2" t="s">
        <v>4389</v>
      </c>
      <c r="G1691" s="2" t="str">
        <f>"SR-2516"</f>
        <v>SR-2516</v>
      </c>
      <c r="H1691" s="2" t="s">
        <v>8710</v>
      </c>
      <c r="I1691" s="2" t="s">
        <v>8711</v>
      </c>
      <c r="K1691" s="2" t="s">
        <v>3493</v>
      </c>
      <c r="L1691" s="2" t="s">
        <v>560</v>
      </c>
      <c r="M1691" s="2">
        <v>52302.0</v>
      </c>
      <c r="N1691" s="2" t="s">
        <v>21</v>
      </c>
    </row>
    <row r="1692" ht="15.75" customHeight="1">
      <c r="A1692" s="2">
        <v>2014.0</v>
      </c>
      <c r="B1692" s="2" t="s">
        <v>8712</v>
      </c>
      <c r="D1692" s="2" t="str">
        <f>""</f>
        <v/>
      </c>
      <c r="E1692" s="2" t="s">
        <v>7476</v>
      </c>
      <c r="F1692" s="2" t="s">
        <v>8713</v>
      </c>
      <c r="G1692" s="2" t="str">
        <f>"SR-2513"</f>
        <v>SR-2513</v>
      </c>
      <c r="H1692" s="2" t="s">
        <v>8714</v>
      </c>
      <c r="N1692" s="2" t="s">
        <v>21</v>
      </c>
    </row>
    <row r="1693" ht="15.75" customHeight="1">
      <c r="A1693" s="2">
        <v>2014.0</v>
      </c>
      <c r="B1693" s="2" t="s">
        <v>8715</v>
      </c>
      <c r="C1693" s="2" t="s">
        <v>8715</v>
      </c>
      <c r="D1693" s="2" t="str">
        <f>"(309) 339-5318"</f>
        <v>(309) 339-5318</v>
      </c>
      <c r="E1693" s="2" t="s">
        <v>1440</v>
      </c>
      <c r="F1693" s="2" t="s">
        <v>8716</v>
      </c>
      <c r="G1693" s="2" t="str">
        <f>"SR-2523"</f>
        <v>SR-2523</v>
      </c>
      <c r="H1693" s="2" t="s">
        <v>8717</v>
      </c>
      <c r="I1693" s="2" t="s">
        <v>8718</v>
      </c>
      <c r="K1693" s="2" t="s">
        <v>104</v>
      </c>
      <c r="L1693" s="2" t="s">
        <v>105</v>
      </c>
      <c r="M1693" s="2">
        <v>61615.0</v>
      </c>
      <c r="N1693" s="2" t="s">
        <v>21</v>
      </c>
    </row>
    <row r="1694" ht="15.75" customHeight="1">
      <c r="A1694" s="2">
        <v>2014.0</v>
      </c>
      <c r="B1694" s="2" t="s">
        <v>6344</v>
      </c>
      <c r="C1694" s="2" t="s">
        <v>6345</v>
      </c>
      <c r="D1694" s="2" t="str">
        <f>"6015131354"</f>
        <v>6015131354</v>
      </c>
      <c r="E1694" s="2" t="s">
        <v>1422</v>
      </c>
      <c r="F1694" s="2" t="s">
        <v>6346</v>
      </c>
      <c r="G1694" s="2" t="str">
        <f>"SR-452"</f>
        <v>SR-452</v>
      </c>
      <c r="H1694" s="2" t="s">
        <v>6347</v>
      </c>
      <c r="I1694" s="2" t="s">
        <v>6348</v>
      </c>
      <c r="K1694" s="2" t="s">
        <v>6349</v>
      </c>
      <c r="L1694" s="2" t="s">
        <v>1722</v>
      </c>
      <c r="M1694" s="2">
        <v>39330.0</v>
      </c>
      <c r="N1694" s="2" t="s">
        <v>21</v>
      </c>
    </row>
    <row r="1695" ht="15.75" customHeight="1">
      <c r="A1695" s="2">
        <v>2014.0</v>
      </c>
      <c r="B1695" s="2" t="s">
        <v>8719</v>
      </c>
      <c r="C1695" s="2" t="s">
        <v>8720</v>
      </c>
      <c r="D1695" s="2" t="str">
        <f>"231-215-8438"</f>
        <v>231-215-8438</v>
      </c>
      <c r="E1695" s="2" t="s">
        <v>6381</v>
      </c>
      <c r="F1695" s="2" t="s">
        <v>8721</v>
      </c>
      <c r="G1695" s="2" t="str">
        <f>"SR-2436"</f>
        <v>SR-2436</v>
      </c>
      <c r="H1695" s="2" t="s">
        <v>8722</v>
      </c>
      <c r="I1695" s="2" t="s">
        <v>8723</v>
      </c>
      <c r="K1695" s="2" t="s">
        <v>6649</v>
      </c>
      <c r="L1695" s="2" t="s">
        <v>29</v>
      </c>
      <c r="M1695" s="2">
        <v>49412.0</v>
      </c>
      <c r="N1695" s="2" t="s">
        <v>21</v>
      </c>
    </row>
    <row r="1696" ht="15.75" customHeight="1">
      <c r="A1696" s="2">
        <v>2014.0</v>
      </c>
      <c r="B1696" s="2" t="s">
        <v>8724</v>
      </c>
      <c r="C1696" s="2" t="s">
        <v>8724</v>
      </c>
      <c r="D1696" s="2" t="str">
        <f>"727-953-7678"</f>
        <v>727-953-7678</v>
      </c>
      <c r="E1696" s="2" t="s">
        <v>1450</v>
      </c>
      <c r="F1696" s="2" t="s">
        <v>8725</v>
      </c>
      <c r="G1696" s="2" t="str">
        <f>"SR-2527"</f>
        <v>SR-2527</v>
      </c>
      <c r="H1696" s="2" t="s">
        <v>8726</v>
      </c>
      <c r="I1696" s="2" t="s">
        <v>8727</v>
      </c>
      <c r="K1696" s="2" t="s">
        <v>469</v>
      </c>
      <c r="L1696" s="2" t="s">
        <v>208</v>
      </c>
      <c r="M1696" s="2">
        <v>33764.0</v>
      </c>
      <c r="N1696" s="2" t="s">
        <v>21</v>
      </c>
    </row>
    <row r="1697" ht="15.75" customHeight="1">
      <c r="A1697" s="2">
        <v>2014.0</v>
      </c>
      <c r="B1697" s="2" t="s">
        <v>445</v>
      </c>
      <c r="C1697" s="2" t="s">
        <v>460</v>
      </c>
      <c r="D1697" s="2" t="str">
        <f t="shared" ref="D1697:D1698" si="26">"904-292-5291"</f>
        <v>904-292-5291</v>
      </c>
      <c r="E1697" s="2" t="s">
        <v>461</v>
      </c>
      <c r="F1697" s="2" t="s">
        <v>462</v>
      </c>
      <c r="G1697" s="2" t="str">
        <f>"SR-154"</f>
        <v>SR-154</v>
      </c>
      <c r="H1697" s="2" t="s">
        <v>463</v>
      </c>
      <c r="I1697" s="2" t="s">
        <v>450</v>
      </c>
      <c r="K1697" s="2" t="s">
        <v>451</v>
      </c>
      <c r="L1697" s="2" t="s">
        <v>208</v>
      </c>
      <c r="M1697" s="2">
        <v>32258.0</v>
      </c>
      <c r="N1697" s="2" t="s">
        <v>21</v>
      </c>
    </row>
    <row r="1698" ht="15.75" customHeight="1">
      <c r="A1698" s="2">
        <v>2014.0</v>
      </c>
      <c r="B1698" s="2" t="s">
        <v>445</v>
      </c>
      <c r="C1698" s="2" t="s">
        <v>446</v>
      </c>
      <c r="D1698" s="2" t="str">
        <f t="shared" si="26"/>
        <v>904-292-5291</v>
      </c>
      <c r="E1698" s="2" t="s">
        <v>447</v>
      </c>
      <c r="F1698" s="2" t="s">
        <v>448</v>
      </c>
      <c r="G1698" s="2" t="str">
        <f>"SR-145"</f>
        <v>SR-145</v>
      </c>
      <c r="H1698" s="2" t="s">
        <v>449</v>
      </c>
      <c r="I1698" s="2" t="s">
        <v>450</v>
      </c>
      <c r="K1698" s="2" t="s">
        <v>451</v>
      </c>
      <c r="L1698" s="2" t="s">
        <v>208</v>
      </c>
      <c r="M1698" s="2">
        <v>32258.0</v>
      </c>
      <c r="N1698" s="2" t="s">
        <v>21</v>
      </c>
    </row>
    <row r="1699" ht="15.75" customHeight="1">
      <c r="A1699" s="2">
        <v>2014.0</v>
      </c>
      <c r="B1699" s="2" t="s">
        <v>8728</v>
      </c>
      <c r="C1699" s="2" t="s">
        <v>8729</v>
      </c>
      <c r="D1699" s="2" t="str">
        <f>"412-781-3340"</f>
        <v>412-781-3340</v>
      </c>
      <c r="E1699" s="2" t="s">
        <v>1885</v>
      </c>
      <c r="F1699" s="2" t="s">
        <v>8730</v>
      </c>
      <c r="G1699" s="2" t="str">
        <f>"SR-2520"</f>
        <v>SR-2520</v>
      </c>
      <c r="H1699" s="2" t="s">
        <v>8731</v>
      </c>
      <c r="I1699" s="2" t="s">
        <v>8732</v>
      </c>
      <c r="K1699" s="2" t="s">
        <v>8733</v>
      </c>
      <c r="L1699" s="2" t="s">
        <v>179</v>
      </c>
      <c r="M1699" s="2">
        <v>15215.0</v>
      </c>
      <c r="N1699" s="2" t="s">
        <v>21</v>
      </c>
    </row>
    <row r="1700" ht="15.75" customHeight="1">
      <c r="A1700" s="2">
        <v>2014.0</v>
      </c>
      <c r="B1700" s="2" t="s">
        <v>8734</v>
      </c>
      <c r="C1700" s="2" t="s">
        <v>8735</v>
      </c>
      <c r="D1700" s="2" t="str">
        <f>"(251) 345-1059"</f>
        <v>(251) 345-1059</v>
      </c>
      <c r="E1700" s="2" t="s">
        <v>1440</v>
      </c>
      <c r="F1700" s="2" t="s">
        <v>5189</v>
      </c>
      <c r="G1700" s="2" t="str">
        <f>"SR-2461"</f>
        <v>SR-2461</v>
      </c>
      <c r="H1700" s="2" t="s">
        <v>8736</v>
      </c>
      <c r="I1700" s="2" t="s">
        <v>8737</v>
      </c>
      <c r="K1700" s="2" t="s">
        <v>5293</v>
      </c>
      <c r="L1700" s="2" t="s">
        <v>539</v>
      </c>
      <c r="M1700" s="2">
        <v>36618.0</v>
      </c>
      <c r="N1700" s="2" t="s">
        <v>21</v>
      </c>
    </row>
    <row r="1701" ht="15.75" customHeight="1">
      <c r="A1701" s="2">
        <v>2014.0</v>
      </c>
      <c r="B1701" s="2" t="s">
        <v>8738</v>
      </c>
      <c r="C1701" s="2" t="s">
        <v>8738</v>
      </c>
      <c r="D1701" s="2" t="str">
        <f>"7272395663"</f>
        <v>7272395663</v>
      </c>
      <c r="E1701" s="2" t="s">
        <v>8739</v>
      </c>
      <c r="F1701" s="2" t="s">
        <v>8740</v>
      </c>
      <c r="G1701" s="2" t="str">
        <f>"SR-2530"</f>
        <v>SR-2530</v>
      </c>
      <c r="H1701" s="2" t="s">
        <v>8741</v>
      </c>
      <c r="I1701" s="2" t="s">
        <v>8742</v>
      </c>
      <c r="K1701" s="2" t="s">
        <v>414</v>
      </c>
      <c r="L1701" s="2" t="s">
        <v>208</v>
      </c>
      <c r="M1701" s="2">
        <v>33771.0</v>
      </c>
      <c r="N1701" s="2" t="s">
        <v>21</v>
      </c>
    </row>
    <row r="1702" ht="15.75" customHeight="1">
      <c r="A1702" s="2">
        <v>2014.0</v>
      </c>
      <c r="B1702" s="2" t="s">
        <v>8743</v>
      </c>
      <c r="C1702" s="2" t="s">
        <v>8744</v>
      </c>
      <c r="D1702" s="2" t="str">
        <f>"641-530-4126"</f>
        <v>641-530-4126</v>
      </c>
      <c r="E1702" s="2" t="s">
        <v>2885</v>
      </c>
      <c r="F1702" s="2" t="s">
        <v>8745</v>
      </c>
      <c r="G1702" s="2" t="str">
        <f>"SR-2384"</f>
        <v>SR-2384</v>
      </c>
      <c r="H1702" s="2" t="s">
        <v>8746</v>
      </c>
      <c r="I1702" s="2" t="s">
        <v>8747</v>
      </c>
      <c r="K1702" s="2" t="s">
        <v>1924</v>
      </c>
      <c r="L1702" s="2" t="s">
        <v>560</v>
      </c>
      <c r="M1702" s="2">
        <v>50475.0</v>
      </c>
      <c r="N1702" s="2" t="s">
        <v>21</v>
      </c>
    </row>
    <row r="1703" ht="15.75" customHeight="1">
      <c r="A1703" s="2">
        <v>2014.0</v>
      </c>
      <c r="B1703" s="2" t="s">
        <v>8743</v>
      </c>
      <c r="C1703" s="2" t="s">
        <v>8748</v>
      </c>
      <c r="D1703" s="2" t="str">
        <f>"641 530 1918"</f>
        <v>641 530 1918</v>
      </c>
      <c r="E1703" s="2" t="s">
        <v>4782</v>
      </c>
      <c r="F1703" s="2" t="s">
        <v>8745</v>
      </c>
      <c r="G1703" s="2" t="str">
        <f>"SR-2385"</f>
        <v>SR-2385</v>
      </c>
      <c r="H1703" s="2" t="s">
        <v>8749</v>
      </c>
      <c r="I1703" s="2" t="s">
        <v>8750</v>
      </c>
      <c r="K1703" s="2" t="s">
        <v>1924</v>
      </c>
      <c r="L1703" s="2" t="s">
        <v>560</v>
      </c>
      <c r="M1703" s="2">
        <v>50475.0</v>
      </c>
      <c r="N1703" s="2" t="s">
        <v>21</v>
      </c>
    </row>
    <row r="1704" ht="15.75" customHeight="1">
      <c r="A1704" s="2">
        <v>2014.0</v>
      </c>
      <c r="B1704" s="2" t="s">
        <v>8751</v>
      </c>
      <c r="C1704" s="2" t="s">
        <v>8751</v>
      </c>
      <c r="D1704" s="2" t="str">
        <f>"5408420734"</f>
        <v>5408420734</v>
      </c>
      <c r="E1704" s="2" t="s">
        <v>8752</v>
      </c>
      <c r="F1704" s="2" t="s">
        <v>8753</v>
      </c>
      <c r="G1704" s="2" t="str">
        <f>"SR-2543"</f>
        <v>SR-2543</v>
      </c>
      <c r="H1704" s="2" t="s">
        <v>8754</v>
      </c>
      <c r="I1704" s="2" t="s">
        <v>8755</v>
      </c>
      <c r="K1704" s="2" t="s">
        <v>5675</v>
      </c>
      <c r="L1704" s="2" t="s">
        <v>165</v>
      </c>
      <c r="M1704" s="2">
        <v>22554.0</v>
      </c>
      <c r="N1704" s="2" t="s">
        <v>21</v>
      </c>
    </row>
    <row r="1705" ht="15.75" customHeight="1">
      <c r="A1705" s="2">
        <v>2014.0</v>
      </c>
      <c r="B1705" s="2" t="s">
        <v>8756</v>
      </c>
      <c r="C1705" s="2" t="s">
        <v>8756</v>
      </c>
      <c r="D1705" s="2" t="str">
        <f>"(540) 842-0743"</f>
        <v>(540) 842-0743</v>
      </c>
      <c r="E1705" s="2" t="s">
        <v>8757</v>
      </c>
      <c r="F1705" s="2" t="s">
        <v>8753</v>
      </c>
      <c r="G1705" s="2" t="str">
        <f>"SR-2544"</f>
        <v>SR-2544</v>
      </c>
      <c r="H1705" s="2" t="s">
        <v>8758</v>
      </c>
      <c r="I1705" s="2" t="s">
        <v>8755</v>
      </c>
      <c r="K1705" s="2" t="s">
        <v>5675</v>
      </c>
      <c r="L1705" s="2" t="s">
        <v>165</v>
      </c>
      <c r="M1705" s="2">
        <v>22554.0</v>
      </c>
      <c r="N1705" s="2" t="s">
        <v>21</v>
      </c>
    </row>
    <row r="1706" ht="15.75" customHeight="1">
      <c r="A1706" s="2">
        <v>2014.0</v>
      </c>
      <c r="B1706" s="2" t="s">
        <v>8759</v>
      </c>
      <c r="C1706" s="2" t="s">
        <v>8760</v>
      </c>
      <c r="D1706" s="2" t="str">
        <f>"720 535-5193"</f>
        <v>720 535-5193</v>
      </c>
      <c r="E1706" s="2" t="s">
        <v>217</v>
      </c>
      <c r="F1706" s="2" t="s">
        <v>8761</v>
      </c>
      <c r="G1706" s="2" t="str">
        <f>"SR-2545"</f>
        <v>SR-2545</v>
      </c>
      <c r="H1706" s="2" t="s">
        <v>8762</v>
      </c>
      <c r="I1706" s="2" t="s">
        <v>8763</v>
      </c>
      <c r="K1706" s="2" t="s">
        <v>1520</v>
      </c>
      <c r="L1706" s="2" t="s">
        <v>157</v>
      </c>
      <c r="M1706" s="2">
        <v>80014.0</v>
      </c>
      <c r="N1706" s="2" t="s">
        <v>21</v>
      </c>
    </row>
    <row r="1707" ht="15.75" customHeight="1">
      <c r="A1707" s="2">
        <v>2014.0</v>
      </c>
      <c r="B1707" s="2" t="s">
        <v>2218</v>
      </c>
      <c r="C1707" s="2" t="s">
        <v>2219</v>
      </c>
      <c r="D1707" s="2" t="str">
        <f>"5624833192"</f>
        <v>5624833192</v>
      </c>
      <c r="E1707" s="2" t="s">
        <v>453</v>
      </c>
      <c r="F1707" s="2" t="s">
        <v>2220</v>
      </c>
      <c r="G1707" s="2" t="str">
        <f>"SR-780"</f>
        <v>SR-780</v>
      </c>
      <c r="H1707" s="2" t="s">
        <v>2221</v>
      </c>
      <c r="I1707" s="2" t="s">
        <v>2222</v>
      </c>
      <c r="K1707" s="2" t="s">
        <v>2223</v>
      </c>
      <c r="L1707" s="2" t="s">
        <v>222</v>
      </c>
      <c r="M1707" s="2">
        <v>90650.0</v>
      </c>
      <c r="N1707" s="2" t="s">
        <v>21</v>
      </c>
    </row>
    <row r="1708" ht="15.75" customHeight="1">
      <c r="A1708" s="2">
        <v>2014.0</v>
      </c>
      <c r="B1708" s="2" t="s">
        <v>8764</v>
      </c>
      <c r="C1708" s="2" t="s">
        <v>8764</v>
      </c>
      <c r="D1708" s="2" t="str">
        <f>"7706567179"</f>
        <v>7706567179</v>
      </c>
      <c r="E1708" s="2" t="s">
        <v>8765</v>
      </c>
      <c r="F1708" s="2" t="s">
        <v>8766</v>
      </c>
      <c r="G1708" s="2" t="str">
        <f>"SR-2546"</f>
        <v>SR-2546</v>
      </c>
      <c r="H1708" s="2" t="s">
        <v>8767</v>
      </c>
      <c r="I1708" s="2" t="s">
        <v>8768</v>
      </c>
      <c r="K1708" s="2" t="s">
        <v>8769</v>
      </c>
      <c r="L1708" s="2" t="s">
        <v>200</v>
      </c>
      <c r="M1708" s="2">
        <v>30143.0</v>
      </c>
      <c r="N1708" s="2" t="s">
        <v>21</v>
      </c>
    </row>
    <row r="1709" ht="15.75" customHeight="1">
      <c r="A1709" s="2">
        <v>2014.0</v>
      </c>
      <c r="B1709" s="2" t="s">
        <v>8770</v>
      </c>
      <c r="C1709" s="2" t="s">
        <v>8770</v>
      </c>
      <c r="D1709" s="2" t="str">
        <f>"7706567189"</f>
        <v>7706567189</v>
      </c>
      <c r="E1709" s="2" t="s">
        <v>267</v>
      </c>
      <c r="F1709" s="2" t="s">
        <v>8766</v>
      </c>
      <c r="G1709" s="2" t="str">
        <f>"SR-2547"</f>
        <v>SR-2547</v>
      </c>
      <c r="H1709" s="2" t="s">
        <v>8771</v>
      </c>
      <c r="I1709" s="2" t="s">
        <v>8772</v>
      </c>
      <c r="K1709" s="2" t="s">
        <v>8769</v>
      </c>
      <c r="L1709" s="2" t="s">
        <v>200</v>
      </c>
      <c r="M1709" s="2">
        <v>30143.0</v>
      </c>
      <c r="N1709" s="2" t="s">
        <v>21</v>
      </c>
    </row>
    <row r="1710" ht="15.75" customHeight="1">
      <c r="A1710" s="2">
        <v>2014.0</v>
      </c>
      <c r="B1710" s="2" t="s">
        <v>8773</v>
      </c>
      <c r="C1710" s="2" t="s">
        <v>8774</v>
      </c>
      <c r="D1710" s="2" t="str">
        <f>"7707372412"</f>
        <v>7707372412</v>
      </c>
      <c r="E1710" s="2" t="s">
        <v>1810</v>
      </c>
      <c r="F1710" s="2" t="s">
        <v>8766</v>
      </c>
      <c r="G1710" s="2" t="str">
        <f>"SR-2548"</f>
        <v>SR-2548</v>
      </c>
      <c r="H1710" s="2" t="s">
        <v>8775</v>
      </c>
      <c r="I1710" s="2" t="s">
        <v>8776</v>
      </c>
      <c r="K1710" s="2" t="s">
        <v>1915</v>
      </c>
      <c r="L1710" s="2" t="s">
        <v>200</v>
      </c>
      <c r="M1710" s="2">
        <v>30143.0</v>
      </c>
      <c r="N1710" s="2" t="s">
        <v>21</v>
      </c>
    </row>
    <row r="1711" ht="15.75" customHeight="1">
      <c r="A1711" s="2">
        <v>2014.0</v>
      </c>
      <c r="B1711" s="2" t="s">
        <v>8777</v>
      </c>
      <c r="C1711" s="2" t="s">
        <v>8777</v>
      </c>
      <c r="D1711" s="2" t="str">
        <f>"813-931-9640"</f>
        <v>813-931-9640</v>
      </c>
      <c r="E1711" s="2" t="s">
        <v>2412</v>
      </c>
      <c r="F1711" s="2" t="s">
        <v>8778</v>
      </c>
      <c r="G1711" s="2" t="str">
        <f>"SR-2526"</f>
        <v>SR-2526</v>
      </c>
      <c r="H1711" s="2" t="s">
        <v>8779</v>
      </c>
      <c r="I1711" s="2" t="s">
        <v>8780</v>
      </c>
      <c r="K1711" s="2" t="s">
        <v>3431</v>
      </c>
      <c r="L1711" s="2" t="s">
        <v>208</v>
      </c>
      <c r="M1711" s="2">
        <v>33612.0</v>
      </c>
      <c r="N1711" s="2" t="s">
        <v>21</v>
      </c>
    </row>
    <row r="1712" ht="15.75" customHeight="1">
      <c r="A1712" s="2">
        <v>2014.0</v>
      </c>
      <c r="B1712" s="2" t="s">
        <v>8781</v>
      </c>
      <c r="C1712" s="2" t="s">
        <v>8781</v>
      </c>
      <c r="D1712" s="2" t="str">
        <f>"480-619-8099"</f>
        <v>480-619-8099</v>
      </c>
      <c r="E1712" s="2" t="s">
        <v>1263</v>
      </c>
      <c r="F1712" s="2" t="s">
        <v>8782</v>
      </c>
      <c r="G1712" s="2" t="str">
        <f>"SR-2553"</f>
        <v>SR-2553</v>
      </c>
      <c r="H1712" s="2" t="s">
        <v>8783</v>
      </c>
      <c r="I1712" s="2" t="s">
        <v>8784</v>
      </c>
      <c r="K1712" s="2" t="s">
        <v>2841</v>
      </c>
      <c r="L1712" s="2" t="s">
        <v>422</v>
      </c>
      <c r="M1712" s="2">
        <v>85286.0</v>
      </c>
      <c r="N1712" s="2" t="s">
        <v>21</v>
      </c>
    </row>
    <row r="1713" ht="15.75" customHeight="1">
      <c r="A1713" s="2">
        <v>2014.0</v>
      </c>
      <c r="B1713" s="2" t="s">
        <v>8785</v>
      </c>
      <c r="C1713" s="2" t="s">
        <v>8786</v>
      </c>
      <c r="D1713" s="2" t="str">
        <f>"803 528-9002"</f>
        <v>803 528-9002</v>
      </c>
      <c r="E1713" s="2" t="s">
        <v>651</v>
      </c>
      <c r="F1713" s="2" t="s">
        <v>8787</v>
      </c>
      <c r="G1713" s="2" t="str">
        <f>"SR-2560"</f>
        <v>SR-2560</v>
      </c>
      <c r="H1713" s="2" t="s">
        <v>8788</v>
      </c>
      <c r="I1713" s="2" t="s">
        <v>8789</v>
      </c>
      <c r="K1713" s="2" t="s">
        <v>2750</v>
      </c>
      <c r="L1713" s="2" t="s">
        <v>55</v>
      </c>
      <c r="M1713" s="2">
        <v>29212.0</v>
      </c>
      <c r="N1713" s="2" t="s">
        <v>21</v>
      </c>
    </row>
    <row r="1714" ht="15.75" customHeight="1">
      <c r="A1714" s="2">
        <v>2014.0</v>
      </c>
      <c r="B1714" s="2" t="s">
        <v>8790</v>
      </c>
      <c r="C1714" s="2" t="s">
        <v>8791</v>
      </c>
      <c r="D1714" s="2" t="str">
        <f>"214-676-1299"</f>
        <v>214-676-1299</v>
      </c>
      <c r="E1714" s="2" t="s">
        <v>8792</v>
      </c>
      <c r="F1714" s="2" t="s">
        <v>256</v>
      </c>
      <c r="G1714" s="2" t="str">
        <f>"SR-2360"</f>
        <v>SR-2360</v>
      </c>
      <c r="H1714" s="2" t="s">
        <v>8793</v>
      </c>
      <c r="I1714" s="2" t="s">
        <v>8794</v>
      </c>
      <c r="K1714" s="2" t="s">
        <v>357</v>
      </c>
      <c r="L1714" s="2" t="s">
        <v>172</v>
      </c>
      <c r="M1714" s="2">
        <v>75024.0</v>
      </c>
      <c r="N1714" s="2" t="s">
        <v>21</v>
      </c>
    </row>
    <row r="1715" ht="15.75" customHeight="1">
      <c r="A1715" s="2">
        <v>2014.0</v>
      </c>
      <c r="B1715" s="2" t="s">
        <v>8795</v>
      </c>
      <c r="C1715" s="2" t="s">
        <v>8795</v>
      </c>
      <c r="D1715" s="2" t="str">
        <f>"3195410643"</f>
        <v>3195410643</v>
      </c>
      <c r="E1715" s="2" t="s">
        <v>137</v>
      </c>
      <c r="F1715" s="2" t="s">
        <v>8796</v>
      </c>
      <c r="G1715" s="2" t="str">
        <f>"SR-2565"</f>
        <v>SR-2565</v>
      </c>
      <c r="H1715" s="2" t="s">
        <v>8797</v>
      </c>
      <c r="I1715" s="2" t="s">
        <v>8798</v>
      </c>
      <c r="K1715" s="2" t="s">
        <v>8799</v>
      </c>
      <c r="L1715" s="2" t="s">
        <v>560</v>
      </c>
      <c r="M1715" s="2">
        <v>52333.0</v>
      </c>
      <c r="N1715" s="2" t="s">
        <v>21</v>
      </c>
    </row>
    <row r="1716" ht="15.75" customHeight="1">
      <c r="A1716" s="2">
        <v>2014.0</v>
      </c>
      <c r="B1716" s="2" t="s">
        <v>8800</v>
      </c>
      <c r="C1716" s="2" t="s">
        <v>8800</v>
      </c>
      <c r="D1716" s="2" t="str">
        <f>"319-383-8838"</f>
        <v>319-383-8838</v>
      </c>
      <c r="E1716" s="2" t="s">
        <v>843</v>
      </c>
      <c r="F1716" s="2" t="s">
        <v>8796</v>
      </c>
      <c r="G1716" s="2" t="str">
        <f>"SR-2566"</f>
        <v>SR-2566</v>
      </c>
      <c r="H1716" s="2" t="s">
        <v>8801</v>
      </c>
      <c r="I1716" s="2" t="s">
        <v>8798</v>
      </c>
      <c r="K1716" s="2" t="s">
        <v>8799</v>
      </c>
      <c r="L1716" s="2" t="s">
        <v>560</v>
      </c>
      <c r="M1716" s="2">
        <v>52333.0</v>
      </c>
      <c r="N1716" s="2" t="s">
        <v>21</v>
      </c>
    </row>
    <row r="1717" ht="15.75" customHeight="1">
      <c r="A1717" s="2">
        <v>2014.0</v>
      </c>
      <c r="B1717" s="2" t="s">
        <v>8802</v>
      </c>
      <c r="C1717" s="2" t="s">
        <v>8802</v>
      </c>
      <c r="D1717" s="2" t="str">
        <f>"972-335-2920"</f>
        <v>972-335-2920</v>
      </c>
      <c r="E1717" s="2" t="s">
        <v>385</v>
      </c>
      <c r="F1717" s="2" t="s">
        <v>8803</v>
      </c>
      <c r="G1717" s="2" t="str">
        <f>"SR-2401"</f>
        <v>SR-2401</v>
      </c>
      <c r="H1717" s="2" t="s">
        <v>8804</v>
      </c>
      <c r="I1717" s="2" t="s">
        <v>8805</v>
      </c>
      <c r="K1717" s="2" t="s">
        <v>357</v>
      </c>
      <c r="L1717" s="2" t="s">
        <v>172</v>
      </c>
      <c r="M1717" s="2">
        <v>75025.0</v>
      </c>
      <c r="N1717" s="2" t="s">
        <v>21</v>
      </c>
    </row>
    <row r="1718" ht="15.75" customHeight="1">
      <c r="A1718" s="2">
        <v>2014.0</v>
      </c>
      <c r="B1718" s="2" t="s">
        <v>8806</v>
      </c>
      <c r="C1718" s="2" t="s">
        <v>8806</v>
      </c>
      <c r="D1718" s="2" t="str">
        <f>"6028211089"</f>
        <v>6028211089</v>
      </c>
      <c r="E1718" s="2" t="s">
        <v>261</v>
      </c>
      <c r="F1718" s="2" t="s">
        <v>8807</v>
      </c>
      <c r="G1718" s="2" t="str">
        <f>"SR-2554"</f>
        <v>SR-2554</v>
      </c>
      <c r="H1718" s="2" t="s">
        <v>8808</v>
      </c>
      <c r="I1718" s="2" t="s">
        <v>8809</v>
      </c>
      <c r="K1718" s="2" t="s">
        <v>1593</v>
      </c>
      <c r="L1718" s="2" t="s">
        <v>422</v>
      </c>
      <c r="M1718" s="2">
        <v>85254.0</v>
      </c>
      <c r="N1718" s="2" t="s">
        <v>21</v>
      </c>
    </row>
    <row r="1719" ht="15.75" customHeight="1">
      <c r="A1719" s="2">
        <v>2014.0</v>
      </c>
      <c r="B1719" s="2" t="s">
        <v>8810</v>
      </c>
      <c r="D1719" s="2" t="str">
        <f>""</f>
        <v/>
      </c>
      <c r="E1719" s="2" t="s">
        <v>2846</v>
      </c>
      <c r="F1719" s="2" t="s">
        <v>8811</v>
      </c>
      <c r="G1719" s="2" t="str">
        <f>"SR-2573"</f>
        <v>SR-2573</v>
      </c>
      <c r="H1719" s="2" t="s">
        <v>8812</v>
      </c>
      <c r="N1719" s="2" t="s">
        <v>21</v>
      </c>
    </row>
    <row r="1720" ht="15.75" customHeight="1">
      <c r="A1720" s="2">
        <v>2014.0</v>
      </c>
      <c r="B1720" s="2" t="s">
        <v>8813</v>
      </c>
      <c r="C1720" s="2" t="s">
        <v>8814</v>
      </c>
      <c r="D1720" s="2" t="str">
        <f>"7194884389"</f>
        <v>7194884389</v>
      </c>
      <c r="E1720" s="2" t="s">
        <v>8815</v>
      </c>
      <c r="F1720" s="2" t="s">
        <v>639</v>
      </c>
      <c r="G1720" s="2" t="str">
        <f>"SR-371"</f>
        <v>SR-371</v>
      </c>
      <c r="H1720" s="2" t="s">
        <v>8816</v>
      </c>
      <c r="I1720" s="2" t="s">
        <v>8817</v>
      </c>
      <c r="K1720" s="2" t="s">
        <v>507</v>
      </c>
      <c r="L1720" s="2" t="s">
        <v>157</v>
      </c>
      <c r="M1720" s="2">
        <v>80132.0</v>
      </c>
      <c r="N1720" s="2" t="s">
        <v>21</v>
      </c>
    </row>
    <row r="1721" ht="15.75" customHeight="1">
      <c r="A1721" s="2">
        <v>2014.0</v>
      </c>
      <c r="B1721" s="2" t="s">
        <v>8818</v>
      </c>
      <c r="C1721" s="2" t="s">
        <v>8819</v>
      </c>
      <c r="D1721" s="2" t="str">
        <f>"269-626-8128"</f>
        <v>269-626-8128</v>
      </c>
      <c r="E1721" s="2" t="s">
        <v>8820</v>
      </c>
      <c r="F1721" s="2" t="s">
        <v>2868</v>
      </c>
      <c r="G1721" s="2" t="str">
        <f>"SR-2493"</f>
        <v>SR-2493</v>
      </c>
      <c r="H1721" s="2" t="s">
        <v>8821</v>
      </c>
      <c r="I1721" s="2" t="s">
        <v>8822</v>
      </c>
      <c r="K1721" s="2" t="s">
        <v>8823</v>
      </c>
      <c r="L1721" s="2" t="s">
        <v>29</v>
      </c>
      <c r="M1721" s="2">
        <v>49088.0</v>
      </c>
      <c r="N1721" s="2" t="s">
        <v>21</v>
      </c>
    </row>
    <row r="1722" ht="15.75" customHeight="1">
      <c r="A1722" s="2">
        <v>2014.0</v>
      </c>
      <c r="B1722" s="2" t="s">
        <v>8824</v>
      </c>
      <c r="C1722" s="2" t="s">
        <v>8825</v>
      </c>
      <c r="D1722" s="2" t="str">
        <f>"616-240-1341"</f>
        <v>616-240-1341</v>
      </c>
      <c r="E1722" s="2" t="s">
        <v>8826</v>
      </c>
      <c r="F1722" s="2" t="s">
        <v>8827</v>
      </c>
      <c r="G1722" s="2" t="str">
        <f>"SR-2581"</f>
        <v>SR-2581</v>
      </c>
      <c r="H1722" s="2" t="s">
        <v>8828</v>
      </c>
      <c r="I1722" s="2" t="s">
        <v>8829</v>
      </c>
      <c r="K1722" s="2" t="s">
        <v>40</v>
      </c>
      <c r="L1722" s="2" t="s">
        <v>29</v>
      </c>
      <c r="M1722" s="2">
        <v>49546.0</v>
      </c>
      <c r="N1722" s="2" t="s">
        <v>21</v>
      </c>
    </row>
    <row r="1723" ht="15.75" customHeight="1">
      <c r="A1723" s="2">
        <v>2014.0</v>
      </c>
      <c r="B1723" s="2" t="s">
        <v>8830</v>
      </c>
      <c r="C1723" s="2" t="s">
        <v>8831</v>
      </c>
      <c r="D1723" s="2" t="str">
        <f>"858-243-5136"</f>
        <v>858-243-5136</v>
      </c>
      <c r="E1723" s="2" t="s">
        <v>267</v>
      </c>
      <c r="F1723" s="2" t="s">
        <v>2378</v>
      </c>
      <c r="G1723" s="2" t="str">
        <f>"SR-2555"</f>
        <v>SR-2555</v>
      </c>
      <c r="H1723" s="2" t="s">
        <v>8832</v>
      </c>
      <c r="I1723" s="2" t="s">
        <v>8833</v>
      </c>
      <c r="K1723" s="2" t="s">
        <v>8673</v>
      </c>
      <c r="L1723" s="2" t="s">
        <v>222</v>
      </c>
      <c r="M1723" s="2">
        <v>92040.0</v>
      </c>
      <c r="N1723" s="2" t="s">
        <v>21</v>
      </c>
    </row>
    <row r="1724" ht="15.75" customHeight="1">
      <c r="A1724" s="2">
        <v>2014.0</v>
      </c>
      <c r="B1724" s="2" t="s">
        <v>8834</v>
      </c>
      <c r="C1724" s="2" t="s">
        <v>8835</v>
      </c>
      <c r="D1724" s="2" t="str">
        <f>"719-210-9236"</f>
        <v>719-210-9236</v>
      </c>
      <c r="E1724" s="2" t="s">
        <v>862</v>
      </c>
      <c r="F1724" s="2" t="s">
        <v>8836</v>
      </c>
      <c r="G1724" s="2" t="str">
        <f>"SR-2564"</f>
        <v>SR-2564</v>
      </c>
      <c r="H1724" s="2" t="s">
        <v>8837</v>
      </c>
      <c r="I1724" s="2" t="s">
        <v>8838</v>
      </c>
      <c r="K1724" s="2" t="s">
        <v>809</v>
      </c>
      <c r="L1724" s="2" t="s">
        <v>157</v>
      </c>
      <c r="M1724" s="2">
        <v>80923.0</v>
      </c>
      <c r="N1724" s="2" t="s">
        <v>21</v>
      </c>
    </row>
    <row r="1725" ht="15.75" customHeight="1">
      <c r="A1725" s="2">
        <v>2014.0</v>
      </c>
      <c r="B1725" s="2" t="s">
        <v>8839</v>
      </c>
      <c r="C1725" s="2" t="s">
        <v>8839</v>
      </c>
      <c r="D1725" s="2" t="str">
        <f>"3177556763"</f>
        <v>3177556763</v>
      </c>
      <c r="E1725" s="2" t="s">
        <v>590</v>
      </c>
      <c r="F1725" s="2" t="s">
        <v>8840</v>
      </c>
      <c r="G1725" s="2" t="str">
        <f>"SR-2487"</f>
        <v>SR-2487</v>
      </c>
      <c r="H1725" s="2" t="s">
        <v>8841</v>
      </c>
      <c r="I1725" s="2" t="s">
        <v>8842</v>
      </c>
      <c r="K1725" s="2" t="s">
        <v>1188</v>
      </c>
      <c r="L1725" s="2" t="s">
        <v>149</v>
      </c>
      <c r="M1725" s="2">
        <v>46256.0</v>
      </c>
      <c r="N1725" s="2" t="s">
        <v>21</v>
      </c>
    </row>
    <row r="1726" ht="15.75" customHeight="1">
      <c r="A1726" s="2">
        <v>2014.0</v>
      </c>
      <c r="B1726" s="2" t="s">
        <v>8843</v>
      </c>
      <c r="D1726" s="2" t="str">
        <f>""</f>
        <v/>
      </c>
      <c r="E1726" s="2" t="s">
        <v>580</v>
      </c>
      <c r="F1726" s="2" t="s">
        <v>8844</v>
      </c>
      <c r="G1726" s="2" t="str">
        <f>"SR-2586"</f>
        <v>SR-2586</v>
      </c>
      <c r="H1726" s="2" t="s">
        <v>8845</v>
      </c>
      <c r="N1726" s="2" t="s">
        <v>21</v>
      </c>
    </row>
    <row r="1727" ht="15.75" customHeight="1">
      <c r="A1727" s="2">
        <v>2014.0</v>
      </c>
      <c r="B1727" s="2" t="s">
        <v>8846</v>
      </c>
      <c r="C1727" s="2" t="s">
        <v>8846</v>
      </c>
      <c r="D1727" s="2" t="str">
        <f>"847-915-1576"</f>
        <v>847-915-1576</v>
      </c>
      <c r="E1727" s="2" t="s">
        <v>239</v>
      </c>
      <c r="F1727" s="2" t="s">
        <v>8847</v>
      </c>
      <c r="G1727" s="2" t="str">
        <f>"SR-2430"</f>
        <v>SR-2430</v>
      </c>
      <c r="H1727" s="2" t="s">
        <v>8848</v>
      </c>
      <c r="I1727" s="2" t="s">
        <v>8849</v>
      </c>
      <c r="K1727" s="2" t="s">
        <v>5946</v>
      </c>
      <c r="L1727" s="2" t="s">
        <v>422</v>
      </c>
      <c r="M1727" s="2">
        <v>85750.0</v>
      </c>
      <c r="N1727" s="2" t="s">
        <v>21</v>
      </c>
    </row>
    <row r="1728" ht="15.75" customHeight="1">
      <c r="A1728" s="2">
        <v>2014.0</v>
      </c>
      <c r="B1728" s="2" t="s">
        <v>8850</v>
      </c>
      <c r="C1728" s="2" t="s">
        <v>8850</v>
      </c>
      <c r="D1728" s="2" t="str">
        <f>"(512)963-4909"</f>
        <v>(512)963-4909</v>
      </c>
      <c r="E1728" s="2" t="s">
        <v>137</v>
      </c>
      <c r="F1728" s="2" t="s">
        <v>3385</v>
      </c>
      <c r="G1728" s="2" t="str">
        <f>"SR-2587"</f>
        <v>SR-2587</v>
      </c>
      <c r="H1728" s="2" t="s">
        <v>8851</v>
      </c>
      <c r="I1728" s="2" t="s">
        <v>8852</v>
      </c>
      <c r="K1728" s="2" t="s">
        <v>3273</v>
      </c>
      <c r="L1728" s="2" t="s">
        <v>560</v>
      </c>
      <c r="M1728" s="2">
        <v>52402.0</v>
      </c>
      <c r="N1728" s="2" t="s">
        <v>21</v>
      </c>
    </row>
    <row r="1729" ht="15.75" customHeight="1">
      <c r="A1729" s="2">
        <v>2014.0</v>
      </c>
      <c r="B1729" s="2" t="s">
        <v>8853</v>
      </c>
      <c r="C1729" s="2" t="s">
        <v>8854</v>
      </c>
      <c r="D1729" s="2" t="str">
        <f>"281-702-1607"</f>
        <v>281-702-1607</v>
      </c>
      <c r="E1729" s="2" t="s">
        <v>250</v>
      </c>
      <c r="F1729" s="2" t="s">
        <v>8855</v>
      </c>
      <c r="G1729" s="2" t="str">
        <f>"SR-2600"</f>
        <v>SR-2600</v>
      </c>
      <c r="H1729" s="2" t="s">
        <v>8856</v>
      </c>
      <c r="I1729" s="2" t="s">
        <v>8857</v>
      </c>
      <c r="K1729" s="2" t="s">
        <v>2182</v>
      </c>
      <c r="L1729" s="2" t="s">
        <v>172</v>
      </c>
      <c r="M1729" s="2">
        <v>77478.0</v>
      </c>
      <c r="N1729" s="2" t="s">
        <v>21</v>
      </c>
    </row>
    <row r="1730" ht="15.75" customHeight="1">
      <c r="A1730" s="2">
        <v>2014.0</v>
      </c>
      <c r="B1730" s="2" t="s">
        <v>8858</v>
      </c>
      <c r="C1730" s="2" t="s">
        <v>8859</v>
      </c>
      <c r="D1730" s="2" t="str">
        <f>"406-849-5413"</f>
        <v>406-849-5413</v>
      </c>
      <c r="E1730" s="2" t="s">
        <v>3977</v>
      </c>
      <c r="F1730" s="2" t="s">
        <v>1929</v>
      </c>
      <c r="G1730" s="2" t="str">
        <f>"SR-2597"</f>
        <v>SR-2597</v>
      </c>
      <c r="H1730" s="2" t="s">
        <v>8860</v>
      </c>
      <c r="I1730" s="2" t="s">
        <v>8861</v>
      </c>
      <c r="K1730" s="2" t="s">
        <v>8862</v>
      </c>
      <c r="L1730" s="2" t="s">
        <v>2696</v>
      </c>
      <c r="M1730" s="2">
        <v>59860.0</v>
      </c>
      <c r="N1730" s="2" t="s">
        <v>21</v>
      </c>
    </row>
    <row r="1731" ht="15.75" customHeight="1">
      <c r="A1731" s="2">
        <v>2014.0</v>
      </c>
      <c r="B1731" s="2" t="s">
        <v>8863</v>
      </c>
      <c r="C1731" s="2" t="s">
        <v>8864</v>
      </c>
      <c r="D1731" s="2" t="str">
        <f>"406 681-3127"</f>
        <v>406 681-3127</v>
      </c>
      <c r="E1731" s="2" t="s">
        <v>36</v>
      </c>
      <c r="F1731" s="2" t="s">
        <v>3716</v>
      </c>
      <c r="G1731" s="2" t="str">
        <f>"SR-2602"</f>
        <v>SR-2602</v>
      </c>
      <c r="H1731" s="2" t="s">
        <v>8865</v>
      </c>
      <c r="I1731" s="2" t="s">
        <v>8866</v>
      </c>
      <c r="K1731" s="2" t="s">
        <v>6792</v>
      </c>
      <c r="L1731" s="2" t="s">
        <v>2696</v>
      </c>
      <c r="M1731" s="2">
        <v>95725.0</v>
      </c>
      <c r="N1731" s="2" t="s">
        <v>21</v>
      </c>
    </row>
    <row r="1732" ht="15.75" customHeight="1">
      <c r="A1732" s="2">
        <v>2014.0</v>
      </c>
      <c r="B1732" s="2" t="s">
        <v>8867</v>
      </c>
      <c r="C1732" s="2" t="s">
        <v>8867</v>
      </c>
      <c r="D1732" s="2" t="str">
        <f>"8067787933"</f>
        <v>8067787933</v>
      </c>
      <c r="E1732" s="2" t="s">
        <v>1164</v>
      </c>
      <c r="F1732" s="2" t="s">
        <v>8868</v>
      </c>
      <c r="G1732" s="2" t="str">
        <f>"SR-2601"</f>
        <v>SR-2601</v>
      </c>
      <c r="H1732" s="2" t="s">
        <v>8869</v>
      </c>
      <c r="I1732" s="2" t="s">
        <v>8870</v>
      </c>
      <c r="K1732" s="2" t="s">
        <v>1121</v>
      </c>
      <c r="L1732" s="2" t="s">
        <v>172</v>
      </c>
      <c r="M1732" s="2">
        <v>79407.0</v>
      </c>
      <c r="N1732" s="2" t="s">
        <v>21</v>
      </c>
    </row>
    <row r="1733" ht="15.75" customHeight="1">
      <c r="A1733" s="2">
        <v>2014.0</v>
      </c>
      <c r="B1733" s="2" t="s">
        <v>8871</v>
      </c>
      <c r="C1733" s="2" t="s">
        <v>8872</v>
      </c>
      <c r="D1733" s="2" t="str">
        <f>"720-870-2761"</f>
        <v>720-870-2761</v>
      </c>
      <c r="E1733" s="2" t="s">
        <v>1032</v>
      </c>
      <c r="F1733" s="2" t="s">
        <v>8873</v>
      </c>
      <c r="G1733" s="2" t="str">
        <f>"SR-2509"</f>
        <v>SR-2509</v>
      </c>
      <c r="H1733" s="2" t="s">
        <v>8874</v>
      </c>
      <c r="I1733" s="2" t="s">
        <v>8875</v>
      </c>
      <c r="K1733" s="2" t="s">
        <v>1520</v>
      </c>
      <c r="L1733" s="2" t="s">
        <v>157</v>
      </c>
      <c r="M1733" s="2">
        <v>80013.0</v>
      </c>
      <c r="N1733" s="2" t="s">
        <v>21</v>
      </c>
    </row>
    <row r="1734" ht="15.75" customHeight="1">
      <c r="A1734" s="2">
        <v>2014.0</v>
      </c>
      <c r="B1734" s="2" t="s">
        <v>8876</v>
      </c>
      <c r="C1734" s="2" t="s">
        <v>8876</v>
      </c>
      <c r="D1734" s="2" t="str">
        <f>"719-282-3069"</f>
        <v>719-282-3069</v>
      </c>
      <c r="E1734" s="2" t="s">
        <v>339</v>
      </c>
      <c r="F1734" s="2" t="s">
        <v>8877</v>
      </c>
      <c r="G1734" s="2" t="str">
        <f>"SR-2606"</f>
        <v>SR-2606</v>
      </c>
      <c r="H1734" s="2" t="s">
        <v>8878</v>
      </c>
      <c r="I1734" s="2" t="s">
        <v>8879</v>
      </c>
      <c r="K1734" s="2" t="s">
        <v>809</v>
      </c>
      <c r="L1734" s="2" t="s">
        <v>157</v>
      </c>
      <c r="M1734" s="2">
        <v>80920.0</v>
      </c>
      <c r="N1734" s="2" t="s">
        <v>21</v>
      </c>
    </row>
    <row r="1735" ht="15.75" customHeight="1">
      <c r="A1735" s="2">
        <v>2014.0</v>
      </c>
      <c r="B1735" s="2" t="s">
        <v>8880</v>
      </c>
      <c r="C1735" s="2" t="s">
        <v>8880</v>
      </c>
      <c r="D1735" s="2" t="str">
        <f>"3035823832"</f>
        <v>3035823832</v>
      </c>
      <c r="E1735" s="2" t="s">
        <v>239</v>
      </c>
      <c r="F1735" s="2" t="s">
        <v>8881</v>
      </c>
      <c r="G1735" s="2" t="str">
        <f>"SR-2608"</f>
        <v>SR-2608</v>
      </c>
      <c r="H1735" s="2" t="s">
        <v>8882</v>
      </c>
      <c r="I1735" s="2" t="s">
        <v>8883</v>
      </c>
      <c r="K1735" s="2" t="s">
        <v>8884</v>
      </c>
      <c r="L1735" s="2" t="s">
        <v>157</v>
      </c>
      <c r="M1735" s="2">
        <v>80422.0</v>
      </c>
      <c r="N1735" s="2" t="s">
        <v>21</v>
      </c>
    </row>
    <row r="1736" ht="15.75" customHeight="1">
      <c r="A1736" s="2">
        <v>2014.0</v>
      </c>
      <c r="B1736" s="2" t="s">
        <v>7481</v>
      </c>
      <c r="C1736" s="2" t="s">
        <v>7482</v>
      </c>
      <c r="D1736" s="2" t="str">
        <f>"320-485-3813"</f>
        <v>320-485-3813</v>
      </c>
      <c r="E1736" s="2" t="s">
        <v>1208</v>
      </c>
      <c r="F1736" s="2" t="s">
        <v>7483</v>
      </c>
      <c r="G1736" s="2" t="str">
        <f>"SR-1955"</f>
        <v>SR-1955</v>
      </c>
      <c r="H1736" s="2" t="s">
        <v>7484</v>
      </c>
      <c r="I1736" s="2" t="s">
        <v>7485</v>
      </c>
      <c r="K1736" s="2" t="s">
        <v>7486</v>
      </c>
      <c r="L1736" s="2" t="s">
        <v>62</v>
      </c>
      <c r="M1736" s="2">
        <v>55395.0</v>
      </c>
      <c r="N1736" s="2" t="s">
        <v>21</v>
      </c>
    </row>
    <row r="1737" ht="15.75" customHeight="1">
      <c r="A1737" s="2">
        <v>2014.0</v>
      </c>
      <c r="B1737" s="2" t="s">
        <v>8885</v>
      </c>
      <c r="C1737" s="2" t="s">
        <v>8886</v>
      </c>
      <c r="D1737" s="2" t="str">
        <f>"319-378-0260"</f>
        <v>319-378-0260</v>
      </c>
      <c r="E1737" s="2" t="s">
        <v>8887</v>
      </c>
      <c r="F1737" s="2" t="s">
        <v>8888</v>
      </c>
      <c r="G1737" s="2" t="str">
        <f>"SR-2607"</f>
        <v>SR-2607</v>
      </c>
      <c r="H1737" s="2" t="s">
        <v>8889</v>
      </c>
      <c r="I1737" s="2" t="s">
        <v>8890</v>
      </c>
      <c r="K1737" s="2" t="s">
        <v>8891</v>
      </c>
      <c r="L1737" s="2" t="s">
        <v>560</v>
      </c>
      <c r="M1737" s="2">
        <v>52233.0</v>
      </c>
      <c r="N1737" s="2" t="s">
        <v>21</v>
      </c>
    </row>
    <row r="1738" ht="15.75" customHeight="1">
      <c r="A1738" s="2">
        <v>2014.0</v>
      </c>
      <c r="B1738" s="2" t="s">
        <v>8892</v>
      </c>
      <c r="C1738" s="2" t="s">
        <v>8892</v>
      </c>
      <c r="D1738" s="2" t="str">
        <f>"1-434-842-1177"</f>
        <v>1-434-842-1177</v>
      </c>
      <c r="E1738" s="2" t="s">
        <v>8893</v>
      </c>
      <c r="F1738" s="2" t="s">
        <v>8894</v>
      </c>
      <c r="G1738" s="2" t="str">
        <f>"SR-2538"</f>
        <v>SR-2538</v>
      </c>
      <c r="H1738" s="2" t="s">
        <v>8895</v>
      </c>
      <c r="I1738" s="2" t="s">
        <v>8896</v>
      </c>
      <c r="K1738" s="2" t="s">
        <v>8897</v>
      </c>
      <c r="L1738" s="2" t="s">
        <v>165</v>
      </c>
      <c r="M1738" s="2">
        <v>22963.0</v>
      </c>
      <c r="N1738" s="2" t="s">
        <v>21</v>
      </c>
    </row>
    <row r="1739" ht="15.75" customHeight="1">
      <c r="A1739" s="2">
        <v>2014.0</v>
      </c>
      <c r="B1739" s="2" t="s">
        <v>8898</v>
      </c>
      <c r="C1739" s="2" t="s">
        <v>8899</v>
      </c>
      <c r="D1739" s="2" t="str">
        <f>"319-364-1680"</f>
        <v>319-364-1680</v>
      </c>
      <c r="E1739" s="2" t="s">
        <v>8900</v>
      </c>
      <c r="F1739" s="2" t="s">
        <v>8901</v>
      </c>
      <c r="G1739" s="2" t="str">
        <f>"SR-2592"</f>
        <v>SR-2592</v>
      </c>
      <c r="H1739" s="2" t="s">
        <v>8902</v>
      </c>
      <c r="I1739" s="2" t="s">
        <v>8903</v>
      </c>
      <c r="K1739" s="2" t="s">
        <v>3273</v>
      </c>
      <c r="L1739" s="2" t="s">
        <v>560</v>
      </c>
      <c r="M1739" s="2">
        <v>52403.0</v>
      </c>
      <c r="N1739" s="2" t="s">
        <v>21</v>
      </c>
    </row>
    <row r="1740" ht="15.75" customHeight="1">
      <c r="A1740" s="2">
        <v>2014.0</v>
      </c>
      <c r="B1740" s="2" t="s">
        <v>8904</v>
      </c>
      <c r="C1740" s="2" t="s">
        <v>8905</v>
      </c>
      <c r="D1740" s="2" t="str">
        <f>"319-857-5388"</f>
        <v>319-857-5388</v>
      </c>
      <c r="E1740" s="2" t="s">
        <v>1263</v>
      </c>
      <c r="F1740" s="2" t="s">
        <v>8906</v>
      </c>
      <c r="G1740" s="2" t="str">
        <f>"SR-2615"</f>
        <v>SR-2615</v>
      </c>
      <c r="H1740" s="2" t="s">
        <v>8907</v>
      </c>
      <c r="I1740" s="2" t="s">
        <v>8908</v>
      </c>
      <c r="K1740" s="2" t="s">
        <v>8909</v>
      </c>
      <c r="L1740" s="2" t="s">
        <v>560</v>
      </c>
      <c r="M1740" s="2">
        <v>52338.0</v>
      </c>
      <c r="N1740" s="2" t="s">
        <v>21</v>
      </c>
    </row>
    <row r="1741" ht="15.75" customHeight="1">
      <c r="A1741" s="2">
        <v>2014.0</v>
      </c>
      <c r="B1741" s="2" t="s">
        <v>8910</v>
      </c>
      <c r="C1741" s="2" t="s">
        <v>8910</v>
      </c>
      <c r="D1741" s="2" t="str">
        <f>"303-887-5705"</f>
        <v>303-887-5705</v>
      </c>
      <c r="E1741" s="2" t="s">
        <v>843</v>
      </c>
      <c r="F1741" s="2" t="s">
        <v>8911</v>
      </c>
      <c r="G1741" s="2" t="str">
        <f>"SR-2617"</f>
        <v>SR-2617</v>
      </c>
      <c r="H1741" s="2" t="s">
        <v>8912</v>
      </c>
      <c r="I1741" s="2" t="s">
        <v>8913</v>
      </c>
      <c r="K1741" s="2" t="s">
        <v>1223</v>
      </c>
      <c r="L1741" s="2" t="s">
        <v>157</v>
      </c>
      <c r="M1741" s="2">
        <v>80433.0</v>
      </c>
      <c r="N1741" s="2" t="s">
        <v>21</v>
      </c>
    </row>
    <row r="1742" ht="15.75" customHeight="1">
      <c r="A1742" s="2">
        <v>2014.0</v>
      </c>
      <c r="B1742" s="2" t="s">
        <v>8914</v>
      </c>
      <c r="C1742" s="2" t="s">
        <v>8914</v>
      </c>
      <c r="D1742" s="2" t="str">
        <f>"614-581-0838"</f>
        <v>614-581-0838</v>
      </c>
      <c r="E1742" s="2" t="s">
        <v>1782</v>
      </c>
      <c r="F1742" s="2" t="s">
        <v>8915</v>
      </c>
      <c r="G1742" s="2" t="str">
        <f>"SR-2561"</f>
        <v>SR-2561</v>
      </c>
      <c r="H1742" s="2" t="s">
        <v>8916</v>
      </c>
      <c r="I1742" s="2" t="s">
        <v>8917</v>
      </c>
      <c r="K1742" s="2" t="s">
        <v>3273</v>
      </c>
      <c r="L1742" s="2" t="s">
        <v>560</v>
      </c>
      <c r="M1742" s="2">
        <v>52402.0</v>
      </c>
      <c r="N1742" s="2" t="s">
        <v>21</v>
      </c>
    </row>
    <row r="1743" ht="15.75" customHeight="1">
      <c r="A1743" s="2">
        <v>2014.0</v>
      </c>
      <c r="B1743" s="2" t="s">
        <v>8918</v>
      </c>
      <c r="C1743" s="2" t="s">
        <v>8919</v>
      </c>
      <c r="D1743" s="2" t="str">
        <f>"515-265-7643"</f>
        <v>515-265-7643</v>
      </c>
      <c r="E1743" s="2" t="s">
        <v>301</v>
      </c>
      <c r="F1743" s="2" t="s">
        <v>8920</v>
      </c>
      <c r="G1743" s="2" t="str">
        <f>"SR-2618"</f>
        <v>SR-2618</v>
      </c>
      <c r="H1743" s="2" t="s">
        <v>8921</v>
      </c>
      <c r="I1743" s="2" t="s">
        <v>8922</v>
      </c>
      <c r="K1743" s="2" t="s">
        <v>8923</v>
      </c>
      <c r="L1743" s="2" t="s">
        <v>560</v>
      </c>
      <c r="M1743" s="2">
        <v>50327.0</v>
      </c>
      <c r="N1743" s="2" t="s">
        <v>21</v>
      </c>
    </row>
    <row r="1744" ht="15.75" customHeight="1">
      <c r="A1744" s="2">
        <v>2014.0</v>
      </c>
      <c r="B1744" s="2" t="s">
        <v>8924</v>
      </c>
      <c r="C1744" s="2" t="s">
        <v>8924</v>
      </c>
      <c r="D1744" s="2" t="str">
        <f>"3193957922"</f>
        <v>3193957922</v>
      </c>
      <c r="E1744" s="2" t="s">
        <v>6273</v>
      </c>
      <c r="F1744" s="2" t="s">
        <v>8925</v>
      </c>
      <c r="G1744" s="2" t="str">
        <f>"SR-2620"</f>
        <v>SR-2620</v>
      </c>
      <c r="H1744" s="2" t="s">
        <v>8926</v>
      </c>
      <c r="I1744" s="2" t="s">
        <v>8927</v>
      </c>
      <c r="K1744" s="2" t="s">
        <v>8891</v>
      </c>
      <c r="L1744" s="2" t="s">
        <v>560</v>
      </c>
      <c r="M1744" s="2">
        <v>52233.0</v>
      </c>
      <c r="N1744" s="2" t="s">
        <v>21</v>
      </c>
    </row>
    <row r="1745" ht="15.75" customHeight="1">
      <c r="A1745" s="2">
        <v>2014.0</v>
      </c>
      <c r="B1745" s="2" t="s">
        <v>8928</v>
      </c>
      <c r="C1745" s="2" t="s">
        <v>8929</v>
      </c>
      <c r="D1745" s="2" t="str">
        <f>"319-389-9235"</f>
        <v>319-389-9235</v>
      </c>
      <c r="E1745" s="2" t="s">
        <v>8930</v>
      </c>
      <c r="F1745" s="2" t="s">
        <v>8931</v>
      </c>
      <c r="G1745" s="2" t="str">
        <f>"SR-2568"</f>
        <v>SR-2568</v>
      </c>
      <c r="H1745" s="2" t="s">
        <v>8932</v>
      </c>
      <c r="I1745" s="2" t="s">
        <v>8933</v>
      </c>
      <c r="K1745" s="2" t="s">
        <v>3273</v>
      </c>
      <c r="L1745" s="2" t="s">
        <v>560</v>
      </c>
      <c r="M1745" s="2">
        <v>52402.0</v>
      </c>
      <c r="N1745" s="2" t="s">
        <v>21</v>
      </c>
    </row>
    <row r="1746" ht="15.75" customHeight="1">
      <c r="A1746" s="2">
        <v>2014.0</v>
      </c>
      <c r="B1746" s="2" t="s">
        <v>8934</v>
      </c>
      <c r="C1746" s="2" t="s">
        <v>8934</v>
      </c>
      <c r="D1746" s="2" t="str">
        <f>"319-438-6400"</f>
        <v>319-438-6400</v>
      </c>
      <c r="E1746" s="2" t="s">
        <v>5732</v>
      </c>
      <c r="F1746" s="2" t="s">
        <v>1929</v>
      </c>
      <c r="G1746" s="2" t="str">
        <f>"SR-2623"</f>
        <v>SR-2623</v>
      </c>
      <c r="H1746" s="2" t="s">
        <v>8935</v>
      </c>
      <c r="I1746" s="2" t="s">
        <v>8936</v>
      </c>
      <c r="J1746" s="2" t="s">
        <v>8937</v>
      </c>
      <c r="K1746" s="2" t="s">
        <v>8938</v>
      </c>
      <c r="L1746" s="2" t="s">
        <v>560</v>
      </c>
      <c r="M1746" s="2">
        <v>52214.0</v>
      </c>
      <c r="N1746" s="2" t="s">
        <v>21</v>
      </c>
    </row>
    <row r="1747" ht="15.75" customHeight="1">
      <c r="A1747" s="2">
        <v>2014.0</v>
      </c>
      <c r="B1747" s="2" t="s">
        <v>8939</v>
      </c>
      <c r="C1747" s="2" t="s">
        <v>8940</v>
      </c>
      <c r="D1747" s="2" t="str">
        <f>"303-805-2658"</f>
        <v>303-805-2658</v>
      </c>
      <c r="E1747" s="2" t="s">
        <v>843</v>
      </c>
      <c r="F1747" s="2" t="s">
        <v>8941</v>
      </c>
      <c r="G1747" s="2" t="str">
        <f>"SR-2395"</f>
        <v>SR-2395</v>
      </c>
      <c r="H1747" s="2" t="s">
        <v>8942</v>
      </c>
      <c r="I1747" s="2" t="s">
        <v>8943</v>
      </c>
      <c r="K1747" s="2" t="s">
        <v>1054</v>
      </c>
      <c r="L1747" s="2" t="s">
        <v>157</v>
      </c>
      <c r="M1747" s="2">
        <v>80138.0</v>
      </c>
      <c r="N1747" s="2" t="s">
        <v>21</v>
      </c>
    </row>
    <row r="1748" ht="15.75" customHeight="1">
      <c r="A1748" s="2">
        <v>2014.0</v>
      </c>
      <c r="B1748" s="2" t="s">
        <v>8944</v>
      </c>
      <c r="C1748" s="2" t="s">
        <v>8944</v>
      </c>
      <c r="D1748" s="2" t="str">
        <f>"9209046788"</f>
        <v>9209046788</v>
      </c>
      <c r="E1748" s="2" t="s">
        <v>160</v>
      </c>
      <c r="F1748" s="2" t="s">
        <v>8945</v>
      </c>
      <c r="G1748" s="2" t="str">
        <f>"SR-2622"</f>
        <v>SR-2622</v>
      </c>
      <c r="H1748" s="2" t="s">
        <v>8946</v>
      </c>
      <c r="I1748" s="2" t="s">
        <v>8947</v>
      </c>
      <c r="K1748" s="2" t="s">
        <v>192</v>
      </c>
      <c r="L1748" s="2" t="s">
        <v>193</v>
      </c>
      <c r="M1748" s="2">
        <v>54935.0</v>
      </c>
      <c r="N1748" s="2" t="s">
        <v>21</v>
      </c>
    </row>
    <row r="1749" ht="15.75" customHeight="1">
      <c r="A1749" s="2">
        <v>2014.0</v>
      </c>
      <c r="B1749" s="2" t="s">
        <v>8948</v>
      </c>
      <c r="C1749" s="2" t="s">
        <v>8948</v>
      </c>
      <c r="D1749" s="2" t="str">
        <f>"72724497815"</f>
        <v>72724497815</v>
      </c>
      <c r="E1749" s="2" t="s">
        <v>8386</v>
      </c>
      <c r="F1749" s="2" t="s">
        <v>8949</v>
      </c>
      <c r="G1749" s="2" t="str">
        <f>"SR-2637"</f>
        <v>SR-2637</v>
      </c>
      <c r="H1749" s="2" t="s">
        <v>8950</v>
      </c>
      <c r="I1749" s="2" t="s">
        <v>8951</v>
      </c>
      <c r="K1749" s="2" t="s">
        <v>414</v>
      </c>
      <c r="L1749" s="2" t="s">
        <v>208</v>
      </c>
      <c r="M1749" s="2">
        <v>33777.0</v>
      </c>
      <c r="N1749" s="2" t="s">
        <v>21</v>
      </c>
    </row>
    <row r="1750" ht="15.75" customHeight="1">
      <c r="A1750" s="2">
        <v>2014.0</v>
      </c>
      <c r="B1750" s="2" t="s">
        <v>8952</v>
      </c>
      <c r="C1750" s="2" t="s">
        <v>8952</v>
      </c>
      <c r="D1750" s="2" t="str">
        <f>"8175561888"</f>
        <v>8175561888</v>
      </c>
      <c r="E1750" s="2" t="s">
        <v>1782</v>
      </c>
      <c r="F1750" s="2" t="s">
        <v>8953</v>
      </c>
      <c r="G1750" s="2" t="str">
        <f>"SR-2636"</f>
        <v>SR-2636</v>
      </c>
      <c r="H1750" s="2" t="s">
        <v>8954</v>
      </c>
      <c r="I1750" s="2" t="s">
        <v>8955</v>
      </c>
      <c r="K1750" s="2" t="s">
        <v>8956</v>
      </c>
      <c r="L1750" s="2" t="s">
        <v>172</v>
      </c>
      <c r="M1750" s="2">
        <v>76033.0</v>
      </c>
      <c r="N1750" s="2" t="s">
        <v>21</v>
      </c>
    </row>
    <row r="1751" ht="15.75" customHeight="1">
      <c r="A1751" s="2">
        <v>2014.0</v>
      </c>
      <c r="B1751" s="2" t="s">
        <v>8957</v>
      </c>
      <c r="C1751" s="2" t="s">
        <v>8958</v>
      </c>
      <c r="D1751" s="2" t="str">
        <f>"6262050446"</f>
        <v>6262050446</v>
      </c>
      <c r="E1751" s="2" t="s">
        <v>8959</v>
      </c>
      <c r="F1751" s="2" t="s">
        <v>8960</v>
      </c>
      <c r="G1751" s="2" t="str">
        <f>"SR-2539"</f>
        <v>SR-2539</v>
      </c>
      <c r="H1751" s="2" t="s">
        <v>8961</v>
      </c>
      <c r="I1751" s="2" t="s">
        <v>8962</v>
      </c>
      <c r="K1751" s="2" t="s">
        <v>8558</v>
      </c>
      <c r="L1751" s="2" t="s">
        <v>222</v>
      </c>
      <c r="M1751" s="2">
        <v>91007.0</v>
      </c>
      <c r="N1751" s="2" t="s">
        <v>21</v>
      </c>
    </row>
    <row r="1752" ht="15.75" customHeight="1">
      <c r="A1752" s="2">
        <v>2014.0</v>
      </c>
      <c r="B1752" s="2" t="s">
        <v>5589</v>
      </c>
      <c r="C1752" s="2" t="s">
        <v>8963</v>
      </c>
      <c r="D1752" s="2" t="str">
        <f>"319-373-8825"</f>
        <v>319-373-8825</v>
      </c>
      <c r="E1752" s="2" t="s">
        <v>50</v>
      </c>
      <c r="F1752" s="2" t="s">
        <v>5590</v>
      </c>
      <c r="G1752" s="2" t="str">
        <f>"SR-2616"</f>
        <v>SR-2616</v>
      </c>
      <c r="H1752" s="2" t="s">
        <v>8964</v>
      </c>
      <c r="I1752" s="2" t="s">
        <v>8965</v>
      </c>
      <c r="K1752" s="2" t="s">
        <v>3493</v>
      </c>
      <c r="L1752" s="2" t="s">
        <v>560</v>
      </c>
      <c r="M1752" s="2">
        <v>52302.0</v>
      </c>
      <c r="N1752" s="2" t="s">
        <v>21</v>
      </c>
    </row>
    <row r="1753" ht="15.75" customHeight="1">
      <c r="A1753" s="2">
        <v>2014.0</v>
      </c>
      <c r="B1753" s="2" t="s">
        <v>8966</v>
      </c>
      <c r="C1753" s="2" t="s">
        <v>8966</v>
      </c>
      <c r="D1753" s="2" t="str">
        <f>"5135937770"</f>
        <v>5135937770</v>
      </c>
      <c r="E1753" s="2" t="s">
        <v>386</v>
      </c>
      <c r="F1753" s="2" t="s">
        <v>3320</v>
      </c>
      <c r="G1753" s="2" t="str">
        <f>"SR-2624"</f>
        <v>SR-2624</v>
      </c>
      <c r="H1753" s="2" t="s">
        <v>8967</v>
      </c>
      <c r="I1753" s="2" t="s">
        <v>8968</v>
      </c>
      <c r="K1753" s="2" t="s">
        <v>8969</v>
      </c>
      <c r="L1753" s="2" t="s">
        <v>763</v>
      </c>
      <c r="M1753" s="2">
        <v>84060.0</v>
      </c>
      <c r="N1753" s="2" t="s">
        <v>21</v>
      </c>
    </row>
    <row r="1754" ht="15.75" customHeight="1">
      <c r="A1754" s="2">
        <v>2014.0</v>
      </c>
      <c r="B1754" s="2" t="s">
        <v>8970</v>
      </c>
      <c r="C1754" s="2" t="s">
        <v>8971</v>
      </c>
      <c r="D1754" s="2" t="str">
        <f>"319-826-1436"</f>
        <v>319-826-1436</v>
      </c>
      <c r="E1754" s="2" t="s">
        <v>4224</v>
      </c>
      <c r="F1754" s="2" t="s">
        <v>8972</v>
      </c>
      <c r="G1754" s="2" t="str">
        <f>"SR-2640"</f>
        <v>SR-2640</v>
      </c>
      <c r="H1754" s="2" t="s">
        <v>8973</v>
      </c>
      <c r="I1754" s="2" t="s">
        <v>8974</v>
      </c>
      <c r="K1754" s="2" t="s">
        <v>3493</v>
      </c>
      <c r="L1754" s="2" t="s">
        <v>560</v>
      </c>
      <c r="M1754" s="2">
        <v>52302.0</v>
      </c>
      <c r="N1754" s="2" t="s">
        <v>21</v>
      </c>
    </row>
    <row r="1755" ht="15.75" customHeight="1">
      <c r="A1755" s="2">
        <v>2014.0</v>
      </c>
      <c r="B1755" s="2" t="s">
        <v>345</v>
      </c>
      <c r="C1755" s="2" t="s">
        <v>346</v>
      </c>
      <c r="D1755" s="2" t="str">
        <f>"507-825-5390"</f>
        <v>507-825-5390</v>
      </c>
      <c r="E1755" s="2" t="s">
        <v>339</v>
      </c>
      <c r="F1755" s="2" t="s">
        <v>347</v>
      </c>
      <c r="G1755" s="2" t="str">
        <f>"SR-136"</f>
        <v>SR-136</v>
      </c>
      <c r="H1755" s="2" t="s">
        <v>348</v>
      </c>
      <c r="I1755" s="2">
        <v>1634.0</v>
      </c>
      <c r="J1755" s="2" t="s">
        <v>349</v>
      </c>
      <c r="K1755" s="2" t="s">
        <v>350</v>
      </c>
      <c r="L1755" s="2" t="s">
        <v>62</v>
      </c>
      <c r="M1755" s="2">
        <v>56164.0</v>
      </c>
      <c r="N1755" s="2" t="s">
        <v>21</v>
      </c>
    </row>
    <row r="1756" ht="15.75" customHeight="1">
      <c r="A1756" s="2">
        <v>2014.0</v>
      </c>
      <c r="B1756" s="2" t="s">
        <v>345</v>
      </c>
      <c r="C1756" s="2" t="s">
        <v>363</v>
      </c>
      <c r="D1756" s="2" t="str">
        <f>"507-215-4411"</f>
        <v>507-215-4411</v>
      </c>
      <c r="E1756" s="2" t="s">
        <v>160</v>
      </c>
      <c r="F1756" s="2" t="s">
        <v>347</v>
      </c>
      <c r="G1756" s="2" t="str">
        <f>"SR-140"</f>
        <v>SR-140</v>
      </c>
      <c r="H1756" s="2" t="s">
        <v>364</v>
      </c>
      <c r="I1756" s="2" t="s">
        <v>365</v>
      </c>
      <c r="K1756" s="2" t="s">
        <v>350</v>
      </c>
      <c r="L1756" s="2" t="s">
        <v>62</v>
      </c>
      <c r="M1756" s="2">
        <v>56164.0</v>
      </c>
      <c r="N1756" s="2" t="s">
        <v>21</v>
      </c>
    </row>
    <row r="1757" ht="15.75" customHeight="1">
      <c r="A1757" s="2">
        <v>2014.0</v>
      </c>
      <c r="B1757" s="2" t="s">
        <v>8975</v>
      </c>
      <c r="C1757" s="2" t="s">
        <v>8975</v>
      </c>
      <c r="D1757" s="2" t="str">
        <f>"319-693-3419"</f>
        <v>319-693-3419</v>
      </c>
      <c r="E1757" s="2" t="s">
        <v>2401</v>
      </c>
      <c r="F1757" s="2" t="s">
        <v>8976</v>
      </c>
      <c r="G1757" s="2" t="str">
        <f>"SR-2650"</f>
        <v>SR-2650</v>
      </c>
      <c r="H1757" s="2" t="s">
        <v>8977</v>
      </c>
      <c r="I1757" s="2" t="s">
        <v>8978</v>
      </c>
      <c r="K1757" s="2" t="s">
        <v>3273</v>
      </c>
      <c r="L1757" s="2" t="s">
        <v>560</v>
      </c>
      <c r="M1757" s="2">
        <v>52402.0</v>
      </c>
      <c r="N1757" s="2" t="s">
        <v>21</v>
      </c>
    </row>
    <row r="1758" ht="15.75" customHeight="1">
      <c r="A1758" s="2">
        <v>2014.0</v>
      </c>
      <c r="B1758" s="2" t="s">
        <v>8979</v>
      </c>
      <c r="C1758" s="2" t="s">
        <v>8980</v>
      </c>
      <c r="D1758" s="2" t="str">
        <f>"8644948469"</f>
        <v>8644948469</v>
      </c>
      <c r="E1758" s="2" t="s">
        <v>1263</v>
      </c>
      <c r="F1758" s="2" t="s">
        <v>8981</v>
      </c>
      <c r="G1758" s="2" t="str">
        <f>"SR-2562"</f>
        <v>SR-2562</v>
      </c>
      <c r="H1758" s="2" t="s">
        <v>8982</v>
      </c>
      <c r="I1758" s="2" t="s">
        <v>8983</v>
      </c>
      <c r="K1758" s="2" t="s">
        <v>1878</v>
      </c>
      <c r="L1758" s="2" t="s">
        <v>55</v>
      </c>
      <c r="M1758" s="2">
        <v>29681.0</v>
      </c>
      <c r="N1758" s="2" t="s">
        <v>21</v>
      </c>
    </row>
    <row r="1759" ht="15.75" customHeight="1">
      <c r="A1759" s="2">
        <v>2014.0</v>
      </c>
      <c r="B1759" s="2" t="s">
        <v>8984</v>
      </c>
      <c r="C1759" s="2" t="s">
        <v>8984</v>
      </c>
      <c r="D1759" s="2" t="str">
        <f>"507-289-4009"</f>
        <v>507-289-4009</v>
      </c>
      <c r="E1759" s="2" t="s">
        <v>4129</v>
      </c>
      <c r="F1759" s="2" t="s">
        <v>8985</v>
      </c>
      <c r="G1759" s="2" t="str">
        <f>"SR-2655"</f>
        <v>SR-2655</v>
      </c>
      <c r="H1759" s="2" t="s">
        <v>8986</v>
      </c>
      <c r="I1759" s="2" t="s">
        <v>8987</v>
      </c>
      <c r="K1759" s="2" t="s">
        <v>2804</v>
      </c>
      <c r="L1759" s="2" t="s">
        <v>62</v>
      </c>
      <c r="M1759" s="2">
        <v>55902.0</v>
      </c>
      <c r="N1759" s="2" t="s">
        <v>21</v>
      </c>
    </row>
    <row r="1760" ht="15.75" customHeight="1">
      <c r="A1760" s="2">
        <v>2014.0</v>
      </c>
      <c r="B1760" s="2" t="s">
        <v>8988</v>
      </c>
      <c r="C1760" s="2" t="s">
        <v>8988</v>
      </c>
      <c r="D1760" s="2" t="str">
        <f>"319-491-5858"</f>
        <v>319-491-5858</v>
      </c>
      <c r="E1760" s="2" t="s">
        <v>417</v>
      </c>
      <c r="F1760" s="2" t="s">
        <v>8976</v>
      </c>
      <c r="G1760" s="2" t="str">
        <f>"SR-2594"</f>
        <v>SR-2594</v>
      </c>
      <c r="H1760" s="2" t="s">
        <v>8989</v>
      </c>
      <c r="I1760" s="2" t="s">
        <v>8990</v>
      </c>
      <c r="K1760" s="2" t="s">
        <v>3273</v>
      </c>
      <c r="L1760" s="2" t="s">
        <v>560</v>
      </c>
      <c r="M1760" s="2">
        <v>52402.0</v>
      </c>
      <c r="N1760" s="2" t="s">
        <v>21</v>
      </c>
    </row>
    <row r="1761" ht="15.75" customHeight="1">
      <c r="A1761" s="2">
        <v>2014.0</v>
      </c>
      <c r="B1761" s="2" t="s">
        <v>8991</v>
      </c>
      <c r="C1761" s="2" t="s">
        <v>8992</v>
      </c>
      <c r="D1761" s="2" t="str">
        <f>"3196931327"</f>
        <v>3196931327</v>
      </c>
      <c r="E1761" s="2" t="s">
        <v>367</v>
      </c>
      <c r="F1761" s="2" t="s">
        <v>8993</v>
      </c>
      <c r="G1761" s="2" t="str">
        <f>"SR-2522"</f>
        <v>SR-2522</v>
      </c>
      <c r="H1761" s="2" t="s">
        <v>8994</v>
      </c>
      <c r="I1761" s="2" t="s">
        <v>8995</v>
      </c>
      <c r="K1761" s="2" t="s">
        <v>3273</v>
      </c>
      <c r="L1761" s="2" t="s">
        <v>560</v>
      </c>
      <c r="M1761" s="2">
        <v>52404.0</v>
      </c>
      <c r="N1761" s="2" t="s">
        <v>21</v>
      </c>
    </row>
    <row r="1762" ht="15.75" customHeight="1">
      <c r="A1762" s="2">
        <v>2014.0</v>
      </c>
      <c r="B1762" s="2" t="s">
        <v>8996</v>
      </c>
      <c r="C1762" s="2" t="s">
        <v>8997</v>
      </c>
      <c r="D1762" s="2" t="str">
        <f>"719-648-6951"</f>
        <v>719-648-6951</v>
      </c>
      <c r="E1762" s="2" t="s">
        <v>908</v>
      </c>
      <c r="F1762" s="2" t="s">
        <v>429</v>
      </c>
      <c r="G1762" s="2" t="str">
        <f>"SR-2652"</f>
        <v>SR-2652</v>
      </c>
      <c r="H1762" s="2" t="s">
        <v>8998</v>
      </c>
      <c r="I1762" s="2" t="s">
        <v>8999</v>
      </c>
      <c r="K1762" s="2" t="s">
        <v>809</v>
      </c>
      <c r="L1762" s="2" t="s">
        <v>157</v>
      </c>
      <c r="M1762" s="2">
        <v>80921.0</v>
      </c>
      <c r="N1762" s="2" t="s">
        <v>21</v>
      </c>
    </row>
    <row r="1763" ht="15.75" customHeight="1">
      <c r="A1763" s="2">
        <v>2014.0</v>
      </c>
      <c r="B1763" s="2" t="s">
        <v>9000</v>
      </c>
      <c r="C1763" s="2" t="s">
        <v>9000</v>
      </c>
      <c r="D1763" s="2" t="str">
        <f>"3195310429"</f>
        <v>3195310429</v>
      </c>
      <c r="E1763" s="2" t="s">
        <v>7754</v>
      </c>
      <c r="F1763" s="2" t="s">
        <v>9001</v>
      </c>
      <c r="G1763" s="2" t="str">
        <f>"SR-2614"</f>
        <v>SR-2614</v>
      </c>
      <c r="H1763" s="2" t="s">
        <v>9002</v>
      </c>
      <c r="I1763" s="2" t="s">
        <v>9003</v>
      </c>
      <c r="K1763" s="2" t="s">
        <v>3493</v>
      </c>
      <c r="L1763" s="2" t="s">
        <v>560</v>
      </c>
      <c r="M1763" s="2">
        <v>52302.0</v>
      </c>
      <c r="N1763" s="2" t="s">
        <v>21</v>
      </c>
    </row>
    <row r="1764" ht="15.75" customHeight="1">
      <c r="A1764" s="2">
        <v>2014.0</v>
      </c>
      <c r="B1764" s="2" t="s">
        <v>9004</v>
      </c>
      <c r="C1764" s="2" t="s">
        <v>9005</v>
      </c>
      <c r="D1764" s="2" t="str">
        <f>"(319)363-6405"</f>
        <v>(319)363-6405</v>
      </c>
      <c r="E1764" s="2" t="s">
        <v>6526</v>
      </c>
      <c r="F1764" s="2" t="s">
        <v>9006</v>
      </c>
      <c r="G1764" s="2" t="str">
        <f>"SR-2651"</f>
        <v>SR-2651</v>
      </c>
      <c r="H1764" s="2" t="s">
        <v>9007</v>
      </c>
      <c r="I1764" s="2" t="s">
        <v>9008</v>
      </c>
      <c r="K1764" s="2" t="s">
        <v>3493</v>
      </c>
      <c r="L1764" s="2" t="s">
        <v>560</v>
      </c>
      <c r="M1764" s="2">
        <v>52302.0</v>
      </c>
      <c r="N1764" s="2" t="s">
        <v>21</v>
      </c>
    </row>
    <row r="1765" ht="15.75" customHeight="1">
      <c r="A1765" s="2">
        <v>2014.0</v>
      </c>
      <c r="B1765" s="2" t="s">
        <v>9009</v>
      </c>
      <c r="C1765" s="2" t="s">
        <v>9009</v>
      </c>
      <c r="D1765" s="2" t="str">
        <f>"3194506126"</f>
        <v>3194506126</v>
      </c>
      <c r="E1765" s="2" t="s">
        <v>9010</v>
      </c>
      <c r="F1765" s="2" t="s">
        <v>9011</v>
      </c>
      <c r="G1765" s="2" t="str">
        <f>"SR-2659"</f>
        <v>SR-2659</v>
      </c>
      <c r="H1765" s="2" t="s">
        <v>9012</v>
      </c>
      <c r="I1765" s="2" t="s">
        <v>9013</v>
      </c>
      <c r="K1765" s="2" t="s">
        <v>3493</v>
      </c>
      <c r="L1765" s="2" t="s">
        <v>560</v>
      </c>
      <c r="M1765" s="2">
        <v>52302.0</v>
      </c>
      <c r="N1765" s="2" t="s">
        <v>21</v>
      </c>
    </row>
    <row r="1766" ht="15.75" customHeight="1">
      <c r="A1766" s="2">
        <v>2014.0</v>
      </c>
      <c r="B1766" s="2" t="s">
        <v>9014</v>
      </c>
      <c r="C1766" s="2" t="s">
        <v>9014</v>
      </c>
      <c r="D1766" s="2" t="str">
        <f>"8123199465"</f>
        <v>8123199465</v>
      </c>
      <c r="E1766" s="2" t="s">
        <v>144</v>
      </c>
      <c r="F1766" s="2" t="s">
        <v>145</v>
      </c>
      <c r="G1766" s="2" t="str">
        <f>"SR-2580"</f>
        <v>SR-2580</v>
      </c>
      <c r="H1766" s="2" t="s">
        <v>146</v>
      </c>
      <c r="I1766" s="2" t="s">
        <v>147</v>
      </c>
      <c r="K1766" s="2" t="s">
        <v>148</v>
      </c>
      <c r="L1766" s="2" t="s">
        <v>149</v>
      </c>
      <c r="M1766" s="2">
        <v>47712.0</v>
      </c>
      <c r="N1766" s="2" t="s">
        <v>21</v>
      </c>
    </row>
    <row r="1767" ht="15.75" customHeight="1">
      <c r="A1767" s="2">
        <v>2014.0</v>
      </c>
      <c r="B1767" s="2" t="s">
        <v>9015</v>
      </c>
      <c r="C1767" s="2" t="s">
        <v>9016</v>
      </c>
      <c r="D1767" s="2" t="str">
        <f>"5157712777"</f>
        <v>5157712777</v>
      </c>
      <c r="E1767" s="2" t="s">
        <v>239</v>
      </c>
      <c r="F1767" s="2" t="s">
        <v>9017</v>
      </c>
      <c r="G1767" s="2" t="str">
        <f>"SR-2475"</f>
        <v>SR-2475</v>
      </c>
      <c r="H1767" s="2" t="s">
        <v>9018</v>
      </c>
      <c r="I1767" s="2" t="s">
        <v>9019</v>
      </c>
      <c r="K1767" s="2" t="s">
        <v>2066</v>
      </c>
      <c r="L1767" s="2" t="s">
        <v>560</v>
      </c>
      <c r="M1767" s="2">
        <v>50265.0</v>
      </c>
      <c r="N1767" s="2" t="s">
        <v>21</v>
      </c>
    </row>
    <row r="1768" ht="15.75" customHeight="1">
      <c r="A1768" s="2">
        <v>2014.0</v>
      </c>
      <c r="B1768" s="2" t="s">
        <v>9020</v>
      </c>
      <c r="D1768" s="2" t="str">
        <f>""</f>
        <v/>
      </c>
      <c r="E1768" s="2" t="s">
        <v>441</v>
      </c>
      <c r="F1768" s="2" t="s">
        <v>9021</v>
      </c>
      <c r="G1768" s="2" t="str">
        <f>"SR-2666"</f>
        <v>SR-2666</v>
      </c>
      <c r="H1768" s="2" t="s">
        <v>9022</v>
      </c>
      <c r="N1768" s="2" t="s">
        <v>21</v>
      </c>
    </row>
    <row r="1769" ht="15.75" customHeight="1">
      <c r="A1769" s="2">
        <v>2014.0</v>
      </c>
      <c r="B1769" s="2" t="s">
        <v>9023</v>
      </c>
      <c r="C1769" s="2" t="s">
        <v>9023</v>
      </c>
      <c r="D1769" s="2" t="str">
        <f>"9319822357"</f>
        <v>9319822357</v>
      </c>
      <c r="E1769" s="2" t="s">
        <v>862</v>
      </c>
      <c r="F1769" s="2" t="s">
        <v>9024</v>
      </c>
      <c r="G1769" s="2" t="str">
        <f>"SR-2649"</f>
        <v>SR-2649</v>
      </c>
      <c r="H1769" s="2" t="s">
        <v>9025</v>
      </c>
      <c r="I1769" s="2" t="s">
        <v>9026</v>
      </c>
      <c r="K1769" s="2" t="s">
        <v>2750</v>
      </c>
      <c r="L1769" s="2" t="s">
        <v>279</v>
      </c>
      <c r="M1769" s="2">
        <v>38401.0</v>
      </c>
      <c r="N1769" s="2" t="s">
        <v>21</v>
      </c>
    </row>
    <row r="1770" ht="15.75" customHeight="1">
      <c r="A1770" s="2">
        <v>2014.0</v>
      </c>
      <c r="B1770" s="2" t="s">
        <v>9027</v>
      </c>
      <c r="C1770" s="2" t="s">
        <v>9027</v>
      </c>
      <c r="D1770" s="2" t="str">
        <f>"31934321308"</f>
        <v>31934321308</v>
      </c>
      <c r="E1770" s="2" t="s">
        <v>1987</v>
      </c>
      <c r="F1770" s="2" t="s">
        <v>9028</v>
      </c>
      <c r="G1770" s="2" t="str">
        <f>"SR-2621"</f>
        <v>SR-2621</v>
      </c>
      <c r="H1770" s="2" t="s">
        <v>9029</v>
      </c>
      <c r="I1770" s="2" t="s">
        <v>9030</v>
      </c>
      <c r="K1770" s="2" t="s">
        <v>3273</v>
      </c>
      <c r="L1770" s="2" t="s">
        <v>560</v>
      </c>
      <c r="M1770" s="2">
        <v>52402.0</v>
      </c>
      <c r="N1770" s="2" t="s">
        <v>21</v>
      </c>
    </row>
    <row r="1771" ht="15.75" customHeight="1">
      <c r="A1771" s="2">
        <v>2014.0</v>
      </c>
      <c r="B1771" s="2" t="s">
        <v>9031</v>
      </c>
      <c r="C1771" s="2" t="s">
        <v>9031</v>
      </c>
      <c r="D1771" s="2" t="str">
        <f>"3198998364"</f>
        <v>3198998364</v>
      </c>
      <c r="E1771" s="2" t="s">
        <v>9032</v>
      </c>
      <c r="F1771" s="2" t="s">
        <v>57</v>
      </c>
      <c r="G1771" s="2" t="str">
        <f>"SR-2656"</f>
        <v>SR-2656</v>
      </c>
      <c r="H1771" s="2" t="s">
        <v>9033</v>
      </c>
      <c r="I1771" s="2" t="s">
        <v>9034</v>
      </c>
      <c r="K1771" s="2" t="s">
        <v>3273</v>
      </c>
      <c r="L1771" s="2" t="s">
        <v>560</v>
      </c>
      <c r="M1771" s="2">
        <v>52402.0</v>
      </c>
      <c r="N1771" s="2" t="s">
        <v>21</v>
      </c>
    </row>
    <row r="1772" ht="15.75" customHeight="1">
      <c r="A1772" s="2">
        <v>2014.0</v>
      </c>
      <c r="B1772" s="2" t="s">
        <v>9035</v>
      </c>
      <c r="C1772" s="2" t="s">
        <v>9035</v>
      </c>
      <c r="D1772" s="2" t="str">
        <f>"319-981-2596"</f>
        <v>319-981-2596</v>
      </c>
      <c r="E1772" s="2" t="s">
        <v>3196</v>
      </c>
      <c r="F1772" s="2" t="s">
        <v>9036</v>
      </c>
      <c r="G1772" s="2" t="str">
        <f>"SR-2570"</f>
        <v>SR-2570</v>
      </c>
      <c r="H1772" s="2" t="s">
        <v>9037</v>
      </c>
      <c r="I1772" s="2" t="s">
        <v>9038</v>
      </c>
      <c r="K1772" s="2" t="s">
        <v>3273</v>
      </c>
      <c r="L1772" s="2" t="s">
        <v>560</v>
      </c>
      <c r="M1772" s="2">
        <v>52405.0</v>
      </c>
      <c r="N1772" s="2" t="s">
        <v>21</v>
      </c>
    </row>
    <row r="1773" ht="15.75" customHeight="1">
      <c r="A1773" s="2">
        <v>2014.0</v>
      </c>
      <c r="B1773" s="2" t="s">
        <v>9035</v>
      </c>
      <c r="C1773" s="2" t="s">
        <v>9039</v>
      </c>
      <c r="D1773" s="2" t="str">
        <f>"319-450-0654"</f>
        <v>319-450-0654</v>
      </c>
      <c r="E1773" s="2" t="s">
        <v>678</v>
      </c>
      <c r="F1773" s="2" t="s">
        <v>9036</v>
      </c>
      <c r="G1773" s="2" t="str">
        <f>"SR-2571"</f>
        <v>SR-2571</v>
      </c>
      <c r="H1773" s="2" t="s">
        <v>9040</v>
      </c>
      <c r="I1773" s="2" t="s">
        <v>9038</v>
      </c>
      <c r="K1773" s="2" t="s">
        <v>3273</v>
      </c>
      <c r="L1773" s="2" t="s">
        <v>560</v>
      </c>
      <c r="M1773" s="2">
        <v>52405.0</v>
      </c>
      <c r="N1773" s="2" t="s">
        <v>21</v>
      </c>
    </row>
    <row r="1774" ht="15.75" customHeight="1">
      <c r="A1774" s="2">
        <v>2014.0</v>
      </c>
      <c r="B1774" s="2" t="s">
        <v>9041</v>
      </c>
      <c r="D1774" s="2" t="str">
        <f>""</f>
        <v/>
      </c>
      <c r="E1774" s="2" t="s">
        <v>9042</v>
      </c>
      <c r="F1774" s="2" t="s">
        <v>8868</v>
      </c>
      <c r="G1774" s="2" t="str">
        <f>"SR-2603"</f>
        <v>SR-2603</v>
      </c>
      <c r="H1774" s="2" t="s">
        <v>9043</v>
      </c>
      <c r="N1774" s="2" t="s">
        <v>21</v>
      </c>
    </row>
    <row r="1775" ht="15.75" customHeight="1">
      <c r="A1775" s="2">
        <v>2014.0</v>
      </c>
      <c r="B1775" s="2" t="s">
        <v>7007</v>
      </c>
      <c r="C1775" s="2" t="s">
        <v>7007</v>
      </c>
      <c r="D1775" s="2" t="str">
        <f>"770-667-1355"</f>
        <v>770-667-1355</v>
      </c>
      <c r="E1775" s="2" t="s">
        <v>7009</v>
      </c>
      <c r="F1775" s="2" t="s">
        <v>529</v>
      </c>
      <c r="G1775" s="2" t="str">
        <f>"SR-2642"</f>
        <v>SR-2642</v>
      </c>
      <c r="H1775" s="2" t="s">
        <v>7010</v>
      </c>
      <c r="I1775" s="2" t="s">
        <v>7011</v>
      </c>
      <c r="K1775" s="2" t="s">
        <v>7012</v>
      </c>
      <c r="L1775" s="2" t="s">
        <v>200</v>
      </c>
      <c r="M1775" s="2">
        <v>30005.0</v>
      </c>
      <c r="N1775" s="2" t="s">
        <v>21</v>
      </c>
    </row>
    <row r="1776" ht="15.75" customHeight="1">
      <c r="A1776" s="2">
        <v>2014.0</v>
      </c>
      <c r="B1776" s="2" t="s">
        <v>9044</v>
      </c>
      <c r="C1776" s="2" t="s">
        <v>9045</v>
      </c>
      <c r="D1776" s="2" t="str">
        <f>"7278129324"</f>
        <v>7278129324</v>
      </c>
      <c r="E1776" s="2" t="s">
        <v>9046</v>
      </c>
      <c r="F1776" s="2" t="s">
        <v>9047</v>
      </c>
      <c r="G1776" s="2" t="str">
        <f>"SR-2654"</f>
        <v>SR-2654</v>
      </c>
      <c r="H1776" s="2" t="s">
        <v>9048</v>
      </c>
      <c r="I1776" s="2" t="s">
        <v>9049</v>
      </c>
      <c r="K1776" s="2" t="s">
        <v>9050</v>
      </c>
      <c r="L1776" s="2" t="s">
        <v>208</v>
      </c>
      <c r="M1776" s="2">
        <v>33786.0</v>
      </c>
      <c r="N1776" s="2" t="s">
        <v>21</v>
      </c>
    </row>
    <row r="1777" ht="15.75" customHeight="1">
      <c r="A1777" s="2">
        <v>2014.0</v>
      </c>
      <c r="B1777" s="2" t="s">
        <v>9051</v>
      </c>
      <c r="C1777" s="2" t="s">
        <v>9051</v>
      </c>
      <c r="D1777" s="2" t="str">
        <f>"319-363-3077"</f>
        <v>319-363-3077</v>
      </c>
      <c r="E1777" s="2" t="s">
        <v>8039</v>
      </c>
      <c r="F1777" s="2" t="s">
        <v>9052</v>
      </c>
      <c r="G1777" s="2" t="str">
        <f>"SR-2653"</f>
        <v>SR-2653</v>
      </c>
      <c r="H1777" s="2" t="s">
        <v>9053</v>
      </c>
      <c r="I1777" s="2" t="s">
        <v>9054</v>
      </c>
      <c r="K1777" s="2" t="s">
        <v>3273</v>
      </c>
      <c r="L1777" s="2" t="s">
        <v>560</v>
      </c>
      <c r="M1777" s="2">
        <v>52403.0</v>
      </c>
      <c r="N1777" s="2" t="s">
        <v>21</v>
      </c>
    </row>
    <row r="1778" ht="15.75" customHeight="1">
      <c r="A1778" s="2">
        <v>2014.0</v>
      </c>
      <c r="B1778" s="2" t="s">
        <v>9055</v>
      </c>
      <c r="C1778" s="2" t="s">
        <v>9055</v>
      </c>
      <c r="D1778" s="2" t="str">
        <f>"727-254-1477"</f>
        <v>727-254-1477</v>
      </c>
      <c r="E1778" s="2" t="s">
        <v>282</v>
      </c>
      <c r="F1778" s="2" t="s">
        <v>7279</v>
      </c>
      <c r="G1778" s="2" t="str">
        <f>"SR-2638"</f>
        <v>SR-2638</v>
      </c>
      <c r="H1778" s="2" t="s">
        <v>9056</v>
      </c>
      <c r="I1778" s="2" t="s">
        <v>9057</v>
      </c>
      <c r="K1778" s="2" t="s">
        <v>414</v>
      </c>
      <c r="L1778" s="2" t="s">
        <v>208</v>
      </c>
      <c r="M1778" s="2">
        <v>33770.0</v>
      </c>
      <c r="N1778" s="2" t="s">
        <v>21</v>
      </c>
    </row>
    <row r="1779" ht="15.75" customHeight="1">
      <c r="A1779" s="2">
        <v>2014.0</v>
      </c>
      <c r="B1779" s="2" t="s">
        <v>9058</v>
      </c>
      <c r="C1779" s="2" t="s">
        <v>9059</v>
      </c>
      <c r="D1779" s="2" t="str">
        <f>"814-587-2506"</f>
        <v>814-587-2506</v>
      </c>
      <c r="E1779" s="2" t="s">
        <v>100</v>
      </c>
      <c r="F1779" s="2" t="s">
        <v>6681</v>
      </c>
      <c r="G1779" s="2" t="str">
        <f>"SR-2679"</f>
        <v>SR-2679</v>
      </c>
      <c r="H1779" s="2" t="s">
        <v>9060</v>
      </c>
      <c r="I1779" s="2" t="s">
        <v>9061</v>
      </c>
      <c r="K1779" s="2" t="s">
        <v>9062</v>
      </c>
      <c r="L1779" s="2" t="s">
        <v>179</v>
      </c>
      <c r="M1779" s="2">
        <v>16406.0</v>
      </c>
      <c r="N1779" s="2" t="s">
        <v>21</v>
      </c>
    </row>
    <row r="1780" ht="15.75" customHeight="1">
      <c r="A1780" s="2">
        <v>2014.0</v>
      </c>
      <c r="B1780" s="2" t="s">
        <v>9063</v>
      </c>
      <c r="C1780" s="2" t="s">
        <v>9064</v>
      </c>
      <c r="D1780" s="2" t="str">
        <f t="shared" ref="D1780:D1781" si="27">"(65)68584758"</f>
        <v>(65)68584758</v>
      </c>
      <c r="E1780" s="2" t="s">
        <v>50</v>
      </c>
      <c r="F1780" s="2" t="s">
        <v>9065</v>
      </c>
      <c r="G1780" s="2" t="str">
        <f>"SR-2646"</f>
        <v>SR-2646</v>
      </c>
      <c r="H1780" s="2" t="s">
        <v>9066</v>
      </c>
      <c r="I1780" s="2" t="s">
        <v>9067</v>
      </c>
      <c r="J1780" s="2" t="s">
        <v>9068</v>
      </c>
      <c r="K1780" s="2" t="s">
        <v>8433</v>
      </c>
      <c r="M1780" s="2">
        <v>357741.0</v>
      </c>
      <c r="N1780" s="2" t="s">
        <v>8433</v>
      </c>
    </row>
    <row r="1781" ht="15.75" customHeight="1">
      <c r="A1781" s="2">
        <v>2014.0</v>
      </c>
      <c r="B1781" s="2" t="s">
        <v>9063</v>
      </c>
      <c r="C1781" s="2" t="s">
        <v>9069</v>
      </c>
      <c r="D1781" s="2" t="str">
        <f t="shared" si="27"/>
        <v>(65)68584758</v>
      </c>
      <c r="E1781" s="2" t="s">
        <v>9070</v>
      </c>
      <c r="F1781" s="2" t="s">
        <v>9065</v>
      </c>
      <c r="G1781" s="2" t="str">
        <f>"SR-2680"</f>
        <v>SR-2680</v>
      </c>
      <c r="H1781" s="2" t="s">
        <v>9071</v>
      </c>
      <c r="I1781" s="2" t="s">
        <v>9067</v>
      </c>
      <c r="J1781" s="2" t="s">
        <v>9068</v>
      </c>
      <c r="K1781" s="2" t="s">
        <v>8433</v>
      </c>
      <c r="M1781" s="2">
        <v>357741.0</v>
      </c>
      <c r="N1781" s="2" t="s">
        <v>8433</v>
      </c>
    </row>
    <row r="1782" ht="15.75" customHeight="1">
      <c r="A1782" s="2">
        <v>2014.0</v>
      </c>
      <c r="B1782" s="2" t="s">
        <v>8871</v>
      </c>
      <c r="C1782" s="2" t="s">
        <v>9072</v>
      </c>
      <c r="D1782" s="2" t="str">
        <f>"720-870-2761"</f>
        <v>720-870-2761</v>
      </c>
      <c r="E1782" s="2" t="s">
        <v>590</v>
      </c>
      <c r="F1782" s="2" t="s">
        <v>8873</v>
      </c>
      <c r="G1782" s="2" t="str">
        <f>"SR-2413"</f>
        <v>SR-2413</v>
      </c>
      <c r="H1782" s="2" t="s">
        <v>9073</v>
      </c>
      <c r="I1782" s="2" t="s">
        <v>8875</v>
      </c>
      <c r="K1782" s="2" t="s">
        <v>1520</v>
      </c>
      <c r="L1782" s="2" t="s">
        <v>157</v>
      </c>
      <c r="M1782" s="2">
        <v>80013.0</v>
      </c>
      <c r="N1782" s="2" t="s">
        <v>21</v>
      </c>
    </row>
    <row r="1783" ht="15.75" customHeight="1">
      <c r="A1783" s="2">
        <v>2014.0</v>
      </c>
      <c r="B1783" s="2" t="s">
        <v>9074</v>
      </c>
      <c r="C1783" s="2" t="s">
        <v>9074</v>
      </c>
      <c r="D1783" s="2" t="str">
        <f>"319-390-4566"</f>
        <v>319-390-4566</v>
      </c>
      <c r="E1783" s="2" t="s">
        <v>9075</v>
      </c>
      <c r="F1783" s="2" t="s">
        <v>9076</v>
      </c>
      <c r="G1783" s="2" t="str">
        <f>"SR-2668"</f>
        <v>SR-2668</v>
      </c>
      <c r="H1783" s="2" t="s">
        <v>9077</v>
      </c>
      <c r="I1783" s="2" t="s">
        <v>9078</v>
      </c>
      <c r="K1783" s="2" t="s">
        <v>3273</v>
      </c>
      <c r="L1783" s="2" t="s">
        <v>560</v>
      </c>
      <c r="M1783" s="2">
        <v>52405.0</v>
      </c>
      <c r="N1783" s="2" t="s">
        <v>21</v>
      </c>
    </row>
    <row r="1784" ht="15.75" customHeight="1">
      <c r="A1784" s="2">
        <v>2014.0</v>
      </c>
      <c r="B1784" s="2" t="s">
        <v>4536</v>
      </c>
      <c r="C1784" s="2" t="s">
        <v>4537</v>
      </c>
      <c r="D1784" s="2" t="str">
        <f>"3194916470"</f>
        <v>3194916470</v>
      </c>
      <c r="E1784" s="2" t="s">
        <v>339</v>
      </c>
      <c r="F1784" s="2" t="s">
        <v>4538</v>
      </c>
      <c r="G1784" s="2" t="str">
        <f>"SR-1342"</f>
        <v>SR-1342</v>
      </c>
      <c r="H1784" s="2" t="s">
        <v>4539</v>
      </c>
      <c r="I1784" s="2" t="s">
        <v>4540</v>
      </c>
      <c r="K1784" s="2" t="s">
        <v>3273</v>
      </c>
      <c r="L1784" s="2" t="s">
        <v>560</v>
      </c>
      <c r="M1784" s="2">
        <v>52402.0</v>
      </c>
      <c r="N1784" s="2" t="s">
        <v>21</v>
      </c>
    </row>
    <row r="1785" ht="15.75" customHeight="1">
      <c r="A1785" s="2">
        <v>2014.0</v>
      </c>
      <c r="B1785" s="2" t="s">
        <v>9079</v>
      </c>
      <c r="C1785" s="2" t="s">
        <v>9080</v>
      </c>
      <c r="D1785" s="2" t="str">
        <f>"319-377-5519"</f>
        <v>319-377-5519</v>
      </c>
      <c r="E1785" s="2" t="s">
        <v>1311</v>
      </c>
      <c r="F1785" s="2" t="s">
        <v>9081</v>
      </c>
      <c r="G1785" s="2" t="str">
        <f>"SR-2687"</f>
        <v>SR-2687</v>
      </c>
      <c r="H1785" s="2" t="s">
        <v>9082</v>
      </c>
      <c r="I1785" s="2" t="s">
        <v>9083</v>
      </c>
      <c r="K1785" s="2" t="s">
        <v>3493</v>
      </c>
      <c r="L1785" s="2" t="s">
        <v>560</v>
      </c>
      <c r="M1785" s="2">
        <v>52302.0</v>
      </c>
      <c r="N1785" s="2" t="s">
        <v>21</v>
      </c>
    </row>
    <row r="1786" ht="15.75" customHeight="1">
      <c r="A1786" s="2">
        <v>2014.0</v>
      </c>
      <c r="B1786" s="2" t="s">
        <v>9084</v>
      </c>
      <c r="C1786" s="2" t="s">
        <v>9085</v>
      </c>
      <c r="D1786" s="2" t="str">
        <f>"8147208634"</f>
        <v>8147208634</v>
      </c>
      <c r="E1786" s="2" t="s">
        <v>428</v>
      </c>
      <c r="F1786" s="2" t="s">
        <v>1451</v>
      </c>
      <c r="G1786" s="2" t="str">
        <f>"SR-2684"</f>
        <v>SR-2684</v>
      </c>
      <c r="H1786" s="2" t="s">
        <v>9086</v>
      </c>
      <c r="I1786" s="2" t="s">
        <v>9087</v>
      </c>
      <c r="K1786" s="2" t="s">
        <v>9062</v>
      </c>
      <c r="L1786" s="2" t="s">
        <v>179</v>
      </c>
      <c r="M1786" s="2">
        <v>16406.0</v>
      </c>
      <c r="N1786" s="2" t="s">
        <v>21</v>
      </c>
    </row>
    <row r="1787" ht="15.75" customHeight="1">
      <c r="A1787" s="2">
        <v>2014.0</v>
      </c>
      <c r="B1787" s="2" t="s">
        <v>9088</v>
      </c>
      <c r="C1787" s="2" t="s">
        <v>9089</v>
      </c>
      <c r="D1787" s="2" t="str">
        <f>"608-742-2323"</f>
        <v>608-742-2323</v>
      </c>
      <c r="E1787" s="2" t="s">
        <v>1725</v>
      </c>
      <c r="F1787" s="2" t="s">
        <v>2752</v>
      </c>
      <c r="G1787" s="2" t="str">
        <f>"SR-2686"</f>
        <v>SR-2686</v>
      </c>
      <c r="H1787" s="2" t="s">
        <v>9090</v>
      </c>
      <c r="I1787" s="2" t="s">
        <v>9091</v>
      </c>
      <c r="K1787" s="2" t="s">
        <v>9092</v>
      </c>
      <c r="L1787" s="2" t="s">
        <v>193</v>
      </c>
      <c r="M1787" s="2">
        <v>53901.0</v>
      </c>
      <c r="N1787" s="2" t="s">
        <v>21</v>
      </c>
    </row>
    <row r="1788" ht="15.75" customHeight="1">
      <c r="A1788" s="2">
        <v>2014.0</v>
      </c>
      <c r="B1788" s="2" t="s">
        <v>9093</v>
      </c>
      <c r="C1788" s="2" t="s">
        <v>9093</v>
      </c>
      <c r="D1788" s="2" t="str">
        <f>"319-651-3939"</f>
        <v>319-651-3939</v>
      </c>
      <c r="E1788" s="2" t="s">
        <v>1362</v>
      </c>
      <c r="F1788" s="2" t="s">
        <v>9094</v>
      </c>
      <c r="G1788" s="2" t="str">
        <f>"SR-2647"</f>
        <v>SR-2647</v>
      </c>
      <c r="H1788" s="2" t="s">
        <v>9095</v>
      </c>
      <c r="I1788" s="2" t="s">
        <v>9096</v>
      </c>
      <c r="K1788" s="2" t="s">
        <v>3273</v>
      </c>
      <c r="L1788" s="2" t="s">
        <v>560</v>
      </c>
      <c r="M1788" s="2">
        <v>52403.0</v>
      </c>
      <c r="N1788" s="2" t="s">
        <v>21</v>
      </c>
    </row>
    <row r="1789" ht="15.75" customHeight="1">
      <c r="A1789" s="2">
        <v>2014.0</v>
      </c>
      <c r="B1789" s="2" t="s">
        <v>9097</v>
      </c>
      <c r="C1789" s="2" t="s">
        <v>9098</v>
      </c>
      <c r="D1789" s="2" t="str">
        <f>"3195738231"</f>
        <v>3195738231</v>
      </c>
      <c r="E1789" s="2" t="s">
        <v>373</v>
      </c>
      <c r="F1789" s="2" t="s">
        <v>1209</v>
      </c>
      <c r="G1789" s="2" t="str">
        <f>"SR-2688"</f>
        <v>SR-2688</v>
      </c>
      <c r="H1789" s="2" t="s">
        <v>9099</v>
      </c>
      <c r="I1789" s="2" t="s">
        <v>9100</v>
      </c>
      <c r="K1789" s="2" t="s">
        <v>3493</v>
      </c>
      <c r="L1789" s="2" t="s">
        <v>560</v>
      </c>
      <c r="M1789" s="2">
        <v>52302.0</v>
      </c>
      <c r="N1789" s="2" t="s">
        <v>21</v>
      </c>
    </row>
    <row r="1790" ht="15.75" customHeight="1">
      <c r="A1790" s="2">
        <v>2014.0</v>
      </c>
      <c r="B1790" s="2" t="s">
        <v>9101</v>
      </c>
      <c r="C1790" s="2" t="s">
        <v>9102</v>
      </c>
      <c r="D1790" s="2" t="str">
        <f>"5019547961"</f>
        <v>5019547961</v>
      </c>
      <c r="E1790" s="2" t="s">
        <v>9103</v>
      </c>
      <c r="F1790" s="2" t="s">
        <v>9104</v>
      </c>
      <c r="G1790" s="2" t="str">
        <f>"SR-2691"</f>
        <v>SR-2691</v>
      </c>
      <c r="H1790" s="2" t="s">
        <v>9105</v>
      </c>
      <c r="I1790" s="2" t="s">
        <v>9106</v>
      </c>
      <c r="K1790" s="2" t="s">
        <v>9107</v>
      </c>
      <c r="L1790" s="2" t="s">
        <v>1012</v>
      </c>
      <c r="M1790" s="2">
        <v>72212.0</v>
      </c>
      <c r="N1790" s="2" t="s">
        <v>21</v>
      </c>
    </row>
    <row r="1791" ht="15.75" customHeight="1">
      <c r="A1791" s="2">
        <v>2014.0</v>
      </c>
      <c r="B1791" s="2" t="s">
        <v>9108</v>
      </c>
      <c r="C1791" s="2" t="s">
        <v>9109</v>
      </c>
      <c r="D1791" s="2" t="str">
        <f>"3033245113"</f>
        <v>3033245113</v>
      </c>
      <c r="E1791" s="2" t="s">
        <v>167</v>
      </c>
      <c r="F1791" s="2" t="s">
        <v>2174</v>
      </c>
      <c r="G1791" s="2" t="str">
        <f>"SR-2585"</f>
        <v>SR-2585</v>
      </c>
      <c r="H1791" s="2" t="s">
        <v>9110</v>
      </c>
      <c r="I1791" s="2" t="s">
        <v>9111</v>
      </c>
      <c r="K1791" s="2" t="s">
        <v>9112</v>
      </c>
      <c r="L1791" s="2" t="s">
        <v>157</v>
      </c>
      <c r="M1791" s="2">
        <v>80439.0</v>
      </c>
      <c r="N1791" s="2" t="s">
        <v>21</v>
      </c>
    </row>
    <row r="1792" ht="15.75" customHeight="1">
      <c r="A1792" s="2">
        <v>2014.0</v>
      </c>
      <c r="B1792" s="2" t="s">
        <v>3264</v>
      </c>
      <c r="C1792" s="2" t="s">
        <v>9113</v>
      </c>
      <c r="D1792" s="2" t="str">
        <f>"540-325-6909"</f>
        <v>540-325-6909</v>
      </c>
      <c r="E1792" s="2" t="s">
        <v>339</v>
      </c>
      <c r="F1792" s="2" t="s">
        <v>3265</v>
      </c>
      <c r="G1792" s="2" t="str">
        <f>"SR-2576"</f>
        <v>SR-2576</v>
      </c>
      <c r="H1792" s="2" t="s">
        <v>3266</v>
      </c>
      <c r="I1792" s="2" t="s">
        <v>3267</v>
      </c>
      <c r="K1792" s="2" t="s">
        <v>594</v>
      </c>
      <c r="L1792" s="2" t="s">
        <v>165</v>
      </c>
      <c r="M1792" s="2">
        <v>22601.0</v>
      </c>
      <c r="N1792" s="2" t="s">
        <v>21</v>
      </c>
    </row>
    <row r="1793" ht="15.75" customHeight="1">
      <c r="A1793" s="2">
        <v>2014.0</v>
      </c>
      <c r="B1793" s="2" t="s">
        <v>9114</v>
      </c>
      <c r="C1793" s="2" t="s">
        <v>9114</v>
      </c>
      <c r="D1793" s="2" t="str">
        <f>"3193109159"</f>
        <v>3193109159</v>
      </c>
      <c r="E1793" s="2" t="s">
        <v>2752</v>
      </c>
      <c r="F1793" s="2" t="s">
        <v>9115</v>
      </c>
      <c r="G1793" s="2" t="str">
        <f>"SR-2662"</f>
        <v>SR-2662</v>
      </c>
      <c r="H1793" s="2" t="s">
        <v>9116</v>
      </c>
      <c r="I1793" s="2" t="s">
        <v>9117</v>
      </c>
      <c r="K1793" s="2" t="s">
        <v>9118</v>
      </c>
      <c r="L1793" s="2" t="s">
        <v>560</v>
      </c>
      <c r="M1793" s="2">
        <v>52205.0</v>
      </c>
      <c r="N1793" s="2" t="s">
        <v>21</v>
      </c>
    </row>
    <row r="1794" ht="15.75" customHeight="1">
      <c r="A1794" s="2">
        <v>2014.0</v>
      </c>
      <c r="B1794" s="2" t="s">
        <v>9119</v>
      </c>
      <c r="C1794" s="2" t="s">
        <v>9120</v>
      </c>
      <c r="D1794" s="2" t="str">
        <f>"507-399-3839"</f>
        <v>507-399-3839</v>
      </c>
      <c r="E1794" s="2" t="s">
        <v>485</v>
      </c>
      <c r="F1794" s="2" t="s">
        <v>6889</v>
      </c>
      <c r="G1794" s="2" t="str">
        <f>"SR-2694"</f>
        <v>SR-2694</v>
      </c>
      <c r="H1794" s="2" t="s">
        <v>9121</v>
      </c>
      <c r="I1794" s="2" t="s">
        <v>9122</v>
      </c>
      <c r="K1794" s="2" t="s">
        <v>1141</v>
      </c>
      <c r="L1794" s="2" t="s">
        <v>62</v>
      </c>
      <c r="M1794" s="2">
        <v>55912.0</v>
      </c>
      <c r="N1794" s="2" t="s">
        <v>21</v>
      </c>
    </row>
    <row r="1795" ht="15.75" customHeight="1">
      <c r="A1795" s="2">
        <v>2014.0</v>
      </c>
      <c r="B1795" s="2" t="s">
        <v>9123</v>
      </c>
      <c r="C1795" s="2" t="s">
        <v>9124</v>
      </c>
      <c r="D1795" s="2" t="str">
        <f>"708 898 8609"</f>
        <v>708 898 8609</v>
      </c>
      <c r="E1795" s="2" t="s">
        <v>2401</v>
      </c>
      <c r="F1795" s="2" t="s">
        <v>9125</v>
      </c>
      <c r="G1795" s="2" t="str">
        <f>"SR-2695"</f>
        <v>SR-2695</v>
      </c>
      <c r="H1795" s="2" t="s">
        <v>9126</v>
      </c>
      <c r="I1795" s="2" t="s">
        <v>9127</v>
      </c>
      <c r="K1795" s="2" t="s">
        <v>9128</v>
      </c>
      <c r="L1795" s="2" t="s">
        <v>105</v>
      </c>
      <c r="M1795" s="2">
        <v>60563.0</v>
      </c>
      <c r="N1795" s="2" t="s">
        <v>21</v>
      </c>
    </row>
    <row r="1796" ht="15.75" customHeight="1">
      <c r="A1796" s="2">
        <v>2014.0</v>
      </c>
      <c r="B1796" s="2" t="s">
        <v>9129</v>
      </c>
      <c r="C1796" s="2" t="s">
        <v>9130</v>
      </c>
      <c r="D1796" s="2" t="str">
        <f>"425-457-9181-"</f>
        <v>425-457-9181-</v>
      </c>
      <c r="E1796" s="2" t="s">
        <v>72</v>
      </c>
      <c r="F1796" s="2" t="s">
        <v>5281</v>
      </c>
      <c r="G1796" s="2" t="str">
        <f>"SR-2696"</f>
        <v>SR-2696</v>
      </c>
      <c r="H1796" s="2" t="s">
        <v>7437</v>
      </c>
      <c r="I1796" s="2" t="s">
        <v>9131</v>
      </c>
      <c r="K1796" s="2" t="s">
        <v>7439</v>
      </c>
      <c r="L1796" s="2" t="s">
        <v>86</v>
      </c>
      <c r="M1796" s="2">
        <v>98296.0</v>
      </c>
      <c r="N1796" s="2" t="s">
        <v>21</v>
      </c>
    </row>
    <row r="1797" ht="15.75" customHeight="1">
      <c r="A1797" s="2">
        <v>2014.0</v>
      </c>
      <c r="B1797" s="2" t="s">
        <v>9132</v>
      </c>
      <c r="C1797" s="2" t="s">
        <v>9133</v>
      </c>
      <c r="D1797" s="2" t="str">
        <f>"2145988751"</f>
        <v>2145988751</v>
      </c>
      <c r="E1797" s="2" t="s">
        <v>2089</v>
      </c>
      <c r="F1797" s="2" t="s">
        <v>3301</v>
      </c>
      <c r="G1797" s="2" t="str">
        <f>"SR-2521"</f>
        <v>SR-2521</v>
      </c>
      <c r="H1797" s="2" t="s">
        <v>9134</v>
      </c>
      <c r="I1797" s="2" t="s">
        <v>9135</v>
      </c>
      <c r="K1797" s="2" t="s">
        <v>357</v>
      </c>
      <c r="L1797" s="2" t="s">
        <v>172</v>
      </c>
      <c r="M1797" s="2">
        <v>75074.0</v>
      </c>
      <c r="N1797" s="2" t="s">
        <v>21</v>
      </c>
    </row>
    <row r="1798" ht="15.75" customHeight="1">
      <c r="A1798" s="2">
        <v>2014.0</v>
      </c>
      <c r="B1798" s="2" t="s">
        <v>9136</v>
      </c>
      <c r="C1798" s="2" t="s">
        <v>9137</v>
      </c>
      <c r="D1798" s="2" t="str">
        <f>"303-250-8183"</f>
        <v>303-250-8183</v>
      </c>
      <c r="E1798" s="2" t="s">
        <v>9138</v>
      </c>
      <c r="F1798" s="2" t="s">
        <v>9139</v>
      </c>
      <c r="G1798" s="2" t="str">
        <f>"SR-1907"</f>
        <v>SR-1907</v>
      </c>
      <c r="H1798" s="2" t="s">
        <v>9140</v>
      </c>
      <c r="I1798" s="2" t="s">
        <v>9141</v>
      </c>
      <c r="K1798" s="2" t="s">
        <v>992</v>
      </c>
      <c r="L1798" s="2" t="s">
        <v>157</v>
      </c>
      <c r="M1798" s="2">
        <v>80015.0</v>
      </c>
      <c r="N1798" s="2" t="s">
        <v>21</v>
      </c>
    </row>
    <row r="1799" ht="15.75" customHeight="1">
      <c r="A1799" s="2">
        <v>2014.0</v>
      </c>
      <c r="B1799" s="2" t="s">
        <v>9129</v>
      </c>
      <c r="C1799" s="2" t="s">
        <v>9142</v>
      </c>
      <c r="D1799" s="2" t="str">
        <f>"425-457-9181"</f>
        <v>425-457-9181</v>
      </c>
      <c r="E1799" s="2" t="s">
        <v>453</v>
      </c>
      <c r="F1799" s="2" t="s">
        <v>5281</v>
      </c>
      <c r="G1799" s="2" t="str">
        <f>"SR-2697"</f>
        <v>SR-2697</v>
      </c>
      <c r="H1799" s="2" t="s">
        <v>9143</v>
      </c>
      <c r="I1799" s="2" t="s">
        <v>9131</v>
      </c>
      <c r="K1799" s="2" t="s">
        <v>7439</v>
      </c>
      <c r="L1799" s="2" t="s">
        <v>86</v>
      </c>
      <c r="M1799" s="2">
        <v>98296.0</v>
      </c>
      <c r="N1799" s="2" t="s">
        <v>21</v>
      </c>
    </row>
    <row r="1800" ht="15.75" customHeight="1">
      <c r="A1800" s="2">
        <v>2014.0</v>
      </c>
      <c r="B1800" s="2" t="s">
        <v>9144</v>
      </c>
      <c r="C1800" s="2" t="s">
        <v>9144</v>
      </c>
      <c r="D1800" s="2" t="str">
        <f>"9319822240"</f>
        <v>9319822240</v>
      </c>
      <c r="E1800" s="2" t="s">
        <v>705</v>
      </c>
      <c r="F1800" s="2" t="s">
        <v>9024</v>
      </c>
      <c r="G1800" s="2" t="str">
        <f>"SR-2648"</f>
        <v>SR-2648</v>
      </c>
      <c r="H1800" s="2" t="s">
        <v>9145</v>
      </c>
      <c r="I1800" s="2" t="s">
        <v>9026</v>
      </c>
      <c r="K1800" s="2" t="s">
        <v>2750</v>
      </c>
      <c r="L1800" s="2" t="s">
        <v>279</v>
      </c>
      <c r="M1800" s="2">
        <v>38401.0</v>
      </c>
      <c r="N1800" s="2" t="s">
        <v>21</v>
      </c>
    </row>
    <row r="1801" ht="15.75" customHeight="1">
      <c r="A1801" s="2">
        <v>2014.0</v>
      </c>
      <c r="B1801" s="2" t="s">
        <v>9146</v>
      </c>
      <c r="C1801" s="2" t="s">
        <v>9147</v>
      </c>
      <c r="D1801" s="2" t="str">
        <f>"231-861-0603"</f>
        <v>231-861-0603</v>
      </c>
      <c r="E1801" s="2" t="s">
        <v>4769</v>
      </c>
      <c r="F1801" s="2" t="s">
        <v>51</v>
      </c>
      <c r="G1801" s="2" t="str">
        <f>"SR-2676"</f>
        <v>SR-2676</v>
      </c>
      <c r="H1801" s="2" t="s">
        <v>9148</v>
      </c>
      <c r="I1801" s="2" t="s">
        <v>9149</v>
      </c>
      <c r="K1801" s="2" t="s">
        <v>9150</v>
      </c>
      <c r="L1801" s="2" t="s">
        <v>29</v>
      </c>
      <c r="M1801" s="2">
        <v>49421.0</v>
      </c>
      <c r="N1801" s="2" t="s">
        <v>21</v>
      </c>
    </row>
    <row r="1802" ht="15.75" customHeight="1">
      <c r="A1802" s="2">
        <v>2014.0</v>
      </c>
      <c r="B1802" s="2" t="s">
        <v>9151</v>
      </c>
      <c r="C1802" s="2" t="s">
        <v>9151</v>
      </c>
      <c r="D1802" s="2" t="str">
        <f>"231 873-5815"</f>
        <v>231 873-5815</v>
      </c>
      <c r="E1802" s="2" t="s">
        <v>3434</v>
      </c>
      <c r="F1802" s="2" t="s">
        <v>9152</v>
      </c>
      <c r="G1802" s="2" t="str">
        <f>"SR-2698"</f>
        <v>SR-2698</v>
      </c>
      <c r="H1802" s="2" t="s">
        <v>9153</v>
      </c>
      <c r="I1802" s="2" t="s">
        <v>9154</v>
      </c>
      <c r="K1802" s="2" t="s">
        <v>9155</v>
      </c>
      <c r="L1802" s="2" t="s">
        <v>29</v>
      </c>
      <c r="M1802" s="2">
        <v>49420.0</v>
      </c>
      <c r="N1802" s="2" t="s">
        <v>21</v>
      </c>
    </row>
    <row r="1803" ht="15.75" customHeight="1">
      <c r="A1803" s="2">
        <v>2014.0</v>
      </c>
      <c r="B1803" s="2" t="s">
        <v>3934</v>
      </c>
      <c r="C1803" s="2" t="s">
        <v>3934</v>
      </c>
      <c r="D1803" s="2" t="str">
        <f>"806-665-5749"</f>
        <v>806-665-5749</v>
      </c>
      <c r="E1803" s="2" t="s">
        <v>3935</v>
      </c>
      <c r="F1803" s="2" t="s">
        <v>3936</v>
      </c>
      <c r="G1803" s="2" t="str">
        <f>"SR-2704"</f>
        <v>SR-2704</v>
      </c>
      <c r="H1803" s="2" t="s">
        <v>3937</v>
      </c>
      <c r="I1803" s="2" t="s">
        <v>3938</v>
      </c>
      <c r="K1803" s="2" t="s">
        <v>3939</v>
      </c>
      <c r="L1803" s="2" t="s">
        <v>172</v>
      </c>
      <c r="M1803" s="2">
        <v>79065.0</v>
      </c>
      <c r="N1803" s="2" t="s">
        <v>21</v>
      </c>
    </row>
    <row r="1804" ht="15.75" customHeight="1">
      <c r="A1804" s="2">
        <v>2014.0</v>
      </c>
      <c r="B1804" s="2" t="s">
        <v>9156</v>
      </c>
      <c r="C1804" s="2" t="s">
        <v>9157</v>
      </c>
      <c r="D1804" s="2" t="str">
        <f>"972-814-6095"</f>
        <v>972-814-6095</v>
      </c>
      <c r="E1804" s="2" t="s">
        <v>144</v>
      </c>
      <c r="F1804" s="2" t="s">
        <v>9158</v>
      </c>
      <c r="G1804" s="2" t="str">
        <f>"SR-2706"</f>
        <v>SR-2706</v>
      </c>
      <c r="H1804" s="2" t="s">
        <v>9159</v>
      </c>
      <c r="I1804" s="2" t="s">
        <v>9160</v>
      </c>
      <c r="K1804" s="2" t="s">
        <v>171</v>
      </c>
      <c r="L1804" s="2" t="s">
        <v>172</v>
      </c>
      <c r="M1804" s="2">
        <v>75007.0</v>
      </c>
      <c r="N1804" s="2" t="s">
        <v>21</v>
      </c>
    </row>
    <row r="1805" ht="15.75" customHeight="1">
      <c r="A1805" s="2">
        <v>2014.0</v>
      </c>
      <c r="B1805" s="2" t="s">
        <v>9161</v>
      </c>
      <c r="C1805" s="2" t="s">
        <v>9161</v>
      </c>
      <c r="D1805" s="2" t="str">
        <f>"712-722-1024"</f>
        <v>712-722-1024</v>
      </c>
      <c r="E1805" s="2" t="s">
        <v>9162</v>
      </c>
      <c r="F1805" s="2" t="s">
        <v>9163</v>
      </c>
      <c r="G1805" s="2" t="str">
        <f>"SR-2707"</f>
        <v>SR-2707</v>
      </c>
      <c r="H1805" s="2" t="s">
        <v>9164</v>
      </c>
      <c r="I1805" s="2" t="s">
        <v>9165</v>
      </c>
      <c r="K1805" s="2" t="s">
        <v>2779</v>
      </c>
      <c r="L1805" s="2" t="s">
        <v>560</v>
      </c>
      <c r="M1805" s="2">
        <v>51250.0</v>
      </c>
      <c r="N1805" s="2" t="s">
        <v>21</v>
      </c>
    </row>
    <row r="1806" ht="15.75" customHeight="1">
      <c r="A1806" s="2">
        <v>2014.0</v>
      </c>
      <c r="B1806" s="2" t="s">
        <v>9166</v>
      </c>
      <c r="C1806" s="2" t="s">
        <v>9166</v>
      </c>
      <c r="D1806" s="2" t="str">
        <f>"9709629552"</f>
        <v>9709629552</v>
      </c>
      <c r="E1806" s="2" t="s">
        <v>5760</v>
      </c>
      <c r="F1806" s="2" t="s">
        <v>1045</v>
      </c>
      <c r="G1806" s="2" t="str">
        <f>"SR-2591"</f>
        <v>SR-2591</v>
      </c>
      <c r="H1806" s="2" t="s">
        <v>9167</v>
      </c>
      <c r="I1806" s="2" t="s">
        <v>9168</v>
      </c>
      <c r="K1806" s="2" t="s">
        <v>1048</v>
      </c>
      <c r="L1806" s="2" t="s">
        <v>157</v>
      </c>
      <c r="M1806" s="2">
        <v>80538.0</v>
      </c>
      <c r="N1806" s="2" t="s">
        <v>21</v>
      </c>
    </row>
    <row r="1807" ht="15.75" customHeight="1">
      <c r="A1807" s="2">
        <v>2014.0</v>
      </c>
      <c r="B1807" s="2" t="s">
        <v>9169</v>
      </c>
      <c r="D1807" s="2" t="str">
        <f>""</f>
        <v/>
      </c>
      <c r="E1807" s="2" t="s">
        <v>843</v>
      </c>
      <c r="F1807" s="2" t="s">
        <v>9170</v>
      </c>
      <c r="G1807" s="2" t="str">
        <f>"SR-2708"</f>
        <v>SR-2708</v>
      </c>
      <c r="H1807" s="2" t="s">
        <v>9171</v>
      </c>
    </row>
    <row r="1808" ht="15.75" customHeight="1">
      <c r="A1808" s="2">
        <v>2014.0</v>
      </c>
      <c r="B1808" s="2" t="s">
        <v>9172</v>
      </c>
      <c r="C1808" s="2" t="s">
        <v>9172</v>
      </c>
      <c r="D1808" s="2" t="str">
        <f>"931-446-1940"</f>
        <v>931-446-1940</v>
      </c>
      <c r="E1808" s="2" t="s">
        <v>124</v>
      </c>
      <c r="F1808" s="2" t="s">
        <v>863</v>
      </c>
      <c r="G1808" s="2" t="str">
        <f>"SR-2709"</f>
        <v>SR-2709</v>
      </c>
      <c r="H1808" s="2" t="s">
        <v>9173</v>
      </c>
      <c r="I1808" s="2" t="s">
        <v>9174</v>
      </c>
      <c r="K1808" s="2" t="s">
        <v>9175</v>
      </c>
      <c r="L1808" s="2" t="s">
        <v>279</v>
      </c>
      <c r="M1808" s="2">
        <v>38474.0</v>
      </c>
      <c r="N1808" s="2" t="s">
        <v>21</v>
      </c>
    </row>
    <row r="1809" ht="15.75" customHeight="1">
      <c r="A1809" s="2">
        <v>2014.0</v>
      </c>
      <c r="B1809" s="2" t="s">
        <v>9176</v>
      </c>
      <c r="C1809" s="2" t="s">
        <v>9177</v>
      </c>
      <c r="D1809" s="2" t="str">
        <f>"8582123766"</f>
        <v>8582123766</v>
      </c>
      <c r="E1809" s="2" t="s">
        <v>580</v>
      </c>
      <c r="F1809" s="2" t="s">
        <v>9178</v>
      </c>
      <c r="G1809" s="2" t="str">
        <f>"SR-2710"</f>
        <v>SR-2710</v>
      </c>
      <c r="H1809" s="2" t="s">
        <v>9179</v>
      </c>
      <c r="I1809" s="2" t="s">
        <v>9180</v>
      </c>
      <c r="K1809" s="2" t="s">
        <v>8250</v>
      </c>
      <c r="L1809" s="2" t="s">
        <v>222</v>
      </c>
      <c r="M1809" s="2">
        <v>92129.0</v>
      </c>
      <c r="N1809" s="2" t="s">
        <v>21</v>
      </c>
    </row>
    <row r="1810" ht="15.75" customHeight="1">
      <c r="A1810" s="2">
        <v>2014.0</v>
      </c>
      <c r="B1810" s="2" t="s">
        <v>9181</v>
      </c>
      <c r="C1810" s="2" t="s">
        <v>9181</v>
      </c>
      <c r="D1810" s="2" t="str">
        <f>"7069572957"</f>
        <v>7069572957</v>
      </c>
      <c r="E1810" s="2" t="s">
        <v>9182</v>
      </c>
      <c r="F1810" s="2" t="s">
        <v>1269</v>
      </c>
      <c r="G1810" s="2" t="str">
        <f>"SR-2435"</f>
        <v>SR-2435</v>
      </c>
      <c r="H1810" s="2" t="s">
        <v>9183</v>
      </c>
      <c r="I1810" s="2" t="s">
        <v>9184</v>
      </c>
      <c r="K1810" s="2" t="s">
        <v>9185</v>
      </c>
      <c r="L1810" s="2" t="s">
        <v>200</v>
      </c>
      <c r="M1810" s="2">
        <v>30241.0</v>
      </c>
      <c r="N1810" s="2" t="s">
        <v>21</v>
      </c>
    </row>
    <row r="1811" ht="15.75" customHeight="1">
      <c r="A1811" s="2">
        <v>2014.0</v>
      </c>
      <c r="B1811" s="2" t="s">
        <v>9186</v>
      </c>
      <c r="C1811" s="2" t="s">
        <v>9187</v>
      </c>
      <c r="D1811" s="2" t="str">
        <f>"4807059743"</f>
        <v>4807059743</v>
      </c>
      <c r="E1811" s="2" t="s">
        <v>5335</v>
      </c>
      <c r="F1811" s="2" t="s">
        <v>9188</v>
      </c>
      <c r="G1811" s="2" t="str">
        <f>"SR-2536"</f>
        <v>SR-2536</v>
      </c>
      <c r="H1811" s="2" t="s">
        <v>9189</v>
      </c>
      <c r="I1811" s="2" t="s">
        <v>9190</v>
      </c>
      <c r="K1811" s="2" t="s">
        <v>9191</v>
      </c>
      <c r="L1811" s="2" t="s">
        <v>422</v>
      </c>
      <c r="M1811" s="2">
        <v>85142.0</v>
      </c>
      <c r="N1811" s="2" t="s">
        <v>21</v>
      </c>
    </row>
    <row r="1812" ht="15.75" customHeight="1">
      <c r="A1812" s="2">
        <v>2014.0</v>
      </c>
      <c r="B1812" s="2" t="s">
        <v>9192</v>
      </c>
      <c r="C1812" s="2" t="s">
        <v>9193</v>
      </c>
      <c r="D1812" s="2" t="str">
        <f>"719-323-8745"</f>
        <v>719-323-8745</v>
      </c>
      <c r="E1812" s="2" t="s">
        <v>3312</v>
      </c>
      <c r="F1812" s="2" t="s">
        <v>8941</v>
      </c>
      <c r="G1812" s="2" t="str">
        <f>"SR-2664"</f>
        <v>SR-2664</v>
      </c>
      <c r="H1812" s="2" t="s">
        <v>9194</v>
      </c>
      <c r="I1812" s="2" t="s">
        <v>9195</v>
      </c>
      <c r="K1812" s="2" t="s">
        <v>809</v>
      </c>
      <c r="L1812" s="2" t="s">
        <v>157</v>
      </c>
      <c r="M1812" s="2">
        <v>80908.0</v>
      </c>
      <c r="N1812" s="2" t="s">
        <v>21</v>
      </c>
    </row>
    <row r="1813" ht="15.75" customHeight="1">
      <c r="A1813" s="2">
        <v>2014.0</v>
      </c>
      <c r="B1813" s="2" t="s">
        <v>9196</v>
      </c>
      <c r="C1813" s="2" t="s">
        <v>9196</v>
      </c>
      <c r="D1813" s="2" t="str">
        <f>"309-573-4878"</f>
        <v>309-573-4878</v>
      </c>
      <c r="E1813" s="2" t="s">
        <v>9197</v>
      </c>
      <c r="F1813" s="2" t="s">
        <v>9198</v>
      </c>
      <c r="G1813" s="2" t="str">
        <f>"SR-2517"</f>
        <v>SR-2517</v>
      </c>
      <c r="H1813" s="2" t="s">
        <v>9199</v>
      </c>
      <c r="I1813" s="2" t="s">
        <v>9200</v>
      </c>
      <c r="K1813" s="2" t="s">
        <v>123</v>
      </c>
      <c r="L1813" s="2" t="s">
        <v>105</v>
      </c>
      <c r="M1813" s="2">
        <v>61611.0</v>
      </c>
      <c r="N1813" s="2" t="s">
        <v>21</v>
      </c>
    </row>
    <row r="1814" ht="15.75" customHeight="1">
      <c r="A1814" s="2">
        <v>2014.0</v>
      </c>
      <c r="B1814" s="2" t="s">
        <v>9201</v>
      </c>
      <c r="C1814" s="2" t="s">
        <v>9202</v>
      </c>
      <c r="D1814" s="2" t="str">
        <f>"309-370-8399"</f>
        <v>309-370-8399</v>
      </c>
      <c r="E1814" s="2" t="s">
        <v>217</v>
      </c>
      <c r="F1814" s="2" t="s">
        <v>9203</v>
      </c>
      <c r="G1814" s="2" t="str">
        <f>"SR-2484"</f>
        <v>SR-2484</v>
      </c>
      <c r="H1814" s="2" t="s">
        <v>9204</v>
      </c>
      <c r="I1814" s="2" t="s">
        <v>9205</v>
      </c>
      <c r="K1814" s="2" t="s">
        <v>104</v>
      </c>
      <c r="L1814" s="2" t="s">
        <v>105</v>
      </c>
      <c r="M1814" s="2">
        <v>61615.0</v>
      </c>
      <c r="N1814" s="2" t="s">
        <v>21</v>
      </c>
    </row>
    <row r="1815" ht="15.75" customHeight="1">
      <c r="A1815" s="2">
        <v>2014.0</v>
      </c>
      <c r="B1815" s="2" t="s">
        <v>9206</v>
      </c>
      <c r="C1815" s="2" t="s">
        <v>9206</v>
      </c>
      <c r="D1815" s="2" t="str">
        <f>"1-309-274-4737"</f>
        <v>1-309-274-4737</v>
      </c>
      <c r="E1815" s="2" t="s">
        <v>2263</v>
      </c>
      <c r="F1815" s="2" t="s">
        <v>2333</v>
      </c>
      <c r="G1815" s="2" t="str">
        <f>"SR-2488"</f>
        <v>SR-2488</v>
      </c>
      <c r="H1815" s="2" t="s">
        <v>9207</v>
      </c>
      <c r="I1815" s="2" t="s">
        <v>9208</v>
      </c>
      <c r="K1815" s="2" t="s">
        <v>9209</v>
      </c>
      <c r="L1815" s="2" t="s">
        <v>105</v>
      </c>
      <c r="M1815" s="2">
        <v>61526.0</v>
      </c>
      <c r="N1815" s="2" t="s">
        <v>21</v>
      </c>
    </row>
    <row r="1816" ht="15.75" customHeight="1">
      <c r="A1816" s="2">
        <v>2014.0</v>
      </c>
      <c r="B1816" s="2" t="s">
        <v>9210</v>
      </c>
      <c r="C1816" s="2" t="s">
        <v>9210</v>
      </c>
      <c r="D1816" s="2" t="str">
        <f>"309-339-9755"</f>
        <v>309-339-9755</v>
      </c>
      <c r="E1816" s="2" t="s">
        <v>471</v>
      </c>
      <c r="F1816" s="2" t="s">
        <v>9211</v>
      </c>
      <c r="G1816" s="2" t="str">
        <f>"SR-2504"</f>
        <v>SR-2504</v>
      </c>
      <c r="H1816" s="2" t="s">
        <v>9212</v>
      </c>
      <c r="I1816" s="2" t="s">
        <v>9213</v>
      </c>
      <c r="K1816" s="2" t="s">
        <v>123</v>
      </c>
      <c r="L1816" s="2" t="s">
        <v>105</v>
      </c>
      <c r="M1816" s="2">
        <v>61611.0</v>
      </c>
      <c r="N1816" s="2" t="s">
        <v>21</v>
      </c>
    </row>
    <row r="1817" ht="15.75" customHeight="1">
      <c r="A1817" s="2">
        <v>2014.0</v>
      </c>
      <c r="B1817" s="2" t="s">
        <v>9214</v>
      </c>
      <c r="C1817" s="2" t="s">
        <v>9215</v>
      </c>
      <c r="D1817" s="2" t="str">
        <f>"309-370-6687"</f>
        <v>309-370-6687</v>
      </c>
      <c r="E1817" s="2" t="s">
        <v>4224</v>
      </c>
      <c r="F1817" s="2" t="s">
        <v>9216</v>
      </c>
      <c r="G1817" s="2" t="str">
        <f>"SR-2519"</f>
        <v>SR-2519</v>
      </c>
      <c r="H1817" s="2" t="s">
        <v>9217</v>
      </c>
      <c r="I1817" s="2" t="s">
        <v>9218</v>
      </c>
      <c r="K1817" s="2" t="s">
        <v>104</v>
      </c>
      <c r="L1817" s="2" t="s">
        <v>105</v>
      </c>
      <c r="M1817" s="2">
        <v>61604.0</v>
      </c>
      <c r="N1817" s="2" t="s">
        <v>21</v>
      </c>
    </row>
    <row r="1818" ht="15.75" customHeight="1">
      <c r="A1818" s="2">
        <v>2014.0</v>
      </c>
      <c r="B1818" s="2" t="s">
        <v>9219</v>
      </c>
      <c r="C1818" s="2" t="s">
        <v>9219</v>
      </c>
      <c r="D1818" s="2" t="str">
        <f>"3096920233"</f>
        <v>3096920233</v>
      </c>
      <c r="E1818" s="2" t="s">
        <v>9220</v>
      </c>
      <c r="F1818" s="2" t="s">
        <v>9221</v>
      </c>
      <c r="G1818" s="2" t="str">
        <f>"SR-2518"</f>
        <v>SR-2518</v>
      </c>
      <c r="H1818" s="2" t="s">
        <v>9222</v>
      </c>
      <c r="I1818" s="2" t="s">
        <v>9223</v>
      </c>
      <c r="K1818" s="2" t="s">
        <v>104</v>
      </c>
      <c r="L1818" s="2" t="s">
        <v>105</v>
      </c>
      <c r="M1818" s="2">
        <v>61615.0</v>
      </c>
      <c r="N1818" s="2" t="s">
        <v>21</v>
      </c>
    </row>
    <row r="1819" ht="15.75" customHeight="1">
      <c r="A1819" s="2">
        <v>2014.0</v>
      </c>
      <c r="B1819" s="2" t="s">
        <v>9224</v>
      </c>
      <c r="C1819" s="2" t="s">
        <v>9224</v>
      </c>
      <c r="D1819" s="2" t="str">
        <f>"3096911873"</f>
        <v>3096911873</v>
      </c>
      <c r="E1819" s="2" t="s">
        <v>6244</v>
      </c>
      <c r="F1819" s="2" t="s">
        <v>9225</v>
      </c>
      <c r="G1819" s="2" t="str">
        <f>"SR-2514"</f>
        <v>SR-2514</v>
      </c>
      <c r="H1819" s="2" t="s">
        <v>9226</v>
      </c>
      <c r="I1819" s="2" t="s">
        <v>9227</v>
      </c>
      <c r="K1819" s="2" t="s">
        <v>104</v>
      </c>
      <c r="L1819" s="2" t="s">
        <v>105</v>
      </c>
      <c r="M1819" s="2">
        <v>61615.0</v>
      </c>
      <c r="N1819" s="2" t="s">
        <v>21</v>
      </c>
    </row>
    <row r="1820" ht="15.75" customHeight="1">
      <c r="A1820" s="2">
        <v>2014.0</v>
      </c>
      <c r="B1820" s="2" t="s">
        <v>9228</v>
      </c>
      <c r="C1820" s="2" t="s">
        <v>9229</v>
      </c>
      <c r="D1820" s="2" t="str">
        <f>"3096454601"</f>
        <v>3096454601</v>
      </c>
      <c r="E1820" s="2" t="s">
        <v>9010</v>
      </c>
      <c r="F1820" s="2" t="s">
        <v>9230</v>
      </c>
      <c r="G1820" s="2" t="str">
        <f>"SR-2511"</f>
        <v>SR-2511</v>
      </c>
      <c r="H1820" s="2" t="s">
        <v>9231</v>
      </c>
      <c r="I1820" s="2" t="s">
        <v>9232</v>
      </c>
      <c r="K1820" s="2" t="s">
        <v>104</v>
      </c>
      <c r="L1820" s="2" t="s">
        <v>105</v>
      </c>
      <c r="M1820" s="2">
        <v>61615.0</v>
      </c>
      <c r="N1820" s="2" t="s">
        <v>21</v>
      </c>
    </row>
    <row r="1821" ht="15.75" customHeight="1">
      <c r="A1821" s="2">
        <v>2014.0</v>
      </c>
      <c r="B1821" s="2" t="s">
        <v>9233</v>
      </c>
      <c r="C1821" s="2" t="s">
        <v>9234</v>
      </c>
      <c r="D1821" s="2" t="str">
        <f>"3097121032"</f>
        <v>3097121032</v>
      </c>
      <c r="E1821" s="2" t="s">
        <v>5760</v>
      </c>
      <c r="F1821" s="2" t="s">
        <v>6486</v>
      </c>
      <c r="G1821" s="2" t="str">
        <f>"SR-2549"</f>
        <v>SR-2549</v>
      </c>
      <c r="H1821" s="2" t="s">
        <v>9235</v>
      </c>
      <c r="I1821" s="2" t="s">
        <v>9236</v>
      </c>
      <c r="K1821" s="2" t="s">
        <v>9237</v>
      </c>
      <c r="L1821" s="2" t="s">
        <v>105</v>
      </c>
      <c r="M1821" s="2">
        <v>61570.0</v>
      </c>
      <c r="N1821" s="2" t="s">
        <v>21</v>
      </c>
    </row>
    <row r="1822" ht="15.75" customHeight="1">
      <c r="A1822" s="2">
        <v>2014.0</v>
      </c>
      <c r="B1822" s="2" t="s">
        <v>9238</v>
      </c>
      <c r="C1822" s="2" t="s">
        <v>9238</v>
      </c>
      <c r="D1822" s="2" t="str">
        <f>"(309)669-6995"</f>
        <v>(309)669-6995</v>
      </c>
      <c r="E1822" s="2" t="s">
        <v>5991</v>
      </c>
      <c r="F1822" s="2" t="s">
        <v>9239</v>
      </c>
      <c r="G1822" s="2" t="str">
        <f>"SR-2489"</f>
        <v>SR-2489</v>
      </c>
      <c r="H1822" s="2" t="s">
        <v>9240</v>
      </c>
      <c r="I1822" s="2" t="s">
        <v>9241</v>
      </c>
      <c r="K1822" s="2" t="s">
        <v>104</v>
      </c>
      <c r="L1822" s="2" t="s">
        <v>105</v>
      </c>
      <c r="M1822" s="2">
        <v>61614.0</v>
      </c>
      <c r="N1822" s="2" t="s">
        <v>21</v>
      </c>
    </row>
    <row r="1823" ht="15.75" customHeight="1">
      <c r="A1823" s="2">
        <v>2014.0</v>
      </c>
      <c r="B1823" s="2" t="s">
        <v>9242</v>
      </c>
      <c r="C1823" s="2" t="s">
        <v>9243</v>
      </c>
      <c r="D1823" s="2" t="str">
        <f>"3099223187"</f>
        <v>3099223187</v>
      </c>
      <c r="E1823" s="2" t="s">
        <v>3585</v>
      </c>
      <c r="F1823" s="2" t="s">
        <v>9244</v>
      </c>
      <c r="G1823" s="2" t="str">
        <f>"SR-2486"</f>
        <v>SR-2486</v>
      </c>
      <c r="H1823" s="2" t="s">
        <v>9245</v>
      </c>
      <c r="I1823" s="2" t="s">
        <v>9246</v>
      </c>
      <c r="K1823" s="2" t="s">
        <v>104</v>
      </c>
      <c r="L1823" s="2" t="s">
        <v>105</v>
      </c>
      <c r="M1823" s="2">
        <v>61615.0</v>
      </c>
      <c r="N1823" s="2" t="s">
        <v>21</v>
      </c>
    </row>
    <row r="1824" ht="15.75" customHeight="1">
      <c r="A1824" s="2">
        <v>2014.0</v>
      </c>
      <c r="B1824" s="2" t="s">
        <v>9247</v>
      </c>
      <c r="C1824" s="2" t="s">
        <v>9248</v>
      </c>
      <c r="D1824" s="2" t="str">
        <f>"719-574-8291"</f>
        <v>719-574-8291</v>
      </c>
      <c r="E1824" s="2" t="s">
        <v>1434</v>
      </c>
      <c r="F1824" s="2" t="s">
        <v>9249</v>
      </c>
      <c r="G1824" s="2" t="str">
        <f>"SR-2731"</f>
        <v>SR-2731</v>
      </c>
      <c r="H1824" s="2" t="s">
        <v>9250</v>
      </c>
      <c r="I1824" s="2" t="s">
        <v>9251</v>
      </c>
      <c r="K1824" s="2" t="s">
        <v>809</v>
      </c>
      <c r="L1824" s="2" t="s">
        <v>157</v>
      </c>
      <c r="M1824" s="2">
        <v>80922.0</v>
      </c>
      <c r="N1824" s="2" t="s">
        <v>21</v>
      </c>
    </row>
    <row r="1825" ht="15.75" customHeight="1">
      <c r="A1825" s="2">
        <v>2014.0</v>
      </c>
      <c r="B1825" s="2" t="s">
        <v>9252</v>
      </c>
      <c r="C1825" s="2" t="s">
        <v>9253</v>
      </c>
      <c r="D1825" s="2" t="str">
        <f>"301-515-7984"</f>
        <v>301-515-7984</v>
      </c>
      <c r="E1825" s="2" t="s">
        <v>417</v>
      </c>
      <c r="F1825" s="2" t="s">
        <v>9254</v>
      </c>
      <c r="G1825" s="2" t="str">
        <f>"SR-2728"</f>
        <v>SR-2728</v>
      </c>
      <c r="H1825" s="2" t="s">
        <v>9255</v>
      </c>
      <c r="I1825" s="2" t="s">
        <v>9256</v>
      </c>
      <c r="K1825" s="2" t="s">
        <v>9257</v>
      </c>
      <c r="L1825" s="2" t="s">
        <v>1868</v>
      </c>
      <c r="M1825" s="2">
        <v>20874.0</v>
      </c>
      <c r="N1825" s="2" t="s">
        <v>21</v>
      </c>
    </row>
    <row r="1826" ht="15.75" customHeight="1">
      <c r="A1826" s="2">
        <v>2014.0</v>
      </c>
      <c r="B1826" s="2" t="s">
        <v>9258</v>
      </c>
      <c r="C1826" s="2" t="s">
        <v>9259</v>
      </c>
      <c r="D1826" s="2" t="str">
        <f>"8022635219"</f>
        <v>8022635219</v>
      </c>
      <c r="E1826" s="2" t="s">
        <v>678</v>
      </c>
      <c r="F1826" s="2" t="s">
        <v>9260</v>
      </c>
      <c r="G1826" s="2" t="str">
        <f>"SR-2478"</f>
        <v>SR-2478</v>
      </c>
      <c r="H1826" s="2" t="s">
        <v>9261</v>
      </c>
      <c r="I1826" s="2" t="s">
        <v>9262</v>
      </c>
      <c r="K1826" s="2" t="s">
        <v>9263</v>
      </c>
      <c r="L1826" s="2" t="s">
        <v>9264</v>
      </c>
      <c r="M1826" s="2">
        <v>5151.0</v>
      </c>
      <c r="N1826" s="2" t="s">
        <v>21</v>
      </c>
    </row>
    <row r="1827" ht="15.75" customHeight="1">
      <c r="A1827" s="2">
        <v>2014.0</v>
      </c>
      <c r="B1827" s="2" t="s">
        <v>3504</v>
      </c>
      <c r="C1827" s="2" t="s">
        <v>9265</v>
      </c>
      <c r="D1827" s="2" t="str">
        <f>"316-305-7231"</f>
        <v>316-305-7231</v>
      </c>
      <c r="E1827" s="2" t="s">
        <v>9266</v>
      </c>
      <c r="F1827" s="2" t="s">
        <v>9267</v>
      </c>
      <c r="G1827" s="2" t="str">
        <f>"SR-2674"</f>
        <v>SR-2674</v>
      </c>
      <c r="H1827" s="2" t="s">
        <v>9268</v>
      </c>
      <c r="I1827" s="2" t="s">
        <v>9269</v>
      </c>
      <c r="K1827" s="2" t="s">
        <v>9270</v>
      </c>
      <c r="L1827" s="2" t="s">
        <v>272</v>
      </c>
      <c r="M1827" s="2">
        <v>67144.0</v>
      </c>
      <c r="N1827" s="2" t="s">
        <v>21</v>
      </c>
    </row>
    <row r="1828" ht="15.75" customHeight="1">
      <c r="A1828" s="2">
        <v>2014.0</v>
      </c>
      <c r="B1828" s="2" t="s">
        <v>9271</v>
      </c>
      <c r="C1828" s="2" t="s">
        <v>9271</v>
      </c>
      <c r="D1828" s="2" t="str">
        <f>"706-882-5834"</f>
        <v>706-882-5834</v>
      </c>
      <c r="E1828" s="2" t="s">
        <v>50</v>
      </c>
      <c r="F1828" s="2" t="s">
        <v>9272</v>
      </c>
      <c r="G1828" s="2" t="str">
        <f>"SR-2440"</f>
        <v>SR-2440</v>
      </c>
      <c r="H1828" s="2" t="s">
        <v>9273</v>
      </c>
      <c r="I1828" s="2" t="s">
        <v>9274</v>
      </c>
      <c r="K1828" s="2" t="s">
        <v>9185</v>
      </c>
      <c r="L1828" s="2" t="s">
        <v>200</v>
      </c>
      <c r="M1828" s="2">
        <v>30240.0</v>
      </c>
      <c r="N1828" s="2" t="s">
        <v>21</v>
      </c>
    </row>
    <row r="1829" ht="15.75" customHeight="1">
      <c r="A1829" s="2">
        <v>2014.0</v>
      </c>
      <c r="B1829" s="2" t="s">
        <v>9275</v>
      </c>
      <c r="C1829" s="2" t="s">
        <v>9275</v>
      </c>
      <c r="D1829" s="2" t="str">
        <f>"712-490-9675"</f>
        <v>712-490-9675</v>
      </c>
      <c r="E1829" s="2" t="s">
        <v>1803</v>
      </c>
      <c r="F1829" s="2" t="s">
        <v>9276</v>
      </c>
      <c r="G1829" s="2" t="str">
        <f>"SR-2738"</f>
        <v>SR-2738</v>
      </c>
      <c r="H1829" s="2" t="s">
        <v>9277</v>
      </c>
      <c r="I1829" s="2" t="s">
        <v>9278</v>
      </c>
      <c r="K1829" s="2" t="s">
        <v>9279</v>
      </c>
      <c r="L1829" s="2" t="s">
        <v>560</v>
      </c>
      <c r="M1829" s="2">
        <v>51528.0</v>
      </c>
      <c r="N1829" s="2" t="s">
        <v>21</v>
      </c>
    </row>
    <row r="1830" ht="15.75" customHeight="1">
      <c r="A1830" s="2">
        <v>2014.0</v>
      </c>
      <c r="B1830" s="2" t="s">
        <v>9280</v>
      </c>
      <c r="C1830" s="2" t="s">
        <v>9280</v>
      </c>
      <c r="D1830" s="2" t="str">
        <f>"440-865-7055"</f>
        <v>440-865-7055</v>
      </c>
      <c r="E1830" s="2" t="s">
        <v>2814</v>
      </c>
      <c r="F1830" s="2" t="s">
        <v>7251</v>
      </c>
      <c r="G1830" s="2" t="str">
        <f>"SR-2658"</f>
        <v>SR-2658</v>
      </c>
      <c r="H1830" s="2" t="s">
        <v>9281</v>
      </c>
      <c r="I1830" s="2" t="s">
        <v>9282</v>
      </c>
      <c r="K1830" s="2" t="s">
        <v>8565</v>
      </c>
      <c r="L1830" s="2" t="s">
        <v>344</v>
      </c>
      <c r="M1830" s="2">
        <v>44880.0</v>
      </c>
      <c r="N1830" s="2" t="s">
        <v>21</v>
      </c>
    </row>
    <row r="1831" ht="15.75" customHeight="1">
      <c r="A1831" s="2">
        <v>2014.0</v>
      </c>
      <c r="B1831" s="2" t="s">
        <v>9283</v>
      </c>
      <c r="C1831" s="2" t="s">
        <v>9284</v>
      </c>
      <c r="D1831" s="2" t="str">
        <f>"(217) 863-2110"</f>
        <v>(217) 863-2110</v>
      </c>
      <c r="E1831" s="2" t="s">
        <v>225</v>
      </c>
      <c r="F1831" s="2" t="s">
        <v>690</v>
      </c>
      <c r="G1831" s="2" t="str">
        <f>"SR-2745"</f>
        <v>SR-2745</v>
      </c>
      <c r="H1831" s="2" t="s">
        <v>9285</v>
      </c>
      <c r="I1831" s="2" t="s">
        <v>9286</v>
      </c>
      <c r="J1831" s="2" t="s">
        <v>9287</v>
      </c>
      <c r="K1831" s="2" t="s">
        <v>9288</v>
      </c>
      <c r="L1831" s="2" t="s">
        <v>105</v>
      </c>
      <c r="M1831" s="2">
        <v>61815.0</v>
      </c>
      <c r="N1831" s="2" t="s">
        <v>21</v>
      </c>
    </row>
    <row r="1832" ht="15.75" customHeight="1">
      <c r="A1832" s="2">
        <v>2014.0</v>
      </c>
      <c r="B1832" s="2" t="s">
        <v>9151</v>
      </c>
      <c r="C1832" s="2" t="s">
        <v>9289</v>
      </c>
      <c r="D1832" s="2" t="str">
        <f>"(231) 873-5815"</f>
        <v>(231) 873-5815</v>
      </c>
      <c r="E1832" s="2" t="s">
        <v>417</v>
      </c>
      <c r="F1832" s="2" t="s">
        <v>9152</v>
      </c>
      <c r="G1832" s="2" t="str">
        <f>"SR-2747"</f>
        <v>SR-2747</v>
      </c>
      <c r="H1832" s="2" t="s">
        <v>9290</v>
      </c>
      <c r="I1832" s="2" t="s">
        <v>9291</v>
      </c>
      <c r="K1832" s="2" t="s">
        <v>4098</v>
      </c>
      <c r="L1832" s="2" t="s">
        <v>29</v>
      </c>
      <c r="M1832" s="2">
        <v>49420.0</v>
      </c>
      <c r="N1832" s="2" t="s">
        <v>21</v>
      </c>
    </row>
    <row r="1833" ht="15.75" customHeight="1">
      <c r="A1833" s="2">
        <v>2014.0</v>
      </c>
      <c r="B1833" s="2" t="s">
        <v>9292</v>
      </c>
      <c r="C1833" s="2" t="s">
        <v>9292</v>
      </c>
      <c r="D1833" s="2" t="str">
        <f>"+20-01210777807"</f>
        <v>+20-01210777807</v>
      </c>
      <c r="E1833" s="2" t="s">
        <v>9293</v>
      </c>
      <c r="F1833" s="2" t="s">
        <v>9294</v>
      </c>
      <c r="G1833" s="2" t="str">
        <f>"SR-2729"</f>
        <v>SR-2729</v>
      </c>
      <c r="H1833" s="2" t="s">
        <v>9295</v>
      </c>
      <c r="I1833" s="2" t="s">
        <v>9296</v>
      </c>
      <c r="K1833" s="2" t="s">
        <v>9297</v>
      </c>
      <c r="N1833" s="2" t="s">
        <v>9298</v>
      </c>
    </row>
    <row r="1834" ht="15.75" customHeight="1">
      <c r="A1834" s="2">
        <v>2014.0</v>
      </c>
      <c r="B1834" s="2" t="s">
        <v>9292</v>
      </c>
      <c r="C1834" s="2" t="s">
        <v>9299</v>
      </c>
      <c r="D1834" s="2" t="str">
        <f>"+20-01111801414"</f>
        <v>+20-01111801414</v>
      </c>
      <c r="E1834" s="2" t="s">
        <v>8959</v>
      </c>
      <c r="F1834" s="2" t="s">
        <v>9294</v>
      </c>
      <c r="G1834" s="2" t="str">
        <f>"SR-2749"</f>
        <v>SR-2749</v>
      </c>
      <c r="H1834" s="2" t="s">
        <v>9300</v>
      </c>
      <c r="I1834" s="2" t="s">
        <v>9301</v>
      </c>
      <c r="K1834" s="2" t="s">
        <v>9297</v>
      </c>
      <c r="N1834" s="2" t="s">
        <v>9298</v>
      </c>
    </row>
    <row r="1835" ht="15.75" customHeight="1">
      <c r="A1835" s="2">
        <v>2014.0</v>
      </c>
      <c r="B1835" s="2" t="s">
        <v>9302</v>
      </c>
      <c r="C1835" s="2" t="s">
        <v>9303</v>
      </c>
      <c r="D1835" s="2" t="str">
        <f>"817-304-6616"</f>
        <v>817-304-6616</v>
      </c>
      <c r="E1835" s="2" t="s">
        <v>2147</v>
      </c>
      <c r="F1835" s="2" t="s">
        <v>9304</v>
      </c>
      <c r="G1835" s="2" t="str">
        <f>"SR-2750"</f>
        <v>SR-2750</v>
      </c>
      <c r="H1835" s="2" t="s">
        <v>9305</v>
      </c>
      <c r="I1835" s="2" t="s">
        <v>9306</v>
      </c>
      <c r="K1835" s="2" t="s">
        <v>9307</v>
      </c>
      <c r="L1835" s="2" t="s">
        <v>172</v>
      </c>
      <c r="M1835" s="2">
        <v>76052.0</v>
      </c>
      <c r="N1835" s="2" t="s">
        <v>21</v>
      </c>
    </row>
    <row r="1836" ht="15.75" customHeight="1">
      <c r="A1836" s="2">
        <v>2014.0</v>
      </c>
      <c r="B1836" s="2" t="s">
        <v>9308</v>
      </c>
      <c r="C1836" s="2" t="s">
        <v>9308</v>
      </c>
      <c r="D1836" s="2" t="str">
        <f>"406.671.7952"</f>
        <v>406.671.7952</v>
      </c>
      <c r="E1836" s="2" t="s">
        <v>9309</v>
      </c>
      <c r="F1836" s="2" t="s">
        <v>89</v>
      </c>
      <c r="G1836" s="2" t="str">
        <f>"SR-2584"</f>
        <v>SR-2584</v>
      </c>
      <c r="H1836" s="2" t="s">
        <v>9310</v>
      </c>
      <c r="I1836" s="2" t="s">
        <v>9311</v>
      </c>
      <c r="J1836" s="2" t="s">
        <v>9312</v>
      </c>
      <c r="K1836" s="2" t="s">
        <v>5732</v>
      </c>
      <c r="L1836" s="2" t="s">
        <v>2696</v>
      </c>
      <c r="M1836" s="2">
        <v>59044.0</v>
      </c>
      <c r="N1836" s="2" t="s">
        <v>21</v>
      </c>
    </row>
    <row r="1837" ht="15.75" customHeight="1">
      <c r="A1837" s="2">
        <v>2014.0</v>
      </c>
      <c r="B1837" s="2" t="s">
        <v>670</v>
      </c>
      <c r="C1837" s="2" t="s">
        <v>671</v>
      </c>
      <c r="D1837" s="2" t="str">
        <f>"7277482207"</f>
        <v>7277482207</v>
      </c>
      <c r="E1837" s="2" t="s">
        <v>373</v>
      </c>
      <c r="F1837" s="2" t="s">
        <v>672</v>
      </c>
      <c r="G1837" s="2" t="str">
        <f>"SR-282"</f>
        <v>SR-282</v>
      </c>
      <c r="H1837" s="2" t="s">
        <v>673</v>
      </c>
      <c r="I1837" s="2" t="s">
        <v>674</v>
      </c>
      <c r="K1837" s="2" t="s">
        <v>675</v>
      </c>
      <c r="L1837" s="2" t="s">
        <v>208</v>
      </c>
      <c r="M1837" s="2">
        <v>33756.0</v>
      </c>
      <c r="N1837" s="2" t="s">
        <v>21</v>
      </c>
    </row>
    <row r="1838" ht="15.75" customHeight="1">
      <c r="A1838" s="2">
        <v>2014.0</v>
      </c>
      <c r="B1838" s="2" t="s">
        <v>9313</v>
      </c>
      <c r="C1838" s="2" t="s">
        <v>9314</v>
      </c>
      <c r="D1838" s="2" t="str">
        <f>"928-308-6979"</f>
        <v>928-308-6979</v>
      </c>
      <c r="E1838" s="2" t="s">
        <v>8687</v>
      </c>
      <c r="F1838" s="2" t="s">
        <v>9315</v>
      </c>
      <c r="G1838" s="2" t="str">
        <f>"SR-2721"</f>
        <v>SR-2721</v>
      </c>
      <c r="H1838" s="2" t="s">
        <v>9316</v>
      </c>
      <c r="I1838" s="2" t="s">
        <v>9317</v>
      </c>
      <c r="K1838" s="2" t="s">
        <v>9318</v>
      </c>
      <c r="L1838" s="2" t="s">
        <v>422</v>
      </c>
      <c r="M1838" s="2">
        <v>86303.0</v>
      </c>
      <c r="N1838" s="2" t="s">
        <v>21</v>
      </c>
    </row>
    <row r="1839" ht="15.75" customHeight="1">
      <c r="A1839" s="2">
        <v>2014.0</v>
      </c>
      <c r="B1839" s="2" t="s">
        <v>9319</v>
      </c>
      <c r="C1839" s="2" t="s">
        <v>9319</v>
      </c>
      <c r="D1839" s="2" t="str">
        <f>"301-500-4470"</f>
        <v>301-500-4470</v>
      </c>
      <c r="E1839" s="2" t="s">
        <v>9320</v>
      </c>
      <c r="F1839" s="2" t="s">
        <v>1001</v>
      </c>
      <c r="G1839" s="2" t="str">
        <f>"SR-2689"</f>
        <v>SR-2689</v>
      </c>
      <c r="H1839" s="2" t="s">
        <v>9321</v>
      </c>
      <c r="I1839" s="2" t="s">
        <v>9322</v>
      </c>
      <c r="K1839" s="2" t="s">
        <v>9323</v>
      </c>
      <c r="L1839" s="2" t="s">
        <v>1868</v>
      </c>
      <c r="M1839" s="2">
        <v>20877.0</v>
      </c>
      <c r="N1839" s="2" t="s">
        <v>21</v>
      </c>
    </row>
    <row r="1840" ht="15.75" customHeight="1">
      <c r="A1840" s="2">
        <v>2014.0</v>
      </c>
      <c r="B1840" s="2" t="s">
        <v>9324</v>
      </c>
      <c r="C1840" s="2" t="s">
        <v>9325</v>
      </c>
      <c r="D1840" s="2" t="str">
        <f>"805-967-4100"</f>
        <v>805-967-4100</v>
      </c>
      <c r="E1840" s="2" t="s">
        <v>2126</v>
      </c>
      <c r="F1840" s="2" t="s">
        <v>9326</v>
      </c>
      <c r="G1840" s="2" t="str">
        <f>"SR-2717"</f>
        <v>SR-2717</v>
      </c>
      <c r="H1840" s="2" t="s">
        <v>9327</v>
      </c>
      <c r="I1840" s="2" t="s">
        <v>9328</v>
      </c>
      <c r="K1840" s="2" t="s">
        <v>293</v>
      </c>
      <c r="L1840" s="2" t="s">
        <v>222</v>
      </c>
      <c r="M1840" s="2">
        <v>93111.0</v>
      </c>
      <c r="N1840" s="2" t="s">
        <v>21</v>
      </c>
    </row>
    <row r="1841" ht="15.75" customHeight="1">
      <c r="A1841" s="2">
        <v>2014.0</v>
      </c>
      <c r="B1841" s="2" t="s">
        <v>9329</v>
      </c>
      <c r="C1841" s="2" t="s">
        <v>9329</v>
      </c>
      <c r="D1841" s="2" t="str">
        <f>"7034702161"</f>
        <v>7034702161</v>
      </c>
      <c r="E1841" s="2" t="s">
        <v>9330</v>
      </c>
      <c r="F1841" s="2" t="s">
        <v>9331</v>
      </c>
      <c r="G1841" s="2" t="str">
        <f>"SR-2736"</f>
        <v>SR-2736</v>
      </c>
      <c r="H1841" s="2" t="s">
        <v>9332</v>
      </c>
      <c r="I1841" s="2" t="s">
        <v>9333</v>
      </c>
      <c r="K1841" s="2" t="s">
        <v>9334</v>
      </c>
      <c r="L1841" s="2" t="s">
        <v>165</v>
      </c>
      <c r="M1841" s="2">
        <v>22030.0</v>
      </c>
      <c r="N1841" s="2" t="s">
        <v>21</v>
      </c>
    </row>
    <row r="1842" ht="15.75" customHeight="1">
      <c r="A1842" s="2">
        <v>2014.0</v>
      </c>
      <c r="B1842" s="2" t="s">
        <v>4804</v>
      </c>
      <c r="C1842" s="2" t="s">
        <v>9335</v>
      </c>
      <c r="D1842" s="2" t="str">
        <f>"903 452-8210"</f>
        <v>903 452-8210</v>
      </c>
      <c r="E1842" s="2" t="s">
        <v>3956</v>
      </c>
      <c r="F1842" s="2" t="s">
        <v>543</v>
      </c>
      <c r="G1842" s="2" t="str">
        <f>"SR-2760"</f>
        <v>SR-2760</v>
      </c>
      <c r="H1842" s="2" t="s">
        <v>9336</v>
      </c>
      <c r="I1842" s="2" t="s">
        <v>4807</v>
      </c>
      <c r="K1842" s="2" t="s">
        <v>4808</v>
      </c>
      <c r="L1842" s="2" t="s">
        <v>172</v>
      </c>
      <c r="M1842" s="2">
        <v>75601.0</v>
      </c>
      <c r="N1842" s="2" t="s">
        <v>21</v>
      </c>
    </row>
    <row r="1843" ht="15.75" customHeight="1">
      <c r="A1843" s="2">
        <v>2014.0</v>
      </c>
      <c r="B1843" s="2" t="s">
        <v>9337</v>
      </c>
      <c r="C1843" s="2" t="s">
        <v>9338</v>
      </c>
      <c r="D1843" s="2" t="str">
        <f>"515 460-7773"</f>
        <v>515 460-7773</v>
      </c>
      <c r="E1843" s="2" t="s">
        <v>9339</v>
      </c>
      <c r="F1843" s="2" t="s">
        <v>9340</v>
      </c>
      <c r="G1843" s="2" t="str">
        <f>"SR-2645"</f>
        <v>SR-2645</v>
      </c>
      <c r="H1843" s="2" t="s">
        <v>9341</v>
      </c>
      <c r="I1843" s="2" t="s">
        <v>9342</v>
      </c>
      <c r="K1843" s="2" t="s">
        <v>9343</v>
      </c>
      <c r="L1843" s="2" t="s">
        <v>560</v>
      </c>
      <c r="M1843" s="2">
        <v>50201.0</v>
      </c>
      <c r="N1843" s="2" t="s">
        <v>21</v>
      </c>
    </row>
    <row r="1844" ht="15.75" customHeight="1">
      <c r="A1844" s="2">
        <v>2014.0</v>
      </c>
      <c r="B1844" s="2" t="s">
        <v>9344</v>
      </c>
      <c r="C1844" s="2" t="s">
        <v>9345</v>
      </c>
      <c r="D1844" s="2" t="str">
        <f>"9513591477"</f>
        <v>9513591477</v>
      </c>
      <c r="E1844" s="2" t="s">
        <v>72</v>
      </c>
      <c r="F1844" s="2" t="s">
        <v>959</v>
      </c>
      <c r="G1844" s="2" t="str">
        <f>"SR-2762"</f>
        <v>SR-2762</v>
      </c>
      <c r="H1844" s="2" t="s">
        <v>9346</v>
      </c>
      <c r="I1844" s="2" t="s">
        <v>9347</v>
      </c>
      <c r="K1844" s="2" t="s">
        <v>9348</v>
      </c>
      <c r="L1844" s="2" t="s">
        <v>222</v>
      </c>
      <c r="M1844" s="2">
        <v>92504.0</v>
      </c>
      <c r="N1844" s="2" t="s">
        <v>21</v>
      </c>
    </row>
    <row r="1845" ht="15.75" customHeight="1">
      <c r="A1845" s="2">
        <v>2014.0</v>
      </c>
      <c r="B1845" s="2" t="s">
        <v>9349</v>
      </c>
      <c r="C1845" s="2" t="s">
        <v>9350</v>
      </c>
      <c r="D1845" s="2" t="str">
        <f>"2313019300"</f>
        <v>2313019300</v>
      </c>
      <c r="E1845" s="2" t="s">
        <v>9351</v>
      </c>
      <c r="F1845" s="2" t="s">
        <v>51</v>
      </c>
      <c r="G1845" s="2" t="str">
        <f>"SR-2733"</f>
        <v>SR-2733</v>
      </c>
      <c r="H1845" s="2" t="s">
        <v>9352</v>
      </c>
      <c r="I1845" s="2" t="s">
        <v>9353</v>
      </c>
      <c r="K1845" s="2" t="s">
        <v>4782</v>
      </c>
      <c r="L1845" s="2" t="s">
        <v>29</v>
      </c>
      <c r="M1845" s="2">
        <v>49455.0</v>
      </c>
      <c r="N1845" s="2" t="s">
        <v>21</v>
      </c>
    </row>
    <row r="1846" ht="15.75" customHeight="1">
      <c r="A1846" s="2">
        <v>2014.0</v>
      </c>
      <c r="B1846" s="2" t="s">
        <v>9354</v>
      </c>
      <c r="C1846" s="2" t="s">
        <v>9355</v>
      </c>
      <c r="D1846" s="2" t="str">
        <f t="shared" ref="D1846:D1847" si="28">"719-494-9675"</f>
        <v>719-494-9675</v>
      </c>
      <c r="E1846" s="2" t="s">
        <v>9356</v>
      </c>
      <c r="F1846" s="2" t="s">
        <v>3779</v>
      </c>
      <c r="G1846" s="2" t="str">
        <f>"SR-2719"</f>
        <v>SR-2719</v>
      </c>
      <c r="H1846" s="2" t="s">
        <v>9357</v>
      </c>
      <c r="I1846" s="2" t="s">
        <v>9358</v>
      </c>
      <c r="K1846" s="2" t="s">
        <v>809</v>
      </c>
      <c r="L1846" s="2" t="s">
        <v>157</v>
      </c>
      <c r="M1846" s="2">
        <v>80921.0</v>
      </c>
      <c r="N1846" s="2" t="s">
        <v>21</v>
      </c>
    </row>
    <row r="1847" ht="15.75" customHeight="1">
      <c r="A1847" s="2">
        <v>2014.0</v>
      </c>
      <c r="B1847" s="2" t="s">
        <v>9354</v>
      </c>
      <c r="C1847" s="2" t="s">
        <v>9359</v>
      </c>
      <c r="D1847" s="2" t="str">
        <f t="shared" si="28"/>
        <v>719-494-9675</v>
      </c>
      <c r="E1847" s="2" t="s">
        <v>1554</v>
      </c>
      <c r="F1847" s="2" t="s">
        <v>3779</v>
      </c>
      <c r="G1847" s="2" t="str">
        <f>"SR-2718"</f>
        <v>SR-2718</v>
      </c>
      <c r="H1847" s="2" t="s">
        <v>9360</v>
      </c>
      <c r="I1847" s="2" t="s">
        <v>9358</v>
      </c>
      <c r="K1847" s="2" t="s">
        <v>809</v>
      </c>
      <c r="L1847" s="2" t="s">
        <v>157</v>
      </c>
      <c r="M1847" s="2">
        <v>80921.0</v>
      </c>
      <c r="N1847" s="2" t="s">
        <v>21</v>
      </c>
    </row>
    <row r="1848" ht="15.75" customHeight="1">
      <c r="A1848" s="2">
        <v>2014.0</v>
      </c>
      <c r="B1848" s="2" t="s">
        <v>9361</v>
      </c>
      <c r="C1848" s="2" t="s">
        <v>9361</v>
      </c>
      <c r="D1848" s="2" t="str">
        <f>"507-847-4678"</f>
        <v>507-847-4678</v>
      </c>
      <c r="E1848" s="2" t="s">
        <v>124</v>
      </c>
      <c r="F1848" s="2" t="s">
        <v>9362</v>
      </c>
      <c r="G1848" s="2" t="str">
        <f>"SR-2735"</f>
        <v>SR-2735</v>
      </c>
      <c r="H1848" s="2" t="s">
        <v>9363</v>
      </c>
      <c r="I1848" s="2" t="s">
        <v>9364</v>
      </c>
      <c r="K1848" s="2" t="s">
        <v>1257</v>
      </c>
      <c r="L1848" s="2" t="s">
        <v>62</v>
      </c>
      <c r="M1848" s="2">
        <v>56143.0</v>
      </c>
      <c r="N1848" s="2" t="s">
        <v>21</v>
      </c>
    </row>
    <row r="1849" ht="15.75" customHeight="1">
      <c r="A1849" s="2">
        <v>2014.0</v>
      </c>
      <c r="B1849" s="2" t="s">
        <v>9365</v>
      </c>
      <c r="C1849" s="2" t="s">
        <v>9365</v>
      </c>
      <c r="D1849" s="2" t="str">
        <f>"9549375421"</f>
        <v>9549375421</v>
      </c>
      <c r="E1849" s="2" t="s">
        <v>43</v>
      </c>
      <c r="F1849" s="2" t="s">
        <v>1151</v>
      </c>
      <c r="G1849" s="2" t="str">
        <f>"SR-2766"</f>
        <v>SR-2766</v>
      </c>
      <c r="H1849" s="2" t="s">
        <v>9366</v>
      </c>
      <c r="I1849" s="2" t="s">
        <v>9367</v>
      </c>
      <c r="K1849" s="2" t="s">
        <v>2897</v>
      </c>
      <c r="L1849" s="2" t="s">
        <v>208</v>
      </c>
      <c r="M1849" s="2">
        <v>33067.0</v>
      </c>
      <c r="N1849" s="2" t="s">
        <v>21</v>
      </c>
    </row>
    <row r="1850" ht="15.75" customHeight="1">
      <c r="A1850" s="2">
        <v>2014.0</v>
      </c>
      <c r="B1850" s="2" t="s">
        <v>9368</v>
      </c>
      <c r="C1850" s="2" t="s">
        <v>9368</v>
      </c>
      <c r="D1850" s="2" t="str">
        <f>"9529431446"</f>
        <v>9529431446</v>
      </c>
      <c r="E1850" s="2" t="s">
        <v>2147</v>
      </c>
      <c r="F1850" s="2" t="s">
        <v>3028</v>
      </c>
      <c r="G1850" s="2" t="str">
        <f>"SR-2476"</f>
        <v>SR-2476</v>
      </c>
      <c r="H1850" s="2" t="s">
        <v>9369</v>
      </c>
      <c r="I1850" s="2" t="s">
        <v>9370</v>
      </c>
      <c r="K1850" s="2" t="s">
        <v>3109</v>
      </c>
      <c r="L1850" s="2" t="s">
        <v>62</v>
      </c>
      <c r="M1850" s="2">
        <v>55439.0</v>
      </c>
      <c r="N1850" s="2" t="s">
        <v>21</v>
      </c>
    </row>
    <row r="1851" ht="15.75" customHeight="1">
      <c r="A1851" s="2">
        <v>2014.0</v>
      </c>
      <c r="B1851" s="2" t="s">
        <v>9371</v>
      </c>
      <c r="C1851" s="2" t="s">
        <v>9372</v>
      </c>
      <c r="D1851" s="2" t="str">
        <f t="shared" ref="D1851:D1852" si="29">"7406899087"</f>
        <v>7406899087</v>
      </c>
      <c r="E1851" s="2" t="s">
        <v>9373</v>
      </c>
      <c r="F1851" s="2" t="s">
        <v>9374</v>
      </c>
      <c r="G1851" s="2" t="str">
        <f>"SR-2643"</f>
        <v>SR-2643</v>
      </c>
      <c r="H1851" s="2" t="s">
        <v>9375</v>
      </c>
      <c r="I1851" s="2" t="s">
        <v>9376</v>
      </c>
      <c r="K1851" s="2" t="s">
        <v>2449</v>
      </c>
      <c r="L1851" s="2" t="s">
        <v>344</v>
      </c>
      <c r="M1851" s="2">
        <v>43130.0</v>
      </c>
      <c r="N1851" s="2" t="s">
        <v>21</v>
      </c>
    </row>
    <row r="1852" ht="15.75" customHeight="1">
      <c r="A1852" s="2">
        <v>2014.0</v>
      </c>
      <c r="B1852" s="2" t="s">
        <v>9371</v>
      </c>
      <c r="C1852" s="2" t="s">
        <v>9377</v>
      </c>
      <c r="D1852" s="2" t="str">
        <f t="shared" si="29"/>
        <v>7406899087</v>
      </c>
      <c r="E1852" s="2" t="s">
        <v>3878</v>
      </c>
      <c r="F1852" s="2" t="s">
        <v>9378</v>
      </c>
      <c r="G1852" s="2" t="str">
        <f>"SR-2644"</f>
        <v>SR-2644</v>
      </c>
      <c r="H1852" s="2" t="s">
        <v>9379</v>
      </c>
      <c r="I1852" s="2" t="s">
        <v>9376</v>
      </c>
      <c r="K1852" s="2" t="s">
        <v>2449</v>
      </c>
      <c r="L1852" s="2" t="s">
        <v>344</v>
      </c>
      <c r="M1852" s="2">
        <v>43130.0</v>
      </c>
      <c r="N1852" s="2" t="s">
        <v>21</v>
      </c>
    </row>
    <row r="1853" ht="15.75" customHeight="1">
      <c r="A1853" s="2">
        <v>2014.0</v>
      </c>
      <c r="B1853" s="2" t="s">
        <v>9380</v>
      </c>
      <c r="C1853" s="2" t="s">
        <v>9381</v>
      </c>
      <c r="D1853" s="2" t="str">
        <f>"3033468376"</f>
        <v>3033468376</v>
      </c>
      <c r="E1853" s="2" t="s">
        <v>2031</v>
      </c>
      <c r="F1853" s="2" t="s">
        <v>9382</v>
      </c>
      <c r="G1853" s="2" t="str">
        <f>"SR-2769"</f>
        <v>SR-2769</v>
      </c>
      <c r="H1853" s="2" t="s">
        <v>9383</v>
      </c>
      <c r="I1853" s="2" t="s">
        <v>9384</v>
      </c>
      <c r="K1853" s="2" t="s">
        <v>682</v>
      </c>
      <c r="L1853" s="2" t="s">
        <v>157</v>
      </c>
      <c r="M1853" s="2">
        <v>80129.0</v>
      </c>
      <c r="N1853" s="2" t="s">
        <v>21</v>
      </c>
    </row>
    <row r="1854" ht="15.75" customHeight="1">
      <c r="A1854" s="2">
        <v>2014.0</v>
      </c>
      <c r="B1854" s="2" t="s">
        <v>9385</v>
      </c>
      <c r="C1854" s="2" t="s">
        <v>9386</v>
      </c>
      <c r="D1854" s="2" t="str">
        <f>"(480) 838-5966"</f>
        <v>(480) 838-5966</v>
      </c>
      <c r="E1854" s="2" t="s">
        <v>50</v>
      </c>
      <c r="F1854" s="2" t="s">
        <v>9387</v>
      </c>
      <c r="G1854" s="2" t="str">
        <f>"SR-2771"</f>
        <v>SR-2771</v>
      </c>
      <c r="H1854" s="2" t="s">
        <v>9388</v>
      </c>
      <c r="I1854" s="2" t="s">
        <v>9389</v>
      </c>
      <c r="K1854" s="2" t="s">
        <v>9390</v>
      </c>
      <c r="L1854" s="2" t="s">
        <v>422</v>
      </c>
      <c r="M1854" s="2">
        <v>85283.0</v>
      </c>
      <c r="N1854" s="2" t="s">
        <v>21</v>
      </c>
    </row>
    <row r="1855" ht="15.75" customHeight="1">
      <c r="A1855" s="2">
        <v>2014.0</v>
      </c>
      <c r="B1855" s="2" t="s">
        <v>9391</v>
      </c>
      <c r="C1855" s="2" t="s">
        <v>9391</v>
      </c>
      <c r="D1855" s="2" t="str">
        <f>"3362948741"</f>
        <v>3362948741</v>
      </c>
      <c r="E1855" s="2" t="s">
        <v>2314</v>
      </c>
      <c r="F1855" s="2" t="s">
        <v>9392</v>
      </c>
      <c r="G1855" s="2" t="str">
        <f>"SR-2772"</f>
        <v>SR-2772</v>
      </c>
      <c r="H1855" s="2" t="s">
        <v>9393</v>
      </c>
      <c r="I1855" s="2" t="s">
        <v>9394</v>
      </c>
      <c r="K1855" s="2" t="s">
        <v>5837</v>
      </c>
      <c r="L1855" s="2" t="s">
        <v>20</v>
      </c>
      <c r="M1855" s="2">
        <v>27407.0</v>
      </c>
      <c r="N1855" s="2" t="s">
        <v>21</v>
      </c>
    </row>
    <row r="1856" ht="15.75" customHeight="1">
      <c r="A1856" s="2">
        <v>2014.0</v>
      </c>
      <c r="B1856" s="2" t="s">
        <v>693</v>
      </c>
      <c r="C1856" s="2" t="s">
        <v>694</v>
      </c>
      <c r="D1856" s="2" t="str">
        <f>"951-324-0095"</f>
        <v>951-324-0095</v>
      </c>
      <c r="E1856" s="2" t="s">
        <v>695</v>
      </c>
      <c r="F1856" s="2" t="s">
        <v>696</v>
      </c>
      <c r="G1856" s="2" t="str">
        <f>"SR-36"</f>
        <v>SR-36</v>
      </c>
      <c r="H1856" s="2" t="s">
        <v>697</v>
      </c>
      <c r="I1856" s="2" t="s">
        <v>698</v>
      </c>
      <c r="J1856" s="2" t="s">
        <v>699</v>
      </c>
      <c r="K1856" s="2" t="s">
        <v>700</v>
      </c>
      <c r="L1856" s="2" t="s">
        <v>701</v>
      </c>
      <c r="M1856" s="2">
        <v>7173.0</v>
      </c>
      <c r="N1856" s="2" t="s">
        <v>702</v>
      </c>
    </row>
    <row r="1857" ht="15.75" customHeight="1">
      <c r="A1857" s="2">
        <v>2014.0</v>
      </c>
      <c r="B1857" s="2" t="s">
        <v>9395</v>
      </c>
      <c r="C1857" s="2" t="s">
        <v>9396</v>
      </c>
      <c r="D1857" s="2" t="str">
        <f>"01227448481"</f>
        <v>01227448481</v>
      </c>
      <c r="E1857" s="2" t="s">
        <v>9397</v>
      </c>
      <c r="F1857" s="2" t="s">
        <v>9398</v>
      </c>
      <c r="G1857" s="2" t="str">
        <f>"SR-2752"</f>
        <v>SR-2752</v>
      </c>
      <c r="H1857" s="2" t="s">
        <v>9399</v>
      </c>
      <c r="I1857" s="2" t="s">
        <v>9400</v>
      </c>
      <c r="K1857" s="2" t="s">
        <v>9297</v>
      </c>
      <c r="N1857" s="2" t="s">
        <v>9298</v>
      </c>
    </row>
    <row r="1858" ht="15.75" customHeight="1">
      <c r="A1858" s="2">
        <v>2014.0</v>
      </c>
      <c r="B1858" s="2" t="s">
        <v>9401</v>
      </c>
      <c r="C1858" s="2" t="s">
        <v>9401</v>
      </c>
      <c r="D1858" s="2" t="str">
        <f>"704-443-0190"</f>
        <v>704-443-0190</v>
      </c>
      <c r="E1858" s="2" t="s">
        <v>1015</v>
      </c>
      <c r="F1858" s="2" t="s">
        <v>1609</v>
      </c>
      <c r="G1858" s="2" t="str">
        <f>"SR-2701"</f>
        <v>SR-2701</v>
      </c>
      <c r="H1858" s="2" t="s">
        <v>9402</v>
      </c>
      <c r="I1858" s="2" t="s">
        <v>9403</v>
      </c>
      <c r="K1858" s="2" t="s">
        <v>1612</v>
      </c>
      <c r="L1858" s="2" t="s">
        <v>20</v>
      </c>
      <c r="M1858" s="2">
        <v>28105.0</v>
      </c>
      <c r="N1858" s="2" t="s">
        <v>21</v>
      </c>
    </row>
    <row r="1859" ht="15.75" customHeight="1">
      <c r="A1859" s="2">
        <v>2014.0</v>
      </c>
      <c r="B1859" s="2" t="s">
        <v>9404</v>
      </c>
      <c r="C1859" s="2" t="s">
        <v>9405</v>
      </c>
      <c r="D1859" s="2" t="str">
        <f>"7542356917"</f>
        <v>7542356917</v>
      </c>
      <c r="E1859" s="2" t="s">
        <v>428</v>
      </c>
      <c r="F1859" s="2" t="s">
        <v>9406</v>
      </c>
      <c r="G1859" s="2" t="str">
        <f>"SR-2776"</f>
        <v>SR-2776</v>
      </c>
      <c r="H1859" s="2" t="s">
        <v>9407</v>
      </c>
      <c r="I1859" s="2" t="s">
        <v>9408</v>
      </c>
      <c r="K1859" s="2" t="s">
        <v>9409</v>
      </c>
      <c r="L1859" s="2" t="s">
        <v>208</v>
      </c>
      <c r="M1859" s="2">
        <v>33063.0</v>
      </c>
      <c r="N1859" s="2" t="s">
        <v>21</v>
      </c>
    </row>
    <row r="1860" ht="15.75" customHeight="1">
      <c r="A1860" s="2">
        <v>2014.0</v>
      </c>
      <c r="B1860" s="2" t="s">
        <v>9410</v>
      </c>
      <c r="C1860" s="2" t="s">
        <v>9411</v>
      </c>
      <c r="D1860" s="2" t="str">
        <f>"9545517634"</f>
        <v>9545517634</v>
      </c>
      <c r="E1860" s="2" t="s">
        <v>9412</v>
      </c>
      <c r="F1860" s="2" t="s">
        <v>9413</v>
      </c>
      <c r="G1860" s="2" t="str">
        <f>"SR-2763"</f>
        <v>SR-2763</v>
      </c>
      <c r="H1860" s="2" t="s">
        <v>9414</v>
      </c>
      <c r="I1860" s="2" t="s">
        <v>9415</v>
      </c>
      <c r="K1860" s="2" t="s">
        <v>2897</v>
      </c>
      <c r="L1860" s="2" t="s">
        <v>208</v>
      </c>
      <c r="M1860" s="2">
        <v>33067.0</v>
      </c>
      <c r="N1860" s="2" t="s">
        <v>21</v>
      </c>
    </row>
    <row r="1861" ht="15.75" customHeight="1">
      <c r="A1861" s="2">
        <v>2014.0</v>
      </c>
      <c r="B1861" s="2" t="s">
        <v>9416</v>
      </c>
      <c r="C1861" s="2" t="s">
        <v>9416</v>
      </c>
      <c r="D1861" s="2" t="str">
        <f>"7275014213"</f>
        <v>7275014213</v>
      </c>
      <c r="E1861" s="2" t="s">
        <v>2988</v>
      </c>
      <c r="F1861" s="2" t="s">
        <v>9417</v>
      </c>
      <c r="G1861" s="2" t="str">
        <f>"SR-2639"</f>
        <v>SR-2639</v>
      </c>
      <c r="H1861" s="2" t="s">
        <v>9418</v>
      </c>
      <c r="I1861" s="2" t="s">
        <v>9419</v>
      </c>
      <c r="K1861" s="2" t="s">
        <v>4042</v>
      </c>
      <c r="L1861" s="2" t="s">
        <v>208</v>
      </c>
      <c r="M1861" s="2">
        <v>33776.0</v>
      </c>
      <c r="N1861" s="2" t="s">
        <v>21</v>
      </c>
    </row>
    <row r="1862" ht="15.75" customHeight="1">
      <c r="A1862" s="2">
        <v>2014.0</v>
      </c>
      <c r="B1862" s="2" t="s">
        <v>9420</v>
      </c>
      <c r="C1862" s="2" t="s">
        <v>9421</v>
      </c>
      <c r="D1862" s="2" t="str">
        <f>"480-213-5109"</f>
        <v>480-213-5109</v>
      </c>
      <c r="E1862" s="2" t="s">
        <v>915</v>
      </c>
      <c r="F1862" s="2" t="s">
        <v>1151</v>
      </c>
      <c r="G1862" s="2" t="str">
        <f>"SR-2468"</f>
        <v>SR-2468</v>
      </c>
      <c r="H1862" s="2" t="s">
        <v>9422</v>
      </c>
      <c r="I1862" s="2" t="s">
        <v>9423</v>
      </c>
      <c r="K1862" s="2" t="s">
        <v>421</v>
      </c>
      <c r="L1862" s="2" t="s">
        <v>422</v>
      </c>
      <c r="M1862" s="2">
        <v>85044.0</v>
      </c>
      <c r="N1862" s="2" t="s">
        <v>21</v>
      </c>
    </row>
    <row r="1863" ht="15.75" customHeight="1">
      <c r="A1863" s="2">
        <v>2014.0</v>
      </c>
      <c r="B1863" s="2" t="s">
        <v>9424</v>
      </c>
      <c r="C1863" s="2" t="s">
        <v>9425</v>
      </c>
      <c r="D1863" s="2" t="str">
        <f>"916-635-2255"</f>
        <v>916-635-2255</v>
      </c>
      <c r="E1863" s="2" t="s">
        <v>3037</v>
      </c>
      <c r="F1863" s="2" t="s">
        <v>9426</v>
      </c>
      <c r="G1863" s="2" t="str">
        <f>"SR-2777"</f>
        <v>SR-2777</v>
      </c>
      <c r="H1863" s="2" t="s">
        <v>9427</v>
      </c>
      <c r="I1863" s="2" t="s">
        <v>9428</v>
      </c>
      <c r="K1863" s="2" t="s">
        <v>9429</v>
      </c>
      <c r="L1863" s="2" t="s">
        <v>222</v>
      </c>
      <c r="M1863" s="2">
        <v>95670.0</v>
      </c>
      <c r="N1863" s="2" t="s">
        <v>21</v>
      </c>
    </row>
    <row r="1864" ht="15.75" customHeight="1">
      <c r="A1864" s="2">
        <v>2014.0</v>
      </c>
      <c r="B1864" s="2" t="s">
        <v>9430</v>
      </c>
      <c r="C1864" s="2" t="s">
        <v>9430</v>
      </c>
      <c r="D1864" s="2" t="str">
        <f>"561-447-9120"</f>
        <v>561-447-9120</v>
      </c>
      <c r="E1864" s="2" t="s">
        <v>3878</v>
      </c>
      <c r="F1864" s="2" t="s">
        <v>2270</v>
      </c>
      <c r="G1864" s="2" t="str">
        <f>"SR-2778"</f>
        <v>SR-2778</v>
      </c>
      <c r="H1864" s="2" t="s">
        <v>9431</v>
      </c>
      <c r="I1864" s="2" t="s">
        <v>2272</v>
      </c>
      <c r="K1864" s="2" t="s">
        <v>2273</v>
      </c>
      <c r="L1864" s="2" t="s">
        <v>208</v>
      </c>
      <c r="M1864" s="2">
        <v>33432.0</v>
      </c>
      <c r="N1864" s="2" t="s">
        <v>21</v>
      </c>
    </row>
    <row r="1865" ht="15.75" customHeight="1">
      <c r="A1865" s="2">
        <v>2014.0</v>
      </c>
      <c r="B1865" s="2" t="s">
        <v>9432</v>
      </c>
      <c r="C1865" s="2" t="s">
        <v>9433</v>
      </c>
      <c r="D1865" s="2" t="str">
        <f>"208-610-9612"</f>
        <v>208-610-9612</v>
      </c>
      <c r="E1865" s="2" t="s">
        <v>3434</v>
      </c>
      <c r="F1865" s="2" t="s">
        <v>9434</v>
      </c>
      <c r="G1865" s="2" t="str">
        <f>"SR-2756"</f>
        <v>SR-2756</v>
      </c>
      <c r="H1865" s="2" t="s">
        <v>9435</v>
      </c>
      <c r="I1865" s="2" t="s">
        <v>9436</v>
      </c>
      <c r="K1865" s="2" t="s">
        <v>5046</v>
      </c>
      <c r="L1865" s="2" t="s">
        <v>2613</v>
      </c>
      <c r="M1865" s="2">
        <v>83847.0</v>
      </c>
      <c r="N1865" s="2" t="s">
        <v>21</v>
      </c>
    </row>
    <row r="1866" ht="15.75" customHeight="1">
      <c r="A1866" s="2">
        <v>2014.0</v>
      </c>
      <c r="B1866" s="2" t="s">
        <v>2268</v>
      </c>
      <c r="C1866" s="2" t="s">
        <v>2268</v>
      </c>
      <c r="D1866" s="2" t="str">
        <f>"561-447-9120"</f>
        <v>561-447-9120</v>
      </c>
      <c r="E1866" s="2" t="s">
        <v>2269</v>
      </c>
      <c r="F1866" s="2" t="s">
        <v>2270</v>
      </c>
      <c r="G1866" s="2" t="str">
        <f>"SR-314"</f>
        <v>SR-314</v>
      </c>
      <c r="H1866" s="2" t="s">
        <v>2271</v>
      </c>
      <c r="I1866" s="2" t="s">
        <v>2272</v>
      </c>
      <c r="K1866" s="2" t="s">
        <v>2273</v>
      </c>
      <c r="L1866" s="2" t="s">
        <v>208</v>
      </c>
      <c r="M1866" s="2">
        <v>33432.0</v>
      </c>
      <c r="N1866" s="2" t="s">
        <v>21</v>
      </c>
    </row>
    <row r="1867" ht="15.75" customHeight="1">
      <c r="A1867" s="2">
        <v>2014.0</v>
      </c>
      <c r="B1867" s="2" t="s">
        <v>9437</v>
      </c>
      <c r="C1867" s="2" t="s">
        <v>9437</v>
      </c>
      <c r="D1867" s="2" t="str">
        <f>"7025383252"</f>
        <v>7025383252</v>
      </c>
      <c r="E1867" s="2" t="s">
        <v>301</v>
      </c>
      <c r="F1867" s="2" t="s">
        <v>529</v>
      </c>
      <c r="G1867" s="2" t="str">
        <f>"SR-2761"</f>
        <v>SR-2761</v>
      </c>
      <c r="H1867" s="2" t="s">
        <v>9438</v>
      </c>
      <c r="I1867" s="2" t="s">
        <v>9439</v>
      </c>
      <c r="K1867" s="2" t="s">
        <v>3128</v>
      </c>
      <c r="L1867" s="2" t="s">
        <v>1419</v>
      </c>
      <c r="M1867" s="2">
        <v>89147.0</v>
      </c>
      <c r="N1867" s="2" t="s">
        <v>21</v>
      </c>
    </row>
    <row r="1868" ht="15.75" customHeight="1">
      <c r="A1868" s="2">
        <v>2014.0</v>
      </c>
      <c r="B1868" s="2" t="s">
        <v>9440</v>
      </c>
      <c r="C1868" s="2" t="s">
        <v>9441</v>
      </c>
      <c r="D1868" s="2" t="str">
        <f>"480988-1043"</f>
        <v>480988-1043</v>
      </c>
      <c r="E1868" s="2" t="s">
        <v>2941</v>
      </c>
      <c r="F1868" s="2" t="s">
        <v>5205</v>
      </c>
      <c r="G1868" s="2" t="str">
        <f>"SR-2569"</f>
        <v>SR-2569</v>
      </c>
      <c r="H1868" s="2" t="s">
        <v>9442</v>
      </c>
      <c r="I1868" s="2" t="s">
        <v>9443</v>
      </c>
      <c r="K1868" s="2" t="s">
        <v>4675</v>
      </c>
      <c r="L1868" s="2" t="s">
        <v>422</v>
      </c>
      <c r="M1868" s="2">
        <v>85298.0</v>
      </c>
      <c r="N1868" s="2" t="s">
        <v>21</v>
      </c>
    </row>
    <row r="1869" ht="15.75" customHeight="1">
      <c r="A1869" s="2">
        <v>2014.0</v>
      </c>
      <c r="B1869" s="2" t="s">
        <v>9444</v>
      </c>
      <c r="C1869" s="2" t="s">
        <v>9445</v>
      </c>
      <c r="D1869" s="2" t="str">
        <f>"(727) 504-1034"</f>
        <v>(727) 504-1034</v>
      </c>
      <c r="E1869" s="2" t="s">
        <v>417</v>
      </c>
      <c r="F1869" s="2" t="s">
        <v>9446</v>
      </c>
      <c r="G1869" s="2" t="str">
        <f>"SR-2669"</f>
        <v>SR-2669</v>
      </c>
      <c r="H1869" s="2" t="s">
        <v>9447</v>
      </c>
      <c r="I1869" s="2" t="s">
        <v>9448</v>
      </c>
      <c r="K1869" s="2" t="s">
        <v>9449</v>
      </c>
      <c r="L1869" s="2" t="s">
        <v>208</v>
      </c>
      <c r="M1869" s="2">
        <v>33709.0</v>
      </c>
      <c r="N1869" s="2" t="s">
        <v>21</v>
      </c>
    </row>
    <row r="1870" ht="15.75" customHeight="1">
      <c r="A1870" s="2">
        <v>2014.0</v>
      </c>
      <c r="B1870" s="2" t="s">
        <v>9450</v>
      </c>
      <c r="C1870" s="2" t="s">
        <v>9451</v>
      </c>
      <c r="D1870" s="2" t="str">
        <f t="shared" ref="D1870:D1871" si="30">"2319037359"</f>
        <v>2319037359</v>
      </c>
      <c r="E1870" s="2" t="s">
        <v>7864</v>
      </c>
      <c r="F1870" s="2" t="s">
        <v>2101</v>
      </c>
      <c r="G1870" s="2" t="str">
        <f>"SR-2723"</f>
        <v>SR-2723</v>
      </c>
      <c r="H1870" s="2" t="s">
        <v>9452</v>
      </c>
      <c r="I1870" s="2" t="s">
        <v>9453</v>
      </c>
      <c r="K1870" s="2" t="s">
        <v>4782</v>
      </c>
      <c r="L1870" s="2" t="s">
        <v>29</v>
      </c>
      <c r="M1870" s="2">
        <v>49455.0</v>
      </c>
      <c r="N1870" s="2" t="s">
        <v>21</v>
      </c>
    </row>
    <row r="1871" ht="15.75" customHeight="1">
      <c r="A1871" s="2">
        <v>2014.0</v>
      </c>
      <c r="B1871" s="2" t="s">
        <v>9450</v>
      </c>
      <c r="C1871" s="2" t="s">
        <v>9454</v>
      </c>
      <c r="D1871" s="2" t="str">
        <f t="shared" si="30"/>
        <v>2319037359</v>
      </c>
      <c r="E1871" s="2" t="s">
        <v>9455</v>
      </c>
      <c r="F1871" s="2" t="s">
        <v>2101</v>
      </c>
      <c r="G1871" s="2" t="str">
        <f>"SR-2599"</f>
        <v>SR-2599</v>
      </c>
      <c r="H1871" s="2" t="s">
        <v>9456</v>
      </c>
      <c r="I1871" s="2" t="s">
        <v>9453</v>
      </c>
      <c r="K1871" s="2" t="s">
        <v>4782</v>
      </c>
      <c r="L1871" s="2" t="s">
        <v>29</v>
      </c>
      <c r="M1871" s="2">
        <v>49455.0</v>
      </c>
      <c r="N1871" s="2" t="s">
        <v>21</v>
      </c>
    </row>
    <row r="1872" ht="15.75" customHeight="1">
      <c r="A1872" s="2">
        <v>2014.0</v>
      </c>
      <c r="B1872" s="2" t="s">
        <v>9457</v>
      </c>
      <c r="C1872" s="2" t="s">
        <v>9457</v>
      </c>
      <c r="D1872" s="2" t="str">
        <f>"309-697-2064"</f>
        <v>309-697-2064</v>
      </c>
      <c r="E1872" s="2" t="s">
        <v>659</v>
      </c>
      <c r="F1872" s="2" t="s">
        <v>9458</v>
      </c>
      <c r="G1872" s="2" t="str">
        <f>"SR-2497"</f>
        <v>SR-2497</v>
      </c>
      <c r="H1872" s="2" t="s">
        <v>9459</v>
      </c>
      <c r="I1872" s="2" t="s">
        <v>9460</v>
      </c>
      <c r="K1872" s="2" t="s">
        <v>9461</v>
      </c>
      <c r="L1872" s="2" t="s">
        <v>105</v>
      </c>
      <c r="M1872" s="2">
        <v>61607.0</v>
      </c>
      <c r="N1872" s="2" t="s">
        <v>21</v>
      </c>
    </row>
    <row r="1873" ht="15.75" customHeight="1">
      <c r="A1873" s="2">
        <v>2014.0</v>
      </c>
      <c r="B1873" s="2" t="s">
        <v>9462</v>
      </c>
      <c r="C1873" s="2" t="s">
        <v>9462</v>
      </c>
      <c r="D1873" s="2" t="str">
        <f>"309-266-6241"</f>
        <v>309-266-6241</v>
      </c>
      <c r="E1873" s="2" t="s">
        <v>9463</v>
      </c>
      <c r="F1873" s="2" t="s">
        <v>9464</v>
      </c>
      <c r="G1873" s="2" t="str">
        <f>"SR-2525"</f>
        <v>SR-2525</v>
      </c>
      <c r="H1873" s="2" t="s">
        <v>9465</v>
      </c>
      <c r="I1873" s="2" t="s">
        <v>9466</v>
      </c>
      <c r="K1873" s="2" t="s">
        <v>9467</v>
      </c>
      <c r="L1873" s="2" t="s">
        <v>105</v>
      </c>
      <c r="M1873" s="2">
        <v>61550.0</v>
      </c>
      <c r="N1873" s="2" t="s">
        <v>21</v>
      </c>
    </row>
    <row r="1874" ht="15.75" customHeight="1">
      <c r="A1874" s="2">
        <v>2014.0</v>
      </c>
      <c r="B1874" s="2" t="s">
        <v>9468</v>
      </c>
      <c r="C1874" s="2" t="s">
        <v>9469</v>
      </c>
      <c r="D1874" s="2" t="str">
        <f>"303 221 5306"</f>
        <v>303 221 5306</v>
      </c>
      <c r="E1874" s="2" t="s">
        <v>9470</v>
      </c>
      <c r="F1874" s="2" t="s">
        <v>9471</v>
      </c>
      <c r="G1874" s="2" t="str">
        <f>"SR-2720"</f>
        <v>SR-2720</v>
      </c>
      <c r="H1874" s="2" t="s">
        <v>9472</v>
      </c>
      <c r="I1874" s="2" t="s">
        <v>9473</v>
      </c>
      <c r="K1874" s="2" t="s">
        <v>992</v>
      </c>
      <c r="L1874" s="2" t="s">
        <v>157</v>
      </c>
      <c r="M1874" s="2">
        <v>80122.0</v>
      </c>
      <c r="N1874" s="2" t="s">
        <v>21</v>
      </c>
    </row>
    <row r="1875" ht="15.75" customHeight="1">
      <c r="A1875" s="2">
        <v>2014.0</v>
      </c>
      <c r="B1875" s="2" t="s">
        <v>9474</v>
      </c>
      <c r="C1875" s="2" t="s">
        <v>9475</v>
      </c>
      <c r="D1875" s="2" t="str">
        <f>"970-613-9517"</f>
        <v>970-613-9517</v>
      </c>
      <c r="E1875" s="2" t="s">
        <v>9476</v>
      </c>
      <c r="F1875" s="2" t="s">
        <v>2063</v>
      </c>
      <c r="G1875" s="2" t="str">
        <f>"SR-2782"</f>
        <v>SR-2782</v>
      </c>
      <c r="H1875" s="2" t="s">
        <v>9477</v>
      </c>
      <c r="I1875" s="2" t="s">
        <v>9478</v>
      </c>
      <c r="K1875" s="2" t="s">
        <v>1048</v>
      </c>
      <c r="L1875" s="2" t="s">
        <v>157</v>
      </c>
      <c r="M1875" s="2">
        <v>80538.0</v>
      </c>
      <c r="N1875" s="2" t="s">
        <v>21</v>
      </c>
    </row>
    <row r="1876" ht="15.75" customHeight="1">
      <c r="A1876" s="2">
        <v>2014.0</v>
      </c>
      <c r="B1876" s="2" t="s">
        <v>9479</v>
      </c>
      <c r="C1876" s="2" t="s">
        <v>9480</v>
      </c>
      <c r="D1876" s="2" t="str">
        <f>"952-955-1934"</f>
        <v>952-955-1934</v>
      </c>
      <c r="E1876" s="2" t="s">
        <v>1761</v>
      </c>
      <c r="F1876" s="2" t="s">
        <v>9481</v>
      </c>
      <c r="G1876" s="2" t="str">
        <f>"SR-2792"</f>
        <v>SR-2792</v>
      </c>
      <c r="H1876" s="2" t="s">
        <v>9482</v>
      </c>
      <c r="I1876" s="2" t="s">
        <v>9483</v>
      </c>
      <c r="K1876" s="2" t="s">
        <v>626</v>
      </c>
      <c r="L1876" s="2" t="s">
        <v>62</v>
      </c>
      <c r="M1876" s="2">
        <v>55388.0</v>
      </c>
      <c r="N1876" s="2" t="s">
        <v>21</v>
      </c>
    </row>
    <row r="1877" ht="15.75" customHeight="1">
      <c r="A1877" s="2">
        <v>2014.0</v>
      </c>
      <c r="B1877" s="2" t="s">
        <v>595</v>
      </c>
      <c r="C1877" s="2" t="s">
        <v>595</v>
      </c>
      <c r="D1877" s="2" t="str">
        <f>"713-857-2072"</f>
        <v>713-857-2072</v>
      </c>
      <c r="E1877" s="2" t="s">
        <v>596</v>
      </c>
      <c r="F1877" s="2" t="s">
        <v>597</v>
      </c>
      <c r="G1877" s="2" t="str">
        <f>"SR-260"</f>
        <v>SR-260</v>
      </c>
      <c r="H1877" s="2" t="s">
        <v>598</v>
      </c>
      <c r="I1877" s="2" t="s">
        <v>599</v>
      </c>
      <c r="K1877" s="2" t="s">
        <v>600</v>
      </c>
      <c r="L1877" s="2" t="s">
        <v>172</v>
      </c>
      <c r="M1877" s="2">
        <v>77571.0</v>
      </c>
      <c r="N1877" s="2" t="s">
        <v>21</v>
      </c>
    </row>
    <row r="1878" ht="15.75" customHeight="1">
      <c r="A1878" s="2">
        <v>2014.0</v>
      </c>
      <c r="B1878" s="2" t="s">
        <v>9484</v>
      </c>
      <c r="C1878" s="2" t="s">
        <v>9485</v>
      </c>
      <c r="D1878" s="2" t="str">
        <f>"5419652344"</f>
        <v>5419652344</v>
      </c>
      <c r="E1878" s="2" t="s">
        <v>9486</v>
      </c>
      <c r="F1878" s="2" t="s">
        <v>9487</v>
      </c>
      <c r="G1878" s="2" t="str">
        <f>"SR-2725"</f>
        <v>SR-2725</v>
      </c>
      <c r="H1878" s="2" t="s">
        <v>9488</v>
      </c>
      <c r="I1878" s="2" t="s">
        <v>9489</v>
      </c>
      <c r="K1878" s="2" t="s">
        <v>9490</v>
      </c>
      <c r="L1878" s="2" t="s">
        <v>2389</v>
      </c>
      <c r="M1878" s="2">
        <v>97065.0</v>
      </c>
      <c r="N1878" s="2" t="s">
        <v>21</v>
      </c>
    </row>
    <row r="1879" ht="15.75" customHeight="1">
      <c r="A1879" s="2">
        <v>2014.0</v>
      </c>
      <c r="B1879" s="2" t="s">
        <v>9491</v>
      </c>
      <c r="C1879" s="2" t="s">
        <v>9492</v>
      </c>
      <c r="D1879" s="2" t="str">
        <f>"541-993-7400"</f>
        <v>541-993-7400</v>
      </c>
      <c r="E1879" s="2" t="s">
        <v>9493</v>
      </c>
      <c r="F1879" s="2" t="s">
        <v>836</v>
      </c>
      <c r="G1879" s="2" t="str">
        <f>"SR-2726"</f>
        <v>SR-2726</v>
      </c>
      <c r="H1879" s="2" t="s">
        <v>9494</v>
      </c>
      <c r="I1879" s="2" t="s">
        <v>9495</v>
      </c>
      <c r="K1879" s="2" t="s">
        <v>9496</v>
      </c>
      <c r="L1879" s="2" t="s">
        <v>2389</v>
      </c>
      <c r="M1879" s="2">
        <v>97033.0</v>
      </c>
      <c r="N1879" s="2" t="s">
        <v>21</v>
      </c>
    </row>
    <row r="1880" ht="15.75" customHeight="1">
      <c r="A1880" s="2">
        <v>2014.0</v>
      </c>
      <c r="B1880" s="2" t="s">
        <v>9497</v>
      </c>
      <c r="C1880" s="2" t="s">
        <v>9498</v>
      </c>
      <c r="D1880" s="2" t="str">
        <f>"727-593-2858"</f>
        <v>727-593-2858</v>
      </c>
      <c r="E1880" s="2" t="s">
        <v>9499</v>
      </c>
      <c r="F1880" s="2" t="s">
        <v>9500</v>
      </c>
      <c r="G1880" s="2" t="str">
        <f>"SR-2764"</f>
        <v>SR-2764</v>
      </c>
      <c r="H1880" s="2" t="s">
        <v>9501</v>
      </c>
      <c r="I1880" s="2" t="s">
        <v>9502</v>
      </c>
      <c r="K1880" s="2" t="s">
        <v>414</v>
      </c>
      <c r="L1880" s="2" t="s">
        <v>208</v>
      </c>
      <c r="M1880" s="2">
        <v>33774.0</v>
      </c>
      <c r="N1880" s="2" t="s">
        <v>21</v>
      </c>
    </row>
    <row r="1881" ht="15.75" customHeight="1">
      <c r="A1881" s="2">
        <v>2014.0</v>
      </c>
      <c r="B1881" s="2" t="s">
        <v>9503</v>
      </c>
      <c r="C1881" s="2" t="s">
        <v>9503</v>
      </c>
      <c r="D1881" s="2" t="str">
        <f>"469-734-7446"</f>
        <v>469-734-7446</v>
      </c>
      <c r="E1881" s="2" t="s">
        <v>485</v>
      </c>
      <c r="F1881" s="2" t="s">
        <v>3301</v>
      </c>
      <c r="G1881" s="2" t="str">
        <f>"SR-2524"</f>
        <v>SR-2524</v>
      </c>
      <c r="H1881" s="2" t="s">
        <v>9504</v>
      </c>
      <c r="I1881" s="2" t="s">
        <v>9505</v>
      </c>
      <c r="K1881" s="2" t="s">
        <v>357</v>
      </c>
      <c r="L1881" s="2" t="s">
        <v>172</v>
      </c>
      <c r="M1881" s="2">
        <v>75093.0</v>
      </c>
      <c r="N1881" s="2" t="s">
        <v>21</v>
      </c>
    </row>
    <row r="1882" ht="15.75" customHeight="1">
      <c r="A1882" s="2">
        <v>2014.0</v>
      </c>
      <c r="B1882" s="2" t="s">
        <v>9506</v>
      </c>
      <c r="C1882" s="2" t="s">
        <v>9506</v>
      </c>
      <c r="D1882" s="2" t="str">
        <f>"8438700294"</f>
        <v>8438700294</v>
      </c>
      <c r="E1882" s="2" t="s">
        <v>1510</v>
      </c>
      <c r="F1882" s="2" t="s">
        <v>1511</v>
      </c>
      <c r="G1882" s="2" t="str">
        <f>"SR-2743"</f>
        <v>SR-2743</v>
      </c>
      <c r="H1882" s="2" t="s">
        <v>1512</v>
      </c>
      <c r="I1882" s="2" t="s">
        <v>9507</v>
      </c>
      <c r="K1882" s="2" t="s">
        <v>1514</v>
      </c>
      <c r="L1882" s="2" t="s">
        <v>55</v>
      </c>
      <c r="M1882" s="2">
        <v>29449.0</v>
      </c>
      <c r="N1882" s="2" t="s">
        <v>21</v>
      </c>
    </row>
    <row r="1883" ht="15.75" customHeight="1">
      <c r="A1883" s="2">
        <v>2014.0</v>
      </c>
      <c r="B1883" s="2" t="s">
        <v>9506</v>
      </c>
      <c r="C1883" s="2" t="s">
        <v>9508</v>
      </c>
      <c r="D1883" s="2" t="str">
        <f>"8437080348"</f>
        <v>8437080348</v>
      </c>
      <c r="E1883" s="2" t="s">
        <v>9509</v>
      </c>
      <c r="F1883" s="2" t="s">
        <v>1511</v>
      </c>
      <c r="G1883" s="2" t="str">
        <f>"SR-2774"</f>
        <v>SR-2774</v>
      </c>
      <c r="H1883" s="2" t="s">
        <v>9510</v>
      </c>
      <c r="I1883" s="2" t="s">
        <v>9507</v>
      </c>
      <c r="K1883" s="2" t="s">
        <v>1514</v>
      </c>
      <c r="L1883" s="2" t="s">
        <v>55</v>
      </c>
      <c r="M1883" s="2">
        <v>29449.0</v>
      </c>
      <c r="N1883" s="2" t="s">
        <v>21</v>
      </c>
    </row>
    <row r="1884" ht="15.75" customHeight="1">
      <c r="A1884" s="2">
        <v>2014.0</v>
      </c>
      <c r="B1884" s="2" t="s">
        <v>9511</v>
      </c>
      <c r="C1884" s="2" t="s">
        <v>9512</v>
      </c>
      <c r="D1884" s="2" t="str">
        <f>"509-266-4229"</f>
        <v>509-266-4229</v>
      </c>
      <c r="E1884" s="2" t="s">
        <v>9513</v>
      </c>
      <c r="F1884" s="2" t="s">
        <v>2350</v>
      </c>
      <c r="G1884" s="2" t="str">
        <f>"SR-2681"</f>
        <v>SR-2681</v>
      </c>
      <c r="H1884" s="2" t="s">
        <v>9514</v>
      </c>
      <c r="I1884" s="2" t="s">
        <v>9515</v>
      </c>
      <c r="K1884" s="2" t="s">
        <v>9516</v>
      </c>
      <c r="L1884" s="2" t="s">
        <v>86</v>
      </c>
      <c r="M1884" s="2">
        <v>99301.0</v>
      </c>
      <c r="N1884" s="2" t="s">
        <v>21</v>
      </c>
    </row>
    <row r="1885" ht="15.75" customHeight="1">
      <c r="A1885" s="2">
        <v>2014.0</v>
      </c>
      <c r="B1885" s="2" t="s">
        <v>9517</v>
      </c>
      <c r="C1885" s="2" t="s">
        <v>9517</v>
      </c>
      <c r="D1885" s="2" t="str">
        <f>"402-430-6310"</f>
        <v>402-430-6310</v>
      </c>
      <c r="E1885" s="2" t="s">
        <v>1263</v>
      </c>
      <c r="F1885" s="2" t="s">
        <v>752</v>
      </c>
      <c r="G1885" s="2" t="str">
        <f>"SR-2563"</f>
        <v>SR-2563</v>
      </c>
      <c r="H1885" s="2" t="s">
        <v>9518</v>
      </c>
      <c r="I1885" s="2" t="s">
        <v>9519</v>
      </c>
      <c r="K1885" s="2" t="s">
        <v>756</v>
      </c>
      <c r="L1885" s="2" t="s">
        <v>757</v>
      </c>
      <c r="M1885" s="2">
        <v>68372.0</v>
      </c>
      <c r="N1885" s="2" t="s">
        <v>21</v>
      </c>
    </row>
    <row r="1886" ht="15.75" customHeight="1">
      <c r="A1886" s="2">
        <v>2014.0</v>
      </c>
      <c r="B1886" s="2" t="s">
        <v>9520</v>
      </c>
      <c r="C1886" s="2" t="s">
        <v>9520</v>
      </c>
      <c r="D1886" s="2" t="str">
        <f>"727-333-1971"</f>
        <v>727-333-1971</v>
      </c>
      <c r="E1886" s="2" t="s">
        <v>9521</v>
      </c>
      <c r="F1886" s="2" t="s">
        <v>9052</v>
      </c>
      <c r="G1886" s="2" t="str">
        <f>"SR-2807"</f>
        <v>SR-2807</v>
      </c>
      <c r="H1886" s="2" t="s">
        <v>9522</v>
      </c>
      <c r="I1886" s="2" t="s">
        <v>9523</v>
      </c>
      <c r="J1886" s="2" t="s">
        <v>9524</v>
      </c>
      <c r="K1886" s="2" t="s">
        <v>414</v>
      </c>
      <c r="L1886" s="2" t="s">
        <v>208</v>
      </c>
      <c r="M1886" s="2">
        <v>33774.0</v>
      </c>
      <c r="N1886" s="2" t="s">
        <v>21</v>
      </c>
    </row>
    <row r="1887" ht="15.75" customHeight="1">
      <c r="A1887" s="2">
        <v>2014.0</v>
      </c>
      <c r="B1887" s="2" t="s">
        <v>9525</v>
      </c>
      <c r="C1887" s="2" t="s">
        <v>9526</v>
      </c>
      <c r="D1887" s="2" t="str">
        <f>"7276888877"</f>
        <v>7276888877</v>
      </c>
      <c r="E1887" s="2" t="s">
        <v>9527</v>
      </c>
      <c r="F1887" s="2" t="s">
        <v>9528</v>
      </c>
      <c r="G1887" s="2" t="str">
        <f>"SR-2808"</f>
        <v>SR-2808</v>
      </c>
      <c r="H1887" s="2" t="s">
        <v>9529</v>
      </c>
      <c r="I1887" s="2" t="s">
        <v>9530</v>
      </c>
      <c r="K1887" s="2" t="s">
        <v>3654</v>
      </c>
      <c r="L1887" s="2" t="s">
        <v>715</v>
      </c>
      <c r="M1887" s="2">
        <v>70817.0</v>
      </c>
      <c r="N1887" s="2" t="s">
        <v>21</v>
      </c>
    </row>
    <row r="1888" ht="15.75" customHeight="1">
      <c r="A1888" s="2">
        <v>2014.0</v>
      </c>
      <c r="B1888" s="2" t="s">
        <v>9531</v>
      </c>
      <c r="C1888" s="2" t="s">
        <v>9531</v>
      </c>
      <c r="D1888" s="2" t="str">
        <f>"(406) 287-3727"</f>
        <v>(406) 287-3727</v>
      </c>
      <c r="E1888" s="2" t="s">
        <v>9532</v>
      </c>
      <c r="F1888" s="2" t="s">
        <v>9533</v>
      </c>
      <c r="G1888" s="2" t="str">
        <f>"SR-2790"</f>
        <v>SR-2790</v>
      </c>
      <c r="H1888" s="2" t="s">
        <v>9534</v>
      </c>
      <c r="I1888" s="2" t="s">
        <v>9535</v>
      </c>
      <c r="K1888" s="2" t="s">
        <v>2774</v>
      </c>
      <c r="L1888" s="2" t="s">
        <v>2696</v>
      </c>
      <c r="M1888" s="2">
        <v>59721.0</v>
      </c>
      <c r="N1888" s="2" t="s">
        <v>21</v>
      </c>
    </row>
    <row r="1889" ht="15.75" customHeight="1">
      <c r="A1889" s="2">
        <v>2014.0</v>
      </c>
      <c r="B1889" s="2" t="s">
        <v>9536</v>
      </c>
      <c r="C1889" s="2" t="s">
        <v>9536</v>
      </c>
      <c r="D1889" s="2" t="str">
        <f>"9137661671"</f>
        <v>9137661671</v>
      </c>
      <c r="E1889" s="2" t="s">
        <v>2814</v>
      </c>
      <c r="F1889" s="2" t="s">
        <v>9537</v>
      </c>
      <c r="G1889" s="2" t="str">
        <f>"SR-2682"</f>
        <v>SR-2682</v>
      </c>
      <c r="H1889" s="2" t="s">
        <v>9538</v>
      </c>
      <c r="I1889" s="2" t="s">
        <v>9539</v>
      </c>
      <c r="K1889" s="2" t="s">
        <v>3329</v>
      </c>
      <c r="L1889" s="2" t="s">
        <v>272</v>
      </c>
      <c r="M1889" s="2">
        <v>66216.0</v>
      </c>
      <c r="N1889" s="2" t="s">
        <v>21</v>
      </c>
    </row>
    <row r="1890" ht="15.75" customHeight="1">
      <c r="A1890" s="2">
        <v>2014.0</v>
      </c>
      <c r="B1890" s="2" t="s">
        <v>9540</v>
      </c>
      <c r="C1890" s="2" t="s">
        <v>9540</v>
      </c>
      <c r="D1890" s="2" t="str">
        <f>"402 234 2316"</f>
        <v>402 234 2316</v>
      </c>
      <c r="E1890" s="2" t="s">
        <v>705</v>
      </c>
      <c r="F1890" s="2" t="s">
        <v>7033</v>
      </c>
      <c r="G1890" s="2" t="str">
        <f>"SR-2810"</f>
        <v>SR-2810</v>
      </c>
      <c r="H1890" s="2" t="s">
        <v>9541</v>
      </c>
      <c r="I1890" s="2" t="s">
        <v>9542</v>
      </c>
      <c r="K1890" s="2" t="s">
        <v>8552</v>
      </c>
      <c r="L1890" s="2" t="s">
        <v>757</v>
      </c>
      <c r="M1890" s="2">
        <v>68037.0</v>
      </c>
      <c r="N1890" s="2" t="s">
        <v>21</v>
      </c>
    </row>
    <row r="1891" ht="15.75" customHeight="1">
      <c r="A1891" s="2">
        <v>2014.0</v>
      </c>
      <c r="B1891" s="2" t="s">
        <v>9543</v>
      </c>
      <c r="C1891" s="2" t="s">
        <v>9543</v>
      </c>
      <c r="D1891" s="2" t="str">
        <f t="shared" ref="D1891:D1892" si="31">"9038680894"</f>
        <v>9038680894</v>
      </c>
      <c r="E1891" s="2" t="s">
        <v>678</v>
      </c>
      <c r="F1891" s="2" t="s">
        <v>9544</v>
      </c>
      <c r="G1891" s="2" t="str">
        <f>"SR-2552"</f>
        <v>SR-2552</v>
      </c>
      <c r="H1891" s="2" t="s">
        <v>9545</v>
      </c>
      <c r="I1891" s="2" t="s">
        <v>9546</v>
      </c>
      <c r="K1891" s="2" t="s">
        <v>9547</v>
      </c>
      <c r="L1891" s="2" t="s">
        <v>172</v>
      </c>
      <c r="M1891" s="2">
        <v>75092.0</v>
      </c>
      <c r="N1891" s="2" t="s">
        <v>21</v>
      </c>
    </row>
    <row r="1892" ht="15.75" customHeight="1">
      <c r="A1892" s="2">
        <v>2014.0</v>
      </c>
      <c r="B1892" s="2" t="s">
        <v>9548</v>
      </c>
      <c r="C1892" s="2" t="s">
        <v>9548</v>
      </c>
      <c r="D1892" s="2" t="str">
        <f t="shared" si="31"/>
        <v>9038680894</v>
      </c>
      <c r="E1892" s="2" t="s">
        <v>955</v>
      </c>
      <c r="F1892" s="2" t="s">
        <v>9544</v>
      </c>
      <c r="G1892" s="2" t="str">
        <f>"SR-2802"</f>
        <v>SR-2802</v>
      </c>
      <c r="H1892" s="2" t="s">
        <v>9549</v>
      </c>
      <c r="I1892" s="2" t="s">
        <v>9550</v>
      </c>
      <c r="K1892" s="2" t="s">
        <v>9547</v>
      </c>
      <c r="L1892" s="2" t="s">
        <v>172</v>
      </c>
      <c r="M1892" s="2">
        <v>75092.0</v>
      </c>
      <c r="N1892" s="2" t="s">
        <v>21</v>
      </c>
    </row>
    <row r="1893" ht="15.75" customHeight="1">
      <c r="A1893" s="2">
        <v>2014.0</v>
      </c>
      <c r="B1893" s="2" t="s">
        <v>9551</v>
      </c>
      <c r="C1893" s="2" t="s">
        <v>9551</v>
      </c>
      <c r="D1893" s="2" t="str">
        <f>"3093979958"</f>
        <v>3093979958</v>
      </c>
      <c r="E1893" s="2" t="s">
        <v>2891</v>
      </c>
      <c r="F1893" s="2" t="s">
        <v>9552</v>
      </c>
      <c r="G1893" s="2" t="str">
        <f>"SR-2730"</f>
        <v>SR-2730</v>
      </c>
      <c r="H1893" s="2" t="s">
        <v>9553</v>
      </c>
      <c r="I1893" s="2" t="s">
        <v>9554</v>
      </c>
      <c r="K1893" s="2" t="s">
        <v>9555</v>
      </c>
      <c r="L1893" s="2" t="s">
        <v>105</v>
      </c>
      <c r="M1893" s="2">
        <v>61616.0</v>
      </c>
      <c r="N1893" s="2" t="s">
        <v>21</v>
      </c>
    </row>
    <row r="1894" ht="15.75" customHeight="1">
      <c r="A1894" s="2">
        <v>2014.0</v>
      </c>
      <c r="B1894" s="2" t="s">
        <v>9556</v>
      </c>
      <c r="C1894" s="2" t="s">
        <v>9557</v>
      </c>
      <c r="D1894" s="2" t="str">
        <f>"931 380 0124"</f>
        <v>931 380 0124</v>
      </c>
      <c r="E1894" s="2" t="s">
        <v>9558</v>
      </c>
      <c r="F1894" s="2" t="s">
        <v>591</v>
      </c>
      <c r="G1894" s="2" t="str">
        <f>"SR-2741"</f>
        <v>SR-2741</v>
      </c>
      <c r="H1894" s="2" t="s">
        <v>9559</v>
      </c>
      <c r="I1894" s="2" t="s">
        <v>9560</v>
      </c>
      <c r="K1894" s="2" t="s">
        <v>2750</v>
      </c>
      <c r="L1894" s="2" t="s">
        <v>279</v>
      </c>
      <c r="M1894" s="2">
        <v>38401.0</v>
      </c>
      <c r="N1894" s="2" t="s">
        <v>21</v>
      </c>
    </row>
    <row r="1895" ht="15.75" customHeight="1">
      <c r="A1895" s="2">
        <v>2014.0</v>
      </c>
      <c r="B1895" s="2" t="s">
        <v>9561</v>
      </c>
      <c r="C1895" s="2" t="s">
        <v>9561</v>
      </c>
      <c r="D1895" s="2" t="str">
        <f>"763-744-7533"</f>
        <v>763-744-7533</v>
      </c>
      <c r="E1895" s="2" t="s">
        <v>9562</v>
      </c>
      <c r="F1895" s="2" t="s">
        <v>9563</v>
      </c>
      <c r="G1895" s="2" t="str">
        <f>"SR-2798"</f>
        <v>SR-2798</v>
      </c>
      <c r="H1895" s="2" t="s">
        <v>9564</v>
      </c>
      <c r="I1895" s="2" t="s">
        <v>9565</v>
      </c>
      <c r="K1895" s="2" t="s">
        <v>2909</v>
      </c>
      <c r="L1895" s="2" t="s">
        <v>62</v>
      </c>
      <c r="M1895" s="2">
        <v>55441.0</v>
      </c>
      <c r="N1895" s="2" t="s">
        <v>21</v>
      </c>
    </row>
    <row r="1896" ht="15.75" customHeight="1">
      <c r="A1896" s="2">
        <v>2014.0</v>
      </c>
      <c r="B1896" s="2" t="s">
        <v>9566</v>
      </c>
      <c r="C1896" s="2" t="s">
        <v>9567</v>
      </c>
      <c r="D1896" s="2" t="str">
        <f>"7138243931"</f>
        <v>7138243931</v>
      </c>
      <c r="E1896" s="2" t="s">
        <v>9568</v>
      </c>
      <c r="F1896" s="2" t="s">
        <v>9569</v>
      </c>
      <c r="G1896" s="2" t="str">
        <f>"SR-2817"</f>
        <v>SR-2817</v>
      </c>
      <c r="H1896" s="2" t="s">
        <v>9570</v>
      </c>
      <c r="I1896" s="2" t="s">
        <v>9571</v>
      </c>
      <c r="K1896" s="2" t="s">
        <v>1408</v>
      </c>
      <c r="L1896" s="2" t="s">
        <v>172</v>
      </c>
      <c r="M1896" s="2">
        <v>77328.0</v>
      </c>
      <c r="N1896" s="2" t="s">
        <v>21</v>
      </c>
    </row>
    <row r="1897" ht="15.75" customHeight="1">
      <c r="A1897" s="2">
        <v>2014.0</v>
      </c>
      <c r="B1897" s="2" t="s">
        <v>9572</v>
      </c>
      <c r="C1897" s="2" t="s">
        <v>9573</v>
      </c>
      <c r="D1897" s="2" t="str">
        <f>"757-449-0677"</f>
        <v>757-449-0677</v>
      </c>
      <c r="E1897" s="2" t="s">
        <v>24</v>
      </c>
      <c r="F1897" s="2" t="s">
        <v>189</v>
      </c>
      <c r="G1897" s="2" t="str">
        <f>"SR-2815"</f>
        <v>SR-2815</v>
      </c>
      <c r="H1897" s="2" t="s">
        <v>9574</v>
      </c>
      <c r="I1897" s="2" t="s">
        <v>9575</v>
      </c>
      <c r="K1897" s="2" t="s">
        <v>9576</v>
      </c>
      <c r="L1897" s="2" t="s">
        <v>165</v>
      </c>
      <c r="M1897" s="2">
        <v>23322.0</v>
      </c>
      <c r="N1897" s="2" t="s">
        <v>21</v>
      </c>
    </row>
    <row r="1898" ht="15.75" customHeight="1">
      <c r="A1898" s="2">
        <v>2014.0</v>
      </c>
      <c r="B1898" s="2" t="s">
        <v>9577</v>
      </c>
      <c r="C1898" s="2" t="s">
        <v>9577</v>
      </c>
      <c r="D1898" s="2" t="str">
        <f>"2704037605"</f>
        <v>2704037605</v>
      </c>
      <c r="E1898" s="2" t="s">
        <v>678</v>
      </c>
      <c r="F1898" s="2" t="s">
        <v>94</v>
      </c>
      <c r="G1898" s="2" t="str">
        <f>"SR-2827"</f>
        <v>SR-2827</v>
      </c>
      <c r="H1898" s="2" t="s">
        <v>9578</v>
      </c>
      <c r="I1898" s="2" t="s">
        <v>9579</v>
      </c>
      <c r="K1898" s="2" t="s">
        <v>9580</v>
      </c>
      <c r="L1898" s="2" t="s">
        <v>1236</v>
      </c>
      <c r="M1898" s="2">
        <v>42718.0</v>
      </c>
      <c r="N1898" s="2" t="s">
        <v>21</v>
      </c>
    </row>
    <row r="1899" ht="15.75" customHeight="1">
      <c r="A1899" s="2">
        <v>2014.0</v>
      </c>
      <c r="B1899" s="2" t="s">
        <v>5109</v>
      </c>
      <c r="C1899" s="2" t="s">
        <v>9581</v>
      </c>
      <c r="D1899" s="2" t="str">
        <f>"4237754540"</f>
        <v>4237754540</v>
      </c>
      <c r="E1899" s="2" t="s">
        <v>43</v>
      </c>
      <c r="F1899" s="2" t="s">
        <v>5111</v>
      </c>
      <c r="G1899" s="2" t="str">
        <f>"SR-1318"</f>
        <v>SR-1318</v>
      </c>
      <c r="H1899" s="2" t="s">
        <v>9582</v>
      </c>
      <c r="I1899" s="2" t="s">
        <v>9583</v>
      </c>
      <c r="K1899" s="2" t="s">
        <v>4310</v>
      </c>
      <c r="L1899" s="2" t="s">
        <v>279</v>
      </c>
      <c r="M1899" s="2">
        <v>37321.0</v>
      </c>
      <c r="N1899" s="2" t="s">
        <v>21</v>
      </c>
    </row>
    <row r="1900" ht="15.75" customHeight="1">
      <c r="A1900" s="2">
        <v>2014.0</v>
      </c>
      <c r="B1900" s="2" t="s">
        <v>9584</v>
      </c>
      <c r="C1900" s="2" t="s">
        <v>9584</v>
      </c>
      <c r="D1900" s="2" t="str">
        <f>"727-458-9530"</f>
        <v>727-458-9530</v>
      </c>
      <c r="E1900" s="2" t="s">
        <v>585</v>
      </c>
      <c r="F1900" s="2" t="s">
        <v>9585</v>
      </c>
      <c r="G1900" s="2" t="str">
        <f>"SR-2783"</f>
        <v>SR-2783</v>
      </c>
      <c r="H1900" s="2" t="s">
        <v>9586</v>
      </c>
      <c r="I1900" s="2" t="s">
        <v>9587</v>
      </c>
      <c r="K1900" s="2" t="s">
        <v>9588</v>
      </c>
      <c r="L1900" s="2" t="s">
        <v>208</v>
      </c>
      <c r="M1900" s="2">
        <v>33786.0</v>
      </c>
      <c r="N1900" s="2" t="s">
        <v>21</v>
      </c>
    </row>
    <row r="1901" ht="15.75" customHeight="1">
      <c r="A1901" s="2">
        <v>2014.0</v>
      </c>
      <c r="B1901" s="2" t="s">
        <v>9589</v>
      </c>
      <c r="C1901" s="2" t="s">
        <v>9590</v>
      </c>
      <c r="D1901" s="2" t="str">
        <f>"281-384-5286"</f>
        <v>281-384-5286</v>
      </c>
      <c r="E1901" s="2" t="s">
        <v>137</v>
      </c>
      <c r="F1901" s="2" t="s">
        <v>9591</v>
      </c>
      <c r="G1901" s="2" t="str">
        <f>"SR-2818"</f>
        <v>SR-2818</v>
      </c>
      <c r="H1901" s="2" t="s">
        <v>9592</v>
      </c>
      <c r="I1901" s="2" t="s">
        <v>9593</v>
      </c>
      <c r="K1901" s="2" t="s">
        <v>9594</v>
      </c>
      <c r="L1901" s="2" t="s">
        <v>172</v>
      </c>
      <c r="M1901" s="2">
        <v>77318.0</v>
      </c>
      <c r="N1901" s="2" t="s">
        <v>21</v>
      </c>
    </row>
    <row r="1902" ht="15.75" customHeight="1">
      <c r="A1902" s="2">
        <v>2014.0</v>
      </c>
      <c r="B1902" s="2" t="s">
        <v>9595</v>
      </c>
      <c r="C1902" s="2" t="s">
        <v>9595</v>
      </c>
      <c r="D1902" s="2" t="str">
        <f>"727-953-7678"</f>
        <v>727-953-7678</v>
      </c>
      <c r="E1902" s="2" t="s">
        <v>72</v>
      </c>
      <c r="F1902" s="2" t="s">
        <v>8725</v>
      </c>
      <c r="G1902" s="2" t="str">
        <f>"SR-2528"</f>
        <v>SR-2528</v>
      </c>
      <c r="H1902" s="2" t="s">
        <v>9596</v>
      </c>
      <c r="I1902" s="2" t="s">
        <v>9597</v>
      </c>
      <c r="K1902" s="2" t="s">
        <v>469</v>
      </c>
      <c r="L1902" s="2" t="s">
        <v>208</v>
      </c>
      <c r="M1902" s="2">
        <v>33764.0</v>
      </c>
      <c r="N1902" s="2" t="s">
        <v>21</v>
      </c>
    </row>
    <row r="1903" ht="15.75" customHeight="1">
      <c r="A1903" s="2">
        <v>2014.0</v>
      </c>
      <c r="B1903" s="2" t="s">
        <v>9598</v>
      </c>
      <c r="C1903" s="2" t="s">
        <v>9598</v>
      </c>
      <c r="D1903" s="2" t="str">
        <f>"2178918134"</f>
        <v>2178918134</v>
      </c>
      <c r="E1903" s="2" t="s">
        <v>9599</v>
      </c>
      <c r="F1903" s="2" t="s">
        <v>9600</v>
      </c>
      <c r="G1903" s="2" t="str">
        <f>"SR-2663"</f>
        <v>SR-2663</v>
      </c>
      <c r="H1903" s="2" t="s">
        <v>9601</v>
      </c>
      <c r="I1903" s="2" t="s">
        <v>9602</v>
      </c>
      <c r="K1903" s="2" t="s">
        <v>9603</v>
      </c>
      <c r="L1903" s="2" t="s">
        <v>105</v>
      </c>
      <c r="M1903" s="2">
        <v>62629.0</v>
      </c>
      <c r="N1903" s="2" t="s">
        <v>21</v>
      </c>
    </row>
    <row r="1904" ht="15.75" customHeight="1">
      <c r="A1904" s="2">
        <v>2014.0</v>
      </c>
      <c r="B1904" s="2" t="s">
        <v>9604</v>
      </c>
      <c r="C1904" s="2" t="s">
        <v>9604</v>
      </c>
      <c r="D1904" s="2" t="str">
        <f>"6785725074"</f>
        <v>6785725074</v>
      </c>
      <c r="E1904" s="2" t="s">
        <v>9605</v>
      </c>
      <c r="F1904" s="2" t="s">
        <v>9606</v>
      </c>
      <c r="G1904" s="2" t="str">
        <f>"SR-2828"</f>
        <v>SR-2828</v>
      </c>
      <c r="H1904" s="2" t="s">
        <v>9607</v>
      </c>
      <c r="I1904" s="2" t="s">
        <v>9608</v>
      </c>
      <c r="K1904" s="2" t="s">
        <v>511</v>
      </c>
      <c r="L1904" s="2" t="s">
        <v>200</v>
      </c>
      <c r="M1904" s="2">
        <v>30224.0</v>
      </c>
      <c r="N1904" s="2" t="s">
        <v>21</v>
      </c>
    </row>
    <row r="1905" ht="15.75" customHeight="1">
      <c r="A1905" s="2">
        <v>2014.0</v>
      </c>
      <c r="B1905" s="2" t="s">
        <v>6187</v>
      </c>
      <c r="C1905" s="2" t="s">
        <v>6188</v>
      </c>
      <c r="D1905" s="2" t="str">
        <f>"4083711115"</f>
        <v>4083711115</v>
      </c>
      <c r="E1905" s="2" t="s">
        <v>6189</v>
      </c>
      <c r="F1905" s="2" t="s">
        <v>6190</v>
      </c>
      <c r="G1905" s="2" t="str">
        <f>"SR-1662"</f>
        <v>SR-1662</v>
      </c>
      <c r="H1905" s="2" t="s">
        <v>6191</v>
      </c>
      <c r="I1905" s="2" t="s">
        <v>6192</v>
      </c>
      <c r="K1905" s="2" t="s">
        <v>6193</v>
      </c>
      <c r="L1905" s="2" t="s">
        <v>222</v>
      </c>
      <c r="M1905" s="2">
        <v>95008.0</v>
      </c>
      <c r="N1905" s="2" t="s">
        <v>21</v>
      </c>
    </row>
    <row r="1906" ht="15.75" customHeight="1">
      <c r="A1906" s="2">
        <v>2014.0</v>
      </c>
      <c r="B1906" s="2" t="s">
        <v>9609</v>
      </c>
      <c r="C1906" s="2" t="s">
        <v>9610</v>
      </c>
      <c r="D1906" s="2" t="str">
        <f>"9367881643"</f>
        <v>9367881643</v>
      </c>
      <c r="E1906" s="2" t="s">
        <v>4406</v>
      </c>
      <c r="F1906" s="2" t="s">
        <v>9611</v>
      </c>
      <c r="G1906" s="2" t="str">
        <f>"SR-2833"</f>
        <v>SR-2833</v>
      </c>
      <c r="H1906" s="2" t="s">
        <v>9612</v>
      </c>
      <c r="I1906" s="2" t="s">
        <v>9613</v>
      </c>
      <c r="K1906" s="2" t="s">
        <v>9614</v>
      </c>
      <c r="L1906" s="2" t="s">
        <v>172</v>
      </c>
      <c r="M1906" s="2">
        <v>77303.0</v>
      </c>
      <c r="N1906" s="2" t="s">
        <v>21</v>
      </c>
    </row>
    <row r="1907" ht="15.75" customHeight="1">
      <c r="A1907" s="2">
        <v>2014.0</v>
      </c>
      <c r="B1907" s="2" t="s">
        <v>6187</v>
      </c>
      <c r="C1907" s="2" t="s">
        <v>9615</v>
      </c>
      <c r="D1907" s="2" t="str">
        <f>"4083711115"</f>
        <v>4083711115</v>
      </c>
      <c r="E1907" s="2" t="s">
        <v>9616</v>
      </c>
      <c r="F1907" s="2" t="s">
        <v>6190</v>
      </c>
      <c r="G1907" s="2" t="str">
        <f>"SR-2845"</f>
        <v>SR-2845</v>
      </c>
      <c r="H1907" s="2" t="s">
        <v>9617</v>
      </c>
      <c r="I1907" s="2" t="s">
        <v>6192</v>
      </c>
      <c r="K1907" s="2" t="s">
        <v>6193</v>
      </c>
      <c r="L1907" s="2" t="s">
        <v>222</v>
      </c>
      <c r="M1907" s="2">
        <v>95008.0</v>
      </c>
      <c r="N1907" s="2" t="s">
        <v>21</v>
      </c>
    </row>
    <row r="1908" ht="15.75" customHeight="1">
      <c r="A1908" s="2">
        <v>2014.0</v>
      </c>
      <c r="B1908" s="2" t="s">
        <v>9618</v>
      </c>
      <c r="C1908" s="2" t="s">
        <v>9618</v>
      </c>
      <c r="D1908" s="2" t="str">
        <f>"678-817-7080"</f>
        <v>678-817-7080</v>
      </c>
      <c r="E1908" s="2" t="s">
        <v>9619</v>
      </c>
      <c r="F1908" s="2" t="s">
        <v>6574</v>
      </c>
      <c r="G1908" s="2" t="str">
        <f>"SR-2840"</f>
        <v>SR-2840</v>
      </c>
      <c r="H1908" s="2" t="s">
        <v>9620</v>
      </c>
      <c r="I1908" s="2" t="s">
        <v>9621</v>
      </c>
      <c r="K1908" s="2" t="s">
        <v>9622</v>
      </c>
      <c r="L1908" s="2" t="s">
        <v>200</v>
      </c>
      <c r="M1908" s="2">
        <v>30269.0</v>
      </c>
      <c r="N1908" s="2" t="s">
        <v>21</v>
      </c>
    </row>
    <row r="1909" ht="15.75" customHeight="1">
      <c r="A1909" s="2">
        <v>2014.0</v>
      </c>
      <c r="B1909" s="2" t="s">
        <v>9623</v>
      </c>
      <c r="C1909" s="2" t="s">
        <v>9623</v>
      </c>
      <c r="D1909" s="2" t="str">
        <f>"4044524870"</f>
        <v>4044524870</v>
      </c>
      <c r="E1909" s="2" t="s">
        <v>2309</v>
      </c>
      <c r="F1909" s="2" t="s">
        <v>9624</v>
      </c>
      <c r="G1909" s="2" t="str">
        <f>"SR-2835"</f>
        <v>SR-2835</v>
      </c>
      <c r="H1909" s="2" t="s">
        <v>9625</v>
      </c>
      <c r="I1909" s="2" t="s">
        <v>9626</v>
      </c>
      <c r="K1909" s="2" t="s">
        <v>775</v>
      </c>
      <c r="L1909" s="2" t="s">
        <v>200</v>
      </c>
      <c r="M1909" s="2">
        <v>30277.0</v>
      </c>
      <c r="N1909" s="2" t="s">
        <v>21</v>
      </c>
    </row>
    <row r="1910" ht="15.75" customHeight="1">
      <c r="A1910" s="2">
        <v>2014.0</v>
      </c>
      <c r="B1910" s="2" t="s">
        <v>9627</v>
      </c>
      <c r="C1910" s="2" t="s">
        <v>9628</v>
      </c>
      <c r="D1910" s="2" t="str">
        <f>"8652783975"</f>
        <v>8652783975</v>
      </c>
      <c r="E1910" s="2" t="s">
        <v>534</v>
      </c>
      <c r="F1910" s="2" t="s">
        <v>718</v>
      </c>
      <c r="G1910" s="2" t="str">
        <f>"SR-2847"</f>
        <v>SR-2847</v>
      </c>
      <c r="H1910" s="2" t="s">
        <v>719</v>
      </c>
      <c r="I1910" s="2" t="s">
        <v>9629</v>
      </c>
      <c r="K1910" s="2" t="s">
        <v>9630</v>
      </c>
      <c r="L1910" s="2" t="s">
        <v>279</v>
      </c>
      <c r="M1910" s="2">
        <v>37866.0</v>
      </c>
      <c r="N1910" s="2" t="s">
        <v>21</v>
      </c>
    </row>
    <row r="1911" ht="15.75" customHeight="1">
      <c r="A1911" s="2">
        <v>2014.0</v>
      </c>
      <c r="B1911" s="2" t="s">
        <v>9631</v>
      </c>
      <c r="C1911" s="2" t="s">
        <v>9631</v>
      </c>
      <c r="D1911" s="2" t="str">
        <f>"(402)957-0695"</f>
        <v>(402)957-0695</v>
      </c>
      <c r="E1911" s="2" t="s">
        <v>250</v>
      </c>
      <c r="F1911" s="2" t="s">
        <v>9632</v>
      </c>
      <c r="G1911" s="2" t="str">
        <f>"SR-2812"</f>
        <v>SR-2812</v>
      </c>
      <c r="H1911" s="2" t="s">
        <v>9633</v>
      </c>
      <c r="I1911" s="2" t="s">
        <v>9634</v>
      </c>
      <c r="K1911" s="2" t="s">
        <v>9635</v>
      </c>
      <c r="L1911" s="2" t="s">
        <v>757</v>
      </c>
      <c r="M1911" s="2">
        <v>68022.0</v>
      </c>
      <c r="N1911" s="2" t="s">
        <v>21</v>
      </c>
    </row>
    <row r="1912" ht="15.75" customHeight="1">
      <c r="A1912" s="2">
        <v>2014.0</v>
      </c>
      <c r="B1912" s="2" t="s">
        <v>2768</v>
      </c>
      <c r="C1912" s="2" t="s">
        <v>2769</v>
      </c>
      <c r="D1912" s="2" t="str">
        <f>"4064907062"</f>
        <v>4064907062</v>
      </c>
      <c r="E1912" s="2" t="s">
        <v>2770</v>
      </c>
      <c r="F1912" s="2" t="s">
        <v>2771</v>
      </c>
      <c r="G1912" s="2" t="str">
        <f>"SR-864"</f>
        <v>SR-864</v>
      </c>
      <c r="H1912" s="2" t="s">
        <v>2772</v>
      </c>
      <c r="I1912" s="2" t="s">
        <v>2773</v>
      </c>
      <c r="K1912" s="2" t="s">
        <v>2774</v>
      </c>
      <c r="L1912" s="2" t="s">
        <v>2696</v>
      </c>
      <c r="M1912" s="2">
        <v>59721.0</v>
      </c>
      <c r="N1912" s="2" t="s">
        <v>21</v>
      </c>
    </row>
    <row r="1913" ht="15.75" customHeight="1">
      <c r="A1913" s="2">
        <v>2014.0</v>
      </c>
      <c r="B1913" s="2" t="s">
        <v>9636</v>
      </c>
      <c r="C1913" s="2" t="s">
        <v>9637</v>
      </c>
      <c r="D1913" s="2" t="str">
        <f>"(952) 846-8809"</f>
        <v>(952) 846-8809</v>
      </c>
      <c r="E1913" s="2" t="s">
        <v>465</v>
      </c>
      <c r="F1913" s="2" t="s">
        <v>9638</v>
      </c>
      <c r="G1913" s="2" t="str">
        <f>"SR-2786"</f>
        <v>SR-2786</v>
      </c>
      <c r="H1913" s="2" t="s">
        <v>9639</v>
      </c>
      <c r="I1913" s="2" t="s">
        <v>9640</v>
      </c>
      <c r="J1913" s="2" t="s">
        <v>9641</v>
      </c>
      <c r="K1913" s="2" t="s">
        <v>1019</v>
      </c>
      <c r="L1913" s="2" t="s">
        <v>62</v>
      </c>
      <c r="M1913" s="2">
        <v>55437.0</v>
      </c>
      <c r="N1913" s="2" t="s">
        <v>21</v>
      </c>
    </row>
    <row r="1914" ht="15.75" customHeight="1">
      <c r="A1914" s="2">
        <v>2014.0</v>
      </c>
      <c r="B1914" s="2" t="s">
        <v>9642</v>
      </c>
      <c r="C1914" s="2" t="s">
        <v>9642</v>
      </c>
      <c r="D1914" s="2" t="str">
        <f t="shared" ref="D1914:D1915" si="32">"320-354-5573"</f>
        <v>320-354-5573</v>
      </c>
      <c r="E1914" s="2" t="s">
        <v>1197</v>
      </c>
      <c r="F1914" s="2" t="s">
        <v>9643</v>
      </c>
      <c r="G1914" s="2" t="str">
        <f>"SR-2791"</f>
        <v>SR-2791</v>
      </c>
      <c r="H1914" s="2" t="s">
        <v>9644</v>
      </c>
      <c r="I1914" s="2" t="s">
        <v>9645</v>
      </c>
      <c r="K1914" s="2" t="s">
        <v>9646</v>
      </c>
      <c r="L1914" s="2" t="s">
        <v>62</v>
      </c>
      <c r="M1914" s="2">
        <v>56273.0</v>
      </c>
      <c r="N1914" s="2" t="s">
        <v>21</v>
      </c>
    </row>
    <row r="1915" ht="15.75" customHeight="1">
      <c r="A1915" s="2">
        <v>2014.0</v>
      </c>
      <c r="B1915" s="2" t="s">
        <v>9642</v>
      </c>
      <c r="C1915" s="2" t="s">
        <v>9642</v>
      </c>
      <c r="D1915" s="2" t="str">
        <f t="shared" si="32"/>
        <v>320-354-5573</v>
      </c>
      <c r="E1915" s="2" t="s">
        <v>1347</v>
      </c>
      <c r="F1915" s="2" t="s">
        <v>9643</v>
      </c>
      <c r="G1915" s="2" t="str">
        <f>"SR-2634"</f>
        <v>SR-2634</v>
      </c>
      <c r="H1915" s="2" t="s">
        <v>9647</v>
      </c>
      <c r="I1915" s="2" t="s">
        <v>9648</v>
      </c>
      <c r="K1915" s="2" t="s">
        <v>9646</v>
      </c>
      <c r="L1915" s="2" t="s">
        <v>62</v>
      </c>
      <c r="M1915" s="2">
        <v>56273.0</v>
      </c>
      <c r="N1915" s="2" t="s">
        <v>21</v>
      </c>
    </row>
    <row r="1916" ht="15.75" customHeight="1">
      <c r="A1916" s="2">
        <v>2014.0</v>
      </c>
      <c r="B1916" s="2" t="s">
        <v>9649</v>
      </c>
      <c r="C1916" s="2" t="s">
        <v>9649</v>
      </c>
      <c r="D1916" s="2" t="str">
        <f>"(763) 548-4300"</f>
        <v>(763) 548-4300</v>
      </c>
      <c r="E1916" s="2" t="s">
        <v>666</v>
      </c>
      <c r="F1916" s="2" t="s">
        <v>9650</v>
      </c>
      <c r="G1916" s="2" t="str">
        <f>"SR-2632"</f>
        <v>SR-2632</v>
      </c>
      <c r="H1916" s="2" t="s">
        <v>9651</v>
      </c>
      <c r="I1916" s="2" t="s">
        <v>9652</v>
      </c>
      <c r="K1916" s="2" t="s">
        <v>7237</v>
      </c>
      <c r="L1916" s="2" t="s">
        <v>62</v>
      </c>
      <c r="M1916" s="2">
        <v>56251.0</v>
      </c>
      <c r="N1916" s="2" t="s">
        <v>21</v>
      </c>
    </row>
    <row r="1917" ht="15.75" customHeight="1">
      <c r="A1917" s="2">
        <v>2014.0</v>
      </c>
      <c r="B1917" s="2" t="s">
        <v>9653</v>
      </c>
      <c r="C1917" s="2" t="s">
        <v>9653</v>
      </c>
      <c r="D1917" s="2" t="str">
        <f>"6232519898"</f>
        <v>6232519898</v>
      </c>
      <c r="E1917" s="2" t="s">
        <v>261</v>
      </c>
      <c r="F1917" s="2" t="s">
        <v>1040</v>
      </c>
      <c r="G1917" s="2" t="str">
        <f>"SR-2820"</f>
        <v>SR-2820</v>
      </c>
      <c r="H1917" s="2" t="s">
        <v>9654</v>
      </c>
      <c r="I1917" s="2" t="s">
        <v>9655</v>
      </c>
      <c r="K1917" s="2" t="s">
        <v>104</v>
      </c>
      <c r="L1917" s="2" t="s">
        <v>422</v>
      </c>
      <c r="M1917" s="2">
        <v>85345.0</v>
      </c>
      <c r="N1917" s="2" t="s">
        <v>21</v>
      </c>
    </row>
    <row r="1918" ht="15.75" customHeight="1">
      <c r="A1918" s="2">
        <v>2014.0</v>
      </c>
      <c r="B1918" s="2" t="s">
        <v>9656</v>
      </c>
      <c r="C1918" s="2" t="s">
        <v>9656</v>
      </c>
      <c r="D1918" s="2" t="str">
        <f>"9529346997"</f>
        <v>9529346997</v>
      </c>
      <c r="E1918" s="2" t="s">
        <v>160</v>
      </c>
      <c r="F1918" s="2" t="s">
        <v>984</v>
      </c>
      <c r="G1918" s="2" t="str">
        <f>"SR-2734"</f>
        <v>SR-2734</v>
      </c>
      <c r="H1918" s="2" t="s">
        <v>9657</v>
      </c>
      <c r="I1918" s="2" t="s">
        <v>9658</v>
      </c>
      <c r="K1918" s="2" t="s">
        <v>1490</v>
      </c>
      <c r="L1918" s="2" t="s">
        <v>62</v>
      </c>
      <c r="M1918" s="2">
        <v>55346.0</v>
      </c>
      <c r="N1918" s="2" t="s">
        <v>21</v>
      </c>
    </row>
    <row r="1919" ht="15.75" customHeight="1">
      <c r="A1919" s="2">
        <v>2014.0</v>
      </c>
      <c r="B1919" s="2" t="s">
        <v>9659</v>
      </c>
      <c r="C1919" s="2" t="s">
        <v>9659</v>
      </c>
      <c r="D1919" s="2" t="str">
        <f>"432-262-3846"</f>
        <v>432-262-3846</v>
      </c>
      <c r="E1919" s="2" t="s">
        <v>167</v>
      </c>
      <c r="F1919" s="2" t="s">
        <v>386</v>
      </c>
      <c r="G1919" s="2" t="str">
        <f>"SR-2853"</f>
        <v>SR-2853</v>
      </c>
      <c r="H1919" s="2" t="s">
        <v>9660</v>
      </c>
      <c r="I1919" s="2" t="s">
        <v>9661</v>
      </c>
      <c r="K1919" s="2" t="s">
        <v>286</v>
      </c>
      <c r="L1919" s="2" t="s">
        <v>172</v>
      </c>
      <c r="M1919" s="2">
        <v>79705.0</v>
      </c>
      <c r="N1919" s="2" t="s">
        <v>21</v>
      </c>
    </row>
    <row r="1920" ht="15.75" customHeight="1">
      <c r="A1920" s="2">
        <v>2014.0</v>
      </c>
      <c r="B1920" s="2" t="s">
        <v>9662</v>
      </c>
      <c r="C1920" s="2" t="s">
        <v>9663</v>
      </c>
      <c r="D1920" s="2" t="str">
        <f>"317-513-3984"</f>
        <v>317-513-3984</v>
      </c>
      <c r="E1920" s="2" t="s">
        <v>1529</v>
      </c>
      <c r="F1920" s="2" t="s">
        <v>6365</v>
      </c>
      <c r="G1920" s="2" t="str">
        <f>"SR-2856"</f>
        <v>SR-2856</v>
      </c>
      <c r="H1920" s="2" t="s">
        <v>9664</v>
      </c>
      <c r="I1920" s="2" t="s">
        <v>9665</v>
      </c>
      <c r="K1920" s="2" t="s">
        <v>278</v>
      </c>
      <c r="L1920" s="2" t="s">
        <v>149</v>
      </c>
      <c r="M1920" s="2">
        <v>46131.0</v>
      </c>
      <c r="N1920" s="2" t="s">
        <v>21</v>
      </c>
    </row>
    <row r="1921" ht="15.75" customHeight="1">
      <c r="A1921" s="2">
        <v>2014.0</v>
      </c>
      <c r="B1921" s="2" t="s">
        <v>9666</v>
      </c>
      <c r="C1921" s="2" t="s">
        <v>9666</v>
      </c>
      <c r="D1921" s="2" t="str">
        <f>"949-492-5328"</f>
        <v>949-492-5328</v>
      </c>
      <c r="E1921" s="2" t="s">
        <v>282</v>
      </c>
      <c r="F1921" s="2" t="s">
        <v>9667</v>
      </c>
      <c r="G1921" s="2" t="str">
        <f>"SR-2857"</f>
        <v>SR-2857</v>
      </c>
      <c r="H1921" s="2" t="s">
        <v>9668</v>
      </c>
      <c r="I1921" s="2" t="s">
        <v>9669</v>
      </c>
      <c r="K1921" s="2" t="s">
        <v>9670</v>
      </c>
      <c r="L1921" s="2" t="s">
        <v>222</v>
      </c>
      <c r="M1921" s="2">
        <v>92672.0</v>
      </c>
      <c r="N1921" s="2" t="s">
        <v>21</v>
      </c>
    </row>
    <row r="1922" ht="15.75" customHeight="1">
      <c r="A1922" s="2">
        <v>2014.0</v>
      </c>
      <c r="B1922" s="2" t="s">
        <v>9671</v>
      </c>
      <c r="C1922" s="2" t="s">
        <v>9671</v>
      </c>
      <c r="D1922" s="2" t="str">
        <f>"954-551-9235"</f>
        <v>954-551-9235</v>
      </c>
      <c r="E1922" s="2" t="s">
        <v>9672</v>
      </c>
      <c r="F1922" s="2" t="s">
        <v>9673</v>
      </c>
      <c r="G1922" s="2" t="str">
        <f>"SR-742"</f>
        <v>SR-742</v>
      </c>
      <c r="H1922" s="2" t="s">
        <v>9674</v>
      </c>
      <c r="I1922" s="2" t="s">
        <v>9675</v>
      </c>
      <c r="K1922" s="2" t="s">
        <v>9676</v>
      </c>
      <c r="L1922" s="2" t="s">
        <v>208</v>
      </c>
      <c r="M1922" s="2">
        <v>33308.0</v>
      </c>
      <c r="N1922" s="2" t="s">
        <v>21</v>
      </c>
    </row>
    <row r="1923" ht="15.75" customHeight="1">
      <c r="A1923" s="2">
        <v>2014.0</v>
      </c>
      <c r="B1923" s="2" t="s">
        <v>9677</v>
      </c>
      <c r="C1923" s="2" t="s">
        <v>9678</v>
      </c>
      <c r="D1923" s="2" t="str">
        <f>"5017334102"</f>
        <v>5017334102</v>
      </c>
      <c r="E1923" s="2" t="s">
        <v>1263</v>
      </c>
      <c r="F1923" s="2" t="s">
        <v>9679</v>
      </c>
      <c r="G1923" s="2" t="str">
        <f>"SR-2496"</f>
        <v>SR-2496</v>
      </c>
      <c r="H1923" s="2" t="s">
        <v>9680</v>
      </c>
      <c r="I1923" s="2" t="s">
        <v>9681</v>
      </c>
      <c r="K1923" s="2" t="s">
        <v>9682</v>
      </c>
      <c r="L1923" s="2" t="s">
        <v>1012</v>
      </c>
      <c r="M1923" s="2">
        <v>72032.0</v>
      </c>
      <c r="N1923" s="2" t="s">
        <v>21</v>
      </c>
    </row>
    <row r="1924" ht="15.75" customHeight="1">
      <c r="A1924" s="2">
        <v>2014.0</v>
      </c>
      <c r="B1924" s="2" t="s">
        <v>9683</v>
      </c>
      <c r="C1924" s="2" t="s">
        <v>9683</v>
      </c>
      <c r="D1924" s="2" t="str">
        <f>"4028951941"</f>
        <v>4028951941</v>
      </c>
      <c r="E1924" s="2" t="s">
        <v>1782</v>
      </c>
      <c r="F1924" s="2" t="s">
        <v>9684</v>
      </c>
      <c r="G1924" s="2" t="str">
        <f>"SR-2861"</f>
        <v>SR-2861</v>
      </c>
      <c r="H1924" s="2" t="s">
        <v>9685</v>
      </c>
      <c r="I1924" s="2" t="s">
        <v>9686</v>
      </c>
      <c r="K1924" s="2" t="s">
        <v>1470</v>
      </c>
      <c r="L1924" s="2" t="s">
        <v>757</v>
      </c>
      <c r="M1924" s="2">
        <v>68130.0</v>
      </c>
      <c r="N1924" s="2" t="s">
        <v>21</v>
      </c>
    </row>
    <row r="1925" ht="15.75" customHeight="1">
      <c r="A1925" s="2">
        <v>2014.0</v>
      </c>
      <c r="B1925" s="2" t="s">
        <v>1515</v>
      </c>
      <c r="C1925" s="2" t="s">
        <v>9687</v>
      </c>
      <c r="D1925" s="2" t="str">
        <f>"303-366-5297"</f>
        <v>303-366-5297</v>
      </c>
      <c r="E1925" s="2" t="s">
        <v>2412</v>
      </c>
      <c r="F1925" s="2" t="s">
        <v>1517</v>
      </c>
      <c r="G1925" s="2" t="str">
        <f>"SR-2590"</f>
        <v>SR-2590</v>
      </c>
      <c r="H1925" s="2" t="s">
        <v>9688</v>
      </c>
      <c r="I1925" s="2" t="s">
        <v>1519</v>
      </c>
      <c r="K1925" s="2" t="s">
        <v>1520</v>
      </c>
      <c r="L1925" s="2" t="s">
        <v>157</v>
      </c>
      <c r="M1925" s="2">
        <v>80011.0</v>
      </c>
      <c r="N1925" s="2" t="s">
        <v>21</v>
      </c>
    </row>
    <row r="1926" ht="15.75" customHeight="1">
      <c r="A1926" s="2">
        <v>2014.0</v>
      </c>
      <c r="B1926" s="2" t="s">
        <v>9683</v>
      </c>
      <c r="C1926" s="2" t="s">
        <v>9683</v>
      </c>
      <c r="D1926" s="2" t="str">
        <f>"4028951941"</f>
        <v>4028951941</v>
      </c>
      <c r="E1926" s="2" t="s">
        <v>72</v>
      </c>
      <c r="F1926" s="2" t="s">
        <v>9684</v>
      </c>
      <c r="G1926" s="2" t="str">
        <f>"SR-2863"</f>
        <v>SR-2863</v>
      </c>
      <c r="H1926" s="2" t="s">
        <v>9689</v>
      </c>
      <c r="I1926" s="2" t="s">
        <v>9686</v>
      </c>
      <c r="K1926" s="2" t="s">
        <v>1470</v>
      </c>
      <c r="L1926" s="2" t="s">
        <v>757</v>
      </c>
      <c r="M1926" s="2">
        <v>68130.0</v>
      </c>
      <c r="N1926" s="2" t="s">
        <v>21</v>
      </c>
    </row>
    <row r="1927" ht="15.75" customHeight="1">
      <c r="A1927" s="2">
        <v>2014.0</v>
      </c>
      <c r="B1927" s="2" t="s">
        <v>9690</v>
      </c>
      <c r="C1927" s="2" t="s">
        <v>9691</v>
      </c>
      <c r="D1927" s="2" t="str">
        <f>"7078883405"</f>
        <v>7078883405</v>
      </c>
      <c r="E1927" s="2" t="s">
        <v>485</v>
      </c>
      <c r="F1927" s="2" t="s">
        <v>9692</v>
      </c>
      <c r="G1927" s="2" t="str">
        <f>"SR-2821"</f>
        <v>SR-2821</v>
      </c>
      <c r="H1927" s="2" t="s">
        <v>9693</v>
      </c>
      <c r="I1927" s="2" t="s">
        <v>9694</v>
      </c>
      <c r="K1927" s="2" t="s">
        <v>9695</v>
      </c>
      <c r="L1927" s="2" t="s">
        <v>222</v>
      </c>
      <c r="M1927" s="2">
        <v>95404.0</v>
      </c>
      <c r="N1927" s="2" t="s">
        <v>21</v>
      </c>
    </row>
    <row r="1928" ht="15.75" customHeight="1">
      <c r="A1928" s="2">
        <v>2014.0</v>
      </c>
      <c r="B1928" s="2" t="s">
        <v>9690</v>
      </c>
      <c r="C1928" s="2" t="s">
        <v>9696</v>
      </c>
      <c r="D1928" s="2" t="str">
        <f>"7074945747"</f>
        <v>7074945747</v>
      </c>
      <c r="E1928" s="2" t="s">
        <v>1744</v>
      </c>
      <c r="F1928" s="2" t="s">
        <v>9692</v>
      </c>
      <c r="G1928" s="2" t="str">
        <f>"SR-2737"</f>
        <v>SR-2737</v>
      </c>
      <c r="H1928" s="2" t="s">
        <v>9697</v>
      </c>
      <c r="I1928" s="2" t="s">
        <v>9694</v>
      </c>
      <c r="K1928" s="2" t="s">
        <v>9695</v>
      </c>
      <c r="L1928" s="2" t="s">
        <v>222</v>
      </c>
      <c r="M1928" s="2">
        <v>95404.0</v>
      </c>
      <c r="N1928" s="2" t="s">
        <v>21</v>
      </c>
    </row>
    <row r="1929" ht="15.75" customHeight="1">
      <c r="A1929" s="2">
        <v>2014.0</v>
      </c>
      <c r="B1929" s="2" t="s">
        <v>9698</v>
      </c>
      <c r="C1929" s="2" t="s">
        <v>9698</v>
      </c>
      <c r="D1929" s="2" t="str">
        <f>"6202184664"</f>
        <v>6202184664</v>
      </c>
      <c r="E1929" s="2" t="s">
        <v>373</v>
      </c>
      <c r="F1929" s="2" t="s">
        <v>2231</v>
      </c>
      <c r="G1929" s="2" t="str">
        <f>"SR-2862"</f>
        <v>SR-2862</v>
      </c>
      <c r="H1929" s="2" t="s">
        <v>9699</v>
      </c>
      <c r="I1929" s="2" t="s">
        <v>9700</v>
      </c>
      <c r="K1929" s="2" t="s">
        <v>3530</v>
      </c>
      <c r="L1929" s="2" t="s">
        <v>272</v>
      </c>
      <c r="M1929" s="2">
        <v>67156.0</v>
      </c>
      <c r="N1929" s="2" t="s">
        <v>21</v>
      </c>
    </row>
    <row r="1930" ht="15.75" customHeight="1">
      <c r="A1930" s="2">
        <v>2014.0</v>
      </c>
      <c r="B1930" s="2" t="s">
        <v>9701</v>
      </c>
      <c r="C1930" s="2" t="s">
        <v>9701</v>
      </c>
      <c r="D1930" s="2" t="str">
        <f>"7708289552"</f>
        <v>7708289552</v>
      </c>
      <c r="E1930" s="2" t="s">
        <v>2988</v>
      </c>
      <c r="F1930" s="2" t="s">
        <v>9017</v>
      </c>
      <c r="G1930" s="2" t="str">
        <f>"SR-2414"</f>
        <v>SR-2414</v>
      </c>
      <c r="H1930" s="2" t="s">
        <v>9702</v>
      </c>
      <c r="I1930" s="2" t="s">
        <v>9703</v>
      </c>
      <c r="K1930" s="2" t="s">
        <v>1685</v>
      </c>
      <c r="L1930" s="2" t="s">
        <v>200</v>
      </c>
      <c r="M1930" s="2">
        <v>30188.0</v>
      </c>
      <c r="N1930" s="2" t="s">
        <v>21</v>
      </c>
    </row>
    <row r="1931" ht="15.75" customHeight="1">
      <c r="A1931" s="2">
        <v>2014.0</v>
      </c>
      <c r="B1931" s="2" t="s">
        <v>5533</v>
      </c>
      <c r="C1931" s="2" t="s">
        <v>5533</v>
      </c>
      <c r="D1931" s="2" t="str">
        <f>"937-728-2641"</f>
        <v>937-728-2641</v>
      </c>
      <c r="E1931" s="2" t="s">
        <v>5534</v>
      </c>
      <c r="F1931" s="2" t="s">
        <v>5535</v>
      </c>
      <c r="G1931" s="2" t="str">
        <f>"SR-2858"</f>
        <v>SR-2858</v>
      </c>
      <c r="H1931" s="2" t="s">
        <v>5536</v>
      </c>
      <c r="I1931" s="2" t="s">
        <v>9704</v>
      </c>
      <c r="K1931" s="2" t="s">
        <v>1019</v>
      </c>
      <c r="L1931" s="2" t="s">
        <v>149</v>
      </c>
      <c r="M1931" s="2">
        <v>47403.0</v>
      </c>
      <c r="N1931" s="2" t="s">
        <v>21</v>
      </c>
    </row>
    <row r="1932" ht="15.75" customHeight="1">
      <c r="A1932" s="2">
        <v>2014.0</v>
      </c>
      <c r="B1932" s="2" t="s">
        <v>9705</v>
      </c>
      <c r="C1932" s="2" t="s">
        <v>9706</v>
      </c>
      <c r="D1932" s="2" t="str">
        <f>"505-379-7962"</f>
        <v>505-379-7962</v>
      </c>
      <c r="E1932" s="2" t="s">
        <v>9707</v>
      </c>
      <c r="F1932" s="2" t="s">
        <v>9708</v>
      </c>
      <c r="G1932" s="2" t="str">
        <f>"SR-2768"</f>
        <v>SR-2768</v>
      </c>
      <c r="H1932" s="2" t="s">
        <v>9709</v>
      </c>
      <c r="I1932" s="2" t="s">
        <v>9710</v>
      </c>
      <c r="K1932" s="2" t="s">
        <v>9711</v>
      </c>
      <c r="L1932" s="2" t="s">
        <v>789</v>
      </c>
      <c r="M1932" s="2">
        <v>87048.0</v>
      </c>
      <c r="N1932" s="2" t="s">
        <v>21</v>
      </c>
    </row>
    <row r="1933" ht="15.75" customHeight="1">
      <c r="A1933" s="2">
        <v>2014.0</v>
      </c>
      <c r="B1933" s="2" t="s">
        <v>9712</v>
      </c>
      <c r="C1933" s="2" t="s">
        <v>9713</v>
      </c>
      <c r="D1933" s="2" t="str">
        <f>"406-370-5311"</f>
        <v>406-370-5311</v>
      </c>
      <c r="E1933" s="2" t="s">
        <v>447</v>
      </c>
      <c r="F1933" s="2" t="s">
        <v>9714</v>
      </c>
      <c r="G1933" s="2" t="str">
        <f>"SR-2871"</f>
        <v>SR-2871</v>
      </c>
      <c r="H1933" s="2" t="s">
        <v>9715</v>
      </c>
      <c r="I1933" s="2" t="s">
        <v>9716</v>
      </c>
      <c r="K1933" s="2" t="s">
        <v>9717</v>
      </c>
      <c r="L1933" s="2" t="s">
        <v>2696</v>
      </c>
      <c r="M1933" s="2">
        <v>59870.0</v>
      </c>
      <c r="N1933" s="2" t="s">
        <v>21</v>
      </c>
    </row>
    <row r="1934" ht="15.75" customHeight="1">
      <c r="A1934" s="2">
        <v>2014.0</v>
      </c>
      <c r="B1934" s="2" t="s">
        <v>9718</v>
      </c>
      <c r="C1934" s="2" t="s">
        <v>9718</v>
      </c>
      <c r="D1934" s="2" t="str">
        <f>"9257848979"</f>
        <v>9257848979</v>
      </c>
      <c r="E1934" s="2" t="s">
        <v>843</v>
      </c>
      <c r="F1934" s="2" t="s">
        <v>5808</v>
      </c>
      <c r="G1934" s="2" t="str">
        <f>"SR-2800"</f>
        <v>SR-2800</v>
      </c>
      <c r="H1934" s="2" t="s">
        <v>9719</v>
      </c>
      <c r="I1934" s="2" t="s">
        <v>9720</v>
      </c>
      <c r="K1934" s="2" t="s">
        <v>9721</v>
      </c>
      <c r="L1934" s="2" t="s">
        <v>222</v>
      </c>
      <c r="M1934" s="2">
        <v>94550.0</v>
      </c>
      <c r="N1934" s="2" t="s">
        <v>21</v>
      </c>
    </row>
    <row r="1935" ht="15.75" customHeight="1">
      <c r="A1935" s="2">
        <v>2014.0</v>
      </c>
      <c r="B1935" s="2" t="s">
        <v>8245</v>
      </c>
      <c r="C1935" s="2" t="s">
        <v>8246</v>
      </c>
      <c r="D1935" s="2" t="str">
        <f>"503-320-8039"</f>
        <v>503-320-8039</v>
      </c>
      <c r="E1935" s="2" t="s">
        <v>456</v>
      </c>
      <c r="F1935" s="2" t="s">
        <v>8247</v>
      </c>
      <c r="G1935" s="2" t="str">
        <f>"SR-1974"</f>
        <v>SR-1974</v>
      </c>
      <c r="H1935" s="2" t="s">
        <v>8248</v>
      </c>
      <c r="I1935" s="2" t="s">
        <v>8249</v>
      </c>
      <c r="K1935" s="2" t="s">
        <v>8250</v>
      </c>
      <c r="L1935" s="2" t="s">
        <v>222</v>
      </c>
      <c r="M1935" s="2">
        <v>92127.0</v>
      </c>
      <c r="N1935" s="2" t="s">
        <v>21</v>
      </c>
    </row>
    <row r="1936" ht="15.75" customHeight="1">
      <c r="A1936" s="2">
        <v>2014.0</v>
      </c>
      <c r="B1936" s="2" t="s">
        <v>9722</v>
      </c>
      <c r="C1936" s="2" t="s">
        <v>9723</v>
      </c>
      <c r="D1936" s="2" t="str">
        <f>"9565660499"</f>
        <v>9565660499</v>
      </c>
      <c r="E1936" s="2" t="s">
        <v>9724</v>
      </c>
      <c r="F1936" s="2" t="s">
        <v>9725</v>
      </c>
      <c r="G1936" s="2" t="str">
        <f>"SR-2670"</f>
        <v>SR-2670</v>
      </c>
      <c r="H1936" s="2" t="s">
        <v>9726</v>
      </c>
      <c r="I1936" s="2" t="s">
        <v>9727</v>
      </c>
      <c r="K1936" s="2" t="s">
        <v>9728</v>
      </c>
      <c r="L1936" s="2" t="s">
        <v>172</v>
      </c>
      <c r="M1936" s="2">
        <v>78573.0</v>
      </c>
      <c r="N1936" s="2" t="s">
        <v>21</v>
      </c>
    </row>
    <row r="1937" ht="15.75" customHeight="1">
      <c r="A1937" s="2">
        <v>2014.0</v>
      </c>
      <c r="B1937" s="2" t="s">
        <v>9729</v>
      </c>
      <c r="C1937" s="2" t="s">
        <v>9729</v>
      </c>
      <c r="D1937" s="2" t="str">
        <f>"423-753-6694"</f>
        <v>423-753-6694</v>
      </c>
      <c r="E1937" s="2" t="s">
        <v>9730</v>
      </c>
      <c r="F1937" s="2" t="s">
        <v>585</v>
      </c>
      <c r="G1937" s="2" t="str">
        <f>"SR-2875"</f>
        <v>SR-2875</v>
      </c>
      <c r="H1937" s="2" t="s">
        <v>9731</v>
      </c>
      <c r="I1937" s="2" t="s">
        <v>9732</v>
      </c>
      <c r="K1937" s="2" t="s">
        <v>9733</v>
      </c>
      <c r="L1937" s="2" t="s">
        <v>279</v>
      </c>
      <c r="M1937" s="2">
        <v>37659.0</v>
      </c>
      <c r="N1937" s="2" t="s">
        <v>21</v>
      </c>
    </row>
    <row r="1938" ht="15.75" customHeight="1">
      <c r="A1938" s="2">
        <v>2014.0</v>
      </c>
      <c r="B1938" s="2" t="s">
        <v>9734</v>
      </c>
      <c r="C1938" s="2" t="s">
        <v>9734</v>
      </c>
      <c r="D1938" s="2" t="str">
        <f>"585-247-1082"</f>
        <v>585-247-1082</v>
      </c>
      <c r="E1938" s="2" t="s">
        <v>4665</v>
      </c>
      <c r="F1938" s="2" t="s">
        <v>3561</v>
      </c>
      <c r="G1938" s="2" t="str">
        <f>"SR-2882"</f>
        <v>SR-2882</v>
      </c>
      <c r="H1938" s="2" t="s">
        <v>9735</v>
      </c>
      <c r="I1938" s="2" t="s">
        <v>9736</v>
      </c>
      <c r="K1938" s="2" t="s">
        <v>2804</v>
      </c>
      <c r="L1938" s="2" t="s">
        <v>142</v>
      </c>
      <c r="M1938" s="2">
        <v>14624.0</v>
      </c>
      <c r="N1938" s="2" t="s">
        <v>21</v>
      </c>
    </row>
    <row r="1939" ht="15.75" customHeight="1">
      <c r="A1939" s="2">
        <v>2014.0</v>
      </c>
      <c r="B1939" s="2" t="s">
        <v>9737</v>
      </c>
      <c r="C1939" s="2" t="s">
        <v>9737</v>
      </c>
      <c r="D1939" s="2" t="str">
        <f>"720-277-6353"</f>
        <v>720-277-6353</v>
      </c>
      <c r="E1939" s="2" t="s">
        <v>9738</v>
      </c>
      <c r="F1939" s="2" t="s">
        <v>9739</v>
      </c>
      <c r="G1939" s="2" t="str">
        <f>"SR-2678"</f>
        <v>SR-2678</v>
      </c>
      <c r="H1939" s="2" t="s">
        <v>9740</v>
      </c>
      <c r="I1939" s="2" t="s">
        <v>9741</v>
      </c>
      <c r="K1939" s="2" t="s">
        <v>519</v>
      </c>
      <c r="L1939" s="2" t="s">
        <v>157</v>
      </c>
      <c r="M1939" s="2">
        <v>80465.0</v>
      </c>
      <c r="N1939" s="2" t="s">
        <v>21</v>
      </c>
    </row>
    <row r="1940" ht="15.75" customHeight="1">
      <c r="A1940" s="2">
        <v>2014.0</v>
      </c>
      <c r="B1940" s="2" t="s">
        <v>5839</v>
      </c>
      <c r="C1940" s="2" t="s">
        <v>5839</v>
      </c>
      <c r="D1940" s="2" t="str">
        <f>"615-828-8797"</f>
        <v>615-828-8797</v>
      </c>
      <c r="E1940" s="2" t="s">
        <v>843</v>
      </c>
      <c r="F1940" s="2" t="s">
        <v>5840</v>
      </c>
      <c r="G1940" s="2" t="str">
        <f>"SR-2883"</f>
        <v>SR-2883</v>
      </c>
      <c r="H1940" s="2" t="s">
        <v>5841</v>
      </c>
      <c r="I1940" s="2" t="s">
        <v>9742</v>
      </c>
      <c r="K1940" s="2" t="s">
        <v>6330</v>
      </c>
      <c r="L1940" s="2" t="s">
        <v>279</v>
      </c>
      <c r="M1940" s="2">
        <v>37179.0</v>
      </c>
      <c r="N1940" s="2" t="s">
        <v>21</v>
      </c>
    </row>
    <row r="1941" ht="15.75" customHeight="1">
      <c r="A1941" s="2">
        <v>2014.0</v>
      </c>
      <c r="B1941" s="2" t="s">
        <v>9743</v>
      </c>
      <c r="C1941" s="2" t="s">
        <v>9744</v>
      </c>
      <c r="D1941" s="2" t="str">
        <f>"8633984599"</f>
        <v>8633984599</v>
      </c>
      <c r="E1941" s="2" t="s">
        <v>485</v>
      </c>
      <c r="F1941" s="2" t="s">
        <v>2841</v>
      </c>
      <c r="G1941" s="2" t="str">
        <f>"SR-2744"</f>
        <v>SR-2744</v>
      </c>
      <c r="H1941" s="2" t="s">
        <v>9745</v>
      </c>
      <c r="I1941" s="2" t="s">
        <v>9746</v>
      </c>
      <c r="K1941" s="2" t="s">
        <v>1570</v>
      </c>
      <c r="L1941" s="2" t="s">
        <v>208</v>
      </c>
      <c r="M1941" s="2">
        <v>33803.0</v>
      </c>
      <c r="N1941" s="2" t="s">
        <v>21</v>
      </c>
    </row>
    <row r="1942" ht="15.75" customHeight="1">
      <c r="A1942" s="2">
        <v>2014.0</v>
      </c>
      <c r="B1942" s="2" t="s">
        <v>9747</v>
      </c>
      <c r="C1942" s="2" t="s">
        <v>9747</v>
      </c>
      <c r="D1942" s="2" t="str">
        <f>"3093690046"</f>
        <v>3093690046</v>
      </c>
      <c r="E1942" s="2" t="s">
        <v>9748</v>
      </c>
      <c r="F1942" s="2" t="s">
        <v>962</v>
      </c>
      <c r="G1942" s="2" t="str">
        <f>"SR-2490"</f>
        <v>SR-2490</v>
      </c>
      <c r="H1942" s="2" t="s">
        <v>9749</v>
      </c>
      <c r="I1942" s="2" t="s">
        <v>9750</v>
      </c>
      <c r="K1942" s="2" t="s">
        <v>104</v>
      </c>
      <c r="L1942" s="2" t="s">
        <v>105</v>
      </c>
      <c r="M1942" s="2">
        <v>61615.0</v>
      </c>
      <c r="N1942" s="2" t="s">
        <v>21</v>
      </c>
    </row>
    <row r="1943" ht="15.75" customHeight="1">
      <c r="A1943" s="2">
        <v>2014.0</v>
      </c>
      <c r="B1943" s="2" t="s">
        <v>9751</v>
      </c>
      <c r="C1943" s="2" t="s">
        <v>9751</v>
      </c>
      <c r="D1943" s="2" t="str">
        <f>"309-251-1937"</f>
        <v>309-251-1937</v>
      </c>
      <c r="E1943" s="2" t="s">
        <v>417</v>
      </c>
      <c r="F1943" s="2" t="s">
        <v>9752</v>
      </c>
      <c r="G1943" s="2" t="str">
        <f>"SR-2507"</f>
        <v>SR-2507</v>
      </c>
      <c r="H1943" s="2" t="s">
        <v>9753</v>
      </c>
      <c r="I1943" s="2" t="s">
        <v>9754</v>
      </c>
      <c r="K1943" s="2" t="s">
        <v>104</v>
      </c>
      <c r="L1943" s="2" t="s">
        <v>105</v>
      </c>
      <c r="M1943" s="2">
        <v>61615.0</v>
      </c>
      <c r="N1943" s="2" t="s">
        <v>21</v>
      </c>
    </row>
    <row r="1944" ht="15.75" customHeight="1">
      <c r="A1944" s="2">
        <v>2014.0</v>
      </c>
      <c r="B1944" s="2" t="s">
        <v>9755</v>
      </c>
      <c r="C1944" s="2" t="s">
        <v>9755</v>
      </c>
      <c r="D1944" s="2" t="str">
        <f>"309-453-8252"</f>
        <v>309-453-8252</v>
      </c>
      <c r="E1944" s="2" t="s">
        <v>5158</v>
      </c>
      <c r="F1944" s="2" t="s">
        <v>9756</v>
      </c>
      <c r="G1944" s="2" t="str">
        <f>"SR-2667"</f>
        <v>SR-2667</v>
      </c>
      <c r="H1944" s="2" t="s">
        <v>9757</v>
      </c>
      <c r="I1944" s="2" t="s">
        <v>9758</v>
      </c>
      <c r="K1944" s="2" t="s">
        <v>9759</v>
      </c>
      <c r="L1944" s="2" t="s">
        <v>105</v>
      </c>
      <c r="M1944" s="2">
        <v>61614.0</v>
      </c>
      <c r="N1944" s="2" t="s">
        <v>21</v>
      </c>
    </row>
    <row r="1945" ht="15.75" customHeight="1">
      <c r="A1945" s="2">
        <v>2014.0</v>
      </c>
      <c r="B1945" s="2" t="s">
        <v>9760</v>
      </c>
      <c r="C1945" s="2" t="s">
        <v>9760</v>
      </c>
      <c r="D1945" s="2" t="str">
        <f>"309-397-0261"</f>
        <v>309-397-0261</v>
      </c>
      <c r="E1945" s="2" t="s">
        <v>7892</v>
      </c>
      <c r="F1945" s="2" t="s">
        <v>9552</v>
      </c>
      <c r="G1945" s="2" t="str">
        <f>"SR-2742"</f>
        <v>SR-2742</v>
      </c>
      <c r="H1945" s="2" t="s">
        <v>9761</v>
      </c>
      <c r="I1945" s="2" t="s">
        <v>9762</v>
      </c>
      <c r="K1945" s="2" t="s">
        <v>9763</v>
      </c>
      <c r="L1945" s="2" t="s">
        <v>105</v>
      </c>
      <c r="M1945" s="2">
        <v>61616.0</v>
      </c>
      <c r="N1945" s="2" t="s">
        <v>21</v>
      </c>
    </row>
    <row r="1946" ht="15.75" customHeight="1">
      <c r="A1946" s="2">
        <v>2014.0</v>
      </c>
      <c r="B1946" s="2" t="s">
        <v>9764</v>
      </c>
      <c r="C1946" s="2" t="s">
        <v>9765</v>
      </c>
      <c r="D1946" s="2" t="str">
        <f>"205-807-7840"</f>
        <v>205-807-7840</v>
      </c>
      <c r="E1946" s="2" t="s">
        <v>448</v>
      </c>
      <c r="F1946" s="2" t="s">
        <v>9766</v>
      </c>
      <c r="G1946" s="2" t="str">
        <f>"SR-2753"</f>
        <v>SR-2753</v>
      </c>
      <c r="H1946" s="2" t="s">
        <v>9767</v>
      </c>
      <c r="I1946" s="2" t="s">
        <v>9768</v>
      </c>
      <c r="K1946" s="2" t="s">
        <v>1173</v>
      </c>
      <c r="L1946" s="2" t="s">
        <v>539</v>
      </c>
      <c r="M1946" s="2">
        <v>35213.0</v>
      </c>
      <c r="N1946" s="2" t="s">
        <v>21</v>
      </c>
    </row>
    <row r="1947" ht="15.75" customHeight="1">
      <c r="A1947" s="2">
        <v>2014.0</v>
      </c>
      <c r="B1947" s="2" t="s">
        <v>9769</v>
      </c>
      <c r="C1947" s="2" t="s">
        <v>9769</v>
      </c>
      <c r="D1947" s="2" t="str">
        <f>"4028964453"</f>
        <v>4028964453</v>
      </c>
      <c r="E1947" s="2" t="s">
        <v>50</v>
      </c>
      <c r="F1947" s="2" t="s">
        <v>9770</v>
      </c>
      <c r="G1947" s="2" t="str">
        <f>"SR-2804"</f>
        <v>SR-2804</v>
      </c>
      <c r="H1947" s="2" t="s">
        <v>9771</v>
      </c>
      <c r="I1947" s="2" t="s">
        <v>9772</v>
      </c>
      <c r="K1947" s="2" t="s">
        <v>1470</v>
      </c>
      <c r="L1947" s="2" t="s">
        <v>757</v>
      </c>
      <c r="M1947" s="2">
        <v>68135.0</v>
      </c>
      <c r="N1947" s="2" t="s">
        <v>21</v>
      </c>
    </row>
    <row r="1948" ht="15.75" customHeight="1">
      <c r="A1948" s="2">
        <v>2014.0</v>
      </c>
      <c r="B1948" s="2" t="s">
        <v>9773</v>
      </c>
      <c r="C1948" s="2" t="s">
        <v>9774</v>
      </c>
      <c r="D1948" s="2" t="str">
        <f>"559-594-1985"</f>
        <v>559-594-1985</v>
      </c>
      <c r="E1948" s="2" t="s">
        <v>6121</v>
      </c>
      <c r="F1948" s="2" t="s">
        <v>447</v>
      </c>
      <c r="G1948" s="2" t="str">
        <f>"SR-2460"</f>
        <v>SR-2460</v>
      </c>
      <c r="H1948" s="2" t="s">
        <v>9775</v>
      </c>
      <c r="I1948" s="2" t="s">
        <v>4918</v>
      </c>
      <c r="K1948" s="2" t="s">
        <v>9776</v>
      </c>
      <c r="L1948" s="2" t="s">
        <v>222</v>
      </c>
      <c r="M1948" s="2">
        <v>93279.0</v>
      </c>
      <c r="N1948" s="2" t="s">
        <v>21</v>
      </c>
    </row>
    <row r="1949" ht="15.75" customHeight="1">
      <c r="A1949" s="2">
        <v>2014.0</v>
      </c>
      <c r="B1949" s="2" t="s">
        <v>9777</v>
      </c>
      <c r="C1949" s="2" t="s">
        <v>9777</v>
      </c>
      <c r="D1949" s="2" t="str">
        <f>"316-880-9032"</f>
        <v>316-880-9032</v>
      </c>
      <c r="E1949" s="2" t="s">
        <v>9778</v>
      </c>
      <c r="F1949" s="2" t="s">
        <v>9779</v>
      </c>
      <c r="G1949" s="2" t="str">
        <f>"SR-2677"</f>
        <v>SR-2677</v>
      </c>
      <c r="H1949" s="2" t="s">
        <v>9780</v>
      </c>
      <c r="I1949" s="2" t="s">
        <v>9781</v>
      </c>
      <c r="K1949" s="2" t="s">
        <v>1026</v>
      </c>
      <c r="L1949" s="2" t="s">
        <v>272</v>
      </c>
      <c r="M1949" s="2">
        <v>67037.0</v>
      </c>
      <c r="N1949" s="2" t="s">
        <v>21</v>
      </c>
    </row>
    <row r="1950" ht="15.75" customHeight="1">
      <c r="A1950" s="2">
        <v>2014.0</v>
      </c>
      <c r="B1950" s="2" t="s">
        <v>2893</v>
      </c>
      <c r="C1950" s="2" t="s">
        <v>2893</v>
      </c>
      <c r="D1950" s="2" t="str">
        <f>"954-415-2168"</f>
        <v>954-415-2168</v>
      </c>
      <c r="E1950" s="2" t="s">
        <v>137</v>
      </c>
      <c r="F1950" s="2" t="s">
        <v>2894</v>
      </c>
      <c r="G1950" s="2" t="str">
        <f>"SR-901"</f>
        <v>SR-901</v>
      </c>
      <c r="H1950" s="2" t="s">
        <v>2895</v>
      </c>
      <c r="I1950" s="2" t="s">
        <v>2896</v>
      </c>
      <c r="K1950" s="2" t="s">
        <v>2897</v>
      </c>
      <c r="L1950" s="2" t="s">
        <v>208</v>
      </c>
      <c r="M1950" s="2">
        <v>33065.0</v>
      </c>
      <c r="N1950" s="2" t="s">
        <v>21</v>
      </c>
    </row>
    <row r="1951" ht="15.75" customHeight="1">
      <c r="A1951" s="2">
        <v>2014.0</v>
      </c>
      <c r="B1951" s="2" t="s">
        <v>9782</v>
      </c>
      <c r="C1951" s="2" t="s">
        <v>9782</v>
      </c>
      <c r="D1951" s="2" t="str">
        <f>"954-268-6146"</f>
        <v>954-268-6146</v>
      </c>
      <c r="E1951" s="2" t="s">
        <v>705</v>
      </c>
      <c r="F1951" s="2" t="s">
        <v>2894</v>
      </c>
      <c r="G1951" s="2" t="str">
        <f>"SR-2890"</f>
        <v>SR-2890</v>
      </c>
      <c r="H1951" s="2" t="s">
        <v>9783</v>
      </c>
      <c r="I1951" s="2" t="s">
        <v>9784</v>
      </c>
      <c r="K1951" s="2" t="s">
        <v>2897</v>
      </c>
      <c r="L1951" s="2" t="s">
        <v>208</v>
      </c>
      <c r="M1951" s="2">
        <v>33065.0</v>
      </c>
      <c r="N1951" s="2" t="s">
        <v>21</v>
      </c>
    </row>
    <row r="1952" ht="15.75" customHeight="1">
      <c r="A1952" s="2">
        <v>2014.0</v>
      </c>
      <c r="B1952" s="2" t="s">
        <v>9785</v>
      </c>
      <c r="C1952" s="2" t="s">
        <v>9785</v>
      </c>
      <c r="D1952" s="2" t="str">
        <f>"3096420635"</f>
        <v>3096420635</v>
      </c>
      <c r="E1952" s="2" t="s">
        <v>2632</v>
      </c>
      <c r="F1952" s="2" t="s">
        <v>3561</v>
      </c>
      <c r="G1952" s="2" t="str">
        <f>"SR-2551"</f>
        <v>SR-2551</v>
      </c>
      <c r="H1952" s="2" t="s">
        <v>9786</v>
      </c>
      <c r="I1952" s="2" t="s">
        <v>9787</v>
      </c>
      <c r="K1952" s="2" t="s">
        <v>9788</v>
      </c>
      <c r="L1952" s="2" t="s">
        <v>105</v>
      </c>
      <c r="M1952" s="2">
        <v>61554.0</v>
      </c>
      <c r="N1952" s="2" t="s">
        <v>21</v>
      </c>
    </row>
    <row r="1953" ht="15.75" customHeight="1">
      <c r="A1953" s="2">
        <v>2014.0</v>
      </c>
      <c r="B1953" s="2" t="s">
        <v>9789</v>
      </c>
      <c r="C1953" s="2" t="s">
        <v>9790</v>
      </c>
      <c r="D1953" s="2" t="str">
        <f>"901-827-4429"</f>
        <v>901-827-4429</v>
      </c>
      <c r="E1953" s="2" t="s">
        <v>137</v>
      </c>
      <c r="F1953" s="2" t="s">
        <v>6532</v>
      </c>
      <c r="G1953" s="2" t="str">
        <f>"SR-2891"</f>
        <v>SR-2891</v>
      </c>
      <c r="H1953" s="2" t="s">
        <v>9791</v>
      </c>
      <c r="I1953" s="2" t="s">
        <v>9792</v>
      </c>
      <c r="K1953" s="2" t="s">
        <v>5678</v>
      </c>
      <c r="L1953" s="2" t="s">
        <v>279</v>
      </c>
      <c r="M1953" s="2">
        <v>38017.0</v>
      </c>
      <c r="N1953" s="2" t="s">
        <v>21</v>
      </c>
    </row>
    <row r="1954" ht="15.75" customHeight="1">
      <c r="A1954" s="2">
        <v>2014.0</v>
      </c>
      <c r="B1954" s="2" t="s">
        <v>9793</v>
      </c>
      <c r="C1954" s="2" t="s">
        <v>9793</v>
      </c>
      <c r="D1954" s="2" t="str">
        <f>"480-575-1771"</f>
        <v>480-575-1771</v>
      </c>
      <c r="E1954" s="2" t="s">
        <v>9794</v>
      </c>
      <c r="F1954" s="2" t="s">
        <v>9795</v>
      </c>
      <c r="G1954" s="2" t="str">
        <f>"SR-2787"</f>
        <v>SR-2787</v>
      </c>
      <c r="H1954" s="2" t="s">
        <v>9796</v>
      </c>
      <c r="I1954" s="2" t="s">
        <v>9797</v>
      </c>
      <c r="K1954" s="2" t="s">
        <v>9798</v>
      </c>
      <c r="L1954" s="2" t="s">
        <v>422</v>
      </c>
      <c r="M1954" s="2">
        <v>85331.0</v>
      </c>
      <c r="N1954" s="2" t="s">
        <v>21</v>
      </c>
    </row>
    <row r="1955" ht="15.75" customHeight="1">
      <c r="A1955" s="2">
        <v>2014.0</v>
      </c>
      <c r="B1955" s="2" t="s">
        <v>9799</v>
      </c>
      <c r="C1955" s="2" t="s">
        <v>9800</v>
      </c>
      <c r="D1955" s="2" t="str">
        <f>"720 496-6320"</f>
        <v>720 496-6320</v>
      </c>
      <c r="E1955" s="2" t="s">
        <v>9801</v>
      </c>
      <c r="F1955" s="2" t="s">
        <v>9802</v>
      </c>
      <c r="G1955" s="2" t="str">
        <f>"SR-2894"</f>
        <v>SR-2894</v>
      </c>
      <c r="H1955" s="2" t="s">
        <v>9803</v>
      </c>
      <c r="I1955" s="2" t="s">
        <v>9804</v>
      </c>
      <c r="K1955" s="2" t="s">
        <v>682</v>
      </c>
      <c r="L1955" s="2" t="s">
        <v>157</v>
      </c>
      <c r="M1955" s="2">
        <v>80126.0</v>
      </c>
      <c r="N1955" s="2" t="s">
        <v>21</v>
      </c>
    </row>
    <row r="1956" ht="15.75" customHeight="1">
      <c r="A1956" s="2">
        <v>2014.0</v>
      </c>
      <c r="B1956" s="2" t="s">
        <v>9805</v>
      </c>
      <c r="C1956" s="2" t="s">
        <v>9806</v>
      </c>
      <c r="D1956" s="2" t="str">
        <f>"619-857-7318"</f>
        <v>619-857-7318</v>
      </c>
      <c r="E1956" s="2" t="s">
        <v>339</v>
      </c>
      <c r="F1956" s="2" t="s">
        <v>9807</v>
      </c>
      <c r="G1956" s="2" t="str">
        <f>"SR-2842"</f>
        <v>SR-2842</v>
      </c>
      <c r="H1956" s="2" t="s">
        <v>9808</v>
      </c>
      <c r="I1956" s="2" t="s">
        <v>9809</v>
      </c>
      <c r="K1956" s="2" t="s">
        <v>9810</v>
      </c>
      <c r="L1956" s="2" t="s">
        <v>222</v>
      </c>
      <c r="M1956" s="2">
        <v>91942.0</v>
      </c>
      <c r="N1956" s="2" t="s">
        <v>21</v>
      </c>
    </row>
    <row r="1957" ht="15.75" customHeight="1">
      <c r="A1957" s="2">
        <v>2014.0</v>
      </c>
      <c r="B1957" s="2" t="s">
        <v>1267</v>
      </c>
      <c r="C1957" s="2" t="s">
        <v>9811</v>
      </c>
      <c r="D1957" s="2" t="str">
        <f>"305-299-0520"</f>
        <v>305-299-0520</v>
      </c>
      <c r="E1957" s="2" t="s">
        <v>1190</v>
      </c>
      <c r="F1957" s="2" t="s">
        <v>645</v>
      </c>
      <c r="G1957" s="2" t="str">
        <f>"SR-2897"</f>
        <v>SR-2897</v>
      </c>
      <c r="H1957" s="2" t="s">
        <v>9812</v>
      </c>
      <c r="I1957" s="2" t="s">
        <v>9813</v>
      </c>
      <c r="K1957" s="2" t="s">
        <v>1272</v>
      </c>
      <c r="L1957" s="2" t="s">
        <v>208</v>
      </c>
      <c r="M1957" s="2">
        <v>33157.0</v>
      </c>
      <c r="N1957" s="2" t="s">
        <v>21</v>
      </c>
    </row>
    <row r="1958" ht="15.75" customHeight="1">
      <c r="A1958" s="2">
        <v>2014.0</v>
      </c>
      <c r="B1958" s="2" t="s">
        <v>9814</v>
      </c>
      <c r="C1958" s="2" t="s">
        <v>9814</v>
      </c>
      <c r="D1958" s="2" t="str">
        <f>"3162953032"</f>
        <v>3162953032</v>
      </c>
      <c r="E1958" s="2" t="s">
        <v>9815</v>
      </c>
      <c r="F1958" s="2" t="s">
        <v>9779</v>
      </c>
      <c r="G1958" s="2" t="str">
        <f>"SR-2884"</f>
        <v>SR-2884</v>
      </c>
      <c r="H1958" s="2" t="s">
        <v>9816</v>
      </c>
      <c r="I1958" s="2" t="s">
        <v>9817</v>
      </c>
      <c r="K1958" s="2" t="s">
        <v>1026</v>
      </c>
      <c r="L1958" s="2" t="s">
        <v>272</v>
      </c>
      <c r="M1958" s="2">
        <v>67037.0</v>
      </c>
      <c r="N1958" s="2" t="s">
        <v>21</v>
      </c>
    </row>
    <row r="1959" ht="15.75" customHeight="1">
      <c r="A1959" s="2">
        <v>2014.0</v>
      </c>
      <c r="B1959" s="2" t="s">
        <v>9818</v>
      </c>
      <c r="C1959" s="2" t="s">
        <v>9819</v>
      </c>
      <c r="D1959" s="2" t="str">
        <f>"7192661092"</f>
        <v>7192661092</v>
      </c>
      <c r="E1959" s="2" t="s">
        <v>6294</v>
      </c>
      <c r="F1959" s="2" t="s">
        <v>9820</v>
      </c>
      <c r="G1959" s="2" t="str">
        <f>"SR-2898"</f>
        <v>SR-2898</v>
      </c>
      <c r="H1959" s="2" t="s">
        <v>9821</v>
      </c>
      <c r="I1959" s="2" t="s">
        <v>9822</v>
      </c>
      <c r="K1959" s="2" t="s">
        <v>809</v>
      </c>
      <c r="L1959" s="2" t="s">
        <v>157</v>
      </c>
      <c r="M1959" s="2">
        <v>80920.0</v>
      </c>
      <c r="N1959" s="2" t="s">
        <v>21</v>
      </c>
    </row>
    <row r="1960" ht="15.75" customHeight="1">
      <c r="A1960" s="2">
        <v>2014.0</v>
      </c>
      <c r="B1960" s="2" t="s">
        <v>9823</v>
      </c>
      <c r="C1960" s="2" t="s">
        <v>9824</v>
      </c>
      <c r="D1960" s="2" t="str">
        <f>"614-800-3857"</f>
        <v>614-800-3857</v>
      </c>
      <c r="E1960" s="2" t="s">
        <v>50</v>
      </c>
      <c r="F1960" s="2" t="s">
        <v>3028</v>
      </c>
      <c r="G1960" s="2" t="str">
        <f>"SR-2693"</f>
        <v>SR-2693</v>
      </c>
      <c r="H1960" s="2" t="s">
        <v>9825</v>
      </c>
      <c r="I1960" s="2" t="s">
        <v>9826</v>
      </c>
      <c r="K1960" s="2" t="s">
        <v>489</v>
      </c>
      <c r="L1960" s="2" t="s">
        <v>344</v>
      </c>
      <c r="M1960" s="2">
        <v>43082.0</v>
      </c>
      <c r="N1960" s="2" t="s">
        <v>21</v>
      </c>
    </row>
    <row r="1961" ht="15.75" customHeight="1">
      <c r="A1961" s="2">
        <v>2014.0</v>
      </c>
      <c r="B1961" s="2" t="s">
        <v>9827</v>
      </c>
      <c r="C1961" s="2" t="s">
        <v>9827</v>
      </c>
      <c r="D1961" s="2" t="str">
        <f>"6507590995"</f>
        <v>6507590995</v>
      </c>
      <c r="E1961" s="2" t="s">
        <v>9828</v>
      </c>
      <c r="F1961" s="2" t="s">
        <v>9829</v>
      </c>
      <c r="G1961" s="2" t="str">
        <f>"SR-2881"</f>
        <v>SR-2881</v>
      </c>
      <c r="H1961" s="2" t="s">
        <v>9830</v>
      </c>
      <c r="I1961" s="2" t="s">
        <v>9831</v>
      </c>
      <c r="K1961" s="2" t="s">
        <v>9832</v>
      </c>
      <c r="L1961" s="2" t="s">
        <v>222</v>
      </c>
      <c r="M1961" s="2">
        <v>94080.0</v>
      </c>
      <c r="N1961" s="2" t="s">
        <v>21</v>
      </c>
    </row>
    <row r="1962" ht="15.75" customHeight="1">
      <c r="A1962" s="2">
        <v>2014.0</v>
      </c>
      <c r="B1962" s="2" t="s">
        <v>9833</v>
      </c>
      <c r="C1962" s="2" t="s">
        <v>9834</v>
      </c>
      <c r="D1962" s="2" t="str">
        <f>"619-507-8154"</f>
        <v>619-507-8154</v>
      </c>
      <c r="E1962" s="2" t="s">
        <v>705</v>
      </c>
      <c r="F1962" s="2" t="s">
        <v>9835</v>
      </c>
      <c r="G1962" s="2" t="str">
        <f>"SR-2839"</f>
        <v>SR-2839</v>
      </c>
      <c r="H1962" s="2" t="s">
        <v>9836</v>
      </c>
      <c r="I1962" s="2" t="s">
        <v>9837</v>
      </c>
      <c r="K1962" s="2" t="s">
        <v>8673</v>
      </c>
      <c r="L1962" s="2" t="s">
        <v>222</v>
      </c>
      <c r="M1962" s="2">
        <v>92040.0</v>
      </c>
      <c r="N1962" s="2" t="s">
        <v>21</v>
      </c>
    </row>
    <row r="1963" ht="15.75" customHeight="1">
      <c r="A1963" s="2">
        <v>2014.0</v>
      </c>
      <c r="B1963" s="2" t="s">
        <v>9838</v>
      </c>
      <c r="C1963" s="2" t="s">
        <v>9839</v>
      </c>
      <c r="D1963" s="2" t="str">
        <f t="shared" ref="D1963:D1964" si="33">"5403274339"</f>
        <v>5403274339</v>
      </c>
      <c r="E1963" s="2" t="s">
        <v>1032</v>
      </c>
      <c r="F1963" s="2" t="s">
        <v>9840</v>
      </c>
      <c r="G1963" s="2" t="str">
        <f>"SR-2906"</f>
        <v>SR-2906</v>
      </c>
      <c r="H1963" s="2" t="s">
        <v>9841</v>
      </c>
      <c r="I1963" s="2" t="s">
        <v>9842</v>
      </c>
      <c r="K1963" s="2" t="s">
        <v>594</v>
      </c>
      <c r="L1963" s="2" t="s">
        <v>165</v>
      </c>
      <c r="M1963" s="2">
        <v>22601.0</v>
      </c>
      <c r="N1963" s="2" t="s">
        <v>21</v>
      </c>
    </row>
    <row r="1964" ht="15.75" customHeight="1">
      <c r="A1964" s="2">
        <v>2014.0</v>
      </c>
      <c r="B1964" s="2" t="s">
        <v>9838</v>
      </c>
      <c r="C1964" s="2" t="s">
        <v>9843</v>
      </c>
      <c r="D1964" s="2" t="str">
        <f t="shared" si="33"/>
        <v>5403274339</v>
      </c>
      <c r="E1964" s="2" t="s">
        <v>1928</v>
      </c>
      <c r="F1964" s="2" t="s">
        <v>9840</v>
      </c>
      <c r="G1964" s="2" t="str">
        <f>"SR-2909"</f>
        <v>SR-2909</v>
      </c>
      <c r="H1964" s="2" t="s">
        <v>9844</v>
      </c>
      <c r="I1964" s="2" t="s">
        <v>9842</v>
      </c>
      <c r="K1964" s="2" t="s">
        <v>594</v>
      </c>
      <c r="L1964" s="2" t="s">
        <v>165</v>
      </c>
      <c r="M1964" s="2">
        <v>22601.0</v>
      </c>
      <c r="N1964" s="2" t="s">
        <v>21</v>
      </c>
    </row>
    <row r="1965" ht="15.75" customHeight="1">
      <c r="A1965" s="2">
        <v>2014.0</v>
      </c>
      <c r="B1965" s="2" t="s">
        <v>9845</v>
      </c>
      <c r="C1965" s="2" t="s">
        <v>9845</v>
      </c>
      <c r="D1965" s="2" t="str">
        <f>"406-655-0133"</f>
        <v>406-655-0133</v>
      </c>
      <c r="E1965" s="2" t="s">
        <v>9846</v>
      </c>
      <c r="F1965" s="2" t="s">
        <v>9847</v>
      </c>
      <c r="G1965" s="2" t="str">
        <f>"SR-2908"</f>
        <v>SR-2908</v>
      </c>
      <c r="H1965" s="2" t="s">
        <v>9848</v>
      </c>
      <c r="I1965" s="2" t="s">
        <v>9849</v>
      </c>
      <c r="K1965" s="2" t="s">
        <v>3548</v>
      </c>
      <c r="L1965" s="2" t="s">
        <v>2696</v>
      </c>
      <c r="M1965" s="2">
        <v>59106.0</v>
      </c>
      <c r="N1965" s="2" t="s">
        <v>21</v>
      </c>
    </row>
    <row r="1966" ht="15.75" customHeight="1">
      <c r="A1966" s="2">
        <v>2014.0</v>
      </c>
      <c r="B1966" s="2" t="s">
        <v>9850</v>
      </c>
      <c r="C1966" s="2" t="s">
        <v>9851</v>
      </c>
      <c r="D1966" s="2" t="str">
        <f>"952-921-9585"</f>
        <v>952-921-9585</v>
      </c>
      <c r="E1966" s="2" t="s">
        <v>1263</v>
      </c>
      <c r="F1966" s="2" t="s">
        <v>457</v>
      </c>
      <c r="G1966" s="2" t="str">
        <f>"SR-2910"</f>
        <v>SR-2910</v>
      </c>
      <c r="H1966" s="2" t="s">
        <v>9852</v>
      </c>
      <c r="I1966" s="2" t="s">
        <v>9853</v>
      </c>
      <c r="K1966" s="2" t="s">
        <v>1019</v>
      </c>
      <c r="L1966" s="2" t="s">
        <v>62</v>
      </c>
      <c r="M1966" s="2">
        <v>55437.0</v>
      </c>
      <c r="N1966" s="2" t="s">
        <v>21</v>
      </c>
    </row>
    <row r="1967" ht="15.75" customHeight="1">
      <c r="A1967" s="2">
        <v>2014.0</v>
      </c>
      <c r="B1967" s="2" t="s">
        <v>7153</v>
      </c>
      <c r="C1967" s="2" t="s">
        <v>7154</v>
      </c>
      <c r="D1967" s="2" t="str">
        <f>"7203155802"</f>
        <v>7203155802</v>
      </c>
      <c r="E1967" s="2" t="s">
        <v>7155</v>
      </c>
      <c r="F1967" s="2" t="s">
        <v>2753</v>
      </c>
      <c r="G1967" s="2" t="str">
        <f>"SR-1902"</f>
        <v>SR-1902</v>
      </c>
      <c r="H1967" s="2" t="s">
        <v>7156</v>
      </c>
      <c r="I1967" s="2" t="s">
        <v>7157</v>
      </c>
      <c r="K1967" s="2" t="s">
        <v>3588</v>
      </c>
      <c r="L1967" s="2" t="s">
        <v>157</v>
      </c>
      <c r="M1967" s="2">
        <v>80475.0</v>
      </c>
      <c r="N1967" s="2" t="s">
        <v>21</v>
      </c>
    </row>
    <row r="1968" ht="15.75" customHeight="1">
      <c r="A1968" s="2">
        <v>2014.0</v>
      </c>
      <c r="B1968" s="2" t="s">
        <v>9854</v>
      </c>
      <c r="C1968" s="2" t="s">
        <v>9855</v>
      </c>
      <c r="D1968" s="2" t="str">
        <f>"402-571-5896"</f>
        <v>402-571-5896</v>
      </c>
      <c r="E1968" s="2" t="s">
        <v>1548</v>
      </c>
      <c r="F1968" s="2" t="s">
        <v>9856</v>
      </c>
      <c r="G1968" s="2" t="str">
        <f>"SR-2912"</f>
        <v>SR-2912</v>
      </c>
      <c r="H1968" s="2" t="s">
        <v>9857</v>
      </c>
      <c r="I1968" s="2" t="s">
        <v>9858</v>
      </c>
      <c r="K1968" s="2" t="s">
        <v>1470</v>
      </c>
      <c r="L1968" s="2" t="s">
        <v>757</v>
      </c>
      <c r="M1968" s="2">
        <v>68134.0</v>
      </c>
      <c r="N1968" s="2" t="s">
        <v>21</v>
      </c>
    </row>
    <row r="1969" ht="15.75" customHeight="1">
      <c r="A1969" s="2">
        <v>2014.0</v>
      </c>
      <c r="B1969" s="2" t="s">
        <v>9859</v>
      </c>
      <c r="C1969" s="2" t="s">
        <v>9859</v>
      </c>
      <c r="D1969" s="2" t="str">
        <f>"9012888882"</f>
        <v>9012888882</v>
      </c>
      <c r="E1969" s="2" t="s">
        <v>4968</v>
      </c>
      <c r="F1969" s="2" t="s">
        <v>1001</v>
      </c>
      <c r="G1969" s="2" t="str">
        <f>"SR-2873"</f>
        <v>SR-2873</v>
      </c>
      <c r="H1969" s="2" t="s">
        <v>9860</v>
      </c>
      <c r="I1969" s="2" t="s">
        <v>9861</v>
      </c>
      <c r="K1969" s="2" t="s">
        <v>9862</v>
      </c>
      <c r="L1969" s="2" t="s">
        <v>1722</v>
      </c>
      <c r="M1969" s="2">
        <v>38654.0</v>
      </c>
      <c r="N1969" s="2" t="s">
        <v>21</v>
      </c>
    </row>
    <row r="1970" ht="15.75" customHeight="1">
      <c r="A1970" s="2">
        <v>2014.0</v>
      </c>
      <c r="B1970" s="2" t="s">
        <v>9863</v>
      </c>
      <c r="C1970" s="2" t="s">
        <v>9864</v>
      </c>
      <c r="D1970" s="2" t="str">
        <f>"6154993186"</f>
        <v>6154993186</v>
      </c>
      <c r="E1970" s="2" t="s">
        <v>9865</v>
      </c>
      <c r="F1970" s="2" t="s">
        <v>3144</v>
      </c>
      <c r="G1970" s="2" t="str">
        <f>"SR-2661"</f>
        <v>SR-2661</v>
      </c>
      <c r="H1970" s="2" t="s">
        <v>9866</v>
      </c>
      <c r="I1970" s="2" t="s">
        <v>9867</v>
      </c>
      <c r="K1970" s="2" t="s">
        <v>9868</v>
      </c>
      <c r="L1970" s="2" t="s">
        <v>279</v>
      </c>
      <c r="M1970" s="2">
        <v>37027.0</v>
      </c>
      <c r="N1970" s="2" t="s">
        <v>21</v>
      </c>
    </row>
    <row r="1971" ht="15.75" customHeight="1">
      <c r="A1971" s="2">
        <v>2014.0</v>
      </c>
      <c r="B1971" s="2" t="s">
        <v>4950</v>
      </c>
      <c r="C1971" s="2" t="s">
        <v>4951</v>
      </c>
      <c r="D1971" s="2" t="str">
        <f>"954-345-6623"</f>
        <v>954-345-6623</v>
      </c>
      <c r="E1971" s="2" t="s">
        <v>4952</v>
      </c>
      <c r="F1971" s="2" t="s">
        <v>4953</v>
      </c>
      <c r="G1971" s="2" t="str">
        <f>"SR-971"</f>
        <v>SR-971</v>
      </c>
      <c r="H1971" s="2" t="s">
        <v>4954</v>
      </c>
      <c r="I1971" s="2" t="s">
        <v>4955</v>
      </c>
      <c r="K1971" s="2" t="s">
        <v>4956</v>
      </c>
      <c r="L1971" s="2" t="s">
        <v>208</v>
      </c>
      <c r="M1971" s="2">
        <v>33071.0</v>
      </c>
      <c r="N1971" s="2" t="s">
        <v>21</v>
      </c>
    </row>
    <row r="1972" ht="15.75" customHeight="1">
      <c r="A1972" s="2">
        <v>2014.0</v>
      </c>
      <c r="B1972" s="2" t="s">
        <v>9869</v>
      </c>
      <c r="C1972" s="2" t="s">
        <v>9869</v>
      </c>
      <c r="D1972" s="2" t="str">
        <f>"503-453-4064"</f>
        <v>503-453-4064</v>
      </c>
      <c r="E1972" s="2" t="s">
        <v>1803</v>
      </c>
      <c r="F1972" s="2" t="s">
        <v>850</v>
      </c>
      <c r="G1972" s="2" t="str">
        <f>"SR-2605"</f>
        <v>SR-2605</v>
      </c>
      <c r="H1972" s="2" t="s">
        <v>9870</v>
      </c>
      <c r="I1972" s="2" t="s">
        <v>9871</v>
      </c>
      <c r="K1972" s="2" t="s">
        <v>9872</v>
      </c>
      <c r="L1972" s="2" t="s">
        <v>2389</v>
      </c>
      <c r="M1972" s="2">
        <v>97060.0</v>
      </c>
      <c r="N1972" s="2" t="s">
        <v>21</v>
      </c>
    </row>
    <row r="1973" ht="15.75" customHeight="1">
      <c r="A1973" s="2">
        <v>2014.0</v>
      </c>
      <c r="B1973" s="2" t="s">
        <v>9873</v>
      </c>
      <c r="C1973" s="2" t="s">
        <v>9874</v>
      </c>
      <c r="D1973" s="2" t="str">
        <f>"5405531353"</f>
        <v>5405531353</v>
      </c>
      <c r="E1973" s="2" t="s">
        <v>1094</v>
      </c>
      <c r="F1973" s="2" t="s">
        <v>94</v>
      </c>
      <c r="G1973" s="2" t="str">
        <f>"SR-2868"</f>
        <v>SR-2868</v>
      </c>
      <c r="H1973" s="2" t="s">
        <v>9875</v>
      </c>
      <c r="I1973" s="2" t="s">
        <v>9876</v>
      </c>
      <c r="K1973" s="2" t="s">
        <v>9877</v>
      </c>
      <c r="L1973" s="2" t="s">
        <v>165</v>
      </c>
      <c r="M1973" s="2">
        <v>24060.0</v>
      </c>
      <c r="N1973" s="2" t="s">
        <v>21</v>
      </c>
    </row>
    <row r="1974" ht="15.75" customHeight="1">
      <c r="A1974" s="2">
        <v>2014.0</v>
      </c>
      <c r="B1974" s="2" t="s">
        <v>9878</v>
      </c>
      <c r="C1974" s="2" t="s">
        <v>9879</v>
      </c>
      <c r="D1974" s="2" t="str">
        <f>"4196063183"</f>
        <v>4196063183</v>
      </c>
      <c r="E1974" s="2" t="s">
        <v>1548</v>
      </c>
      <c r="F1974" s="2" t="s">
        <v>9880</v>
      </c>
      <c r="G1974" s="2" t="str">
        <f>"SR-2913"</f>
        <v>SR-2913</v>
      </c>
      <c r="H1974" s="2" t="s">
        <v>9881</v>
      </c>
      <c r="I1974" s="2" t="s">
        <v>9882</v>
      </c>
      <c r="K1974" s="2" t="s">
        <v>1154</v>
      </c>
      <c r="L1974" s="2" t="s">
        <v>344</v>
      </c>
      <c r="M1974" s="2">
        <v>44805.0</v>
      </c>
      <c r="N1974" s="2" t="s">
        <v>21</v>
      </c>
    </row>
    <row r="1975" ht="15.75" customHeight="1">
      <c r="A1975" s="2">
        <v>2014.0</v>
      </c>
      <c r="B1975" s="2" t="s">
        <v>9883</v>
      </c>
      <c r="C1975" s="2" t="s">
        <v>9883</v>
      </c>
      <c r="D1975" s="2" t="str">
        <f>"4065315225"</f>
        <v>4065315225</v>
      </c>
      <c r="E1975" s="2" t="s">
        <v>1094</v>
      </c>
      <c r="F1975" s="2" t="s">
        <v>9884</v>
      </c>
      <c r="G1975" s="2" t="str">
        <f>"SR-2911"</f>
        <v>SR-2911</v>
      </c>
      <c r="H1975" s="2" t="s">
        <v>9885</v>
      </c>
      <c r="I1975" s="2" t="s">
        <v>9886</v>
      </c>
      <c r="K1975" s="2" t="s">
        <v>8862</v>
      </c>
      <c r="L1975" s="2" t="s">
        <v>2696</v>
      </c>
      <c r="M1975" s="2">
        <v>59860.0</v>
      </c>
      <c r="N1975" s="2" t="s">
        <v>21</v>
      </c>
    </row>
    <row r="1976" ht="15.75" customHeight="1">
      <c r="A1976" s="2">
        <v>2014.0</v>
      </c>
      <c r="B1976" s="2" t="s">
        <v>9887</v>
      </c>
      <c r="C1976" s="2" t="s">
        <v>9888</v>
      </c>
      <c r="D1976" s="2" t="str">
        <f>"817-573-4301"</f>
        <v>817-573-4301</v>
      </c>
      <c r="E1976" s="2" t="s">
        <v>580</v>
      </c>
      <c r="F1976" s="2" t="s">
        <v>9889</v>
      </c>
      <c r="G1976" s="2" t="str">
        <f>"SR-2805"</f>
        <v>SR-2805</v>
      </c>
      <c r="H1976" s="2" t="s">
        <v>9890</v>
      </c>
      <c r="I1976" s="2" t="s">
        <v>9891</v>
      </c>
      <c r="K1976" s="2" t="s">
        <v>2046</v>
      </c>
      <c r="L1976" s="2" t="s">
        <v>172</v>
      </c>
      <c r="M1976" s="2">
        <v>76049.0</v>
      </c>
      <c r="N1976" s="2" t="s">
        <v>21</v>
      </c>
    </row>
    <row r="1977" ht="15.75" customHeight="1">
      <c r="A1977" s="2">
        <v>2014.0</v>
      </c>
      <c r="B1977" s="2" t="s">
        <v>9892</v>
      </c>
      <c r="C1977" s="2" t="s">
        <v>9892</v>
      </c>
      <c r="D1977" s="2" t="str">
        <f>"320-796-5937"</f>
        <v>320-796-5937</v>
      </c>
      <c r="E1977" s="2" t="s">
        <v>4071</v>
      </c>
      <c r="F1977" s="2" t="s">
        <v>3144</v>
      </c>
      <c r="G1977" s="2" t="str">
        <f>"SR-2628"</f>
        <v>SR-2628</v>
      </c>
      <c r="H1977" s="2" t="s">
        <v>9893</v>
      </c>
      <c r="I1977" s="2" t="s">
        <v>9894</v>
      </c>
      <c r="K1977" s="2" t="s">
        <v>9895</v>
      </c>
      <c r="L1977" s="2" t="s">
        <v>62</v>
      </c>
      <c r="M1977" s="2">
        <v>56288.0</v>
      </c>
      <c r="N1977" s="2" t="s">
        <v>21</v>
      </c>
    </row>
    <row r="1978" ht="15.75" customHeight="1">
      <c r="A1978" s="2">
        <v>2014.0</v>
      </c>
      <c r="B1978" s="2" t="s">
        <v>9896</v>
      </c>
      <c r="C1978" s="2" t="s">
        <v>9897</v>
      </c>
      <c r="D1978" s="2" t="str">
        <f>"(320)262-9952"</f>
        <v>(320)262-9952</v>
      </c>
      <c r="E1978" s="2" t="s">
        <v>282</v>
      </c>
      <c r="F1978" s="2" t="s">
        <v>9898</v>
      </c>
      <c r="G1978" s="2" t="str">
        <f>"SR-2630"</f>
        <v>SR-2630</v>
      </c>
      <c r="H1978" s="2" t="s">
        <v>9899</v>
      </c>
      <c r="I1978" s="2" t="s">
        <v>9900</v>
      </c>
      <c r="K1978" s="2" t="s">
        <v>61</v>
      </c>
      <c r="L1978" s="2" t="s">
        <v>62</v>
      </c>
      <c r="M1978" s="2">
        <v>56201.0</v>
      </c>
      <c r="N1978" s="2" t="s">
        <v>21</v>
      </c>
    </row>
    <row r="1979" ht="15.75" customHeight="1">
      <c r="A1979" s="2">
        <v>2014.0</v>
      </c>
      <c r="B1979" s="2" t="s">
        <v>9901</v>
      </c>
      <c r="C1979" s="2" t="s">
        <v>9901</v>
      </c>
      <c r="D1979" s="2" t="str">
        <f>"8144480039"</f>
        <v>8144480039</v>
      </c>
      <c r="E1979" s="2" t="s">
        <v>8386</v>
      </c>
      <c r="F1979" s="2" t="s">
        <v>9021</v>
      </c>
      <c r="G1979" s="2" t="str">
        <f>"SR-2665"</f>
        <v>SR-2665</v>
      </c>
      <c r="H1979" s="2" t="s">
        <v>9902</v>
      </c>
      <c r="I1979" s="2" t="s">
        <v>9903</v>
      </c>
      <c r="K1979" s="2" t="s">
        <v>9904</v>
      </c>
      <c r="L1979" s="2" t="s">
        <v>179</v>
      </c>
      <c r="M1979" s="2">
        <v>16685.0</v>
      </c>
      <c r="N1979" s="2" t="s">
        <v>21</v>
      </c>
    </row>
    <row r="1980" ht="15.75" customHeight="1">
      <c r="A1980" s="2">
        <v>2014.0</v>
      </c>
      <c r="B1980" s="2" t="s">
        <v>9905</v>
      </c>
      <c r="C1980" s="2" t="s">
        <v>9906</v>
      </c>
      <c r="D1980" s="2" t="str">
        <f>"269-683-3886"</f>
        <v>269-683-3886</v>
      </c>
      <c r="E1980" s="2" t="s">
        <v>6202</v>
      </c>
      <c r="F1980" s="2" t="s">
        <v>9907</v>
      </c>
      <c r="G1980" s="2" t="str">
        <f>"SR-1402"</f>
        <v>SR-1402</v>
      </c>
      <c r="H1980" s="2" t="s">
        <v>9908</v>
      </c>
      <c r="I1980" s="2" t="s">
        <v>9909</v>
      </c>
      <c r="K1980" s="2" t="s">
        <v>9910</v>
      </c>
      <c r="L1980" s="2" t="s">
        <v>29</v>
      </c>
      <c r="M1980" s="2">
        <v>49120.0</v>
      </c>
      <c r="N1980" s="2" t="s">
        <v>21</v>
      </c>
    </row>
    <row r="1981" ht="15.75" customHeight="1">
      <c r="A1981" s="2">
        <v>2014.0</v>
      </c>
      <c r="B1981" s="2" t="s">
        <v>76</v>
      </c>
      <c r="D1981" s="2" t="str">
        <f>""</f>
        <v/>
      </c>
      <c r="E1981" s="2" t="s">
        <v>77</v>
      </c>
      <c r="F1981" s="2" t="s">
        <v>78</v>
      </c>
      <c r="G1981" s="2" t="str">
        <f>"SR-25"</f>
        <v>SR-25</v>
      </c>
      <c r="H1981" s="2" t="s">
        <v>79</v>
      </c>
      <c r="N1981" s="2" t="s">
        <v>21</v>
      </c>
    </row>
    <row r="1982" ht="15.75" customHeight="1">
      <c r="A1982" s="2">
        <v>2014.0</v>
      </c>
      <c r="B1982" s="2" t="s">
        <v>9911</v>
      </c>
      <c r="C1982" s="2" t="s">
        <v>9912</v>
      </c>
      <c r="D1982" s="2" t="str">
        <f>"712-299-0139"</f>
        <v>712-299-0139</v>
      </c>
      <c r="E1982" s="2" t="s">
        <v>5991</v>
      </c>
      <c r="F1982" s="2" t="s">
        <v>9913</v>
      </c>
      <c r="G1982" s="2" t="str">
        <f>"SR-2924"</f>
        <v>SR-2924</v>
      </c>
      <c r="H1982" s="2" t="s">
        <v>9914</v>
      </c>
      <c r="I1982" s="2" t="s">
        <v>9915</v>
      </c>
      <c r="K1982" s="2" t="s">
        <v>9916</v>
      </c>
      <c r="L1982" s="2" t="s">
        <v>560</v>
      </c>
      <c r="M1982" s="2">
        <v>50510.0</v>
      </c>
      <c r="N1982" s="2" t="s">
        <v>21</v>
      </c>
    </row>
    <row r="1983" ht="15.75" customHeight="1">
      <c r="A1983" s="2">
        <v>2014.0</v>
      </c>
      <c r="B1983" s="2" t="s">
        <v>9917</v>
      </c>
      <c r="C1983" s="2" t="s">
        <v>9918</v>
      </c>
      <c r="D1983" s="2" t="str">
        <f>"719-602-3880"</f>
        <v>719-602-3880</v>
      </c>
      <c r="E1983" s="2" t="s">
        <v>167</v>
      </c>
      <c r="F1983" s="2" t="s">
        <v>9919</v>
      </c>
      <c r="G1983" s="2" t="str">
        <f>"SR-2724"</f>
        <v>SR-2724</v>
      </c>
      <c r="H1983" s="2" t="s">
        <v>9920</v>
      </c>
      <c r="I1983" s="2" t="s">
        <v>9921</v>
      </c>
      <c r="K1983" s="2" t="s">
        <v>9922</v>
      </c>
      <c r="L1983" s="2" t="s">
        <v>157</v>
      </c>
      <c r="M1983" s="2">
        <v>80133.0</v>
      </c>
      <c r="N1983" s="2" t="s">
        <v>21</v>
      </c>
    </row>
    <row r="1984" ht="15.75" customHeight="1">
      <c r="A1984" s="2">
        <v>2014.0</v>
      </c>
      <c r="B1984" s="2" t="s">
        <v>9911</v>
      </c>
      <c r="C1984" s="2" t="s">
        <v>9923</v>
      </c>
      <c r="D1984" s="2" t="str">
        <f>"712-291-0470"</f>
        <v>712-291-0470</v>
      </c>
      <c r="E1984" s="2" t="s">
        <v>9924</v>
      </c>
      <c r="F1984" s="2" t="s">
        <v>9913</v>
      </c>
      <c r="G1984" s="2" t="str">
        <f>"SR-2928"</f>
        <v>SR-2928</v>
      </c>
      <c r="H1984" s="2" t="s">
        <v>9925</v>
      </c>
      <c r="I1984" s="2" t="s">
        <v>9915</v>
      </c>
      <c r="K1984" s="2" t="s">
        <v>9916</v>
      </c>
      <c r="L1984" s="2" t="s">
        <v>560</v>
      </c>
      <c r="M1984" s="2">
        <v>50510.0</v>
      </c>
      <c r="N1984" s="2" t="s">
        <v>21</v>
      </c>
    </row>
    <row r="1985" ht="15.75" customHeight="1">
      <c r="A1985" s="2">
        <v>2014.0</v>
      </c>
      <c r="B1985" s="2" t="s">
        <v>9926</v>
      </c>
      <c r="C1985" s="2" t="s">
        <v>9926</v>
      </c>
      <c r="D1985" s="2" t="str">
        <f>"952-938-3189"</f>
        <v>952-938-3189</v>
      </c>
      <c r="E1985" s="2" t="s">
        <v>2031</v>
      </c>
      <c r="F1985" s="2" t="s">
        <v>9927</v>
      </c>
      <c r="G1985" s="2" t="str">
        <f>"SR-2864"</f>
        <v>SR-2864</v>
      </c>
      <c r="H1985" s="2" t="s">
        <v>9928</v>
      </c>
      <c r="I1985" s="2" t="s">
        <v>9929</v>
      </c>
      <c r="K1985" s="2" t="s">
        <v>9930</v>
      </c>
      <c r="L1985" s="2" t="s">
        <v>62</v>
      </c>
      <c r="M1985" s="2">
        <v>55343.0</v>
      </c>
      <c r="N1985" s="2" t="s">
        <v>21</v>
      </c>
    </row>
    <row r="1986" ht="15.75" customHeight="1">
      <c r="A1986" s="2">
        <v>2014.0</v>
      </c>
      <c r="B1986" s="2" t="s">
        <v>9931</v>
      </c>
      <c r="C1986" s="2" t="s">
        <v>9931</v>
      </c>
      <c r="D1986" s="2" t="str">
        <f>"(208) 238-7650"</f>
        <v>(208) 238-7650</v>
      </c>
      <c r="E1986" s="2" t="s">
        <v>7892</v>
      </c>
      <c r="F1986" s="2" t="s">
        <v>7421</v>
      </c>
      <c r="G1986" s="2" t="str">
        <f>"SR-2934"</f>
        <v>SR-2934</v>
      </c>
      <c r="H1986" s="2" t="s">
        <v>9932</v>
      </c>
      <c r="I1986" s="2" t="s">
        <v>7423</v>
      </c>
      <c r="K1986" s="2" t="s">
        <v>7424</v>
      </c>
      <c r="L1986" s="2" t="s">
        <v>2613</v>
      </c>
      <c r="M1986" s="2">
        <v>83202.0</v>
      </c>
      <c r="N1986" s="2" t="s">
        <v>21</v>
      </c>
    </row>
    <row r="1987" ht="15.75" customHeight="1">
      <c r="A1987" s="2">
        <v>2014.0</v>
      </c>
      <c r="B1987" s="2" t="s">
        <v>7420</v>
      </c>
      <c r="C1987" s="2" t="s">
        <v>7420</v>
      </c>
      <c r="D1987" s="2" t="str">
        <f>"208-238-7650"</f>
        <v>208-238-7650</v>
      </c>
      <c r="E1987" s="2" t="s">
        <v>428</v>
      </c>
      <c r="F1987" s="2" t="s">
        <v>7421</v>
      </c>
      <c r="G1987" s="2" t="str">
        <f>"SR-1886"</f>
        <v>SR-1886</v>
      </c>
      <c r="H1987" s="2" t="s">
        <v>7422</v>
      </c>
      <c r="I1987" s="2" t="s">
        <v>7423</v>
      </c>
      <c r="K1987" s="2" t="s">
        <v>7424</v>
      </c>
      <c r="L1987" s="2" t="s">
        <v>2613</v>
      </c>
      <c r="M1987" s="2">
        <v>83202.0</v>
      </c>
      <c r="N1987" s="2" t="s">
        <v>21</v>
      </c>
    </row>
    <row r="1988" ht="15.75" customHeight="1">
      <c r="A1988" s="2">
        <v>2014.0</v>
      </c>
      <c r="B1988" s="2" t="s">
        <v>9933</v>
      </c>
      <c r="C1988" s="2" t="s">
        <v>9933</v>
      </c>
      <c r="D1988" s="2" t="str">
        <f>"402-905-9056"</f>
        <v>402-905-9056</v>
      </c>
      <c r="E1988" s="2" t="s">
        <v>4097</v>
      </c>
      <c r="F1988" s="2" t="s">
        <v>9934</v>
      </c>
      <c r="G1988" s="2" t="str">
        <f>"SR-2931"</f>
        <v>SR-2931</v>
      </c>
      <c r="H1988" s="2" t="s">
        <v>9935</v>
      </c>
      <c r="I1988" s="2" t="s">
        <v>9936</v>
      </c>
      <c r="K1988" s="2" t="s">
        <v>1470</v>
      </c>
      <c r="L1988" s="2" t="s">
        <v>757</v>
      </c>
      <c r="M1988" s="2">
        <v>68134.0</v>
      </c>
      <c r="N1988" s="2" t="s">
        <v>21</v>
      </c>
    </row>
    <row r="1989" ht="15.75" customHeight="1">
      <c r="A1989" s="2">
        <v>2014.0</v>
      </c>
      <c r="B1989" s="2" t="s">
        <v>9937</v>
      </c>
      <c r="C1989" s="2" t="s">
        <v>9938</v>
      </c>
      <c r="D1989" s="2" t="str">
        <f>"206-723-1566"</f>
        <v>206-723-1566</v>
      </c>
      <c r="E1989" s="2" t="s">
        <v>862</v>
      </c>
      <c r="F1989" s="2" t="s">
        <v>9939</v>
      </c>
      <c r="G1989" s="2" t="str">
        <f>"SR-2405"</f>
        <v>SR-2405</v>
      </c>
      <c r="H1989" s="2" t="s">
        <v>9940</v>
      </c>
      <c r="I1989" s="2" t="s">
        <v>9941</v>
      </c>
      <c r="K1989" s="2" t="s">
        <v>9942</v>
      </c>
      <c r="L1989" s="2" t="s">
        <v>86</v>
      </c>
      <c r="M1989" s="2">
        <v>98178.0</v>
      </c>
      <c r="N1989" s="2" t="s">
        <v>21</v>
      </c>
    </row>
    <row r="1990" ht="15.75" customHeight="1">
      <c r="A1990" s="2">
        <v>2014.0</v>
      </c>
      <c r="B1990" s="2" t="s">
        <v>9943</v>
      </c>
      <c r="C1990" s="2" t="s">
        <v>9944</v>
      </c>
      <c r="D1990" s="2" t="str">
        <f>"301-729-3663"</f>
        <v>301-729-3663</v>
      </c>
      <c r="E1990" s="2" t="s">
        <v>9945</v>
      </c>
      <c r="F1990" s="2" t="s">
        <v>9946</v>
      </c>
      <c r="G1990" s="2" t="str">
        <f>"SR-2916"</f>
        <v>SR-2916</v>
      </c>
      <c r="H1990" s="2" t="s">
        <v>9947</v>
      </c>
      <c r="I1990" s="2" t="s">
        <v>9948</v>
      </c>
      <c r="K1990" s="2" t="s">
        <v>9949</v>
      </c>
      <c r="L1990" s="2" t="s">
        <v>1868</v>
      </c>
      <c r="M1990" s="2">
        <v>21502.0</v>
      </c>
      <c r="N1990" s="2" t="s">
        <v>21</v>
      </c>
    </row>
    <row r="1991" ht="15.75" customHeight="1">
      <c r="A1991" s="2">
        <v>2014.0</v>
      </c>
      <c r="B1991" s="2" t="s">
        <v>9950</v>
      </c>
      <c r="C1991" s="2" t="s">
        <v>9951</v>
      </c>
      <c r="D1991" s="2" t="str">
        <f>"3203954351"</f>
        <v>3203954351</v>
      </c>
      <c r="E1991" s="2" t="s">
        <v>9952</v>
      </c>
      <c r="F1991" s="2" t="s">
        <v>9953</v>
      </c>
      <c r="G1991" s="2" t="str">
        <f>"SR-2899"</f>
        <v>SR-2899</v>
      </c>
      <c r="H1991" s="2" t="s">
        <v>9954</v>
      </c>
      <c r="I1991" s="2" t="s">
        <v>9955</v>
      </c>
      <c r="K1991" s="2" t="s">
        <v>9956</v>
      </c>
      <c r="L1991" s="2" t="s">
        <v>62</v>
      </c>
      <c r="M1991" s="2">
        <v>55354.0</v>
      </c>
      <c r="N1991" s="2" t="s">
        <v>21</v>
      </c>
    </row>
    <row r="1992" ht="15.75" customHeight="1">
      <c r="A1992" s="2">
        <v>2014.0</v>
      </c>
      <c r="B1992" s="2" t="s">
        <v>9957</v>
      </c>
      <c r="C1992" s="2" t="s">
        <v>9958</v>
      </c>
      <c r="D1992" s="2" t="str">
        <f>"9033661594"</f>
        <v>9033661594</v>
      </c>
      <c r="E1992" s="2" t="s">
        <v>5244</v>
      </c>
      <c r="F1992" s="2" t="s">
        <v>9959</v>
      </c>
      <c r="G1992" s="2" t="str">
        <f>"SR-2849"</f>
        <v>SR-2849</v>
      </c>
      <c r="H1992" s="2" t="s">
        <v>9960</v>
      </c>
      <c r="I1992" s="2" t="s">
        <v>9961</v>
      </c>
      <c r="K1992" s="2" t="s">
        <v>850</v>
      </c>
      <c r="L1992" s="2" t="s">
        <v>172</v>
      </c>
      <c r="M1992" s="2">
        <v>75422.0</v>
      </c>
      <c r="N1992" s="2" t="s">
        <v>21</v>
      </c>
    </row>
    <row r="1993" ht="15.75" customHeight="1">
      <c r="A1993" s="2">
        <v>2014.0</v>
      </c>
      <c r="B1993" s="2" t="s">
        <v>9962</v>
      </c>
      <c r="C1993" s="2" t="s">
        <v>9963</v>
      </c>
      <c r="D1993" s="2" t="str">
        <f>"715-797-3973"</f>
        <v>715-797-3973</v>
      </c>
      <c r="E1993" s="2" t="s">
        <v>456</v>
      </c>
      <c r="F1993" s="2" t="s">
        <v>9964</v>
      </c>
      <c r="G1993" s="2" t="str">
        <f>"SR-2905"</f>
        <v>SR-2905</v>
      </c>
      <c r="H1993" s="2" t="s">
        <v>9965</v>
      </c>
      <c r="I1993" s="2" t="s">
        <v>9966</v>
      </c>
      <c r="K1993" s="2" t="s">
        <v>9967</v>
      </c>
      <c r="L1993" s="2" t="s">
        <v>193</v>
      </c>
      <c r="M1993" s="2">
        <v>54703.0</v>
      </c>
      <c r="N1993" s="2" t="s">
        <v>21</v>
      </c>
    </row>
    <row r="1994" ht="15.75" customHeight="1">
      <c r="A1994" s="2">
        <v>2014.0</v>
      </c>
      <c r="B1994" s="2" t="s">
        <v>9968</v>
      </c>
      <c r="C1994" s="2" t="s">
        <v>9969</v>
      </c>
      <c r="D1994" s="2" t="str">
        <f>"2158225135"</f>
        <v>2158225135</v>
      </c>
      <c r="E1994" s="2" t="s">
        <v>678</v>
      </c>
      <c r="F1994" s="2" t="s">
        <v>9970</v>
      </c>
      <c r="G1994" s="2" t="str">
        <f>"SR-2940"</f>
        <v>SR-2940</v>
      </c>
      <c r="H1994" s="2" t="s">
        <v>9971</v>
      </c>
      <c r="I1994" s="2" t="s">
        <v>9972</v>
      </c>
      <c r="K1994" s="2" t="s">
        <v>9973</v>
      </c>
      <c r="L1994" s="2" t="s">
        <v>179</v>
      </c>
      <c r="M1994" s="2">
        <v>18944.0</v>
      </c>
      <c r="N1994" s="2" t="s">
        <v>21</v>
      </c>
    </row>
    <row r="1995" ht="15.75" customHeight="1">
      <c r="A1995" s="2">
        <v>2014.0</v>
      </c>
      <c r="B1995" s="2" t="s">
        <v>9974</v>
      </c>
      <c r="C1995" s="2" t="s">
        <v>9974</v>
      </c>
      <c r="D1995" s="2" t="str">
        <f>"7164670589"</f>
        <v>7164670589</v>
      </c>
      <c r="E1995" s="2" t="s">
        <v>9975</v>
      </c>
      <c r="F1995" s="2" t="s">
        <v>9976</v>
      </c>
      <c r="G1995" s="2" t="str">
        <f>"SR-2824"</f>
        <v>SR-2824</v>
      </c>
      <c r="H1995" s="2" t="s">
        <v>9977</v>
      </c>
      <c r="I1995" s="2" t="s">
        <v>9978</v>
      </c>
      <c r="K1995" s="2" t="s">
        <v>141</v>
      </c>
      <c r="L1995" s="2" t="s">
        <v>142</v>
      </c>
      <c r="M1995" s="2">
        <v>14063.0</v>
      </c>
      <c r="N1995" s="2" t="s">
        <v>21</v>
      </c>
    </row>
    <row r="1996" ht="15.75" customHeight="1">
      <c r="A1996" s="2">
        <v>2014.0</v>
      </c>
      <c r="B1996" s="2" t="s">
        <v>9979</v>
      </c>
      <c r="C1996" s="2" t="s">
        <v>9979</v>
      </c>
      <c r="D1996" s="2" t="str">
        <f>"5152445556"</f>
        <v>5152445556</v>
      </c>
      <c r="E1996" s="2" t="s">
        <v>167</v>
      </c>
      <c r="F1996" s="2" t="s">
        <v>9980</v>
      </c>
      <c r="G1996" s="2" t="str">
        <f>"SR-2937"</f>
        <v>SR-2937</v>
      </c>
      <c r="H1996" s="2" t="s">
        <v>9981</v>
      </c>
      <c r="I1996" s="2" t="s">
        <v>9982</v>
      </c>
      <c r="K1996" s="2" t="s">
        <v>1996</v>
      </c>
      <c r="L1996" s="2" t="s">
        <v>560</v>
      </c>
      <c r="M1996" s="2">
        <v>50313.0</v>
      </c>
      <c r="N1996" s="2" t="s">
        <v>21</v>
      </c>
    </row>
    <row r="1997" ht="15.75" customHeight="1">
      <c r="A1997" s="2">
        <v>2014.0</v>
      </c>
      <c r="B1997" s="2" t="s">
        <v>9983</v>
      </c>
      <c r="C1997" s="2" t="s">
        <v>9984</v>
      </c>
      <c r="D1997" s="2" t="str">
        <f>"540-439-0524"</f>
        <v>540-439-0524</v>
      </c>
      <c r="E1997" s="2" t="s">
        <v>9985</v>
      </c>
      <c r="F1997" s="2" t="s">
        <v>9986</v>
      </c>
      <c r="G1997" s="2" t="str">
        <f>"SR-2942"</f>
        <v>SR-2942</v>
      </c>
      <c r="H1997" s="2" t="s">
        <v>9987</v>
      </c>
      <c r="I1997" s="2" t="s">
        <v>9988</v>
      </c>
      <c r="K1997" s="2" t="s">
        <v>286</v>
      </c>
      <c r="L1997" s="2" t="s">
        <v>165</v>
      </c>
      <c r="M1997" s="2">
        <v>22728.0</v>
      </c>
      <c r="N1997" s="2" t="s">
        <v>21</v>
      </c>
    </row>
    <row r="1998" ht="15.75" customHeight="1">
      <c r="A1998" s="2">
        <v>2014.0</v>
      </c>
      <c r="B1998" s="2" t="s">
        <v>9989</v>
      </c>
      <c r="C1998" s="2" t="s">
        <v>9989</v>
      </c>
      <c r="D1998" s="2" t="str">
        <f>"727-744-9580"</f>
        <v>727-744-9580</v>
      </c>
      <c r="E1998" s="2" t="s">
        <v>9990</v>
      </c>
      <c r="F1998" s="2" t="s">
        <v>9991</v>
      </c>
      <c r="G1998" s="2" t="str">
        <f>"SR-2888"</f>
        <v>SR-2888</v>
      </c>
      <c r="H1998" s="2" t="s">
        <v>9992</v>
      </c>
      <c r="I1998" s="2" t="s">
        <v>9993</v>
      </c>
      <c r="K1998" s="2" t="s">
        <v>414</v>
      </c>
      <c r="L1998" s="2" t="s">
        <v>208</v>
      </c>
      <c r="M1998" s="2">
        <v>33774.0</v>
      </c>
      <c r="N1998" s="2" t="s">
        <v>21</v>
      </c>
    </row>
    <row r="1999" ht="15.75" customHeight="1">
      <c r="A1999" s="2">
        <v>2014.0</v>
      </c>
      <c r="B1999" s="2" t="s">
        <v>5699</v>
      </c>
      <c r="C1999" s="2" t="s">
        <v>5699</v>
      </c>
      <c r="D1999" s="2" t="str">
        <f>"217-428-6947"</f>
        <v>217-428-6947</v>
      </c>
      <c r="E1999" s="2" t="s">
        <v>250</v>
      </c>
      <c r="F1999" s="2" t="s">
        <v>5700</v>
      </c>
      <c r="G1999" s="2" t="str">
        <f>"SR-2625"</f>
        <v>SR-2625</v>
      </c>
      <c r="H1999" s="2" t="s">
        <v>9994</v>
      </c>
      <c r="I1999" s="2" t="s">
        <v>9995</v>
      </c>
      <c r="K1999" s="2" t="s">
        <v>8231</v>
      </c>
      <c r="L1999" s="2" t="s">
        <v>105</v>
      </c>
      <c r="M1999" s="2">
        <v>62521.0</v>
      </c>
      <c r="N1999" s="2" t="s">
        <v>21</v>
      </c>
    </row>
    <row r="2000" ht="15.75" customHeight="1">
      <c r="A2000" s="2">
        <v>2014.0</v>
      </c>
      <c r="B2000" s="2" t="s">
        <v>9996</v>
      </c>
      <c r="C2000" s="2" t="s">
        <v>9997</v>
      </c>
      <c r="D2000" s="2" t="str">
        <f>"217-429-8878"</f>
        <v>217-429-8878</v>
      </c>
      <c r="E2000" s="2" t="s">
        <v>72</v>
      </c>
      <c r="F2000" s="2" t="s">
        <v>9998</v>
      </c>
      <c r="G2000" s="2" t="str">
        <f>"SR-2943"</f>
        <v>SR-2943</v>
      </c>
      <c r="H2000" s="2" t="s">
        <v>9999</v>
      </c>
      <c r="I2000" s="2" t="s">
        <v>10000</v>
      </c>
      <c r="K2000" s="2" t="s">
        <v>8231</v>
      </c>
      <c r="L2000" s="2" t="s">
        <v>105</v>
      </c>
      <c r="M2000" s="2">
        <v>62521.0</v>
      </c>
      <c r="N2000" s="2" t="s">
        <v>21</v>
      </c>
    </row>
    <row r="2001" ht="15.75" customHeight="1">
      <c r="A2001" s="2">
        <v>2014.0</v>
      </c>
      <c r="B2001" s="2" t="s">
        <v>10001</v>
      </c>
      <c r="C2001" s="2" t="s">
        <v>10002</v>
      </c>
      <c r="D2001" s="2" t="str">
        <f>"402-658-8538"</f>
        <v>402-658-8538</v>
      </c>
      <c r="E2001" s="2" t="s">
        <v>3173</v>
      </c>
      <c r="F2001" s="2" t="s">
        <v>10003</v>
      </c>
      <c r="G2001" s="2" t="str">
        <f>"SR-2748"</f>
        <v>SR-2748</v>
      </c>
      <c r="H2001" s="2" t="s">
        <v>10004</v>
      </c>
      <c r="I2001" s="2" t="s">
        <v>10005</v>
      </c>
      <c r="K2001" s="2" t="s">
        <v>2545</v>
      </c>
      <c r="L2001" s="2" t="s">
        <v>757</v>
      </c>
      <c r="M2001" s="2">
        <v>68007.0</v>
      </c>
      <c r="N2001" s="2" t="s">
        <v>21</v>
      </c>
    </row>
    <row r="2002" ht="15.75" customHeight="1">
      <c r="A2002" s="2">
        <v>2014.0</v>
      </c>
      <c r="B2002" s="2" t="s">
        <v>10006</v>
      </c>
      <c r="C2002" s="2" t="s">
        <v>10006</v>
      </c>
      <c r="D2002" s="2" t="str">
        <f>"480-294-5759"</f>
        <v>480-294-5759</v>
      </c>
      <c r="E2002" s="2" t="s">
        <v>4787</v>
      </c>
      <c r="F2002" s="2" t="s">
        <v>2231</v>
      </c>
      <c r="G2002" s="2" t="str">
        <f>"SR-2448"</f>
        <v>SR-2448</v>
      </c>
      <c r="H2002" s="2" t="s">
        <v>10007</v>
      </c>
      <c r="I2002" s="2" t="s">
        <v>10008</v>
      </c>
      <c r="K2002" s="2" t="s">
        <v>4675</v>
      </c>
      <c r="L2002" s="2" t="s">
        <v>422</v>
      </c>
      <c r="M2002" s="2">
        <v>85234.0</v>
      </c>
      <c r="N2002" s="2" t="s">
        <v>21</v>
      </c>
    </row>
    <row r="2003" ht="15.75" customHeight="1">
      <c r="A2003" s="2">
        <v>2014.0</v>
      </c>
      <c r="B2003" s="2" t="s">
        <v>10009</v>
      </c>
      <c r="C2003" s="2" t="s">
        <v>10010</v>
      </c>
      <c r="D2003" s="2" t="str">
        <f>"402-453-3940"</f>
        <v>402-453-3940</v>
      </c>
      <c r="E2003" s="2" t="s">
        <v>584</v>
      </c>
      <c r="F2003" s="2" t="s">
        <v>9856</v>
      </c>
      <c r="G2003" s="2" t="str">
        <f>"SR-2945"</f>
        <v>SR-2945</v>
      </c>
      <c r="H2003" s="2" t="s">
        <v>10011</v>
      </c>
      <c r="I2003" s="2" t="s">
        <v>10012</v>
      </c>
      <c r="K2003" s="2" t="s">
        <v>1470</v>
      </c>
      <c r="L2003" s="2" t="s">
        <v>757</v>
      </c>
      <c r="M2003" s="2">
        <v>68134.0</v>
      </c>
      <c r="N2003" s="2" t="s">
        <v>21</v>
      </c>
    </row>
    <row r="2004" ht="15.75" customHeight="1">
      <c r="A2004" s="2">
        <v>2014.0</v>
      </c>
      <c r="B2004" s="2" t="s">
        <v>10013</v>
      </c>
      <c r="C2004" s="2" t="s">
        <v>10014</v>
      </c>
      <c r="D2004" s="2" t="str">
        <f>"605-220-0365"</f>
        <v>605-220-0365</v>
      </c>
      <c r="E2004" s="2" t="s">
        <v>584</v>
      </c>
      <c r="F2004" s="2" t="s">
        <v>10015</v>
      </c>
      <c r="G2004" s="2" t="str">
        <f>"SR-2859"</f>
        <v>SR-2859</v>
      </c>
      <c r="H2004" s="2" t="s">
        <v>10016</v>
      </c>
      <c r="I2004" s="2" t="s">
        <v>10017</v>
      </c>
      <c r="K2004" s="2" t="s">
        <v>4355</v>
      </c>
      <c r="L2004" s="2" t="s">
        <v>920</v>
      </c>
      <c r="M2004" s="2">
        <v>57501.0</v>
      </c>
      <c r="N2004" s="2" t="s">
        <v>21</v>
      </c>
    </row>
    <row r="2005" ht="15.75" customHeight="1">
      <c r="A2005" s="2">
        <v>2014.0</v>
      </c>
      <c r="B2005" s="2" t="s">
        <v>10018</v>
      </c>
      <c r="C2005" s="2" t="s">
        <v>10018</v>
      </c>
      <c r="D2005" s="2" t="str">
        <f>"7543668226"</f>
        <v>7543668226</v>
      </c>
      <c r="E2005" s="2" t="s">
        <v>955</v>
      </c>
      <c r="F2005" s="2" t="s">
        <v>10019</v>
      </c>
      <c r="G2005" s="2" t="str">
        <f>"SR-2758"</f>
        <v>SR-2758</v>
      </c>
      <c r="H2005" s="2" t="s">
        <v>10020</v>
      </c>
      <c r="I2005" s="2" t="s">
        <v>10021</v>
      </c>
      <c r="K2005" s="2" t="s">
        <v>10022</v>
      </c>
      <c r="L2005" s="2" t="s">
        <v>208</v>
      </c>
      <c r="M2005" s="2">
        <v>33325.0</v>
      </c>
      <c r="N2005" s="2" t="s">
        <v>21</v>
      </c>
    </row>
    <row r="2006" ht="15.75" customHeight="1">
      <c r="A2006" s="2">
        <v>2014.0</v>
      </c>
      <c r="B2006" s="2" t="s">
        <v>10023</v>
      </c>
      <c r="C2006" s="2" t="s">
        <v>10023</v>
      </c>
      <c r="D2006" s="2" t="str">
        <f>"620-899-3536"</f>
        <v>620-899-3536</v>
      </c>
      <c r="E2006" s="2" t="s">
        <v>160</v>
      </c>
      <c r="F2006" s="2" t="s">
        <v>10024</v>
      </c>
      <c r="G2006" s="2" t="str">
        <f>"SR-2889"</f>
        <v>SR-2889</v>
      </c>
      <c r="H2006" s="2" t="s">
        <v>10025</v>
      </c>
      <c r="I2006" s="2" t="s">
        <v>10026</v>
      </c>
      <c r="K2006" s="2" t="s">
        <v>10027</v>
      </c>
      <c r="L2006" s="2" t="s">
        <v>272</v>
      </c>
      <c r="M2006" s="2">
        <v>67018.0</v>
      </c>
      <c r="N2006" s="2" t="s">
        <v>21</v>
      </c>
    </row>
    <row r="2007" ht="15.75" customHeight="1">
      <c r="A2007" s="2">
        <v>2014.0</v>
      </c>
      <c r="B2007" s="2" t="s">
        <v>9943</v>
      </c>
      <c r="C2007" s="2" t="s">
        <v>10028</v>
      </c>
      <c r="D2007" s="2" t="str">
        <f>"301-729-3663"</f>
        <v>301-729-3663</v>
      </c>
      <c r="E2007" s="2" t="s">
        <v>5285</v>
      </c>
      <c r="F2007" s="2" t="s">
        <v>9946</v>
      </c>
      <c r="G2007" s="2" t="str">
        <f>"SR-2914"</f>
        <v>SR-2914</v>
      </c>
      <c r="H2007" s="2" t="s">
        <v>10029</v>
      </c>
      <c r="I2007" s="2" t="s">
        <v>9948</v>
      </c>
      <c r="K2007" s="2" t="s">
        <v>9949</v>
      </c>
      <c r="L2007" s="2" t="s">
        <v>1868</v>
      </c>
      <c r="M2007" s="2">
        <v>21502.0</v>
      </c>
      <c r="N2007" s="2" t="s">
        <v>21</v>
      </c>
    </row>
    <row r="2008" ht="15.75" customHeight="1">
      <c r="A2008" s="2">
        <v>2014.0</v>
      </c>
      <c r="B2008" s="2" t="s">
        <v>10030</v>
      </c>
      <c r="C2008" s="2" t="s">
        <v>10030</v>
      </c>
      <c r="D2008" s="2" t="str">
        <f>"920.869.2849"</f>
        <v>920.869.2849</v>
      </c>
      <c r="E2008" s="2" t="s">
        <v>1987</v>
      </c>
      <c r="F2008" s="2" t="s">
        <v>10031</v>
      </c>
      <c r="G2008" s="2" t="str">
        <f>"SR-2936"</f>
        <v>SR-2936</v>
      </c>
      <c r="H2008" s="2" t="s">
        <v>10032</v>
      </c>
      <c r="I2008" s="2" t="s">
        <v>10033</v>
      </c>
      <c r="K2008" s="2" t="s">
        <v>10034</v>
      </c>
      <c r="L2008" s="2" t="s">
        <v>193</v>
      </c>
      <c r="M2008" s="2">
        <v>54155.0</v>
      </c>
      <c r="N2008" s="2" t="s">
        <v>21</v>
      </c>
    </row>
    <row r="2009" ht="15.75" customHeight="1">
      <c r="A2009" s="2">
        <v>2014.0</v>
      </c>
      <c r="B2009" s="2" t="s">
        <v>10035</v>
      </c>
      <c r="C2009" s="2" t="s">
        <v>10036</v>
      </c>
      <c r="D2009" s="2" t="str">
        <f>"715-695-3957"</f>
        <v>715-695-3957</v>
      </c>
      <c r="E2009" s="2" t="s">
        <v>160</v>
      </c>
      <c r="F2009" s="2" t="s">
        <v>1451</v>
      </c>
      <c r="G2009" s="2" t="str">
        <f>"SR-2948"</f>
        <v>SR-2948</v>
      </c>
      <c r="H2009" s="2" t="s">
        <v>10037</v>
      </c>
      <c r="I2009" s="2" t="s">
        <v>10038</v>
      </c>
      <c r="K2009" s="2" t="s">
        <v>10039</v>
      </c>
      <c r="L2009" s="2" t="s">
        <v>193</v>
      </c>
      <c r="M2009" s="2">
        <v>54758.0</v>
      </c>
      <c r="N2009" s="2" t="s">
        <v>21</v>
      </c>
    </row>
    <row r="2010" ht="15.75" customHeight="1">
      <c r="A2010" s="2">
        <v>2014.0</v>
      </c>
      <c r="B2010" s="2" t="s">
        <v>10040</v>
      </c>
      <c r="C2010" s="2" t="s">
        <v>10040</v>
      </c>
      <c r="D2010" s="2" t="str">
        <f>"269-858-9616"</f>
        <v>269-858-9616</v>
      </c>
      <c r="E2010" s="2" t="s">
        <v>1032</v>
      </c>
      <c r="F2010" s="2" t="s">
        <v>10041</v>
      </c>
      <c r="G2010" s="2" t="str">
        <f>"SR-2954"</f>
        <v>SR-2954</v>
      </c>
      <c r="H2010" s="2" t="s">
        <v>10042</v>
      </c>
      <c r="I2010" s="2" t="s">
        <v>10043</v>
      </c>
      <c r="K2010" s="2" t="s">
        <v>10044</v>
      </c>
      <c r="L2010" s="2" t="s">
        <v>29</v>
      </c>
      <c r="M2010" s="2">
        <v>49093.0</v>
      </c>
      <c r="N2010" s="2" t="s">
        <v>21</v>
      </c>
    </row>
    <row r="2011" ht="15.75" customHeight="1">
      <c r="A2011" s="2">
        <v>2014.0</v>
      </c>
      <c r="B2011" s="2" t="s">
        <v>10045</v>
      </c>
      <c r="C2011" s="2" t="s">
        <v>10045</v>
      </c>
      <c r="D2011" s="2" t="str">
        <f>"812-867-5484"</f>
        <v>812-867-5484</v>
      </c>
      <c r="E2011" s="2" t="s">
        <v>2988</v>
      </c>
      <c r="F2011" s="2" t="s">
        <v>10046</v>
      </c>
      <c r="G2011" s="2" t="str">
        <f>"SR-2955"</f>
        <v>SR-2955</v>
      </c>
      <c r="H2011" s="2" t="s">
        <v>10047</v>
      </c>
      <c r="I2011" s="2" t="s">
        <v>10048</v>
      </c>
      <c r="K2011" s="2" t="s">
        <v>148</v>
      </c>
      <c r="L2011" s="2" t="s">
        <v>149</v>
      </c>
      <c r="M2011" s="2">
        <v>47711.0</v>
      </c>
      <c r="N2011" s="2" t="s">
        <v>21</v>
      </c>
    </row>
    <row r="2012" ht="15.75" customHeight="1">
      <c r="A2012" s="2">
        <v>2014.0</v>
      </c>
      <c r="B2012" s="2" t="s">
        <v>10049</v>
      </c>
      <c r="D2012" s="2" t="str">
        <f>""</f>
        <v/>
      </c>
      <c r="E2012" s="2" t="s">
        <v>4136</v>
      </c>
      <c r="F2012" s="2" t="s">
        <v>10050</v>
      </c>
      <c r="G2012" s="2" t="str">
        <f>"SR-2877"</f>
        <v>SR-2877</v>
      </c>
      <c r="H2012" s="2" t="s">
        <v>10051</v>
      </c>
      <c r="N2012" s="2" t="s">
        <v>21</v>
      </c>
    </row>
    <row r="2013" ht="15.75" customHeight="1">
      <c r="A2013" s="2">
        <v>2014.0</v>
      </c>
      <c r="B2013" s="2" t="s">
        <v>10052</v>
      </c>
      <c r="C2013" s="2" t="s">
        <v>10052</v>
      </c>
      <c r="D2013" s="2" t="str">
        <f>"6159438423"</f>
        <v>6159438423</v>
      </c>
      <c r="E2013" s="2" t="s">
        <v>353</v>
      </c>
      <c r="F2013" s="2" t="s">
        <v>6430</v>
      </c>
      <c r="G2013" s="2" t="str">
        <f>"SR-2956"</f>
        <v>SR-2956</v>
      </c>
      <c r="H2013" s="2" t="s">
        <v>10053</v>
      </c>
      <c r="I2013" s="2" t="s">
        <v>10054</v>
      </c>
      <c r="K2013" s="2" t="s">
        <v>9868</v>
      </c>
      <c r="L2013" s="2" t="s">
        <v>279</v>
      </c>
      <c r="M2013" s="2">
        <v>37027.0</v>
      </c>
      <c r="N2013" s="2" t="s">
        <v>21</v>
      </c>
    </row>
    <row r="2014" ht="15.75" customHeight="1">
      <c r="A2014" s="2">
        <v>2014.0</v>
      </c>
      <c r="B2014" s="2" t="s">
        <v>10055</v>
      </c>
      <c r="C2014" s="2" t="s">
        <v>10056</v>
      </c>
      <c r="D2014" s="2" t="str">
        <f>"612-545-7785"</f>
        <v>612-545-7785</v>
      </c>
      <c r="E2014" s="2" t="s">
        <v>10057</v>
      </c>
      <c r="F2014" s="2" t="s">
        <v>4941</v>
      </c>
      <c r="G2014" s="2" t="str">
        <f>"SR-2919"</f>
        <v>SR-2919</v>
      </c>
      <c r="H2014" s="2" t="s">
        <v>10058</v>
      </c>
      <c r="I2014" s="2" t="s">
        <v>10059</v>
      </c>
      <c r="K2014" s="2" t="s">
        <v>7722</v>
      </c>
      <c r="L2014" s="2" t="s">
        <v>62</v>
      </c>
      <c r="M2014" s="2">
        <v>55337.0</v>
      </c>
      <c r="N2014" s="2" t="s">
        <v>21</v>
      </c>
    </row>
    <row r="2015" ht="15.75" customHeight="1">
      <c r="A2015" s="2">
        <v>2014.0</v>
      </c>
      <c r="B2015" s="2" t="s">
        <v>10060</v>
      </c>
      <c r="C2015" s="2" t="s">
        <v>10061</v>
      </c>
      <c r="D2015" s="2" t="str">
        <f>"906-483-3835"</f>
        <v>906-483-3835</v>
      </c>
      <c r="E2015" s="2" t="s">
        <v>10062</v>
      </c>
      <c r="F2015" s="2" t="s">
        <v>10063</v>
      </c>
      <c r="G2015" s="2" t="str">
        <f>"SR-2904"</f>
        <v>SR-2904</v>
      </c>
      <c r="H2015" s="2" t="s">
        <v>10064</v>
      </c>
      <c r="I2015" s="2" t="s">
        <v>10065</v>
      </c>
      <c r="K2015" s="2" t="s">
        <v>10066</v>
      </c>
      <c r="L2015" s="2" t="s">
        <v>29</v>
      </c>
      <c r="M2015" s="2">
        <v>49931.0</v>
      </c>
      <c r="N2015" s="2" t="s">
        <v>21</v>
      </c>
    </row>
    <row r="2016" ht="15.75" customHeight="1">
      <c r="A2016" s="2">
        <v>2014.0</v>
      </c>
      <c r="B2016" s="2" t="s">
        <v>10067</v>
      </c>
      <c r="C2016" s="2" t="s">
        <v>10067</v>
      </c>
      <c r="D2016" s="2" t="str">
        <f>"3304271624"</f>
        <v>3304271624</v>
      </c>
      <c r="E2016" s="2" t="s">
        <v>7892</v>
      </c>
      <c r="F2016" s="2" t="s">
        <v>3323</v>
      </c>
      <c r="G2016" s="2" t="str">
        <f>"SR-2878"</f>
        <v>SR-2878</v>
      </c>
      <c r="H2016" s="2" t="s">
        <v>10068</v>
      </c>
      <c r="I2016" s="2" t="s">
        <v>10069</v>
      </c>
      <c r="K2016" s="2" t="s">
        <v>10070</v>
      </c>
      <c r="L2016" s="2" t="s">
        <v>344</v>
      </c>
      <c r="M2016" s="2">
        <v>44431.0</v>
      </c>
      <c r="N2016" s="2" t="s">
        <v>21</v>
      </c>
    </row>
    <row r="2017" ht="15.75" customHeight="1">
      <c r="A2017" s="2">
        <v>2014.0</v>
      </c>
      <c r="B2017" s="2" t="s">
        <v>10071</v>
      </c>
      <c r="C2017" s="2" t="s">
        <v>10071</v>
      </c>
      <c r="D2017" s="2" t="str">
        <f>"(406) 498-3148"</f>
        <v>(406) 498-3148</v>
      </c>
      <c r="E2017" s="2" t="s">
        <v>10072</v>
      </c>
      <c r="F2017" s="2" t="s">
        <v>10073</v>
      </c>
      <c r="G2017" s="2" t="str">
        <f>"SR-2811"</f>
        <v>SR-2811</v>
      </c>
      <c r="H2017" s="2" t="s">
        <v>10074</v>
      </c>
      <c r="I2017" s="2" t="s">
        <v>10075</v>
      </c>
      <c r="K2017" s="2" t="s">
        <v>2774</v>
      </c>
      <c r="L2017" s="2" t="s">
        <v>2696</v>
      </c>
      <c r="M2017" s="2">
        <v>59721.0</v>
      </c>
      <c r="N2017" s="2" t="s">
        <v>21</v>
      </c>
    </row>
    <row r="2018" ht="15.75" customHeight="1">
      <c r="A2018" s="2">
        <v>2014.0</v>
      </c>
      <c r="B2018" s="2" t="s">
        <v>10076</v>
      </c>
      <c r="C2018" s="2" t="s">
        <v>10077</v>
      </c>
      <c r="D2018" s="2" t="str">
        <f>"719-649-4567"</f>
        <v>719-649-4567</v>
      </c>
      <c r="E2018" s="2" t="s">
        <v>862</v>
      </c>
      <c r="F2018" s="2" t="s">
        <v>2429</v>
      </c>
      <c r="G2018" s="2" t="str">
        <f>"SR-2965"</f>
        <v>SR-2965</v>
      </c>
      <c r="H2018" s="2" t="s">
        <v>10078</v>
      </c>
      <c r="I2018" s="2" t="s">
        <v>10079</v>
      </c>
      <c r="K2018" s="2" t="s">
        <v>809</v>
      </c>
      <c r="L2018" s="2" t="s">
        <v>157</v>
      </c>
      <c r="M2018" s="2">
        <v>80923.0</v>
      </c>
      <c r="N2018" s="2" t="s">
        <v>21</v>
      </c>
    </row>
    <row r="2019" ht="15.75" customHeight="1">
      <c r="A2019" s="2">
        <v>2014.0</v>
      </c>
      <c r="B2019" s="2" t="s">
        <v>10080</v>
      </c>
      <c r="C2019" s="2" t="s">
        <v>10080</v>
      </c>
      <c r="D2019" s="2" t="str">
        <f>"480-575-1771"</f>
        <v>480-575-1771</v>
      </c>
      <c r="E2019" s="2" t="s">
        <v>10081</v>
      </c>
      <c r="F2019" s="2" t="s">
        <v>9795</v>
      </c>
      <c r="G2019" s="2" t="str">
        <f>"SR-2559"</f>
        <v>SR-2559</v>
      </c>
      <c r="H2019" s="2" t="s">
        <v>10082</v>
      </c>
      <c r="I2019" s="2" t="s">
        <v>9797</v>
      </c>
      <c r="K2019" s="2" t="s">
        <v>9798</v>
      </c>
      <c r="L2019" s="2" t="s">
        <v>422</v>
      </c>
      <c r="M2019" s="2">
        <v>85331.0</v>
      </c>
      <c r="N2019" s="2" t="s">
        <v>21</v>
      </c>
    </row>
    <row r="2020" ht="15.75" customHeight="1">
      <c r="A2020" s="2">
        <v>2014.0</v>
      </c>
      <c r="B2020" s="2" t="s">
        <v>1672</v>
      </c>
      <c r="C2020" s="2" t="s">
        <v>1678</v>
      </c>
      <c r="D2020" s="2" t="str">
        <f>"4254891020"</f>
        <v>4254891020</v>
      </c>
      <c r="E2020" s="2" t="s">
        <v>453</v>
      </c>
      <c r="F2020" s="2" t="s">
        <v>1674</v>
      </c>
      <c r="G2020" s="2" t="str">
        <f>"SR-438"</f>
        <v>SR-438</v>
      </c>
      <c r="H2020" s="2" t="s">
        <v>1679</v>
      </c>
      <c r="I2020" s="2" t="s">
        <v>1676</v>
      </c>
      <c r="K2020" s="2" t="s">
        <v>1677</v>
      </c>
      <c r="L2020" s="2" t="s">
        <v>86</v>
      </c>
      <c r="M2020" s="2">
        <v>98011.0</v>
      </c>
      <c r="N2020" s="2" t="s">
        <v>21</v>
      </c>
    </row>
    <row r="2021" ht="15.75" customHeight="1">
      <c r="A2021" s="2">
        <v>2014.0</v>
      </c>
      <c r="B2021" s="2" t="s">
        <v>10083</v>
      </c>
      <c r="C2021" s="2" t="s">
        <v>10084</v>
      </c>
      <c r="D2021" s="2" t="str">
        <f>"859-586-5374"</f>
        <v>859-586-5374</v>
      </c>
      <c r="E2021" s="2" t="s">
        <v>862</v>
      </c>
      <c r="F2021" s="2" t="s">
        <v>10085</v>
      </c>
      <c r="G2021" s="2" t="str">
        <f>"SR-2427"</f>
        <v>SR-2427</v>
      </c>
      <c r="H2021" s="2" t="s">
        <v>10086</v>
      </c>
      <c r="I2021" s="2" t="s">
        <v>10087</v>
      </c>
      <c r="K2021" s="2" t="s">
        <v>10088</v>
      </c>
      <c r="L2021" s="2" t="s">
        <v>1236</v>
      </c>
      <c r="M2021" s="2">
        <v>41048.0</v>
      </c>
      <c r="N2021" s="2" t="s">
        <v>21</v>
      </c>
    </row>
    <row r="2022" ht="15.75" customHeight="1">
      <c r="A2022" s="2">
        <v>2014.0</v>
      </c>
      <c r="B2022" s="2" t="s">
        <v>2862</v>
      </c>
      <c r="C2022" s="2" t="s">
        <v>2862</v>
      </c>
      <c r="D2022" s="2" t="str">
        <f>"(406) 685-3340"</f>
        <v>(406) 685-3340</v>
      </c>
      <c r="E2022" s="2" t="s">
        <v>2863</v>
      </c>
      <c r="F2022" s="2" t="s">
        <v>2864</v>
      </c>
      <c r="G2022" s="2" t="str">
        <f>"SR-914"</f>
        <v>SR-914</v>
      </c>
      <c r="H2022" s="2" t="s">
        <v>2865</v>
      </c>
      <c r="I2022" s="2" t="s">
        <v>2866</v>
      </c>
      <c r="J2022" s="2" t="s">
        <v>2867</v>
      </c>
      <c r="K2022" s="2" t="s">
        <v>2868</v>
      </c>
      <c r="L2022" s="2" t="s">
        <v>2696</v>
      </c>
      <c r="M2022" s="2">
        <v>59745.0</v>
      </c>
      <c r="N2022" s="2" t="s">
        <v>21</v>
      </c>
    </row>
    <row r="2023" ht="15.75" customHeight="1">
      <c r="A2023" s="2">
        <v>2014.0</v>
      </c>
      <c r="B2023" s="2" t="s">
        <v>10089</v>
      </c>
      <c r="C2023" s="2" t="s">
        <v>10089</v>
      </c>
      <c r="D2023" s="2" t="str">
        <f>"620-327-9998"</f>
        <v>620-327-9998</v>
      </c>
      <c r="E2023" s="2" t="s">
        <v>824</v>
      </c>
      <c r="F2023" s="2" t="s">
        <v>10090</v>
      </c>
      <c r="G2023" s="2" t="str">
        <f>"SR-2968"</f>
        <v>SR-2968</v>
      </c>
      <c r="H2023" s="2" t="s">
        <v>10091</v>
      </c>
      <c r="I2023" s="2" t="s">
        <v>10092</v>
      </c>
      <c r="K2023" s="2" t="s">
        <v>10093</v>
      </c>
      <c r="L2023" s="2" t="s">
        <v>272</v>
      </c>
      <c r="M2023" s="2">
        <v>67062.0</v>
      </c>
      <c r="N2023" s="2" t="s">
        <v>21</v>
      </c>
    </row>
    <row r="2024" ht="15.75" customHeight="1">
      <c r="A2024" s="2">
        <v>2014.0</v>
      </c>
      <c r="B2024" s="2" t="s">
        <v>10094</v>
      </c>
      <c r="C2024" s="2" t="s">
        <v>10094</v>
      </c>
      <c r="D2024" s="2" t="str">
        <f>"402-551-9851"</f>
        <v>402-551-9851</v>
      </c>
      <c r="E2024" s="2" t="s">
        <v>503</v>
      </c>
      <c r="F2024" s="2" t="s">
        <v>10095</v>
      </c>
      <c r="G2024" s="2" t="str">
        <f>"SR-2970"</f>
        <v>SR-2970</v>
      </c>
      <c r="H2024" s="2" t="s">
        <v>10096</v>
      </c>
      <c r="I2024" s="2" t="s">
        <v>10097</v>
      </c>
      <c r="K2024" s="2" t="s">
        <v>1470</v>
      </c>
      <c r="L2024" s="2" t="s">
        <v>757</v>
      </c>
      <c r="M2024" s="2">
        <v>68132.0</v>
      </c>
      <c r="N2024" s="2" t="s">
        <v>21</v>
      </c>
    </row>
    <row r="2025" ht="15.75" customHeight="1">
      <c r="A2025" s="2">
        <v>2014.0</v>
      </c>
      <c r="B2025" s="2" t="s">
        <v>4510</v>
      </c>
      <c r="C2025" s="2" t="s">
        <v>4510</v>
      </c>
      <c r="D2025" s="2" t="str">
        <f>"913-722-2048"</f>
        <v>913-722-2048</v>
      </c>
      <c r="E2025" s="2" t="s">
        <v>659</v>
      </c>
      <c r="F2025" s="2" t="s">
        <v>4511</v>
      </c>
      <c r="G2025" s="2" t="str">
        <f>"SR-1356"</f>
        <v>SR-1356</v>
      </c>
      <c r="H2025" s="2" t="s">
        <v>4512</v>
      </c>
      <c r="I2025" s="2" t="s">
        <v>4513</v>
      </c>
      <c r="K2025" s="2" t="s">
        <v>4514</v>
      </c>
      <c r="L2025" s="2" t="s">
        <v>272</v>
      </c>
      <c r="M2025" s="2">
        <v>66203.0</v>
      </c>
      <c r="N2025" s="2" t="s">
        <v>21</v>
      </c>
    </row>
    <row r="2026" ht="15.75" customHeight="1">
      <c r="A2026" s="2">
        <v>2014.0</v>
      </c>
      <c r="B2026" s="2" t="s">
        <v>7981</v>
      </c>
      <c r="C2026" s="2" t="s">
        <v>7981</v>
      </c>
      <c r="D2026" s="2" t="str">
        <f>"561-927-7001"</f>
        <v>561-927-7001</v>
      </c>
      <c r="E2026" s="2" t="s">
        <v>4115</v>
      </c>
      <c r="F2026" s="2" t="s">
        <v>7982</v>
      </c>
      <c r="G2026" s="2" t="str">
        <f>"SR-2179"</f>
        <v>SR-2179</v>
      </c>
      <c r="H2026" s="2" t="s">
        <v>7983</v>
      </c>
      <c r="I2026" s="2" t="s">
        <v>7984</v>
      </c>
      <c r="K2026" s="2" t="s">
        <v>2273</v>
      </c>
      <c r="L2026" s="2" t="s">
        <v>208</v>
      </c>
      <c r="M2026" s="2">
        <v>33433.0</v>
      </c>
      <c r="N2026" s="2" t="s">
        <v>21</v>
      </c>
    </row>
    <row r="2027" ht="15.75" customHeight="1">
      <c r="A2027" s="2">
        <v>2014.0</v>
      </c>
      <c r="B2027" s="2" t="s">
        <v>10098</v>
      </c>
      <c r="C2027" s="2" t="s">
        <v>10098</v>
      </c>
      <c r="D2027" s="2" t="str">
        <f>"3162588120"</f>
        <v>3162588120</v>
      </c>
      <c r="E2027" s="2" t="s">
        <v>908</v>
      </c>
      <c r="F2027" s="2" t="s">
        <v>10099</v>
      </c>
      <c r="G2027" s="2" t="str">
        <f>"SR-2838"</f>
        <v>SR-2838</v>
      </c>
      <c r="H2027" s="2" t="s">
        <v>10100</v>
      </c>
      <c r="I2027" s="2" t="s">
        <v>10101</v>
      </c>
      <c r="K2027" s="2" t="s">
        <v>10102</v>
      </c>
      <c r="L2027" s="2" t="s">
        <v>272</v>
      </c>
      <c r="M2027" s="2">
        <v>67122.0</v>
      </c>
      <c r="N2027" s="2" t="s">
        <v>21</v>
      </c>
    </row>
    <row r="2028" ht="15.75" customHeight="1">
      <c r="A2028" s="2">
        <v>2014.0</v>
      </c>
      <c r="B2028" s="2" t="s">
        <v>10103</v>
      </c>
      <c r="C2028" s="2" t="s">
        <v>10104</v>
      </c>
      <c r="D2028" s="2" t="str">
        <f>"402-525-3211"</f>
        <v>402-525-3211</v>
      </c>
      <c r="E2028" s="2" t="s">
        <v>10105</v>
      </c>
      <c r="F2028" s="2" t="s">
        <v>6655</v>
      </c>
      <c r="G2028" s="2" t="str">
        <f>"SR-2977"</f>
        <v>SR-2977</v>
      </c>
      <c r="H2028" s="2" t="s">
        <v>10106</v>
      </c>
      <c r="I2028" s="2" t="s">
        <v>10107</v>
      </c>
      <c r="K2028" s="2" t="s">
        <v>572</v>
      </c>
      <c r="L2028" s="2" t="s">
        <v>757</v>
      </c>
      <c r="M2028" s="2">
        <v>68502.0</v>
      </c>
      <c r="N2028" s="2" t="s">
        <v>21</v>
      </c>
    </row>
    <row r="2029" ht="15.75" customHeight="1">
      <c r="A2029" s="2">
        <v>2014.0</v>
      </c>
      <c r="B2029" s="2" t="s">
        <v>10108</v>
      </c>
      <c r="C2029" s="2" t="s">
        <v>10109</v>
      </c>
      <c r="D2029" s="2" t="str">
        <f>"269.428.5047"</f>
        <v>269.428.5047</v>
      </c>
      <c r="E2029" s="2" t="s">
        <v>580</v>
      </c>
      <c r="F2029" s="2" t="s">
        <v>10110</v>
      </c>
      <c r="G2029" s="2" t="str">
        <f>"SR-2974"</f>
        <v>SR-2974</v>
      </c>
      <c r="H2029" s="2" t="s">
        <v>10111</v>
      </c>
      <c r="I2029" s="2" t="s">
        <v>10112</v>
      </c>
      <c r="K2029" s="2" t="s">
        <v>1201</v>
      </c>
      <c r="L2029" s="2" t="s">
        <v>29</v>
      </c>
      <c r="M2029" s="2">
        <v>49085.0</v>
      </c>
      <c r="N2029" s="2" t="s">
        <v>21</v>
      </c>
    </row>
    <row r="2030" ht="15.75" customHeight="1">
      <c r="A2030" s="2">
        <v>2014.0</v>
      </c>
      <c r="B2030" s="2" t="s">
        <v>10108</v>
      </c>
      <c r="C2030" s="2" t="s">
        <v>10113</v>
      </c>
      <c r="D2030" s="2" t="str">
        <f>"269.369.7226"</f>
        <v>269.369.7226</v>
      </c>
      <c r="E2030" s="2" t="s">
        <v>843</v>
      </c>
      <c r="F2030" s="2" t="s">
        <v>10110</v>
      </c>
      <c r="G2030" s="2" t="str">
        <f>"SR-2773"</f>
        <v>SR-2773</v>
      </c>
      <c r="H2030" s="2" t="s">
        <v>10114</v>
      </c>
      <c r="I2030" s="2" t="s">
        <v>10112</v>
      </c>
      <c r="K2030" s="2" t="s">
        <v>1201</v>
      </c>
      <c r="L2030" s="2" t="s">
        <v>29</v>
      </c>
      <c r="M2030" s="2">
        <v>49085.0</v>
      </c>
      <c r="N2030" s="2" t="s">
        <v>21</v>
      </c>
    </row>
    <row r="2031" ht="15.75" customHeight="1">
      <c r="A2031" s="2">
        <v>2014.0</v>
      </c>
      <c r="B2031" s="2" t="s">
        <v>10115</v>
      </c>
      <c r="C2031" s="2" t="s">
        <v>10115</v>
      </c>
      <c r="D2031" s="2" t="str">
        <f>"(513)830-4692"</f>
        <v>(513)830-4692</v>
      </c>
      <c r="E2031" s="2" t="s">
        <v>4787</v>
      </c>
      <c r="F2031" s="2" t="s">
        <v>10116</v>
      </c>
      <c r="G2031" s="2" t="str">
        <f>"SR-2975"</f>
        <v>SR-2975</v>
      </c>
      <c r="H2031" s="2" t="s">
        <v>10117</v>
      </c>
      <c r="I2031" s="2" t="s">
        <v>10118</v>
      </c>
      <c r="K2031" s="2" t="s">
        <v>10119</v>
      </c>
      <c r="L2031" s="2" t="s">
        <v>344</v>
      </c>
      <c r="M2031" s="2">
        <v>45248.0</v>
      </c>
      <c r="N2031" s="2" t="s">
        <v>21</v>
      </c>
    </row>
    <row r="2032" ht="15.75" customHeight="1">
      <c r="A2032" s="2">
        <v>2014.0</v>
      </c>
      <c r="B2032" s="2" t="s">
        <v>10120</v>
      </c>
      <c r="C2032" s="2" t="s">
        <v>10120</v>
      </c>
      <c r="D2032" s="2" t="str">
        <f>"316-733-0836"</f>
        <v>316-733-0836</v>
      </c>
      <c r="E2032" s="2" t="s">
        <v>167</v>
      </c>
      <c r="F2032" s="2" t="s">
        <v>10121</v>
      </c>
      <c r="G2032" s="2" t="str">
        <f>"SR-2826"</f>
        <v>SR-2826</v>
      </c>
      <c r="H2032" s="2" t="s">
        <v>10122</v>
      </c>
      <c r="I2032" s="2" t="s">
        <v>10123</v>
      </c>
      <c r="K2032" s="2" t="s">
        <v>10124</v>
      </c>
      <c r="L2032" s="2" t="s">
        <v>272</v>
      </c>
      <c r="M2032" s="2">
        <v>67133.0</v>
      </c>
      <c r="N2032" s="2" t="s">
        <v>21</v>
      </c>
    </row>
    <row r="2033" ht="15.75" customHeight="1">
      <c r="A2033" s="2">
        <v>2014.0</v>
      </c>
      <c r="B2033" s="2" t="s">
        <v>10125</v>
      </c>
      <c r="C2033" s="2" t="s">
        <v>10126</v>
      </c>
      <c r="D2033" s="2" t="str">
        <f>"719-440-7638"</f>
        <v>719-440-7638</v>
      </c>
      <c r="E2033" s="2" t="s">
        <v>2851</v>
      </c>
      <c r="F2033" s="2" t="s">
        <v>4154</v>
      </c>
      <c r="G2033" s="2" t="str">
        <f>"SR-2981"</f>
        <v>SR-2981</v>
      </c>
      <c r="H2033" s="2" t="s">
        <v>10127</v>
      </c>
      <c r="I2033" s="2" t="s">
        <v>10128</v>
      </c>
      <c r="K2033" s="2" t="s">
        <v>809</v>
      </c>
      <c r="L2033" s="2" t="s">
        <v>157</v>
      </c>
      <c r="M2033" s="2">
        <v>80920.0</v>
      </c>
      <c r="N2033" s="2" t="s">
        <v>21</v>
      </c>
    </row>
    <row r="2034" ht="15.75" customHeight="1">
      <c r="A2034" s="2">
        <v>2014.0</v>
      </c>
      <c r="B2034" s="2" t="s">
        <v>10129</v>
      </c>
      <c r="C2034" s="2" t="s">
        <v>10130</v>
      </c>
      <c r="D2034" s="2" t="str">
        <f>"(402)533-2123"</f>
        <v>(402)533-2123</v>
      </c>
      <c r="E2034" s="2" t="s">
        <v>10131</v>
      </c>
      <c r="F2034" s="2" t="s">
        <v>10132</v>
      </c>
      <c r="G2034" s="2" t="str">
        <f>"SR-2979"</f>
        <v>SR-2979</v>
      </c>
      <c r="H2034" s="2" t="s">
        <v>10133</v>
      </c>
      <c r="I2034" s="2" t="s">
        <v>10134</v>
      </c>
      <c r="K2034" s="2" t="s">
        <v>4981</v>
      </c>
      <c r="L2034" s="2" t="s">
        <v>757</v>
      </c>
      <c r="M2034" s="2">
        <v>68008.0</v>
      </c>
      <c r="N2034" s="2" t="s">
        <v>21</v>
      </c>
    </row>
    <row r="2035" ht="15.75" customHeight="1">
      <c r="A2035" s="2">
        <v>2014.0</v>
      </c>
      <c r="B2035" s="2" t="s">
        <v>10135</v>
      </c>
      <c r="C2035" s="2" t="s">
        <v>10136</v>
      </c>
      <c r="D2035" s="2" t="str">
        <f>"6128454112"</f>
        <v>6128454112</v>
      </c>
      <c r="E2035" s="2" t="s">
        <v>2089</v>
      </c>
      <c r="F2035" s="2" t="s">
        <v>10137</v>
      </c>
      <c r="G2035" s="2" t="str">
        <f>"SR-2982"</f>
        <v>SR-2982</v>
      </c>
      <c r="H2035" s="2" t="s">
        <v>10138</v>
      </c>
      <c r="I2035" s="2" t="s">
        <v>10139</v>
      </c>
      <c r="K2035" s="2" t="s">
        <v>7722</v>
      </c>
      <c r="L2035" s="2" t="s">
        <v>62</v>
      </c>
      <c r="M2035" s="2">
        <v>55306.0</v>
      </c>
      <c r="N2035" s="2" t="s">
        <v>21</v>
      </c>
    </row>
    <row r="2036" ht="15.75" customHeight="1">
      <c r="A2036" s="2">
        <v>2014.0</v>
      </c>
      <c r="B2036" s="2" t="s">
        <v>10140</v>
      </c>
      <c r="C2036" s="2" t="s">
        <v>10141</v>
      </c>
      <c r="D2036" s="2" t="str">
        <f>"719-598-3600"</f>
        <v>719-598-3600</v>
      </c>
      <c r="E2036" s="2" t="s">
        <v>9865</v>
      </c>
      <c r="F2036" s="2" t="s">
        <v>10142</v>
      </c>
      <c r="G2036" s="2" t="str">
        <f>"SR-2935"</f>
        <v>SR-2935</v>
      </c>
      <c r="H2036" s="2" t="s">
        <v>10143</v>
      </c>
      <c r="I2036" s="2" t="s">
        <v>10144</v>
      </c>
      <c r="K2036" s="2" t="s">
        <v>809</v>
      </c>
      <c r="L2036" s="2" t="s">
        <v>157</v>
      </c>
      <c r="M2036" s="2">
        <v>80919.0</v>
      </c>
      <c r="N2036" s="2" t="s">
        <v>21</v>
      </c>
    </row>
    <row r="2037" ht="15.75" customHeight="1">
      <c r="A2037" s="2">
        <v>2014.0</v>
      </c>
      <c r="B2037" s="2" t="s">
        <v>10145</v>
      </c>
      <c r="C2037" s="2" t="s">
        <v>10146</v>
      </c>
      <c r="D2037" s="2" t="str">
        <f>"920-750-2252"</f>
        <v>920-750-2252</v>
      </c>
      <c r="E2037" s="2" t="s">
        <v>908</v>
      </c>
      <c r="F2037" s="2" t="s">
        <v>10147</v>
      </c>
      <c r="G2037" s="2" t="str">
        <f>"SR-2972"</f>
        <v>SR-2972</v>
      </c>
      <c r="H2037" s="2" t="s">
        <v>10148</v>
      </c>
      <c r="I2037" s="2" t="s">
        <v>10149</v>
      </c>
      <c r="K2037" s="2" t="s">
        <v>7667</v>
      </c>
      <c r="L2037" s="2" t="s">
        <v>193</v>
      </c>
      <c r="M2037" s="2">
        <v>54915.0</v>
      </c>
      <c r="N2037" s="2" t="s">
        <v>21</v>
      </c>
    </row>
    <row r="2038" ht="15.75" customHeight="1">
      <c r="A2038" s="2">
        <v>2014.0</v>
      </c>
      <c r="B2038" s="2" t="s">
        <v>10150</v>
      </c>
      <c r="C2038" s="2" t="s">
        <v>10151</v>
      </c>
      <c r="D2038" s="2" t="str">
        <f>"308-352-2295"</f>
        <v>308-352-2295</v>
      </c>
      <c r="E2038" s="2" t="s">
        <v>10152</v>
      </c>
      <c r="F2038" s="2" t="s">
        <v>10153</v>
      </c>
      <c r="G2038" s="2" t="str">
        <f>"SR-2983"</f>
        <v>SR-2983</v>
      </c>
      <c r="H2038" s="2" t="s">
        <v>10154</v>
      </c>
      <c r="I2038" s="2" t="s">
        <v>10155</v>
      </c>
      <c r="K2038" s="2" t="s">
        <v>3037</v>
      </c>
      <c r="L2038" s="2" t="s">
        <v>757</v>
      </c>
      <c r="M2038" s="2">
        <v>69140.0</v>
      </c>
      <c r="N2038" s="2" t="s">
        <v>21</v>
      </c>
    </row>
    <row r="2039" ht="15.75" customHeight="1">
      <c r="A2039" s="2">
        <v>2014.0</v>
      </c>
      <c r="B2039" s="2" t="s">
        <v>10156</v>
      </c>
      <c r="C2039" s="2" t="s">
        <v>10157</v>
      </c>
      <c r="D2039" s="2" t="str">
        <f>"864-430-3572"</f>
        <v>864-430-3572</v>
      </c>
      <c r="E2039" s="2" t="s">
        <v>301</v>
      </c>
      <c r="F2039" s="2" t="s">
        <v>10158</v>
      </c>
      <c r="G2039" s="2" t="str">
        <f>"SR-2794"</f>
        <v>SR-2794</v>
      </c>
      <c r="H2039" s="2" t="s">
        <v>10159</v>
      </c>
      <c r="I2039" s="2" t="s">
        <v>10160</v>
      </c>
      <c r="K2039" s="2" t="s">
        <v>1878</v>
      </c>
      <c r="L2039" s="2" t="s">
        <v>55</v>
      </c>
      <c r="M2039" s="2">
        <v>29681.0</v>
      </c>
      <c r="N2039" s="2" t="s">
        <v>21</v>
      </c>
    </row>
    <row r="2040" ht="15.75" customHeight="1">
      <c r="A2040" s="2">
        <v>2014.0</v>
      </c>
      <c r="B2040" s="2" t="s">
        <v>6623</v>
      </c>
      <c r="C2040" s="2" t="s">
        <v>10161</v>
      </c>
      <c r="D2040" s="2" t="str">
        <f>"262-646-5362"</f>
        <v>262-646-5362</v>
      </c>
      <c r="E2040" s="2" t="s">
        <v>339</v>
      </c>
      <c r="F2040" s="2" t="s">
        <v>6624</v>
      </c>
      <c r="G2040" s="2" t="str">
        <f>"SR-2577"</f>
        <v>SR-2577</v>
      </c>
      <c r="H2040" s="2" t="s">
        <v>10162</v>
      </c>
      <c r="I2040" s="2" t="s">
        <v>6626</v>
      </c>
      <c r="K2040" s="2" t="s">
        <v>6627</v>
      </c>
      <c r="L2040" s="2" t="s">
        <v>193</v>
      </c>
      <c r="M2040" s="2">
        <v>53018.0</v>
      </c>
      <c r="N2040" s="2" t="s">
        <v>21</v>
      </c>
    </row>
    <row r="2041" ht="15.75" customHeight="1">
      <c r="A2041" s="2">
        <v>2014.0</v>
      </c>
      <c r="B2041" s="2" t="s">
        <v>10163</v>
      </c>
      <c r="C2041" s="2" t="s">
        <v>10164</v>
      </c>
      <c r="D2041" s="2" t="str">
        <f>"952-797-3194"</f>
        <v>952-797-3194</v>
      </c>
      <c r="E2041" s="2" t="s">
        <v>908</v>
      </c>
      <c r="F2041" s="2" t="s">
        <v>3409</v>
      </c>
      <c r="G2041" s="2" t="str">
        <f>"SR-2985"</f>
        <v>SR-2985</v>
      </c>
      <c r="H2041" s="2" t="s">
        <v>10165</v>
      </c>
      <c r="I2041" s="2" t="s">
        <v>10166</v>
      </c>
      <c r="K2041" s="2" t="s">
        <v>2267</v>
      </c>
      <c r="L2041" s="2" t="s">
        <v>62</v>
      </c>
      <c r="M2041" s="2">
        <v>55044.0</v>
      </c>
      <c r="N2041" s="2" t="s">
        <v>21</v>
      </c>
    </row>
    <row r="2042" ht="15.75" customHeight="1">
      <c r="A2042" s="2">
        <v>2014.0</v>
      </c>
      <c r="B2042" s="2" t="s">
        <v>782</v>
      </c>
      <c r="C2042" s="2" t="s">
        <v>783</v>
      </c>
      <c r="D2042" s="2" t="str">
        <f>"575-545-3610"</f>
        <v>575-545-3610</v>
      </c>
      <c r="E2042" s="2" t="s">
        <v>385</v>
      </c>
      <c r="F2042" s="2" t="s">
        <v>784</v>
      </c>
      <c r="G2042" s="2" t="str">
        <f>"SR-305"</f>
        <v>SR-305</v>
      </c>
      <c r="H2042" s="2" t="s">
        <v>785</v>
      </c>
      <c r="I2042" s="2" t="s">
        <v>786</v>
      </c>
      <c r="J2042" s="2" t="s">
        <v>787</v>
      </c>
      <c r="K2042" s="2" t="s">
        <v>788</v>
      </c>
      <c r="L2042" s="2" t="s">
        <v>789</v>
      </c>
      <c r="M2042" s="2">
        <v>88042.0</v>
      </c>
      <c r="N2042" s="2" t="s">
        <v>21</v>
      </c>
    </row>
    <row r="2043" ht="15.75" customHeight="1">
      <c r="A2043" s="2">
        <v>2014.0</v>
      </c>
      <c r="B2043" s="2" t="s">
        <v>10167</v>
      </c>
      <c r="C2043" s="2" t="s">
        <v>10167</v>
      </c>
      <c r="D2043" s="2" t="str">
        <f>"813-909-6035"</f>
        <v>813-909-6035</v>
      </c>
      <c r="E2043" s="2" t="s">
        <v>1180</v>
      </c>
      <c r="F2043" s="2" t="s">
        <v>6884</v>
      </c>
      <c r="G2043" s="2" t="str">
        <f>"SR-2841"</f>
        <v>SR-2841</v>
      </c>
      <c r="H2043" s="2" t="s">
        <v>10168</v>
      </c>
      <c r="I2043" s="2" t="s">
        <v>10169</v>
      </c>
      <c r="K2043" s="2" t="s">
        <v>10170</v>
      </c>
      <c r="L2043" s="2" t="s">
        <v>208</v>
      </c>
      <c r="M2043" s="2">
        <v>33556.0</v>
      </c>
      <c r="N2043" s="2" t="s">
        <v>21</v>
      </c>
    </row>
    <row r="2044" ht="15.75" customHeight="1">
      <c r="A2044" s="2">
        <v>2014.0</v>
      </c>
      <c r="B2044" s="2" t="s">
        <v>10171</v>
      </c>
      <c r="C2044" s="2" t="s">
        <v>10172</v>
      </c>
      <c r="D2044" s="2" t="str">
        <f>"262.873.0316"</f>
        <v>262.873.0316</v>
      </c>
      <c r="E2044" s="2" t="s">
        <v>2259</v>
      </c>
      <c r="F2044" s="2" t="s">
        <v>10173</v>
      </c>
      <c r="G2044" s="2" t="str">
        <f>"SR-2929"</f>
        <v>SR-2929</v>
      </c>
      <c r="H2044" s="2" t="s">
        <v>10174</v>
      </c>
      <c r="I2044" s="2" t="s">
        <v>10175</v>
      </c>
      <c r="K2044" s="2" t="s">
        <v>10176</v>
      </c>
      <c r="L2044" s="2" t="s">
        <v>193</v>
      </c>
      <c r="M2044" s="2">
        <v>53186.0</v>
      </c>
      <c r="N2044" s="2" t="s">
        <v>21</v>
      </c>
    </row>
    <row r="2045" ht="15.75" customHeight="1">
      <c r="A2045" s="2">
        <v>2014.0</v>
      </c>
      <c r="B2045" s="2" t="s">
        <v>10177</v>
      </c>
      <c r="C2045" s="2" t="s">
        <v>10177</v>
      </c>
      <c r="D2045" s="2" t="str">
        <f>"812-372-0448"</f>
        <v>812-372-0448</v>
      </c>
      <c r="E2045" s="2" t="s">
        <v>2965</v>
      </c>
      <c r="F2045" s="2" t="s">
        <v>275</v>
      </c>
      <c r="G2045" s="2" t="str">
        <f>"SR-2946"</f>
        <v>SR-2946</v>
      </c>
      <c r="H2045" s="2" t="s">
        <v>10178</v>
      </c>
      <c r="I2045" s="2" t="s">
        <v>10179</v>
      </c>
      <c r="K2045" s="2" t="s">
        <v>2421</v>
      </c>
      <c r="L2045" s="2" t="s">
        <v>149</v>
      </c>
      <c r="M2045" s="2">
        <v>47203.0</v>
      </c>
      <c r="N2045" s="2" t="s">
        <v>21</v>
      </c>
    </row>
    <row r="2046" ht="15.75" customHeight="1">
      <c r="A2046" s="2">
        <v>2014.0</v>
      </c>
      <c r="B2046" s="2" t="s">
        <v>10180</v>
      </c>
      <c r="C2046" s="2" t="s">
        <v>10180</v>
      </c>
      <c r="D2046" s="2" t="str">
        <f t="shared" ref="D2046:D2047" si="34">"920-847-2460"</f>
        <v>920-847-2460</v>
      </c>
      <c r="E2046" s="2" t="s">
        <v>10181</v>
      </c>
      <c r="F2046" s="2" t="s">
        <v>10182</v>
      </c>
      <c r="G2046" s="2" t="str">
        <f>"SR-2993"</f>
        <v>SR-2993</v>
      </c>
      <c r="H2046" s="2" t="s">
        <v>10183</v>
      </c>
      <c r="I2046" s="2" t="s">
        <v>10184</v>
      </c>
      <c r="K2046" s="2" t="s">
        <v>10185</v>
      </c>
      <c r="L2046" s="2" t="s">
        <v>193</v>
      </c>
      <c r="M2046" s="2">
        <v>54246.0</v>
      </c>
      <c r="N2046" s="2" t="s">
        <v>21</v>
      </c>
    </row>
    <row r="2047" ht="15.75" customHeight="1">
      <c r="A2047" s="2">
        <v>2014.0</v>
      </c>
      <c r="B2047" s="2" t="s">
        <v>10180</v>
      </c>
      <c r="C2047" s="2" t="s">
        <v>10186</v>
      </c>
      <c r="D2047" s="2" t="str">
        <f t="shared" si="34"/>
        <v>920-847-2460</v>
      </c>
      <c r="E2047" s="2" t="s">
        <v>10187</v>
      </c>
      <c r="F2047" s="2" t="s">
        <v>10182</v>
      </c>
      <c r="G2047" s="2" t="str">
        <f>"SR-2994"</f>
        <v>SR-2994</v>
      </c>
      <c r="H2047" s="2" t="s">
        <v>10188</v>
      </c>
      <c r="I2047" s="2" t="s">
        <v>10189</v>
      </c>
      <c r="K2047" s="2" t="s">
        <v>10185</v>
      </c>
      <c r="L2047" s="2" t="s">
        <v>193</v>
      </c>
      <c r="M2047" s="2">
        <v>54246.0</v>
      </c>
      <c r="N2047" s="2" t="s">
        <v>21</v>
      </c>
    </row>
    <row r="2048" ht="15.75" customHeight="1">
      <c r="A2048" s="2">
        <v>2014.0</v>
      </c>
      <c r="B2048" s="2" t="s">
        <v>10190</v>
      </c>
      <c r="C2048" s="2" t="s">
        <v>10191</v>
      </c>
      <c r="D2048" s="2" t="str">
        <f>"319-373-0970"</f>
        <v>319-373-0970</v>
      </c>
      <c r="E2048" s="2" t="s">
        <v>261</v>
      </c>
      <c r="F2048" s="2" t="s">
        <v>256</v>
      </c>
      <c r="G2048" s="2" t="str">
        <f>"SR-2685"</f>
        <v>SR-2685</v>
      </c>
      <c r="H2048" s="2" t="s">
        <v>10192</v>
      </c>
      <c r="I2048" s="2" t="s">
        <v>10193</v>
      </c>
      <c r="K2048" s="2" t="s">
        <v>3273</v>
      </c>
      <c r="L2048" s="2" t="s">
        <v>560</v>
      </c>
      <c r="M2048" s="2">
        <v>52402.0</v>
      </c>
      <c r="N2048" s="2" t="s">
        <v>21</v>
      </c>
    </row>
    <row r="2049" ht="15.75" customHeight="1">
      <c r="A2049" s="2">
        <v>2014.0</v>
      </c>
      <c r="B2049" s="2" t="s">
        <v>10194</v>
      </c>
      <c r="C2049" s="2" t="s">
        <v>10195</v>
      </c>
      <c r="D2049" s="2" t="str">
        <f>"719-487-8587"</f>
        <v>719-487-8587</v>
      </c>
      <c r="E2049" s="2" t="s">
        <v>10196</v>
      </c>
      <c r="F2049" s="2" t="s">
        <v>10197</v>
      </c>
      <c r="G2049" s="2" t="str">
        <f>"SR-1686"</f>
        <v>SR-1686</v>
      </c>
      <c r="H2049" s="2" t="s">
        <v>10198</v>
      </c>
      <c r="I2049" s="2" t="s">
        <v>10199</v>
      </c>
      <c r="K2049" s="2" t="s">
        <v>507</v>
      </c>
      <c r="L2049" s="2" t="s">
        <v>157</v>
      </c>
      <c r="M2049" s="2">
        <v>80132.0</v>
      </c>
      <c r="N2049" s="2" t="s">
        <v>21</v>
      </c>
    </row>
    <row r="2050" ht="15.75" customHeight="1">
      <c r="A2050" s="2">
        <v>2014.0</v>
      </c>
      <c r="B2050" s="2" t="s">
        <v>4530</v>
      </c>
      <c r="C2050" s="2" t="s">
        <v>4531</v>
      </c>
      <c r="D2050" s="2" t="str">
        <f>"(270)505-0732"</f>
        <v>(270)505-0732</v>
      </c>
      <c r="E2050" s="2" t="s">
        <v>1362</v>
      </c>
      <c r="F2050" s="2" t="s">
        <v>4532</v>
      </c>
      <c r="G2050" s="2" t="str">
        <f>"SR-1305"</f>
        <v>SR-1305</v>
      </c>
      <c r="H2050" s="2" t="s">
        <v>4533</v>
      </c>
      <c r="I2050" s="2" t="s">
        <v>4534</v>
      </c>
      <c r="K2050" s="2" t="s">
        <v>4535</v>
      </c>
      <c r="L2050" s="2" t="s">
        <v>1236</v>
      </c>
      <c r="M2050" s="2">
        <v>42701.0</v>
      </c>
      <c r="N2050" s="2" t="s">
        <v>21</v>
      </c>
    </row>
    <row r="2051" ht="15.75" customHeight="1">
      <c r="A2051" s="2">
        <v>2014.0</v>
      </c>
      <c r="B2051" s="2" t="s">
        <v>10200</v>
      </c>
      <c r="C2051" s="2" t="s">
        <v>10201</v>
      </c>
      <c r="D2051" s="2" t="str">
        <f>"248-844-3835"</f>
        <v>248-844-3835</v>
      </c>
      <c r="E2051" s="2" t="s">
        <v>1928</v>
      </c>
      <c r="F2051" s="2" t="s">
        <v>4164</v>
      </c>
      <c r="G2051" s="2" t="str">
        <f>"SR-2991"</f>
        <v>SR-2991</v>
      </c>
      <c r="H2051" s="2" t="s">
        <v>10202</v>
      </c>
      <c r="I2051" s="2" t="s">
        <v>10203</v>
      </c>
      <c r="K2051" s="2" t="s">
        <v>10204</v>
      </c>
      <c r="L2051" s="2" t="s">
        <v>29</v>
      </c>
      <c r="M2051" s="2">
        <v>48304.0</v>
      </c>
      <c r="N2051" s="2" t="s">
        <v>21</v>
      </c>
    </row>
    <row r="2052" ht="15.75" customHeight="1">
      <c r="A2052" s="2">
        <v>2014.0</v>
      </c>
      <c r="B2052" s="2" t="s">
        <v>10205</v>
      </c>
      <c r="C2052" s="2" t="s">
        <v>10205</v>
      </c>
      <c r="D2052" s="2" t="str">
        <f>"906-281-1905"</f>
        <v>906-281-1905</v>
      </c>
      <c r="E2052" s="2" t="s">
        <v>167</v>
      </c>
      <c r="F2052" s="2" t="s">
        <v>10206</v>
      </c>
      <c r="G2052" s="2" t="str">
        <f>"SR-2915"</f>
        <v>SR-2915</v>
      </c>
      <c r="H2052" s="2" t="s">
        <v>10207</v>
      </c>
      <c r="I2052" s="2" t="s">
        <v>10208</v>
      </c>
      <c r="K2052" s="2" t="s">
        <v>10066</v>
      </c>
      <c r="L2052" s="2" t="s">
        <v>29</v>
      </c>
      <c r="M2052" s="2">
        <v>49931.0</v>
      </c>
      <c r="N2052" s="2" t="s">
        <v>21</v>
      </c>
    </row>
    <row r="2053" ht="15.75" customHeight="1">
      <c r="A2053" s="2">
        <v>2014.0</v>
      </c>
      <c r="B2053" s="2" t="s">
        <v>10209</v>
      </c>
      <c r="C2053" s="2" t="s">
        <v>10209</v>
      </c>
      <c r="D2053" s="2" t="str">
        <f>"9848647914"</f>
        <v>9848647914</v>
      </c>
      <c r="E2053" s="2" t="s">
        <v>10210</v>
      </c>
      <c r="F2053" s="2" t="s">
        <v>10211</v>
      </c>
      <c r="G2053" s="2" t="str">
        <f>"SR-2997"</f>
        <v>SR-2997</v>
      </c>
      <c r="H2053" s="2" t="s">
        <v>10212</v>
      </c>
      <c r="I2053" s="2" t="s">
        <v>10213</v>
      </c>
      <c r="J2053" s="2" t="s">
        <v>2897</v>
      </c>
      <c r="K2053" s="2" t="s">
        <v>2897</v>
      </c>
      <c r="L2053" s="2" t="s">
        <v>208</v>
      </c>
      <c r="M2053" s="2">
        <v>33071.0</v>
      </c>
      <c r="N2053" s="2" t="s">
        <v>21</v>
      </c>
    </row>
    <row r="2054" ht="15.75" customHeight="1">
      <c r="A2054" s="2">
        <v>2014.0</v>
      </c>
      <c r="B2054" s="2" t="s">
        <v>732</v>
      </c>
      <c r="C2054" s="2" t="s">
        <v>732</v>
      </c>
      <c r="D2054" s="2" t="str">
        <f>"9163665946"</f>
        <v>9163665946</v>
      </c>
      <c r="E2054" s="2" t="s">
        <v>733</v>
      </c>
      <c r="F2054" s="2" t="s">
        <v>529</v>
      </c>
      <c r="G2054" s="2" t="str">
        <f>"SR-304"</f>
        <v>SR-304</v>
      </c>
      <c r="H2054" s="2" t="s">
        <v>734</v>
      </c>
      <c r="I2054" s="2" t="s">
        <v>707</v>
      </c>
      <c r="K2054" s="2" t="s">
        <v>708</v>
      </c>
      <c r="L2054" s="2" t="s">
        <v>222</v>
      </c>
      <c r="M2054" s="2">
        <v>95670.0</v>
      </c>
      <c r="N2054" s="2" t="s">
        <v>21</v>
      </c>
    </row>
    <row r="2055" ht="15.75" customHeight="1">
      <c r="A2055" s="2">
        <v>2014.0</v>
      </c>
      <c r="B2055" s="2" t="s">
        <v>10214</v>
      </c>
      <c r="C2055" s="2" t="s">
        <v>10214</v>
      </c>
      <c r="D2055" s="2" t="str">
        <f>"574-303-2800"</f>
        <v>574-303-2800</v>
      </c>
      <c r="E2055" s="2" t="s">
        <v>7476</v>
      </c>
      <c r="F2055" s="2" t="s">
        <v>10215</v>
      </c>
      <c r="G2055" s="2" t="str">
        <f>"SR-1401"</f>
        <v>SR-1401</v>
      </c>
      <c r="H2055" s="2" t="s">
        <v>10216</v>
      </c>
      <c r="I2055" s="2" t="s">
        <v>10217</v>
      </c>
      <c r="K2055" s="2" t="s">
        <v>1289</v>
      </c>
      <c r="L2055" s="2" t="s">
        <v>29</v>
      </c>
      <c r="M2055" s="2">
        <v>49107.0</v>
      </c>
      <c r="N2055" s="2" t="s">
        <v>21</v>
      </c>
    </row>
    <row r="2056" ht="15.75" customHeight="1">
      <c r="A2056" s="2">
        <v>2014.0</v>
      </c>
      <c r="B2056" s="2" t="s">
        <v>10218</v>
      </c>
      <c r="C2056" s="2" t="s">
        <v>10219</v>
      </c>
      <c r="D2056" s="2" t="str">
        <f>"2148420610"</f>
        <v>2148420610</v>
      </c>
      <c r="E2056" s="2" t="s">
        <v>1239</v>
      </c>
      <c r="F2056" s="2" t="s">
        <v>8255</v>
      </c>
      <c r="G2056" s="2" t="str">
        <f>"SR-2508"</f>
        <v>SR-2508</v>
      </c>
      <c r="H2056" s="2" t="s">
        <v>10220</v>
      </c>
      <c r="I2056" s="2" t="s">
        <v>10221</v>
      </c>
      <c r="K2056" s="2" t="s">
        <v>10222</v>
      </c>
      <c r="L2056" s="2" t="s">
        <v>172</v>
      </c>
      <c r="M2056" s="2">
        <v>78654.0</v>
      </c>
      <c r="N2056" s="2" t="s">
        <v>21</v>
      </c>
    </row>
    <row r="2057" ht="15.75" customHeight="1">
      <c r="A2057" s="2">
        <v>2014.0</v>
      </c>
      <c r="B2057" s="2" t="s">
        <v>10223</v>
      </c>
      <c r="C2057" s="2" t="s">
        <v>10224</v>
      </c>
      <c r="D2057" s="2" t="str">
        <f>"281-221-6658"</f>
        <v>281-221-6658</v>
      </c>
      <c r="E2057" s="2" t="s">
        <v>10225</v>
      </c>
      <c r="F2057" s="2" t="s">
        <v>3366</v>
      </c>
      <c r="G2057" s="2" t="str">
        <f>"SR-2893"</f>
        <v>SR-2893</v>
      </c>
      <c r="H2057" s="2" t="s">
        <v>10226</v>
      </c>
      <c r="I2057" s="2" t="s">
        <v>10227</v>
      </c>
      <c r="K2057" s="2" t="s">
        <v>6499</v>
      </c>
      <c r="L2057" s="2" t="s">
        <v>172</v>
      </c>
      <c r="M2057" s="2">
        <v>77494.0</v>
      </c>
      <c r="N2057" s="2" t="s">
        <v>21</v>
      </c>
    </row>
    <row r="2058" ht="15.75" customHeight="1">
      <c r="A2058" s="2">
        <v>2014.0</v>
      </c>
      <c r="B2058" s="2" t="s">
        <v>1815</v>
      </c>
      <c r="C2058" s="2" t="s">
        <v>1816</v>
      </c>
      <c r="D2058" s="2" t="str">
        <f>"209-223-9642"</f>
        <v>209-223-9642</v>
      </c>
      <c r="E2058" s="2" t="s">
        <v>339</v>
      </c>
      <c r="F2058" s="2" t="s">
        <v>1817</v>
      </c>
      <c r="G2058" s="2" t="str">
        <f>"SR-660"</f>
        <v>SR-660</v>
      </c>
      <c r="H2058" s="2" t="s">
        <v>1818</v>
      </c>
      <c r="I2058" s="2" t="s">
        <v>1819</v>
      </c>
      <c r="K2058" s="2" t="s">
        <v>1257</v>
      </c>
      <c r="L2058" s="2" t="s">
        <v>222</v>
      </c>
      <c r="M2058" s="2">
        <v>95642.0</v>
      </c>
      <c r="N2058" s="2" t="s">
        <v>21</v>
      </c>
    </row>
    <row r="2059" ht="15.75" customHeight="1">
      <c r="A2059" s="2">
        <v>2014.0</v>
      </c>
      <c r="B2059" s="2" t="s">
        <v>10228</v>
      </c>
      <c r="C2059" s="2" t="s">
        <v>10228</v>
      </c>
      <c r="D2059" s="2" t="str">
        <f t="shared" ref="D2059:D2060" si="35">"970-392-0536"</f>
        <v>970-392-0536</v>
      </c>
      <c r="E2059" s="2" t="s">
        <v>417</v>
      </c>
      <c r="F2059" s="2" t="s">
        <v>10229</v>
      </c>
      <c r="G2059" s="2" t="str">
        <f>"SR-215"</f>
        <v>SR-215</v>
      </c>
      <c r="H2059" s="2" t="s">
        <v>10230</v>
      </c>
      <c r="I2059" s="2" t="s">
        <v>10231</v>
      </c>
      <c r="K2059" s="2" t="s">
        <v>1558</v>
      </c>
      <c r="L2059" s="2" t="s">
        <v>157</v>
      </c>
      <c r="M2059" s="2">
        <v>80634.0</v>
      </c>
      <c r="N2059" s="2" t="s">
        <v>21</v>
      </c>
    </row>
    <row r="2060" ht="15.75" customHeight="1">
      <c r="A2060" s="2">
        <v>2014.0</v>
      </c>
      <c r="B2060" s="2" t="s">
        <v>10228</v>
      </c>
      <c r="C2060" s="2" t="s">
        <v>10228</v>
      </c>
      <c r="D2060" s="2" t="str">
        <f t="shared" si="35"/>
        <v>970-392-0536</v>
      </c>
      <c r="E2060" s="2" t="s">
        <v>453</v>
      </c>
      <c r="F2060" s="2" t="s">
        <v>10229</v>
      </c>
      <c r="G2060" s="2" t="str">
        <f>"SR-3001"</f>
        <v>SR-3001</v>
      </c>
      <c r="H2060" s="2" t="s">
        <v>10232</v>
      </c>
      <c r="I2060" s="2" t="s">
        <v>10233</v>
      </c>
      <c r="K2060" s="2" t="s">
        <v>1558</v>
      </c>
      <c r="L2060" s="2" t="s">
        <v>157</v>
      </c>
      <c r="M2060" s="2">
        <v>80634.0</v>
      </c>
      <c r="N2060" s="2" t="s">
        <v>21</v>
      </c>
    </row>
    <row r="2061" ht="15.75" customHeight="1">
      <c r="A2061" s="2">
        <v>2014.0</v>
      </c>
      <c r="B2061" s="2" t="s">
        <v>10234</v>
      </c>
      <c r="C2061" s="2" t="s">
        <v>10235</v>
      </c>
      <c r="D2061" s="2" t="str">
        <f>"281-723-4466"</f>
        <v>281-723-4466</v>
      </c>
      <c r="E2061" s="2" t="s">
        <v>4136</v>
      </c>
      <c r="F2061" s="2" t="s">
        <v>10236</v>
      </c>
      <c r="G2061" s="2" t="str">
        <f>"SR-2712"</f>
        <v>SR-2712</v>
      </c>
      <c r="H2061" s="2" t="s">
        <v>10237</v>
      </c>
      <c r="I2061" s="2" t="s">
        <v>10238</v>
      </c>
      <c r="K2061" s="2" t="s">
        <v>6499</v>
      </c>
      <c r="L2061" s="2" t="s">
        <v>172</v>
      </c>
      <c r="M2061" s="2">
        <v>77450.0</v>
      </c>
      <c r="N2061" s="2" t="s">
        <v>21</v>
      </c>
    </row>
    <row r="2062" ht="15.75" customHeight="1">
      <c r="A2062" s="2">
        <v>2014.0</v>
      </c>
      <c r="B2062" s="2" t="s">
        <v>10239</v>
      </c>
      <c r="C2062" s="2" t="s">
        <v>10240</v>
      </c>
      <c r="D2062" s="2" t="str">
        <f>"704-608-2827"</f>
        <v>704-608-2827</v>
      </c>
      <c r="E2062" s="2" t="s">
        <v>239</v>
      </c>
      <c r="F2062" s="2" t="s">
        <v>10241</v>
      </c>
      <c r="G2062" s="2" t="str">
        <f>"SR-2359"</f>
        <v>SR-2359</v>
      </c>
      <c r="H2062" s="2" t="s">
        <v>10242</v>
      </c>
      <c r="I2062" s="2" t="s">
        <v>10243</v>
      </c>
      <c r="K2062" s="2" t="s">
        <v>5028</v>
      </c>
      <c r="L2062" s="2" t="s">
        <v>20</v>
      </c>
      <c r="M2062" s="2">
        <v>28078.0</v>
      </c>
      <c r="N2062" s="2" t="s">
        <v>21</v>
      </c>
    </row>
    <row r="2063" ht="15.75" customHeight="1">
      <c r="A2063" s="2">
        <v>2014.0</v>
      </c>
      <c r="B2063" s="2" t="s">
        <v>6722</v>
      </c>
      <c r="C2063" s="2" t="s">
        <v>10244</v>
      </c>
      <c r="D2063" s="2" t="str">
        <f>"4034377336"</f>
        <v>4034377336</v>
      </c>
      <c r="E2063" s="2" t="s">
        <v>1725</v>
      </c>
      <c r="F2063" s="2" t="s">
        <v>3978</v>
      </c>
      <c r="G2063" s="2" t="str">
        <f>"SR-3012"</f>
        <v>SR-3012</v>
      </c>
      <c r="H2063" s="2" t="s">
        <v>10245</v>
      </c>
      <c r="I2063" s="2" t="s">
        <v>10246</v>
      </c>
      <c r="K2063" s="2" t="s">
        <v>6725</v>
      </c>
      <c r="L2063" s="2" t="s">
        <v>6726</v>
      </c>
      <c r="M2063" s="2" t="s">
        <v>10247</v>
      </c>
      <c r="N2063" s="2" t="s">
        <v>1602</v>
      </c>
    </row>
    <row r="2064" ht="15.75" customHeight="1">
      <c r="A2064" s="2">
        <v>2014.0</v>
      </c>
      <c r="B2064" s="2" t="s">
        <v>6704</v>
      </c>
      <c r="C2064" s="2" t="s">
        <v>6704</v>
      </c>
      <c r="D2064" s="2" t="str">
        <f>"530-736-5507"</f>
        <v>530-736-5507</v>
      </c>
      <c r="E2064" s="2" t="s">
        <v>4111</v>
      </c>
      <c r="F2064" s="2" t="s">
        <v>5105</v>
      </c>
      <c r="G2064" s="2" t="str">
        <f>"SR-1796"</f>
        <v>SR-1796</v>
      </c>
      <c r="H2064" s="2" t="s">
        <v>6705</v>
      </c>
      <c r="I2064" s="2" t="s">
        <v>6706</v>
      </c>
      <c r="K2064" s="2" t="s">
        <v>6707</v>
      </c>
      <c r="L2064" s="2" t="s">
        <v>222</v>
      </c>
      <c r="M2064" s="2">
        <v>96080.0</v>
      </c>
      <c r="N2064" s="2" t="s">
        <v>21</v>
      </c>
    </row>
    <row r="2065" ht="15.75" customHeight="1">
      <c r="A2065" s="2">
        <v>2014.0</v>
      </c>
      <c r="B2065" s="2" t="s">
        <v>10248</v>
      </c>
      <c r="C2065" s="2" t="s">
        <v>10248</v>
      </c>
      <c r="D2065" s="2" t="str">
        <f>"253 353 3160"</f>
        <v>253 353 3160</v>
      </c>
      <c r="E2065" s="2" t="s">
        <v>160</v>
      </c>
      <c r="F2065" s="2" t="s">
        <v>10249</v>
      </c>
      <c r="G2065" s="2" t="str">
        <f>"SR-2930"</f>
        <v>SR-2930</v>
      </c>
      <c r="H2065" s="2" t="s">
        <v>10250</v>
      </c>
      <c r="I2065" s="2" t="s">
        <v>10251</v>
      </c>
      <c r="K2065" s="2" t="s">
        <v>10252</v>
      </c>
      <c r="L2065" s="2" t="s">
        <v>86</v>
      </c>
      <c r="M2065" s="2">
        <v>98374.0</v>
      </c>
      <c r="N2065" s="2" t="s">
        <v>21</v>
      </c>
    </row>
    <row r="2066" ht="15.75" customHeight="1">
      <c r="A2066" s="2">
        <v>2014.0</v>
      </c>
      <c r="B2066" s="2" t="s">
        <v>10253</v>
      </c>
      <c r="C2066" s="2" t="s">
        <v>10253</v>
      </c>
      <c r="D2066" s="2" t="str">
        <f>"320-231-0447"</f>
        <v>320-231-0447</v>
      </c>
      <c r="E2066" s="2" t="s">
        <v>10254</v>
      </c>
      <c r="F2066" s="2" t="s">
        <v>690</v>
      </c>
      <c r="G2066" s="2" t="str">
        <f>"SR-2629"</f>
        <v>SR-2629</v>
      </c>
      <c r="H2066" s="2" t="s">
        <v>10255</v>
      </c>
      <c r="I2066" s="2" t="s">
        <v>692</v>
      </c>
      <c r="K2066" s="2" t="s">
        <v>61</v>
      </c>
      <c r="L2066" s="2" t="s">
        <v>62</v>
      </c>
      <c r="M2066" s="2">
        <v>56201.0</v>
      </c>
      <c r="N2066" s="2" t="s">
        <v>21</v>
      </c>
    </row>
    <row r="2067" ht="15.75" customHeight="1">
      <c r="A2067" s="2">
        <v>2014.0</v>
      </c>
      <c r="B2067" s="2" t="s">
        <v>10256</v>
      </c>
      <c r="C2067" s="2" t="s">
        <v>10256</v>
      </c>
      <c r="D2067" s="2" t="str">
        <f>"571-830-6420"</f>
        <v>571-830-6420</v>
      </c>
      <c r="E2067" s="2" t="s">
        <v>132</v>
      </c>
      <c r="F2067" s="2" t="s">
        <v>10257</v>
      </c>
      <c r="G2067" s="2" t="str">
        <f>"SR-2844"</f>
        <v>SR-2844</v>
      </c>
      <c r="H2067" s="2" t="s">
        <v>10258</v>
      </c>
      <c r="I2067" s="2" t="s">
        <v>10259</v>
      </c>
      <c r="K2067" s="2" t="s">
        <v>3239</v>
      </c>
      <c r="L2067" s="2" t="s">
        <v>165</v>
      </c>
      <c r="M2067" s="2">
        <v>22152.0</v>
      </c>
      <c r="N2067" s="2" t="s">
        <v>21</v>
      </c>
    </row>
    <row r="2068" ht="15.75" customHeight="1">
      <c r="A2068" s="2">
        <v>2014.0</v>
      </c>
      <c r="B2068" s="2" t="s">
        <v>10260</v>
      </c>
      <c r="C2068" s="2" t="s">
        <v>10261</v>
      </c>
      <c r="D2068" s="2" t="str">
        <f>"425-489-5705"</f>
        <v>425-489-5705</v>
      </c>
      <c r="E2068" s="2" t="s">
        <v>580</v>
      </c>
      <c r="F2068" s="2" t="s">
        <v>10262</v>
      </c>
      <c r="G2068" s="2" t="str">
        <f>"SR-3023"</f>
        <v>SR-3023</v>
      </c>
      <c r="H2068" s="2" t="s">
        <v>10263</v>
      </c>
      <c r="I2068" s="2" t="s">
        <v>10264</v>
      </c>
      <c r="K2068" s="2" t="s">
        <v>1677</v>
      </c>
      <c r="L2068" s="2" t="s">
        <v>86</v>
      </c>
      <c r="M2068" s="2">
        <v>98021.0</v>
      </c>
      <c r="N2068" s="2" t="s">
        <v>21</v>
      </c>
    </row>
    <row r="2069" ht="15.75" customHeight="1">
      <c r="A2069" s="2">
        <v>2014.0</v>
      </c>
      <c r="B2069" s="2" t="s">
        <v>10265</v>
      </c>
      <c r="C2069" s="2" t="s">
        <v>10266</v>
      </c>
      <c r="D2069" s="2" t="str">
        <f>"402-499-2616"</f>
        <v>402-499-2616</v>
      </c>
      <c r="E2069" s="2" t="s">
        <v>261</v>
      </c>
      <c r="F2069" s="2" t="s">
        <v>89</v>
      </c>
      <c r="G2069" s="2" t="str">
        <f>"SR-2980"</f>
        <v>SR-2980</v>
      </c>
      <c r="H2069" s="2" t="s">
        <v>10267</v>
      </c>
      <c r="I2069" s="2" t="s">
        <v>10268</v>
      </c>
      <c r="K2069" s="2" t="s">
        <v>572</v>
      </c>
      <c r="L2069" s="2" t="s">
        <v>757</v>
      </c>
      <c r="M2069" s="2">
        <v>68516.0</v>
      </c>
      <c r="N2069" s="2" t="s">
        <v>21</v>
      </c>
    </row>
    <row r="2070" ht="15.75" customHeight="1">
      <c r="A2070" s="2">
        <v>2014.0</v>
      </c>
      <c r="B2070" s="2" t="s">
        <v>10269</v>
      </c>
      <c r="C2070" s="2" t="s">
        <v>10269</v>
      </c>
      <c r="D2070" s="2" t="str">
        <f>"2095998398"</f>
        <v>2095998398</v>
      </c>
      <c r="E2070" s="2" t="s">
        <v>10270</v>
      </c>
      <c r="F2070" s="2" t="s">
        <v>6923</v>
      </c>
      <c r="G2070" s="2" t="str">
        <f>"SR-2850"</f>
        <v>SR-2850</v>
      </c>
      <c r="H2070" s="2" t="s">
        <v>10271</v>
      </c>
      <c r="I2070" s="2" t="s">
        <v>10272</v>
      </c>
      <c r="K2070" s="2" t="s">
        <v>10273</v>
      </c>
      <c r="L2070" s="2" t="s">
        <v>222</v>
      </c>
      <c r="M2070" s="2">
        <v>95366.0</v>
      </c>
      <c r="N2070" s="2" t="s">
        <v>21</v>
      </c>
    </row>
    <row r="2071" ht="15.75" customHeight="1">
      <c r="A2071" s="2">
        <v>2014.0</v>
      </c>
      <c r="B2071" s="2" t="s">
        <v>10274</v>
      </c>
      <c r="C2071" s="2" t="s">
        <v>10275</v>
      </c>
      <c r="D2071" s="2" t="str">
        <f>"715-834-0833"</f>
        <v>715-834-0833</v>
      </c>
      <c r="E2071" s="2" t="s">
        <v>580</v>
      </c>
      <c r="F2071" s="2" t="s">
        <v>10276</v>
      </c>
      <c r="G2071" s="2" t="str">
        <f>"SR-2939"</f>
        <v>SR-2939</v>
      </c>
      <c r="H2071" s="2" t="s">
        <v>10277</v>
      </c>
      <c r="I2071" s="2" t="s">
        <v>10278</v>
      </c>
      <c r="K2071" s="2" t="s">
        <v>9967</v>
      </c>
      <c r="L2071" s="2" t="s">
        <v>193</v>
      </c>
      <c r="M2071" s="2">
        <v>54701.0</v>
      </c>
      <c r="N2071" s="2" t="s">
        <v>21</v>
      </c>
    </row>
    <row r="2072" ht="15.75" customHeight="1">
      <c r="A2072" s="2">
        <v>2014.0</v>
      </c>
      <c r="B2072" s="2" t="s">
        <v>10279</v>
      </c>
      <c r="C2072" s="2" t="s">
        <v>10279</v>
      </c>
      <c r="D2072" s="2" t="str">
        <f>"916-757-4343"</f>
        <v>916-757-4343</v>
      </c>
      <c r="E2072" s="2" t="s">
        <v>5760</v>
      </c>
      <c r="F2072" s="2" t="s">
        <v>10280</v>
      </c>
      <c r="G2072" s="2" t="str">
        <f>"SR-3031"</f>
        <v>SR-3031</v>
      </c>
      <c r="H2072" s="2" t="s">
        <v>10281</v>
      </c>
      <c r="I2072" s="2" t="s">
        <v>10282</v>
      </c>
      <c r="K2072" s="2" t="s">
        <v>10283</v>
      </c>
      <c r="L2072" s="2" t="s">
        <v>222</v>
      </c>
      <c r="M2072" s="2">
        <v>95630.0</v>
      </c>
      <c r="N2072" s="2" t="s">
        <v>21</v>
      </c>
    </row>
    <row r="2073" ht="15.75" customHeight="1">
      <c r="A2073" s="2">
        <v>2014.0</v>
      </c>
      <c r="B2073" s="2" t="s">
        <v>10284</v>
      </c>
      <c r="C2073" s="2" t="s">
        <v>10284</v>
      </c>
      <c r="D2073" s="2" t="str">
        <f>"(916) 673-7775"</f>
        <v>(916) 673-7775</v>
      </c>
      <c r="E2073" s="2" t="s">
        <v>10285</v>
      </c>
      <c r="F2073" s="2" t="s">
        <v>10286</v>
      </c>
      <c r="G2073" s="2" t="str">
        <f>"SR-2532"</f>
        <v>SR-2532</v>
      </c>
      <c r="H2073" s="2" t="s">
        <v>10287</v>
      </c>
      <c r="I2073" s="2" t="s">
        <v>10288</v>
      </c>
      <c r="K2073" s="2" t="s">
        <v>10283</v>
      </c>
      <c r="L2073" s="2" t="s">
        <v>222</v>
      </c>
      <c r="M2073" s="2">
        <v>95630.0</v>
      </c>
      <c r="N2073" s="2" t="s">
        <v>21</v>
      </c>
    </row>
    <row r="2074" ht="15.75" customHeight="1">
      <c r="A2074" s="2">
        <v>2014.0</v>
      </c>
      <c r="B2074" s="2" t="s">
        <v>4496</v>
      </c>
      <c r="D2074" s="2" t="str">
        <f>""</f>
        <v/>
      </c>
      <c r="E2074" s="2" t="s">
        <v>1362</v>
      </c>
      <c r="F2074" s="2" t="s">
        <v>4497</v>
      </c>
      <c r="G2074" s="2" t="str">
        <f>"SR-1336"</f>
        <v>SR-1336</v>
      </c>
      <c r="H2074" s="2" t="s">
        <v>4498</v>
      </c>
      <c r="N2074" s="2" t="s">
        <v>21</v>
      </c>
    </row>
    <row r="2075" ht="15.75" customHeight="1">
      <c r="A2075" s="2">
        <v>2014.0</v>
      </c>
      <c r="B2075" s="2" t="s">
        <v>10289</v>
      </c>
      <c r="C2075" s="2" t="s">
        <v>2697</v>
      </c>
      <c r="D2075" s="2" t="str">
        <f>"4065967693"</f>
        <v>4065967693</v>
      </c>
      <c r="E2075" s="2" t="s">
        <v>124</v>
      </c>
      <c r="F2075" s="2" t="s">
        <v>2692</v>
      </c>
      <c r="G2075" s="2" t="str">
        <f>"SR-3011"</f>
        <v>SR-3011</v>
      </c>
      <c r="H2075" s="2" t="s">
        <v>2698</v>
      </c>
      <c r="I2075" s="2" t="s">
        <v>10290</v>
      </c>
      <c r="K2075" s="2" t="s">
        <v>2695</v>
      </c>
      <c r="L2075" s="2" t="s">
        <v>2696</v>
      </c>
      <c r="M2075" s="2">
        <v>59749.0</v>
      </c>
      <c r="N2075" s="2" t="s">
        <v>21</v>
      </c>
    </row>
    <row r="2076" ht="15.75" customHeight="1">
      <c r="A2076" s="2">
        <v>2014.0</v>
      </c>
      <c r="B2076" s="2" t="s">
        <v>10291</v>
      </c>
      <c r="C2076" s="2" t="s">
        <v>10292</v>
      </c>
      <c r="D2076" s="2" t="str">
        <f>"425-941-2215"</f>
        <v>425-941-2215</v>
      </c>
      <c r="E2076" s="2" t="s">
        <v>3434</v>
      </c>
      <c r="F2076" s="2" t="s">
        <v>1170</v>
      </c>
      <c r="G2076" s="2" t="str">
        <f>"SR-2978"</f>
        <v>SR-2978</v>
      </c>
      <c r="H2076" s="2" t="s">
        <v>10293</v>
      </c>
      <c r="I2076" s="2" t="s">
        <v>10294</v>
      </c>
      <c r="K2076" s="2" t="s">
        <v>10295</v>
      </c>
      <c r="L2076" s="2" t="s">
        <v>86</v>
      </c>
      <c r="M2076" s="2">
        <v>98208.0</v>
      </c>
      <c r="N2076" s="2" t="s">
        <v>21</v>
      </c>
    </row>
    <row r="2077" ht="15.75" customHeight="1">
      <c r="A2077" s="2">
        <v>2014.0</v>
      </c>
      <c r="B2077" s="2" t="s">
        <v>10145</v>
      </c>
      <c r="C2077" s="2" t="s">
        <v>10296</v>
      </c>
      <c r="D2077" s="2" t="str">
        <f>"9202163590"</f>
        <v>9202163590</v>
      </c>
      <c r="E2077" s="2" t="s">
        <v>1263</v>
      </c>
      <c r="F2077" s="2" t="s">
        <v>10147</v>
      </c>
      <c r="G2077" s="2" t="str">
        <f>"SR-3048"</f>
        <v>SR-3048</v>
      </c>
      <c r="H2077" s="2" t="s">
        <v>10297</v>
      </c>
      <c r="I2077" s="2" t="s">
        <v>10298</v>
      </c>
      <c r="K2077" s="2" t="s">
        <v>7667</v>
      </c>
      <c r="L2077" s="2" t="s">
        <v>193</v>
      </c>
      <c r="M2077" s="2">
        <v>54915.0</v>
      </c>
      <c r="N2077" s="2" t="s">
        <v>21</v>
      </c>
    </row>
    <row r="2078" ht="15.75" customHeight="1">
      <c r="A2078" s="2">
        <v>2014.0</v>
      </c>
      <c r="B2078" s="2" t="s">
        <v>10299</v>
      </c>
      <c r="C2078" s="2" t="s">
        <v>10300</v>
      </c>
      <c r="D2078" s="2" t="str">
        <f>"916-329-2727"</f>
        <v>916-329-2727</v>
      </c>
      <c r="E2078" s="2" t="s">
        <v>10301</v>
      </c>
      <c r="F2078" s="2" t="s">
        <v>10302</v>
      </c>
      <c r="G2078" s="2" t="str">
        <f>"SR-3043"</f>
        <v>SR-3043</v>
      </c>
      <c r="H2078" s="2" t="s">
        <v>10303</v>
      </c>
      <c r="I2078" s="2" t="s">
        <v>10304</v>
      </c>
      <c r="K2078" s="2" t="s">
        <v>10305</v>
      </c>
      <c r="L2078" s="2" t="s">
        <v>222</v>
      </c>
      <c r="M2078" s="2">
        <v>95828.0</v>
      </c>
      <c r="N2078" s="2" t="s">
        <v>21</v>
      </c>
    </row>
    <row r="2079" ht="15.75" customHeight="1">
      <c r="A2079" s="2">
        <v>2014.0</v>
      </c>
      <c r="B2079" s="2" t="s">
        <v>10306</v>
      </c>
      <c r="C2079" s="2" t="s">
        <v>10307</v>
      </c>
      <c r="D2079" s="2" t="str">
        <f>"605-353-1233"</f>
        <v>605-353-1233</v>
      </c>
      <c r="E2079" s="2" t="s">
        <v>2361</v>
      </c>
      <c r="F2079" s="2" t="s">
        <v>10308</v>
      </c>
      <c r="G2079" s="2" t="str">
        <f>"SR-2962"</f>
        <v>SR-2962</v>
      </c>
      <c r="H2079" s="2" t="s">
        <v>10309</v>
      </c>
      <c r="I2079" s="2" t="s">
        <v>10310</v>
      </c>
      <c r="K2079" s="2" t="s">
        <v>10311</v>
      </c>
      <c r="L2079" s="2" t="s">
        <v>920</v>
      </c>
      <c r="M2079" s="2">
        <v>57386.0</v>
      </c>
      <c r="N2079" s="2" t="s">
        <v>21</v>
      </c>
    </row>
    <row r="2080" ht="15.75" customHeight="1">
      <c r="A2080" s="2">
        <v>2014.0</v>
      </c>
      <c r="B2080" s="2" t="s">
        <v>10312</v>
      </c>
      <c r="C2080" s="2" t="s">
        <v>10312</v>
      </c>
      <c r="D2080" s="2" t="str">
        <f>"719-464-1140"</f>
        <v>719-464-1140</v>
      </c>
      <c r="E2080" s="2" t="s">
        <v>843</v>
      </c>
      <c r="F2080" s="2" t="s">
        <v>10313</v>
      </c>
      <c r="G2080" s="2" t="str">
        <f>"SR-3056"</f>
        <v>SR-3056</v>
      </c>
      <c r="H2080" s="2" t="s">
        <v>10314</v>
      </c>
      <c r="I2080" s="2" t="s">
        <v>10315</v>
      </c>
      <c r="J2080" s="2" t="s">
        <v>10316</v>
      </c>
      <c r="K2080" s="2" t="s">
        <v>10317</v>
      </c>
      <c r="L2080" s="2" t="s">
        <v>157</v>
      </c>
      <c r="M2080" s="2">
        <v>80840.0</v>
      </c>
      <c r="N2080" s="2" t="s">
        <v>21</v>
      </c>
    </row>
    <row r="2081" ht="15.75" customHeight="1">
      <c r="A2081" s="2">
        <v>2014.0</v>
      </c>
      <c r="B2081" s="2" t="s">
        <v>10318</v>
      </c>
      <c r="C2081" s="2" t="s">
        <v>10318</v>
      </c>
      <c r="D2081" s="2" t="str">
        <f>"8139280628"</f>
        <v>8139280628</v>
      </c>
      <c r="E2081" s="2" t="s">
        <v>1197</v>
      </c>
      <c r="F2081" s="2" t="s">
        <v>10319</v>
      </c>
      <c r="G2081" s="2" t="str">
        <f>"SR-2959"</f>
        <v>SR-2959</v>
      </c>
      <c r="H2081" s="2" t="s">
        <v>10320</v>
      </c>
      <c r="I2081" s="2" t="s">
        <v>10321</v>
      </c>
      <c r="K2081" s="2" t="s">
        <v>10322</v>
      </c>
      <c r="L2081" s="2" t="s">
        <v>208</v>
      </c>
      <c r="M2081" s="2">
        <v>33527.0</v>
      </c>
      <c r="N2081" s="2" t="s">
        <v>21</v>
      </c>
    </row>
    <row r="2082" ht="15.75" customHeight="1">
      <c r="A2082" s="2">
        <v>2014.0</v>
      </c>
      <c r="B2082" s="2" t="s">
        <v>10323</v>
      </c>
      <c r="C2082" s="2" t="s">
        <v>10324</v>
      </c>
      <c r="D2082" s="2" t="str">
        <f>"906-482-8923"</f>
        <v>906-482-8923</v>
      </c>
      <c r="E2082" s="2" t="s">
        <v>580</v>
      </c>
      <c r="F2082" s="2" t="s">
        <v>10325</v>
      </c>
      <c r="G2082" s="2" t="str">
        <f>"SR-3061"</f>
        <v>SR-3061</v>
      </c>
      <c r="H2082" s="2" t="s">
        <v>10326</v>
      </c>
      <c r="I2082" s="2" t="s">
        <v>10327</v>
      </c>
      <c r="K2082" s="2" t="s">
        <v>8278</v>
      </c>
      <c r="L2082" s="2" t="s">
        <v>29</v>
      </c>
      <c r="M2082" s="2">
        <v>49930.0</v>
      </c>
      <c r="N2082" s="2" t="s">
        <v>21</v>
      </c>
    </row>
    <row r="2083" ht="15.75" customHeight="1">
      <c r="A2083" s="2">
        <v>2014.0</v>
      </c>
      <c r="B2083" s="2" t="s">
        <v>10328</v>
      </c>
      <c r="C2083" s="2" t="s">
        <v>10329</v>
      </c>
      <c r="D2083" s="2" t="str">
        <f>"605-239-4891"</f>
        <v>605-239-4891</v>
      </c>
      <c r="E2083" s="2" t="s">
        <v>385</v>
      </c>
      <c r="F2083" s="2" t="s">
        <v>2852</v>
      </c>
      <c r="G2083" s="2" t="str">
        <f>"SR-2995"</f>
        <v>SR-2995</v>
      </c>
      <c r="H2083" s="2" t="s">
        <v>10330</v>
      </c>
      <c r="I2083" s="2" t="s">
        <v>10331</v>
      </c>
      <c r="J2083" s="2" t="s">
        <v>10332</v>
      </c>
      <c r="K2083" s="2" t="s">
        <v>404</v>
      </c>
      <c r="L2083" s="2" t="s">
        <v>920</v>
      </c>
      <c r="M2083" s="2">
        <v>57311.0</v>
      </c>
      <c r="N2083" s="2" t="s">
        <v>21</v>
      </c>
    </row>
    <row r="2084" ht="15.75" customHeight="1">
      <c r="A2084" s="2">
        <v>2014.0</v>
      </c>
      <c r="B2084" s="2" t="s">
        <v>10333</v>
      </c>
      <c r="C2084" s="2" t="s">
        <v>10333</v>
      </c>
      <c r="D2084" s="2" t="str">
        <f>"(906)482-8923"</f>
        <v>(906)482-8923</v>
      </c>
      <c r="E2084" s="2" t="s">
        <v>5760</v>
      </c>
      <c r="F2084" s="2" t="s">
        <v>10325</v>
      </c>
      <c r="G2084" s="2" t="str">
        <f>"SR-3042"</f>
        <v>SR-3042</v>
      </c>
      <c r="H2084" s="2" t="s">
        <v>10334</v>
      </c>
      <c r="I2084" s="2" t="s">
        <v>10327</v>
      </c>
      <c r="K2084" s="2" t="s">
        <v>8278</v>
      </c>
      <c r="L2084" s="2" t="s">
        <v>29</v>
      </c>
      <c r="M2084" s="2">
        <v>49930.0</v>
      </c>
      <c r="N2084" s="2" t="s">
        <v>21</v>
      </c>
    </row>
    <row r="2085" ht="15.75" customHeight="1">
      <c r="A2085" s="2">
        <v>2014.0</v>
      </c>
      <c r="B2085" s="2" t="s">
        <v>10335</v>
      </c>
      <c r="C2085" s="2" t="s">
        <v>10336</v>
      </c>
      <c r="D2085" s="2" t="str">
        <f>"909-927-7722"</f>
        <v>909-927-7722</v>
      </c>
      <c r="E2085" s="2" t="s">
        <v>1664</v>
      </c>
      <c r="F2085" s="2" t="s">
        <v>10337</v>
      </c>
      <c r="G2085" s="2" t="str">
        <f>"SR-3030"</f>
        <v>SR-3030</v>
      </c>
      <c r="H2085" s="2" t="s">
        <v>10338</v>
      </c>
      <c r="I2085" s="2" t="s">
        <v>10339</v>
      </c>
      <c r="K2085" s="2" t="s">
        <v>10340</v>
      </c>
      <c r="L2085" s="2" t="s">
        <v>222</v>
      </c>
      <c r="M2085" s="2">
        <v>91709.0</v>
      </c>
      <c r="N2085" s="2" t="s">
        <v>21</v>
      </c>
    </row>
    <row r="2086" ht="15.75" customHeight="1">
      <c r="A2086" s="2">
        <v>2014.0</v>
      </c>
      <c r="B2086" s="2" t="s">
        <v>10341</v>
      </c>
      <c r="C2086" s="2" t="s">
        <v>10341</v>
      </c>
      <c r="D2086" s="2" t="str">
        <f>"612-214-1496"</f>
        <v>612-214-1496</v>
      </c>
      <c r="E2086" s="2" t="s">
        <v>282</v>
      </c>
      <c r="F2086" s="2" t="s">
        <v>5777</v>
      </c>
      <c r="G2086" s="2" t="str">
        <f>"SR-3065"</f>
        <v>SR-3065</v>
      </c>
      <c r="H2086" s="2" t="s">
        <v>10342</v>
      </c>
      <c r="I2086" s="2" t="s">
        <v>5779</v>
      </c>
      <c r="K2086" s="2" t="s">
        <v>1490</v>
      </c>
      <c r="L2086" s="2" t="s">
        <v>62</v>
      </c>
      <c r="M2086" s="2">
        <v>55346.0</v>
      </c>
      <c r="N2086" s="2" t="s">
        <v>21</v>
      </c>
    </row>
    <row r="2087" ht="15.75" customHeight="1">
      <c r="A2087" s="2">
        <v>2014.0</v>
      </c>
      <c r="B2087" s="2" t="s">
        <v>10343</v>
      </c>
      <c r="C2087" s="2" t="s">
        <v>10344</v>
      </c>
      <c r="D2087" s="2" t="str">
        <f>"815-871-5641"</f>
        <v>815-871-5641</v>
      </c>
      <c r="E2087" s="2" t="s">
        <v>2126</v>
      </c>
      <c r="F2087" s="2" t="s">
        <v>444</v>
      </c>
      <c r="G2087" s="2" t="str">
        <f>"SR-3000"</f>
        <v>SR-3000</v>
      </c>
      <c r="H2087" s="2" t="s">
        <v>10345</v>
      </c>
      <c r="I2087" s="2" t="s">
        <v>10346</v>
      </c>
      <c r="K2087" s="2" t="s">
        <v>10347</v>
      </c>
      <c r="L2087" s="2" t="s">
        <v>105</v>
      </c>
      <c r="M2087" s="2">
        <v>61084.0</v>
      </c>
      <c r="N2087" s="2" t="s">
        <v>21</v>
      </c>
    </row>
    <row r="2088" ht="15.75" customHeight="1">
      <c r="A2088" s="2">
        <v>2014.0</v>
      </c>
      <c r="B2088" s="2" t="s">
        <v>10348</v>
      </c>
      <c r="C2088" s="2" t="s">
        <v>10349</v>
      </c>
      <c r="D2088" s="2" t="str">
        <f>"5599052900"</f>
        <v>5599052900</v>
      </c>
      <c r="E2088" s="2" t="s">
        <v>10350</v>
      </c>
      <c r="F2088" s="2" t="s">
        <v>10351</v>
      </c>
      <c r="G2088" s="2" t="str">
        <f>"SR-2784"</f>
        <v>SR-2784</v>
      </c>
      <c r="H2088" s="2" t="s">
        <v>10352</v>
      </c>
      <c r="I2088" s="2" t="s">
        <v>10353</v>
      </c>
      <c r="K2088" s="2" t="s">
        <v>10354</v>
      </c>
      <c r="L2088" s="2" t="s">
        <v>222</v>
      </c>
      <c r="M2088" s="2">
        <v>93711.0</v>
      </c>
      <c r="N2088" s="2" t="s">
        <v>21</v>
      </c>
    </row>
    <row r="2089" ht="15.75" customHeight="1">
      <c r="A2089" s="2">
        <v>2014.0</v>
      </c>
      <c r="B2089" s="2" t="s">
        <v>10355</v>
      </c>
      <c r="C2089" s="2" t="s">
        <v>10355</v>
      </c>
      <c r="D2089" s="2" t="str">
        <f>"507-775-0088"</f>
        <v>507-775-0088</v>
      </c>
      <c r="E2089" s="2" t="s">
        <v>3170</v>
      </c>
      <c r="F2089" s="2" t="s">
        <v>962</v>
      </c>
      <c r="G2089" s="2" t="str">
        <f>"SR-3049"</f>
        <v>SR-3049</v>
      </c>
      <c r="H2089" s="2" t="s">
        <v>10356</v>
      </c>
      <c r="I2089" s="2" t="s">
        <v>10357</v>
      </c>
      <c r="K2089" s="2" t="s">
        <v>10358</v>
      </c>
      <c r="L2089" s="2" t="s">
        <v>62</v>
      </c>
      <c r="M2089" s="2">
        <v>55920.0</v>
      </c>
      <c r="N2089" s="2" t="s">
        <v>21</v>
      </c>
    </row>
    <row r="2090" ht="15.75" customHeight="1">
      <c r="A2090" s="2">
        <v>2014.0</v>
      </c>
      <c r="B2090" s="2" t="s">
        <v>10359</v>
      </c>
      <c r="C2090" s="2" t="s">
        <v>10360</v>
      </c>
      <c r="D2090" s="2" t="str">
        <f>"719-775-2669"</f>
        <v>719-775-2669</v>
      </c>
      <c r="E2090" s="2" t="s">
        <v>160</v>
      </c>
      <c r="F2090" s="2" t="s">
        <v>7245</v>
      </c>
      <c r="G2090" s="2" t="str">
        <f>"SR-629"</f>
        <v>SR-629</v>
      </c>
      <c r="H2090" s="2" t="s">
        <v>10361</v>
      </c>
      <c r="I2090" s="2" t="s">
        <v>10362</v>
      </c>
      <c r="K2090" s="2" t="s">
        <v>10363</v>
      </c>
      <c r="L2090" s="2" t="s">
        <v>157</v>
      </c>
      <c r="M2090" s="2">
        <v>80828.0</v>
      </c>
      <c r="N2090" s="2" t="s">
        <v>21</v>
      </c>
    </row>
    <row r="2091" ht="15.75" customHeight="1">
      <c r="A2091" s="2">
        <v>2014.0</v>
      </c>
      <c r="B2091" s="2" t="s">
        <v>10364</v>
      </c>
      <c r="C2091" s="2" t="s">
        <v>10365</v>
      </c>
      <c r="D2091" s="2" t="str">
        <f>"432-254-9837"</f>
        <v>432-254-9837</v>
      </c>
      <c r="E2091" s="2" t="s">
        <v>4010</v>
      </c>
      <c r="F2091" s="2" t="s">
        <v>639</v>
      </c>
      <c r="G2091" s="2" t="str">
        <f>"SR-3068"</f>
        <v>SR-3068</v>
      </c>
      <c r="H2091" s="2" t="s">
        <v>10366</v>
      </c>
      <c r="I2091" s="2" t="s">
        <v>10367</v>
      </c>
      <c r="K2091" s="2" t="s">
        <v>286</v>
      </c>
      <c r="L2091" s="2" t="s">
        <v>172</v>
      </c>
      <c r="M2091" s="2">
        <v>79704.0</v>
      </c>
      <c r="N2091" s="2" t="s">
        <v>21</v>
      </c>
    </row>
    <row r="2092" ht="15.75" customHeight="1">
      <c r="A2092" s="2">
        <v>2014.0</v>
      </c>
      <c r="B2092" s="2" t="s">
        <v>5097</v>
      </c>
      <c r="C2092" s="2" t="s">
        <v>5098</v>
      </c>
      <c r="D2092" s="2" t="str">
        <f>"(507) 822 6445"</f>
        <v>(507) 822 6445</v>
      </c>
      <c r="E2092" s="2" t="s">
        <v>955</v>
      </c>
      <c r="F2092" s="2" t="s">
        <v>2875</v>
      </c>
      <c r="G2092" s="2" t="str">
        <f>"SR-1474"</f>
        <v>SR-1474</v>
      </c>
      <c r="H2092" s="2" t="s">
        <v>5099</v>
      </c>
      <c r="I2092" s="2" t="s">
        <v>5100</v>
      </c>
      <c r="K2092" s="2" t="s">
        <v>5101</v>
      </c>
      <c r="L2092" s="2" t="s">
        <v>62</v>
      </c>
      <c r="M2092" s="2">
        <v>56118.0</v>
      </c>
      <c r="N2092" s="2" t="s">
        <v>21</v>
      </c>
    </row>
    <row r="2093" ht="15.75" customHeight="1">
      <c r="A2093" s="2">
        <v>2014.0</v>
      </c>
      <c r="B2093" s="2" t="s">
        <v>10368</v>
      </c>
      <c r="C2093" s="2" t="s">
        <v>10368</v>
      </c>
      <c r="D2093" s="2" t="str">
        <f>"8137570449"</f>
        <v>8137570449</v>
      </c>
      <c r="E2093" s="2" t="s">
        <v>1585</v>
      </c>
      <c r="F2093" s="2" t="s">
        <v>690</v>
      </c>
      <c r="G2093" s="2" t="str">
        <f>"SR-3070"</f>
        <v>SR-3070</v>
      </c>
      <c r="H2093" s="2" t="s">
        <v>10369</v>
      </c>
      <c r="I2093" s="2" t="s">
        <v>10370</v>
      </c>
      <c r="K2093" s="2" t="s">
        <v>1576</v>
      </c>
      <c r="L2093" s="2" t="s">
        <v>208</v>
      </c>
      <c r="M2093" s="2">
        <v>33566.0</v>
      </c>
      <c r="N2093" s="2" t="s">
        <v>21</v>
      </c>
    </row>
    <row r="2094" ht="15.75" customHeight="1">
      <c r="A2094" s="2">
        <v>2014.0</v>
      </c>
      <c r="B2094" s="2" t="s">
        <v>10371</v>
      </c>
      <c r="C2094" s="2" t="s">
        <v>10371</v>
      </c>
      <c r="D2094" s="2" t="str">
        <f>"303-772-8228"</f>
        <v>303-772-8228</v>
      </c>
      <c r="E2094" s="2" t="s">
        <v>10372</v>
      </c>
      <c r="F2094" s="2" t="s">
        <v>5991</v>
      </c>
      <c r="G2094" s="2" t="str">
        <f>"SR-2876"</f>
        <v>SR-2876</v>
      </c>
      <c r="H2094" s="2" t="s">
        <v>10373</v>
      </c>
      <c r="I2094" s="2" t="s">
        <v>10374</v>
      </c>
      <c r="K2094" s="2" t="s">
        <v>5805</v>
      </c>
      <c r="L2094" s="2" t="s">
        <v>157</v>
      </c>
      <c r="M2094" s="2">
        <v>80513.0</v>
      </c>
      <c r="N2094" s="2" t="s">
        <v>21</v>
      </c>
    </row>
    <row r="2095" ht="15.75" customHeight="1">
      <c r="A2095" s="2">
        <v>2014.0</v>
      </c>
      <c r="B2095" s="2" t="s">
        <v>10375</v>
      </c>
      <c r="C2095" s="2" t="s">
        <v>10376</v>
      </c>
      <c r="D2095" s="2" t="str">
        <f>"507-427-2171"</f>
        <v>507-427-2171</v>
      </c>
      <c r="E2095" s="2" t="s">
        <v>705</v>
      </c>
      <c r="F2095" s="2" t="s">
        <v>10377</v>
      </c>
      <c r="G2095" s="2" t="str">
        <f>"SR-2781"</f>
        <v>SR-2781</v>
      </c>
      <c r="H2095" s="2" t="s">
        <v>10378</v>
      </c>
      <c r="I2095" s="2" t="s">
        <v>10379</v>
      </c>
      <c r="K2095" s="2" t="s">
        <v>10380</v>
      </c>
      <c r="L2095" s="2" t="s">
        <v>62</v>
      </c>
      <c r="M2095" s="2">
        <v>56159.0</v>
      </c>
      <c r="N2095" s="2" t="s">
        <v>21</v>
      </c>
    </row>
    <row r="2096" ht="15.75" customHeight="1">
      <c r="A2096" s="2">
        <v>2014.0</v>
      </c>
      <c r="B2096" s="2" t="s">
        <v>10381</v>
      </c>
      <c r="C2096" s="2" t="s">
        <v>10382</v>
      </c>
      <c r="D2096" s="2" t="str">
        <f>"5076210446"</f>
        <v>5076210446</v>
      </c>
      <c r="E2096" s="2" t="s">
        <v>465</v>
      </c>
      <c r="F2096" s="2" t="s">
        <v>718</v>
      </c>
      <c r="G2096" s="2" t="str">
        <f>"SR-2860"</f>
        <v>SR-2860</v>
      </c>
      <c r="H2096" s="2" t="s">
        <v>10383</v>
      </c>
      <c r="I2096" s="2" t="s">
        <v>10384</v>
      </c>
      <c r="K2096" s="2" t="s">
        <v>8530</v>
      </c>
      <c r="L2096" s="2" t="s">
        <v>62</v>
      </c>
      <c r="M2096" s="2">
        <v>56101.0</v>
      </c>
      <c r="N2096" s="2" t="s">
        <v>21</v>
      </c>
    </row>
    <row r="2097" ht="15.75" customHeight="1">
      <c r="A2097" s="2">
        <v>2014.0</v>
      </c>
      <c r="B2097" s="2" t="s">
        <v>10385</v>
      </c>
      <c r="C2097" s="2" t="s">
        <v>10385</v>
      </c>
      <c r="D2097" s="2" t="str">
        <f>"6167805073"</f>
        <v>6167805073</v>
      </c>
      <c r="E2097" s="2" t="s">
        <v>10350</v>
      </c>
      <c r="F2097" s="2" t="s">
        <v>10386</v>
      </c>
      <c r="G2097" s="2" t="str">
        <f>"SR-2495"</f>
        <v>SR-2495</v>
      </c>
      <c r="H2097" s="2" t="s">
        <v>10387</v>
      </c>
      <c r="I2097" s="2" t="s">
        <v>10388</v>
      </c>
      <c r="J2097" s="2" t="s">
        <v>10389</v>
      </c>
      <c r="K2097" s="2" t="s">
        <v>10390</v>
      </c>
      <c r="L2097" s="2" t="s">
        <v>2534</v>
      </c>
      <c r="M2097" s="2">
        <v>58103.0</v>
      </c>
      <c r="N2097" s="2" t="s">
        <v>21</v>
      </c>
    </row>
    <row r="2098" ht="15.75" customHeight="1">
      <c r="A2098" s="2">
        <v>2014.0</v>
      </c>
      <c r="B2098" s="2" t="s">
        <v>10391</v>
      </c>
      <c r="C2098" s="2" t="s">
        <v>10392</v>
      </c>
      <c r="D2098" s="2" t="str">
        <f>"260-437-4772"</f>
        <v>260-437-4772</v>
      </c>
      <c r="E2098" s="2" t="s">
        <v>6266</v>
      </c>
      <c r="F2098" s="2" t="s">
        <v>10393</v>
      </c>
      <c r="G2098" s="2" t="str">
        <f>"SR-3016"</f>
        <v>SR-3016</v>
      </c>
      <c r="H2098" s="2" t="s">
        <v>10394</v>
      </c>
      <c r="I2098" s="2" t="s">
        <v>10395</v>
      </c>
      <c r="J2098" s="2">
        <v>12923.0</v>
      </c>
      <c r="K2098" s="2" t="s">
        <v>10396</v>
      </c>
      <c r="L2098" s="2" t="s">
        <v>149</v>
      </c>
      <c r="M2098" s="2">
        <v>46866.0</v>
      </c>
      <c r="N2098" s="2" t="s">
        <v>21</v>
      </c>
    </row>
    <row r="2099" ht="15.75" customHeight="1">
      <c r="A2099" s="2">
        <v>2014.0</v>
      </c>
      <c r="B2099" s="2" t="s">
        <v>10397</v>
      </c>
      <c r="C2099" s="2" t="s">
        <v>10398</v>
      </c>
      <c r="D2099" s="2" t="str">
        <f>"317-823-6222"</f>
        <v>317-823-6222</v>
      </c>
      <c r="E2099" s="2" t="s">
        <v>938</v>
      </c>
      <c r="F2099" s="2" t="s">
        <v>10399</v>
      </c>
      <c r="G2099" s="2" t="str">
        <f>"SR-3074"</f>
        <v>SR-3074</v>
      </c>
      <c r="H2099" s="2" t="s">
        <v>10400</v>
      </c>
      <c r="I2099" s="2" t="s">
        <v>10401</v>
      </c>
      <c r="K2099" s="2" t="s">
        <v>1188</v>
      </c>
      <c r="L2099" s="2" t="s">
        <v>149</v>
      </c>
      <c r="M2099" s="2">
        <v>46236.0</v>
      </c>
      <c r="N2099" s="2" t="s">
        <v>21</v>
      </c>
    </row>
    <row r="2100" ht="15.75" customHeight="1">
      <c r="A2100" s="2">
        <v>2014.0</v>
      </c>
      <c r="B2100" s="2" t="s">
        <v>10402</v>
      </c>
      <c r="C2100" s="2" t="s">
        <v>10403</v>
      </c>
      <c r="D2100" s="2" t="str">
        <f>"3175719447"</f>
        <v>3175719447</v>
      </c>
      <c r="E2100" s="2" t="s">
        <v>4300</v>
      </c>
      <c r="F2100" s="2" t="s">
        <v>10404</v>
      </c>
      <c r="G2100" s="2" t="str">
        <f>"SR-3075"</f>
        <v>SR-3075</v>
      </c>
      <c r="H2100" s="2" t="s">
        <v>10405</v>
      </c>
      <c r="I2100" s="2" t="s">
        <v>10406</v>
      </c>
      <c r="K2100" s="2" t="s">
        <v>10407</v>
      </c>
      <c r="L2100" s="2" t="s">
        <v>149</v>
      </c>
      <c r="M2100" s="2">
        <v>46033.0</v>
      </c>
      <c r="N2100" s="2" t="s">
        <v>21</v>
      </c>
    </row>
    <row r="2101" ht="15.75" customHeight="1">
      <c r="A2101" s="2">
        <v>2014.0</v>
      </c>
      <c r="B2101" s="2" t="s">
        <v>10408</v>
      </c>
      <c r="C2101" s="2" t="s">
        <v>10409</v>
      </c>
      <c r="D2101" s="2" t="str">
        <f t="shared" ref="D2101:D2102" si="36">"9529375459"</f>
        <v>9529375459</v>
      </c>
      <c r="E2101" s="2" t="s">
        <v>1015</v>
      </c>
      <c r="F2101" s="2" t="s">
        <v>10410</v>
      </c>
      <c r="G2101" s="2" t="str">
        <f>"SR-3078"</f>
        <v>SR-3078</v>
      </c>
      <c r="H2101" s="2" t="s">
        <v>10411</v>
      </c>
      <c r="I2101" s="2" t="s">
        <v>10412</v>
      </c>
      <c r="K2101" s="2" t="s">
        <v>3747</v>
      </c>
      <c r="L2101" s="2" t="s">
        <v>62</v>
      </c>
      <c r="M2101" s="2">
        <v>55317.0</v>
      </c>
      <c r="N2101" s="2" t="s">
        <v>21</v>
      </c>
    </row>
    <row r="2102" ht="15.75" customHeight="1">
      <c r="A2102" s="2">
        <v>2014.0</v>
      </c>
      <c r="B2102" s="2" t="s">
        <v>10408</v>
      </c>
      <c r="C2102" s="2" t="s">
        <v>10413</v>
      </c>
      <c r="D2102" s="2" t="str">
        <f t="shared" si="36"/>
        <v>9529375459</v>
      </c>
      <c r="E2102" s="2" t="s">
        <v>339</v>
      </c>
      <c r="F2102" s="2" t="s">
        <v>10410</v>
      </c>
      <c r="G2102" s="2" t="str">
        <f>"SR-3076"</f>
        <v>SR-3076</v>
      </c>
      <c r="H2102" s="2" t="s">
        <v>10414</v>
      </c>
      <c r="I2102" s="2" t="s">
        <v>10412</v>
      </c>
      <c r="K2102" s="2" t="s">
        <v>3747</v>
      </c>
      <c r="L2102" s="2" t="s">
        <v>62</v>
      </c>
      <c r="M2102" s="2">
        <v>55317.0</v>
      </c>
      <c r="N2102" s="2" t="s">
        <v>21</v>
      </c>
    </row>
    <row r="2103" ht="15.75" customHeight="1">
      <c r="A2103" s="2">
        <v>2014.0</v>
      </c>
      <c r="B2103" s="2" t="s">
        <v>10415</v>
      </c>
      <c r="C2103" s="2" t="s">
        <v>10415</v>
      </c>
      <c r="D2103" s="2" t="str">
        <f>"4027835200"</f>
        <v>4027835200</v>
      </c>
      <c r="E2103" s="2" t="s">
        <v>10416</v>
      </c>
      <c r="F2103" s="2" t="s">
        <v>10417</v>
      </c>
      <c r="G2103" s="2" t="str">
        <f>"SR-3084"</f>
        <v>SR-3084</v>
      </c>
      <c r="H2103" s="2" t="s">
        <v>10418</v>
      </c>
      <c r="I2103" s="2" t="s">
        <v>10419</v>
      </c>
      <c r="K2103" s="2" t="s">
        <v>5248</v>
      </c>
      <c r="L2103" s="2" t="s">
        <v>757</v>
      </c>
      <c r="M2103" s="2">
        <v>68428.0</v>
      </c>
      <c r="N2103" s="2" t="s">
        <v>21</v>
      </c>
    </row>
    <row r="2104" ht="15.75" customHeight="1">
      <c r="A2104" s="2">
        <v>2014.0</v>
      </c>
      <c r="B2104" s="2" t="s">
        <v>10420</v>
      </c>
      <c r="C2104" s="2" t="s">
        <v>10420</v>
      </c>
      <c r="D2104" s="2" t="str">
        <f>"906-231-4517"</f>
        <v>906-231-4517</v>
      </c>
      <c r="E2104" s="2" t="s">
        <v>6273</v>
      </c>
      <c r="F2104" s="2" t="s">
        <v>5490</v>
      </c>
      <c r="G2104" s="2" t="str">
        <f>"SR-3062"</f>
        <v>SR-3062</v>
      </c>
      <c r="H2104" s="2" t="s">
        <v>10421</v>
      </c>
      <c r="I2104" s="2" t="s">
        <v>10422</v>
      </c>
      <c r="K2104" s="2" t="s">
        <v>10066</v>
      </c>
      <c r="L2104" s="2" t="s">
        <v>29</v>
      </c>
      <c r="M2104" s="2">
        <v>49931.0</v>
      </c>
      <c r="N2104" s="2" t="s">
        <v>21</v>
      </c>
    </row>
    <row r="2105" ht="15.75" customHeight="1">
      <c r="A2105" s="2">
        <v>2014.0</v>
      </c>
      <c r="B2105" s="2" t="s">
        <v>10423</v>
      </c>
      <c r="C2105" s="2" t="s">
        <v>10423</v>
      </c>
      <c r="D2105" s="2" t="str">
        <f>"616-394-5872"</f>
        <v>616-394-5872</v>
      </c>
      <c r="E2105" s="2" t="s">
        <v>1356</v>
      </c>
      <c r="F2105" s="2" t="s">
        <v>10424</v>
      </c>
      <c r="G2105" s="2" t="str">
        <f>"SR-2619"</f>
        <v>SR-2619</v>
      </c>
      <c r="H2105" s="2" t="s">
        <v>10425</v>
      </c>
      <c r="I2105" s="2" t="s">
        <v>10426</v>
      </c>
      <c r="K2105" s="2" t="s">
        <v>2985</v>
      </c>
      <c r="L2105" s="2" t="s">
        <v>29</v>
      </c>
      <c r="M2105" s="2">
        <v>49423.0</v>
      </c>
      <c r="N2105" s="2" t="s">
        <v>21</v>
      </c>
    </row>
    <row r="2106" ht="15.75" customHeight="1">
      <c r="A2106" s="2">
        <v>2014.0</v>
      </c>
      <c r="B2106" s="2" t="s">
        <v>10427</v>
      </c>
      <c r="C2106" s="2" t="s">
        <v>10427</v>
      </c>
      <c r="D2106" s="2" t="str">
        <f>"3525720472"</f>
        <v>3525720472</v>
      </c>
      <c r="E2106" s="2" t="s">
        <v>3305</v>
      </c>
      <c r="F2106" s="2" t="s">
        <v>10428</v>
      </c>
      <c r="G2106" s="2" t="str">
        <f>"SR-3091"</f>
        <v>SR-3091</v>
      </c>
      <c r="H2106" s="2" t="s">
        <v>10429</v>
      </c>
      <c r="I2106" s="2" t="s">
        <v>10430</v>
      </c>
      <c r="K2106" s="2" t="s">
        <v>10431</v>
      </c>
      <c r="L2106" s="2" t="s">
        <v>55</v>
      </c>
      <c r="M2106" s="2">
        <v>29501.0</v>
      </c>
      <c r="N2106" s="2" t="s">
        <v>21</v>
      </c>
    </row>
    <row r="2107" ht="15.75" customHeight="1">
      <c r="A2107" s="2">
        <v>2014.0</v>
      </c>
      <c r="B2107" s="2" t="s">
        <v>10432</v>
      </c>
      <c r="C2107" s="2" t="s">
        <v>10432</v>
      </c>
      <c r="D2107" s="2" t="str">
        <f>"8133745526"</f>
        <v>8133745526</v>
      </c>
      <c r="E2107" s="2" t="s">
        <v>10433</v>
      </c>
      <c r="F2107" s="2" t="s">
        <v>10434</v>
      </c>
      <c r="G2107" s="2" t="str">
        <f>"SR-3022"</f>
        <v>SR-3022</v>
      </c>
      <c r="H2107" s="2" t="s">
        <v>10435</v>
      </c>
      <c r="I2107" s="2" t="s">
        <v>10436</v>
      </c>
      <c r="K2107" s="2" t="s">
        <v>10437</v>
      </c>
      <c r="L2107" s="2" t="s">
        <v>208</v>
      </c>
      <c r="M2107" s="2">
        <v>33584.0</v>
      </c>
      <c r="N2107" s="2" t="s">
        <v>21</v>
      </c>
    </row>
    <row r="2108" ht="15.75" customHeight="1">
      <c r="A2108" s="2">
        <v>2014.0</v>
      </c>
      <c r="B2108" s="2" t="s">
        <v>10438</v>
      </c>
      <c r="C2108" s="2" t="s">
        <v>10438</v>
      </c>
      <c r="D2108" s="2" t="str">
        <f>"8074073777"</f>
        <v>8074073777</v>
      </c>
      <c r="E2108" s="2" t="s">
        <v>385</v>
      </c>
      <c r="F2108" s="2" t="s">
        <v>10439</v>
      </c>
      <c r="G2108" s="2" t="str">
        <f>"SR-2998"</f>
        <v>SR-2998</v>
      </c>
      <c r="H2108" s="2" t="s">
        <v>10440</v>
      </c>
      <c r="I2108" s="2" t="s">
        <v>10441</v>
      </c>
      <c r="K2108" s="2" t="s">
        <v>10442</v>
      </c>
      <c r="L2108" s="2" t="s">
        <v>2015</v>
      </c>
      <c r="M2108" s="2" t="s">
        <v>10443</v>
      </c>
      <c r="N2108" s="2" t="s">
        <v>1602</v>
      </c>
    </row>
    <row r="2109" ht="15.75" customHeight="1">
      <c r="A2109" s="2">
        <v>2014.0</v>
      </c>
      <c r="B2109" s="2" t="s">
        <v>10444</v>
      </c>
      <c r="C2109" s="2" t="s">
        <v>10445</v>
      </c>
      <c r="D2109" s="2" t="str">
        <f>"4346081106"</f>
        <v>4346081106</v>
      </c>
      <c r="E2109" s="2" t="s">
        <v>4111</v>
      </c>
      <c r="F2109" s="2" t="s">
        <v>10446</v>
      </c>
      <c r="G2109" s="2" t="str">
        <f>"SR-3086"</f>
        <v>SR-3086</v>
      </c>
      <c r="H2109" s="2" t="s">
        <v>10447</v>
      </c>
      <c r="I2109" s="2" t="s">
        <v>10448</v>
      </c>
      <c r="K2109" s="2" t="s">
        <v>323</v>
      </c>
      <c r="L2109" s="2" t="s">
        <v>165</v>
      </c>
      <c r="M2109" s="2">
        <v>24551.0</v>
      </c>
      <c r="N2109" s="2" t="s">
        <v>21</v>
      </c>
    </row>
    <row r="2110" ht="15.75" customHeight="1">
      <c r="A2110" s="2">
        <v>2014.0</v>
      </c>
      <c r="B2110" s="2" t="s">
        <v>10449</v>
      </c>
      <c r="C2110" s="2" t="s">
        <v>10450</v>
      </c>
      <c r="D2110" s="2" t="str">
        <f>"571-278-6960"</f>
        <v>571-278-6960</v>
      </c>
      <c r="E2110" s="2" t="s">
        <v>2412</v>
      </c>
      <c r="F2110" s="2" t="s">
        <v>10451</v>
      </c>
      <c r="G2110" s="2" t="str">
        <f>"SR-3094"</f>
        <v>SR-3094</v>
      </c>
      <c r="H2110" s="2" t="s">
        <v>10452</v>
      </c>
      <c r="I2110" s="2" t="s">
        <v>10453</v>
      </c>
      <c r="K2110" s="2" t="s">
        <v>594</v>
      </c>
      <c r="L2110" s="2" t="s">
        <v>165</v>
      </c>
      <c r="M2110" s="2">
        <v>22601.0</v>
      </c>
      <c r="N2110" s="2" t="s">
        <v>21</v>
      </c>
    </row>
    <row r="2111" ht="15.75" customHeight="1">
      <c r="A2111" s="2">
        <v>2014.0</v>
      </c>
      <c r="B2111" s="2" t="s">
        <v>10454</v>
      </c>
      <c r="C2111" s="2" t="s">
        <v>10455</v>
      </c>
      <c r="D2111" s="2" t="str">
        <f>"(303)679-2761"</f>
        <v>(303)679-2761</v>
      </c>
      <c r="E2111" s="2" t="s">
        <v>580</v>
      </c>
      <c r="F2111" s="2" t="s">
        <v>1101</v>
      </c>
      <c r="G2111" s="2" t="str">
        <f>"SR-2671"</f>
        <v>SR-2671</v>
      </c>
      <c r="H2111" s="2" t="s">
        <v>10456</v>
      </c>
      <c r="I2111" s="2" t="s">
        <v>10457</v>
      </c>
      <c r="K2111" s="2" t="s">
        <v>9112</v>
      </c>
      <c r="L2111" s="2" t="s">
        <v>157</v>
      </c>
      <c r="M2111" s="2">
        <v>80439.0</v>
      </c>
      <c r="N2111" s="2" t="s">
        <v>21</v>
      </c>
    </row>
    <row r="2112" ht="15.75" customHeight="1">
      <c r="A2112" s="2">
        <v>2014.0</v>
      </c>
      <c r="B2112" s="2" t="s">
        <v>10458</v>
      </c>
      <c r="C2112" s="2" t="s">
        <v>10458</v>
      </c>
      <c r="D2112" s="2" t="str">
        <f>"6149220662"</f>
        <v>6149220662</v>
      </c>
      <c r="E2112" s="2" t="s">
        <v>862</v>
      </c>
      <c r="F2112" s="2" t="s">
        <v>10459</v>
      </c>
      <c r="G2112" s="2" t="str">
        <f>"SR-3037"</f>
        <v>SR-3037</v>
      </c>
      <c r="H2112" s="2" t="s">
        <v>10460</v>
      </c>
      <c r="I2112" s="2" t="s">
        <v>10461</v>
      </c>
      <c r="K2112" s="2" t="s">
        <v>9766</v>
      </c>
      <c r="L2112" s="2" t="s">
        <v>344</v>
      </c>
      <c r="M2112" s="2">
        <v>43119.0</v>
      </c>
      <c r="N2112" s="2" t="s">
        <v>21</v>
      </c>
    </row>
    <row r="2113" ht="15.75" customHeight="1">
      <c r="A2113" s="2">
        <v>2014.0</v>
      </c>
      <c r="B2113" s="2" t="s">
        <v>10462</v>
      </c>
      <c r="C2113" s="2" t="s">
        <v>10462</v>
      </c>
      <c r="D2113" s="2" t="str">
        <f>"8166452627"</f>
        <v>8166452627</v>
      </c>
      <c r="E2113" s="2" t="s">
        <v>10463</v>
      </c>
      <c r="F2113" s="2" t="s">
        <v>10464</v>
      </c>
      <c r="G2113" s="2" t="str">
        <f>"SR-2952"</f>
        <v>SR-2952</v>
      </c>
      <c r="H2113" s="2" t="s">
        <v>10465</v>
      </c>
      <c r="I2113" s="2" t="s">
        <v>10466</v>
      </c>
      <c r="K2113" s="2" t="s">
        <v>1141</v>
      </c>
      <c r="L2113" s="2" t="s">
        <v>62</v>
      </c>
      <c r="M2113" s="2">
        <v>55912.0</v>
      </c>
      <c r="N2113" s="2" t="s">
        <v>21</v>
      </c>
    </row>
    <row r="2114" ht="15.75" customHeight="1">
      <c r="A2114" s="2">
        <v>2014.0</v>
      </c>
      <c r="B2114" s="2" t="s">
        <v>10467</v>
      </c>
      <c r="C2114" s="2" t="s">
        <v>10468</v>
      </c>
      <c r="D2114" s="2" t="str">
        <f>"4024293748"</f>
        <v>4024293748</v>
      </c>
      <c r="E2114" s="2" t="s">
        <v>2361</v>
      </c>
      <c r="F2114" s="2" t="s">
        <v>10469</v>
      </c>
      <c r="G2114" s="2" t="str">
        <f>"SR-2907"</f>
        <v>SR-2907</v>
      </c>
      <c r="H2114" s="2" t="s">
        <v>10470</v>
      </c>
      <c r="I2114" s="2" t="s">
        <v>10471</v>
      </c>
      <c r="K2114" s="2" t="s">
        <v>572</v>
      </c>
      <c r="L2114" s="2" t="s">
        <v>757</v>
      </c>
      <c r="M2114" s="2">
        <v>68524.0</v>
      </c>
      <c r="N2114" s="2" t="s">
        <v>21</v>
      </c>
    </row>
    <row r="2115" ht="15.75" customHeight="1">
      <c r="A2115" s="2">
        <v>2014.0</v>
      </c>
      <c r="B2115" s="2" t="s">
        <v>10472</v>
      </c>
      <c r="C2115" s="2" t="s">
        <v>10473</v>
      </c>
      <c r="D2115" s="2" t="str">
        <f>"410-652-7917"</f>
        <v>410-652-7917</v>
      </c>
      <c r="E2115" s="2" t="s">
        <v>301</v>
      </c>
      <c r="F2115" s="2" t="s">
        <v>10474</v>
      </c>
      <c r="G2115" s="2" t="str">
        <f>"SR-3099"</f>
        <v>SR-3099</v>
      </c>
      <c r="H2115" s="2" t="s">
        <v>10475</v>
      </c>
      <c r="I2115" s="2" t="s">
        <v>10476</v>
      </c>
      <c r="K2115" s="2" t="s">
        <v>10477</v>
      </c>
      <c r="L2115" s="2" t="s">
        <v>1868</v>
      </c>
      <c r="M2115" s="2">
        <v>21014.0</v>
      </c>
      <c r="N2115" s="2" t="s">
        <v>21</v>
      </c>
    </row>
    <row r="2116" ht="15.75" customHeight="1">
      <c r="A2116" s="2">
        <v>2014.0</v>
      </c>
      <c r="B2116" s="2" t="s">
        <v>10478</v>
      </c>
      <c r="C2116" s="2" t="s">
        <v>10478</v>
      </c>
      <c r="D2116" s="2" t="str">
        <f>"(858) 525-3407"</f>
        <v>(858) 525-3407</v>
      </c>
      <c r="E2116" s="2" t="s">
        <v>10479</v>
      </c>
      <c r="F2116" s="2" t="s">
        <v>10480</v>
      </c>
      <c r="G2116" s="2" t="str">
        <f>"SR-3026"</f>
        <v>SR-3026</v>
      </c>
      <c r="H2116" s="2" t="s">
        <v>10481</v>
      </c>
      <c r="I2116" s="2" t="s">
        <v>10482</v>
      </c>
      <c r="J2116" s="2" t="s">
        <v>10483</v>
      </c>
      <c r="K2116" s="2" t="s">
        <v>10484</v>
      </c>
      <c r="L2116" s="2" t="s">
        <v>222</v>
      </c>
      <c r="M2116" s="2">
        <v>92014.0</v>
      </c>
      <c r="N2116" s="2" t="s">
        <v>21</v>
      </c>
    </row>
    <row r="2117" ht="15.75" customHeight="1">
      <c r="A2117" s="2">
        <v>2014.0</v>
      </c>
      <c r="B2117" s="2" t="s">
        <v>1432</v>
      </c>
      <c r="C2117" s="2" t="s">
        <v>1433</v>
      </c>
      <c r="D2117" s="2" t="str">
        <f>"804-346-2110"</f>
        <v>804-346-2110</v>
      </c>
      <c r="E2117" s="2" t="s">
        <v>1434</v>
      </c>
      <c r="F2117" s="2" t="s">
        <v>1435</v>
      </c>
      <c r="G2117" s="2" t="str">
        <f>"SR-326"</f>
        <v>SR-326</v>
      </c>
      <c r="H2117" s="2" t="s">
        <v>1436</v>
      </c>
      <c r="I2117" s="2" t="s">
        <v>1437</v>
      </c>
      <c r="K2117" s="2" t="s">
        <v>1438</v>
      </c>
      <c r="L2117" s="2" t="s">
        <v>165</v>
      </c>
      <c r="M2117" s="2">
        <v>23238.0</v>
      </c>
      <c r="N2117" s="2" t="s">
        <v>21</v>
      </c>
    </row>
    <row r="2118" ht="15.75" customHeight="1">
      <c r="A2118" s="2">
        <v>2014.0</v>
      </c>
      <c r="B2118" s="2" t="s">
        <v>10485</v>
      </c>
      <c r="C2118" s="2" t="s">
        <v>10486</v>
      </c>
      <c r="D2118" s="2" t="str">
        <f>"8043700564"</f>
        <v>8043700564</v>
      </c>
      <c r="E2118" s="2" t="s">
        <v>167</v>
      </c>
      <c r="F2118" s="2" t="s">
        <v>10487</v>
      </c>
      <c r="G2118" s="2" t="str">
        <f>"SR-2438"</f>
        <v>SR-2438</v>
      </c>
      <c r="H2118" s="2" t="s">
        <v>10488</v>
      </c>
      <c r="I2118" s="2" t="s">
        <v>10489</v>
      </c>
      <c r="K2118" s="2" t="s">
        <v>10490</v>
      </c>
      <c r="L2118" s="2" t="s">
        <v>165</v>
      </c>
      <c r="M2118" s="2">
        <v>23111.0</v>
      </c>
      <c r="N2118" s="2" t="s">
        <v>21</v>
      </c>
    </row>
    <row r="2119" ht="15.75" customHeight="1">
      <c r="A2119" s="2">
        <v>2014.0</v>
      </c>
      <c r="B2119" s="2" t="s">
        <v>10491</v>
      </c>
      <c r="C2119" s="2" t="s">
        <v>10491</v>
      </c>
      <c r="D2119" s="2" t="str">
        <f>"970-646-2492"</f>
        <v>970-646-2492</v>
      </c>
      <c r="E2119" s="2" t="s">
        <v>3460</v>
      </c>
      <c r="F2119" s="2" t="s">
        <v>10492</v>
      </c>
      <c r="G2119" s="2" t="str">
        <f>"SR-3007"</f>
        <v>SR-3007</v>
      </c>
      <c r="H2119" s="2" t="s">
        <v>10493</v>
      </c>
      <c r="I2119" s="2" t="s">
        <v>10494</v>
      </c>
      <c r="K2119" s="2" t="s">
        <v>1546</v>
      </c>
      <c r="L2119" s="2" t="s">
        <v>840</v>
      </c>
      <c r="M2119" s="2">
        <v>73013.0</v>
      </c>
      <c r="N2119" s="2" t="s">
        <v>21</v>
      </c>
    </row>
    <row r="2120" ht="15.75" customHeight="1">
      <c r="A2120" s="2">
        <v>2014.0</v>
      </c>
      <c r="B2120" s="2" t="s">
        <v>10495</v>
      </c>
      <c r="C2120" s="2" t="s">
        <v>10495</v>
      </c>
      <c r="D2120" s="2" t="str">
        <f>"8057033396"</f>
        <v>8057033396</v>
      </c>
      <c r="E2120" s="2" t="s">
        <v>1164</v>
      </c>
      <c r="F2120" s="2" t="s">
        <v>1151</v>
      </c>
      <c r="G2120" s="2" t="str">
        <f>"SR-2953"</f>
        <v>SR-2953</v>
      </c>
      <c r="H2120" s="2" t="s">
        <v>10496</v>
      </c>
      <c r="I2120" s="2" t="s">
        <v>10497</v>
      </c>
      <c r="K2120" s="2" t="s">
        <v>10498</v>
      </c>
      <c r="L2120" s="2" t="s">
        <v>222</v>
      </c>
      <c r="M2120" s="2">
        <v>93422.0</v>
      </c>
      <c r="N2120" s="2" t="s">
        <v>21</v>
      </c>
    </row>
    <row r="2121" ht="15.75" customHeight="1">
      <c r="A2121" s="2">
        <v>2014.0</v>
      </c>
      <c r="B2121" s="2" t="s">
        <v>5139</v>
      </c>
      <c r="C2121" s="2" t="s">
        <v>5140</v>
      </c>
      <c r="D2121" s="2" t="str">
        <f>"7193322834"</f>
        <v>7193322834</v>
      </c>
      <c r="E2121" s="2" t="s">
        <v>3878</v>
      </c>
      <c r="F2121" s="2" t="s">
        <v>5141</v>
      </c>
      <c r="G2121" s="2" t="str">
        <f>"SR-1476"</f>
        <v>SR-1476</v>
      </c>
      <c r="H2121" s="2" t="s">
        <v>5142</v>
      </c>
      <c r="I2121" s="2" t="s">
        <v>5143</v>
      </c>
      <c r="K2121" s="2" t="s">
        <v>5144</v>
      </c>
      <c r="L2121" s="2" t="s">
        <v>157</v>
      </c>
      <c r="M2121" s="2">
        <v>80132.0</v>
      </c>
      <c r="N2121" s="2" t="s">
        <v>21</v>
      </c>
    </row>
    <row r="2122" ht="15.75" customHeight="1">
      <c r="A2122" s="2">
        <v>2014.0</v>
      </c>
      <c r="B2122" s="2" t="s">
        <v>10499</v>
      </c>
      <c r="C2122" s="2" t="s">
        <v>10500</v>
      </c>
      <c r="D2122" s="2" t="str">
        <f>"334-663-3585"</f>
        <v>334-663-3585</v>
      </c>
      <c r="E2122" s="2" t="s">
        <v>4675</v>
      </c>
      <c r="F2122" s="2" t="s">
        <v>10501</v>
      </c>
      <c r="G2122" s="2" t="str">
        <f>"SR-3059"</f>
        <v>SR-3059</v>
      </c>
      <c r="H2122" s="2" t="s">
        <v>10502</v>
      </c>
      <c r="I2122" s="2" t="s">
        <v>10503</v>
      </c>
      <c r="K2122" s="2" t="s">
        <v>5179</v>
      </c>
      <c r="L2122" s="2" t="s">
        <v>157</v>
      </c>
      <c r="M2122" s="2">
        <v>80307.0</v>
      </c>
      <c r="N2122" s="2" t="s">
        <v>21</v>
      </c>
    </row>
    <row r="2123" ht="15.75" customHeight="1">
      <c r="A2123" s="2">
        <v>2014.0</v>
      </c>
      <c r="B2123" s="2" t="s">
        <v>10504</v>
      </c>
      <c r="C2123" s="2" t="s">
        <v>10504</v>
      </c>
      <c r="D2123" s="2" t="str">
        <f>"5077756236"</f>
        <v>5077756236</v>
      </c>
      <c r="E2123" s="2" t="s">
        <v>7758</v>
      </c>
      <c r="F2123" s="2" t="s">
        <v>10505</v>
      </c>
      <c r="G2123" s="2" t="str">
        <f>"SR-3111"</f>
        <v>SR-3111</v>
      </c>
      <c r="H2123" s="2" t="s">
        <v>10506</v>
      </c>
      <c r="I2123" s="2" t="s">
        <v>10507</v>
      </c>
      <c r="K2123" s="2" t="s">
        <v>10358</v>
      </c>
      <c r="L2123" s="2" t="s">
        <v>62</v>
      </c>
      <c r="M2123" s="2">
        <v>55920.0</v>
      </c>
      <c r="N2123" s="2" t="s">
        <v>21</v>
      </c>
    </row>
    <row r="2124" ht="15.75" customHeight="1">
      <c r="A2124" s="2">
        <v>2014.0</v>
      </c>
      <c r="B2124" s="2" t="s">
        <v>6443</v>
      </c>
      <c r="C2124" s="2" t="s">
        <v>6444</v>
      </c>
      <c r="D2124" s="2" t="str">
        <f>"304-776-6592"</f>
        <v>304-776-6592</v>
      </c>
      <c r="E2124" s="2" t="s">
        <v>1054</v>
      </c>
      <c r="F2124" s="2" t="s">
        <v>6445</v>
      </c>
      <c r="G2124" s="2" t="str">
        <f>"SR-1703"</f>
        <v>SR-1703</v>
      </c>
      <c r="H2124" s="2" t="s">
        <v>6446</v>
      </c>
      <c r="I2124" s="2" t="s">
        <v>6447</v>
      </c>
      <c r="K2124" s="2" t="s">
        <v>6448</v>
      </c>
      <c r="L2124" s="2" t="s">
        <v>6449</v>
      </c>
      <c r="M2124" s="2">
        <v>25313.0</v>
      </c>
      <c r="N2124" s="2" t="s">
        <v>21</v>
      </c>
    </row>
    <row r="2125" ht="15.75" customHeight="1">
      <c r="A2125" s="2">
        <v>2014.0</v>
      </c>
      <c r="B2125" s="2" t="s">
        <v>6200</v>
      </c>
      <c r="C2125" s="2" t="s">
        <v>6201</v>
      </c>
      <c r="D2125" s="2" t="str">
        <f>"16169491881"</f>
        <v>16169491881</v>
      </c>
      <c r="E2125" s="2" t="s">
        <v>6202</v>
      </c>
      <c r="F2125" s="2" t="s">
        <v>6203</v>
      </c>
      <c r="G2125" s="2" t="str">
        <f>"SR-1649"</f>
        <v>SR-1649</v>
      </c>
      <c r="H2125" s="2" t="s">
        <v>6204</v>
      </c>
      <c r="I2125" s="2" t="s">
        <v>6205</v>
      </c>
      <c r="J2125" s="2" t="s">
        <v>6206</v>
      </c>
      <c r="K2125" s="2" t="s">
        <v>40</v>
      </c>
      <c r="L2125" s="2" t="s">
        <v>29</v>
      </c>
      <c r="M2125" s="2">
        <v>49546.0</v>
      </c>
      <c r="N2125" s="2" t="s">
        <v>21</v>
      </c>
    </row>
    <row r="2126" ht="15.75" customHeight="1">
      <c r="A2126" s="2">
        <v>2014.0</v>
      </c>
      <c r="B2126" s="2" t="s">
        <v>1902</v>
      </c>
      <c r="C2126" s="2" t="s">
        <v>10508</v>
      </c>
      <c r="D2126" s="2" t="str">
        <f>"337-463-2848"</f>
        <v>337-463-2848</v>
      </c>
      <c r="E2126" s="2" t="s">
        <v>10509</v>
      </c>
      <c r="F2126" s="2" t="s">
        <v>10510</v>
      </c>
      <c r="G2126" s="2" t="str">
        <f>"SR-2754"</f>
        <v>SR-2754</v>
      </c>
      <c r="H2126" s="2" t="s">
        <v>10511</v>
      </c>
      <c r="I2126" s="2" t="s">
        <v>1906</v>
      </c>
      <c r="K2126" s="2" t="s">
        <v>1907</v>
      </c>
      <c r="L2126" s="2" t="s">
        <v>715</v>
      </c>
      <c r="M2126" s="2">
        <v>70634.0</v>
      </c>
      <c r="N2126" s="2" t="s">
        <v>21</v>
      </c>
    </row>
    <row r="2127" ht="15.75" customHeight="1">
      <c r="A2127" s="2">
        <v>2014.0</v>
      </c>
      <c r="B2127" s="2" t="s">
        <v>10512</v>
      </c>
      <c r="C2127" s="2" t="s">
        <v>10512</v>
      </c>
      <c r="D2127" s="2" t="str">
        <f>"858 204 9156"</f>
        <v>858 204 9156</v>
      </c>
      <c r="E2127" s="2" t="s">
        <v>465</v>
      </c>
      <c r="F2127" s="2" t="s">
        <v>10513</v>
      </c>
      <c r="G2127" s="2" t="str">
        <f>"SR-3112"</f>
        <v>SR-3112</v>
      </c>
      <c r="H2127" s="2" t="s">
        <v>10514</v>
      </c>
      <c r="I2127" s="2" t="s">
        <v>10515</v>
      </c>
      <c r="K2127" s="2" t="s">
        <v>10516</v>
      </c>
      <c r="L2127" s="2" t="s">
        <v>222</v>
      </c>
      <c r="M2127" s="2">
        <v>92129.0</v>
      </c>
      <c r="N2127" s="2" t="s">
        <v>21</v>
      </c>
    </row>
    <row r="2128" ht="15.75" customHeight="1">
      <c r="A2128" s="2">
        <v>2014.0</v>
      </c>
      <c r="B2128" s="2" t="s">
        <v>10517</v>
      </c>
      <c r="C2128" s="2" t="s">
        <v>10518</v>
      </c>
      <c r="D2128" s="2" t="str">
        <f>"8594144652"</f>
        <v>8594144652</v>
      </c>
      <c r="E2128" s="2" t="s">
        <v>250</v>
      </c>
      <c r="F2128" s="2" t="s">
        <v>245</v>
      </c>
      <c r="G2128" s="2" t="str">
        <f>"SR-2966"</f>
        <v>SR-2966</v>
      </c>
      <c r="H2128" s="2" t="s">
        <v>10519</v>
      </c>
      <c r="I2128" s="2" t="s">
        <v>10520</v>
      </c>
      <c r="K2128" s="2" t="s">
        <v>4179</v>
      </c>
      <c r="L2128" s="2" t="s">
        <v>1236</v>
      </c>
      <c r="M2128" s="2">
        <v>41075.0</v>
      </c>
      <c r="N2128" s="2" t="s">
        <v>21</v>
      </c>
    </row>
    <row r="2129" ht="15.75" customHeight="1">
      <c r="A2129" s="2">
        <v>2014.0</v>
      </c>
      <c r="B2129" s="2" t="s">
        <v>10521</v>
      </c>
      <c r="C2129" s="2" t="s">
        <v>10521</v>
      </c>
      <c r="D2129" s="2" t="str">
        <f>"9706683538"</f>
        <v>9706683538</v>
      </c>
      <c r="E2129" s="2" t="s">
        <v>478</v>
      </c>
      <c r="F2129" s="2" t="s">
        <v>6672</v>
      </c>
      <c r="G2129" s="2" t="str">
        <f>"SR-3113"</f>
        <v>SR-3113</v>
      </c>
      <c r="H2129" s="2" t="s">
        <v>10522</v>
      </c>
      <c r="I2129" s="2" t="s">
        <v>10523</v>
      </c>
      <c r="K2129" s="2" t="s">
        <v>5011</v>
      </c>
      <c r="L2129" s="2" t="s">
        <v>157</v>
      </c>
      <c r="M2129" s="2">
        <v>80443.0</v>
      </c>
      <c r="N2129" s="2" t="s">
        <v>21</v>
      </c>
    </row>
    <row r="2130" ht="15.75" customHeight="1">
      <c r="A2130" s="2">
        <v>2014.0</v>
      </c>
      <c r="B2130" s="2" t="s">
        <v>10524</v>
      </c>
      <c r="C2130" s="2" t="s">
        <v>10524</v>
      </c>
      <c r="D2130" s="2" t="str">
        <f>"607-869-2067"</f>
        <v>607-869-2067</v>
      </c>
      <c r="E2130" s="2" t="s">
        <v>1946</v>
      </c>
      <c r="F2130" s="2" t="s">
        <v>4136</v>
      </c>
      <c r="G2130" s="2" t="str">
        <f>"SR-2830"</f>
        <v>SR-2830</v>
      </c>
      <c r="H2130" s="2" t="s">
        <v>10525</v>
      </c>
      <c r="I2130" s="2" t="s">
        <v>10526</v>
      </c>
      <c r="K2130" s="2" t="s">
        <v>10527</v>
      </c>
      <c r="L2130" s="2" t="s">
        <v>142</v>
      </c>
      <c r="M2130" s="2">
        <v>14521.0</v>
      </c>
      <c r="N2130" s="2" t="s">
        <v>21</v>
      </c>
    </row>
    <row r="2131" ht="15.75" customHeight="1">
      <c r="A2131" s="2">
        <v>2014.0</v>
      </c>
      <c r="B2131" s="2" t="s">
        <v>10528</v>
      </c>
      <c r="C2131" s="2" t="s">
        <v>10529</v>
      </c>
      <c r="D2131" s="2" t="str">
        <f t="shared" ref="D2131:D2132" si="37">"7122393999"</f>
        <v>7122393999</v>
      </c>
      <c r="E2131" s="2" t="s">
        <v>843</v>
      </c>
      <c r="F2131" s="2" t="s">
        <v>10530</v>
      </c>
      <c r="G2131" s="2" t="str">
        <f>"SR-3103"</f>
        <v>SR-3103</v>
      </c>
      <c r="H2131" s="2" t="s">
        <v>10531</v>
      </c>
      <c r="I2131" s="2" t="s">
        <v>10532</v>
      </c>
      <c r="K2131" s="2" t="s">
        <v>10533</v>
      </c>
      <c r="L2131" s="2" t="s">
        <v>560</v>
      </c>
      <c r="M2131" s="2">
        <v>51108.0</v>
      </c>
      <c r="N2131" s="2" t="s">
        <v>21</v>
      </c>
    </row>
    <row r="2132" ht="15.75" customHeight="1">
      <c r="A2132" s="2">
        <v>2014.0</v>
      </c>
      <c r="B2132" s="2" t="s">
        <v>10534</v>
      </c>
      <c r="C2132" s="2" t="s">
        <v>10535</v>
      </c>
      <c r="D2132" s="2" t="str">
        <f t="shared" si="37"/>
        <v>7122393999</v>
      </c>
      <c r="E2132" s="2" t="s">
        <v>9476</v>
      </c>
      <c r="F2132" s="2" t="s">
        <v>10530</v>
      </c>
      <c r="G2132" s="2" t="str">
        <f>"SR-3120"</f>
        <v>SR-3120</v>
      </c>
      <c r="H2132" s="2" t="s">
        <v>10536</v>
      </c>
      <c r="I2132" s="2">
        <v>33255.0</v>
      </c>
      <c r="J2132" s="2" t="s">
        <v>10537</v>
      </c>
      <c r="K2132" s="2" t="s">
        <v>10538</v>
      </c>
      <c r="L2132" s="2" t="s">
        <v>560</v>
      </c>
      <c r="M2132" s="2">
        <v>51108.0</v>
      </c>
      <c r="N2132" s="2" t="s">
        <v>21</v>
      </c>
    </row>
    <row r="2133" ht="15.75" customHeight="1">
      <c r="A2133" s="2">
        <v>2014.0</v>
      </c>
      <c r="B2133" s="2" t="s">
        <v>10539</v>
      </c>
      <c r="C2133" s="2" t="s">
        <v>10540</v>
      </c>
      <c r="D2133" s="2" t="str">
        <f>"720-289-2522"</f>
        <v>720-289-2522</v>
      </c>
      <c r="E2133" s="2" t="s">
        <v>10541</v>
      </c>
      <c r="F2133" s="2" t="s">
        <v>2548</v>
      </c>
      <c r="G2133" s="2" t="str">
        <f>"SR-2866"</f>
        <v>SR-2866</v>
      </c>
      <c r="H2133" s="2" t="s">
        <v>10542</v>
      </c>
      <c r="I2133" s="2" t="s">
        <v>10543</v>
      </c>
      <c r="K2133" s="2" t="s">
        <v>1178</v>
      </c>
      <c r="L2133" s="2" t="s">
        <v>157</v>
      </c>
      <c r="M2133" s="2">
        <v>80026.0</v>
      </c>
      <c r="N2133" s="2" t="s">
        <v>21</v>
      </c>
    </row>
    <row r="2134" ht="15.75" customHeight="1">
      <c r="A2134" s="2">
        <v>2014.0</v>
      </c>
      <c r="B2134" s="2" t="s">
        <v>10544</v>
      </c>
      <c r="C2134" s="2" t="s">
        <v>10544</v>
      </c>
      <c r="D2134" s="2" t="str">
        <f t="shared" ref="D2134:D2135" si="38">"7122393999"</f>
        <v>7122393999</v>
      </c>
      <c r="E2134" s="2" t="s">
        <v>1548</v>
      </c>
      <c r="F2134" s="2" t="s">
        <v>10530</v>
      </c>
      <c r="G2134" s="2" t="str">
        <f>"SR-3116"</f>
        <v>SR-3116</v>
      </c>
      <c r="H2134" s="2" t="s">
        <v>10545</v>
      </c>
      <c r="I2134" s="2" t="s">
        <v>10546</v>
      </c>
      <c r="K2134" s="2" t="s">
        <v>10533</v>
      </c>
      <c r="L2134" s="2" t="s">
        <v>560</v>
      </c>
      <c r="M2134" s="2">
        <v>51108.0</v>
      </c>
      <c r="N2134" s="2" t="s">
        <v>21</v>
      </c>
    </row>
    <row r="2135" ht="15.75" customHeight="1">
      <c r="A2135" s="2">
        <v>2014.0</v>
      </c>
      <c r="B2135" s="2" t="s">
        <v>10534</v>
      </c>
      <c r="C2135" s="2" t="s">
        <v>10534</v>
      </c>
      <c r="D2135" s="2" t="str">
        <f t="shared" si="38"/>
        <v>7122393999</v>
      </c>
      <c r="E2135" s="2" t="s">
        <v>453</v>
      </c>
      <c r="F2135" s="2" t="s">
        <v>10530</v>
      </c>
      <c r="G2135" s="2" t="str">
        <f>"SR-3123"</f>
        <v>SR-3123</v>
      </c>
      <c r="H2135" s="2" t="s">
        <v>10547</v>
      </c>
      <c r="I2135" s="2" t="s">
        <v>10532</v>
      </c>
      <c r="K2135" s="2" t="s">
        <v>10548</v>
      </c>
      <c r="L2135" s="2" t="s">
        <v>560</v>
      </c>
      <c r="M2135" s="2">
        <v>51108.0</v>
      </c>
      <c r="N2135" s="2" t="s">
        <v>21</v>
      </c>
    </row>
    <row r="2136" ht="15.75" customHeight="1">
      <c r="A2136" s="2">
        <v>2014.0</v>
      </c>
      <c r="B2136" s="2" t="s">
        <v>10549</v>
      </c>
      <c r="C2136" s="2" t="s">
        <v>10550</v>
      </c>
      <c r="D2136" s="2" t="str">
        <f>"906-483-0916"</f>
        <v>906-483-0916</v>
      </c>
      <c r="E2136" s="2" t="s">
        <v>339</v>
      </c>
      <c r="F2136" s="2" t="s">
        <v>3320</v>
      </c>
      <c r="G2136" s="2" t="str">
        <f>"SR-3098"</f>
        <v>SR-3098</v>
      </c>
      <c r="H2136" s="2" t="s">
        <v>10551</v>
      </c>
      <c r="I2136" s="2" t="s">
        <v>10552</v>
      </c>
      <c r="K2136" s="2" t="s">
        <v>10066</v>
      </c>
      <c r="L2136" s="2" t="s">
        <v>29</v>
      </c>
      <c r="M2136" s="2">
        <v>49931.0</v>
      </c>
      <c r="N2136" s="2" t="s">
        <v>21</v>
      </c>
    </row>
    <row r="2137" ht="15.75" customHeight="1">
      <c r="A2137" s="2">
        <v>2014.0</v>
      </c>
      <c r="B2137" s="2" t="s">
        <v>3281</v>
      </c>
      <c r="C2137" s="2" t="s">
        <v>3281</v>
      </c>
      <c r="D2137" s="2" t="str">
        <f>"6154411480"</f>
        <v>6154411480</v>
      </c>
      <c r="E2137" s="2" t="s">
        <v>3282</v>
      </c>
      <c r="F2137" s="2" t="s">
        <v>3283</v>
      </c>
      <c r="G2137" s="2" t="str">
        <f>"SR-3125"</f>
        <v>SR-3125</v>
      </c>
      <c r="H2137" s="2" t="s">
        <v>3284</v>
      </c>
      <c r="I2137" s="2" t="s">
        <v>3285</v>
      </c>
      <c r="K2137" s="2" t="s">
        <v>3286</v>
      </c>
      <c r="L2137" s="2" t="s">
        <v>279</v>
      </c>
      <c r="M2137" s="2">
        <v>37055.0</v>
      </c>
      <c r="N2137" s="2" t="s">
        <v>21</v>
      </c>
    </row>
    <row r="2138" ht="15.75" customHeight="1">
      <c r="A2138" s="2">
        <v>2014.0</v>
      </c>
      <c r="B2138" s="2" t="s">
        <v>10553</v>
      </c>
      <c r="C2138" s="2" t="s">
        <v>10554</v>
      </c>
      <c r="D2138" s="2" t="str">
        <f>"9092644648"</f>
        <v>9092644648</v>
      </c>
      <c r="E2138" s="2" t="s">
        <v>1324</v>
      </c>
      <c r="F2138" s="2" t="s">
        <v>89</v>
      </c>
      <c r="G2138" s="2" t="str">
        <f>"SR-2795"</f>
        <v>SR-2795</v>
      </c>
      <c r="H2138" s="2" t="s">
        <v>10555</v>
      </c>
      <c r="I2138" s="2" t="s">
        <v>10556</v>
      </c>
      <c r="K2138" s="2" t="s">
        <v>10557</v>
      </c>
      <c r="L2138" s="2" t="s">
        <v>222</v>
      </c>
      <c r="M2138" s="2">
        <v>91701.0</v>
      </c>
      <c r="N2138" s="2" t="s">
        <v>21</v>
      </c>
    </row>
    <row r="2139" ht="15.75" customHeight="1">
      <c r="A2139" s="2">
        <v>2014.0</v>
      </c>
      <c r="B2139" s="2" t="s">
        <v>10558</v>
      </c>
      <c r="C2139" s="2" t="s">
        <v>10558</v>
      </c>
      <c r="D2139" s="2" t="str">
        <f>"7123632692"</f>
        <v>7123632692</v>
      </c>
      <c r="E2139" s="2" t="s">
        <v>678</v>
      </c>
      <c r="F2139" s="2" t="s">
        <v>1441</v>
      </c>
      <c r="G2139" s="2" t="str">
        <f>"SR-2902"</f>
        <v>SR-2902</v>
      </c>
      <c r="H2139" s="2" t="s">
        <v>10559</v>
      </c>
      <c r="I2139" s="2" t="s">
        <v>10560</v>
      </c>
      <c r="K2139" s="2" t="s">
        <v>10561</v>
      </c>
      <c r="L2139" s="2" t="s">
        <v>560</v>
      </c>
      <c r="M2139" s="2">
        <v>50514.0</v>
      </c>
      <c r="N2139" s="2" t="s">
        <v>21</v>
      </c>
    </row>
    <row r="2140" ht="15.75" customHeight="1">
      <c r="A2140" s="2">
        <v>2014.0</v>
      </c>
      <c r="B2140" s="2" t="s">
        <v>10562</v>
      </c>
      <c r="D2140" s="2" t="str">
        <f>""</f>
        <v/>
      </c>
      <c r="E2140" s="2" t="s">
        <v>5991</v>
      </c>
      <c r="F2140" s="2" t="s">
        <v>1151</v>
      </c>
      <c r="G2140" s="2" t="str">
        <f>"SR-3097"</f>
        <v>SR-3097</v>
      </c>
      <c r="H2140" s="2" t="s">
        <v>10563</v>
      </c>
      <c r="N2140" s="2" t="s">
        <v>21</v>
      </c>
    </row>
    <row r="2141" ht="15.75" customHeight="1">
      <c r="A2141" s="2">
        <v>2014.0</v>
      </c>
      <c r="B2141" s="2" t="s">
        <v>10564</v>
      </c>
      <c r="C2141" s="2" t="s">
        <v>10565</v>
      </c>
      <c r="D2141" s="2" t="str">
        <f>"515-708-6077"</f>
        <v>515-708-6077</v>
      </c>
      <c r="E2141" s="2" t="s">
        <v>10566</v>
      </c>
      <c r="F2141" s="2" t="s">
        <v>5401</v>
      </c>
      <c r="G2141" s="2" t="str">
        <f>"SR-3130"</f>
        <v>SR-3130</v>
      </c>
      <c r="H2141" s="2" t="s">
        <v>10567</v>
      </c>
      <c r="I2141" s="2" t="s">
        <v>10568</v>
      </c>
      <c r="K2141" s="2" t="s">
        <v>6354</v>
      </c>
      <c r="L2141" s="2" t="s">
        <v>560</v>
      </c>
      <c r="M2141" s="2">
        <v>50014.0</v>
      </c>
      <c r="N2141" s="2" t="s">
        <v>21</v>
      </c>
    </row>
    <row r="2142" ht="15.75" customHeight="1">
      <c r="A2142" s="2">
        <v>2014.0</v>
      </c>
      <c r="B2142" s="2" t="s">
        <v>10569</v>
      </c>
      <c r="C2142" s="2" t="s">
        <v>10569</v>
      </c>
      <c r="D2142" s="2" t="str">
        <f>"308 324 4430"</f>
        <v>308 324 4430</v>
      </c>
      <c r="E2142" s="2" t="s">
        <v>10570</v>
      </c>
      <c r="F2142" s="2" t="s">
        <v>10571</v>
      </c>
      <c r="G2142" s="2" t="str">
        <f>"SR-3118"</f>
        <v>SR-3118</v>
      </c>
      <c r="H2142" s="2" t="s">
        <v>10572</v>
      </c>
      <c r="I2142" s="2" t="s">
        <v>10573</v>
      </c>
      <c r="K2142" s="2" t="s">
        <v>254</v>
      </c>
      <c r="L2142" s="2" t="s">
        <v>757</v>
      </c>
      <c r="M2142" s="2">
        <v>68850.0</v>
      </c>
      <c r="N2142" s="2" t="s">
        <v>21</v>
      </c>
    </row>
    <row r="2143" ht="15.75" customHeight="1">
      <c r="A2143" s="2">
        <v>2014.0</v>
      </c>
      <c r="B2143" s="2" t="s">
        <v>10574</v>
      </c>
      <c r="C2143" s="2" t="s">
        <v>10575</v>
      </c>
      <c r="D2143" s="2" t="str">
        <f>"512-259-5650"</f>
        <v>512-259-5650</v>
      </c>
      <c r="E2143" s="2" t="s">
        <v>4716</v>
      </c>
      <c r="F2143" s="2" t="s">
        <v>2174</v>
      </c>
      <c r="G2143" s="2" t="str">
        <f>"SR-3073"</f>
        <v>SR-3073</v>
      </c>
      <c r="H2143" s="2" t="s">
        <v>10576</v>
      </c>
      <c r="I2143" s="2" t="s">
        <v>10577</v>
      </c>
      <c r="K2143" s="2" t="s">
        <v>1249</v>
      </c>
      <c r="L2143" s="2" t="s">
        <v>172</v>
      </c>
      <c r="M2143" s="2">
        <v>78613.0</v>
      </c>
      <c r="N2143" s="2" t="s">
        <v>21</v>
      </c>
    </row>
    <row r="2144" ht="15.75" customHeight="1">
      <c r="A2144" s="2">
        <v>2014.0</v>
      </c>
      <c r="B2144" s="2" t="s">
        <v>10578</v>
      </c>
      <c r="C2144" s="2" t="s">
        <v>10578</v>
      </c>
      <c r="D2144" s="2" t="str">
        <f>"8506568711"</f>
        <v>8506568711</v>
      </c>
      <c r="E2144" s="2" t="s">
        <v>10579</v>
      </c>
      <c r="F2144" s="2" t="s">
        <v>6884</v>
      </c>
      <c r="G2144" s="2" t="str">
        <f>"SR-2714"</f>
        <v>SR-2714</v>
      </c>
      <c r="H2144" s="2" t="s">
        <v>10580</v>
      </c>
      <c r="I2144" s="2" t="s">
        <v>10581</v>
      </c>
      <c r="K2144" s="2" t="s">
        <v>2007</v>
      </c>
      <c r="L2144" s="2" t="s">
        <v>208</v>
      </c>
      <c r="M2144" s="2">
        <v>32309.0</v>
      </c>
      <c r="N2144" s="2" t="s">
        <v>21</v>
      </c>
    </row>
    <row r="2145" ht="15.75" customHeight="1">
      <c r="A2145" s="2">
        <v>2014.0</v>
      </c>
      <c r="B2145" s="2" t="s">
        <v>10582</v>
      </c>
      <c r="C2145" s="2" t="s">
        <v>10582</v>
      </c>
      <c r="D2145" s="2" t="str">
        <f>"9549807132"</f>
        <v>9549807132</v>
      </c>
      <c r="E2145" s="2" t="s">
        <v>15</v>
      </c>
      <c r="F2145" s="2" t="s">
        <v>10583</v>
      </c>
      <c r="G2145" s="2" t="str">
        <f>"SR-2874"</f>
        <v>SR-2874</v>
      </c>
      <c r="H2145" s="2" t="s">
        <v>10584</v>
      </c>
      <c r="I2145" s="2" t="s">
        <v>10585</v>
      </c>
      <c r="K2145" s="2" t="s">
        <v>10586</v>
      </c>
      <c r="L2145" s="2" t="s">
        <v>208</v>
      </c>
      <c r="M2145" s="2">
        <v>33308.0</v>
      </c>
      <c r="N2145" s="2" t="s">
        <v>21</v>
      </c>
    </row>
    <row r="2146" ht="15.75" customHeight="1">
      <c r="A2146" s="2">
        <v>2014.0</v>
      </c>
      <c r="B2146" s="2" t="s">
        <v>10553</v>
      </c>
      <c r="C2146" s="2" t="s">
        <v>10587</v>
      </c>
      <c r="D2146" s="2" t="str">
        <f>"9098353070"</f>
        <v>9098353070</v>
      </c>
      <c r="E2146" s="2" t="s">
        <v>239</v>
      </c>
      <c r="F2146" s="2" t="s">
        <v>89</v>
      </c>
      <c r="G2146" s="2" t="str">
        <f>"SR-2796"</f>
        <v>SR-2796</v>
      </c>
      <c r="H2146" s="2" t="s">
        <v>10588</v>
      </c>
      <c r="I2146" s="2" t="s">
        <v>10556</v>
      </c>
      <c r="K2146" s="2" t="s">
        <v>10557</v>
      </c>
      <c r="L2146" s="2" t="s">
        <v>222</v>
      </c>
      <c r="M2146" s="2">
        <v>91701.0</v>
      </c>
      <c r="N2146" s="2" t="s">
        <v>21</v>
      </c>
    </row>
    <row r="2147" ht="15.75" customHeight="1">
      <c r="A2147" s="2">
        <v>2014.0</v>
      </c>
      <c r="B2147" s="2" t="s">
        <v>10589</v>
      </c>
      <c r="C2147" s="2" t="s">
        <v>10590</v>
      </c>
      <c r="D2147" s="2" t="str">
        <f>"701-263-7944"</f>
        <v>701-263-7944</v>
      </c>
      <c r="E2147" s="2" t="s">
        <v>6813</v>
      </c>
      <c r="F2147" s="2" t="s">
        <v>639</v>
      </c>
      <c r="G2147" s="2" t="str">
        <f>"SR-3132"</f>
        <v>SR-3132</v>
      </c>
      <c r="H2147" s="2" t="s">
        <v>10591</v>
      </c>
      <c r="I2147" s="2" t="s">
        <v>10592</v>
      </c>
      <c r="K2147" s="2" t="s">
        <v>5965</v>
      </c>
      <c r="L2147" s="2" t="s">
        <v>2534</v>
      </c>
      <c r="M2147" s="2">
        <v>58701.0</v>
      </c>
      <c r="N2147" s="2" t="s">
        <v>21</v>
      </c>
    </row>
    <row r="2148" ht="15.75" customHeight="1">
      <c r="A2148" s="2">
        <v>2014.0</v>
      </c>
      <c r="B2148" s="2" t="s">
        <v>10593</v>
      </c>
      <c r="C2148" s="2" t="s">
        <v>10594</v>
      </c>
      <c r="D2148" s="2" t="str">
        <f>"402 944 2053"</f>
        <v>402 944 2053</v>
      </c>
      <c r="E2148" s="2" t="s">
        <v>4406</v>
      </c>
      <c r="F2148" s="2" t="s">
        <v>10595</v>
      </c>
      <c r="G2148" s="2" t="str">
        <f>"SR-3085"</f>
        <v>SR-3085</v>
      </c>
      <c r="H2148" s="2" t="s">
        <v>10596</v>
      </c>
      <c r="I2148" s="2" t="s">
        <v>10597</v>
      </c>
      <c r="K2148" s="2" t="s">
        <v>1154</v>
      </c>
      <c r="L2148" s="2" t="s">
        <v>757</v>
      </c>
      <c r="M2148" s="2">
        <v>68003.0</v>
      </c>
      <c r="N2148" s="2" t="s">
        <v>21</v>
      </c>
    </row>
    <row r="2149" ht="15.75" customHeight="1">
      <c r="A2149" s="2">
        <v>2014.0</v>
      </c>
      <c r="B2149" s="2" t="s">
        <v>10328</v>
      </c>
      <c r="C2149" s="2" t="s">
        <v>10598</v>
      </c>
      <c r="D2149" s="2" t="str">
        <f>"605-239-4891"</f>
        <v>605-239-4891</v>
      </c>
      <c r="E2149" s="2" t="s">
        <v>9724</v>
      </c>
      <c r="F2149" s="2" t="s">
        <v>2852</v>
      </c>
      <c r="G2149" s="2" t="str">
        <f>"SR-2996"</f>
        <v>SR-2996</v>
      </c>
      <c r="H2149" s="2" t="s">
        <v>10599</v>
      </c>
      <c r="I2149" s="2" t="s">
        <v>10331</v>
      </c>
      <c r="J2149" s="2" t="s">
        <v>10332</v>
      </c>
      <c r="K2149" s="2" t="s">
        <v>404</v>
      </c>
      <c r="L2149" s="2" t="s">
        <v>920</v>
      </c>
      <c r="M2149" s="2">
        <v>57311.0</v>
      </c>
      <c r="N2149" s="2" t="s">
        <v>21</v>
      </c>
    </row>
    <row r="2150" ht="15.75" customHeight="1">
      <c r="A2150" s="2">
        <v>2014.0</v>
      </c>
      <c r="B2150" s="2" t="s">
        <v>10600</v>
      </c>
      <c r="C2150" s="2" t="s">
        <v>10601</v>
      </c>
      <c r="D2150" s="2" t="str">
        <f>"605-945-0782"</f>
        <v>605-945-0782</v>
      </c>
      <c r="E2150" s="2" t="s">
        <v>10602</v>
      </c>
      <c r="F2150" s="2" t="s">
        <v>10603</v>
      </c>
      <c r="G2150" s="2" t="str">
        <f>"SR-3079"</f>
        <v>SR-3079</v>
      </c>
      <c r="H2150" s="2" t="s">
        <v>10604</v>
      </c>
      <c r="I2150" s="2" t="s">
        <v>10605</v>
      </c>
      <c r="K2150" s="2" t="s">
        <v>4355</v>
      </c>
      <c r="L2150" s="2" t="s">
        <v>920</v>
      </c>
      <c r="M2150" s="2">
        <v>57501.0</v>
      </c>
      <c r="N2150" s="2" t="s">
        <v>21</v>
      </c>
    </row>
    <row r="2151" ht="15.75" customHeight="1">
      <c r="A2151" s="2">
        <v>2014.0</v>
      </c>
      <c r="B2151" s="2" t="s">
        <v>10606</v>
      </c>
      <c r="C2151" s="2" t="s">
        <v>10606</v>
      </c>
      <c r="D2151" s="2" t="str">
        <f>"509 337 6385"</f>
        <v>509 337 6385</v>
      </c>
      <c r="E2151" s="2" t="s">
        <v>50</v>
      </c>
      <c r="F2151" s="2" t="s">
        <v>10607</v>
      </c>
      <c r="G2151" s="2" t="str">
        <f>"SR-3137"</f>
        <v>SR-3137</v>
      </c>
      <c r="H2151" s="2" t="s">
        <v>10608</v>
      </c>
      <c r="I2151" s="2" t="s">
        <v>10609</v>
      </c>
      <c r="K2151" s="2" t="s">
        <v>10610</v>
      </c>
      <c r="L2151" s="2" t="s">
        <v>86</v>
      </c>
      <c r="M2151" s="2">
        <v>99361.0</v>
      </c>
      <c r="N2151" s="2" t="s">
        <v>21</v>
      </c>
    </row>
    <row r="2152" ht="15.75" customHeight="1">
      <c r="A2152" s="2">
        <v>2014.0</v>
      </c>
      <c r="B2152" s="2" t="s">
        <v>10611</v>
      </c>
      <c r="C2152" s="2" t="s">
        <v>10611</v>
      </c>
      <c r="D2152" s="2" t="str">
        <f>"402-796-2527"</f>
        <v>402-796-2527</v>
      </c>
      <c r="E2152" s="2" t="s">
        <v>1554</v>
      </c>
      <c r="F2152" s="2" t="s">
        <v>10612</v>
      </c>
      <c r="G2152" s="2" t="str">
        <f>"SR-3081"</f>
        <v>SR-3081</v>
      </c>
      <c r="H2152" s="2" t="s">
        <v>10613</v>
      </c>
      <c r="I2152" s="2" t="s">
        <v>10614</v>
      </c>
      <c r="K2152" s="2" t="s">
        <v>10615</v>
      </c>
      <c r="L2152" s="2" t="s">
        <v>757</v>
      </c>
      <c r="M2152" s="2">
        <v>68402.0</v>
      </c>
      <c r="N2152" s="2" t="s">
        <v>21</v>
      </c>
    </row>
    <row r="2153" ht="15.75" customHeight="1">
      <c r="A2153" s="2">
        <v>2014.0</v>
      </c>
      <c r="B2153" s="2" t="s">
        <v>10616</v>
      </c>
      <c r="C2153" s="2" t="s">
        <v>10617</v>
      </c>
      <c r="D2153" s="2" t="str">
        <f>"850-668-2996"</f>
        <v>850-668-2996</v>
      </c>
      <c r="E2153" s="2" t="s">
        <v>1810</v>
      </c>
      <c r="F2153" s="2" t="s">
        <v>10618</v>
      </c>
      <c r="G2153" s="2" t="str">
        <f>"SR-2485"</f>
        <v>SR-2485</v>
      </c>
      <c r="H2153" s="2" t="s">
        <v>10619</v>
      </c>
      <c r="I2153" s="2" t="s">
        <v>10620</v>
      </c>
      <c r="K2153" s="2" t="s">
        <v>2007</v>
      </c>
      <c r="L2153" s="2" t="s">
        <v>208</v>
      </c>
      <c r="M2153" s="2">
        <v>32309.0</v>
      </c>
      <c r="N2153" s="2" t="s">
        <v>21</v>
      </c>
    </row>
    <row r="2154" ht="15.75" customHeight="1">
      <c r="A2154" s="2">
        <v>2014.0</v>
      </c>
      <c r="B2154" s="2" t="s">
        <v>10621</v>
      </c>
      <c r="C2154" s="2" t="s">
        <v>10621</v>
      </c>
      <c r="D2154" s="2" t="str">
        <f>"912-663-5458"</f>
        <v>912-663-5458</v>
      </c>
      <c r="E2154" s="2" t="s">
        <v>843</v>
      </c>
      <c r="F2154" s="2" t="s">
        <v>10622</v>
      </c>
      <c r="G2154" s="2" t="str">
        <f>"SR-3109"</f>
        <v>SR-3109</v>
      </c>
      <c r="H2154" s="2" t="s">
        <v>10623</v>
      </c>
      <c r="I2154" s="2" t="s">
        <v>10624</v>
      </c>
      <c r="K2154" s="2" t="s">
        <v>1239</v>
      </c>
      <c r="L2154" s="2" t="s">
        <v>200</v>
      </c>
      <c r="M2154" s="2">
        <v>31406.0</v>
      </c>
      <c r="N2154" s="2" t="s">
        <v>21</v>
      </c>
    </row>
    <row r="2155" ht="15.75" customHeight="1">
      <c r="A2155" s="2">
        <v>2014.0</v>
      </c>
      <c r="B2155" s="2" t="s">
        <v>10625</v>
      </c>
      <c r="C2155" s="2" t="s">
        <v>10625</v>
      </c>
      <c r="D2155" s="2" t="str">
        <f>"4028751276"</f>
        <v>4028751276</v>
      </c>
      <c r="E2155" s="2" t="s">
        <v>10626</v>
      </c>
      <c r="F2155" s="2" t="s">
        <v>10627</v>
      </c>
      <c r="G2155" s="2" t="str">
        <f>"SR-3133"</f>
        <v>SR-3133</v>
      </c>
      <c r="H2155" s="2" t="s">
        <v>10628</v>
      </c>
      <c r="I2155" s="2" t="s">
        <v>10629</v>
      </c>
      <c r="K2155" s="2" t="s">
        <v>10630</v>
      </c>
      <c r="L2155" s="2" t="s">
        <v>757</v>
      </c>
      <c r="M2155" s="2">
        <v>68505.0</v>
      </c>
      <c r="N2155" s="2" t="s">
        <v>21</v>
      </c>
    </row>
    <row r="2156" ht="15.75" customHeight="1">
      <c r="A2156" s="2">
        <v>2014.0</v>
      </c>
      <c r="B2156" s="2" t="s">
        <v>10631</v>
      </c>
      <c r="C2156" s="2" t="s">
        <v>10632</v>
      </c>
      <c r="D2156" s="2" t="str">
        <f>"215-860-7333"</f>
        <v>215-860-7333</v>
      </c>
      <c r="E2156" s="2" t="s">
        <v>9351</v>
      </c>
      <c r="F2156" s="2" t="s">
        <v>10633</v>
      </c>
      <c r="G2156" s="2" t="str">
        <f>"SR-3095"</f>
        <v>SR-3095</v>
      </c>
      <c r="H2156" s="2" t="s">
        <v>10634</v>
      </c>
      <c r="I2156" s="2" t="s">
        <v>10635</v>
      </c>
      <c r="K2156" s="2" t="s">
        <v>10636</v>
      </c>
      <c r="L2156" s="2" t="s">
        <v>179</v>
      </c>
      <c r="M2156" s="2">
        <v>19047.0</v>
      </c>
      <c r="N2156" s="2" t="s">
        <v>21</v>
      </c>
    </row>
    <row r="2157" ht="15.75" customHeight="1">
      <c r="A2157" s="2">
        <v>2014.0</v>
      </c>
      <c r="B2157" s="2" t="s">
        <v>10637</v>
      </c>
      <c r="C2157" s="2" t="s">
        <v>10637</v>
      </c>
      <c r="D2157" s="2" t="str">
        <f>"(308)883-2486"</f>
        <v>(308)883-2486</v>
      </c>
      <c r="E2157" s="2" t="s">
        <v>10638</v>
      </c>
      <c r="F2157" s="2" t="s">
        <v>10639</v>
      </c>
      <c r="G2157" s="2" t="str">
        <f>"SR-3034"</f>
        <v>SR-3034</v>
      </c>
      <c r="H2157" s="2" t="s">
        <v>10640</v>
      </c>
      <c r="I2157" s="2" t="s">
        <v>10641</v>
      </c>
      <c r="K2157" s="2" t="s">
        <v>10642</v>
      </c>
      <c r="L2157" s="2" t="s">
        <v>272</v>
      </c>
      <c r="M2157" s="2">
        <v>67735.0</v>
      </c>
      <c r="N2157" s="2" t="s">
        <v>21</v>
      </c>
    </row>
    <row r="2158" ht="15.75" customHeight="1">
      <c r="A2158" s="2">
        <v>2014.0</v>
      </c>
      <c r="B2158" s="2" t="s">
        <v>10643</v>
      </c>
      <c r="C2158" s="2" t="s">
        <v>10643</v>
      </c>
      <c r="D2158" s="2" t="str">
        <f>"402 968 2493"</f>
        <v>402 968 2493</v>
      </c>
      <c r="E2158" s="2" t="s">
        <v>456</v>
      </c>
      <c r="F2158" s="2" t="s">
        <v>2753</v>
      </c>
      <c r="G2158" s="2" t="str">
        <f>"SR-3052"</f>
        <v>SR-3052</v>
      </c>
      <c r="H2158" s="2" t="s">
        <v>10644</v>
      </c>
      <c r="I2158" s="2" t="s">
        <v>10645</v>
      </c>
      <c r="K2158" s="2" t="s">
        <v>1470</v>
      </c>
      <c r="L2158" s="2" t="s">
        <v>757</v>
      </c>
      <c r="M2158" s="2">
        <v>68144.0</v>
      </c>
      <c r="N2158" s="2" t="s">
        <v>21</v>
      </c>
    </row>
    <row r="2159" ht="15.75" customHeight="1">
      <c r="A2159" s="2">
        <v>2014.0</v>
      </c>
      <c r="B2159" s="2" t="s">
        <v>10646</v>
      </c>
      <c r="C2159" s="2" t="s">
        <v>10646</v>
      </c>
      <c r="D2159" s="2" t="str">
        <f>"(727)600-0932"</f>
        <v>(727)600-0932</v>
      </c>
      <c r="E2159" s="2" t="s">
        <v>6244</v>
      </c>
      <c r="F2159" s="2" t="s">
        <v>2279</v>
      </c>
      <c r="G2159" s="2" t="str">
        <f>"SR-2834"</f>
        <v>SR-2834</v>
      </c>
      <c r="H2159" s="2" t="s">
        <v>10647</v>
      </c>
      <c r="I2159" s="2" t="s">
        <v>10648</v>
      </c>
      <c r="K2159" s="2" t="s">
        <v>414</v>
      </c>
      <c r="L2159" s="2" t="s">
        <v>208</v>
      </c>
      <c r="M2159" s="2">
        <v>33774.0</v>
      </c>
      <c r="N2159" s="2" t="s">
        <v>21</v>
      </c>
    </row>
    <row r="2160" ht="15.75" customHeight="1">
      <c r="A2160" s="2">
        <v>2014.0</v>
      </c>
      <c r="B2160" s="2" t="s">
        <v>10621</v>
      </c>
      <c r="C2160" s="2" t="s">
        <v>10621</v>
      </c>
      <c r="D2160" s="2" t="str">
        <f>"912-663-5458"</f>
        <v>912-663-5458</v>
      </c>
      <c r="E2160" s="2" t="s">
        <v>1135</v>
      </c>
      <c r="F2160" s="2" t="s">
        <v>10622</v>
      </c>
      <c r="G2160" s="2" t="str">
        <f>"SR-3101"</f>
        <v>SR-3101</v>
      </c>
      <c r="H2160" s="2" t="s">
        <v>10649</v>
      </c>
      <c r="I2160" s="2" t="s">
        <v>10650</v>
      </c>
      <c r="K2160" s="2" t="s">
        <v>1239</v>
      </c>
      <c r="L2160" s="2" t="s">
        <v>200</v>
      </c>
      <c r="M2160" s="2">
        <v>31406.0</v>
      </c>
      <c r="N2160" s="2" t="s">
        <v>21</v>
      </c>
    </row>
    <row r="2161" ht="15.75" customHeight="1">
      <c r="A2161" s="2">
        <v>2014.0</v>
      </c>
      <c r="B2161" s="2" t="s">
        <v>10651</v>
      </c>
      <c r="C2161" s="2" t="s">
        <v>10651</v>
      </c>
      <c r="D2161" s="2" t="str">
        <f>"480-225-1264"</f>
        <v>480-225-1264</v>
      </c>
      <c r="E2161" s="2" t="s">
        <v>10652</v>
      </c>
      <c r="F2161" s="2" t="s">
        <v>10653</v>
      </c>
      <c r="G2161" s="2" t="str">
        <f>"SR-2917"</f>
        <v>SR-2917</v>
      </c>
      <c r="H2161" s="2" t="s">
        <v>10654</v>
      </c>
      <c r="I2161" s="2" t="s">
        <v>10655</v>
      </c>
      <c r="K2161" s="2" t="s">
        <v>2841</v>
      </c>
      <c r="L2161" s="2" t="s">
        <v>422</v>
      </c>
      <c r="M2161" s="2">
        <v>85225.0</v>
      </c>
      <c r="N2161" s="2" t="s">
        <v>21</v>
      </c>
    </row>
    <row r="2162" ht="15.75" customHeight="1">
      <c r="A2162" s="2">
        <v>2014.0</v>
      </c>
      <c r="B2162" s="2" t="s">
        <v>10656</v>
      </c>
      <c r="C2162" s="2" t="s">
        <v>10657</v>
      </c>
      <c r="D2162" s="2" t="str">
        <f>"952-432-6636"</f>
        <v>952-432-6636</v>
      </c>
      <c r="E2162" s="2" t="s">
        <v>10658</v>
      </c>
      <c r="F2162" s="2" t="s">
        <v>108</v>
      </c>
      <c r="G2162" s="2" t="str">
        <f>"SR-2417"</f>
        <v>SR-2417</v>
      </c>
      <c r="H2162" s="2" t="s">
        <v>10659</v>
      </c>
      <c r="I2162" s="2" t="s">
        <v>10660</v>
      </c>
      <c r="K2162" s="2" t="s">
        <v>2811</v>
      </c>
      <c r="L2162" s="2" t="s">
        <v>62</v>
      </c>
      <c r="M2162" s="2">
        <v>55124.0</v>
      </c>
      <c r="N2162" s="2" t="s">
        <v>21</v>
      </c>
    </row>
    <row r="2163" ht="15.75" customHeight="1">
      <c r="A2163" s="2">
        <v>2014.0</v>
      </c>
      <c r="B2163" s="2" t="s">
        <v>10661</v>
      </c>
      <c r="C2163" s="2" t="s">
        <v>10661</v>
      </c>
      <c r="D2163" s="2" t="str">
        <f>"703 878 6979"</f>
        <v>703 878 6979</v>
      </c>
      <c r="E2163" s="2" t="s">
        <v>8316</v>
      </c>
      <c r="F2163" s="2" t="s">
        <v>89</v>
      </c>
      <c r="G2163" s="2" t="str">
        <f>"SR-3092"</f>
        <v>SR-3092</v>
      </c>
      <c r="H2163" s="2" t="s">
        <v>10662</v>
      </c>
      <c r="I2163" s="2" t="s">
        <v>10663</v>
      </c>
      <c r="K2163" s="2" t="s">
        <v>10664</v>
      </c>
      <c r="L2163" s="2" t="s">
        <v>165</v>
      </c>
      <c r="M2163" s="2">
        <v>22193.0</v>
      </c>
      <c r="N2163" s="2" t="s">
        <v>21</v>
      </c>
    </row>
    <row r="2164" ht="15.75" customHeight="1">
      <c r="A2164" s="2">
        <v>2014.0</v>
      </c>
      <c r="B2164" s="2" t="s">
        <v>10665</v>
      </c>
      <c r="C2164" s="2" t="s">
        <v>10665</v>
      </c>
      <c r="D2164" s="2" t="str">
        <f>"7193397318"</f>
        <v>7193397318</v>
      </c>
      <c r="E2164" s="2" t="s">
        <v>6202</v>
      </c>
      <c r="F2164" s="2" t="s">
        <v>10666</v>
      </c>
      <c r="G2164" s="2" t="str">
        <f>"SR-3139"</f>
        <v>SR-3139</v>
      </c>
      <c r="H2164" s="2" t="s">
        <v>10667</v>
      </c>
      <c r="I2164" s="2" t="s">
        <v>10668</v>
      </c>
      <c r="K2164" s="2" t="s">
        <v>809</v>
      </c>
      <c r="L2164" s="2" t="s">
        <v>157</v>
      </c>
      <c r="M2164" s="2">
        <v>80919.0</v>
      </c>
      <c r="N2164" s="2" t="s">
        <v>21</v>
      </c>
    </row>
    <row r="2165" ht="15.75" customHeight="1">
      <c r="A2165" s="2">
        <v>2014.0</v>
      </c>
      <c r="B2165" s="2" t="s">
        <v>10669</v>
      </c>
      <c r="C2165" s="2" t="s">
        <v>10670</v>
      </c>
      <c r="D2165" s="2" t="str">
        <f>"720-278-0484"</f>
        <v>720-278-0484</v>
      </c>
      <c r="E2165" s="2" t="s">
        <v>931</v>
      </c>
      <c r="F2165" s="2" t="s">
        <v>1859</v>
      </c>
      <c r="G2165" s="2" t="str">
        <f>"SR-3136"</f>
        <v>SR-3136</v>
      </c>
      <c r="H2165" s="2" t="s">
        <v>10671</v>
      </c>
      <c r="I2165" s="2" t="s">
        <v>10672</v>
      </c>
      <c r="K2165" s="2" t="s">
        <v>10673</v>
      </c>
      <c r="L2165" s="2" t="s">
        <v>157</v>
      </c>
      <c r="M2165" s="2">
        <v>80124.0</v>
      </c>
      <c r="N2165" s="2" t="s">
        <v>21</v>
      </c>
    </row>
    <row r="2166" ht="15.75" customHeight="1">
      <c r="A2166" s="2">
        <v>2014.0</v>
      </c>
      <c r="B2166" s="2" t="s">
        <v>10674</v>
      </c>
      <c r="C2166" s="2" t="s">
        <v>10675</v>
      </c>
      <c r="D2166" s="2" t="str">
        <f>"6123253028"</f>
        <v>6123253028</v>
      </c>
      <c r="E2166" s="2" t="s">
        <v>4322</v>
      </c>
      <c r="F2166" s="2" t="s">
        <v>1169</v>
      </c>
      <c r="G2166" s="2" t="str">
        <f>"SR-3089"</f>
        <v>SR-3089</v>
      </c>
      <c r="H2166" s="2" t="s">
        <v>10676</v>
      </c>
      <c r="I2166" s="2" t="s">
        <v>10677</v>
      </c>
      <c r="K2166" s="2" t="s">
        <v>10678</v>
      </c>
      <c r="L2166" s="2" t="s">
        <v>62</v>
      </c>
      <c r="M2166" s="2">
        <v>55364.0</v>
      </c>
      <c r="N2166" s="2" t="s">
        <v>21</v>
      </c>
    </row>
    <row r="2167" ht="15.75" customHeight="1">
      <c r="A2167" s="2">
        <v>2014.0</v>
      </c>
      <c r="B2167" s="2" t="s">
        <v>10679</v>
      </c>
      <c r="C2167" s="2" t="s">
        <v>10680</v>
      </c>
      <c r="D2167" s="2" t="str">
        <f>"706-844-3502"</f>
        <v>706-844-3502</v>
      </c>
      <c r="E2167" s="2" t="s">
        <v>2988</v>
      </c>
      <c r="F2167" s="2" t="s">
        <v>1151</v>
      </c>
      <c r="G2167" s="2" t="str">
        <f>"SR-3057"</f>
        <v>SR-3057</v>
      </c>
      <c r="H2167" s="2" t="s">
        <v>10681</v>
      </c>
      <c r="I2167" s="2" t="s">
        <v>10682</v>
      </c>
      <c r="K2167" s="2" t="s">
        <v>10683</v>
      </c>
      <c r="L2167" s="2" t="s">
        <v>200</v>
      </c>
      <c r="M2167" s="2">
        <v>30339.0</v>
      </c>
      <c r="N2167" s="2" t="s">
        <v>21</v>
      </c>
    </row>
    <row r="2168" ht="15.75" customHeight="1">
      <c r="A2168" s="2">
        <v>2014.0</v>
      </c>
      <c r="B2168" s="2" t="s">
        <v>10684</v>
      </c>
      <c r="C2168" s="2" t="s">
        <v>10684</v>
      </c>
      <c r="D2168" s="2" t="str">
        <f>"6512338067"</f>
        <v>6512338067</v>
      </c>
      <c r="E2168" s="2" t="s">
        <v>3196</v>
      </c>
      <c r="F2168" s="2" t="s">
        <v>9600</v>
      </c>
      <c r="G2168" s="2" t="str">
        <f>"SR-2901"</f>
        <v>SR-2901</v>
      </c>
      <c r="H2168" s="2" t="s">
        <v>10685</v>
      </c>
      <c r="I2168" s="2" t="s">
        <v>10686</v>
      </c>
      <c r="J2168" s="2" t="s">
        <v>10687</v>
      </c>
      <c r="K2168" s="2" t="s">
        <v>10688</v>
      </c>
      <c r="L2168" s="2" t="s">
        <v>157</v>
      </c>
      <c r="M2168" s="2">
        <v>80480.0</v>
      </c>
      <c r="N2168" s="2" t="s">
        <v>21</v>
      </c>
    </row>
    <row r="2169" ht="15.75" customHeight="1">
      <c r="A2169" s="2">
        <v>2014.0</v>
      </c>
      <c r="B2169" s="2" t="s">
        <v>10689</v>
      </c>
      <c r="C2169" s="2" t="s">
        <v>10690</v>
      </c>
      <c r="D2169" s="2" t="str">
        <f>"503-569-5293"</f>
        <v>503-569-5293</v>
      </c>
      <c r="E2169" s="2" t="s">
        <v>10691</v>
      </c>
      <c r="F2169" s="2" t="s">
        <v>10692</v>
      </c>
      <c r="G2169" s="2" t="str">
        <f>"SR-3009"</f>
        <v>SR-3009</v>
      </c>
      <c r="H2169" s="2" t="s">
        <v>10693</v>
      </c>
      <c r="I2169" s="2" t="s">
        <v>10694</v>
      </c>
      <c r="K2169" s="2" t="s">
        <v>5131</v>
      </c>
      <c r="L2169" s="2" t="s">
        <v>2389</v>
      </c>
      <c r="M2169" s="2">
        <v>97302.0</v>
      </c>
      <c r="N2169" s="2" t="s">
        <v>21</v>
      </c>
    </row>
    <row r="2170" ht="15.75" customHeight="1">
      <c r="A2170" s="2">
        <v>2014.0</v>
      </c>
      <c r="B2170" s="2" t="s">
        <v>10695</v>
      </c>
      <c r="C2170" s="2" t="s">
        <v>10695</v>
      </c>
      <c r="D2170" s="2" t="str">
        <f>"2072087225"</f>
        <v>2072087225</v>
      </c>
      <c r="E2170" s="2" t="s">
        <v>301</v>
      </c>
      <c r="F2170" s="2" t="s">
        <v>10696</v>
      </c>
      <c r="G2170" s="2" t="str">
        <f>"SR-3153"</f>
        <v>SR-3153</v>
      </c>
      <c r="H2170" s="2" t="s">
        <v>10697</v>
      </c>
      <c r="I2170" s="2" t="s">
        <v>10698</v>
      </c>
      <c r="K2170" s="2" t="s">
        <v>10699</v>
      </c>
      <c r="L2170" s="2" t="s">
        <v>3737</v>
      </c>
      <c r="M2170" s="2">
        <v>4530.0</v>
      </c>
      <c r="N2170" s="2" t="s">
        <v>21</v>
      </c>
    </row>
    <row r="2171" ht="15.75" customHeight="1">
      <c r="A2171" s="2">
        <v>2014.0</v>
      </c>
      <c r="B2171" s="2" t="s">
        <v>10700</v>
      </c>
      <c r="C2171" s="2" t="s">
        <v>10700</v>
      </c>
      <c r="D2171" s="2" t="str">
        <f>"208-466-8576"</f>
        <v>208-466-8576</v>
      </c>
      <c r="E2171" s="2" t="s">
        <v>1400</v>
      </c>
      <c r="F2171" s="2" t="s">
        <v>756</v>
      </c>
      <c r="G2171" s="2" t="str">
        <f>"SR-2852"</f>
        <v>SR-2852</v>
      </c>
      <c r="H2171" s="2" t="s">
        <v>10701</v>
      </c>
      <c r="I2171" s="2" t="s">
        <v>10702</v>
      </c>
      <c r="K2171" s="2" t="s">
        <v>10703</v>
      </c>
      <c r="L2171" s="2" t="s">
        <v>2613</v>
      </c>
      <c r="M2171" s="2">
        <v>83651.0</v>
      </c>
      <c r="N2171" s="2" t="s">
        <v>21</v>
      </c>
    </row>
    <row r="2172" ht="15.75" customHeight="1">
      <c r="A2172" s="2">
        <v>2014.0</v>
      </c>
      <c r="B2172" s="2" t="s">
        <v>10704</v>
      </c>
      <c r="C2172" s="2" t="s">
        <v>10705</v>
      </c>
      <c r="D2172" s="2" t="str">
        <f>"4024387390"</f>
        <v>4024387390</v>
      </c>
      <c r="E2172" s="2" t="s">
        <v>428</v>
      </c>
      <c r="F2172" s="2" t="s">
        <v>10706</v>
      </c>
      <c r="G2172" s="2" t="str">
        <f>"SR-3150"</f>
        <v>SR-3150</v>
      </c>
      <c r="H2172" s="2" t="s">
        <v>10707</v>
      </c>
      <c r="I2172" s="2" t="s">
        <v>10708</v>
      </c>
      <c r="K2172" s="2" t="s">
        <v>572</v>
      </c>
      <c r="L2172" s="2" t="s">
        <v>757</v>
      </c>
      <c r="M2172" s="2">
        <v>68521.0</v>
      </c>
      <c r="N2172" s="2" t="s">
        <v>21</v>
      </c>
    </row>
    <row r="2173" ht="15.75" customHeight="1">
      <c r="A2173" s="2">
        <v>2014.0</v>
      </c>
      <c r="B2173" s="2" t="s">
        <v>10709</v>
      </c>
      <c r="C2173" s="2" t="s">
        <v>10709</v>
      </c>
      <c r="D2173" s="2" t="str">
        <f>"(208)466-8576"</f>
        <v>(208)466-8576</v>
      </c>
      <c r="E2173" s="2" t="s">
        <v>203</v>
      </c>
      <c r="F2173" s="2" t="s">
        <v>756</v>
      </c>
      <c r="G2173" s="2" t="str">
        <f>"SR-3155"</f>
        <v>SR-3155</v>
      </c>
      <c r="H2173" s="2" t="s">
        <v>10710</v>
      </c>
      <c r="I2173" s="2" t="s">
        <v>10711</v>
      </c>
      <c r="K2173" s="2" t="s">
        <v>10703</v>
      </c>
      <c r="L2173" s="2" t="s">
        <v>2613</v>
      </c>
      <c r="M2173" s="2">
        <v>83651.0</v>
      </c>
      <c r="N2173" s="2" t="s">
        <v>21</v>
      </c>
    </row>
    <row r="2174" ht="15.75" customHeight="1">
      <c r="A2174" s="2">
        <v>2014.0</v>
      </c>
      <c r="B2174" s="2" t="s">
        <v>10712</v>
      </c>
      <c r="C2174" s="2" t="s">
        <v>10713</v>
      </c>
      <c r="D2174" s="2" t="str">
        <f>"540-442-9861"</f>
        <v>540-442-9861</v>
      </c>
      <c r="E2174" s="2" t="s">
        <v>678</v>
      </c>
      <c r="F2174" s="2" t="s">
        <v>89</v>
      </c>
      <c r="G2174" s="2" t="str">
        <f>"SR-3047"</f>
        <v>SR-3047</v>
      </c>
      <c r="H2174" s="2" t="s">
        <v>10714</v>
      </c>
      <c r="I2174" s="2" t="s">
        <v>10715</v>
      </c>
      <c r="K2174" s="2" t="s">
        <v>10716</v>
      </c>
      <c r="L2174" s="2" t="s">
        <v>165</v>
      </c>
      <c r="M2174" s="2">
        <v>22801.0</v>
      </c>
      <c r="N2174" s="2" t="s">
        <v>21</v>
      </c>
    </row>
    <row r="2175" ht="15.75" customHeight="1">
      <c r="A2175" s="2">
        <v>2014.0</v>
      </c>
      <c r="B2175" s="2" t="s">
        <v>10717</v>
      </c>
      <c r="C2175" s="2" t="s">
        <v>10717</v>
      </c>
      <c r="D2175" s="2" t="str">
        <f>"3087464775"</f>
        <v>3087464775</v>
      </c>
      <c r="E2175" s="2" t="s">
        <v>6174</v>
      </c>
      <c r="F2175" s="2" t="s">
        <v>10718</v>
      </c>
      <c r="G2175" s="2" t="str">
        <f>"SR-711"</f>
        <v>SR-711</v>
      </c>
      <c r="H2175" s="2" t="s">
        <v>10719</v>
      </c>
      <c r="I2175" s="2" t="s">
        <v>10720</v>
      </c>
      <c r="K2175" s="2" t="s">
        <v>254</v>
      </c>
      <c r="L2175" s="2" t="s">
        <v>757</v>
      </c>
      <c r="M2175" s="2">
        <v>68850.0</v>
      </c>
      <c r="N2175" s="2" t="s">
        <v>21</v>
      </c>
    </row>
    <row r="2176" ht="15.75" customHeight="1">
      <c r="A2176" s="2">
        <v>2014.0</v>
      </c>
      <c r="B2176" s="2" t="s">
        <v>10721</v>
      </c>
      <c r="C2176" s="2" t="s">
        <v>10722</v>
      </c>
      <c r="D2176" s="2" t="str">
        <f>"763-257-2924"</f>
        <v>763-257-2924</v>
      </c>
      <c r="E2176" s="2" t="s">
        <v>137</v>
      </c>
      <c r="F2176" s="2" t="s">
        <v>10723</v>
      </c>
      <c r="G2176" s="2" t="str">
        <f>"SR-3156"</f>
        <v>SR-3156</v>
      </c>
      <c r="H2176" s="2" t="s">
        <v>10724</v>
      </c>
      <c r="I2176" s="2" t="s">
        <v>10725</v>
      </c>
      <c r="K2176" s="2" t="s">
        <v>10726</v>
      </c>
      <c r="L2176" s="2" t="s">
        <v>62</v>
      </c>
      <c r="M2176" s="2">
        <v>55376.0</v>
      </c>
      <c r="N2176" s="2" t="s">
        <v>21</v>
      </c>
    </row>
    <row r="2177" ht="15.75" customHeight="1">
      <c r="A2177" s="2">
        <v>2014.0</v>
      </c>
      <c r="B2177" s="2" t="s">
        <v>10727</v>
      </c>
      <c r="C2177" s="2" t="s">
        <v>10728</v>
      </c>
      <c r="D2177" s="2" t="str">
        <f>"408-251-7877"</f>
        <v>408-251-7877</v>
      </c>
      <c r="E2177" s="2" t="s">
        <v>2941</v>
      </c>
      <c r="F2177" s="2" t="s">
        <v>1533</v>
      </c>
      <c r="G2177" s="2" t="str">
        <f>"SR-3027"</f>
        <v>SR-3027</v>
      </c>
      <c r="H2177" s="2" t="s">
        <v>10729</v>
      </c>
      <c r="I2177" s="2" t="s">
        <v>10730</v>
      </c>
      <c r="K2177" s="2" t="s">
        <v>5826</v>
      </c>
      <c r="L2177" s="2" t="s">
        <v>222</v>
      </c>
      <c r="M2177" s="2">
        <v>95132.0</v>
      </c>
      <c r="N2177" s="2" t="s">
        <v>21</v>
      </c>
    </row>
    <row r="2178" ht="15.75" customHeight="1">
      <c r="A2178" s="2">
        <v>2014.0</v>
      </c>
      <c r="B2178" s="2" t="s">
        <v>10731</v>
      </c>
      <c r="C2178" s="2" t="s">
        <v>10731</v>
      </c>
      <c r="D2178" s="2" t="str">
        <f>"4255122698"</f>
        <v>4255122698</v>
      </c>
      <c r="E2178" s="2" t="s">
        <v>1529</v>
      </c>
      <c r="F2178" s="2" t="s">
        <v>868</v>
      </c>
      <c r="G2178" s="2" t="str">
        <f>"SR-3162"</f>
        <v>SR-3162</v>
      </c>
      <c r="H2178" s="2" t="s">
        <v>10732</v>
      </c>
      <c r="I2178" s="2" t="s">
        <v>10733</v>
      </c>
      <c r="K2178" s="2" t="s">
        <v>882</v>
      </c>
      <c r="L2178" s="2" t="s">
        <v>165</v>
      </c>
      <c r="M2178" s="2">
        <v>22202.0</v>
      </c>
      <c r="N2178" s="2" t="s">
        <v>21</v>
      </c>
    </row>
    <row r="2179" ht="15.75" customHeight="1">
      <c r="A2179" s="2">
        <v>2014.0</v>
      </c>
      <c r="B2179" s="2" t="s">
        <v>10734</v>
      </c>
      <c r="C2179" s="2" t="s">
        <v>10734</v>
      </c>
      <c r="D2179" s="2" t="str">
        <f>"425-231-4152"</f>
        <v>425-231-4152</v>
      </c>
      <c r="E2179" s="2" t="s">
        <v>10735</v>
      </c>
      <c r="F2179" s="2" t="s">
        <v>10736</v>
      </c>
      <c r="G2179" s="2" t="str">
        <f>"SR-3161"</f>
        <v>SR-3161</v>
      </c>
      <c r="H2179" s="2" t="s">
        <v>10737</v>
      </c>
      <c r="I2179" s="2" t="s">
        <v>3308</v>
      </c>
      <c r="K2179" s="2" t="s">
        <v>1677</v>
      </c>
      <c r="L2179" s="2" t="s">
        <v>86</v>
      </c>
      <c r="M2179" s="2">
        <v>98012.0</v>
      </c>
      <c r="N2179" s="2" t="s">
        <v>21</v>
      </c>
    </row>
    <row r="2180" ht="15.75" customHeight="1">
      <c r="A2180" s="2">
        <v>2014.0</v>
      </c>
      <c r="B2180" s="2" t="s">
        <v>10738</v>
      </c>
      <c r="C2180" s="2" t="s">
        <v>10739</v>
      </c>
      <c r="D2180" s="2" t="str">
        <f>"425-931-3071"</f>
        <v>425-931-3071</v>
      </c>
      <c r="E2180" s="2" t="s">
        <v>404</v>
      </c>
      <c r="F2180" s="2" t="s">
        <v>10740</v>
      </c>
      <c r="G2180" s="2" t="str">
        <f>"SR-2578"</f>
        <v>SR-2578</v>
      </c>
      <c r="H2180" s="2" t="s">
        <v>10741</v>
      </c>
      <c r="I2180" s="2" t="s">
        <v>10742</v>
      </c>
      <c r="J2180" s="2" t="s">
        <v>10743</v>
      </c>
      <c r="K2180" s="2" t="s">
        <v>632</v>
      </c>
      <c r="L2180" s="2" t="s">
        <v>172</v>
      </c>
      <c r="M2180" s="2">
        <v>78249.0</v>
      </c>
      <c r="N2180" s="2" t="s">
        <v>21</v>
      </c>
    </row>
    <row r="2181" ht="15.75" customHeight="1">
      <c r="A2181" s="2">
        <v>2014.0</v>
      </c>
      <c r="B2181" s="2" t="s">
        <v>10744</v>
      </c>
      <c r="C2181" s="2" t="s">
        <v>10744</v>
      </c>
      <c r="D2181" s="2" t="str">
        <f>"423-327-1223"</f>
        <v>423-327-1223</v>
      </c>
      <c r="E2181" s="2" t="s">
        <v>2384</v>
      </c>
      <c r="F2181" s="2" t="s">
        <v>10745</v>
      </c>
      <c r="G2181" s="2" t="str">
        <f>"SR-3164"</f>
        <v>SR-3164</v>
      </c>
      <c r="H2181" s="2" t="s">
        <v>10746</v>
      </c>
      <c r="I2181" s="2" t="s">
        <v>10747</v>
      </c>
      <c r="K2181" s="2" t="s">
        <v>3397</v>
      </c>
      <c r="L2181" s="2" t="s">
        <v>279</v>
      </c>
      <c r="M2181" s="2">
        <v>37814.0</v>
      </c>
      <c r="N2181" s="2" t="s">
        <v>21</v>
      </c>
    </row>
    <row r="2182" ht="15.75" customHeight="1">
      <c r="A2182" s="2">
        <v>2014.0</v>
      </c>
      <c r="B2182" s="2" t="s">
        <v>10748</v>
      </c>
      <c r="C2182" s="2" t="s">
        <v>10748</v>
      </c>
      <c r="D2182" s="2" t="str">
        <f>"954-600-2200"</f>
        <v>954-600-2200</v>
      </c>
      <c r="E2182" s="2" t="s">
        <v>10749</v>
      </c>
      <c r="F2182" s="2" t="s">
        <v>6862</v>
      </c>
      <c r="G2182" s="2" t="str">
        <f>"SR-3166"</f>
        <v>SR-3166</v>
      </c>
      <c r="H2182" s="2" t="s">
        <v>10750</v>
      </c>
      <c r="I2182" s="2" t="s">
        <v>10751</v>
      </c>
      <c r="K2182" s="2" t="s">
        <v>2273</v>
      </c>
      <c r="L2182" s="2" t="s">
        <v>208</v>
      </c>
      <c r="M2182" s="2">
        <v>33433.0</v>
      </c>
      <c r="N2182" s="2" t="s">
        <v>21</v>
      </c>
    </row>
    <row r="2183" ht="15.75" customHeight="1">
      <c r="A2183" s="2">
        <v>2014.0</v>
      </c>
      <c r="B2183" s="2" t="s">
        <v>10752</v>
      </c>
      <c r="C2183" s="2" t="s">
        <v>10752</v>
      </c>
      <c r="D2183" s="2" t="str">
        <f>"513-800-7648"</f>
        <v>513-800-7648</v>
      </c>
      <c r="E2183" s="2" t="s">
        <v>10753</v>
      </c>
      <c r="F2183" s="2" t="s">
        <v>984</v>
      </c>
      <c r="G2183" s="2" t="str">
        <f>"SR-3167"</f>
        <v>SR-3167</v>
      </c>
      <c r="H2183" s="2" t="s">
        <v>10754</v>
      </c>
      <c r="I2183" s="2" t="s">
        <v>10755</v>
      </c>
      <c r="K2183" s="2" t="s">
        <v>10756</v>
      </c>
      <c r="L2183" s="2" t="s">
        <v>344</v>
      </c>
      <c r="M2183" s="2">
        <v>43015.0</v>
      </c>
      <c r="N2183" s="2" t="s">
        <v>21</v>
      </c>
    </row>
    <row r="2184" ht="15.75" customHeight="1">
      <c r="A2184" s="2">
        <v>2014.0</v>
      </c>
      <c r="B2184" s="2" t="s">
        <v>10757</v>
      </c>
      <c r="C2184" s="2" t="s">
        <v>10758</v>
      </c>
      <c r="D2184" s="2" t="str">
        <f>"8144942468"</f>
        <v>8144942468</v>
      </c>
      <c r="E2184" s="2" t="s">
        <v>1946</v>
      </c>
      <c r="F2184" s="2" t="s">
        <v>10759</v>
      </c>
      <c r="G2184" s="2" t="str">
        <f>"SR-3170"</f>
        <v>SR-3170</v>
      </c>
      <c r="H2184" s="2" t="s">
        <v>10760</v>
      </c>
      <c r="I2184" s="2" t="s">
        <v>10761</v>
      </c>
      <c r="K2184" s="2" t="s">
        <v>10762</v>
      </c>
      <c r="L2184" s="2" t="s">
        <v>179</v>
      </c>
      <c r="M2184" s="2">
        <v>15550.0</v>
      </c>
      <c r="N2184" s="2" t="s">
        <v>21</v>
      </c>
    </row>
    <row r="2185" ht="15.75" customHeight="1">
      <c r="A2185" s="2">
        <v>2014.0</v>
      </c>
      <c r="B2185" s="2" t="s">
        <v>10763</v>
      </c>
      <c r="C2185" s="2" t="s">
        <v>10764</v>
      </c>
      <c r="D2185" s="2" t="str">
        <f>"2149268420"</f>
        <v>2149268420</v>
      </c>
      <c r="E2185" s="2" t="s">
        <v>824</v>
      </c>
      <c r="F2185" s="2" t="s">
        <v>10765</v>
      </c>
      <c r="G2185" s="2" t="str">
        <f>"SR-3171"</f>
        <v>SR-3171</v>
      </c>
      <c r="H2185" s="2" t="s">
        <v>10766</v>
      </c>
      <c r="I2185" s="2" t="s">
        <v>10767</v>
      </c>
      <c r="K2185" s="2" t="s">
        <v>10768</v>
      </c>
      <c r="L2185" s="2" t="s">
        <v>172</v>
      </c>
      <c r="M2185" s="2">
        <v>75154.0</v>
      </c>
      <c r="N2185" s="2" t="s">
        <v>21</v>
      </c>
    </row>
    <row r="2186" ht="15.75" customHeight="1">
      <c r="A2186" s="2">
        <v>2014.0</v>
      </c>
      <c r="B2186" s="2" t="s">
        <v>10769</v>
      </c>
      <c r="C2186" s="2" t="s">
        <v>10769</v>
      </c>
      <c r="D2186" s="2" t="str">
        <f>"515-274-4486"</f>
        <v>515-274-4486</v>
      </c>
      <c r="E2186" s="2" t="s">
        <v>5991</v>
      </c>
      <c r="F2186" s="2" t="s">
        <v>8787</v>
      </c>
      <c r="G2186" s="2" t="str">
        <f>"SR-3173"</f>
        <v>SR-3173</v>
      </c>
      <c r="H2186" s="2" t="s">
        <v>10770</v>
      </c>
      <c r="I2186" s="2" t="s">
        <v>10771</v>
      </c>
      <c r="K2186" s="2" t="s">
        <v>3050</v>
      </c>
      <c r="L2186" s="2" t="s">
        <v>560</v>
      </c>
      <c r="M2186" s="2">
        <v>50322.0</v>
      </c>
      <c r="N2186" s="2" t="s">
        <v>21</v>
      </c>
    </row>
    <row r="2187" ht="15.75" customHeight="1">
      <c r="A2187" s="2">
        <v>2014.0</v>
      </c>
      <c r="B2187" s="2" t="s">
        <v>10772</v>
      </c>
      <c r="C2187" s="2" t="s">
        <v>10773</v>
      </c>
      <c r="D2187" s="2" t="str">
        <f>"8056465500"</f>
        <v>8056465500</v>
      </c>
      <c r="E2187" s="2" t="s">
        <v>10774</v>
      </c>
      <c r="F2187" s="2" t="s">
        <v>10775</v>
      </c>
      <c r="G2187" s="2" t="str">
        <f>"SR-2500"</f>
        <v>SR-2500</v>
      </c>
      <c r="H2187" s="2" t="s">
        <v>10776</v>
      </c>
      <c r="I2187" s="2" t="s">
        <v>10777</v>
      </c>
      <c r="K2187" s="2" t="s">
        <v>10778</v>
      </c>
      <c r="L2187" s="2" t="s">
        <v>222</v>
      </c>
      <c r="M2187" s="2">
        <v>93023.0</v>
      </c>
      <c r="N2187" s="2" t="s">
        <v>21</v>
      </c>
    </row>
    <row r="2188" ht="15.75" customHeight="1">
      <c r="A2188" s="2">
        <v>2014.0</v>
      </c>
      <c r="B2188" s="2" t="s">
        <v>10779</v>
      </c>
      <c r="C2188" s="2" t="s">
        <v>10780</v>
      </c>
      <c r="D2188" s="2" t="str">
        <f>"9042032373"</f>
        <v>9042032373</v>
      </c>
      <c r="E2188" s="2" t="s">
        <v>339</v>
      </c>
      <c r="F2188" s="2" t="s">
        <v>10781</v>
      </c>
      <c r="G2188" s="2" t="str">
        <f>"SR-3035"</f>
        <v>SR-3035</v>
      </c>
      <c r="H2188" s="2" t="s">
        <v>10782</v>
      </c>
      <c r="I2188" s="2" t="s">
        <v>10783</v>
      </c>
      <c r="K2188" s="2" t="s">
        <v>10784</v>
      </c>
      <c r="L2188" s="2" t="s">
        <v>208</v>
      </c>
      <c r="M2188" s="2">
        <v>32068.0</v>
      </c>
      <c r="N2188" s="2" t="s">
        <v>21</v>
      </c>
    </row>
    <row r="2189" ht="15.75" customHeight="1">
      <c r="A2189" s="2">
        <v>2014.0</v>
      </c>
      <c r="B2189" s="2" t="s">
        <v>10785</v>
      </c>
      <c r="C2189" s="2" t="s">
        <v>10785</v>
      </c>
      <c r="D2189" s="2" t="str">
        <f>"6178400986"</f>
        <v>6178400986</v>
      </c>
      <c r="E2189" s="2" t="s">
        <v>2162</v>
      </c>
      <c r="F2189" s="2" t="s">
        <v>10666</v>
      </c>
      <c r="G2189" s="2" t="str">
        <f>"SR-3157"</f>
        <v>SR-3157</v>
      </c>
      <c r="H2189" s="2" t="s">
        <v>10786</v>
      </c>
      <c r="I2189" s="2" t="s">
        <v>10787</v>
      </c>
      <c r="K2189" s="2" t="s">
        <v>809</v>
      </c>
      <c r="L2189" s="2" t="s">
        <v>157</v>
      </c>
      <c r="M2189" s="2">
        <v>80919.0</v>
      </c>
      <c r="N2189" s="2" t="s">
        <v>21</v>
      </c>
    </row>
    <row r="2190" ht="15.75" customHeight="1">
      <c r="A2190" s="2">
        <v>2014.0</v>
      </c>
      <c r="B2190" s="2" t="s">
        <v>2024</v>
      </c>
      <c r="C2190" s="2" t="s">
        <v>2025</v>
      </c>
      <c r="D2190" s="2" t="str">
        <f>"303-594-8378"</f>
        <v>303-594-8378</v>
      </c>
      <c r="E2190" s="2" t="s">
        <v>2026</v>
      </c>
      <c r="F2190" s="2" t="s">
        <v>1965</v>
      </c>
      <c r="G2190" s="2" t="str">
        <f>"SR-730"</f>
        <v>SR-730</v>
      </c>
      <c r="H2190" s="2" t="s">
        <v>2027</v>
      </c>
      <c r="I2190" s="2" t="s">
        <v>2028</v>
      </c>
      <c r="K2190" s="2" t="s">
        <v>1054</v>
      </c>
      <c r="L2190" s="2" t="s">
        <v>157</v>
      </c>
      <c r="M2190" s="2">
        <v>80138.0</v>
      </c>
      <c r="N2190" s="2" t="s">
        <v>21</v>
      </c>
    </row>
    <row r="2191" ht="15.75" customHeight="1">
      <c r="A2191" s="2">
        <v>2014.0</v>
      </c>
      <c r="B2191" s="2" t="s">
        <v>10788</v>
      </c>
      <c r="C2191" s="2" t="s">
        <v>10789</v>
      </c>
      <c r="D2191" s="2" t="str">
        <f>"214-516-2618"</f>
        <v>214-516-2618</v>
      </c>
      <c r="E2191" s="2" t="s">
        <v>4206</v>
      </c>
      <c r="F2191" s="2" t="s">
        <v>10790</v>
      </c>
      <c r="G2191" s="2" t="str">
        <f>"SR-3146"</f>
        <v>SR-3146</v>
      </c>
      <c r="H2191" s="2" t="s">
        <v>10791</v>
      </c>
      <c r="I2191" s="2" t="s">
        <v>10792</v>
      </c>
      <c r="K2191" s="2" t="s">
        <v>4174</v>
      </c>
      <c r="L2191" s="2" t="s">
        <v>172</v>
      </c>
      <c r="M2191" s="2">
        <v>75056.0</v>
      </c>
      <c r="N2191" s="2" t="s">
        <v>21</v>
      </c>
    </row>
    <row r="2192" ht="15.75" customHeight="1">
      <c r="A2192" s="2">
        <v>2014.0</v>
      </c>
      <c r="B2192" s="2" t="s">
        <v>10793</v>
      </c>
      <c r="C2192" s="2" t="s">
        <v>10794</v>
      </c>
      <c r="D2192" s="2" t="str">
        <f t="shared" ref="D2192:D2193" si="39">"6053522462"</f>
        <v>6053522462</v>
      </c>
      <c r="E2192" s="2" t="s">
        <v>160</v>
      </c>
      <c r="F2192" s="2" t="s">
        <v>10795</v>
      </c>
      <c r="G2192" s="2" t="str">
        <f>"SR-2715"</f>
        <v>SR-2715</v>
      </c>
      <c r="H2192" s="2" t="s">
        <v>10796</v>
      </c>
      <c r="I2192" s="2" t="s">
        <v>10797</v>
      </c>
      <c r="K2192" s="2" t="s">
        <v>10798</v>
      </c>
      <c r="L2192" s="2" t="s">
        <v>920</v>
      </c>
      <c r="M2192" s="2">
        <v>57350.0</v>
      </c>
      <c r="N2192" s="2" t="s">
        <v>21</v>
      </c>
    </row>
    <row r="2193" ht="15.75" customHeight="1">
      <c r="A2193" s="2">
        <v>2014.0</v>
      </c>
      <c r="B2193" s="2" t="s">
        <v>10793</v>
      </c>
      <c r="C2193" s="2" t="s">
        <v>10799</v>
      </c>
      <c r="D2193" s="2" t="str">
        <f t="shared" si="39"/>
        <v>6053522462</v>
      </c>
      <c r="E2193" s="2" t="s">
        <v>9828</v>
      </c>
      <c r="F2193" s="2" t="s">
        <v>10795</v>
      </c>
      <c r="G2193" s="2" t="str">
        <f>"SR-2716"</f>
        <v>SR-2716</v>
      </c>
      <c r="H2193" s="2" t="s">
        <v>10800</v>
      </c>
      <c r="I2193" s="2" t="s">
        <v>10801</v>
      </c>
      <c r="K2193" s="2" t="s">
        <v>10798</v>
      </c>
      <c r="L2193" s="2" t="s">
        <v>920</v>
      </c>
      <c r="M2193" s="2">
        <v>57350.0</v>
      </c>
      <c r="N2193" s="2" t="s">
        <v>21</v>
      </c>
    </row>
    <row r="2194" ht="15.75" customHeight="1">
      <c r="A2194" s="2">
        <v>2014.0</v>
      </c>
      <c r="B2194" s="2" t="s">
        <v>10802</v>
      </c>
      <c r="C2194" s="2" t="s">
        <v>10803</v>
      </c>
      <c r="D2194" s="2" t="str">
        <f t="shared" ref="D2194:D2195" si="40">"585-889-2198"</f>
        <v>585-889-2198</v>
      </c>
      <c r="E2194" s="2" t="s">
        <v>132</v>
      </c>
      <c r="F2194" s="2" t="s">
        <v>2174</v>
      </c>
      <c r="G2194" s="2" t="str">
        <f>"SR-3178"</f>
        <v>SR-3178</v>
      </c>
      <c r="H2194" s="2" t="s">
        <v>10804</v>
      </c>
      <c r="I2194" s="2" t="s">
        <v>10805</v>
      </c>
      <c r="K2194" s="2" t="s">
        <v>2804</v>
      </c>
      <c r="L2194" s="2" t="s">
        <v>142</v>
      </c>
      <c r="M2194" s="2">
        <v>14624.0</v>
      </c>
      <c r="N2194" s="2" t="s">
        <v>21</v>
      </c>
    </row>
    <row r="2195" ht="15.75" customHeight="1">
      <c r="A2195" s="2">
        <v>2014.0</v>
      </c>
      <c r="B2195" s="2" t="s">
        <v>10802</v>
      </c>
      <c r="C2195" s="2" t="s">
        <v>2172</v>
      </c>
      <c r="D2195" s="2" t="str">
        <f t="shared" si="40"/>
        <v>585-889-2198</v>
      </c>
      <c r="E2195" s="2" t="s">
        <v>10806</v>
      </c>
      <c r="F2195" s="2" t="s">
        <v>10807</v>
      </c>
      <c r="G2195" s="2" t="str">
        <f>"SR-3179"</f>
        <v>SR-3179</v>
      </c>
      <c r="H2195" s="2" t="s">
        <v>10808</v>
      </c>
      <c r="I2195" s="2" t="s">
        <v>10805</v>
      </c>
      <c r="K2195" s="2" t="s">
        <v>2804</v>
      </c>
      <c r="L2195" s="2" t="s">
        <v>142</v>
      </c>
      <c r="M2195" s="2">
        <v>14624.0</v>
      </c>
      <c r="N2195" s="2" t="s">
        <v>21</v>
      </c>
    </row>
    <row r="2196" ht="15.75" customHeight="1">
      <c r="A2196" s="2">
        <v>2014.0</v>
      </c>
      <c r="B2196" s="2" t="s">
        <v>10809</v>
      </c>
      <c r="C2196" s="2" t="s">
        <v>10810</v>
      </c>
      <c r="D2196" s="2" t="str">
        <f>"405-863-8720"</f>
        <v>405-863-8720</v>
      </c>
      <c r="E2196" s="2" t="s">
        <v>2243</v>
      </c>
      <c r="F2196" s="2" t="s">
        <v>10811</v>
      </c>
      <c r="G2196" s="2" t="str">
        <f>"SR-2925"</f>
        <v>SR-2925</v>
      </c>
      <c r="H2196" s="2" t="s">
        <v>10812</v>
      </c>
      <c r="I2196" s="2" t="s">
        <v>10813</v>
      </c>
      <c r="K2196" s="2" t="s">
        <v>10814</v>
      </c>
      <c r="L2196" s="2" t="s">
        <v>840</v>
      </c>
      <c r="M2196" s="2">
        <v>73018.0</v>
      </c>
      <c r="N2196" s="2" t="s">
        <v>21</v>
      </c>
    </row>
    <row r="2197" ht="15.75" customHeight="1">
      <c r="A2197" s="2">
        <v>2014.0</v>
      </c>
      <c r="B2197" s="2" t="s">
        <v>10815</v>
      </c>
      <c r="C2197" s="2" t="s">
        <v>10816</v>
      </c>
      <c r="D2197" s="2" t="str">
        <f>"719432-6285"</f>
        <v>719432-6285</v>
      </c>
      <c r="E2197" s="2" t="s">
        <v>2314</v>
      </c>
      <c r="F2197" s="2" t="s">
        <v>10817</v>
      </c>
      <c r="G2197" s="2" t="str">
        <f>"SR-3183"</f>
        <v>SR-3183</v>
      </c>
      <c r="H2197" s="2" t="s">
        <v>10818</v>
      </c>
      <c r="I2197" s="2" t="s">
        <v>10819</v>
      </c>
      <c r="K2197" s="2" t="s">
        <v>809</v>
      </c>
      <c r="L2197" s="2" t="s">
        <v>157</v>
      </c>
      <c r="M2197" s="2">
        <v>80919.0</v>
      </c>
      <c r="N2197" s="2" t="s">
        <v>21</v>
      </c>
    </row>
    <row r="2198" ht="15.75" customHeight="1">
      <c r="A2198" s="2">
        <v>2014.0</v>
      </c>
      <c r="B2198" s="2" t="s">
        <v>10820</v>
      </c>
      <c r="C2198" s="2" t="s">
        <v>10820</v>
      </c>
      <c r="D2198" s="2" t="str">
        <f>"208-830-6390"</f>
        <v>208-830-6390</v>
      </c>
      <c r="E2198" s="2" t="s">
        <v>2162</v>
      </c>
      <c r="F2198" s="2" t="s">
        <v>1811</v>
      </c>
      <c r="G2198" s="2" t="str">
        <f>"SR-3004"</f>
        <v>SR-3004</v>
      </c>
      <c r="H2198" s="2" t="s">
        <v>10821</v>
      </c>
      <c r="I2198" s="2" t="s">
        <v>10822</v>
      </c>
      <c r="K2198" s="2" t="s">
        <v>10823</v>
      </c>
      <c r="L2198" s="2" t="s">
        <v>2613</v>
      </c>
      <c r="M2198" s="2">
        <v>83713.0</v>
      </c>
      <c r="N2198" s="2" t="s">
        <v>21</v>
      </c>
    </row>
    <row r="2199" ht="15.75" customHeight="1">
      <c r="A2199" s="2">
        <v>2014.0</v>
      </c>
      <c r="B2199" s="2" t="s">
        <v>10824</v>
      </c>
      <c r="C2199" s="2" t="s">
        <v>10824</v>
      </c>
      <c r="D2199" s="2" t="str">
        <f>"574-242-8349"</f>
        <v>574-242-8349</v>
      </c>
      <c r="E2199" s="2" t="s">
        <v>10825</v>
      </c>
      <c r="F2199" s="2" t="s">
        <v>10826</v>
      </c>
      <c r="G2199" s="2" t="str">
        <f>"SR-2988"</f>
        <v>SR-2988</v>
      </c>
      <c r="H2199" s="2" t="s">
        <v>10827</v>
      </c>
      <c r="I2199" s="2" t="s">
        <v>10828</v>
      </c>
      <c r="K2199" s="2" t="s">
        <v>10829</v>
      </c>
      <c r="L2199" s="2" t="s">
        <v>149</v>
      </c>
      <c r="M2199" s="2">
        <v>46996.0</v>
      </c>
      <c r="N2199" s="2" t="s">
        <v>21</v>
      </c>
    </row>
    <row r="2200" ht="15.75" customHeight="1">
      <c r="A2200" s="2">
        <v>2014.0</v>
      </c>
      <c r="B2200" s="2" t="s">
        <v>10830</v>
      </c>
      <c r="C2200" s="2" t="s">
        <v>10831</v>
      </c>
      <c r="D2200" s="2" t="str">
        <f>"651-768-0024"</f>
        <v>651-768-0024</v>
      </c>
      <c r="E2200" s="2" t="s">
        <v>301</v>
      </c>
      <c r="F2200" s="2" t="s">
        <v>10832</v>
      </c>
      <c r="G2200" s="2" t="str">
        <f>"SR-3192"</f>
        <v>SR-3192</v>
      </c>
      <c r="H2200" s="2" t="s">
        <v>10833</v>
      </c>
      <c r="I2200" s="2" t="s">
        <v>10834</v>
      </c>
      <c r="K2200" s="2" t="s">
        <v>10835</v>
      </c>
      <c r="L2200" s="2" t="s">
        <v>62</v>
      </c>
      <c r="M2200" s="2">
        <v>55016.0</v>
      </c>
      <c r="N2200" s="2" t="s">
        <v>21</v>
      </c>
    </row>
    <row r="2201" ht="15.75" customHeight="1">
      <c r="A2201" s="2">
        <v>2014.0</v>
      </c>
      <c r="B2201" s="2" t="s">
        <v>10836</v>
      </c>
      <c r="C2201" s="2" t="s">
        <v>10837</v>
      </c>
      <c r="D2201" s="2" t="str">
        <f>"719-321-1593"</f>
        <v>719-321-1593</v>
      </c>
      <c r="E2201" s="2" t="s">
        <v>908</v>
      </c>
      <c r="F2201" s="2" t="s">
        <v>2598</v>
      </c>
      <c r="G2201" s="2" t="str">
        <f>"SR-3106"</f>
        <v>SR-3106</v>
      </c>
      <c r="H2201" s="2" t="s">
        <v>10838</v>
      </c>
      <c r="I2201" s="2" t="s">
        <v>10839</v>
      </c>
      <c r="K2201" s="2" t="s">
        <v>10840</v>
      </c>
      <c r="L2201" s="2" t="s">
        <v>157</v>
      </c>
      <c r="M2201" s="2">
        <v>80864.0</v>
      </c>
      <c r="N2201" s="2" t="s">
        <v>21</v>
      </c>
    </row>
    <row r="2202" ht="15.75" customHeight="1">
      <c r="A2202" s="2">
        <v>2014.0</v>
      </c>
      <c r="B2202" s="2" t="s">
        <v>10841</v>
      </c>
      <c r="C2202" s="2" t="s">
        <v>10841</v>
      </c>
      <c r="D2202" s="2" t="str">
        <f>"4024269406"</f>
        <v>4024269406</v>
      </c>
      <c r="E2202" s="2" t="s">
        <v>752</v>
      </c>
      <c r="F2202" s="2" t="s">
        <v>4978</v>
      </c>
      <c r="G2202" s="2" t="str">
        <f>"SR-3201"</f>
        <v>SR-3201</v>
      </c>
      <c r="H2202" s="2" t="s">
        <v>10842</v>
      </c>
      <c r="I2202" s="2" t="s">
        <v>10843</v>
      </c>
      <c r="K2202" s="2" t="s">
        <v>4981</v>
      </c>
      <c r="L2202" s="2" t="s">
        <v>757</v>
      </c>
      <c r="M2202" s="2">
        <v>68008.0</v>
      </c>
      <c r="N2202" s="2" t="s">
        <v>21</v>
      </c>
    </row>
    <row r="2203" ht="15.75" customHeight="1">
      <c r="A2203" s="2">
        <v>2014.0</v>
      </c>
      <c r="B2203" s="2" t="s">
        <v>10844</v>
      </c>
      <c r="C2203" s="2" t="s">
        <v>10844</v>
      </c>
      <c r="D2203" s="2" t="str">
        <f>"719-424-2727"</f>
        <v>719-424-2727</v>
      </c>
      <c r="E2203" s="2" t="s">
        <v>2263</v>
      </c>
      <c r="F2203" s="2" t="s">
        <v>10845</v>
      </c>
      <c r="G2203" s="2" t="str">
        <f>"SR-3202"</f>
        <v>SR-3202</v>
      </c>
      <c r="H2203" s="2" t="s">
        <v>10846</v>
      </c>
      <c r="I2203" s="2" t="s">
        <v>10847</v>
      </c>
      <c r="K2203" s="2" t="s">
        <v>1398</v>
      </c>
      <c r="L2203" s="2" t="s">
        <v>157</v>
      </c>
      <c r="M2203" s="2">
        <v>80108.0</v>
      </c>
      <c r="N2203" s="2" t="s">
        <v>21</v>
      </c>
    </row>
    <row r="2204" ht="15.75" customHeight="1">
      <c r="A2204" s="2">
        <v>2014.0</v>
      </c>
      <c r="B2204" s="2" t="s">
        <v>10848</v>
      </c>
      <c r="C2204" s="2" t="s">
        <v>10849</v>
      </c>
      <c r="D2204" s="2" t="str">
        <f>"828-524-5052"</f>
        <v>828-524-5052</v>
      </c>
      <c r="E2204" s="2" t="s">
        <v>10850</v>
      </c>
      <c r="F2204" s="2" t="s">
        <v>10851</v>
      </c>
      <c r="G2204" s="2" t="str">
        <f>"SR-3207"</f>
        <v>SR-3207</v>
      </c>
      <c r="H2204" s="2" t="s">
        <v>10852</v>
      </c>
      <c r="I2204" s="2" t="s">
        <v>10853</v>
      </c>
      <c r="K2204" s="2" t="s">
        <v>10854</v>
      </c>
      <c r="L2204" s="2" t="s">
        <v>20</v>
      </c>
      <c r="M2204" s="2">
        <v>28734.0</v>
      </c>
      <c r="N2204" s="2" t="s">
        <v>21</v>
      </c>
    </row>
    <row r="2205" ht="15.75" customHeight="1">
      <c r="A2205" s="2">
        <v>2014.0</v>
      </c>
      <c r="B2205" s="2" t="s">
        <v>10855</v>
      </c>
      <c r="C2205" s="2" t="s">
        <v>10855</v>
      </c>
      <c r="D2205" s="2" t="str">
        <f>"5127518252"</f>
        <v>5127518252</v>
      </c>
      <c r="E2205" s="2" t="s">
        <v>10856</v>
      </c>
      <c r="F2205" s="2" t="s">
        <v>2771</v>
      </c>
      <c r="G2205" s="2" t="str">
        <f>"SR-3204"</f>
        <v>SR-3204</v>
      </c>
      <c r="H2205" s="2" t="s">
        <v>10857</v>
      </c>
      <c r="I2205" s="2" t="s">
        <v>10858</v>
      </c>
      <c r="K2205" s="2" t="s">
        <v>1141</v>
      </c>
      <c r="L2205" s="2" t="s">
        <v>172</v>
      </c>
      <c r="M2205" s="2">
        <v>78746.0</v>
      </c>
      <c r="N2205" s="2" t="s">
        <v>21</v>
      </c>
    </row>
    <row r="2206" ht="15.75" customHeight="1">
      <c r="A2206" s="2">
        <v>2014.0</v>
      </c>
      <c r="B2206" s="2" t="s">
        <v>10859</v>
      </c>
      <c r="C2206" s="2" t="s">
        <v>10859</v>
      </c>
      <c r="D2206" s="2" t="str">
        <f>"(805)7097890"</f>
        <v>(805)7097890</v>
      </c>
      <c r="E2206" s="2" t="s">
        <v>10860</v>
      </c>
      <c r="F2206" s="2" t="s">
        <v>10861</v>
      </c>
      <c r="G2206" s="2" t="str">
        <f>"SR-2938"</f>
        <v>SR-2938</v>
      </c>
      <c r="H2206" s="2" t="s">
        <v>10862</v>
      </c>
      <c r="I2206" s="2" t="s">
        <v>10863</v>
      </c>
      <c r="K2206" s="2" t="s">
        <v>10864</v>
      </c>
      <c r="L2206" s="2" t="s">
        <v>222</v>
      </c>
      <c r="M2206" s="2">
        <v>93420.0</v>
      </c>
      <c r="N2206" s="2" t="s">
        <v>21</v>
      </c>
    </row>
    <row r="2207" ht="15.75" customHeight="1">
      <c r="A2207" s="2">
        <v>2014.0</v>
      </c>
      <c r="B2207" s="2" t="s">
        <v>10865</v>
      </c>
      <c r="C2207" s="2" t="s">
        <v>10866</v>
      </c>
      <c r="D2207" s="2" t="str">
        <f>"7122748754"</f>
        <v>7122748754</v>
      </c>
      <c r="E2207" s="2" t="s">
        <v>2243</v>
      </c>
      <c r="F2207" s="2" t="s">
        <v>10867</v>
      </c>
      <c r="G2207" s="2" t="str">
        <f>"SR-3193"</f>
        <v>SR-3193</v>
      </c>
      <c r="H2207" s="2" t="s">
        <v>10868</v>
      </c>
      <c r="I2207" s="2" t="s">
        <v>10869</v>
      </c>
      <c r="K2207" s="2" t="s">
        <v>10538</v>
      </c>
      <c r="L2207" s="2" t="s">
        <v>560</v>
      </c>
      <c r="M2207" s="2">
        <v>51106.0</v>
      </c>
      <c r="N2207" s="2" t="s">
        <v>21</v>
      </c>
    </row>
    <row r="2208" ht="15.75" customHeight="1">
      <c r="A2208" s="2">
        <v>2014.0</v>
      </c>
      <c r="B2208" s="2" t="s">
        <v>10712</v>
      </c>
      <c r="C2208" s="2" t="s">
        <v>10870</v>
      </c>
      <c r="D2208" s="2" t="str">
        <f>"423-292-5849"</f>
        <v>423-292-5849</v>
      </c>
      <c r="E2208" s="2" t="s">
        <v>1208</v>
      </c>
      <c r="F2208" s="2" t="s">
        <v>10871</v>
      </c>
      <c r="G2208" s="2" t="str">
        <f>"SR-3046"</f>
        <v>SR-3046</v>
      </c>
      <c r="H2208" s="2" t="s">
        <v>10872</v>
      </c>
      <c r="I2208" s="2" t="s">
        <v>10873</v>
      </c>
      <c r="K2208" s="2" t="s">
        <v>10874</v>
      </c>
      <c r="L2208" s="2" t="s">
        <v>279</v>
      </c>
      <c r="M2208" s="2">
        <v>37656.0</v>
      </c>
      <c r="N2208" s="2" t="s">
        <v>21</v>
      </c>
    </row>
    <row r="2209" ht="15.75" customHeight="1">
      <c r="A2209" s="2">
        <v>2014.0</v>
      </c>
      <c r="B2209" s="2" t="s">
        <v>10875</v>
      </c>
      <c r="C2209" s="2" t="s">
        <v>10875</v>
      </c>
      <c r="D2209" s="2" t="str">
        <f>"2293105018"</f>
        <v>2293105018</v>
      </c>
      <c r="E2209" s="2" t="s">
        <v>167</v>
      </c>
      <c r="F2209" s="2" t="s">
        <v>10876</v>
      </c>
      <c r="G2209" s="2" t="str">
        <f>"SR-3214"</f>
        <v>SR-3214</v>
      </c>
      <c r="H2209" s="2" t="s">
        <v>10877</v>
      </c>
      <c r="I2209" s="2" t="s">
        <v>10878</v>
      </c>
      <c r="K2209" s="2" t="s">
        <v>6907</v>
      </c>
      <c r="L2209" s="2" t="s">
        <v>539</v>
      </c>
      <c r="M2209" s="2">
        <v>36879.0</v>
      </c>
      <c r="N2209" s="2" t="s">
        <v>21</v>
      </c>
    </row>
    <row r="2210" ht="15.75" customHeight="1">
      <c r="A2210" s="2">
        <v>2014.0</v>
      </c>
      <c r="B2210" s="2" t="s">
        <v>10879</v>
      </c>
      <c r="C2210" s="2" t="s">
        <v>10880</v>
      </c>
      <c r="D2210" s="2" t="str">
        <f>"954 591-9256"</f>
        <v>954 591-9256</v>
      </c>
      <c r="E2210" s="2" t="s">
        <v>2752</v>
      </c>
      <c r="F2210" s="2" t="s">
        <v>10881</v>
      </c>
      <c r="G2210" s="2" t="str">
        <f>"SR-3217"</f>
        <v>SR-3217</v>
      </c>
      <c r="H2210" s="2" t="s">
        <v>10882</v>
      </c>
      <c r="I2210" s="2" t="s">
        <v>10883</v>
      </c>
      <c r="K2210" s="2" t="s">
        <v>10683</v>
      </c>
      <c r="L2210" s="2" t="s">
        <v>200</v>
      </c>
      <c r="M2210" s="2">
        <v>30324.0</v>
      </c>
      <c r="N2210" s="2" t="s">
        <v>21</v>
      </c>
    </row>
    <row r="2211" ht="15.75" customHeight="1">
      <c r="A2211" s="2">
        <v>2014.0</v>
      </c>
      <c r="B2211" s="2" t="s">
        <v>10884</v>
      </c>
      <c r="C2211" s="2" t="s">
        <v>10885</v>
      </c>
      <c r="D2211" s="2" t="str">
        <f>"954-224-5889"</f>
        <v>954-224-5889</v>
      </c>
      <c r="E2211" s="2" t="s">
        <v>1810</v>
      </c>
      <c r="F2211" s="2" t="s">
        <v>1151</v>
      </c>
      <c r="G2211" s="2" t="str">
        <f>"SR-3216"</f>
        <v>SR-3216</v>
      </c>
      <c r="H2211" s="2" t="s">
        <v>10886</v>
      </c>
      <c r="I2211" s="2" t="s">
        <v>10887</v>
      </c>
      <c r="K2211" s="2" t="s">
        <v>10888</v>
      </c>
      <c r="L2211" s="2" t="s">
        <v>208</v>
      </c>
      <c r="M2211" s="2">
        <v>33073.0</v>
      </c>
      <c r="N2211" s="2" t="s">
        <v>21</v>
      </c>
    </row>
    <row r="2212" ht="15.75" customHeight="1">
      <c r="A2212" s="2">
        <v>2014.0</v>
      </c>
      <c r="B2212" s="2" t="s">
        <v>10889</v>
      </c>
      <c r="C2212" s="2" t="s">
        <v>10890</v>
      </c>
      <c r="D2212" s="2" t="str">
        <f>"4029344928"</f>
        <v>4029344928</v>
      </c>
      <c r="E2212" s="2" t="s">
        <v>485</v>
      </c>
      <c r="F2212" s="2" t="s">
        <v>10891</v>
      </c>
      <c r="G2212" s="2" t="str">
        <f>"SR-3195"</f>
        <v>SR-3195</v>
      </c>
      <c r="H2212" s="2" t="s">
        <v>10892</v>
      </c>
      <c r="I2212" s="2" t="s">
        <v>10893</v>
      </c>
      <c r="K2212" s="2" t="s">
        <v>1470</v>
      </c>
      <c r="L2212" s="2" t="s">
        <v>757</v>
      </c>
      <c r="M2212" s="2">
        <v>68132.0</v>
      </c>
      <c r="N2212" s="2" t="s">
        <v>21</v>
      </c>
    </row>
    <row r="2213" ht="15.75" customHeight="1">
      <c r="A2213" s="2">
        <v>2014.0</v>
      </c>
      <c r="B2213" s="2" t="s">
        <v>10894</v>
      </c>
      <c r="C2213" s="2" t="s">
        <v>10895</v>
      </c>
      <c r="D2213" s="2" t="str">
        <f>"9074510061"</f>
        <v>9074510061</v>
      </c>
      <c r="E2213" s="2" t="s">
        <v>10896</v>
      </c>
      <c r="F2213" s="2" t="s">
        <v>3320</v>
      </c>
      <c r="G2213" s="2" t="str">
        <f>"SR-3184"</f>
        <v>SR-3184</v>
      </c>
      <c r="H2213" s="2" t="s">
        <v>10897</v>
      </c>
      <c r="I2213" s="2" t="s">
        <v>10898</v>
      </c>
      <c r="K2213" s="2" t="s">
        <v>5329</v>
      </c>
      <c r="L2213" s="2" t="s">
        <v>70</v>
      </c>
      <c r="M2213" s="2">
        <v>99709.0</v>
      </c>
      <c r="N2213" s="2" t="s">
        <v>21</v>
      </c>
    </row>
    <row r="2214" ht="15.75" customHeight="1">
      <c r="A2214" s="2">
        <v>2014.0</v>
      </c>
      <c r="B2214" s="2" t="s">
        <v>10899</v>
      </c>
      <c r="C2214" s="2" t="s">
        <v>10900</v>
      </c>
      <c r="D2214" s="2" t="str">
        <f>"763-843-9250"</f>
        <v>763-843-9250</v>
      </c>
      <c r="E2214" s="2" t="s">
        <v>4213</v>
      </c>
      <c r="F2214" s="2" t="s">
        <v>10901</v>
      </c>
      <c r="G2214" s="2" t="str">
        <f>"SR-3071"</f>
        <v>SR-3071</v>
      </c>
      <c r="H2214" s="2" t="s">
        <v>10902</v>
      </c>
      <c r="I2214" s="2" t="s">
        <v>10903</v>
      </c>
      <c r="K2214" s="2" t="s">
        <v>10904</v>
      </c>
      <c r="L2214" s="2" t="s">
        <v>62</v>
      </c>
      <c r="M2214" s="2">
        <v>55313.0</v>
      </c>
      <c r="N2214" s="2" t="s">
        <v>21</v>
      </c>
    </row>
    <row r="2215" ht="15.75" customHeight="1">
      <c r="A2215" s="2">
        <v>2014.0</v>
      </c>
      <c r="B2215" s="2" t="s">
        <v>10905</v>
      </c>
      <c r="C2215" s="2" t="s">
        <v>10906</v>
      </c>
      <c r="D2215" s="2" t="str">
        <f>"402-489-2129"</f>
        <v>402-489-2129</v>
      </c>
      <c r="E2215" s="2" t="s">
        <v>10907</v>
      </c>
      <c r="F2215" s="2" t="s">
        <v>10908</v>
      </c>
      <c r="G2215" s="2" t="str">
        <f>"SR-3224"</f>
        <v>SR-3224</v>
      </c>
      <c r="H2215" s="2" t="s">
        <v>10909</v>
      </c>
      <c r="I2215" s="2" t="s">
        <v>10910</v>
      </c>
      <c r="K2215" s="2" t="s">
        <v>572</v>
      </c>
      <c r="L2215" s="2" t="s">
        <v>757</v>
      </c>
      <c r="M2215" s="2">
        <v>68522.0</v>
      </c>
      <c r="N2215" s="2" t="s">
        <v>21</v>
      </c>
    </row>
    <row r="2216" ht="15.75" customHeight="1">
      <c r="A2216" s="2">
        <v>2014.0</v>
      </c>
      <c r="B2216" s="2" t="s">
        <v>10911</v>
      </c>
      <c r="D2216" s="2" t="str">
        <f>""</f>
        <v/>
      </c>
      <c r="E2216" s="2" t="s">
        <v>2306</v>
      </c>
      <c r="F2216" s="2" t="s">
        <v>44</v>
      </c>
      <c r="G2216" s="2" t="str">
        <f>"SR-3190"</f>
        <v>SR-3190</v>
      </c>
      <c r="H2216" s="2" t="s">
        <v>10912</v>
      </c>
    </row>
    <row r="2217" ht="15.75" customHeight="1">
      <c r="A2217" s="2">
        <v>2014.0</v>
      </c>
      <c r="B2217" s="2" t="s">
        <v>6509</v>
      </c>
      <c r="C2217" s="2" t="s">
        <v>6510</v>
      </c>
      <c r="D2217" s="2" t="str">
        <f>"303-988-7065"</f>
        <v>303-988-7065</v>
      </c>
      <c r="E2217" s="2" t="s">
        <v>1190</v>
      </c>
      <c r="F2217" s="2" t="s">
        <v>6511</v>
      </c>
      <c r="G2217" s="2" t="str">
        <f>"SR-1742"</f>
        <v>SR-1742</v>
      </c>
      <c r="H2217" s="2" t="s">
        <v>6512</v>
      </c>
      <c r="I2217" s="2" t="s">
        <v>6513</v>
      </c>
      <c r="K2217" s="2" t="s">
        <v>6514</v>
      </c>
      <c r="L2217" s="2" t="s">
        <v>157</v>
      </c>
      <c r="M2217" s="2">
        <v>80227.0</v>
      </c>
      <c r="N2217" s="2" t="s">
        <v>21</v>
      </c>
    </row>
    <row r="2218" ht="15.75" customHeight="1">
      <c r="A2218" s="2">
        <v>2014.0</v>
      </c>
      <c r="B2218" s="2" t="s">
        <v>10913</v>
      </c>
      <c r="C2218" s="2" t="s">
        <v>10913</v>
      </c>
      <c r="D2218" s="2" t="str">
        <f>"715-271-8591"</f>
        <v>715-271-8591</v>
      </c>
      <c r="E2218" s="2" t="s">
        <v>1782</v>
      </c>
      <c r="F2218" s="2" t="s">
        <v>10276</v>
      </c>
      <c r="G2218" s="2" t="str">
        <f>"SR-3228"</f>
        <v>SR-3228</v>
      </c>
      <c r="H2218" s="2" t="s">
        <v>10914</v>
      </c>
      <c r="I2218" s="2" t="s">
        <v>10915</v>
      </c>
      <c r="K2218" s="2" t="s">
        <v>9967</v>
      </c>
      <c r="L2218" s="2" t="s">
        <v>193</v>
      </c>
      <c r="M2218" s="2">
        <v>54701.0</v>
      </c>
      <c r="N2218" s="2" t="s">
        <v>21</v>
      </c>
    </row>
    <row r="2219" ht="15.75" customHeight="1">
      <c r="A2219" s="2">
        <v>2014.0</v>
      </c>
      <c r="B2219" s="2" t="s">
        <v>10916</v>
      </c>
      <c r="C2219" s="2" t="s">
        <v>10917</v>
      </c>
      <c r="D2219" s="2" t="str">
        <f>"5094965654"</f>
        <v>5094965654</v>
      </c>
      <c r="E2219" s="2" t="s">
        <v>261</v>
      </c>
      <c r="F2219" s="2" t="s">
        <v>10918</v>
      </c>
      <c r="G2219" s="2" t="str">
        <f>"SR-3230"</f>
        <v>SR-3230</v>
      </c>
      <c r="H2219" s="2" t="s">
        <v>10919</v>
      </c>
      <c r="I2219" s="2" t="s">
        <v>10920</v>
      </c>
      <c r="K2219" s="2" t="s">
        <v>10921</v>
      </c>
      <c r="L2219" s="2" t="s">
        <v>222</v>
      </c>
      <c r="M2219" s="2">
        <v>92055.0</v>
      </c>
      <c r="N2219" s="2" t="s">
        <v>21</v>
      </c>
    </row>
    <row r="2220" ht="15.75" customHeight="1">
      <c r="A2220" s="2">
        <v>2014.0</v>
      </c>
      <c r="B2220" s="2" t="s">
        <v>10922</v>
      </c>
      <c r="C2220" s="2" t="s">
        <v>10923</v>
      </c>
      <c r="D2220" s="2" t="str">
        <f>"9496832229"</f>
        <v>9496832229</v>
      </c>
      <c r="E2220" s="2" t="s">
        <v>288</v>
      </c>
      <c r="F2220" s="2" t="s">
        <v>94</v>
      </c>
      <c r="G2220" s="2" t="str">
        <f>"SR-3187"</f>
        <v>SR-3187</v>
      </c>
      <c r="H2220" s="2" t="s">
        <v>10924</v>
      </c>
      <c r="I2220" s="2" t="s">
        <v>10925</v>
      </c>
      <c r="K2220" s="2" t="s">
        <v>10926</v>
      </c>
      <c r="L2220" s="2" t="s">
        <v>222</v>
      </c>
      <c r="M2220" s="2">
        <v>92691.0</v>
      </c>
      <c r="N2220" s="2" t="s">
        <v>21</v>
      </c>
    </row>
    <row r="2221" ht="15.75" customHeight="1">
      <c r="A2221" s="2">
        <v>2014.0</v>
      </c>
      <c r="B2221" s="2" t="s">
        <v>10927</v>
      </c>
      <c r="C2221" s="2" t="s">
        <v>10928</v>
      </c>
      <c r="D2221" s="2" t="str">
        <f>"830-261-1681"</f>
        <v>830-261-1681</v>
      </c>
      <c r="E2221" s="2" t="s">
        <v>10929</v>
      </c>
      <c r="F2221" s="2" t="s">
        <v>10930</v>
      </c>
      <c r="G2221" s="2" t="str">
        <f>"SR-3234"</f>
        <v>SR-3234</v>
      </c>
      <c r="H2221" s="2" t="s">
        <v>10931</v>
      </c>
      <c r="I2221" s="2" t="s">
        <v>10932</v>
      </c>
      <c r="K2221" s="2" t="s">
        <v>10933</v>
      </c>
      <c r="L2221" s="2" t="s">
        <v>172</v>
      </c>
      <c r="M2221" s="2">
        <v>78801.0</v>
      </c>
      <c r="N2221" s="2" t="s">
        <v>21</v>
      </c>
    </row>
    <row r="2222" ht="15.75" customHeight="1">
      <c r="A2222" s="2">
        <v>2014.0</v>
      </c>
      <c r="B2222" s="2" t="s">
        <v>10934</v>
      </c>
      <c r="C2222" s="2" t="s">
        <v>10934</v>
      </c>
      <c r="D2222" s="2" t="str">
        <f>"586-329-6426"</f>
        <v>586-329-6426</v>
      </c>
      <c r="E2222" s="2" t="s">
        <v>1274</v>
      </c>
      <c r="F2222" s="2" t="s">
        <v>10935</v>
      </c>
      <c r="G2222" s="2" t="str">
        <f>"SR-3019"</f>
        <v>SR-3019</v>
      </c>
      <c r="H2222" s="2" t="s">
        <v>10936</v>
      </c>
      <c r="I2222" s="2" t="s">
        <v>10937</v>
      </c>
      <c r="J2222" s="2" t="s">
        <v>10938</v>
      </c>
      <c r="K2222" s="2" t="s">
        <v>10939</v>
      </c>
      <c r="L2222" s="2" t="s">
        <v>29</v>
      </c>
      <c r="M2222" s="2">
        <v>48045.0</v>
      </c>
      <c r="N2222" s="2" t="s">
        <v>21</v>
      </c>
    </row>
    <row r="2223" ht="15.75" customHeight="1">
      <c r="A2223" s="2">
        <v>2014.0</v>
      </c>
      <c r="B2223" s="2" t="s">
        <v>10940</v>
      </c>
      <c r="C2223" s="2" t="s">
        <v>10941</v>
      </c>
      <c r="D2223" s="2" t="str">
        <f>"623-386-4389"</f>
        <v>623-386-4389</v>
      </c>
      <c r="E2223" s="2" t="s">
        <v>478</v>
      </c>
      <c r="F2223" s="2" t="s">
        <v>10942</v>
      </c>
      <c r="G2223" s="2" t="str">
        <f>"SR-3237"</f>
        <v>SR-3237</v>
      </c>
      <c r="H2223" s="2" t="s">
        <v>10943</v>
      </c>
      <c r="I2223" s="2" t="s">
        <v>10944</v>
      </c>
      <c r="K2223" s="2" t="s">
        <v>10945</v>
      </c>
      <c r="L2223" s="2" t="s">
        <v>422</v>
      </c>
      <c r="M2223" s="2">
        <v>85326.0</v>
      </c>
      <c r="N2223" s="2" t="s">
        <v>21</v>
      </c>
    </row>
    <row r="2224" ht="15.75" customHeight="1">
      <c r="A2224" s="2">
        <v>2014.0</v>
      </c>
      <c r="B2224" s="2" t="s">
        <v>10721</v>
      </c>
      <c r="C2224" s="2" t="s">
        <v>10946</v>
      </c>
      <c r="D2224" s="2" t="str">
        <f>"763-478-7069"</f>
        <v>763-478-7069</v>
      </c>
      <c r="E2224" s="2" t="s">
        <v>100</v>
      </c>
      <c r="F2224" s="2" t="s">
        <v>10723</v>
      </c>
      <c r="G2224" s="2" t="str">
        <f>"SR-3058"</f>
        <v>SR-3058</v>
      </c>
      <c r="H2224" s="2" t="s">
        <v>10947</v>
      </c>
      <c r="I2224" s="2" t="s">
        <v>10725</v>
      </c>
      <c r="K2224" s="2" t="s">
        <v>10726</v>
      </c>
      <c r="L2224" s="2" t="s">
        <v>62</v>
      </c>
      <c r="M2224" s="2">
        <v>55376.0</v>
      </c>
      <c r="N2224" s="2" t="s">
        <v>21</v>
      </c>
    </row>
    <row r="2225" ht="15.75" customHeight="1">
      <c r="A2225" s="2">
        <v>2014.0</v>
      </c>
      <c r="B2225" s="2" t="s">
        <v>10948</v>
      </c>
      <c r="C2225" s="2" t="s">
        <v>10948</v>
      </c>
      <c r="D2225" s="2" t="str">
        <f>"8152274509"</f>
        <v>8152274509</v>
      </c>
      <c r="E2225" s="2" t="s">
        <v>10949</v>
      </c>
      <c r="F2225" s="2" t="s">
        <v>10950</v>
      </c>
      <c r="G2225" s="2" t="str">
        <f>"SR-3239"</f>
        <v>SR-3239</v>
      </c>
      <c r="H2225" s="2" t="s">
        <v>10951</v>
      </c>
      <c r="I2225" s="2" t="s">
        <v>10952</v>
      </c>
      <c r="K2225" s="2" t="s">
        <v>382</v>
      </c>
      <c r="L2225" s="2" t="s">
        <v>105</v>
      </c>
      <c r="M2225" s="2">
        <v>61107.0</v>
      </c>
      <c r="N2225" s="2" t="s">
        <v>21</v>
      </c>
    </row>
    <row r="2226" ht="15.75" customHeight="1">
      <c r="A2226" s="2">
        <v>2014.0</v>
      </c>
      <c r="B2226" s="2" t="s">
        <v>10953</v>
      </c>
      <c r="C2226" s="2" t="s">
        <v>10954</v>
      </c>
      <c r="D2226" s="2" t="str">
        <f>"6628898038"</f>
        <v>6628898038</v>
      </c>
      <c r="E2226" s="2" t="s">
        <v>1245</v>
      </c>
      <c r="F2226" s="2" t="s">
        <v>10955</v>
      </c>
      <c r="G2226" s="2" t="str">
        <f>"SR-3243"</f>
        <v>SR-3243</v>
      </c>
      <c r="H2226" s="2" t="s">
        <v>10956</v>
      </c>
      <c r="I2226" s="2" t="s">
        <v>10957</v>
      </c>
      <c r="K2226" s="2" t="s">
        <v>2421</v>
      </c>
      <c r="L2226" s="2" t="s">
        <v>1722</v>
      </c>
      <c r="M2226" s="2">
        <v>39705.0</v>
      </c>
      <c r="N2226" s="2" t="s">
        <v>21</v>
      </c>
    </row>
    <row r="2227" ht="15.75" customHeight="1">
      <c r="A2227" s="2">
        <v>2014.0</v>
      </c>
      <c r="B2227" s="2" t="s">
        <v>10953</v>
      </c>
      <c r="C2227" s="2" t="s">
        <v>10958</v>
      </c>
      <c r="D2227" s="2" t="str">
        <f>"662-889-8038"</f>
        <v>662-889-8038</v>
      </c>
      <c r="E2227" s="2" t="s">
        <v>10959</v>
      </c>
      <c r="F2227" s="2" t="s">
        <v>10955</v>
      </c>
      <c r="G2227" s="2" t="str">
        <f>"SR-3244"</f>
        <v>SR-3244</v>
      </c>
      <c r="H2227" s="2" t="s">
        <v>10960</v>
      </c>
      <c r="I2227" s="2" t="s">
        <v>10957</v>
      </c>
      <c r="K2227" s="2" t="s">
        <v>2421</v>
      </c>
      <c r="L2227" s="2" t="s">
        <v>1722</v>
      </c>
      <c r="M2227" s="2">
        <v>39705.0</v>
      </c>
      <c r="N2227" s="2" t="s">
        <v>21</v>
      </c>
    </row>
    <row r="2228" ht="15.75" customHeight="1">
      <c r="A2228" s="2">
        <v>2014.0</v>
      </c>
      <c r="B2228" s="2" t="s">
        <v>10961</v>
      </c>
      <c r="C2228" s="2" t="s">
        <v>10961</v>
      </c>
      <c r="D2228" s="2" t="str">
        <f>"541-660-4147"</f>
        <v>541-660-4147</v>
      </c>
      <c r="E2228" s="2" t="s">
        <v>10962</v>
      </c>
      <c r="F2228" s="2" t="s">
        <v>10963</v>
      </c>
      <c r="G2228" s="2" t="str">
        <f>"SR-3209"</f>
        <v>SR-3209</v>
      </c>
      <c r="H2228" s="2" t="s">
        <v>10964</v>
      </c>
      <c r="I2228" s="2" t="s">
        <v>10965</v>
      </c>
      <c r="K2228" s="2" t="s">
        <v>10966</v>
      </c>
      <c r="L2228" s="2" t="s">
        <v>2389</v>
      </c>
      <c r="M2228" s="2">
        <v>97526.0</v>
      </c>
      <c r="N2228" s="2" t="s">
        <v>21</v>
      </c>
    </row>
    <row r="2229" ht="15.75" customHeight="1">
      <c r="A2229" s="2">
        <v>2014.0</v>
      </c>
      <c r="B2229" s="2" t="s">
        <v>2626</v>
      </c>
      <c r="C2229" s="2" t="s">
        <v>2627</v>
      </c>
      <c r="D2229" s="2" t="str">
        <f>"5152318613"</f>
        <v>5152318613</v>
      </c>
      <c r="E2229" s="2" t="s">
        <v>2628</v>
      </c>
      <c r="F2229" s="2" t="s">
        <v>2629</v>
      </c>
      <c r="G2229" s="2" t="str">
        <f>"SR-888"</f>
        <v>SR-888</v>
      </c>
      <c r="H2229" s="2" t="s">
        <v>2630</v>
      </c>
      <c r="I2229" s="2" t="s">
        <v>2631</v>
      </c>
      <c r="K2229" s="2" t="s">
        <v>2632</v>
      </c>
      <c r="L2229" s="2" t="s">
        <v>560</v>
      </c>
      <c r="M2229" s="2">
        <v>50161.0</v>
      </c>
      <c r="N2229" s="2" t="s">
        <v>21</v>
      </c>
    </row>
    <row r="2230" ht="15.75" customHeight="1">
      <c r="A2230" s="2">
        <v>2014.0</v>
      </c>
      <c r="B2230" s="2" t="s">
        <v>223</v>
      </c>
      <c r="C2230" s="2" t="s">
        <v>224</v>
      </c>
      <c r="D2230" s="2" t="str">
        <f>"4172746139"</f>
        <v>4172746139</v>
      </c>
      <c r="E2230" s="2" t="s">
        <v>225</v>
      </c>
      <c r="F2230" s="2" t="s">
        <v>226</v>
      </c>
      <c r="G2230" s="2" t="str">
        <f>"SR-93"</f>
        <v>SR-93</v>
      </c>
      <c r="H2230" s="2" t="s">
        <v>227</v>
      </c>
      <c r="I2230" s="2" t="s">
        <v>228</v>
      </c>
      <c r="K2230" s="2" t="s">
        <v>229</v>
      </c>
      <c r="L2230" s="2" t="s">
        <v>214</v>
      </c>
      <c r="M2230" s="2">
        <v>65775.0</v>
      </c>
      <c r="N2230" s="2" t="s">
        <v>21</v>
      </c>
    </row>
    <row r="2231" ht="15.75" customHeight="1">
      <c r="A2231" s="2">
        <v>2014.0</v>
      </c>
      <c r="B2231" s="2" t="s">
        <v>10967</v>
      </c>
      <c r="C2231" s="2" t="s">
        <v>10967</v>
      </c>
      <c r="D2231" s="2" t="str">
        <f>"805-395-0453"</f>
        <v>805-395-0453</v>
      </c>
      <c r="E2231" s="2" t="s">
        <v>4406</v>
      </c>
      <c r="F2231" s="2" t="s">
        <v>10968</v>
      </c>
      <c r="G2231" s="2" t="str">
        <f>"SR-3233"</f>
        <v>SR-3233</v>
      </c>
      <c r="H2231" s="2" t="s">
        <v>10969</v>
      </c>
      <c r="I2231" s="2" t="s">
        <v>10970</v>
      </c>
      <c r="K2231" s="2" t="s">
        <v>9967</v>
      </c>
      <c r="L2231" s="2" t="s">
        <v>193</v>
      </c>
      <c r="M2231" s="2">
        <v>54703.0</v>
      </c>
      <c r="N2231" s="2" t="s">
        <v>21</v>
      </c>
    </row>
    <row r="2232" ht="15.75" customHeight="1">
      <c r="A2232" s="2">
        <v>2014.0</v>
      </c>
      <c r="B2232" s="2" t="s">
        <v>10971</v>
      </c>
      <c r="C2232" s="2" t="s">
        <v>10972</v>
      </c>
      <c r="D2232" s="2" t="str">
        <f>"8436877922"</f>
        <v>8436877922</v>
      </c>
      <c r="E2232" s="2" t="s">
        <v>465</v>
      </c>
      <c r="F2232" s="2" t="s">
        <v>10973</v>
      </c>
      <c r="G2232" s="2" t="str">
        <f>"SR-2759"</f>
        <v>SR-2759</v>
      </c>
      <c r="H2232" s="2" t="s">
        <v>10974</v>
      </c>
      <c r="I2232" s="2" t="s">
        <v>10975</v>
      </c>
      <c r="K2232" s="2" t="s">
        <v>10976</v>
      </c>
      <c r="L2232" s="2" t="s">
        <v>55</v>
      </c>
      <c r="M2232" s="2">
        <v>29161.0</v>
      </c>
      <c r="N2232" s="2" t="s">
        <v>21</v>
      </c>
    </row>
    <row r="2233" ht="15.75" customHeight="1">
      <c r="A2233" s="2">
        <v>2014.0</v>
      </c>
      <c r="B2233" s="2" t="s">
        <v>10977</v>
      </c>
      <c r="C2233" s="2" t="s">
        <v>10977</v>
      </c>
      <c r="D2233" s="2" t="str">
        <f>"630-632-1796"</f>
        <v>630-632-1796</v>
      </c>
      <c r="E2233" s="2" t="s">
        <v>4968</v>
      </c>
      <c r="F2233" s="2" t="s">
        <v>10978</v>
      </c>
      <c r="G2233" s="2" t="str">
        <f>"SR-3219"</f>
        <v>SR-3219</v>
      </c>
      <c r="H2233" s="2" t="s">
        <v>10979</v>
      </c>
      <c r="I2233" s="2" t="s">
        <v>10980</v>
      </c>
      <c r="K2233" s="2" t="s">
        <v>10981</v>
      </c>
      <c r="L2233" s="2" t="s">
        <v>105</v>
      </c>
      <c r="M2233" s="2">
        <v>60134.0</v>
      </c>
      <c r="N2233" s="2" t="s">
        <v>21</v>
      </c>
    </row>
    <row r="2234" ht="15.75" customHeight="1">
      <c r="A2234" s="2">
        <v>2014.0</v>
      </c>
      <c r="B2234" s="2" t="s">
        <v>10982</v>
      </c>
      <c r="C2234" s="2" t="s">
        <v>10982</v>
      </c>
      <c r="D2234" s="2" t="str">
        <f>"402-416-5762"</f>
        <v>402-416-5762</v>
      </c>
      <c r="E2234" s="2" t="s">
        <v>167</v>
      </c>
      <c r="F2234" s="2" t="s">
        <v>10983</v>
      </c>
      <c r="G2234" s="2" t="str">
        <f>"SR-2984"</f>
        <v>SR-2984</v>
      </c>
      <c r="H2234" s="2" t="s">
        <v>10984</v>
      </c>
      <c r="I2234" s="2" t="s">
        <v>10985</v>
      </c>
      <c r="K2234" s="2" t="s">
        <v>5248</v>
      </c>
      <c r="L2234" s="2" t="s">
        <v>757</v>
      </c>
      <c r="M2234" s="2">
        <v>68428.0</v>
      </c>
      <c r="N2234" s="2" t="s">
        <v>21</v>
      </c>
    </row>
    <row r="2235" ht="15.75" customHeight="1">
      <c r="A2235" s="2">
        <v>2014.0</v>
      </c>
      <c r="B2235" s="2" t="s">
        <v>2148</v>
      </c>
      <c r="C2235" s="2" t="s">
        <v>2149</v>
      </c>
      <c r="D2235" s="2" t="str">
        <f>"501-259-1000"</f>
        <v>501-259-1000</v>
      </c>
      <c r="E2235" s="2" t="s">
        <v>862</v>
      </c>
      <c r="F2235" s="2" t="s">
        <v>950</v>
      </c>
      <c r="G2235" s="2" t="str">
        <f>"SR-758"</f>
        <v>SR-758</v>
      </c>
      <c r="H2235" s="2" t="s">
        <v>2150</v>
      </c>
      <c r="I2235" s="2" t="s">
        <v>2151</v>
      </c>
      <c r="K2235" s="2" t="s">
        <v>2152</v>
      </c>
      <c r="L2235" s="2" t="s">
        <v>1012</v>
      </c>
      <c r="M2235" s="2">
        <v>72762.0</v>
      </c>
      <c r="N2235" s="2" t="s">
        <v>21</v>
      </c>
    </row>
    <row r="2236" ht="15.75" customHeight="1">
      <c r="A2236" s="2">
        <v>2014.0</v>
      </c>
      <c r="B2236" s="2" t="s">
        <v>10986</v>
      </c>
      <c r="C2236" s="2" t="s">
        <v>10987</v>
      </c>
      <c r="D2236" s="2" t="str">
        <f>"719-243-3561"</f>
        <v>719-243-3561</v>
      </c>
      <c r="E2236" s="2" t="s">
        <v>1548</v>
      </c>
      <c r="F2236" s="2" t="s">
        <v>10988</v>
      </c>
      <c r="G2236" s="2" t="str">
        <f>"SR-2814"</f>
        <v>SR-2814</v>
      </c>
      <c r="H2236" s="2" t="s">
        <v>10989</v>
      </c>
      <c r="I2236" s="2" t="s">
        <v>10990</v>
      </c>
      <c r="K2236" s="2" t="s">
        <v>809</v>
      </c>
      <c r="L2236" s="2" t="s">
        <v>157</v>
      </c>
      <c r="M2236" s="2">
        <v>80906.0</v>
      </c>
      <c r="N2236" s="2" t="s">
        <v>21</v>
      </c>
    </row>
    <row r="2237" ht="15.75" customHeight="1">
      <c r="A2237" s="2">
        <v>2014.0</v>
      </c>
      <c r="B2237" s="2" t="s">
        <v>10986</v>
      </c>
      <c r="C2237" s="2" t="s">
        <v>10991</v>
      </c>
      <c r="D2237" s="2" t="str">
        <f>"360-461-9046"</f>
        <v>360-461-9046</v>
      </c>
      <c r="E2237" s="2" t="s">
        <v>1664</v>
      </c>
      <c r="F2237" s="2" t="s">
        <v>6539</v>
      </c>
      <c r="G2237" s="2" t="str">
        <f>"SR-3257"</f>
        <v>SR-3257</v>
      </c>
      <c r="H2237" s="2" t="s">
        <v>10992</v>
      </c>
      <c r="I2237" s="2" t="s">
        <v>10993</v>
      </c>
      <c r="K2237" s="2" t="s">
        <v>10994</v>
      </c>
      <c r="L2237" s="2" t="s">
        <v>86</v>
      </c>
      <c r="M2237" s="2">
        <v>98362.0</v>
      </c>
      <c r="N2237" s="2" t="s">
        <v>21</v>
      </c>
    </row>
    <row r="2238" ht="15.75" customHeight="1">
      <c r="A2238" s="2">
        <v>2014.0</v>
      </c>
      <c r="B2238" s="2" t="s">
        <v>10995</v>
      </c>
      <c r="D2238" s="2" t="str">
        <f>""</f>
        <v/>
      </c>
      <c r="E2238" s="2" t="s">
        <v>133</v>
      </c>
      <c r="F2238" s="2" t="s">
        <v>10996</v>
      </c>
      <c r="G2238" s="2" t="str">
        <f>"SR-3024"</f>
        <v>SR-3024</v>
      </c>
      <c r="H2238" s="2" t="s">
        <v>10997</v>
      </c>
    </row>
    <row r="2239" ht="15.75" customHeight="1">
      <c r="A2239" s="2">
        <v>2014.0</v>
      </c>
      <c r="B2239" s="2" t="s">
        <v>10998</v>
      </c>
      <c r="C2239" s="2" t="s">
        <v>10999</v>
      </c>
      <c r="D2239" s="2" t="str">
        <f>"3038685116"</f>
        <v>3038685116</v>
      </c>
      <c r="E2239" s="2" t="s">
        <v>3689</v>
      </c>
      <c r="F2239" s="2" t="s">
        <v>2429</v>
      </c>
      <c r="G2239" s="2" t="str">
        <f>"SR-3259"</f>
        <v>SR-3259</v>
      </c>
      <c r="H2239" s="2" t="s">
        <v>11000</v>
      </c>
      <c r="I2239" s="2" t="s">
        <v>11001</v>
      </c>
      <c r="K2239" s="2" t="s">
        <v>519</v>
      </c>
      <c r="L2239" s="2" t="s">
        <v>157</v>
      </c>
      <c r="M2239" s="2">
        <v>80465.0</v>
      </c>
      <c r="N2239" s="2" t="s">
        <v>21</v>
      </c>
    </row>
    <row r="2240" ht="15.75" customHeight="1">
      <c r="A2240" s="2">
        <v>2014.0</v>
      </c>
      <c r="B2240" s="2" t="s">
        <v>11002</v>
      </c>
      <c r="C2240" s="2" t="s">
        <v>11002</v>
      </c>
      <c r="D2240" s="2" t="str">
        <f>"2055651314"</f>
        <v>2055651314</v>
      </c>
      <c r="E2240" s="2" t="s">
        <v>11003</v>
      </c>
      <c r="F2240" s="2" t="s">
        <v>11004</v>
      </c>
      <c r="G2240" s="2" t="str">
        <f>"SR-3147"</f>
        <v>SR-3147</v>
      </c>
      <c r="H2240" s="2" t="s">
        <v>11005</v>
      </c>
      <c r="I2240" s="2" t="s">
        <v>11006</v>
      </c>
      <c r="K2240" s="2" t="s">
        <v>11007</v>
      </c>
      <c r="L2240" s="2" t="s">
        <v>539</v>
      </c>
      <c r="M2240" s="2">
        <v>35007.0</v>
      </c>
      <c r="N2240" s="2" t="s">
        <v>21</v>
      </c>
    </row>
    <row r="2241" ht="15.75" customHeight="1">
      <c r="A2241" s="2">
        <v>2014.0</v>
      </c>
      <c r="B2241" s="2" t="s">
        <v>11008</v>
      </c>
      <c r="C2241" s="2" t="s">
        <v>11009</v>
      </c>
      <c r="D2241" s="2" t="str">
        <f>"949-218-6891"</f>
        <v>949-218-6891</v>
      </c>
      <c r="E2241" s="2" t="s">
        <v>11010</v>
      </c>
      <c r="F2241" s="2" t="s">
        <v>11011</v>
      </c>
      <c r="G2241" s="2" t="str">
        <f>"SR-3254"</f>
        <v>SR-3254</v>
      </c>
      <c r="H2241" s="2" t="s">
        <v>11012</v>
      </c>
      <c r="I2241" s="2" t="s">
        <v>11013</v>
      </c>
      <c r="K2241" s="2" t="s">
        <v>9670</v>
      </c>
      <c r="L2241" s="2" t="s">
        <v>222</v>
      </c>
      <c r="M2241" s="2">
        <v>92673.0</v>
      </c>
      <c r="N2241" s="2" t="s">
        <v>21</v>
      </c>
    </row>
    <row r="2242" ht="15.75" customHeight="1">
      <c r="A2242" s="2">
        <v>2014.0</v>
      </c>
      <c r="B2242" s="2" t="s">
        <v>11014</v>
      </c>
      <c r="C2242" s="2" t="s">
        <v>11015</v>
      </c>
      <c r="D2242" s="2" t="str">
        <f>"9702071517"</f>
        <v>9702071517</v>
      </c>
      <c r="E2242" s="2" t="s">
        <v>1946</v>
      </c>
      <c r="F2242" s="2" t="s">
        <v>8787</v>
      </c>
      <c r="G2242" s="2" t="str">
        <f>"SR-3126"</f>
        <v>SR-3126</v>
      </c>
      <c r="H2242" s="2" t="s">
        <v>11016</v>
      </c>
      <c r="I2242" s="2" t="s">
        <v>11017</v>
      </c>
      <c r="K2242" s="2" t="s">
        <v>656</v>
      </c>
      <c r="L2242" s="2" t="s">
        <v>157</v>
      </c>
      <c r="M2242" s="2">
        <v>80528.0</v>
      </c>
      <c r="N2242" s="2" t="s">
        <v>21</v>
      </c>
    </row>
    <row r="2243" ht="15.75" customHeight="1">
      <c r="A2243" s="2">
        <v>2014.0</v>
      </c>
      <c r="B2243" s="2" t="s">
        <v>11018</v>
      </c>
      <c r="C2243" s="2" t="s">
        <v>11019</v>
      </c>
      <c r="D2243" s="2" t="str">
        <f>"480-707-2057"</f>
        <v>480-707-2057</v>
      </c>
      <c r="E2243" s="2" t="s">
        <v>4526</v>
      </c>
      <c r="F2243" s="2" t="s">
        <v>11020</v>
      </c>
      <c r="G2243" s="2" t="str">
        <f>"SR-3250"</f>
        <v>SR-3250</v>
      </c>
      <c r="H2243" s="2" t="s">
        <v>11021</v>
      </c>
      <c r="I2243" s="2" t="s">
        <v>11022</v>
      </c>
      <c r="K2243" s="2" t="s">
        <v>2841</v>
      </c>
      <c r="L2243" s="2" t="s">
        <v>422</v>
      </c>
      <c r="M2243" s="2">
        <v>85249.0</v>
      </c>
      <c r="N2243" s="2" t="s">
        <v>21</v>
      </c>
    </row>
    <row r="2244" ht="15.75" customHeight="1">
      <c r="A2244" s="2">
        <v>2014.0</v>
      </c>
      <c r="B2244" s="2" t="s">
        <v>11023</v>
      </c>
      <c r="C2244" s="2" t="s">
        <v>11023</v>
      </c>
      <c r="D2244" s="2" t="str">
        <f>"6053774680"</f>
        <v>6053774680</v>
      </c>
      <c r="E2244" s="2" t="s">
        <v>11024</v>
      </c>
      <c r="F2244" s="2" t="s">
        <v>11025</v>
      </c>
      <c r="G2244" s="2" t="str">
        <f>"SR-3264"</f>
        <v>SR-3264</v>
      </c>
      <c r="H2244" s="2" t="s">
        <v>11026</v>
      </c>
      <c r="I2244" s="2" t="s">
        <v>11027</v>
      </c>
      <c r="K2244" s="2" t="s">
        <v>11028</v>
      </c>
      <c r="L2244" s="2" t="s">
        <v>920</v>
      </c>
      <c r="M2244" s="2">
        <v>57401.0</v>
      </c>
      <c r="N2244" s="2" t="s">
        <v>21</v>
      </c>
    </row>
    <row r="2245" ht="15.75" customHeight="1">
      <c r="A2245" s="2">
        <v>2014.0</v>
      </c>
      <c r="B2245" s="2" t="s">
        <v>11029</v>
      </c>
      <c r="C2245" s="2" t="s">
        <v>11029</v>
      </c>
      <c r="D2245" s="2" t="str">
        <f>"(620)275-7919"</f>
        <v>(620)275-7919</v>
      </c>
      <c r="E2245" s="2" t="s">
        <v>2988</v>
      </c>
      <c r="F2245" s="2" t="s">
        <v>4941</v>
      </c>
      <c r="G2245" s="2" t="str">
        <f>"SR-2806"</f>
        <v>SR-2806</v>
      </c>
      <c r="H2245" s="2" t="s">
        <v>11030</v>
      </c>
      <c r="I2245" s="2" t="s">
        <v>11031</v>
      </c>
      <c r="K2245" s="2" t="s">
        <v>1583</v>
      </c>
      <c r="L2245" s="2" t="s">
        <v>272</v>
      </c>
      <c r="M2245" s="2">
        <v>67846.0</v>
      </c>
      <c r="N2245" s="2" t="s">
        <v>21</v>
      </c>
    </row>
    <row r="2246" ht="15.75" customHeight="1">
      <c r="A2246" s="2">
        <v>2014.0</v>
      </c>
      <c r="B2246" s="2" t="s">
        <v>11032</v>
      </c>
      <c r="C2246" s="2" t="s">
        <v>11032</v>
      </c>
      <c r="D2246" s="2" t="str">
        <f>"916-709-5120"</f>
        <v>916-709-5120</v>
      </c>
      <c r="E2246" s="2" t="s">
        <v>1180</v>
      </c>
      <c r="F2246" s="2" t="s">
        <v>11033</v>
      </c>
      <c r="G2246" s="2" t="str">
        <f>"SR-3265"</f>
        <v>SR-3265</v>
      </c>
      <c r="H2246" s="2" t="s">
        <v>11034</v>
      </c>
      <c r="I2246" s="2" t="s">
        <v>11035</v>
      </c>
      <c r="K2246" s="2" t="s">
        <v>10305</v>
      </c>
      <c r="L2246" s="2" t="s">
        <v>222</v>
      </c>
      <c r="M2246" s="2">
        <v>95828.0</v>
      </c>
      <c r="N2246" s="2" t="s">
        <v>21</v>
      </c>
    </row>
    <row r="2247" ht="15.75" customHeight="1">
      <c r="A2247" s="2">
        <v>2014.0</v>
      </c>
      <c r="B2247" s="2" t="s">
        <v>11036</v>
      </c>
      <c r="C2247" s="2" t="s">
        <v>11037</v>
      </c>
      <c r="D2247" s="2" t="str">
        <f>"5714816901"</f>
        <v>5714816901</v>
      </c>
      <c r="E2247" s="2" t="s">
        <v>8561</v>
      </c>
      <c r="F2247" s="2" t="s">
        <v>11038</v>
      </c>
      <c r="G2247" s="2" t="str">
        <f>"SR-3266"</f>
        <v>SR-3266</v>
      </c>
      <c r="H2247" s="2" t="s">
        <v>11039</v>
      </c>
      <c r="I2247" s="2" t="s">
        <v>11040</v>
      </c>
      <c r="K2247" s="2" t="s">
        <v>11041</v>
      </c>
      <c r="L2247" s="2" t="s">
        <v>165</v>
      </c>
      <c r="M2247" s="2">
        <v>22911.0</v>
      </c>
      <c r="N2247" s="2" t="s">
        <v>21</v>
      </c>
    </row>
    <row r="2248" ht="15.75" customHeight="1">
      <c r="A2248" s="2">
        <v>2014.0</v>
      </c>
      <c r="B2248" s="2" t="s">
        <v>11042</v>
      </c>
      <c r="C2248" s="2" t="s">
        <v>11042</v>
      </c>
      <c r="D2248" s="2" t="str">
        <f>"(605) 353-1362"</f>
        <v>(605) 353-1362</v>
      </c>
      <c r="E2248" s="2" t="s">
        <v>11043</v>
      </c>
      <c r="F2248" s="2" t="s">
        <v>11044</v>
      </c>
      <c r="G2248" s="2" t="str">
        <f>"SR-3268"</f>
        <v>SR-3268</v>
      </c>
      <c r="H2248" s="2" t="s">
        <v>11045</v>
      </c>
      <c r="I2248" s="2" t="s">
        <v>11046</v>
      </c>
      <c r="K2248" s="2" t="s">
        <v>10798</v>
      </c>
      <c r="L2248" s="2" t="s">
        <v>920</v>
      </c>
      <c r="M2248" s="2">
        <v>57350.0</v>
      </c>
      <c r="N2248" s="2" t="s">
        <v>21</v>
      </c>
    </row>
    <row r="2249" ht="15.75" customHeight="1">
      <c r="A2249" s="2">
        <v>2014.0</v>
      </c>
      <c r="B2249" s="2" t="s">
        <v>11047</v>
      </c>
      <c r="C2249" s="2" t="s">
        <v>11047</v>
      </c>
      <c r="D2249" s="2" t="str">
        <f>"719-598-8507"</f>
        <v>719-598-8507</v>
      </c>
      <c r="E2249" s="2" t="s">
        <v>705</v>
      </c>
      <c r="F2249" s="2" t="s">
        <v>2154</v>
      </c>
      <c r="G2249" s="2" t="str">
        <f>"SR-3267"</f>
        <v>SR-3267</v>
      </c>
      <c r="H2249" s="2" t="s">
        <v>11048</v>
      </c>
      <c r="I2249" s="2" t="s">
        <v>2156</v>
      </c>
      <c r="K2249" s="2" t="s">
        <v>809</v>
      </c>
      <c r="L2249" s="2" t="s">
        <v>157</v>
      </c>
      <c r="M2249" s="2">
        <v>80920.0</v>
      </c>
      <c r="N2249" s="2" t="s">
        <v>21</v>
      </c>
    </row>
    <row r="2250" ht="15.75" customHeight="1">
      <c r="A2250" s="2">
        <v>2014.0</v>
      </c>
      <c r="B2250" s="2" t="s">
        <v>11049</v>
      </c>
      <c r="C2250" s="2" t="s">
        <v>11050</v>
      </c>
      <c r="D2250" s="2" t="str">
        <f>"8056465174"</f>
        <v>8056465174</v>
      </c>
      <c r="E2250" s="2" t="s">
        <v>11051</v>
      </c>
      <c r="F2250" s="2" t="s">
        <v>7421</v>
      </c>
      <c r="G2250" s="2" t="str">
        <f>"SR-3154"</f>
        <v>SR-3154</v>
      </c>
      <c r="H2250" s="2" t="s">
        <v>11052</v>
      </c>
      <c r="I2250" s="2" t="s">
        <v>11053</v>
      </c>
      <c r="K2250" s="2" t="s">
        <v>10778</v>
      </c>
      <c r="L2250" s="2" t="s">
        <v>222</v>
      </c>
      <c r="M2250" s="2">
        <v>93023.0</v>
      </c>
      <c r="N2250" s="2" t="s">
        <v>21</v>
      </c>
    </row>
    <row r="2251" ht="15.75" customHeight="1">
      <c r="A2251" s="2">
        <v>2014.0</v>
      </c>
      <c r="B2251" s="2" t="s">
        <v>11054</v>
      </c>
      <c r="C2251" s="2" t="s">
        <v>11055</v>
      </c>
      <c r="D2251" s="2" t="str">
        <f>"804-398-8539"</f>
        <v>804-398-8539</v>
      </c>
      <c r="E2251" s="2" t="s">
        <v>50</v>
      </c>
      <c r="F2251" s="2" t="s">
        <v>11056</v>
      </c>
      <c r="G2251" s="2" t="str">
        <f>"SR-3163"</f>
        <v>SR-3163</v>
      </c>
      <c r="H2251" s="2" t="s">
        <v>11057</v>
      </c>
      <c r="I2251" s="2" t="s">
        <v>11058</v>
      </c>
      <c r="K2251" s="2" t="s">
        <v>866</v>
      </c>
      <c r="L2251" s="2" t="s">
        <v>165</v>
      </c>
      <c r="M2251" s="2">
        <v>23102.0</v>
      </c>
      <c r="N2251" s="2" t="s">
        <v>21</v>
      </c>
    </row>
    <row r="2252" ht="15.75" customHeight="1">
      <c r="A2252" s="2">
        <v>2014.0</v>
      </c>
      <c r="B2252" s="2" t="s">
        <v>11059</v>
      </c>
      <c r="C2252" s="2" t="s">
        <v>11060</v>
      </c>
      <c r="D2252" s="2" t="str">
        <f>"303-680-5551"</f>
        <v>303-680-5551</v>
      </c>
      <c r="E2252" s="2" t="s">
        <v>9010</v>
      </c>
      <c r="F2252" s="2" t="s">
        <v>6078</v>
      </c>
      <c r="G2252" s="2" t="str">
        <f>"SR-3251"</f>
        <v>SR-3251</v>
      </c>
      <c r="H2252" s="2" t="s">
        <v>11061</v>
      </c>
      <c r="I2252" s="2" t="s">
        <v>11062</v>
      </c>
      <c r="K2252" s="2" t="s">
        <v>992</v>
      </c>
      <c r="L2252" s="2" t="s">
        <v>157</v>
      </c>
      <c r="M2252" s="2">
        <v>80015.0</v>
      </c>
      <c r="N2252" s="2" t="s">
        <v>21</v>
      </c>
    </row>
    <row r="2253" ht="15.75" customHeight="1">
      <c r="A2253" s="2">
        <v>2014.0</v>
      </c>
      <c r="B2253" s="2" t="s">
        <v>11063</v>
      </c>
      <c r="C2253" s="2" t="s">
        <v>11064</v>
      </c>
      <c r="D2253" s="2" t="str">
        <f t="shared" ref="D2253:D2254" si="41">"330-933-1349"</f>
        <v>330-933-1349</v>
      </c>
      <c r="E2253" s="2" t="s">
        <v>4129</v>
      </c>
      <c r="F2253" s="2" t="s">
        <v>11065</v>
      </c>
      <c r="G2253" s="2" t="str">
        <f>"SR-3273"</f>
        <v>SR-3273</v>
      </c>
      <c r="H2253" s="2" t="s">
        <v>11066</v>
      </c>
      <c r="I2253" s="2" t="s">
        <v>11067</v>
      </c>
      <c r="K2253" s="2" t="s">
        <v>11068</v>
      </c>
      <c r="L2253" s="2" t="s">
        <v>344</v>
      </c>
      <c r="M2253" s="2">
        <v>44720.0</v>
      </c>
      <c r="N2253" s="2" t="s">
        <v>21</v>
      </c>
    </row>
    <row r="2254" ht="15.75" customHeight="1">
      <c r="A2254" s="2">
        <v>2014.0</v>
      </c>
      <c r="B2254" s="2" t="s">
        <v>11069</v>
      </c>
      <c r="C2254" s="2" t="s">
        <v>11069</v>
      </c>
      <c r="D2254" s="2" t="str">
        <f t="shared" si="41"/>
        <v>330-933-1349</v>
      </c>
      <c r="E2254" s="2" t="s">
        <v>5548</v>
      </c>
      <c r="F2254" s="2" t="s">
        <v>11065</v>
      </c>
      <c r="G2254" s="2" t="str">
        <f>"SR-3276"</f>
        <v>SR-3276</v>
      </c>
      <c r="H2254" s="2" t="s">
        <v>11070</v>
      </c>
      <c r="I2254" s="2" t="s">
        <v>11067</v>
      </c>
      <c r="K2254" s="2" t="s">
        <v>11068</v>
      </c>
      <c r="L2254" s="2" t="s">
        <v>344</v>
      </c>
      <c r="M2254" s="2">
        <v>44720.0</v>
      </c>
      <c r="N2254" s="2" t="s">
        <v>21</v>
      </c>
    </row>
    <row r="2255" ht="15.75" customHeight="1">
      <c r="A2255" s="2">
        <v>2014.0</v>
      </c>
      <c r="B2255" s="2" t="s">
        <v>11071</v>
      </c>
      <c r="C2255" s="2" t="s">
        <v>11072</v>
      </c>
      <c r="D2255" s="2" t="str">
        <f>"780 963-6368"</f>
        <v>780 963-6368</v>
      </c>
      <c r="E2255" s="2" t="s">
        <v>908</v>
      </c>
      <c r="F2255" s="2" t="s">
        <v>11073</v>
      </c>
      <c r="G2255" s="2" t="str">
        <f>"SR-3053"</f>
        <v>SR-3053</v>
      </c>
      <c r="H2255" s="2" t="s">
        <v>11074</v>
      </c>
      <c r="I2255" s="2" t="s">
        <v>11075</v>
      </c>
      <c r="K2255" s="2" t="s">
        <v>11076</v>
      </c>
      <c r="L2255" s="2" t="s">
        <v>2397</v>
      </c>
      <c r="M2255" s="2" t="s">
        <v>11077</v>
      </c>
      <c r="N2255" s="2" t="s">
        <v>1602</v>
      </c>
    </row>
    <row r="2256" ht="15.75" customHeight="1">
      <c r="A2256" s="2">
        <v>2014.0</v>
      </c>
      <c r="B2256" s="2" t="s">
        <v>11071</v>
      </c>
      <c r="C2256" s="2" t="s">
        <v>11078</v>
      </c>
      <c r="D2256" s="2" t="str">
        <f>"780-963-6368"</f>
        <v>780-963-6368</v>
      </c>
      <c r="E2256" s="2" t="s">
        <v>167</v>
      </c>
      <c r="F2256" s="2" t="s">
        <v>11073</v>
      </c>
      <c r="G2256" s="2" t="str">
        <f>"SR-3172"</f>
        <v>SR-3172</v>
      </c>
      <c r="H2256" s="2" t="s">
        <v>11079</v>
      </c>
      <c r="I2256" s="2" t="s">
        <v>11080</v>
      </c>
      <c r="K2256" s="2" t="s">
        <v>11076</v>
      </c>
      <c r="L2256" s="2" t="s">
        <v>2397</v>
      </c>
      <c r="M2256" s="2" t="s">
        <v>11081</v>
      </c>
      <c r="N2256" s="2" t="s">
        <v>1602</v>
      </c>
    </row>
    <row r="2257" ht="15.75" customHeight="1">
      <c r="A2257" s="2">
        <v>2014.0</v>
      </c>
      <c r="B2257" s="2" t="s">
        <v>11082</v>
      </c>
      <c r="C2257" s="2" t="s">
        <v>11082</v>
      </c>
      <c r="D2257" s="2" t="str">
        <f>"757 653 6068"</f>
        <v>757 653 6068</v>
      </c>
      <c r="E2257" s="2" t="s">
        <v>5083</v>
      </c>
      <c r="F2257" s="2" t="s">
        <v>11083</v>
      </c>
      <c r="G2257" s="2" t="str">
        <f>"SR-2366"</f>
        <v>SR-2366</v>
      </c>
      <c r="H2257" s="2" t="s">
        <v>11084</v>
      </c>
      <c r="I2257" s="2" t="s">
        <v>11085</v>
      </c>
      <c r="K2257" s="2" t="s">
        <v>11086</v>
      </c>
      <c r="L2257" s="2" t="s">
        <v>165</v>
      </c>
      <c r="M2257" s="2">
        <v>23866.0</v>
      </c>
      <c r="N2257" s="2" t="s">
        <v>21</v>
      </c>
    </row>
    <row r="2258" ht="15.75" customHeight="1">
      <c r="A2258" s="2">
        <v>2014.0</v>
      </c>
      <c r="B2258" s="2" t="s">
        <v>11082</v>
      </c>
      <c r="C2258" s="2" t="s">
        <v>11087</v>
      </c>
      <c r="D2258" s="2" t="str">
        <f>"757-556-6717"</f>
        <v>757-556-6717</v>
      </c>
      <c r="E2258" s="2" t="s">
        <v>11088</v>
      </c>
      <c r="F2258" s="2" t="s">
        <v>11083</v>
      </c>
      <c r="G2258" s="2" t="str">
        <f>"SR-3282"</f>
        <v>SR-3282</v>
      </c>
      <c r="H2258" s="2" t="s">
        <v>11089</v>
      </c>
      <c r="I2258" s="2" t="s">
        <v>11085</v>
      </c>
      <c r="K2258" s="2" t="s">
        <v>11086</v>
      </c>
      <c r="L2258" s="2" t="s">
        <v>165</v>
      </c>
      <c r="M2258" s="2">
        <v>23866.0</v>
      </c>
      <c r="N2258" s="2" t="s">
        <v>21</v>
      </c>
    </row>
    <row r="2259" ht="15.75" customHeight="1">
      <c r="A2259" s="2">
        <v>2014.0</v>
      </c>
      <c r="B2259" s="2" t="s">
        <v>223</v>
      </c>
      <c r="C2259" s="2" t="s">
        <v>313</v>
      </c>
      <c r="D2259" s="2" t="str">
        <f>"(417) 274-7213"</f>
        <v>(417) 274-7213</v>
      </c>
      <c r="E2259" s="2" t="s">
        <v>314</v>
      </c>
      <c r="F2259" s="2" t="s">
        <v>315</v>
      </c>
      <c r="G2259" s="2" t="str">
        <f>"SR-94"</f>
        <v>SR-94</v>
      </c>
      <c r="H2259" s="2" t="s">
        <v>316</v>
      </c>
      <c r="I2259" s="2" t="s">
        <v>317</v>
      </c>
      <c r="K2259" s="2" t="s">
        <v>229</v>
      </c>
      <c r="L2259" s="2" t="s">
        <v>214</v>
      </c>
      <c r="M2259" s="2">
        <v>65775.0</v>
      </c>
      <c r="N2259" s="2" t="s">
        <v>21</v>
      </c>
    </row>
    <row r="2260" ht="15.75" customHeight="1">
      <c r="A2260" s="2">
        <v>2014.0</v>
      </c>
      <c r="B2260" s="2" t="s">
        <v>11090</v>
      </c>
      <c r="C2260" s="2" t="s">
        <v>11091</v>
      </c>
      <c r="D2260" s="2" t="str">
        <f>"714 373-0758"</f>
        <v>714 373-0758</v>
      </c>
      <c r="E2260" s="2" t="s">
        <v>11092</v>
      </c>
      <c r="F2260" s="2" t="s">
        <v>11093</v>
      </c>
      <c r="G2260" s="2" t="str">
        <f>"SR-3253"</f>
        <v>SR-3253</v>
      </c>
      <c r="H2260" s="2" t="s">
        <v>11094</v>
      </c>
      <c r="I2260" s="2" t="s">
        <v>11095</v>
      </c>
      <c r="K2260" s="2" t="s">
        <v>6915</v>
      </c>
      <c r="L2260" s="2" t="s">
        <v>222</v>
      </c>
      <c r="M2260" s="2">
        <v>92683.0</v>
      </c>
      <c r="N2260" s="2" t="s">
        <v>21</v>
      </c>
    </row>
    <row r="2261" ht="15.75" customHeight="1">
      <c r="A2261" s="2">
        <v>2014.0</v>
      </c>
      <c r="B2261" s="2" t="s">
        <v>11096</v>
      </c>
      <c r="C2261" s="2" t="s">
        <v>11097</v>
      </c>
      <c r="D2261" s="2" t="str">
        <f>"9207380928"</f>
        <v>9207380928</v>
      </c>
      <c r="E2261" s="2" t="s">
        <v>666</v>
      </c>
      <c r="F2261" s="2" t="s">
        <v>11098</v>
      </c>
      <c r="G2261" s="2" t="str">
        <f>"SR-3275"</f>
        <v>SR-3275</v>
      </c>
      <c r="H2261" s="2" t="s">
        <v>11099</v>
      </c>
      <c r="I2261" s="2" t="s">
        <v>11100</v>
      </c>
      <c r="K2261" s="2" t="s">
        <v>7667</v>
      </c>
      <c r="L2261" s="2" t="s">
        <v>193</v>
      </c>
      <c r="M2261" s="2">
        <v>54914.0</v>
      </c>
      <c r="N2261" s="2" t="s">
        <v>21</v>
      </c>
    </row>
    <row r="2262" ht="15.75" customHeight="1">
      <c r="A2262" s="2">
        <v>2014.0</v>
      </c>
      <c r="B2262" s="2" t="s">
        <v>11101</v>
      </c>
      <c r="C2262" s="2" t="s">
        <v>11101</v>
      </c>
      <c r="D2262" s="2" t="str">
        <f>"626-961-8584"</f>
        <v>626-961-8584</v>
      </c>
      <c r="E2262" s="2" t="s">
        <v>1548</v>
      </c>
      <c r="F2262" s="2" t="s">
        <v>11102</v>
      </c>
      <c r="G2262" s="2" t="str">
        <f>"SR-3220"</f>
        <v>SR-3220</v>
      </c>
      <c r="H2262" s="2" t="s">
        <v>11103</v>
      </c>
      <c r="I2262" s="2" t="s">
        <v>11104</v>
      </c>
      <c r="K2262" s="2" t="s">
        <v>11105</v>
      </c>
      <c r="L2262" s="2" t="s">
        <v>222</v>
      </c>
      <c r="M2262" s="2">
        <v>91745.0</v>
      </c>
      <c r="N2262" s="2" t="s">
        <v>21</v>
      </c>
    </row>
    <row r="2263" ht="15.75" customHeight="1">
      <c r="A2263" s="2">
        <v>2014.0</v>
      </c>
      <c r="B2263" s="2" t="s">
        <v>11106</v>
      </c>
      <c r="C2263" s="2" t="s">
        <v>11106</v>
      </c>
      <c r="D2263" s="2" t="str">
        <f>"3167992279"</f>
        <v>3167992279</v>
      </c>
      <c r="E2263" s="2" t="s">
        <v>11107</v>
      </c>
      <c r="F2263" s="2" t="s">
        <v>11108</v>
      </c>
      <c r="G2263" s="2" t="str">
        <f>"SR-2788"</f>
        <v>SR-2788</v>
      </c>
      <c r="H2263" s="2" t="s">
        <v>11109</v>
      </c>
      <c r="I2263" s="2" t="s">
        <v>11110</v>
      </c>
      <c r="K2263" s="2" t="s">
        <v>7767</v>
      </c>
      <c r="L2263" s="2" t="s">
        <v>272</v>
      </c>
      <c r="M2263" s="2">
        <v>67147.0</v>
      </c>
      <c r="N2263" s="2" t="s">
        <v>21</v>
      </c>
    </row>
    <row r="2264" ht="15.75" customHeight="1">
      <c r="A2264" s="2">
        <v>2014.0</v>
      </c>
      <c r="B2264" s="2" t="s">
        <v>11111</v>
      </c>
      <c r="C2264" s="2" t="s">
        <v>11111</v>
      </c>
      <c r="D2264" s="2" t="str">
        <f>"3034038223"</f>
        <v>3034038223</v>
      </c>
      <c r="E2264" s="2" t="s">
        <v>678</v>
      </c>
      <c r="F2264" s="2" t="s">
        <v>9115</v>
      </c>
      <c r="G2264" s="2" t="str">
        <f>"SR-3294"</f>
        <v>SR-3294</v>
      </c>
      <c r="H2264" s="2" t="s">
        <v>11112</v>
      </c>
      <c r="I2264" s="2" t="s">
        <v>11113</v>
      </c>
      <c r="K2264" s="2" t="s">
        <v>1502</v>
      </c>
      <c r="L2264" s="2" t="s">
        <v>157</v>
      </c>
      <c r="M2264" s="2">
        <v>80005.0</v>
      </c>
      <c r="N2264" s="2" t="s">
        <v>21</v>
      </c>
    </row>
    <row r="2265" ht="15.75" customHeight="1">
      <c r="A2265" s="2">
        <v>2014.0</v>
      </c>
      <c r="B2265" s="2" t="s">
        <v>11114</v>
      </c>
      <c r="C2265" s="2" t="s">
        <v>11114</v>
      </c>
      <c r="D2265" s="2" t="str">
        <f>"704-333-4004"</f>
        <v>704-333-4004</v>
      </c>
      <c r="E2265" s="2" t="s">
        <v>778</v>
      </c>
      <c r="F2265" s="2" t="s">
        <v>16</v>
      </c>
      <c r="G2265" s="2" t="str">
        <f>"SR-3278"</f>
        <v>SR-3278</v>
      </c>
      <c r="H2265" s="2" t="s">
        <v>11115</v>
      </c>
      <c r="I2265" s="2" t="s">
        <v>11116</v>
      </c>
      <c r="K2265" s="2" t="s">
        <v>19</v>
      </c>
      <c r="L2265" s="2" t="s">
        <v>20</v>
      </c>
      <c r="M2265" s="2">
        <v>28207.0</v>
      </c>
      <c r="N2265" s="2" t="s">
        <v>21</v>
      </c>
    </row>
    <row r="2266" ht="15.75" customHeight="1">
      <c r="A2266" s="2">
        <v>2014.0</v>
      </c>
      <c r="B2266" s="2" t="s">
        <v>11117</v>
      </c>
      <c r="C2266" s="2" t="s">
        <v>11118</v>
      </c>
      <c r="D2266" s="2" t="str">
        <f>"330-933-1349"</f>
        <v>330-933-1349</v>
      </c>
      <c r="E2266" s="2" t="s">
        <v>11119</v>
      </c>
      <c r="F2266" s="2" t="s">
        <v>11065</v>
      </c>
      <c r="G2266" s="2" t="str">
        <f>"SR-3272"</f>
        <v>SR-3272</v>
      </c>
      <c r="H2266" s="2" t="s">
        <v>11120</v>
      </c>
      <c r="I2266" s="2" t="s">
        <v>11067</v>
      </c>
      <c r="K2266" s="2" t="s">
        <v>11068</v>
      </c>
      <c r="L2266" s="2" t="s">
        <v>344</v>
      </c>
      <c r="M2266" s="2">
        <v>44720.0</v>
      </c>
      <c r="N2266" s="2" t="s">
        <v>21</v>
      </c>
    </row>
    <row r="2267" ht="15.75" customHeight="1">
      <c r="A2267" s="2">
        <v>2014.0</v>
      </c>
      <c r="B2267" s="2" t="s">
        <v>11121</v>
      </c>
      <c r="C2267" s="2" t="s">
        <v>11122</v>
      </c>
      <c r="D2267" s="2" t="str">
        <f>"530-532-4214"</f>
        <v>530-532-4214</v>
      </c>
      <c r="E2267" s="2" t="s">
        <v>4064</v>
      </c>
      <c r="F2267" s="2" t="s">
        <v>11123</v>
      </c>
      <c r="G2267" s="2" t="str">
        <f>"SR-3296"</f>
        <v>SR-3296</v>
      </c>
      <c r="H2267" s="2" t="s">
        <v>11124</v>
      </c>
      <c r="I2267" s="2" t="s">
        <v>11125</v>
      </c>
      <c r="K2267" s="2" t="s">
        <v>11126</v>
      </c>
      <c r="L2267" s="2" t="s">
        <v>222</v>
      </c>
      <c r="M2267" s="2">
        <v>95965.0</v>
      </c>
      <c r="N2267" s="2" t="s">
        <v>21</v>
      </c>
    </row>
    <row r="2268" ht="15.75" customHeight="1">
      <c r="A2268" s="2">
        <v>2014.0</v>
      </c>
      <c r="B2268" s="2" t="s">
        <v>11127</v>
      </c>
      <c r="C2268" s="2" t="s">
        <v>11128</v>
      </c>
      <c r="D2268" s="2" t="str">
        <f>"806-745-0011"</f>
        <v>806-745-0011</v>
      </c>
      <c r="E2268" s="2" t="s">
        <v>428</v>
      </c>
      <c r="F2268" s="2" t="s">
        <v>1151</v>
      </c>
      <c r="G2268" s="2" t="str">
        <f>"SR-3280"</f>
        <v>SR-3280</v>
      </c>
      <c r="H2268" s="2" t="s">
        <v>11129</v>
      </c>
      <c r="I2268" s="2" t="s">
        <v>11130</v>
      </c>
      <c r="K2268" s="2" t="s">
        <v>1121</v>
      </c>
      <c r="L2268" s="2" t="s">
        <v>172</v>
      </c>
      <c r="M2268" s="2">
        <v>79407.0</v>
      </c>
      <c r="N2268" s="2" t="s">
        <v>21</v>
      </c>
    </row>
    <row r="2269" ht="15.75" customHeight="1">
      <c r="A2269" s="2">
        <v>2014.0</v>
      </c>
      <c r="B2269" s="2" t="s">
        <v>6031</v>
      </c>
      <c r="C2269" s="2" t="s">
        <v>6031</v>
      </c>
      <c r="D2269" s="2" t="str">
        <f>"317-758-5504"</f>
        <v>317-758-5504</v>
      </c>
      <c r="E2269" s="2" t="s">
        <v>651</v>
      </c>
      <c r="F2269" s="2" t="s">
        <v>6032</v>
      </c>
      <c r="G2269" s="2" t="str">
        <f>"SR-1648"</f>
        <v>SR-1648</v>
      </c>
      <c r="H2269" s="2" t="s">
        <v>6033</v>
      </c>
      <c r="I2269" s="2" t="s">
        <v>6034</v>
      </c>
      <c r="K2269" s="2" t="s">
        <v>5258</v>
      </c>
      <c r="L2269" s="2" t="s">
        <v>149</v>
      </c>
      <c r="M2269" s="2">
        <v>46034.0</v>
      </c>
      <c r="N2269" s="2" t="s">
        <v>21</v>
      </c>
    </row>
    <row r="2270" ht="15.75" customHeight="1">
      <c r="A2270" s="2">
        <v>2014.0</v>
      </c>
      <c r="B2270" s="2" t="s">
        <v>8522</v>
      </c>
      <c r="D2270" s="2" t="str">
        <f>""</f>
        <v/>
      </c>
      <c r="E2270" s="2" t="s">
        <v>2126</v>
      </c>
      <c r="F2270" s="2" t="s">
        <v>3727</v>
      </c>
      <c r="G2270" s="2" t="str">
        <f>"SR-3152"</f>
        <v>SR-3152</v>
      </c>
      <c r="H2270" s="2" t="s">
        <v>8523</v>
      </c>
      <c r="N2270" s="2" t="s">
        <v>21</v>
      </c>
    </row>
    <row r="2271" ht="15.75" customHeight="1">
      <c r="A2271" s="2">
        <v>2014.0</v>
      </c>
      <c r="B2271" s="2" t="s">
        <v>11131</v>
      </c>
      <c r="C2271" s="2" t="s">
        <v>11132</v>
      </c>
      <c r="D2271" s="2" t="str">
        <f>"251-661-4034"</f>
        <v>251-661-4034</v>
      </c>
      <c r="E2271" s="2" t="s">
        <v>160</v>
      </c>
      <c r="F2271" s="2" t="s">
        <v>11133</v>
      </c>
      <c r="G2271" s="2" t="str">
        <f>"SR-3295"</f>
        <v>SR-3295</v>
      </c>
      <c r="H2271" s="2" t="s">
        <v>11134</v>
      </c>
      <c r="I2271" s="2" t="s">
        <v>11135</v>
      </c>
      <c r="K2271" s="2" t="s">
        <v>5293</v>
      </c>
      <c r="L2271" s="2" t="s">
        <v>539</v>
      </c>
      <c r="M2271" s="2">
        <v>36693.0</v>
      </c>
      <c r="N2271" s="2" t="s">
        <v>21</v>
      </c>
    </row>
    <row r="2272" ht="15.75" customHeight="1">
      <c r="A2272" s="2">
        <v>2014.0</v>
      </c>
      <c r="B2272" s="2" t="s">
        <v>11136</v>
      </c>
      <c r="C2272" s="2" t="s">
        <v>11137</v>
      </c>
      <c r="D2272" s="2" t="str">
        <f>"303985-3362"</f>
        <v>303985-3362</v>
      </c>
      <c r="E2272" s="2" t="s">
        <v>1088</v>
      </c>
      <c r="F2272" s="2" t="s">
        <v>11138</v>
      </c>
      <c r="G2272" s="2" t="str">
        <f>"SR-2851"</f>
        <v>SR-2851</v>
      </c>
      <c r="H2272" s="2" t="s">
        <v>11139</v>
      </c>
      <c r="I2272" s="2" t="s">
        <v>11140</v>
      </c>
      <c r="K2272" s="2" t="s">
        <v>6514</v>
      </c>
      <c r="L2272" s="2" t="s">
        <v>157</v>
      </c>
      <c r="M2272" s="2">
        <v>80227.0</v>
      </c>
      <c r="N2272" s="2" t="s">
        <v>21</v>
      </c>
    </row>
    <row r="2273" ht="15.75" customHeight="1">
      <c r="A2273" s="2">
        <v>2014.0</v>
      </c>
      <c r="B2273" s="2" t="s">
        <v>11141</v>
      </c>
      <c r="C2273" s="2" t="s">
        <v>11141</v>
      </c>
      <c r="D2273" s="2" t="str">
        <f>"901-849-4263"</f>
        <v>901-849-4263</v>
      </c>
      <c r="E2273" s="2" t="s">
        <v>4401</v>
      </c>
      <c r="F2273" s="2" t="s">
        <v>4330</v>
      </c>
      <c r="G2273" s="2" t="str">
        <f>"SR-2950"</f>
        <v>SR-2950</v>
      </c>
      <c r="H2273" s="2" t="s">
        <v>11142</v>
      </c>
      <c r="I2273" s="2" t="s">
        <v>11143</v>
      </c>
      <c r="K2273" s="2" t="s">
        <v>5519</v>
      </c>
      <c r="L2273" s="2" t="s">
        <v>279</v>
      </c>
      <c r="M2273" s="2">
        <v>38119.0</v>
      </c>
      <c r="N2273" s="2" t="s">
        <v>21</v>
      </c>
    </row>
    <row r="2274" ht="15.75" customHeight="1">
      <c r="A2274" s="2">
        <v>2014.0</v>
      </c>
      <c r="B2274" s="2" t="s">
        <v>11144</v>
      </c>
      <c r="C2274" s="2" t="s">
        <v>11144</v>
      </c>
      <c r="D2274" s="2" t="str">
        <f>"9037461773"</f>
        <v>9037461773</v>
      </c>
      <c r="E2274" s="2" t="s">
        <v>11145</v>
      </c>
      <c r="F2274" s="2" t="s">
        <v>11146</v>
      </c>
      <c r="G2274" s="2" t="str">
        <f>"SR-3108"</f>
        <v>SR-3108</v>
      </c>
      <c r="H2274" s="2" t="s">
        <v>11147</v>
      </c>
      <c r="I2274" s="2" t="s">
        <v>11148</v>
      </c>
      <c r="J2274" s="2" t="s">
        <v>11149</v>
      </c>
      <c r="K2274" s="2" t="s">
        <v>4808</v>
      </c>
      <c r="L2274" s="2" t="s">
        <v>172</v>
      </c>
      <c r="M2274" s="2">
        <v>75602.0</v>
      </c>
      <c r="N2274" s="2" t="s">
        <v>21</v>
      </c>
    </row>
    <row r="2275" ht="15.75" customHeight="1">
      <c r="A2275" s="2">
        <v>2014.0</v>
      </c>
      <c r="B2275" s="2" t="s">
        <v>11150</v>
      </c>
      <c r="C2275" s="2" t="s">
        <v>11151</v>
      </c>
      <c r="D2275" s="2" t="str">
        <f>"303-693-9896"</f>
        <v>303-693-9896</v>
      </c>
      <c r="E2275" s="2" t="s">
        <v>6244</v>
      </c>
      <c r="F2275" s="2" t="s">
        <v>11152</v>
      </c>
      <c r="G2275" s="2" t="str">
        <f>"SR-2816"</f>
        <v>SR-2816</v>
      </c>
      <c r="H2275" s="2" t="s">
        <v>11153</v>
      </c>
      <c r="I2275" s="2" t="s">
        <v>11154</v>
      </c>
      <c r="K2275" s="2" t="s">
        <v>992</v>
      </c>
      <c r="L2275" s="2" t="s">
        <v>157</v>
      </c>
      <c r="M2275" s="2">
        <v>80015.0</v>
      </c>
      <c r="N2275" s="2" t="s">
        <v>21</v>
      </c>
    </row>
    <row r="2276" ht="15.75" customHeight="1">
      <c r="A2276" s="2">
        <v>2014.0</v>
      </c>
      <c r="B2276" s="2" t="s">
        <v>11155</v>
      </c>
      <c r="D2276" s="2" t="str">
        <f>""</f>
        <v/>
      </c>
      <c r="E2276" s="2" t="s">
        <v>1015</v>
      </c>
      <c r="F2276" s="2" t="s">
        <v>10319</v>
      </c>
      <c r="G2276" s="2" t="str">
        <f>"SR-3067"</f>
        <v>SR-3067</v>
      </c>
      <c r="H2276" s="2" t="s">
        <v>11156</v>
      </c>
      <c r="N2276" s="2" t="s">
        <v>21</v>
      </c>
    </row>
    <row r="2277" ht="15.75" customHeight="1">
      <c r="A2277" s="2">
        <v>2014.0</v>
      </c>
      <c r="B2277" s="2" t="s">
        <v>11157</v>
      </c>
      <c r="C2277" s="2" t="s">
        <v>11158</v>
      </c>
      <c r="D2277" s="2" t="str">
        <f>"251-661-4034"</f>
        <v>251-661-4034</v>
      </c>
      <c r="E2277" s="2" t="s">
        <v>137</v>
      </c>
      <c r="F2277" s="2" t="s">
        <v>11133</v>
      </c>
      <c r="G2277" s="2" t="str">
        <f>"SR-3299"</f>
        <v>SR-3299</v>
      </c>
      <c r="H2277" s="2" t="s">
        <v>11159</v>
      </c>
      <c r="I2277" s="2" t="s">
        <v>11135</v>
      </c>
      <c r="K2277" s="2" t="s">
        <v>5293</v>
      </c>
      <c r="L2277" s="2" t="s">
        <v>539</v>
      </c>
      <c r="M2277" s="2">
        <v>36693.0</v>
      </c>
      <c r="N2277" s="2" t="s">
        <v>21</v>
      </c>
    </row>
    <row r="2278" ht="15.75" customHeight="1">
      <c r="A2278" s="2">
        <v>2014.0</v>
      </c>
      <c r="B2278" s="2" t="s">
        <v>11160</v>
      </c>
      <c r="C2278" s="2" t="s">
        <v>11161</v>
      </c>
      <c r="D2278" s="2" t="str">
        <f>"7045922231"</f>
        <v>7045922231</v>
      </c>
      <c r="E2278" s="2" t="s">
        <v>1233</v>
      </c>
      <c r="F2278" s="2" t="s">
        <v>386</v>
      </c>
      <c r="G2278" s="2" t="str">
        <f>"SR-3300"</f>
        <v>SR-3300</v>
      </c>
      <c r="H2278" s="2" t="s">
        <v>11162</v>
      </c>
      <c r="I2278" s="2" t="s">
        <v>11163</v>
      </c>
      <c r="K2278" s="2" t="s">
        <v>2494</v>
      </c>
      <c r="L2278" s="2" t="s">
        <v>20</v>
      </c>
      <c r="M2278" s="2">
        <v>28626.0</v>
      </c>
      <c r="N2278" s="2" t="s">
        <v>21</v>
      </c>
    </row>
    <row r="2279" ht="15.75" customHeight="1">
      <c r="A2279" s="2">
        <v>2014.0</v>
      </c>
      <c r="B2279" s="2" t="s">
        <v>11164</v>
      </c>
      <c r="C2279" s="2" t="s">
        <v>11165</v>
      </c>
      <c r="D2279" s="2" t="str">
        <f>"740-542-1040"</f>
        <v>740-542-1040</v>
      </c>
      <c r="E2279" s="2" t="s">
        <v>100</v>
      </c>
      <c r="F2279" s="2" t="s">
        <v>11166</v>
      </c>
      <c r="G2279" s="2" t="str">
        <f>"SR-3283"</f>
        <v>SR-3283</v>
      </c>
      <c r="H2279" s="2" t="s">
        <v>11167</v>
      </c>
      <c r="I2279" s="2" t="s">
        <v>11168</v>
      </c>
      <c r="K2279" s="2" t="s">
        <v>2421</v>
      </c>
      <c r="L2279" s="2" t="s">
        <v>344</v>
      </c>
      <c r="M2279" s="2">
        <v>43204.0</v>
      </c>
      <c r="N2279" s="2" t="s">
        <v>21</v>
      </c>
    </row>
    <row r="2280" ht="15.75" customHeight="1">
      <c r="A2280" s="2">
        <v>2014.0</v>
      </c>
      <c r="B2280" s="2" t="s">
        <v>11169</v>
      </c>
      <c r="C2280" s="2" t="s">
        <v>11170</v>
      </c>
      <c r="D2280" s="2" t="str">
        <f>"614-459-4304"</f>
        <v>614-459-4304</v>
      </c>
      <c r="E2280" s="2" t="s">
        <v>5858</v>
      </c>
      <c r="F2280" s="2" t="s">
        <v>11171</v>
      </c>
      <c r="G2280" s="2" t="str">
        <f>"SR-2832"</f>
        <v>SR-2832</v>
      </c>
      <c r="H2280" s="2" t="s">
        <v>11172</v>
      </c>
      <c r="I2280" s="2" t="s">
        <v>11173</v>
      </c>
      <c r="K2280" s="2" t="s">
        <v>2421</v>
      </c>
      <c r="L2280" s="2" t="s">
        <v>344</v>
      </c>
      <c r="M2280" s="2">
        <v>43235.0</v>
      </c>
      <c r="N2280" s="2" t="s">
        <v>21</v>
      </c>
    </row>
    <row r="2281" ht="15.75" customHeight="1">
      <c r="A2281" s="2">
        <v>2014.0</v>
      </c>
      <c r="B2281" s="2" t="s">
        <v>11174</v>
      </c>
      <c r="C2281" s="2" t="s">
        <v>11175</v>
      </c>
      <c r="D2281" s="2" t="str">
        <f>"804-897-3526"</f>
        <v>804-897-3526</v>
      </c>
      <c r="E2281" s="2" t="s">
        <v>15</v>
      </c>
      <c r="F2281" s="2" t="s">
        <v>11176</v>
      </c>
      <c r="G2281" s="2" t="str">
        <f>"SR-3285"</f>
        <v>SR-3285</v>
      </c>
      <c r="H2281" s="2" t="s">
        <v>11177</v>
      </c>
      <c r="I2281" s="2" t="s">
        <v>11178</v>
      </c>
      <c r="K2281" s="2" t="s">
        <v>11179</v>
      </c>
      <c r="L2281" s="2" t="s">
        <v>165</v>
      </c>
      <c r="M2281" s="2">
        <v>23113.0</v>
      </c>
      <c r="N2281" s="2" t="s">
        <v>21</v>
      </c>
    </row>
    <row r="2282" ht="15.75" customHeight="1">
      <c r="A2282" s="2">
        <v>2014.0</v>
      </c>
      <c r="B2282" s="2" t="s">
        <v>5730</v>
      </c>
      <c r="C2282" s="2" t="s">
        <v>5731</v>
      </c>
      <c r="D2282" s="2" t="str">
        <f>"813-684-3583"</f>
        <v>813-684-3583</v>
      </c>
      <c r="E2282" s="2" t="s">
        <v>5732</v>
      </c>
      <c r="F2282" s="2" t="s">
        <v>543</v>
      </c>
      <c r="G2282" s="2" t="str">
        <f>"SR-1606"</f>
        <v>SR-1606</v>
      </c>
      <c r="H2282" s="2" t="s">
        <v>5733</v>
      </c>
      <c r="I2282" s="2" t="s">
        <v>5734</v>
      </c>
      <c r="K2282" s="2" t="s">
        <v>5683</v>
      </c>
      <c r="L2282" s="2" t="s">
        <v>208</v>
      </c>
      <c r="M2282" s="2">
        <v>33596.0</v>
      </c>
      <c r="N2282" s="2" t="s">
        <v>21</v>
      </c>
    </row>
    <row r="2283" ht="15.75" customHeight="1">
      <c r="A2283" s="2">
        <v>2014.0</v>
      </c>
      <c r="B2283" s="2" t="s">
        <v>5730</v>
      </c>
      <c r="C2283" s="2" t="s">
        <v>5751</v>
      </c>
      <c r="D2283" s="2" t="str">
        <f>"(813) 684-3583"</f>
        <v>(813) 684-3583</v>
      </c>
      <c r="E2283" s="2" t="s">
        <v>225</v>
      </c>
      <c r="F2283" s="2" t="s">
        <v>543</v>
      </c>
      <c r="G2283" s="2" t="str">
        <f>"SR-1609"</f>
        <v>SR-1609</v>
      </c>
      <c r="H2283" s="2" t="s">
        <v>5752</v>
      </c>
      <c r="I2283" s="2" t="s">
        <v>5753</v>
      </c>
      <c r="K2283" s="2" t="s">
        <v>5683</v>
      </c>
      <c r="L2283" s="2" t="s">
        <v>208</v>
      </c>
      <c r="M2283" s="2">
        <v>33596.0</v>
      </c>
      <c r="N2283" s="2" t="s">
        <v>21</v>
      </c>
    </row>
    <row r="2284" ht="15.75" customHeight="1">
      <c r="A2284" s="2">
        <v>2014.0</v>
      </c>
      <c r="B2284" s="2" t="s">
        <v>11180</v>
      </c>
      <c r="C2284" s="2" t="s">
        <v>11180</v>
      </c>
      <c r="D2284" s="2" t="str">
        <f>"3343323696"</f>
        <v>3343323696</v>
      </c>
      <c r="E2284" s="2" t="s">
        <v>955</v>
      </c>
      <c r="F2284" s="2" t="s">
        <v>11181</v>
      </c>
      <c r="G2284" s="2" t="str">
        <f>"SR-2900"</f>
        <v>SR-2900</v>
      </c>
      <c r="H2284" s="2" t="s">
        <v>11182</v>
      </c>
      <c r="I2284" s="2" t="s">
        <v>11183</v>
      </c>
      <c r="K2284" s="2" t="s">
        <v>11184</v>
      </c>
      <c r="L2284" s="2" t="s">
        <v>539</v>
      </c>
      <c r="M2284" s="2">
        <v>36850.0</v>
      </c>
      <c r="N2284" s="2" t="s">
        <v>21</v>
      </c>
    </row>
    <row r="2285" ht="15.75" customHeight="1">
      <c r="A2285" s="2">
        <v>2014.0</v>
      </c>
      <c r="B2285" s="2" t="s">
        <v>11185</v>
      </c>
      <c r="C2285" s="2" t="s">
        <v>11186</v>
      </c>
      <c r="D2285" s="2" t="str">
        <f>"7154687287"</f>
        <v>7154687287</v>
      </c>
      <c r="E2285" s="2" t="s">
        <v>288</v>
      </c>
      <c r="F2285" s="2" t="s">
        <v>2847</v>
      </c>
      <c r="G2285" s="2" t="str">
        <f>"SR-3305"</f>
        <v>SR-3305</v>
      </c>
      <c r="H2285" s="2" t="s">
        <v>11187</v>
      </c>
      <c r="I2285" s="2" t="s">
        <v>11188</v>
      </c>
      <c r="K2285" s="2" t="s">
        <v>11189</v>
      </c>
      <c r="L2285" s="2" t="s">
        <v>193</v>
      </c>
      <c r="M2285" s="2">
        <v>54871.0</v>
      </c>
      <c r="N2285" s="2" t="s">
        <v>21</v>
      </c>
    </row>
    <row r="2286" ht="15.75" customHeight="1">
      <c r="A2286" s="2">
        <v>2014.0</v>
      </c>
      <c r="B2286" s="2" t="s">
        <v>11190</v>
      </c>
      <c r="C2286" s="2" t="s">
        <v>11191</v>
      </c>
      <c r="D2286" s="2" t="str">
        <f>"515-229-9338"</f>
        <v>515-229-9338</v>
      </c>
      <c r="E2286" s="2" t="s">
        <v>817</v>
      </c>
      <c r="F2286" s="2" t="s">
        <v>4839</v>
      </c>
      <c r="G2286" s="2" t="str">
        <f>"SR-3066"</f>
        <v>SR-3066</v>
      </c>
      <c r="H2286" s="2" t="s">
        <v>11192</v>
      </c>
      <c r="I2286" s="2" t="s">
        <v>11193</v>
      </c>
      <c r="K2286" s="2" t="s">
        <v>1996</v>
      </c>
      <c r="L2286" s="2" t="s">
        <v>560</v>
      </c>
      <c r="M2286" s="2">
        <v>50310.0</v>
      </c>
      <c r="N2286" s="2" t="s">
        <v>21</v>
      </c>
    </row>
    <row r="2287" ht="15.75" customHeight="1">
      <c r="A2287" s="2">
        <v>2014.0</v>
      </c>
      <c r="B2287" s="2" t="s">
        <v>11194</v>
      </c>
      <c r="C2287" s="2" t="s">
        <v>11194</v>
      </c>
      <c r="D2287" s="2" t="str">
        <f>"6619324348"</f>
        <v>6619324348</v>
      </c>
      <c r="E2287" s="2" t="s">
        <v>261</v>
      </c>
      <c r="F2287" s="2" t="s">
        <v>11195</v>
      </c>
      <c r="G2287" s="2" t="str">
        <f>"SR-3311"</f>
        <v>SR-3311</v>
      </c>
      <c r="H2287" s="2" t="s">
        <v>11196</v>
      </c>
      <c r="I2287" s="2" t="s">
        <v>11197</v>
      </c>
      <c r="K2287" s="2" t="s">
        <v>11198</v>
      </c>
      <c r="L2287" s="2" t="s">
        <v>222</v>
      </c>
      <c r="M2287" s="2">
        <v>93312.0</v>
      </c>
      <c r="N2287" s="2" t="s">
        <v>21</v>
      </c>
    </row>
    <row r="2288" ht="15.75" customHeight="1">
      <c r="A2288" s="2">
        <v>2014.0</v>
      </c>
      <c r="B2288" s="2" t="s">
        <v>11199</v>
      </c>
      <c r="C2288" s="2" t="s">
        <v>11199</v>
      </c>
      <c r="D2288" s="2" t="str">
        <f>"(970)-333-4666"</f>
        <v>(970)-333-4666</v>
      </c>
      <c r="E2288" s="2" t="s">
        <v>11200</v>
      </c>
      <c r="F2288" s="2" t="s">
        <v>11201</v>
      </c>
      <c r="G2288" s="2" t="str">
        <f>"SR-3287"</f>
        <v>SR-3287</v>
      </c>
      <c r="H2288" s="2" t="s">
        <v>11202</v>
      </c>
      <c r="I2288" s="2" t="s">
        <v>11203</v>
      </c>
      <c r="K2288" s="2" t="s">
        <v>11204</v>
      </c>
      <c r="L2288" s="2" t="s">
        <v>157</v>
      </c>
      <c r="M2288" s="2">
        <v>80498.0</v>
      </c>
      <c r="N2288" s="2" t="s">
        <v>21</v>
      </c>
    </row>
    <row r="2289" ht="15.75" customHeight="1">
      <c r="A2289" s="2">
        <v>2014.0</v>
      </c>
      <c r="B2289" s="2" t="s">
        <v>11205</v>
      </c>
      <c r="C2289" s="2" t="s">
        <v>11206</v>
      </c>
      <c r="D2289" s="2" t="str">
        <f>"5154734318"</f>
        <v>5154734318</v>
      </c>
      <c r="E2289" s="2" t="s">
        <v>843</v>
      </c>
      <c r="F2289" s="2" t="s">
        <v>11207</v>
      </c>
      <c r="G2289" s="2" t="str">
        <f>"SR-3025"</f>
        <v>SR-3025</v>
      </c>
      <c r="H2289" s="2" t="s">
        <v>11208</v>
      </c>
      <c r="I2289" s="2" t="s">
        <v>11209</v>
      </c>
      <c r="K2289" s="2" t="s">
        <v>3050</v>
      </c>
      <c r="L2289" s="2" t="s">
        <v>560</v>
      </c>
      <c r="M2289" s="2">
        <v>50322.0</v>
      </c>
      <c r="N2289" s="2" t="s">
        <v>21</v>
      </c>
    </row>
    <row r="2290" ht="15.75" customHeight="1">
      <c r="A2290" s="2">
        <v>2014.0</v>
      </c>
      <c r="B2290" s="2" t="s">
        <v>11210</v>
      </c>
      <c r="C2290" s="2" t="s">
        <v>11210</v>
      </c>
      <c r="D2290" s="2" t="str">
        <f>"307-764-6070"</f>
        <v>307-764-6070</v>
      </c>
      <c r="E2290" s="2" t="s">
        <v>2243</v>
      </c>
      <c r="F2290" s="2" t="s">
        <v>11211</v>
      </c>
      <c r="G2290" s="2" t="str">
        <f>"SR-3318"</f>
        <v>SR-3318</v>
      </c>
      <c r="H2290" s="2" t="s">
        <v>11212</v>
      </c>
      <c r="I2290" s="2" t="s">
        <v>11213</v>
      </c>
      <c r="K2290" s="2" t="s">
        <v>2771</v>
      </c>
      <c r="L2290" s="2" t="s">
        <v>1540</v>
      </c>
      <c r="M2290" s="2">
        <v>82435.0</v>
      </c>
      <c r="N2290" s="2" t="s">
        <v>21</v>
      </c>
    </row>
    <row r="2291" ht="15.75" customHeight="1">
      <c r="A2291" s="2">
        <v>2014.0</v>
      </c>
      <c r="B2291" s="2" t="s">
        <v>11214</v>
      </c>
      <c r="C2291" s="2" t="s">
        <v>11214</v>
      </c>
      <c r="D2291" s="2" t="str">
        <f>"720-217-9152"</f>
        <v>720-217-9152</v>
      </c>
      <c r="E2291" s="2" t="s">
        <v>11215</v>
      </c>
      <c r="F2291" s="2" t="s">
        <v>2429</v>
      </c>
      <c r="G2291" s="2" t="str">
        <f>"SR-3289"</f>
        <v>SR-3289</v>
      </c>
      <c r="H2291" s="2" t="s">
        <v>11216</v>
      </c>
      <c r="I2291" s="2" t="s">
        <v>11217</v>
      </c>
      <c r="K2291" s="2" t="s">
        <v>1889</v>
      </c>
      <c r="L2291" s="2" t="s">
        <v>157</v>
      </c>
      <c r="M2291" s="2">
        <v>80161.0</v>
      </c>
      <c r="N2291" s="2" t="s">
        <v>21</v>
      </c>
    </row>
    <row r="2292" ht="15.75" customHeight="1">
      <c r="A2292" s="2">
        <v>2014.0</v>
      </c>
      <c r="B2292" s="2" t="s">
        <v>11218</v>
      </c>
      <c r="C2292" s="2" t="s">
        <v>11218</v>
      </c>
      <c r="D2292" s="2" t="str">
        <f>"9165394106"</f>
        <v>9165394106</v>
      </c>
      <c r="E2292" s="2" t="s">
        <v>2752</v>
      </c>
      <c r="F2292" s="2" t="s">
        <v>11219</v>
      </c>
      <c r="G2292" s="2" t="str">
        <f>"SR-3176"</f>
        <v>SR-3176</v>
      </c>
      <c r="H2292" s="2" t="s">
        <v>11220</v>
      </c>
      <c r="I2292" s="2" t="s">
        <v>11221</v>
      </c>
      <c r="K2292" s="2" t="s">
        <v>11222</v>
      </c>
      <c r="L2292" s="2" t="s">
        <v>222</v>
      </c>
      <c r="M2292" s="2">
        <v>94568.0</v>
      </c>
      <c r="N2292" s="2" t="s">
        <v>21</v>
      </c>
    </row>
    <row r="2293" ht="15.75" customHeight="1">
      <c r="A2293" s="2">
        <v>2014.0</v>
      </c>
      <c r="B2293" s="2" t="s">
        <v>11223</v>
      </c>
      <c r="C2293" s="2" t="s">
        <v>2242</v>
      </c>
      <c r="D2293" s="2" t="str">
        <f>"1-(269)-545-0095"</f>
        <v>1-(269)-545-0095</v>
      </c>
      <c r="E2293" s="2" t="s">
        <v>2243</v>
      </c>
      <c r="F2293" s="2" t="s">
        <v>2244</v>
      </c>
      <c r="G2293" s="2" t="str">
        <f>"SR-3323"</f>
        <v>SR-3323</v>
      </c>
      <c r="H2293" s="2" t="s">
        <v>2245</v>
      </c>
      <c r="I2293" s="2" t="s">
        <v>11224</v>
      </c>
      <c r="K2293" s="2" t="s">
        <v>2247</v>
      </c>
      <c r="L2293" s="2" t="s">
        <v>29</v>
      </c>
      <c r="M2293" s="2">
        <v>49113.0</v>
      </c>
      <c r="N2293" s="2" t="s">
        <v>21</v>
      </c>
    </row>
    <row r="2294" ht="15.75" customHeight="1">
      <c r="A2294" s="2">
        <v>2014.0</v>
      </c>
      <c r="B2294" s="2" t="s">
        <v>11225</v>
      </c>
      <c r="C2294" s="2" t="s">
        <v>11226</v>
      </c>
      <c r="D2294" s="2" t="str">
        <f>"7705149797"</f>
        <v>7705149797</v>
      </c>
      <c r="E2294" s="2" t="s">
        <v>1263</v>
      </c>
      <c r="F2294" s="2" t="s">
        <v>11227</v>
      </c>
      <c r="G2294" s="2" t="str">
        <f>"SR-2801"</f>
        <v>SR-2801</v>
      </c>
      <c r="H2294" s="2" t="s">
        <v>11228</v>
      </c>
      <c r="I2294" s="2" t="s">
        <v>11229</v>
      </c>
      <c r="K2294" s="2" t="s">
        <v>4862</v>
      </c>
      <c r="L2294" s="2" t="s">
        <v>200</v>
      </c>
      <c r="M2294" s="2">
        <v>30064.0</v>
      </c>
      <c r="N2294" s="2" t="s">
        <v>21</v>
      </c>
    </row>
    <row r="2295" ht="15.75" customHeight="1">
      <c r="A2295" s="2">
        <v>2014.0</v>
      </c>
      <c r="B2295" s="2" t="s">
        <v>11230</v>
      </c>
      <c r="C2295" s="2" t="s">
        <v>11231</v>
      </c>
      <c r="D2295" s="2" t="str">
        <f>"507 625 2349"</f>
        <v>507 625 2349</v>
      </c>
      <c r="E2295" s="2" t="s">
        <v>11232</v>
      </c>
      <c r="F2295" s="2" t="s">
        <v>11233</v>
      </c>
      <c r="G2295" s="2" t="str">
        <f>"SR-3325"</f>
        <v>SR-3325</v>
      </c>
      <c r="H2295" s="2" t="s">
        <v>11234</v>
      </c>
      <c r="I2295" s="2" t="s">
        <v>11235</v>
      </c>
      <c r="K2295" s="2" t="s">
        <v>11236</v>
      </c>
      <c r="L2295" s="2" t="s">
        <v>62</v>
      </c>
      <c r="M2295" s="2">
        <v>56001.0</v>
      </c>
      <c r="N2295" s="2" t="s">
        <v>21</v>
      </c>
    </row>
    <row r="2296" ht="15.75" customHeight="1">
      <c r="A2296" s="2">
        <v>2014.0</v>
      </c>
      <c r="B2296" s="2" t="s">
        <v>11237</v>
      </c>
      <c r="C2296" s="2" t="s">
        <v>11238</v>
      </c>
      <c r="D2296" s="2" t="str">
        <f>"6052804596"</f>
        <v>6052804596</v>
      </c>
      <c r="E2296" s="2" t="s">
        <v>10860</v>
      </c>
      <c r="F2296" s="2" t="s">
        <v>3411</v>
      </c>
      <c r="G2296" s="2" t="str">
        <f>"SR-3235"</f>
        <v>SR-3235</v>
      </c>
      <c r="H2296" s="2" t="s">
        <v>11239</v>
      </c>
      <c r="I2296" s="2" t="s">
        <v>11240</v>
      </c>
      <c r="K2296" s="2" t="s">
        <v>4355</v>
      </c>
      <c r="L2296" s="2" t="s">
        <v>920</v>
      </c>
      <c r="M2296" s="2">
        <v>57501.0</v>
      </c>
      <c r="N2296" s="2" t="s">
        <v>21</v>
      </c>
    </row>
    <row r="2297" ht="15.75" customHeight="1">
      <c r="A2297" s="2">
        <v>2014.0</v>
      </c>
      <c r="B2297" s="2" t="s">
        <v>11241</v>
      </c>
      <c r="C2297" s="2" t="s">
        <v>11242</v>
      </c>
      <c r="D2297" s="2" t="str">
        <f>"5152520255"</f>
        <v>5152520255</v>
      </c>
      <c r="E2297" s="2" t="s">
        <v>931</v>
      </c>
      <c r="F2297" s="2" t="s">
        <v>4098</v>
      </c>
      <c r="G2297" s="2" t="str">
        <f>"SR-3332"</f>
        <v>SR-3332</v>
      </c>
      <c r="H2297" s="2" t="s">
        <v>11243</v>
      </c>
      <c r="I2297" s="2" t="s">
        <v>11244</v>
      </c>
      <c r="K2297" s="2" t="s">
        <v>11245</v>
      </c>
      <c r="L2297" s="2" t="s">
        <v>560</v>
      </c>
      <c r="M2297" s="2">
        <v>50322.0</v>
      </c>
      <c r="N2297" s="2" t="s">
        <v>21</v>
      </c>
    </row>
    <row r="2298" ht="15.75" customHeight="1">
      <c r="A2298" s="2">
        <v>2014.0</v>
      </c>
      <c r="B2298" s="2" t="s">
        <v>11246</v>
      </c>
      <c r="C2298" s="2" t="s">
        <v>11247</v>
      </c>
      <c r="D2298" s="2" t="str">
        <f>"626-293-8509"</f>
        <v>626-293-8509</v>
      </c>
      <c r="E2298" s="2" t="s">
        <v>81</v>
      </c>
      <c r="F2298" s="2" t="s">
        <v>11248</v>
      </c>
      <c r="G2298" s="2" t="str">
        <f>"SR-3327"</f>
        <v>SR-3327</v>
      </c>
      <c r="H2298" s="2" t="s">
        <v>11249</v>
      </c>
      <c r="I2298" s="2" t="s">
        <v>11250</v>
      </c>
      <c r="K2298" s="2" t="s">
        <v>1121</v>
      </c>
      <c r="L2298" s="2" t="s">
        <v>172</v>
      </c>
      <c r="M2298" s="2">
        <v>79416.0</v>
      </c>
      <c r="N2298" s="2" t="s">
        <v>21</v>
      </c>
    </row>
    <row r="2299" ht="15.75" customHeight="1">
      <c r="A2299" s="2">
        <v>2014.0</v>
      </c>
      <c r="B2299" s="2" t="s">
        <v>11251</v>
      </c>
      <c r="C2299" s="2" t="s">
        <v>11252</v>
      </c>
      <c r="D2299" s="2" t="str">
        <f>"719-203-6506"</f>
        <v>719-203-6506</v>
      </c>
      <c r="E2299" s="2" t="s">
        <v>2912</v>
      </c>
      <c r="F2299" s="2" t="s">
        <v>11253</v>
      </c>
      <c r="G2299" s="2" t="str">
        <f>"SR-3210"</f>
        <v>SR-3210</v>
      </c>
      <c r="H2299" s="2" t="s">
        <v>11254</v>
      </c>
      <c r="I2299" s="2" t="s">
        <v>11255</v>
      </c>
      <c r="K2299" s="2" t="s">
        <v>809</v>
      </c>
      <c r="L2299" s="2" t="s">
        <v>157</v>
      </c>
      <c r="M2299" s="2">
        <v>80920.0</v>
      </c>
      <c r="N2299" s="2" t="s">
        <v>21</v>
      </c>
    </row>
    <row r="2300" ht="15.75" customHeight="1">
      <c r="A2300" s="2">
        <v>2014.0</v>
      </c>
      <c r="B2300" s="2" t="s">
        <v>860</v>
      </c>
      <c r="C2300" s="2" t="s">
        <v>861</v>
      </c>
      <c r="D2300" s="2" t="str">
        <f>"804-749-8438"</f>
        <v>804-749-8438</v>
      </c>
      <c r="E2300" s="2" t="s">
        <v>862</v>
      </c>
      <c r="F2300" s="2" t="s">
        <v>863</v>
      </c>
      <c r="G2300" s="2" t="str">
        <f>"SR-274"</f>
        <v>SR-274</v>
      </c>
      <c r="H2300" s="2" t="s">
        <v>864</v>
      </c>
      <c r="I2300" s="2" t="s">
        <v>865</v>
      </c>
      <c r="K2300" s="2" t="s">
        <v>866</v>
      </c>
      <c r="L2300" s="2" t="s">
        <v>165</v>
      </c>
      <c r="M2300" s="2">
        <v>23102.0</v>
      </c>
      <c r="N2300" s="2" t="s">
        <v>21</v>
      </c>
    </row>
    <row r="2301" ht="15.75" customHeight="1">
      <c r="A2301" s="2">
        <v>2014.0</v>
      </c>
      <c r="B2301" s="2" t="s">
        <v>11256</v>
      </c>
      <c r="C2301" s="2" t="s">
        <v>11256</v>
      </c>
      <c r="D2301" s="2" t="str">
        <f>"3075487060"</f>
        <v>3075487060</v>
      </c>
      <c r="E2301" s="2" t="s">
        <v>553</v>
      </c>
      <c r="F2301" s="2" t="s">
        <v>962</v>
      </c>
      <c r="G2301" s="2" t="str">
        <f>"SR-3336"</f>
        <v>SR-3336</v>
      </c>
      <c r="H2301" s="2" t="s">
        <v>11257</v>
      </c>
      <c r="I2301" s="2" t="s">
        <v>11258</v>
      </c>
      <c r="K2301" s="2" t="s">
        <v>11259</v>
      </c>
      <c r="L2301" s="2" t="s">
        <v>1540</v>
      </c>
      <c r="M2301" s="2">
        <v>82420.0</v>
      </c>
      <c r="N2301" s="2" t="s">
        <v>21</v>
      </c>
    </row>
    <row r="2302" ht="15.75" customHeight="1">
      <c r="A2302" s="2">
        <v>2014.0</v>
      </c>
      <c r="B2302" s="2" t="s">
        <v>11260</v>
      </c>
      <c r="C2302" s="2" t="s">
        <v>11260</v>
      </c>
      <c r="D2302" s="2" t="str">
        <f>"5173884038"</f>
        <v>5173884038</v>
      </c>
      <c r="E2302" s="2" t="s">
        <v>137</v>
      </c>
      <c r="F2302" s="2" t="s">
        <v>956</v>
      </c>
      <c r="G2302" s="2" t="str">
        <f>"SR-3083"</f>
        <v>SR-3083</v>
      </c>
      <c r="H2302" s="2" t="s">
        <v>11261</v>
      </c>
      <c r="I2302" s="2" t="s">
        <v>958</v>
      </c>
      <c r="K2302" s="2" t="s">
        <v>959</v>
      </c>
      <c r="L2302" s="2" t="s">
        <v>29</v>
      </c>
      <c r="M2302" s="2">
        <v>48910.0</v>
      </c>
      <c r="N2302" s="2" t="s">
        <v>21</v>
      </c>
    </row>
    <row r="2303" ht="15.75" customHeight="1">
      <c r="A2303" s="2">
        <v>2014.0</v>
      </c>
      <c r="B2303" s="2" t="s">
        <v>11262</v>
      </c>
      <c r="C2303" s="2" t="s">
        <v>11263</v>
      </c>
      <c r="D2303" s="2" t="str">
        <f>"5159545638"</f>
        <v>5159545638</v>
      </c>
      <c r="E2303" s="2" t="s">
        <v>11264</v>
      </c>
      <c r="F2303" s="2" t="s">
        <v>11265</v>
      </c>
      <c r="G2303" s="2" t="str">
        <f>"SR-3337"</f>
        <v>SR-3337</v>
      </c>
      <c r="H2303" s="2" t="s">
        <v>11266</v>
      </c>
      <c r="I2303" s="2" t="s">
        <v>11267</v>
      </c>
      <c r="K2303" s="2" t="s">
        <v>3050</v>
      </c>
      <c r="L2303" s="2" t="s">
        <v>560</v>
      </c>
      <c r="M2303" s="2">
        <v>50322.0</v>
      </c>
      <c r="N2303" s="2" t="s">
        <v>21</v>
      </c>
    </row>
    <row r="2304" ht="15.75" customHeight="1">
      <c r="A2304" s="2">
        <v>2014.0</v>
      </c>
      <c r="B2304" s="2" t="s">
        <v>11268</v>
      </c>
      <c r="C2304" s="2" t="s">
        <v>11269</v>
      </c>
      <c r="D2304" s="2" t="str">
        <f>"7634163683"</f>
        <v>7634163683</v>
      </c>
      <c r="E2304" s="2" t="s">
        <v>950</v>
      </c>
      <c r="F2304" s="2" t="s">
        <v>11270</v>
      </c>
      <c r="G2304" s="2" t="str">
        <f>"SR-3339"</f>
        <v>SR-3339</v>
      </c>
      <c r="H2304" s="2" t="s">
        <v>11271</v>
      </c>
      <c r="I2304" s="2" t="s">
        <v>11272</v>
      </c>
      <c r="K2304" s="2" t="s">
        <v>1170</v>
      </c>
      <c r="L2304" s="2" t="s">
        <v>62</v>
      </c>
      <c r="M2304" s="2">
        <v>55374.0</v>
      </c>
      <c r="N2304" s="2" t="s">
        <v>21</v>
      </c>
    </row>
    <row r="2305" ht="15.75" customHeight="1">
      <c r="A2305" s="2">
        <v>2014.0</v>
      </c>
      <c r="B2305" s="2" t="s">
        <v>11268</v>
      </c>
      <c r="C2305" s="2" t="s">
        <v>11273</v>
      </c>
      <c r="D2305" s="2" t="str">
        <f>"763-416-3683"</f>
        <v>763-416-3683</v>
      </c>
      <c r="E2305" s="2" t="s">
        <v>10949</v>
      </c>
      <c r="F2305" s="2" t="s">
        <v>11270</v>
      </c>
      <c r="G2305" s="2" t="str">
        <f>"SR-3340"</f>
        <v>SR-3340</v>
      </c>
      <c r="H2305" s="2" t="s">
        <v>11274</v>
      </c>
      <c r="I2305" s="2" t="s">
        <v>11272</v>
      </c>
      <c r="K2305" s="2" t="s">
        <v>1170</v>
      </c>
      <c r="L2305" s="2" t="s">
        <v>62</v>
      </c>
      <c r="M2305" s="2">
        <v>55374.0</v>
      </c>
      <c r="N2305" s="2" t="s">
        <v>21</v>
      </c>
    </row>
    <row r="2306" ht="15.75" customHeight="1">
      <c r="A2306" s="2">
        <v>2014.0</v>
      </c>
      <c r="B2306" s="2" t="s">
        <v>11275</v>
      </c>
      <c r="C2306" s="2" t="s">
        <v>11276</v>
      </c>
      <c r="D2306" s="2" t="str">
        <f>"641-820-1810"</f>
        <v>641-820-1810</v>
      </c>
      <c r="E2306" s="2" t="s">
        <v>908</v>
      </c>
      <c r="F2306" s="2" t="s">
        <v>2561</v>
      </c>
      <c r="G2306" s="2" t="str">
        <f>"SR-3345"</f>
        <v>SR-3345</v>
      </c>
      <c r="H2306" s="2" t="s">
        <v>11277</v>
      </c>
      <c r="I2306" s="2" t="s">
        <v>11278</v>
      </c>
      <c r="K2306" s="2" t="s">
        <v>6168</v>
      </c>
      <c r="L2306" s="2" t="s">
        <v>560</v>
      </c>
      <c r="M2306" s="2">
        <v>50138.0</v>
      </c>
      <c r="N2306" s="2" t="s">
        <v>21</v>
      </c>
    </row>
    <row r="2307" ht="15.75" customHeight="1">
      <c r="A2307" s="2">
        <v>2014.0</v>
      </c>
      <c r="B2307" s="2" t="s">
        <v>11275</v>
      </c>
      <c r="C2307" s="2" t="s">
        <v>11275</v>
      </c>
      <c r="D2307" s="2" t="str">
        <f>"319-461-3461"</f>
        <v>319-461-3461</v>
      </c>
      <c r="E2307" s="2" t="s">
        <v>1208</v>
      </c>
      <c r="F2307" s="2" t="s">
        <v>2561</v>
      </c>
      <c r="G2307" s="2" t="str">
        <f>"SR-3342"</f>
        <v>SR-3342</v>
      </c>
      <c r="H2307" s="2" t="s">
        <v>11279</v>
      </c>
      <c r="I2307" s="2" t="s">
        <v>11278</v>
      </c>
      <c r="K2307" s="2" t="s">
        <v>6168</v>
      </c>
      <c r="L2307" s="2" t="s">
        <v>560</v>
      </c>
      <c r="M2307" s="2">
        <v>50138.0</v>
      </c>
      <c r="N2307" s="2" t="s">
        <v>21</v>
      </c>
    </row>
    <row r="2308" ht="15.75" customHeight="1">
      <c r="A2308" s="2">
        <v>2014.0</v>
      </c>
      <c r="B2308" s="2" t="s">
        <v>11275</v>
      </c>
      <c r="C2308" s="2" t="s">
        <v>11280</v>
      </c>
      <c r="D2308" s="2" t="str">
        <f>"641-820-1043"</f>
        <v>641-820-1043</v>
      </c>
      <c r="E2308" s="2" t="s">
        <v>167</v>
      </c>
      <c r="F2308" s="2" t="s">
        <v>2561</v>
      </c>
      <c r="G2308" s="2" t="str">
        <f>"SR-3344"</f>
        <v>SR-3344</v>
      </c>
      <c r="H2308" s="2" t="s">
        <v>11281</v>
      </c>
      <c r="I2308" s="2" t="s">
        <v>11278</v>
      </c>
      <c r="K2308" s="2" t="s">
        <v>6168</v>
      </c>
      <c r="L2308" s="2" t="s">
        <v>560</v>
      </c>
      <c r="M2308" s="2">
        <v>50138.0</v>
      </c>
      <c r="N2308" s="2" t="s">
        <v>21</v>
      </c>
    </row>
    <row r="2309" ht="15.75" customHeight="1">
      <c r="A2309" s="2">
        <v>2014.0</v>
      </c>
      <c r="B2309" s="2" t="s">
        <v>1873</v>
      </c>
      <c r="C2309" s="2" t="s">
        <v>1874</v>
      </c>
      <c r="D2309" s="2" t="str">
        <f>"8646089100"</f>
        <v>8646089100</v>
      </c>
      <c r="E2309" s="2" t="s">
        <v>590</v>
      </c>
      <c r="F2309" s="2" t="s">
        <v>1875</v>
      </c>
      <c r="G2309" s="2" t="str">
        <f>"SR-591"</f>
        <v>SR-591</v>
      </c>
      <c r="H2309" s="2" t="s">
        <v>1876</v>
      </c>
      <c r="I2309" s="2" t="s">
        <v>1877</v>
      </c>
      <c r="K2309" s="2" t="s">
        <v>1878</v>
      </c>
      <c r="L2309" s="2" t="s">
        <v>55</v>
      </c>
      <c r="M2309" s="2">
        <v>29681.0</v>
      </c>
      <c r="N2309" s="2" t="s">
        <v>21</v>
      </c>
    </row>
    <row r="2310" ht="15.75" customHeight="1">
      <c r="A2310" s="2">
        <v>2014.0</v>
      </c>
      <c r="B2310" s="2" t="s">
        <v>7896</v>
      </c>
      <c r="C2310" s="2" t="s">
        <v>7896</v>
      </c>
      <c r="D2310" s="2" t="str">
        <f>"(575)494-3296"</f>
        <v>(575)494-3296</v>
      </c>
      <c r="E2310" s="2" t="s">
        <v>6490</v>
      </c>
      <c r="F2310" s="2" t="s">
        <v>7897</v>
      </c>
      <c r="G2310" s="2" t="str">
        <f>"SR-958"</f>
        <v>SR-958</v>
      </c>
      <c r="H2310" s="2" t="s">
        <v>7898</v>
      </c>
      <c r="I2310" s="2" t="s">
        <v>7899</v>
      </c>
      <c r="K2310" s="2" t="s">
        <v>7900</v>
      </c>
      <c r="L2310" s="2" t="s">
        <v>789</v>
      </c>
      <c r="M2310" s="2">
        <v>88030.0</v>
      </c>
      <c r="N2310" s="2" t="s">
        <v>21</v>
      </c>
    </row>
    <row r="2311" ht="15.75" customHeight="1">
      <c r="A2311" s="2">
        <v>2014.0</v>
      </c>
      <c r="B2311" s="2" t="s">
        <v>11282</v>
      </c>
      <c r="C2311" s="2" t="s">
        <v>11283</v>
      </c>
      <c r="D2311" s="2" t="str">
        <f>"805-490-3722"</f>
        <v>805-490-3722</v>
      </c>
      <c r="E2311" s="2" t="s">
        <v>2412</v>
      </c>
      <c r="F2311" s="2" t="s">
        <v>5105</v>
      </c>
      <c r="G2311" s="2" t="str">
        <f>"SR-3348"</f>
        <v>SR-3348</v>
      </c>
      <c r="H2311" s="2" t="s">
        <v>11284</v>
      </c>
      <c r="I2311" s="2" t="s">
        <v>11285</v>
      </c>
      <c r="K2311" s="2" t="s">
        <v>3245</v>
      </c>
      <c r="L2311" s="2" t="s">
        <v>222</v>
      </c>
      <c r="M2311" s="2">
        <v>91320.0</v>
      </c>
      <c r="N2311" s="2" t="s">
        <v>21</v>
      </c>
    </row>
    <row r="2312" ht="15.75" customHeight="1">
      <c r="A2312" s="2">
        <v>2014.0</v>
      </c>
      <c r="B2312" s="2" t="s">
        <v>11286</v>
      </c>
      <c r="C2312" s="2" t="s">
        <v>11286</v>
      </c>
      <c r="D2312" s="2" t="str">
        <f>"(757) 604-3314"</f>
        <v>(757) 604-3314</v>
      </c>
      <c r="E2312" s="2" t="s">
        <v>4968</v>
      </c>
      <c r="F2312" s="2" t="s">
        <v>11287</v>
      </c>
      <c r="G2312" s="2" t="str">
        <f>"SR-3351"</f>
        <v>SR-3351</v>
      </c>
      <c r="H2312" s="2" t="s">
        <v>11288</v>
      </c>
      <c r="I2312" s="2" t="s">
        <v>11289</v>
      </c>
      <c r="K2312" s="2" t="s">
        <v>9576</v>
      </c>
      <c r="L2312" s="2" t="s">
        <v>165</v>
      </c>
      <c r="M2312" s="2">
        <v>23320.0</v>
      </c>
      <c r="N2312" s="2" t="s">
        <v>21</v>
      </c>
    </row>
    <row r="2313" ht="15.75" customHeight="1">
      <c r="A2313" s="2">
        <v>2014.0</v>
      </c>
      <c r="B2313" s="2" t="s">
        <v>11290</v>
      </c>
      <c r="C2313" s="2" t="s">
        <v>11290</v>
      </c>
      <c r="D2313" s="2" t="str">
        <f>"865-466-7826"</f>
        <v>865-466-7826</v>
      </c>
      <c r="E2313" s="2" t="s">
        <v>659</v>
      </c>
      <c r="F2313" s="2" t="s">
        <v>5414</v>
      </c>
      <c r="G2313" s="2" t="str">
        <f>"SR-2976"</f>
        <v>SR-2976</v>
      </c>
      <c r="H2313" s="2" t="s">
        <v>11291</v>
      </c>
      <c r="I2313" s="2" t="s">
        <v>11292</v>
      </c>
      <c r="K2313" s="2" t="s">
        <v>11166</v>
      </c>
      <c r="L2313" s="2" t="s">
        <v>279</v>
      </c>
      <c r="M2313" s="2">
        <v>37820.0</v>
      </c>
      <c r="N2313" s="2" t="s">
        <v>21</v>
      </c>
    </row>
    <row r="2314" ht="15.75" customHeight="1">
      <c r="A2314" s="2">
        <v>2014.0</v>
      </c>
      <c r="B2314" s="2" t="s">
        <v>11293</v>
      </c>
      <c r="C2314" s="2" t="s">
        <v>11293</v>
      </c>
      <c r="D2314" s="2" t="str">
        <f>"812-587-5483"</f>
        <v>812-587-5483</v>
      </c>
      <c r="E2314" s="2" t="s">
        <v>11294</v>
      </c>
      <c r="F2314" s="2" t="s">
        <v>538</v>
      </c>
      <c r="G2314" s="2" t="str">
        <f>"SR-3350"</f>
        <v>SR-3350</v>
      </c>
      <c r="H2314" s="2" t="s">
        <v>11295</v>
      </c>
      <c r="I2314" s="2" t="s">
        <v>11296</v>
      </c>
      <c r="K2314" s="2" t="s">
        <v>2421</v>
      </c>
      <c r="L2314" s="2" t="s">
        <v>149</v>
      </c>
      <c r="M2314" s="2">
        <v>47203.0</v>
      </c>
      <c r="N2314" s="2" t="s">
        <v>21</v>
      </c>
    </row>
    <row r="2315" ht="15.75" customHeight="1">
      <c r="A2315" s="2">
        <v>2014.0</v>
      </c>
      <c r="B2315" s="2" t="s">
        <v>11297</v>
      </c>
      <c r="C2315" s="2" t="s">
        <v>11297</v>
      </c>
      <c r="D2315" s="2" t="str">
        <f>"303-791-3822"</f>
        <v>303-791-3822</v>
      </c>
      <c r="E2315" s="2" t="s">
        <v>3597</v>
      </c>
      <c r="F2315" s="2" t="s">
        <v>11298</v>
      </c>
      <c r="G2315" s="2" t="str">
        <f>"SR-3196"</f>
        <v>SR-3196</v>
      </c>
      <c r="H2315" s="2" t="s">
        <v>11299</v>
      </c>
      <c r="I2315" s="2" t="s">
        <v>11300</v>
      </c>
      <c r="K2315" s="2" t="s">
        <v>1398</v>
      </c>
      <c r="L2315" s="2" t="s">
        <v>157</v>
      </c>
      <c r="M2315" s="2">
        <v>80109.0</v>
      </c>
      <c r="N2315" s="2" t="s">
        <v>21</v>
      </c>
    </row>
    <row r="2316" ht="15.75" customHeight="1">
      <c r="A2316" s="2">
        <v>2014.0</v>
      </c>
      <c r="B2316" s="2" t="s">
        <v>11301</v>
      </c>
      <c r="C2316" s="2" t="s">
        <v>11302</v>
      </c>
      <c r="D2316" s="2" t="str">
        <f>"6202020831"</f>
        <v>6202020831</v>
      </c>
      <c r="E2316" s="2" t="s">
        <v>385</v>
      </c>
      <c r="F2316" s="2" t="s">
        <v>7480</v>
      </c>
      <c r="G2316" s="2" t="str">
        <f>"SR-3341"</f>
        <v>SR-3341</v>
      </c>
      <c r="H2316" s="2" t="s">
        <v>11303</v>
      </c>
      <c r="I2316" s="2" t="s">
        <v>11304</v>
      </c>
      <c r="K2316" s="2" t="s">
        <v>2421</v>
      </c>
      <c r="L2316" s="2" t="s">
        <v>272</v>
      </c>
      <c r="M2316" s="2">
        <v>66725.0</v>
      </c>
      <c r="N2316" s="2" t="s">
        <v>21</v>
      </c>
    </row>
    <row r="2317" ht="15.75" customHeight="1">
      <c r="A2317" s="2">
        <v>2014.0</v>
      </c>
      <c r="B2317" s="2" t="s">
        <v>11305</v>
      </c>
      <c r="C2317" s="2" t="s">
        <v>11306</v>
      </c>
      <c r="D2317" s="2" t="str">
        <f>"970-482-4659"</f>
        <v>970-482-4659</v>
      </c>
      <c r="E2317" s="2" t="s">
        <v>373</v>
      </c>
      <c r="F2317" s="2" t="s">
        <v>11307</v>
      </c>
      <c r="G2317" s="2" t="str">
        <f>"SR-3360"</f>
        <v>SR-3360</v>
      </c>
      <c r="H2317" s="2" t="s">
        <v>11308</v>
      </c>
      <c r="I2317" s="2" t="s">
        <v>11309</v>
      </c>
      <c r="K2317" s="2" t="s">
        <v>11310</v>
      </c>
      <c r="L2317" s="2" t="s">
        <v>157</v>
      </c>
      <c r="M2317" s="2">
        <v>80512.0</v>
      </c>
      <c r="N2317" s="2" t="s">
        <v>21</v>
      </c>
    </row>
    <row r="2318" ht="15.75" customHeight="1">
      <c r="A2318" s="2">
        <v>2014.0</v>
      </c>
      <c r="B2318" s="2" t="s">
        <v>11311</v>
      </c>
      <c r="C2318" s="2" t="s">
        <v>11312</v>
      </c>
      <c r="D2318" s="2" t="str">
        <f>"9706822225"</f>
        <v>9706822225</v>
      </c>
      <c r="E2318" s="2" t="s">
        <v>843</v>
      </c>
      <c r="F2318" s="2" t="s">
        <v>11313</v>
      </c>
      <c r="G2318" s="2" t="str">
        <f>"SR-3361"</f>
        <v>SR-3361</v>
      </c>
      <c r="H2318" s="2" t="s">
        <v>11314</v>
      </c>
      <c r="I2318" s="2" t="s">
        <v>11315</v>
      </c>
      <c r="K2318" s="2" t="s">
        <v>1632</v>
      </c>
      <c r="L2318" s="2" t="s">
        <v>157</v>
      </c>
      <c r="M2318" s="2">
        <v>80528.0</v>
      </c>
      <c r="N2318" s="2" t="s">
        <v>21</v>
      </c>
    </row>
    <row r="2319" ht="15.75" customHeight="1">
      <c r="A2319" s="2">
        <v>2014.0</v>
      </c>
      <c r="B2319" s="2" t="s">
        <v>11301</v>
      </c>
      <c r="C2319" s="2" t="s">
        <v>11316</v>
      </c>
      <c r="D2319" s="2" t="str">
        <f>"6203892217"</f>
        <v>6203892217</v>
      </c>
      <c r="E2319" s="2" t="s">
        <v>160</v>
      </c>
      <c r="F2319" s="2" t="s">
        <v>7480</v>
      </c>
      <c r="G2319" s="2" t="str">
        <f>"SR-3069"</f>
        <v>SR-3069</v>
      </c>
      <c r="H2319" s="2" t="s">
        <v>11317</v>
      </c>
      <c r="I2319" s="2" t="s">
        <v>11304</v>
      </c>
      <c r="K2319" s="2" t="s">
        <v>2421</v>
      </c>
      <c r="L2319" s="2" t="s">
        <v>272</v>
      </c>
      <c r="M2319" s="2">
        <v>66725.0</v>
      </c>
      <c r="N2319" s="2" t="s">
        <v>21</v>
      </c>
    </row>
    <row r="2320" ht="15.75" customHeight="1">
      <c r="A2320" s="2">
        <v>2014.0</v>
      </c>
      <c r="B2320" s="2" t="s">
        <v>11318</v>
      </c>
      <c r="C2320" s="2" t="s">
        <v>11318</v>
      </c>
      <c r="D2320" s="2" t="str">
        <f>"402-515-4843"</f>
        <v>402-515-4843</v>
      </c>
      <c r="E2320" s="2" t="s">
        <v>955</v>
      </c>
      <c r="F2320" s="2" t="s">
        <v>11319</v>
      </c>
      <c r="G2320" s="2" t="str">
        <f>"SR-3160"</f>
        <v>SR-3160</v>
      </c>
      <c r="H2320" s="2" t="s">
        <v>11320</v>
      </c>
      <c r="I2320" s="2" t="s">
        <v>11321</v>
      </c>
      <c r="K2320" s="2" t="s">
        <v>1470</v>
      </c>
      <c r="L2320" s="2" t="s">
        <v>757</v>
      </c>
      <c r="M2320" s="2">
        <v>68116.0</v>
      </c>
      <c r="N2320" s="2" t="s">
        <v>21</v>
      </c>
    </row>
    <row r="2321" ht="15.75" customHeight="1">
      <c r="A2321" s="2">
        <v>2014.0</v>
      </c>
      <c r="B2321" s="2" t="s">
        <v>1426</v>
      </c>
      <c r="C2321" s="2" t="s">
        <v>11322</v>
      </c>
      <c r="D2321" s="2" t="str">
        <f>"(540)660-9559"</f>
        <v>(540)660-9559</v>
      </c>
      <c r="E2321" s="2" t="s">
        <v>10638</v>
      </c>
      <c r="F2321" s="2" t="s">
        <v>1428</v>
      </c>
      <c r="G2321" s="2" t="str">
        <f>"SR-3362"</f>
        <v>SR-3362</v>
      </c>
      <c r="H2321" s="2" t="s">
        <v>11323</v>
      </c>
      <c r="I2321" s="2" t="s">
        <v>11324</v>
      </c>
      <c r="K2321" s="2" t="s">
        <v>1431</v>
      </c>
      <c r="L2321" s="2" t="s">
        <v>165</v>
      </c>
      <c r="M2321" s="2">
        <v>22657.0</v>
      </c>
      <c r="N2321" s="2" t="s">
        <v>21</v>
      </c>
    </row>
    <row r="2322" ht="15.75" customHeight="1">
      <c r="A2322" s="2">
        <v>2014.0</v>
      </c>
      <c r="B2322" s="2" t="s">
        <v>11325</v>
      </c>
      <c r="C2322" s="2" t="s">
        <v>11325</v>
      </c>
      <c r="D2322" s="2" t="str">
        <f>"59322479064"</f>
        <v>59322479064</v>
      </c>
      <c r="E2322" s="2" t="s">
        <v>3750</v>
      </c>
      <c r="F2322" s="2" t="s">
        <v>11326</v>
      </c>
      <c r="G2322" s="2" t="str">
        <f>"SR-3320"</f>
        <v>SR-3320</v>
      </c>
      <c r="H2322" s="2" t="s">
        <v>11327</v>
      </c>
      <c r="I2322" s="2" t="s">
        <v>11328</v>
      </c>
      <c r="J2322" s="2" t="s">
        <v>11329</v>
      </c>
      <c r="K2322" s="2" t="s">
        <v>11330</v>
      </c>
      <c r="L2322" s="2" t="s">
        <v>11331</v>
      </c>
      <c r="M2322" s="2">
        <v>170311.0</v>
      </c>
      <c r="N2322" s="2" t="s">
        <v>11332</v>
      </c>
    </row>
    <row r="2323" ht="15.75" customHeight="1">
      <c r="A2323" s="2">
        <v>2014.0</v>
      </c>
      <c r="B2323" s="2" t="s">
        <v>11333</v>
      </c>
      <c r="C2323" s="2" t="s">
        <v>11333</v>
      </c>
      <c r="D2323" s="2" t="str">
        <f>"8067900465"</f>
        <v>8067900465</v>
      </c>
      <c r="E2323" s="2" t="s">
        <v>4584</v>
      </c>
      <c r="F2323" s="2" t="s">
        <v>1702</v>
      </c>
      <c r="G2323" s="2" t="str">
        <f>"SR-3364"</f>
        <v>SR-3364</v>
      </c>
      <c r="H2323" s="2" t="s">
        <v>11334</v>
      </c>
      <c r="I2323" s="2" t="s">
        <v>11335</v>
      </c>
      <c r="K2323" s="2" t="s">
        <v>1121</v>
      </c>
      <c r="L2323" s="2" t="s">
        <v>172</v>
      </c>
      <c r="M2323" s="2">
        <v>79423.0</v>
      </c>
      <c r="N2323" s="2" t="s">
        <v>21</v>
      </c>
    </row>
    <row r="2324" ht="15.75" customHeight="1">
      <c r="A2324" s="2">
        <v>2014.0</v>
      </c>
      <c r="B2324" s="2" t="s">
        <v>11336</v>
      </c>
      <c r="D2324" s="2" t="str">
        <f>""</f>
        <v/>
      </c>
      <c r="E2324" s="2" t="s">
        <v>1529</v>
      </c>
      <c r="F2324" s="2" t="s">
        <v>128</v>
      </c>
      <c r="G2324" s="2" t="str">
        <f>"SR-3365"</f>
        <v>SR-3365</v>
      </c>
      <c r="H2324" s="2" t="s">
        <v>11337</v>
      </c>
      <c r="N2324" s="2" t="s">
        <v>21</v>
      </c>
    </row>
    <row r="2325" ht="15.75" customHeight="1">
      <c r="A2325" s="2">
        <v>2014.0</v>
      </c>
      <c r="B2325" s="2" t="s">
        <v>11338</v>
      </c>
      <c r="C2325" s="2" t="s">
        <v>11339</v>
      </c>
      <c r="D2325" s="2" t="str">
        <f>"770-914-1127"</f>
        <v>770-914-1127</v>
      </c>
      <c r="E2325" s="2" t="s">
        <v>1496</v>
      </c>
      <c r="F2325" s="2" t="s">
        <v>11340</v>
      </c>
      <c r="G2325" s="2" t="str">
        <f>"SR-3247"</f>
        <v>SR-3247</v>
      </c>
      <c r="H2325" s="2" t="s">
        <v>11341</v>
      </c>
      <c r="I2325" s="2" t="s">
        <v>11342</v>
      </c>
      <c r="K2325" s="2" t="s">
        <v>546</v>
      </c>
      <c r="L2325" s="2" t="s">
        <v>200</v>
      </c>
      <c r="M2325" s="2">
        <v>30252.0</v>
      </c>
      <c r="N2325" s="2" t="s">
        <v>21</v>
      </c>
    </row>
    <row r="2326" ht="15.75" customHeight="1">
      <c r="A2326" s="2">
        <v>2014.0</v>
      </c>
      <c r="B2326" s="2" t="s">
        <v>11343</v>
      </c>
      <c r="C2326" s="2" t="s">
        <v>11343</v>
      </c>
      <c r="D2326" s="2" t="str">
        <f>"303-709-7688"</f>
        <v>303-709-7688</v>
      </c>
      <c r="E2326" s="2" t="s">
        <v>9605</v>
      </c>
      <c r="F2326" s="2" t="s">
        <v>11344</v>
      </c>
      <c r="G2326" s="2" t="str">
        <f>"SR-3355"</f>
        <v>SR-3355</v>
      </c>
      <c r="H2326" s="2" t="s">
        <v>11345</v>
      </c>
      <c r="I2326" s="2" t="s">
        <v>11346</v>
      </c>
      <c r="K2326" s="2" t="s">
        <v>2317</v>
      </c>
      <c r="L2326" s="2" t="s">
        <v>157</v>
      </c>
      <c r="M2326" s="2">
        <v>80504.0</v>
      </c>
      <c r="N2326" s="2" t="s">
        <v>21</v>
      </c>
    </row>
    <row r="2327" ht="15.75" customHeight="1">
      <c r="A2327" s="2">
        <v>2014.0</v>
      </c>
      <c r="B2327" s="2" t="s">
        <v>11347</v>
      </c>
      <c r="C2327" s="2" t="s">
        <v>11348</v>
      </c>
      <c r="D2327" s="2" t="str">
        <f>"972-998-2551"</f>
        <v>972-998-2551</v>
      </c>
      <c r="E2327" s="2" t="s">
        <v>11349</v>
      </c>
      <c r="F2327" s="2" t="s">
        <v>4516</v>
      </c>
      <c r="G2327" s="2" t="str">
        <f>"SR-3369"</f>
        <v>SR-3369</v>
      </c>
      <c r="H2327" s="2" t="s">
        <v>11350</v>
      </c>
      <c r="I2327" s="2" t="s">
        <v>11351</v>
      </c>
      <c r="K2327" s="2" t="s">
        <v>171</v>
      </c>
      <c r="L2327" s="2" t="s">
        <v>172</v>
      </c>
      <c r="M2327" s="2">
        <v>75007.0</v>
      </c>
      <c r="N2327" s="2" t="s">
        <v>21</v>
      </c>
    </row>
    <row r="2328" ht="15.75" customHeight="1">
      <c r="A2328" s="2">
        <v>2014.0</v>
      </c>
      <c r="B2328" s="2" t="s">
        <v>11352</v>
      </c>
      <c r="C2328" s="2" t="s">
        <v>11352</v>
      </c>
      <c r="D2328" s="2" t="str">
        <f>"806-368-8808"</f>
        <v>806-368-8808</v>
      </c>
      <c r="E2328" s="2" t="s">
        <v>684</v>
      </c>
      <c r="F2328" s="2" t="s">
        <v>4237</v>
      </c>
      <c r="G2328" s="2" t="str">
        <f>"SR-3363"</f>
        <v>SR-3363</v>
      </c>
      <c r="H2328" s="2" t="s">
        <v>11353</v>
      </c>
      <c r="I2328" s="2" t="s">
        <v>11354</v>
      </c>
      <c r="K2328" s="2" t="s">
        <v>1121</v>
      </c>
      <c r="L2328" s="2" t="s">
        <v>172</v>
      </c>
      <c r="M2328" s="2">
        <v>79424.0</v>
      </c>
      <c r="N2328" s="2" t="s">
        <v>21</v>
      </c>
    </row>
    <row r="2329" ht="15.75" customHeight="1">
      <c r="A2329" s="2">
        <v>2014.0</v>
      </c>
      <c r="B2329" s="2" t="s">
        <v>11355</v>
      </c>
      <c r="C2329" s="2" t="s">
        <v>11355</v>
      </c>
      <c r="D2329" s="2" t="str">
        <f>"9708583905"</f>
        <v>9708583905</v>
      </c>
      <c r="E2329" s="2" t="s">
        <v>1440</v>
      </c>
      <c r="F2329" s="2" t="s">
        <v>8565</v>
      </c>
      <c r="G2329" s="2" t="str">
        <f>"SR-3370"</f>
        <v>SR-3370</v>
      </c>
      <c r="H2329" s="2" t="s">
        <v>11356</v>
      </c>
      <c r="I2329" s="2" t="s">
        <v>11357</v>
      </c>
      <c r="K2329" s="2" t="s">
        <v>11358</v>
      </c>
      <c r="L2329" s="2" t="s">
        <v>157</v>
      </c>
      <c r="M2329" s="2">
        <v>81521.0</v>
      </c>
      <c r="N2329" s="2" t="s">
        <v>21</v>
      </c>
    </row>
    <row r="2330" ht="15.75" customHeight="1">
      <c r="A2330" s="2">
        <v>2014.0</v>
      </c>
      <c r="B2330" s="2" t="s">
        <v>11359</v>
      </c>
      <c r="C2330" s="2" t="s">
        <v>11360</v>
      </c>
      <c r="D2330" s="2" t="str">
        <f>"303-681-2865"</f>
        <v>303-681-2865</v>
      </c>
      <c r="E2330" s="2" t="s">
        <v>167</v>
      </c>
      <c r="F2330" s="2" t="s">
        <v>11361</v>
      </c>
      <c r="G2330" s="2" t="str">
        <f>"SR-3041"</f>
        <v>SR-3041</v>
      </c>
      <c r="H2330" s="2" t="s">
        <v>11362</v>
      </c>
      <c r="I2330" s="2" t="s">
        <v>11363</v>
      </c>
      <c r="K2330" s="2" t="s">
        <v>7578</v>
      </c>
      <c r="L2330" s="2" t="s">
        <v>157</v>
      </c>
      <c r="M2330" s="2">
        <v>80118.0</v>
      </c>
      <c r="N2330" s="2" t="s">
        <v>21</v>
      </c>
    </row>
    <row r="2331" ht="15.75" customHeight="1">
      <c r="A2331" s="2">
        <v>2014.0</v>
      </c>
      <c r="B2331" s="2" t="s">
        <v>11364</v>
      </c>
      <c r="C2331" s="2" t="s">
        <v>11365</v>
      </c>
      <c r="D2331" s="2" t="str">
        <f>"620-229-9804"</f>
        <v>620-229-9804</v>
      </c>
      <c r="E2331" s="2" t="s">
        <v>3061</v>
      </c>
      <c r="F2331" s="2" t="s">
        <v>256</v>
      </c>
      <c r="G2331" s="2" t="str">
        <f>"SR-3373"</f>
        <v>SR-3373</v>
      </c>
      <c r="H2331" s="2" t="s">
        <v>11366</v>
      </c>
      <c r="I2331" s="2" t="s">
        <v>11367</v>
      </c>
      <c r="K2331" s="2" t="s">
        <v>3530</v>
      </c>
      <c r="L2331" s="2" t="s">
        <v>272</v>
      </c>
      <c r="M2331" s="2">
        <v>67156.0</v>
      </c>
      <c r="N2331" s="2" t="s">
        <v>21</v>
      </c>
    </row>
    <row r="2332" ht="15.75" customHeight="1">
      <c r="A2332" s="2">
        <v>2014.0</v>
      </c>
      <c r="B2332" s="2" t="s">
        <v>11368</v>
      </c>
      <c r="C2332" s="2" t="s">
        <v>11369</v>
      </c>
      <c r="D2332" s="2" t="str">
        <f>"316 765-4912"</f>
        <v>316 765-4912</v>
      </c>
      <c r="E2332" s="2" t="s">
        <v>11370</v>
      </c>
      <c r="F2332" s="2" t="s">
        <v>3527</v>
      </c>
      <c r="G2332" s="2" t="str">
        <f>"SR-3377"</f>
        <v>SR-3377</v>
      </c>
      <c r="H2332" s="2" t="s">
        <v>11371</v>
      </c>
      <c r="I2332" s="2" t="s">
        <v>11372</v>
      </c>
      <c r="K2332" s="2" t="s">
        <v>11373</v>
      </c>
      <c r="L2332" s="2" t="s">
        <v>86</v>
      </c>
      <c r="M2332" s="2">
        <v>98155.0</v>
      </c>
      <c r="N2332" s="2" t="s">
        <v>21</v>
      </c>
    </row>
    <row r="2333" ht="15.75" customHeight="1">
      <c r="A2333" s="2">
        <v>2014.0</v>
      </c>
      <c r="B2333" s="2" t="s">
        <v>2030</v>
      </c>
      <c r="C2333" s="2" t="s">
        <v>2030</v>
      </c>
      <c r="D2333" s="2" t="str">
        <f>"(850) 575-4009"</f>
        <v>(850) 575-4009</v>
      </c>
      <c r="E2333" s="2" t="s">
        <v>2031</v>
      </c>
      <c r="F2333" s="2" t="s">
        <v>2032</v>
      </c>
      <c r="G2333" s="2" t="str">
        <f>"SR-2854"</f>
        <v>SR-2854</v>
      </c>
      <c r="H2333" s="2" t="s">
        <v>2033</v>
      </c>
      <c r="I2333" s="2" t="s">
        <v>2034</v>
      </c>
      <c r="K2333" s="2" t="s">
        <v>2007</v>
      </c>
      <c r="L2333" s="2" t="s">
        <v>208</v>
      </c>
      <c r="M2333" s="2">
        <v>32308.0</v>
      </c>
      <c r="N2333" s="2" t="s">
        <v>21</v>
      </c>
    </row>
    <row r="2334" ht="15.75" customHeight="1">
      <c r="A2334" s="2">
        <v>2014.0</v>
      </c>
      <c r="B2334" s="2" t="s">
        <v>11374</v>
      </c>
      <c r="C2334" s="2" t="s">
        <v>11374</v>
      </c>
      <c r="D2334" s="2" t="str">
        <f>"(541)956-0128"</f>
        <v>(541)956-0128</v>
      </c>
      <c r="E2334" s="2" t="s">
        <v>2158</v>
      </c>
      <c r="F2334" s="2" t="s">
        <v>7940</v>
      </c>
      <c r="G2334" s="2" t="str">
        <f>"SR-3002"</f>
        <v>SR-3002</v>
      </c>
      <c r="H2334" s="2" t="s">
        <v>11375</v>
      </c>
      <c r="I2334" s="2" t="s">
        <v>11376</v>
      </c>
      <c r="K2334" s="2" t="s">
        <v>10966</v>
      </c>
      <c r="L2334" s="2" t="s">
        <v>2389</v>
      </c>
      <c r="M2334" s="2">
        <v>97527.0</v>
      </c>
      <c r="N2334" s="2" t="s">
        <v>21</v>
      </c>
    </row>
    <row r="2335" ht="15.75" customHeight="1">
      <c r="A2335" s="2">
        <v>2014.0</v>
      </c>
      <c r="B2335" s="2" t="s">
        <v>11377</v>
      </c>
      <c r="C2335" s="2" t="s">
        <v>11378</v>
      </c>
      <c r="D2335" s="2" t="str">
        <f>"407-230-0873"</f>
        <v>407-230-0873</v>
      </c>
      <c r="E2335" s="2" t="s">
        <v>100</v>
      </c>
      <c r="F2335" s="2" t="s">
        <v>11379</v>
      </c>
      <c r="G2335" s="2" t="str">
        <f>"SR-3379"</f>
        <v>SR-3379</v>
      </c>
      <c r="H2335" s="2" t="s">
        <v>11380</v>
      </c>
      <c r="I2335" s="2" t="s">
        <v>11381</v>
      </c>
      <c r="K2335" s="2" t="s">
        <v>2007</v>
      </c>
      <c r="L2335" s="2" t="s">
        <v>208</v>
      </c>
      <c r="M2335" s="2">
        <v>32309.0</v>
      </c>
      <c r="N2335" s="2" t="s">
        <v>21</v>
      </c>
    </row>
    <row r="2336" ht="15.75" customHeight="1">
      <c r="A2336" s="2">
        <v>2014.0</v>
      </c>
      <c r="B2336" s="2" t="s">
        <v>11382</v>
      </c>
      <c r="C2336" s="2" t="s">
        <v>11383</v>
      </c>
      <c r="D2336" s="2" t="str">
        <f>"503-799-4404"</f>
        <v>503-799-4404</v>
      </c>
      <c r="E2336" s="2" t="s">
        <v>261</v>
      </c>
      <c r="F2336" s="2" t="s">
        <v>11384</v>
      </c>
      <c r="G2336" s="2" t="str">
        <f>"SR-3381"</f>
        <v>SR-3381</v>
      </c>
      <c r="H2336" s="2" t="s">
        <v>11385</v>
      </c>
      <c r="I2336" s="2" t="s">
        <v>11386</v>
      </c>
      <c r="K2336" s="2" t="s">
        <v>788</v>
      </c>
      <c r="L2336" s="2" t="s">
        <v>2389</v>
      </c>
      <c r="M2336" s="2">
        <v>97123.0</v>
      </c>
      <c r="N2336" s="2" t="s">
        <v>21</v>
      </c>
    </row>
    <row r="2337" ht="15.75" customHeight="1">
      <c r="A2337" s="2">
        <v>2014.0</v>
      </c>
      <c r="B2337" s="2" t="s">
        <v>11387</v>
      </c>
      <c r="C2337" s="2" t="s">
        <v>11387</v>
      </c>
      <c r="D2337" s="2" t="str">
        <f>"985-237-9544"</f>
        <v>985-237-9544</v>
      </c>
      <c r="E2337" s="2" t="s">
        <v>7046</v>
      </c>
      <c r="F2337" s="2" t="s">
        <v>11388</v>
      </c>
      <c r="G2337" s="2" t="str">
        <f>"SR-3279"</f>
        <v>SR-3279</v>
      </c>
      <c r="H2337" s="2" t="s">
        <v>11389</v>
      </c>
      <c r="I2337" s="2" t="s">
        <v>11390</v>
      </c>
      <c r="K2337" s="2" t="s">
        <v>3809</v>
      </c>
      <c r="L2337" s="2" t="s">
        <v>715</v>
      </c>
      <c r="M2337" s="2">
        <v>70471.0</v>
      </c>
      <c r="N2337" s="2" t="s">
        <v>21</v>
      </c>
    </row>
    <row r="2338" ht="15.75" customHeight="1">
      <c r="A2338" s="2">
        <v>2014.0</v>
      </c>
      <c r="B2338" s="2" t="s">
        <v>11391</v>
      </c>
      <c r="C2338" s="2" t="s">
        <v>11391</v>
      </c>
      <c r="D2338" s="2" t="str">
        <f>"404-788-7869"</f>
        <v>404-788-7869</v>
      </c>
      <c r="E2338" s="2" t="s">
        <v>2384</v>
      </c>
      <c r="F2338" s="2" t="s">
        <v>11392</v>
      </c>
      <c r="G2338" s="2" t="str">
        <f>"SR-3383"</f>
        <v>SR-3383</v>
      </c>
      <c r="H2338" s="2" t="s">
        <v>11393</v>
      </c>
      <c r="I2338" s="2" t="s">
        <v>11394</v>
      </c>
      <c r="K2338" s="2" t="s">
        <v>4862</v>
      </c>
      <c r="L2338" s="2" t="s">
        <v>200</v>
      </c>
      <c r="M2338" s="2">
        <v>30064.0</v>
      </c>
      <c r="N2338" s="2" t="s">
        <v>21</v>
      </c>
    </row>
    <row r="2339" ht="15.75" customHeight="1">
      <c r="A2339" s="2">
        <v>2014.0</v>
      </c>
      <c r="B2339" s="2" t="s">
        <v>11395</v>
      </c>
      <c r="C2339" s="2" t="s">
        <v>11396</v>
      </c>
      <c r="D2339" s="2" t="str">
        <f>"208-553-6600"</f>
        <v>208-553-6600</v>
      </c>
      <c r="E2339" s="2" t="s">
        <v>10057</v>
      </c>
      <c r="F2339" s="2" t="s">
        <v>1533</v>
      </c>
      <c r="G2339" s="2" t="str">
        <f>"SR-3385"</f>
        <v>SR-3385</v>
      </c>
      <c r="H2339" s="2" t="s">
        <v>11397</v>
      </c>
      <c r="I2339" s="2" t="s">
        <v>11398</v>
      </c>
      <c r="K2339" s="2" t="s">
        <v>11399</v>
      </c>
      <c r="L2339" s="2" t="s">
        <v>2613</v>
      </c>
      <c r="M2339" s="2">
        <v>83501.0</v>
      </c>
      <c r="N2339" s="2" t="s">
        <v>21</v>
      </c>
    </row>
    <row r="2340" ht="15.75" customHeight="1">
      <c r="A2340" s="2">
        <v>2014.0</v>
      </c>
      <c r="B2340" s="2" t="s">
        <v>11400</v>
      </c>
      <c r="C2340" s="2" t="s">
        <v>11400</v>
      </c>
      <c r="D2340" s="2" t="str">
        <f>"4053655730"</f>
        <v>4053655730</v>
      </c>
      <c r="E2340" s="2" t="s">
        <v>8887</v>
      </c>
      <c r="F2340" s="2" t="s">
        <v>11401</v>
      </c>
      <c r="G2340" s="2" t="str">
        <f>"SR-3322"</f>
        <v>SR-3322</v>
      </c>
      <c r="H2340" s="2" t="s">
        <v>11402</v>
      </c>
      <c r="I2340" s="2" t="s">
        <v>11403</v>
      </c>
      <c r="K2340" s="2" t="s">
        <v>6622</v>
      </c>
      <c r="L2340" s="2" t="s">
        <v>840</v>
      </c>
      <c r="M2340" s="2">
        <v>73116.0</v>
      </c>
      <c r="N2340" s="2" t="s">
        <v>21</v>
      </c>
    </row>
    <row r="2341" ht="15.75" customHeight="1">
      <c r="A2341" s="2">
        <v>2014.0</v>
      </c>
      <c r="B2341" s="2" t="s">
        <v>11404</v>
      </c>
      <c r="C2341" s="2" t="s">
        <v>11405</v>
      </c>
      <c r="D2341" s="2" t="str">
        <f>"605-787-6514"</f>
        <v>605-787-6514</v>
      </c>
      <c r="E2341" s="2" t="s">
        <v>534</v>
      </c>
      <c r="F2341" s="2" t="s">
        <v>11406</v>
      </c>
      <c r="G2341" s="2" t="str">
        <f>"SR-3169"</f>
        <v>SR-3169</v>
      </c>
      <c r="H2341" s="2" t="s">
        <v>11407</v>
      </c>
      <c r="I2341" s="2" t="s">
        <v>11408</v>
      </c>
      <c r="K2341" s="2" t="s">
        <v>10102</v>
      </c>
      <c r="L2341" s="2" t="s">
        <v>920</v>
      </c>
      <c r="M2341" s="2">
        <v>57769.0</v>
      </c>
      <c r="N2341" s="2" t="s">
        <v>21</v>
      </c>
    </row>
    <row r="2342" ht="15.75" customHeight="1">
      <c r="A2342" s="2">
        <v>2014.0</v>
      </c>
      <c r="B2342" s="2" t="s">
        <v>11409</v>
      </c>
      <c r="C2342" s="2" t="s">
        <v>11409</v>
      </c>
      <c r="D2342" s="2" t="str">
        <f>"2109459954"</f>
        <v>2109459954</v>
      </c>
      <c r="E2342" s="2" t="s">
        <v>9266</v>
      </c>
      <c r="F2342" s="2" t="s">
        <v>11410</v>
      </c>
      <c r="G2342" s="2" t="str">
        <f>"SR-3284"</f>
        <v>SR-3284</v>
      </c>
      <c r="H2342" s="2" t="s">
        <v>11411</v>
      </c>
      <c r="I2342" s="2" t="s">
        <v>11412</v>
      </c>
      <c r="K2342" s="2" t="s">
        <v>11413</v>
      </c>
      <c r="L2342" s="2" t="s">
        <v>172</v>
      </c>
      <c r="M2342" s="2">
        <v>78148.0</v>
      </c>
      <c r="N2342" s="2" t="s">
        <v>21</v>
      </c>
    </row>
    <row r="2343" ht="15.75" customHeight="1">
      <c r="A2343" s="2">
        <v>2014.0</v>
      </c>
      <c r="B2343" s="2" t="s">
        <v>11414</v>
      </c>
      <c r="C2343" s="2" t="s">
        <v>11415</v>
      </c>
      <c r="D2343" s="2" t="str">
        <f>"6203308399"</f>
        <v>6203308399</v>
      </c>
      <c r="E2343" s="2" t="s">
        <v>9605</v>
      </c>
      <c r="F2343" s="2" t="s">
        <v>3156</v>
      </c>
      <c r="G2343" s="2" t="str">
        <f>"SR-3390"</f>
        <v>SR-3390</v>
      </c>
      <c r="H2343" s="2" t="s">
        <v>11416</v>
      </c>
      <c r="I2343" s="2" t="s">
        <v>11417</v>
      </c>
      <c r="K2343" s="2" t="s">
        <v>141</v>
      </c>
      <c r="L2343" s="2" t="s">
        <v>272</v>
      </c>
      <c r="M2343" s="2">
        <v>66736.0</v>
      </c>
      <c r="N2343" s="2" t="s">
        <v>21</v>
      </c>
    </row>
    <row r="2344" ht="15.75" customHeight="1">
      <c r="A2344" s="2">
        <v>2014.0</v>
      </c>
      <c r="B2344" s="2" t="s">
        <v>11418</v>
      </c>
      <c r="C2344" s="2" t="s">
        <v>11419</v>
      </c>
      <c r="D2344" s="2" t="str">
        <f>"402.466.8555"</f>
        <v>402.466.8555</v>
      </c>
      <c r="E2344" s="2" t="s">
        <v>678</v>
      </c>
      <c r="F2344" s="2" t="s">
        <v>1209</v>
      </c>
      <c r="G2344" s="2" t="str">
        <f>"SR-2611"</f>
        <v>SR-2611</v>
      </c>
      <c r="H2344" s="2" t="s">
        <v>11420</v>
      </c>
      <c r="I2344" s="2" t="s">
        <v>11421</v>
      </c>
      <c r="K2344" s="2" t="s">
        <v>572</v>
      </c>
      <c r="L2344" s="2" t="s">
        <v>757</v>
      </c>
      <c r="M2344" s="2">
        <v>68510.0</v>
      </c>
      <c r="N2344" s="2" t="s">
        <v>21</v>
      </c>
    </row>
    <row r="2345" ht="15.75" customHeight="1">
      <c r="A2345" s="2">
        <v>2014.0</v>
      </c>
      <c r="B2345" s="2" t="s">
        <v>11422</v>
      </c>
      <c r="C2345" s="2" t="s">
        <v>11422</v>
      </c>
      <c r="D2345" s="2" t="str">
        <f>"(515) 292-9602"</f>
        <v>(515) 292-9602</v>
      </c>
      <c r="E2345" s="2" t="s">
        <v>11423</v>
      </c>
      <c r="F2345" s="2" t="s">
        <v>11424</v>
      </c>
      <c r="G2345" s="2" t="str">
        <f>"SR-3003"</f>
        <v>SR-3003</v>
      </c>
      <c r="H2345" s="2" t="s">
        <v>11425</v>
      </c>
      <c r="I2345" s="2" t="s">
        <v>11426</v>
      </c>
      <c r="K2345" s="2" t="s">
        <v>6354</v>
      </c>
      <c r="L2345" s="2" t="s">
        <v>560</v>
      </c>
      <c r="M2345" s="2">
        <v>50014.0</v>
      </c>
      <c r="N2345" s="2" t="s">
        <v>21</v>
      </c>
    </row>
    <row r="2346" ht="15.75" customHeight="1">
      <c r="A2346" s="2">
        <v>2014.0</v>
      </c>
      <c r="B2346" s="2" t="s">
        <v>11418</v>
      </c>
      <c r="C2346" s="2" t="s">
        <v>11427</v>
      </c>
      <c r="D2346" s="2" t="str">
        <f>"402.466.8555"</f>
        <v>402.466.8555</v>
      </c>
      <c r="E2346" s="2" t="s">
        <v>705</v>
      </c>
      <c r="F2346" s="2" t="s">
        <v>1209</v>
      </c>
      <c r="G2346" s="2" t="str">
        <f>"SR-2612"</f>
        <v>SR-2612</v>
      </c>
      <c r="H2346" s="2" t="s">
        <v>11428</v>
      </c>
      <c r="I2346" s="2" t="s">
        <v>11429</v>
      </c>
      <c r="K2346" s="2" t="s">
        <v>572</v>
      </c>
      <c r="L2346" s="2" t="s">
        <v>757</v>
      </c>
      <c r="M2346" s="2">
        <v>68510.0</v>
      </c>
      <c r="N2346" s="2" t="s">
        <v>21</v>
      </c>
    </row>
    <row r="2347" ht="15.75" customHeight="1">
      <c r="A2347" s="2">
        <v>2014.0</v>
      </c>
      <c r="B2347" s="2" t="s">
        <v>11430</v>
      </c>
      <c r="C2347" s="2" t="s">
        <v>11430</v>
      </c>
      <c r="D2347" s="2" t="str">
        <f>"7203397271"</f>
        <v>7203397271</v>
      </c>
      <c r="E2347" s="2" t="s">
        <v>7382</v>
      </c>
      <c r="F2347" s="2" t="s">
        <v>11431</v>
      </c>
      <c r="G2347" s="2" t="str">
        <f>"SR-2958"</f>
        <v>SR-2958</v>
      </c>
      <c r="H2347" s="2" t="s">
        <v>11432</v>
      </c>
      <c r="I2347" s="2" t="s">
        <v>11433</v>
      </c>
      <c r="K2347" s="2" t="s">
        <v>1889</v>
      </c>
      <c r="L2347" s="2" t="s">
        <v>157</v>
      </c>
      <c r="M2347" s="2">
        <v>80127.0</v>
      </c>
      <c r="N2347" s="2" t="s">
        <v>21</v>
      </c>
    </row>
    <row r="2348" ht="15.75" customHeight="1">
      <c r="A2348" s="2">
        <v>2014.0</v>
      </c>
      <c r="B2348" s="2" t="s">
        <v>11434</v>
      </c>
      <c r="C2348" s="2" t="s">
        <v>11435</v>
      </c>
      <c r="D2348" s="2" t="str">
        <f>"9704628230"</f>
        <v>9704628230</v>
      </c>
      <c r="E2348" s="2" t="s">
        <v>11436</v>
      </c>
      <c r="F2348" s="2" t="s">
        <v>11437</v>
      </c>
      <c r="G2348" s="2" t="str">
        <f>"SR-3328"</f>
        <v>SR-3328</v>
      </c>
      <c r="H2348" s="2" t="s">
        <v>11438</v>
      </c>
      <c r="I2348" s="2" t="s">
        <v>11439</v>
      </c>
      <c r="K2348" s="2" t="s">
        <v>11440</v>
      </c>
      <c r="L2348" s="2" t="s">
        <v>157</v>
      </c>
      <c r="M2348" s="2">
        <v>81505.0</v>
      </c>
      <c r="N2348" s="2" t="s">
        <v>21</v>
      </c>
    </row>
    <row r="2349" ht="15.75" customHeight="1">
      <c r="A2349" s="2">
        <v>2014.0</v>
      </c>
      <c r="B2349" s="2" t="s">
        <v>11441</v>
      </c>
      <c r="C2349" s="2" t="s">
        <v>11441</v>
      </c>
      <c r="D2349" s="2" t="str">
        <f>"503-632-4342"</f>
        <v>503-632-4342</v>
      </c>
      <c r="E2349" s="2" t="s">
        <v>1076</v>
      </c>
      <c r="F2349" s="2" t="s">
        <v>256</v>
      </c>
      <c r="G2349" s="2" t="str">
        <f>"SR-3343"</f>
        <v>SR-3343</v>
      </c>
      <c r="H2349" s="2" t="s">
        <v>11442</v>
      </c>
      <c r="I2349" s="2" t="s">
        <v>11443</v>
      </c>
      <c r="K2349" s="2" t="s">
        <v>4588</v>
      </c>
      <c r="L2349" s="2" t="s">
        <v>2389</v>
      </c>
      <c r="M2349" s="2">
        <v>97004.0</v>
      </c>
      <c r="N2349" s="2" t="s">
        <v>21</v>
      </c>
    </row>
    <row r="2350" ht="15.75" customHeight="1">
      <c r="A2350" s="2">
        <v>2014.0</v>
      </c>
      <c r="B2350" s="2" t="s">
        <v>11444</v>
      </c>
      <c r="C2350" s="2" t="s">
        <v>11445</v>
      </c>
      <c r="D2350" s="2" t="str">
        <f>"970-245-1607"</f>
        <v>970-245-1607</v>
      </c>
      <c r="E2350" s="2" t="s">
        <v>2760</v>
      </c>
      <c r="F2350" s="2" t="s">
        <v>11446</v>
      </c>
      <c r="G2350" s="2" t="str">
        <f>"SR-3315"</f>
        <v>SR-3315</v>
      </c>
      <c r="H2350" s="2" t="s">
        <v>11447</v>
      </c>
      <c r="I2350" s="2" t="s">
        <v>11448</v>
      </c>
      <c r="K2350" s="2" t="s">
        <v>11440</v>
      </c>
      <c r="L2350" s="2" t="s">
        <v>157</v>
      </c>
      <c r="M2350" s="2">
        <v>81505.0</v>
      </c>
      <c r="N2350" s="2" t="s">
        <v>21</v>
      </c>
    </row>
    <row r="2351" ht="15.75" customHeight="1">
      <c r="A2351" s="2">
        <v>2014.0</v>
      </c>
      <c r="B2351" s="2" t="s">
        <v>11449</v>
      </c>
      <c r="C2351" s="2" t="s">
        <v>11450</v>
      </c>
      <c r="D2351" s="2" t="str">
        <f>"8284558875"</f>
        <v>8284558875</v>
      </c>
      <c r="E2351" s="2" t="s">
        <v>4968</v>
      </c>
      <c r="F2351" s="2" t="s">
        <v>133</v>
      </c>
      <c r="G2351" s="2" t="str">
        <f>"SR-3384"</f>
        <v>SR-3384</v>
      </c>
      <c r="H2351" s="2" t="s">
        <v>11451</v>
      </c>
      <c r="I2351" s="2" t="s">
        <v>11452</v>
      </c>
      <c r="K2351" s="2" t="s">
        <v>821</v>
      </c>
      <c r="L2351" s="2" t="s">
        <v>20</v>
      </c>
      <c r="M2351" s="2">
        <v>28601.0</v>
      </c>
      <c r="N2351" s="2" t="s">
        <v>21</v>
      </c>
    </row>
    <row r="2352" ht="15.75" customHeight="1">
      <c r="A2352" s="2">
        <v>2014.0</v>
      </c>
      <c r="B2352" s="2" t="s">
        <v>7490</v>
      </c>
      <c r="C2352" s="2" t="s">
        <v>7491</v>
      </c>
      <c r="D2352" s="2" t="str">
        <f>"405-537-5036"</f>
        <v>405-537-5036</v>
      </c>
      <c r="E2352" s="2" t="s">
        <v>7492</v>
      </c>
      <c r="F2352" s="2" t="s">
        <v>7493</v>
      </c>
      <c r="G2352" s="2" t="str">
        <f>"SR-2033"</f>
        <v>SR-2033</v>
      </c>
      <c r="H2352" s="2" t="s">
        <v>7494</v>
      </c>
      <c r="I2352" s="2" t="s">
        <v>7495</v>
      </c>
      <c r="K2352" s="2" t="s">
        <v>6622</v>
      </c>
      <c r="L2352" s="2" t="s">
        <v>840</v>
      </c>
      <c r="M2352" s="2">
        <v>73120.0</v>
      </c>
      <c r="N2352" s="2" t="s">
        <v>21</v>
      </c>
    </row>
    <row r="2353" ht="15.75" customHeight="1">
      <c r="A2353" s="2">
        <v>2014.0</v>
      </c>
      <c r="B2353" s="2" t="s">
        <v>11453</v>
      </c>
      <c r="C2353" s="2" t="s">
        <v>11454</v>
      </c>
      <c r="D2353" s="2" t="str">
        <f>"6054611531"</f>
        <v>6054611531</v>
      </c>
      <c r="E2353" s="2" t="s">
        <v>11455</v>
      </c>
      <c r="F2353" s="2" t="s">
        <v>11456</v>
      </c>
      <c r="G2353" s="2" t="str">
        <f>"SR-2957"</f>
        <v>SR-2957</v>
      </c>
      <c r="H2353" s="2" t="s">
        <v>11457</v>
      </c>
      <c r="I2353" s="2" t="s">
        <v>11458</v>
      </c>
      <c r="K2353" s="2" t="s">
        <v>10798</v>
      </c>
      <c r="L2353" s="2" t="s">
        <v>920</v>
      </c>
      <c r="M2353" s="2">
        <v>57350.0</v>
      </c>
      <c r="N2353" s="2" t="s">
        <v>21</v>
      </c>
    </row>
    <row r="2354" ht="15.75" customHeight="1">
      <c r="A2354" s="2">
        <v>2014.0</v>
      </c>
      <c r="B2354" s="2" t="s">
        <v>11459</v>
      </c>
      <c r="C2354" s="2" t="s">
        <v>11459</v>
      </c>
      <c r="D2354" s="2" t="str">
        <f>"7149627479"</f>
        <v>7149627479</v>
      </c>
      <c r="E2354" s="2" t="s">
        <v>938</v>
      </c>
      <c r="F2354" s="2" t="s">
        <v>11460</v>
      </c>
      <c r="G2354" s="2" t="str">
        <f>"SR-3398"</f>
        <v>SR-3398</v>
      </c>
      <c r="H2354" s="2" t="s">
        <v>11461</v>
      </c>
      <c r="I2354" s="2" t="s">
        <v>11462</v>
      </c>
      <c r="K2354" s="2" t="s">
        <v>11463</v>
      </c>
      <c r="L2354" s="2" t="s">
        <v>222</v>
      </c>
      <c r="M2354" s="2">
        <v>92646.0</v>
      </c>
      <c r="N2354" s="2" t="s">
        <v>21</v>
      </c>
    </row>
    <row r="2355" ht="15.75" customHeight="1">
      <c r="A2355" s="2">
        <v>2014.0</v>
      </c>
      <c r="B2355" s="2" t="s">
        <v>11464</v>
      </c>
      <c r="C2355" s="2" t="s">
        <v>11465</v>
      </c>
      <c r="D2355" s="2" t="str">
        <f>"406-690-3962"</f>
        <v>406-690-3962</v>
      </c>
      <c r="E2355" s="2" t="s">
        <v>503</v>
      </c>
      <c r="F2355" s="2" t="s">
        <v>11466</v>
      </c>
      <c r="G2355" s="2" t="str">
        <f>"SR-3293"</f>
        <v>SR-3293</v>
      </c>
      <c r="H2355" s="2" t="s">
        <v>11467</v>
      </c>
      <c r="I2355" s="2" t="s">
        <v>11468</v>
      </c>
      <c r="K2355" s="2" t="s">
        <v>3548</v>
      </c>
      <c r="L2355" s="2" t="s">
        <v>2696</v>
      </c>
      <c r="M2355" s="2">
        <v>59105.0</v>
      </c>
      <c r="N2355" s="2" t="s">
        <v>21</v>
      </c>
    </row>
    <row r="2356" ht="15.75" customHeight="1">
      <c r="A2356" s="2">
        <v>2014.0</v>
      </c>
      <c r="B2356" s="2" t="s">
        <v>11469</v>
      </c>
      <c r="C2356" s="2" t="s">
        <v>11469</v>
      </c>
      <c r="D2356" s="2" t="str">
        <f>"4093708019"</f>
        <v>4093708019</v>
      </c>
      <c r="E2356" s="2" t="s">
        <v>1434</v>
      </c>
      <c r="F2356" s="2" t="s">
        <v>11470</v>
      </c>
      <c r="G2356" s="2" t="str">
        <f>"SR-3403"</f>
        <v>SR-3403</v>
      </c>
      <c r="H2356" s="2" t="s">
        <v>11471</v>
      </c>
      <c r="I2356" s="2" t="s">
        <v>11472</v>
      </c>
      <c r="K2356" s="2" t="s">
        <v>1054</v>
      </c>
      <c r="L2356" s="2" t="s">
        <v>157</v>
      </c>
      <c r="M2356" s="2">
        <v>80134.0</v>
      </c>
      <c r="N2356" s="2" t="s">
        <v>21</v>
      </c>
    </row>
    <row r="2357" ht="15.75" customHeight="1">
      <c r="A2357" s="2">
        <v>2014.0</v>
      </c>
      <c r="B2357" s="2" t="s">
        <v>11473</v>
      </c>
      <c r="C2357" s="2" t="s">
        <v>11473</v>
      </c>
      <c r="D2357" s="2" t="str">
        <f>"512-660-3678"</f>
        <v>512-660-3678</v>
      </c>
      <c r="E2357" s="2" t="s">
        <v>2296</v>
      </c>
      <c r="F2357" s="2" t="s">
        <v>10283</v>
      </c>
      <c r="G2357" s="2" t="str">
        <f>"SR-2746"</f>
        <v>SR-2746</v>
      </c>
      <c r="H2357" s="2" t="s">
        <v>11474</v>
      </c>
      <c r="I2357" s="2" t="s">
        <v>11475</v>
      </c>
      <c r="K2357" s="2" t="s">
        <v>1141</v>
      </c>
      <c r="L2357" s="2" t="s">
        <v>172</v>
      </c>
      <c r="M2357" s="2">
        <v>78738.0</v>
      </c>
      <c r="N2357" s="2" t="s">
        <v>21</v>
      </c>
    </row>
    <row r="2358" ht="15.75" customHeight="1">
      <c r="A2358" s="2">
        <v>2014.0</v>
      </c>
      <c r="B2358" s="2" t="s">
        <v>11476</v>
      </c>
      <c r="C2358" s="2" t="s">
        <v>11477</v>
      </c>
      <c r="D2358" s="2" t="str">
        <f>"3606876133"</f>
        <v>3606876133</v>
      </c>
      <c r="E2358" s="2" t="s">
        <v>11478</v>
      </c>
      <c r="F2358" s="2" t="s">
        <v>11479</v>
      </c>
      <c r="G2358" s="2" t="str">
        <f>"SR-3371"</f>
        <v>SR-3371</v>
      </c>
      <c r="H2358" s="2" t="s">
        <v>11480</v>
      </c>
      <c r="I2358" s="2" t="s">
        <v>11481</v>
      </c>
      <c r="K2358" s="2" t="s">
        <v>11482</v>
      </c>
      <c r="L2358" s="2" t="s">
        <v>86</v>
      </c>
      <c r="M2358" s="2">
        <v>98604.0</v>
      </c>
      <c r="N2358" s="2" t="s">
        <v>21</v>
      </c>
    </row>
    <row r="2359" ht="15.75" customHeight="1">
      <c r="A2359" s="2">
        <v>2014.0</v>
      </c>
      <c r="B2359" s="2" t="s">
        <v>11483</v>
      </c>
      <c r="C2359" s="2" t="s">
        <v>11483</v>
      </c>
      <c r="D2359" s="2" t="str">
        <f>"205-274-8872"</f>
        <v>205-274-8872</v>
      </c>
      <c r="E2359" s="2" t="s">
        <v>6019</v>
      </c>
      <c r="F2359" s="2" t="s">
        <v>1151</v>
      </c>
      <c r="G2359" s="2" t="str">
        <f>"SR-3393"</f>
        <v>SR-3393</v>
      </c>
      <c r="H2359" s="2" t="s">
        <v>11484</v>
      </c>
      <c r="I2359" s="2" t="s">
        <v>11485</v>
      </c>
      <c r="K2359" s="2" t="s">
        <v>11486</v>
      </c>
      <c r="L2359" s="2" t="s">
        <v>539</v>
      </c>
      <c r="M2359" s="2">
        <v>35121.0</v>
      </c>
      <c r="N2359" s="2" t="s">
        <v>21</v>
      </c>
    </row>
    <row r="2360" ht="15.75" customHeight="1">
      <c r="A2360" s="2">
        <v>2014.0</v>
      </c>
      <c r="B2360" s="2" t="s">
        <v>11487</v>
      </c>
      <c r="C2360" s="2" t="s">
        <v>11488</v>
      </c>
      <c r="D2360" s="2" t="str">
        <f>"321-278-3251"</f>
        <v>321-278-3251</v>
      </c>
      <c r="E2360" s="2" t="s">
        <v>4322</v>
      </c>
      <c r="F2360" s="2" t="s">
        <v>11489</v>
      </c>
      <c r="G2360" s="2" t="str">
        <f>"SR-3406"</f>
        <v>SR-3406</v>
      </c>
      <c r="H2360" s="2" t="s">
        <v>11490</v>
      </c>
      <c r="I2360" s="2" t="s">
        <v>11491</v>
      </c>
      <c r="K2360" s="2" t="s">
        <v>3182</v>
      </c>
      <c r="L2360" s="2" t="s">
        <v>208</v>
      </c>
      <c r="M2360" s="2">
        <v>34786.0</v>
      </c>
      <c r="N2360" s="2" t="s">
        <v>21</v>
      </c>
    </row>
    <row r="2361" ht="15.75" customHeight="1">
      <c r="A2361" s="2">
        <v>2014.0</v>
      </c>
      <c r="B2361" s="2" t="s">
        <v>11492</v>
      </c>
      <c r="C2361" s="2" t="s">
        <v>11492</v>
      </c>
      <c r="D2361" s="2" t="str">
        <f>"503-771-9634"</f>
        <v>503-771-9634</v>
      </c>
      <c r="E2361" s="2" t="s">
        <v>1288</v>
      </c>
      <c r="F2361" s="2" t="s">
        <v>11493</v>
      </c>
      <c r="G2361" s="2" t="str">
        <f>"SR-3306"</f>
        <v>SR-3306</v>
      </c>
      <c r="H2361" s="2" t="s">
        <v>11494</v>
      </c>
      <c r="I2361" s="2" t="s">
        <v>11495</v>
      </c>
      <c r="K2361" s="2" t="s">
        <v>2828</v>
      </c>
      <c r="L2361" s="2" t="s">
        <v>2389</v>
      </c>
      <c r="M2361" s="2">
        <v>97206.0</v>
      </c>
      <c r="N2361" s="2" t="s">
        <v>21</v>
      </c>
    </row>
    <row r="2362" ht="15.75" customHeight="1">
      <c r="A2362" s="2">
        <v>2014.0</v>
      </c>
      <c r="B2362" s="2" t="s">
        <v>11496</v>
      </c>
      <c r="C2362" s="2" t="s">
        <v>11496</v>
      </c>
      <c r="D2362" s="2" t="str">
        <f>"(402) 484-6213"</f>
        <v>(402) 484-6213</v>
      </c>
      <c r="E2362" s="2" t="s">
        <v>3196</v>
      </c>
      <c r="F2362" s="2" t="s">
        <v>11497</v>
      </c>
      <c r="G2362" s="2" t="str">
        <f>"SR-3008"</f>
        <v>SR-3008</v>
      </c>
      <c r="H2362" s="2" t="s">
        <v>11498</v>
      </c>
      <c r="I2362" s="2" t="s">
        <v>11499</v>
      </c>
      <c r="K2362" s="2" t="s">
        <v>572</v>
      </c>
      <c r="L2362" s="2" t="s">
        <v>757</v>
      </c>
      <c r="M2362" s="2">
        <v>68505.0</v>
      </c>
      <c r="N2362" s="2" t="s">
        <v>21</v>
      </c>
    </row>
    <row r="2363" ht="15.75" customHeight="1">
      <c r="A2363" s="2">
        <v>2014.0</v>
      </c>
      <c r="B2363" s="2" t="s">
        <v>11500</v>
      </c>
      <c r="C2363" s="2" t="s">
        <v>11501</v>
      </c>
      <c r="D2363" s="2" t="str">
        <f>"713-576-9469"</f>
        <v>713-576-9469</v>
      </c>
      <c r="E2363" s="2" t="s">
        <v>11502</v>
      </c>
      <c r="F2363" s="2" t="s">
        <v>11503</v>
      </c>
      <c r="G2363" s="2" t="str">
        <f>"SR-3408"</f>
        <v>SR-3408</v>
      </c>
      <c r="H2363" s="2" t="s">
        <v>11504</v>
      </c>
      <c r="I2363" s="2" t="s">
        <v>11505</v>
      </c>
      <c r="K2363" s="2" t="s">
        <v>3524</v>
      </c>
      <c r="L2363" s="2" t="s">
        <v>172</v>
      </c>
      <c r="M2363" s="2">
        <v>77546.0</v>
      </c>
      <c r="N2363" s="2" t="s">
        <v>21</v>
      </c>
    </row>
    <row r="2364" ht="15.75" customHeight="1">
      <c r="A2364" s="2">
        <v>2014.0</v>
      </c>
      <c r="B2364" s="2" t="s">
        <v>11506</v>
      </c>
      <c r="C2364" s="2" t="s">
        <v>11507</v>
      </c>
      <c r="D2364" s="2" t="str">
        <f>"605-718-7975"</f>
        <v>605-718-7975</v>
      </c>
      <c r="E2364" s="2" t="s">
        <v>339</v>
      </c>
      <c r="F2364" s="2" t="s">
        <v>124</v>
      </c>
      <c r="G2364" s="2" t="str">
        <f>"SR-3316"</f>
        <v>SR-3316</v>
      </c>
      <c r="H2364" s="2" t="s">
        <v>11508</v>
      </c>
      <c r="I2364" s="2" t="s">
        <v>11509</v>
      </c>
      <c r="K2364" s="2" t="s">
        <v>11510</v>
      </c>
      <c r="L2364" s="2" t="s">
        <v>920</v>
      </c>
      <c r="M2364" s="2">
        <v>57703.0</v>
      </c>
      <c r="N2364" s="2" t="s">
        <v>21</v>
      </c>
    </row>
    <row r="2365" ht="15.75" customHeight="1">
      <c r="A2365" s="2">
        <v>2014.0</v>
      </c>
      <c r="B2365" s="2" t="s">
        <v>11511</v>
      </c>
      <c r="C2365" s="2" t="s">
        <v>11511</v>
      </c>
      <c r="D2365" s="2" t="str">
        <f>"5038712222"</f>
        <v>5038712222</v>
      </c>
      <c r="E2365" s="2" t="s">
        <v>10949</v>
      </c>
      <c r="F2365" s="2" t="s">
        <v>11512</v>
      </c>
      <c r="G2365" s="2" t="str">
        <f>"SR-3412"</f>
        <v>SR-3412</v>
      </c>
      <c r="H2365" s="2" t="s">
        <v>11513</v>
      </c>
      <c r="I2365" s="2" t="s">
        <v>11514</v>
      </c>
      <c r="K2365" s="2" t="s">
        <v>11515</v>
      </c>
      <c r="L2365" s="2" t="s">
        <v>2389</v>
      </c>
      <c r="M2365" s="2">
        <v>97381.0</v>
      </c>
      <c r="N2365" s="2" t="s">
        <v>21</v>
      </c>
    </row>
    <row r="2366" ht="15.75" customHeight="1">
      <c r="A2366" s="2">
        <v>2014.0</v>
      </c>
      <c r="B2366" s="2" t="s">
        <v>11516</v>
      </c>
      <c r="C2366" s="2" t="s">
        <v>11516</v>
      </c>
      <c r="D2366" s="2" t="str">
        <f>"6157390958"</f>
        <v>6157390958</v>
      </c>
      <c r="E2366" s="2" t="s">
        <v>282</v>
      </c>
      <c r="F2366" s="2" t="s">
        <v>11517</v>
      </c>
      <c r="G2366" s="2" t="str">
        <f>"SR-3411"</f>
        <v>SR-3411</v>
      </c>
      <c r="H2366" s="2" t="s">
        <v>11518</v>
      </c>
      <c r="I2366" s="2" t="s">
        <v>11519</v>
      </c>
      <c r="K2366" s="2" t="s">
        <v>11520</v>
      </c>
      <c r="L2366" s="2" t="s">
        <v>279</v>
      </c>
      <c r="M2366" s="2">
        <v>37128.0</v>
      </c>
      <c r="N2366" s="2" t="s">
        <v>21</v>
      </c>
    </row>
    <row r="2367" ht="15.75" customHeight="1">
      <c r="A2367" s="2">
        <v>2014.0</v>
      </c>
      <c r="B2367" s="2" t="s">
        <v>11521</v>
      </c>
      <c r="C2367" s="2" t="s">
        <v>11522</v>
      </c>
      <c r="D2367" s="2" t="str">
        <f>"3207617100"</f>
        <v>3207617100</v>
      </c>
      <c r="E2367" s="2" t="s">
        <v>373</v>
      </c>
      <c r="F2367" s="2" t="s">
        <v>11523</v>
      </c>
      <c r="G2367" s="2" t="str">
        <f>"SR-3410"</f>
        <v>SR-3410</v>
      </c>
      <c r="H2367" s="2" t="s">
        <v>11524</v>
      </c>
      <c r="I2367" s="2" t="s">
        <v>11525</v>
      </c>
      <c r="K2367" s="2" t="s">
        <v>11526</v>
      </c>
      <c r="L2367" s="2" t="s">
        <v>62</v>
      </c>
      <c r="M2367" s="2">
        <v>56301.0</v>
      </c>
      <c r="N2367" s="2" t="s">
        <v>21</v>
      </c>
    </row>
    <row r="2368" ht="15.75" customHeight="1">
      <c r="A2368" s="2">
        <v>2014.0</v>
      </c>
      <c r="B2368" s="2" t="s">
        <v>11521</v>
      </c>
      <c r="C2368" s="2" t="s">
        <v>11527</v>
      </c>
      <c r="D2368" s="2" t="str">
        <f>"320-260-5220"</f>
        <v>320-260-5220</v>
      </c>
      <c r="E2368" s="2" t="s">
        <v>11528</v>
      </c>
      <c r="F2368" s="2" t="s">
        <v>11523</v>
      </c>
      <c r="G2368" s="2" t="str">
        <f>"SR-3413"</f>
        <v>SR-3413</v>
      </c>
      <c r="H2368" s="2" t="s">
        <v>11529</v>
      </c>
      <c r="I2368" s="2" t="s">
        <v>11530</v>
      </c>
      <c r="K2368" s="2" t="s">
        <v>11526</v>
      </c>
      <c r="L2368" s="2" t="s">
        <v>62</v>
      </c>
      <c r="M2368" s="2">
        <v>56301.0</v>
      </c>
      <c r="N2368" s="2" t="s">
        <v>21</v>
      </c>
    </row>
    <row r="2369" ht="15.75" customHeight="1">
      <c r="A2369" s="2">
        <v>2014.0</v>
      </c>
      <c r="B2369" s="2" t="s">
        <v>5173</v>
      </c>
      <c r="C2369" s="2" t="s">
        <v>5173</v>
      </c>
      <c r="D2369" s="2" t="str">
        <f>"3038197646"</f>
        <v>3038197646</v>
      </c>
      <c r="E2369" s="2" t="s">
        <v>5223</v>
      </c>
      <c r="F2369" s="2" t="s">
        <v>5176</v>
      </c>
      <c r="G2369" s="2" t="str">
        <f>"SR-1479"</f>
        <v>SR-1479</v>
      </c>
      <c r="H2369" s="2" t="s">
        <v>5224</v>
      </c>
      <c r="I2369" s="2" t="s">
        <v>5225</v>
      </c>
      <c r="K2369" s="2" t="s">
        <v>5226</v>
      </c>
      <c r="L2369" s="2" t="s">
        <v>157</v>
      </c>
      <c r="M2369" s="2">
        <v>80302.0</v>
      </c>
      <c r="N2369" s="2" t="s">
        <v>21</v>
      </c>
    </row>
    <row r="2370" ht="15.75" customHeight="1">
      <c r="A2370" s="2">
        <v>2014.0</v>
      </c>
      <c r="B2370" s="2" t="s">
        <v>11531</v>
      </c>
      <c r="C2370" s="2" t="s">
        <v>11531</v>
      </c>
      <c r="D2370" s="2" t="str">
        <f>"(519)727-3652"</f>
        <v>(519)727-3652</v>
      </c>
      <c r="E2370" s="2" t="s">
        <v>373</v>
      </c>
      <c r="F2370" s="2" t="s">
        <v>11532</v>
      </c>
      <c r="G2370" s="2" t="str">
        <f>"SR-3415"</f>
        <v>SR-3415</v>
      </c>
      <c r="H2370" s="2" t="s">
        <v>11533</v>
      </c>
      <c r="I2370" s="2" t="s">
        <v>11534</v>
      </c>
      <c r="K2370" s="2" t="s">
        <v>11535</v>
      </c>
      <c r="L2370" s="2" t="s">
        <v>2015</v>
      </c>
      <c r="M2370" s="2" t="s">
        <v>11536</v>
      </c>
      <c r="N2370" s="2" t="s">
        <v>1602</v>
      </c>
    </row>
    <row r="2371" ht="15.75" customHeight="1">
      <c r="A2371" s="2">
        <v>2014.0</v>
      </c>
      <c r="B2371" s="2" t="s">
        <v>11537</v>
      </c>
      <c r="C2371" s="2" t="s">
        <v>11537</v>
      </c>
      <c r="D2371" s="2" t="str">
        <f>"519-944-1310"</f>
        <v>519-944-1310</v>
      </c>
      <c r="E2371" s="2" t="s">
        <v>1548</v>
      </c>
      <c r="F2371" s="2" t="s">
        <v>11538</v>
      </c>
      <c r="G2371" s="2" t="str">
        <f>"SR-3417"</f>
        <v>SR-3417</v>
      </c>
      <c r="H2371" s="2" t="s">
        <v>11539</v>
      </c>
      <c r="I2371" s="2" t="s">
        <v>11540</v>
      </c>
      <c r="K2371" s="2" t="s">
        <v>1632</v>
      </c>
      <c r="M2371" s="2" t="s">
        <v>11541</v>
      </c>
      <c r="N2371" s="2" t="s">
        <v>1602</v>
      </c>
    </row>
    <row r="2372" ht="15.75" customHeight="1">
      <c r="A2372" s="2">
        <v>2014.0</v>
      </c>
      <c r="B2372" s="2" t="s">
        <v>11542</v>
      </c>
      <c r="C2372" s="2" t="s">
        <v>11543</v>
      </c>
      <c r="D2372" s="2" t="str">
        <f>"8178945992"</f>
        <v>8178945992</v>
      </c>
      <c r="E2372" s="2" t="s">
        <v>4763</v>
      </c>
      <c r="F2372" s="2" t="s">
        <v>11544</v>
      </c>
      <c r="G2372" s="2" t="str">
        <f>"SR-3148"</f>
        <v>SR-3148</v>
      </c>
      <c r="H2372" s="2" t="s">
        <v>11545</v>
      </c>
      <c r="I2372" s="2" t="s">
        <v>11546</v>
      </c>
      <c r="K2372" s="2" t="s">
        <v>2046</v>
      </c>
      <c r="L2372" s="2" t="s">
        <v>172</v>
      </c>
      <c r="M2372" s="2">
        <v>76049.0</v>
      </c>
      <c r="N2372" s="2" t="s">
        <v>21</v>
      </c>
    </row>
    <row r="2373" ht="15.75" customHeight="1">
      <c r="A2373" s="2">
        <v>2014.0</v>
      </c>
      <c r="B2373" s="2" t="s">
        <v>11547</v>
      </c>
      <c r="C2373" s="2" t="s">
        <v>11548</v>
      </c>
      <c r="D2373" s="2" t="str">
        <f>"605-341-0771"</f>
        <v>605-341-0771</v>
      </c>
      <c r="E2373" s="2" t="s">
        <v>3196</v>
      </c>
      <c r="F2373" s="2" t="s">
        <v>1151</v>
      </c>
      <c r="G2373" s="2" t="str">
        <f>"SR-3353"</f>
        <v>SR-3353</v>
      </c>
      <c r="H2373" s="2" t="s">
        <v>11549</v>
      </c>
      <c r="I2373" s="2" t="s">
        <v>11550</v>
      </c>
      <c r="K2373" s="2" t="s">
        <v>11510</v>
      </c>
      <c r="L2373" s="2" t="s">
        <v>920</v>
      </c>
      <c r="M2373" s="2">
        <v>57703.0</v>
      </c>
      <c r="N2373" s="2" t="s">
        <v>21</v>
      </c>
    </row>
    <row r="2374" ht="15.75" customHeight="1">
      <c r="A2374" s="2">
        <v>2014.0</v>
      </c>
      <c r="B2374" s="2" t="s">
        <v>960</v>
      </c>
      <c r="C2374" s="2" t="s">
        <v>961</v>
      </c>
      <c r="D2374" s="2" t="str">
        <f>"2069531569"</f>
        <v>2069531569</v>
      </c>
      <c r="E2374" s="2" t="s">
        <v>862</v>
      </c>
      <c r="F2374" s="2" t="s">
        <v>962</v>
      </c>
      <c r="G2374" s="2" t="str">
        <f>"SR-385"</f>
        <v>SR-385</v>
      </c>
      <c r="H2374" s="2" t="s">
        <v>963</v>
      </c>
      <c r="I2374" s="2" t="s">
        <v>964</v>
      </c>
      <c r="K2374" s="2" t="s">
        <v>965</v>
      </c>
      <c r="L2374" s="2" t="s">
        <v>86</v>
      </c>
      <c r="M2374" s="2">
        <v>98036.0</v>
      </c>
      <c r="N2374" s="2" t="s">
        <v>21</v>
      </c>
    </row>
    <row r="2375" ht="15.75" customHeight="1">
      <c r="A2375" s="2">
        <v>2014.0</v>
      </c>
      <c r="B2375" s="2" t="s">
        <v>7496</v>
      </c>
      <c r="C2375" s="2" t="s">
        <v>7497</v>
      </c>
      <c r="D2375" s="2" t="str">
        <f>"479-651-2336"</f>
        <v>479-651-2336</v>
      </c>
      <c r="E2375" s="2" t="s">
        <v>7498</v>
      </c>
      <c r="F2375" s="2" t="s">
        <v>4605</v>
      </c>
      <c r="G2375" s="2" t="str">
        <f>"SR-2038"</f>
        <v>SR-2038</v>
      </c>
      <c r="H2375" s="2" t="s">
        <v>7499</v>
      </c>
      <c r="I2375" s="2" t="s">
        <v>7500</v>
      </c>
      <c r="K2375" s="2" t="s">
        <v>7501</v>
      </c>
      <c r="L2375" s="2" t="s">
        <v>1012</v>
      </c>
      <c r="M2375" s="2">
        <v>72952.0</v>
      </c>
      <c r="N2375" s="2" t="s">
        <v>21</v>
      </c>
    </row>
    <row r="2376" ht="15.75" customHeight="1">
      <c r="A2376" s="2">
        <v>2014.0</v>
      </c>
      <c r="B2376" s="2" t="s">
        <v>11551</v>
      </c>
      <c r="C2376" s="2" t="s">
        <v>11552</v>
      </c>
      <c r="D2376" s="2" t="str">
        <f>"303-464-9327"</f>
        <v>303-464-9327</v>
      </c>
      <c r="E2376" s="2" t="s">
        <v>1263</v>
      </c>
      <c r="F2376" s="2" t="s">
        <v>11553</v>
      </c>
      <c r="G2376" s="2" t="str">
        <f>"SR-3376"</f>
        <v>SR-3376</v>
      </c>
      <c r="H2376" s="2" t="s">
        <v>11554</v>
      </c>
      <c r="I2376" s="2" t="s">
        <v>11555</v>
      </c>
      <c r="K2376" s="2" t="s">
        <v>11556</v>
      </c>
      <c r="L2376" s="2" t="s">
        <v>157</v>
      </c>
      <c r="M2376" s="2">
        <v>80020.0</v>
      </c>
      <c r="N2376" s="2" t="s">
        <v>21</v>
      </c>
    </row>
    <row r="2377" ht="15.75" customHeight="1">
      <c r="A2377" s="2">
        <v>2014.0</v>
      </c>
      <c r="B2377" s="2" t="s">
        <v>11557</v>
      </c>
      <c r="C2377" s="2" t="s">
        <v>11557</v>
      </c>
      <c r="D2377" s="2" t="str">
        <f>"772.696.0087"</f>
        <v>772.696.0087</v>
      </c>
      <c r="E2377" s="2" t="s">
        <v>2598</v>
      </c>
      <c r="F2377" s="2" t="s">
        <v>3903</v>
      </c>
      <c r="G2377" s="2" t="str">
        <f>"SR-3391"</f>
        <v>SR-3391</v>
      </c>
      <c r="H2377" s="2" t="s">
        <v>11558</v>
      </c>
      <c r="I2377" s="2" t="s">
        <v>11559</v>
      </c>
      <c r="K2377" s="2" t="s">
        <v>11560</v>
      </c>
      <c r="L2377" s="2" t="s">
        <v>208</v>
      </c>
      <c r="M2377" s="2">
        <v>32960.0</v>
      </c>
      <c r="N2377" s="2" t="s">
        <v>21</v>
      </c>
    </row>
    <row r="2378" ht="15.75" customHeight="1">
      <c r="A2378" s="2">
        <v>2014.0</v>
      </c>
      <c r="B2378" s="2" t="s">
        <v>11561</v>
      </c>
      <c r="C2378" s="2" t="s">
        <v>11561</v>
      </c>
      <c r="D2378" s="2" t="str">
        <f>"515-509-0498"</f>
        <v>515-509-0498</v>
      </c>
      <c r="E2378" s="2" t="s">
        <v>11562</v>
      </c>
      <c r="F2378" s="2" t="s">
        <v>5105</v>
      </c>
      <c r="G2378" s="2" t="str">
        <f>"SR-3301"</f>
        <v>SR-3301</v>
      </c>
      <c r="H2378" s="2" t="s">
        <v>11563</v>
      </c>
      <c r="I2378" s="2" t="s">
        <v>11564</v>
      </c>
      <c r="K2378" s="2" t="s">
        <v>6354</v>
      </c>
      <c r="L2378" s="2" t="s">
        <v>560</v>
      </c>
      <c r="M2378" s="2">
        <v>50010.0</v>
      </c>
      <c r="N2378" s="2" t="s">
        <v>21</v>
      </c>
    </row>
    <row r="2379" ht="15.75" customHeight="1">
      <c r="A2379" s="2">
        <v>2014.0</v>
      </c>
      <c r="B2379" s="2" t="s">
        <v>11565</v>
      </c>
      <c r="C2379" s="2" t="s">
        <v>11565</v>
      </c>
      <c r="D2379" s="2" t="str">
        <f>"205-274-8872"</f>
        <v>205-274-8872</v>
      </c>
      <c r="E2379" s="2" t="s">
        <v>2162</v>
      </c>
      <c r="F2379" s="2" t="s">
        <v>1151</v>
      </c>
      <c r="G2379" s="2" t="str">
        <f>"SR-3038"</f>
        <v>SR-3038</v>
      </c>
      <c r="H2379" s="2" t="s">
        <v>2163</v>
      </c>
      <c r="I2379" s="2" t="s">
        <v>11485</v>
      </c>
      <c r="K2379" s="2" t="s">
        <v>11486</v>
      </c>
      <c r="L2379" s="2" t="s">
        <v>539</v>
      </c>
      <c r="M2379" s="2">
        <v>35121.0</v>
      </c>
      <c r="N2379" s="2" t="s">
        <v>21</v>
      </c>
    </row>
    <row r="2380" ht="15.75" customHeight="1">
      <c r="A2380" s="2">
        <v>2014.0</v>
      </c>
      <c r="B2380" s="2" t="s">
        <v>11566</v>
      </c>
      <c r="C2380" s="2" t="s">
        <v>11566</v>
      </c>
      <c r="D2380" s="2" t="str">
        <f>"914-703-2442"</f>
        <v>914-703-2442</v>
      </c>
      <c r="E2380" s="2" t="s">
        <v>11567</v>
      </c>
      <c r="F2380" s="2" t="s">
        <v>11568</v>
      </c>
      <c r="G2380" s="2" t="str">
        <f>"SR-3312"</f>
        <v>SR-3312</v>
      </c>
      <c r="H2380" s="2" t="s">
        <v>11569</v>
      </c>
      <c r="I2380" s="2" t="s">
        <v>11570</v>
      </c>
      <c r="K2380" s="2" t="s">
        <v>11571</v>
      </c>
      <c r="L2380" s="2" t="s">
        <v>142</v>
      </c>
      <c r="M2380" s="2">
        <v>10538.0</v>
      </c>
      <c r="N2380" s="2" t="s">
        <v>21</v>
      </c>
    </row>
    <row r="2381" ht="15.75" customHeight="1">
      <c r="A2381" s="2">
        <v>2014.0</v>
      </c>
      <c r="B2381" s="2" t="s">
        <v>11572</v>
      </c>
      <c r="C2381" s="2" t="s">
        <v>11573</v>
      </c>
      <c r="D2381" s="2" t="str">
        <f>"769-232-7008"</f>
        <v>769-232-7008</v>
      </c>
      <c r="E2381" s="2" t="s">
        <v>217</v>
      </c>
      <c r="F2381" s="2" t="s">
        <v>11574</v>
      </c>
      <c r="G2381" s="2" t="str">
        <f>"SR-3349"</f>
        <v>SR-3349</v>
      </c>
      <c r="H2381" s="2" t="s">
        <v>11575</v>
      </c>
      <c r="I2381" s="2" t="s">
        <v>11576</v>
      </c>
      <c r="K2381" s="2" t="s">
        <v>2147</v>
      </c>
      <c r="L2381" s="2" t="s">
        <v>1722</v>
      </c>
      <c r="M2381" s="2">
        <v>39047.0</v>
      </c>
      <c r="N2381" s="2" t="s">
        <v>21</v>
      </c>
    </row>
    <row r="2382" ht="15.75" customHeight="1">
      <c r="A2382" s="2">
        <v>2014.0</v>
      </c>
      <c r="B2382" s="2" t="s">
        <v>11577</v>
      </c>
      <c r="C2382" s="2" t="s">
        <v>11578</v>
      </c>
      <c r="D2382" s="2" t="str">
        <f>"512-964-6797"</f>
        <v>512-964-6797</v>
      </c>
      <c r="E2382" s="2" t="s">
        <v>261</v>
      </c>
      <c r="F2382" s="2" t="s">
        <v>6486</v>
      </c>
      <c r="G2382" s="2" t="str">
        <f>"SR-3324"</f>
        <v>SR-3324</v>
      </c>
      <c r="H2382" s="2" t="s">
        <v>11579</v>
      </c>
      <c r="I2382" s="2" t="s">
        <v>11580</v>
      </c>
      <c r="K2382" s="2" t="s">
        <v>1141</v>
      </c>
      <c r="L2382" s="2" t="s">
        <v>172</v>
      </c>
      <c r="M2382" s="2">
        <v>78746.0</v>
      </c>
      <c r="N2382" s="2" t="s">
        <v>21</v>
      </c>
    </row>
    <row r="2383" ht="15.75" customHeight="1">
      <c r="A2383" s="2">
        <v>2014.0</v>
      </c>
      <c r="B2383" s="2" t="s">
        <v>11581</v>
      </c>
      <c r="C2383" s="2" t="s">
        <v>11582</v>
      </c>
      <c r="D2383" s="2" t="str">
        <f>"864-384-3709"</f>
        <v>864-384-3709</v>
      </c>
      <c r="E2383" s="2" t="s">
        <v>11583</v>
      </c>
      <c r="F2383" s="2" t="s">
        <v>847</v>
      </c>
      <c r="G2383" s="2" t="str">
        <f>"SR-2065"</f>
        <v>SR-2065</v>
      </c>
      <c r="H2383" s="2" t="s">
        <v>11584</v>
      </c>
      <c r="I2383" s="2" t="s">
        <v>11585</v>
      </c>
      <c r="K2383" s="2" t="s">
        <v>11586</v>
      </c>
      <c r="L2383" s="2" t="s">
        <v>55</v>
      </c>
      <c r="M2383" s="2">
        <v>29349.0</v>
      </c>
      <c r="N2383" s="2" t="s">
        <v>21</v>
      </c>
    </row>
    <row r="2384" ht="15.75" customHeight="1">
      <c r="A2384" s="2">
        <v>2014.0</v>
      </c>
      <c r="B2384" s="2" t="s">
        <v>2359</v>
      </c>
      <c r="C2384" s="2" t="s">
        <v>11587</v>
      </c>
      <c r="D2384" s="2" t="str">
        <f>"7196949640"</f>
        <v>7196949640</v>
      </c>
      <c r="E2384" s="2" t="s">
        <v>144</v>
      </c>
      <c r="F2384" s="2" t="s">
        <v>2362</v>
      </c>
      <c r="G2384" s="2" t="str">
        <f>"SR-3175"</f>
        <v>SR-3175</v>
      </c>
      <c r="H2384" s="2" t="s">
        <v>11588</v>
      </c>
      <c r="I2384" s="2" t="s">
        <v>11589</v>
      </c>
      <c r="K2384" s="2" t="s">
        <v>809</v>
      </c>
      <c r="L2384" s="2" t="s">
        <v>157</v>
      </c>
      <c r="M2384" s="2">
        <v>80918.0</v>
      </c>
      <c r="N2384" s="2" t="s">
        <v>21</v>
      </c>
    </row>
    <row r="2385" ht="15.75" customHeight="1">
      <c r="A2385" s="2">
        <v>2014.0</v>
      </c>
      <c r="B2385" s="2" t="s">
        <v>11590</v>
      </c>
      <c r="C2385" s="2" t="s">
        <v>11591</v>
      </c>
      <c r="D2385" s="2" t="str">
        <f>"918-231-5118"</f>
        <v>918-231-5118</v>
      </c>
      <c r="E2385" s="2" t="s">
        <v>955</v>
      </c>
      <c r="F2385" s="2" t="s">
        <v>11592</v>
      </c>
      <c r="G2385" s="2" t="str">
        <f>"SR-2702"</f>
        <v>SR-2702</v>
      </c>
      <c r="H2385" s="2" t="s">
        <v>11593</v>
      </c>
      <c r="I2385" s="2" t="s">
        <v>11594</v>
      </c>
      <c r="K2385" s="2" t="s">
        <v>11595</v>
      </c>
      <c r="L2385" s="2" t="s">
        <v>840</v>
      </c>
      <c r="M2385" s="2">
        <v>74055.0</v>
      </c>
      <c r="N2385" s="2" t="s">
        <v>21</v>
      </c>
    </row>
    <row r="2386" ht="15.75" customHeight="1">
      <c r="A2386" s="2">
        <v>2014.0</v>
      </c>
      <c r="B2386" s="2" t="s">
        <v>11596</v>
      </c>
      <c r="C2386" s="2" t="s">
        <v>11596</v>
      </c>
      <c r="D2386" s="2" t="str">
        <f>"337-217-2954"</f>
        <v>337-217-2954</v>
      </c>
      <c r="E2386" s="2" t="s">
        <v>1015</v>
      </c>
      <c r="F2386" s="2" t="s">
        <v>11597</v>
      </c>
      <c r="G2386" s="2" t="str">
        <f>"SR-3388"</f>
        <v>SR-3388</v>
      </c>
      <c r="H2386" s="2" t="s">
        <v>11598</v>
      </c>
      <c r="I2386" s="2" t="s">
        <v>11599</v>
      </c>
      <c r="K2386" s="2" t="s">
        <v>11600</v>
      </c>
      <c r="L2386" s="2" t="s">
        <v>715</v>
      </c>
      <c r="M2386" s="2">
        <v>70611.0</v>
      </c>
      <c r="N2386" s="2" t="s">
        <v>21</v>
      </c>
    </row>
    <row r="2387" ht="15.75" customHeight="1">
      <c r="A2387" s="2">
        <v>2014.0</v>
      </c>
      <c r="B2387" s="2" t="s">
        <v>11601</v>
      </c>
      <c r="C2387" s="2" t="s">
        <v>11601</v>
      </c>
      <c r="D2387" s="2" t="str">
        <f>"770-238-2797"</f>
        <v>770-238-2797</v>
      </c>
      <c r="E2387" s="2" t="s">
        <v>4300</v>
      </c>
      <c r="F2387" s="2" t="s">
        <v>737</v>
      </c>
      <c r="G2387" s="2" t="str">
        <f>"SR-3430"</f>
        <v>SR-3430</v>
      </c>
      <c r="H2387" s="2" t="s">
        <v>11602</v>
      </c>
      <c r="I2387" s="2" t="s">
        <v>11603</v>
      </c>
      <c r="K2387" s="2" t="s">
        <v>2317</v>
      </c>
      <c r="L2387" s="2" t="s">
        <v>157</v>
      </c>
      <c r="M2387" s="2">
        <v>80504.0</v>
      </c>
      <c r="N2387" s="2" t="s">
        <v>21</v>
      </c>
    </row>
    <row r="2388" ht="15.75" customHeight="1">
      <c r="A2388" s="2">
        <v>2014.0</v>
      </c>
      <c r="B2388" s="2" t="s">
        <v>11604</v>
      </c>
      <c r="C2388" s="2" t="s">
        <v>11604</v>
      </c>
      <c r="D2388" s="2" t="str">
        <f>"7725383238"</f>
        <v>7725383238</v>
      </c>
      <c r="E2388" s="2" t="s">
        <v>7141</v>
      </c>
      <c r="F2388" s="2" t="s">
        <v>11605</v>
      </c>
      <c r="G2388" s="2" t="str">
        <f>"SR-3400"</f>
        <v>SR-3400</v>
      </c>
      <c r="H2388" s="2" t="s">
        <v>11606</v>
      </c>
      <c r="I2388" s="2" t="s">
        <v>11607</v>
      </c>
      <c r="K2388" s="2" t="s">
        <v>11608</v>
      </c>
      <c r="L2388" s="2" t="s">
        <v>208</v>
      </c>
      <c r="M2388" s="2">
        <v>32967.0</v>
      </c>
      <c r="N2388" s="2" t="s">
        <v>21</v>
      </c>
    </row>
    <row r="2389" ht="15.75" customHeight="1">
      <c r="A2389" s="2">
        <v>2014.0</v>
      </c>
      <c r="B2389" s="2" t="s">
        <v>11609</v>
      </c>
      <c r="C2389" s="2" t="s">
        <v>11609</v>
      </c>
      <c r="D2389" s="2" t="str">
        <f>"515-231-8355"</f>
        <v>515-231-8355</v>
      </c>
      <c r="E2389" s="2" t="s">
        <v>11610</v>
      </c>
      <c r="F2389" s="2" t="s">
        <v>11611</v>
      </c>
      <c r="G2389" s="2" t="str">
        <f>"SR-3429"</f>
        <v>SR-3429</v>
      </c>
      <c r="H2389" s="2" t="s">
        <v>11612</v>
      </c>
      <c r="I2389" s="2" t="s">
        <v>11613</v>
      </c>
      <c r="K2389" s="2" t="s">
        <v>6354</v>
      </c>
      <c r="L2389" s="2" t="s">
        <v>560</v>
      </c>
      <c r="M2389" s="2">
        <v>50010.0</v>
      </c>
      <c r="N2389" s="2" t="s">
        <v>21</v>
      </c>
    </row>
    <row r="2390" ht="15.75" customHeight="1">
      <c r="A2390" s="2">
        <v>2014.0</v>
      </c>
      <c r="B2390" s="2" t="s">
        <v>11614</v>
      </c>
      <c r="C2390" s="2" t="s">
        <v>11615</v>
      </c>
      <c r="D2390" s="2" t="str">
        <f>"906-483-0858"</f>
        <v>906-483-0858</v>
      </c>
      <c r="E2390" s="2" t="s">
        <v>1767</v>
      </c>
      <c r="F2390" s="2" t="s">
        <v>11616</v>
      </c>
      <c r="G2390" s="2" t="str">
        <f>"SR-3414"</f>
        <v>SR-3414</v>
      </c>
      <c r="H2390" s="2" t="s">
        <v>11617</v>
      </c>
      <c r="I2390" s="2" t="s">
        <v>11618</v>
      </c>
      <c r="K2390" s="2" t="s">
        <v>11619</v>
      </c>
      <c r="L2390" s="2" t="s">
        <v>29</v>
      </c>
      <c r="M2390" s="2">
        <v>49916.0</v>
      </c>
      <c r="N2390" s="2" t="s">
        <v>21</v>
      </c>
    </row>
    <row r="2391" ht="15.75" customHeight="1">
      <c r="A2391" s="2">
        <v>2014.0</v>
      </c>
      <c r="B2391" s="2" t="s">
        <v>11620</v>
      </c>
      <c r="C2391" s="2" t="s">
        <v>11621</v>
      </c>
      <c r="D2391" s="2" t="str">
        <f>"903-868-2750"</f>
        <v>903-868-2750</v>
      </c>
      <c r="E2391" s="2" t="s">
        <v>1664</v>
      </c>
      <c r="F2391" s="2" t="s">
        <v>8260</v>
      </c>
      <c r="G2391" s="2" t="str">
        <f>"SR-2775"</f>
        <v>SR-2775</v>
      </c>
      <c r="H2391" s="2" t="s">
        <v>11622</v>
      </c>
      <c r="I2391" s="2" t="s">
        <v>11623</v>
      </c>
      <c r="K2391" s="2" t="s">
        <v>9547</v>
      </c>
      <c r="L2391" s="2" t="s">
        <v>172</v>
      </c>
      <c r="M2391" s="2">
        <v>75090.0</v>
      </c>
      <c r="N2391" s="2" t="s">
        <v>21</v>
      </c>
    </row>
    <row r="2392" ht="15.75" customHeight="1">
      <c r="A2392" s="2">
        <v>2014.0</v>
      </c>
      <c r="B2392" s="2" t="s">
        <v>11624</v>
      </c>
      <c r="C2392" s="2" t="s">
        <v>11625</v>
      </c>
      <c r="D2392" s="2" t="str">
        <f>"732 842 8054"</f>
        <v>732 842 8054</v>
      </c>
      <c r="E2392" s="2" t="s">
        <v>11626</v>
      </c>
      <c r="F2392" s="2" t="s">
        <v>1040</v>
      </c>
      <c r="G2392" s="2" t="str">
        <f>"SR-3419"</f>
        <v>SR-3419</v>
      </c>
      <c r="H2392" s="2" t="s">
        <v>11627</v>
      </c>
      <c r="I2392" s="2" t="s">
        <v>11628</v>
      </c>
      <c r="K2392" s="2" t="s">
        <v>11629</v>
      </c>
      <c r="L2392" s="2" t="s">
        <v>3618</v>
      </c>
      <c r="M2392" s="2">
        <v>7701.0</v>
      </c>
      <c r="N2392" s="2" t="s">
        <v>21</v>
      </c>
    </row>
    <row r="2393" ht="15.75" customHeight="1">
      <c r="A2393" s="2">
        <v>2014.0</v>
      </c>
      <c r="B2393" s="2" t="s">
        <v>11630</v>
      </c>
      <c r="C2393" s="2" t="s">
        <v>11631</v>
      </c>
      <c r="D2393" s="2" t="str">
        <f>"409-735-9624"</f>
        <v>409-735-9624</v>
      </c>
      <c r="E2393" s="2" t="s">
        <v>6499</v>
      </c>
      <c r="F2393" s="2" t="s">
        <v>11632</v>
      </c>
      <c r="G2393" s="2" t="str">
        <f>"SR-3271"</f>
        <v>SR-3271</v>
      </c>
      <c r="H2393" s="2" t="s">
        <v>11633</v>
      </c>
      <c r="I2393" s="2" t="s">
        <v>11634</v>
      </c>
      <c r="K2393" s="2" t="s">
        <v>642</v>
      </c>
      <c r="L2393" s="2" t="s">
        <v>172</v>
      </c>
      <c r="M2393" s="2">
        <v>77630.0</v>
      </c>
      <c r="N2393" s="2" t="s">
        <v>21</v>
      </c>
    </row>
    <row r="2394" ht="15.75" customHeight="1">
      <c r="A2394" s="2">
        <v>2014.0</v>
      </c>
      <c r="B2394" s="2" t="s">
        <v>11635</v>
      </c>
      <c r="C2394" s="2" t="s">
        <v>11636</v>
      </c>
      <c r="D2394" s="2" t="str">
        <f>"769-972-1716"</f>
        <v>769-972-1716</v>
      </c>
      <c r="E2394" s="2" t="s">
        <v>15</v>
      </c>
      <c r="F2394" s="2" t="s">
        <v>11637</v>
      </c>
      <c r="G2394" s="2" t="str">
        <f>"SR-2699"</f>
        <v>SR-2699</v>
      </c>
      <c r="H2394" s="2" t="s">
        <v>11638</v>
      </c>
      <c r="I2394" s="2" t="s">
        <v>11639</v>
      </c>
      <c r="K2394" s="2" t="s">
        <v>659</v>
      </c>
      <c r="L2394" s="2" t="s">
        <v>1722</v>
      </c>
      <c r="M2394" s="2">
        <v>39110.0</v>
      </c>
      <c r="N2394" s="2" t="s">
        <v>21</v>
      </c>
    </row>
    <row r="2395" ht="15.75" customHeight="1">
      <c r="A2395" s="2">
        <v>2014.0</v>
      </c>
      <c r="B2395" s="2" t="s">
        <v>3246</v>
      </c>
      <c r="C2395" s="2" t="s">
        <v>3247</v>
      </c>
      <c r="D2395" s="2" t="str">
        <f>"6628442388"</f>
        <v>6628442388</v>
      </c>
      <c r="E2395" s="2" t="s">
        <v>3248</v>
      </c>
      <c r="F2395" s="2" t="s">
        <v>3249</v>
      </c>
      <c r="G2395" s="2" t="str">
        <f>"SR-900"</f>
        <v>SR-900</v>
      </c>
      <c r="H2395" s="2" t="s">
        <v>3250</v>
      </c>
      <c r="I2395" s="2" t="s">
        <v>3251</v>
      </c>
      <c r="K2395" s="2" t="s">
        <v>2432</v>
      </c>
      <c r="L2395" s="2" t="s">
        <v>1722</v>
      </c>
      <c r="M2395" s="2">
        <v>38801.0</v>
      </c>
      <c r="N2395" s="2" t="s">
        <v>21</v>
      </c>
    </row>
    <row r="2396" ht="15.75" customHeight="1">
      <c r="A2396" s="2">
        <v>2014.0</v>
      </c>
      <c r="B2396" s="2" t="s">
        <v>11640</v>
      </c>
      <c r="C2396" s="2" t="s">
        <v>11641</v>
      </c>
      <c r="D2396" s="2" t="str">
        <f>"303-841-2223"</f>
        <v>303-841-2223</v>
      </c>
      <c r="E2396" s="2" t="s">
        <v>3668</v>
      </c>
      <c r="F2396" s="2" t="s">
        <v>11642</v>
      </c>
      <c r="G2396" s="2" t="str">
        <f>"SR-3432"</f>
        <v>SR-3432</v>
      </c>
      <c r="H2396" s="2" t="s">
        <v>11643</v>
      </c>
      <c r="I2396" s="2" t="s">
        <v>11644</v>
      </c>
      <c r="K2396" s="2" t="s">
        <v>1054</v>
      </c>
      <c r="L2396" s="2" t="s">
        <v>157</v>
      </c>
      <c r="M2396" s="2">
        <v>80134.0</v>
      </c>
      <c r="N2396" s="2" t="s">
        <v>21</v>
      </c>
    </row>
    <row r="2397" ht="15.75" customHeight="1">
      <c r="A2397" s="2">
        <v>2014.0</v>
      </c>
      <c r="B2397" s="2" t="s">
        <v>11645</v>
      </c>
      <c r="C2397" s="2" t="s">
        <v>11646</v>
      </c>
      <c r="D2397" s="2" t="str">
        <f>"651 773 3058"</f>
        <v>651 773 3058</v>
      </c>
      <c r="E2397" s="2" t="s">
        <v>1732</v>
      </c>
      <c r="F2397" s="2" t="s">
        <v>11647</v>
      </c>
      <c r="G2397" s="2" t="str">
        <f>"SR-3443"</f>
        <v>SR-3443</v>
      </c>
      <c r="H2397" s="2" t="s">
        <v>11648</v>
      </c>
      <c r="I2397" s="2" t="s">
        <v>11649</v>
      </c>
      <c r="K2397" s="2" t="s">
        <v>11650</v>
      </c>
      <c r="L2397" s="2" t="s">
        <v>62</v>
      </c>
      <c r="M2397" s="2">
        <v>55109.0</v>
      </c>
      <c r="N2397" s="2" t="s">
        <v>21</v>
      </c>
    </row>
    <row r="2398" ht="15.75" customHeight="1">
      <c r="A2398" s="2">
        <v>2014.0</v>
      </c>
      <c r="B2398" s="2" t="s">
        <v>11651</v>
      </c>
      <c r="C2398" s="2" t="s">
        <v>11652</v>
      </c>
      <c r="D2398" s="2" t="str">
        <f>"803.865.0881"</f>
        <v>803.865.0881</v>
      </c>
      <c r="E2398" s="2" t="s">
        <v>3743</v>
      </c>
      <c r="F2398" s="2" t="s">
        <v>11653</v>
      </c>
      <c r="G2398" s="2" t="str">
        <f>"SR-3260"</f>
        <v>SR-3260</v>
      </c>
      <c r="H2398" s="2" t="s">
        <v>11654</v>
      </c>
      <c r="I2398" s="2" t="s">
        <v>11655</v>
      </c>
      <c r="K2398" s="2" t="s">
        <v>2750</v>
      </c>
      <c r="L2398" s="2" t="s">
        <v>55</v>
      </c>
      <c r="M2398" s="2">
        <v>29223.0</v>
      </c>
      <c r="N2398" s="2" t="s">
        <v>21</v>
      </c>
    </row>
    <row r="2399" ht="15.75" customHeight="1">
      <c r="A2399" s="2">
        <v>2014.0</v>
      </c>
      <c r="B2399" s="2" t="s">
        <v>11656</v>
      </c>
      <c r="C2399" s="2" t="s">
        <v>11656</v>
      </c>
      <c r="D2399" s="2" t="str">
        <f>"15308593092"</f>
        <v>15308593092</v>
      </c>
      <c r="E2399" s="2" t="s">
        <v>11657</v>
      </c>
      <c r="F2399" s="2" t="s">
        <v>11658</v>
      </c>
      <c r="G2399" s="2" t="str">
        <f>"SR-3317"</f>
        <v>SR-3317</v>
      </c>
      <c r="H2399" s="2" t="s">
        <v>11659</v>
      </c>
      <c r="I2399" s="2" t="s">
        <v>11660</v>
      </c>
      <c r="K2399" s="2" t="s">
        <v>11661</v>
      </c>
      <c r="L2399" s="2" t="s">
        <v>222</v>
      </c>
      <c r="M2399" s="2">
        <v>96067.0</v>
      </c>
      <c r="N2399" s="2" t="s">
        <v>21</v>
      </c>
    </row>
    <row r="2400" ht="15.75" customHeight="1">
      <c r="A2400" s="2">
        <v>2014.0</v>
      </c>
      <c r="B2400" s="2" t="s">
        <v>11662</v>
      </c>
      <c r="C2400" s="2" t="s">
        <v>11663</v>
      </c>
      <c r="D2400" s="2" t="str">
        <f>"7652107346"</f>
        <v>7652107346</v>
      </c>
      <c r="E2400" s="2" t="s">
        <v>7758</v>
      </c>
      <c r="F2400" s="2" t="s">
        <v>11664</v>
      </c>
      <c r="G2400" s="2" t="str">
        <f>"SR-3205"</f>
        <v>SR-3205</v>
      </c>
      <c r="H2400" s="2" t="s">
        <v>11665</v>
      </c>
      <c r="I2400" s="2" t="s">
        <v>11666</v>
      </c>
      <c r="K2400" s="2" t="s">
        <v>11667</v>
      </c>
      <c r="L2400" s="2" t="s">
        <v>149</v>
      </c>
      <c r="M2400" s="2">
        <v>46901.0</v>
      </c>
      <c r="N2400" s="2" t="s">
        <v>21</v>
      </c>
    </row>
    <row r="2401" ht="15.75" customHeight="1">
      <c r="A2401" s="2">
        <v>2014.0</v>
      </c>
      <c r="B2401" s="2" t="s">
        <v>11668</v>
      </c>
      <c r="C2401" s="2" t="s">
        <v>11669</v>
      </c>
      <c r="D2401" s="2" t="str">
        <f>"417-827-9882"</f>
        <v>417-827-9882</v>
      </c>
      <c r="E2401" s="2" t="s">
        <v>1761</v>
      </c>
      <c r="F2401" s="2" t="s">
        <v>5035</v>
      </c>
      <c r="G2401" s="2" t="str">
        <f>"SR-3450"</f>
        <v>SR-3450</v>
      </c>
      <c r="H2401" s="2" t="s">
        <v>11670</v>
      </c>
      <c r="I2401" s="2" t="s">
        <v>11671</v>
      </c>
      <c r="K2401" s="2" t="s">
        <v>3239</v>
      </c>
      <c r="L2401" s="2" t="s">
        <v>214</v>
      </c>
      <c r="M2401" s="2">
        <v>65809.0</v>
      </c>
      <c r="N2401" s="2" t="s">
        <v>21</v>
      </c>
    </row>
    <row r="2402" ht="15.75" customHeight="1">
      <c r="A2402" s="2">
        <v>2014.0</v>
      </c>
      <c r="B2402" s="2" t="s">
        <v>11672</v>
      </c>
      <c r="C2402" s="2" t="s">
        <v>11673</v>
      </c>
      <c r="D2402" s="2" t="str">
        <f>"3374859189"</f>
        <v>3374859189</v>
      </c>
      <c r="E2402" s="2" t="s">
        <v>1767</v>
      </c>
      <c r="F2402" s="2" t="s">
        <v>11674</v>
      </c>
      <c r="G2402" s="2" t="str">
        <f>"SR-3453"</f>
        <v>SR-3453</v>
      </c>
      <c r="H2402" s="2" t="s">
        <v>11675</v>
      </c>
      <c r="I2402" s="2" t="s">
        <v>11676</v>
      </c>
      <c r="K2402" s="2" t="s">
        <v>11600</v>
      </c>
      <c r="L2402" s="2" t="s">
        <v>715</v>
      </c>
      <c r="M2402" s="2">
        <v>70607.0</v>
      </c>
      <c r="N2402" s="2" t="s">
        <v>21</v>
      </c>
    </row>
    <row r="2403" ht="15.75" customHeight="1">
      <c r="A2403" s="2">
        <v>2014.0</v>
      </c>
      <c r="B2403" s="2" t="s">
        <v>11677</v>
      </c>
      <c r="C2403" s="2" t="s">
        <v>11677</v>
      </c>
      <c r="D2403" s="2" t="str">
        <f>"337-529-2200"</f>
        <v>337-529-2200</v>
      </c>
      <c r="E2403" s="2" t="s">
        <v>843</v>
      </c>
      <c r="F2403" s="2" t="s">
        <v>11674</v>
      </c>
      <c r="G2403" s="2" t="str">
        <f>"SR-3455"</f>
        <v>SR-3455</v>
      </c>
      <c r="H2403" s="2" t="s">
        <v>11678</v>
      </c>
      <c r="I2403" s="2" t="s">
        <v>11679</v>
      </c>
      <c r="K2403" s="2" t="s">
        <v>11600</v>
      </c>
      <c r="L2403" s="2" t="s">
        <v>715</v>
      </c>
      <c r="M2403" s="2">
        <v>70605.0</v>
      </c>
      <c r="N2403" s="2" t="s">
        <v>21</v>
      </c>
    </row>
    <row r="2404" ht="15.75" customHeight="1">
      <c r="A2404" s="2">
        <v>2014.0</v>
      </c>
      <c r="B2404" s="2" t="s">
        <v>11680</v>
      </c>
      <c r="C2404" s="2" t="s">
        <v>11680</v>
      </c>
      <c r="D2404" s="2" t="str">
        <f>"949-275-5910"</f>
        <v>949-275-5910</v>
      </c>
      <c r="E2404" s="2" t="s">
        <v>1946</v>
      </c>
      <c r="F2404" s="2" t="s">
        <v>11681</v>
      </c>
      <c r="G2404" s="2" t="str">
        <f>"SR-3454"</f>
        <v>SR-3454</v>
      </c>
      <c r="H2404" s="2" t="s">
        <v>11682</v>
      </c>
      <c r="I2404" s="2" t="s">
        <v>11683</v>
      </c>
      <c r="K2404" s="2" t="s">
        <v>11684</v>
      </c>
      <c r="L2404" s="2" t="s">
        <v>222</v>
      </c>
      <c r="M2404" s="2">
        <v>92704.0</v>
      </c>
      <c r="N2404" s="2" t="s">
        <v>21</v>
      </c>
    </row>
    <row r="2405" ht="15.75" customHeight="1">
      <c r="A2405" s="2">
        <v>2014.0</v>
      </c>
      <c r="B2405" s="2" t="s">
        <v>11685</v>
      </c>
      <c r="C2405" s="2" t="s">
        <v>11685</v>
      </c>
      <c r="D2405" s="2" t="str">
        <f>"218-252-1878"</f>
        <v>218-252-1878</v>
      </c>
      <c r="E2405" s="2" t="s">
        <v>3743</v>
      </c>
      <c r="F2405" s="2" t="s">
        <v>6494</v>
      </c>
      <c r="G2405" s="2" t="str">
        <f>"SR-3435"</f>
        <v>SR-3435</v>
      </c>
      <c r="H2405" s="2" t="s">
        <v>11686</v>
      </c>
      <c r="I2405" s="2" t="s">
        <v>11687</v>
      </c>
      <c r="K2405" s="2" t="s">
        <v>11688</v>
      </c>
      <c r="L2405" s="2" t="s">
        <v>62</v>
      </c>
      <c r="M2405" s="2">
        <v>56470.0</v>
      </c>
      <c r="N2405" s="2" t="s">
        <v>21</v>
      </c>
    </row>
    <row r="2406" ht="15.75" customHeight="1">
      <c r="A2406" s="2">
        <v>2014.0</v>
      </c>
      <c r="B2406" s="2" t="s">
        <v>11689</v>
      </c>
      <c r="C2406" s="2" t="s">
        <v>11690</v>
      </c>
      <c r="D2406" s="2" t="str">
        <f>"251-649-3943"</f>
        <v>251-649-3943</v>
      </c>
      <c r="E2406" s="2" t="s">
        <v>326</v>
      </c>
      <c r="F2406" s="2" t="s">
        <v>278</v>
      </c>
      <c r="G2406" s="2" t="str">
        <f>"SR-3439"</f>
        <v>SR-3439</v>
      </c>
      <c r="H2406" s="2" t="s">
        <v>11691</v>
      </c>
      <c r="I2406" s="2" t="s">
        <v>11692</v>
      </c>
      <c r="K2406" s="2" t="s">
        <v>11693</v>
      </c>
      <c r="L2406" s="2" t="s">
        <v>539</v>
      </c>
      <c r="M2406" s="2">
        <v>36587.0</v>
      </c>
      <c r="N2406" s="2" t="s">
        <v>21</v>
      </c>
    </row>
    <row r="2407" ht="15.75" customHeight="1">
      <c r="A2407" s="2">
        <v>2014.0</v>
      </c>
      <c r="B2407" s="2" t="s">
        <v>11694</v>
      </c>
      <c r="C2407" s="2" t="s">
        <v>11694</v>
      </c>
      <c r="D2407" s="2" t="str">
        <f>"14796479632"</f>
        <v>14796479632</v>
      </c>
      <c r="E2407" s="2" t="s">
        <v>11695</v>
      </c>
      <c r="F2407" s="2" t="s">
        <v>6884</v>
      </c>
      <c r="G2407" s="2" t="str">
        <f>"SR-3338"</f>
        <v>SR-3338</v>
      </c>
      <c r="H2407" s="2" t="s">
        <v>11696</v>
      </c>
      <c r="I2407" s="2" t="s">
        <v>11697</v>
      </c>
      <c r="K2407" s="2" t="s">
        <v>11698</v>
      </c>
      <c r="L2407" s="2" t="s">
        <v>1012</v>
      </c>
      <c r="M2407" s="2">
        <v>72852.0</v>
      </c>
      <c r="N2407" s="2" t="s">
        <v>21</v>
      </c>
    </row>
    <row r="2408" ht="15.75" customHeight="1">
      <c r="A2408" s="2">
        <v>2014.0</v>
      </c>
      <c r="B2408" s="2" t="s">
        <v>11645</v>
      </c>
      <c r="C2408" s="2" t="s">
        <v>11699</v>
      </c>
      <c r="D2408" s="2" t="str">
        <f>"651 773 3058"</f>
        <v>651 773 3058</v>
      </c>
      <c r="E2408" s="2" t="s">
        <v>778</v>
      </c>
      <c r="F2408" s="2" t="s">
        <v>11647</v>
      </c>
      <c r="G2408" s="2" t="str">
        <f>"SR-3446"</f>
        <v>SR-3446</v>
      </c>
      <c r="H2408" s="2" t="s">
        <v>11700</v>
      </c>
      <c r="I2408" s="2" t="s">
        <v>11701</v>
      </c>
      <c r="K2408" s="2" t="s">
        <v>11650</v>
      </c>
      <c r="L2408" s="2" t="s">
        <v>62</v>
      </c>
      <c r="M2408" s="2">
        <v>55109.0</v>
      </c>
      <c r="N2408" s="2" t="s">
        <v>21</v>
      </c>
    </row>
    <row r="2409" ht="15.75" customHeight="1">
      <c r="A2409" s="2">
        <v>2014.0</v>
      </c>
      <c r="B2409" s="2" t="s">
        <v>7446</v>
      </c>
      <c r="C2409" s="2" t="s">
        <v>11702</v>
      </c>
      <c r="D2409" s="2" t="str">
        <f>"4788673166"</f>
        <v>4788673166</v>
      </c>
      <c r="E2409" s="2" t="s">
        <v>2941</v>
      </c>
      <c r="F2409" s="2" t="s">
        <v>3144</v>
      </c>
      <c r="G2409" s="2" t="str">
        <f>"SR-2515"</f>
        <v>SR-2515</v>
      </c>
      <c r="H2409" s="2" t="s">
        <v>11703</v>
      </c>
      <c r="I2409" s="2" t="s">
        <v>11704</v>
      </c>
      <c r="K2409" s="2" t="s">
        <v>11705</v>
      </c>
      <c r="L2409" s="2" t="s">
        <v>200</v>
      </c>
      <c r="M2409" s="2">
        <v>31036.0</v>
      </c>
      <c r="N2409" s="2" t="s">
        <v>21</v>
      </c>
    </row>
    <row r="2410" ht="15.75" customHeight="1">
      <c r="A2410" s="2">
        <v>2014.0</v>
      </c>
      <c r="B2410" s="2" t="s">
        <v>11706</v>
      </c>
      <c r="C2410" s="2" t="s">
        <v>11707</v>
      </c>
      <c r="D2410" s="2" t="str">
        <f>"405-564-3782"</f>
        <v>405-564-3782</v>
      </c>
      <c r="E2410" s="2" t="s">
        <v>4871</v>
      </c>
      <c r="F2410" s="2" t="s">
        <v>11708</v>
      </c>
      <c r="G2410" s="2" t="str">
        <f>"SR-3090"</f>
        <v>SR-3090</v>
      </c>
      <c r="H2410" s="2" t="s">
        <v>11709</v>
      </c>
      <c r="I2410" s="2" t="s">
        <v>11710</v>
      </c>
      <c r="K2410" s="2" t="s">
        <v>11711</v>
      </c>
      <c r="L2410" s="2" t="s">
        <v>840</v>
      </c>
      <c r="M2410" s="2">
        <v>74075.0</v>
      </c>
      <c r="N2410" s="2" t="s">
        <v>21</v>
      </c>
    </row>
    <row r="2411" ht="15.75" customHeight="1">
      <c r="A2411" s="2">
        <v>2014.0</v>
      </c>
      <c r="B2411" s="2" t="s">
        <v>11712</v>
      </c>
      <c r="C2411" s="2" t="s">
        <v>11713</v>
      </c>
      <c r="D2411" s="2" t="str">
        <f>"480-451-7263"</f>
        <v>480-451-7263</v>
      </c>
      <c r="E2411" s="2" t="s">
        <v>580</v>
      </c>
      <c r="F2411" s="2" t="s">
        <v>9856</v>
      </c>
      <c r="G2411" s="2" t="str">
        <f>"SR-3442"</f>
        <v>SR-3442</v>
      </c>
      <c r="H2411" s="2" t="s">
        <v>11714</v>
      </c>
      <c r="I2411" s="2" t="s">
        <v>11715</v>
      </c>
      <c r="K2411" s="2" t="s">
        <v>1593</v>
      </c>
      <c r="L2411" s="2" t="s">
        <v>422</v>
      </c>
      <c r="M2411" s="2">
        <v>85260.0</v>
      </c>
      <c r="N2411" s="2" t="s">
        <v>21</v>
      </c>
    </row>
    <row r="2412" ht="15.75" customHeight="1">
      <c r="A2412" s="2">
        <v>2014.0</v>
      </c>
      <c r="B2412" s="2" t="s">
        <v>11716</v>
      </c>
      <c r="C2412" s="2" t="s">
        <v>11716</v>
      </c>
      <c r="D2412" s="2" t="str">
        <f>"8067858785"</f>
        <v>8067858785</v>
      </c>
      <c r="E2412" s="2" t="s">
        <v>2378</v>
      </c>
      <c r="F2412" s="2" t="s">
        <v>984</v>
      </c>
      <c r="G2412" s="2" t="str">
        <f>"SR-3436"</f>
        <v>SR-3436</v>
      </c>
      <c r="H2412" s="2" t="s">
        <v>11717</v>
      </c>
      <c r="I2412" s="2" t="s">
        <v>11718</v>
      </c>
      <c r="K2412" s="2" t="s">
        <v>1121</v>
      </c>
      <c r="L2412" s="2" t="s">
        <v>172</v>
      </c>
      <c r="M2412" s="2">
        <v>79424.0</v>
      </c>
      <c r="N2412" s="2" t="s">
        <v>21</v>
      </c>
    </row>
    <row r="2413" ht="15.75" customHeight="1">
      <c r="A2413" s="2">
        <v>2014.0</v>
      </c>
      <c r="B2413" s="2" t="s">
        <v>3398</v>
      </c>
      <c r="C2413" s="2" t="s">
        <v>3399</v>
      </c>
      <c r="D2413" s="2" t="str">
        <f>"303-652-3012"</f>
        <v>303-652-3012</v>
      </c>
      <c r="E2413" s="2" t="s">
        <v>3400</v>
      </c>
      <c r="F2413" s="2" t="s">
        <v>3401</v>
      </c>
      <c r="G2413" s="2" t="str">
        <f>"SR-1088"</f>
        <v>SR-1088</v>
      </c>
      <c r="H2413" s="2" t="s">
        <v>3402</v>
      </c>
      <c r="I2413" s="2" t="s">
        <v>3403</v>
      </c>
      <c r="K2413" s="2" t="s">
        <v>2317</v>
      </c>
      <c r="L2413" s="2" t="s">
        <v>157</v>
      </c>
      <c r="M2413" s="2">
        <v>80502.0</v>
      </c>
      <c r="N2413" s="2" t="s">
        <v>21</v>
      </c>
    </row>
    <row r="2414" ht="15.75" customHeight="1">
      <c r="A2414" s="2">
        <v>2014.0</v>
      </c>
      <c r="B2414" s="2" t="s">
        <v>11712</v>
      </c>
      <c r="C2414" s="2" t="s">
        <v>11719</v>
      </c>
      <c r="D2414" s="2" t="str">
        <f>"480-451-7263"</f>
        <v>480-451-7263</v>
      </c>
      <c r="E2414" s="2" t="s">
        <v>72</v>
      </c>
      <c r="F2414" s="2" t="s">
        <v>9856</v>
      </c>
      <c r="G2414" s="2" t="str">
        <f>"SR-3463"</f>
        <v>SR-3463</v>
      </c>
      <c r="H2414" s="2" t="s">
        <v>11720</v>
      </c>
      <c r="I2414" s="2" t="s">
        <v>11715</v>
      </c>
      <c r="K2414" s="2" t="s">
        <v>1593</v>
      </c>
      <c r="L2414" s="2" t="s">
        <v>422</v>
      </c>
      <c r="M2414" s="2">
        <v>85260.0</v>
      </c>
      <c r="N2414" s="2" t="s">
        <v>21</v>
      </c>
    </row>
    <row r="2415" ht="15.75" customHeight="1">
      <c r="A2415" s="2">
        <v>2014.0</v>
      </c>
      <c r="B2415" s="2" t="s">
        <v>11721</v>
      </c>
      <c r="C2415" s="2" t="s">
        <v>11722</v>
      </c>
      <c r="D2415" s="2" t="str">
        <f>"402 860 3325"</f>
        <v>402 860 3325</v>
      </c>
      <c r="E2415" s="2" t="s">
        <v>4224</v>
      </c>
      <c r="F2415" s="2" t="s">
        <v>11723</v>
      </c>
      <c r="G2415" s="2" t="str">
        <f>"SR-3420"</f>
        <v>SR-3420</v>
      </c>
      <c r="H2415" s="2" t="s">
        <v>11724</v>
      </c>
      <c r="I2415" s="2" t="s">
        <v>11725</v>
      </c>
      <c r="K2415" s="2" t="s">
        <v>11726</v>
      </c>
      <c r="L2415" s="2" t="s">
        <v>757</v>
      </c>
      <c r="M2415" s="2">
        <v>68701.0</v>
      </c>
      <c r="N2415" s="2" t="s">
        <v>21</v>
      </c>
    </row>
    <row r="2416" ht="15.75" customHeight="1">
      <c r="A2416" s="2">
        <v>2014.0</v>
      </c>
      <c r="B2416" s="2" t="s">
        <v>11727</v>
      </c>
      <c r="C2416" s="2" t="s">
        <v>11728</v>
      </c>
      <c r="D2416" s="2" t="str">
        <f>"6266604004"</f>
        <v>6266604004</v>
      </c>
      <c r="E2416" s="2" t="s">
        <v>6526</v>
      </c>
      <c r="F2416" s="2" t="s">
        <v>4648</v>
      </c>
      <c r="G2416" s="2" t="str">
        <f>"SR-3418"</f>
        <v>SR-3418</v>
      </c>
      <c r="H2416" s="2" t="s">
        <v>11729</v>
      </c>
      <c r="I2416" s="2" t="s">
        <v>11730</v>
      </c>
      <c r="K2416" s="2" t="s">
        <v>11731</v>
      </c>
      <c r="L2416" s="2" t="s">
        <v>222</v>
      </c>
      <c r="M2416" s="2">
        <v>91784.0</v>
      </c>
      <c r="N2416" s="2" t="s">
        <v>21</v>
      </c>
    </row>
    <row r="2417" ht="15.75" customHeight="1">
      <c r="A2417" s="2">
        <v>2014.0</v>
      </c>
      <c r="B2417" s="2" t="s">
        <v>11732</v>
      </c>
      <c r="C2417" s="2" t="s">
        <v>11732</v>
      </c>
      <c r="D2417" s="2" t="str">
        <f>"210-380-6783"</f>
        <v>210-380-6783</v>
      </c>
      <c r="E2417" s="2" t="s">
        <v>11733</v>
      </c>
      <c r="F2417" s="2" t="s">
        <v>11734</v>
      </c>
      <c r="G2417" s="2" t="str">
        <f>"SR-3447"</f>
        <v>SR-3447</v>
      </c>
      <c r="H2417" s="2" t="s">
        <v>11735</v>
      </c>
      <c r="I2417" s="2" t="s">
        <v>11736</v>
      </c>
      <c r="K2417" s="2" t="s">
        <v>11737</v>
      </c>
      <c r="L2417" s="2" t="s">
        <v>2696</v>
      </c>
      <c r="M2417" s="2">
        <v>59721.0</v>
      </c>
      <c r="N2417" s="2" t="s">
        <v>21</v>
      </c>
    </row>
    <row r="2418" ht="15.75" customHeight="1">
      <c r="A2418" s="2">
        <v>2014.0</v>
      </c>
      <c r="B2418" s="2" t="s">
        <v>7967</v>
      </c>
      <c r="C2418" s="2" t="s">
        <v>7968</v>
      </c>
      <c r="D2418" s="2" t="str">
        <f>"8047792049"</f>
        <v>8047792049</v>
      </c>
      <c r="E2418" s="2" t="s">
        <v>1946</v>
      </c>
      <c r="F2418" s="2" t="s">
        <v>863</v>
      </c>
      <c r="G2418" s="2" t="str">
        <f>"SR-2172"</f>
        <v>SR-2172</v>
      </c>
      <c r="H2418" s="2" t="s">
        <v>7969</v>
      </c>
      <c r="I2418" s="2" t="s">
        <v>7970</v>
      </c>
      <c r="K2418" s="2" t="s">
        <v>7971</v>
      </c>
      <c r="L2418" s="2" t="s">
        <v>165</v>
      </c>
      <c r="M2418" s="2">
        <v>23111.0</v>
      </c>
      <c r="N2418" s="2" t="s">
        <v>21</v>
      </c>
    </row>
    <row r="2419" ht="15.75" customHeight="1">
      <c r="A2419" s="2">
        <v>2014.0</v>
      </c>
      <c r="B2419" s="2" t="s">
        <v>11738</v>
      </c>
      <c r="C2419" s="2" t="s">
        <v>11738</v>
      </c>
      <c r="D2419" s="2" t="str">
        <f>"8653687904"</f>
        <v>8653687904</v>
      </c>
      <c r="E2419" s="2" t="s">
        <v>7046</v>
      </c>
      <c r="F2419" s="2" t="s">
        <v>3283</v>
      </c>
      <c r="G2419" s="2" t="str">
        <f>"SR-3117"</f>
        <v>SR-3117</v>
      </c>
      <c r="H2419" s="2" t="s">
        <v>11739</v>
      </c>
      <c r="I2419" s="2" t="s">
        <v>11740</v>
      </c>
      <c r="K2419" s="2" t="s">
        <v>3397</v>
      </c>
      <c r="L2419" s="2" t="s">
        <v>279</v>
      </c>
      <c r="M2419" s="2">
        <v>37814.0</v>
      </c>
      <c r="N2419" s="2" t="s">
        <v>21</v>
      </c>
    </row>
    <row r="2420" ht="15.75" customHeight="1">
      <c r="A2420" s="2">
        <v>2014.0</v>
      </c>
      <c r="B2420" s="2" t="s">
        <v>4945</v>
      </c>
      <c r="C2420" s="2" t="s">
        <v>4945</v>
      </c>
      <c r="D2420" s="2" t="str">
        <f>"4062521877"</f>
        <v>4062521877</v>
      </c>
      <c r="E2420" s="2" t="s">
        <v>50</v>
      </c>
      <c r="F2420" s="2" t="s">
        <v>4947</v>
      </c>
      <c r="G2420" s="2" t="str">
        <f>"SR-3468"</f>
        <v>SR-3468</v>
      </c>
      <c r="H2420" s="2" t="s">
        <v>11741</v>
      </c>
      <c r="I2420" s="2" t="s">
        <v>4949</v>
      </c>
      <c r="K2420" s="2" t="s">
        <v>3548</v>
      </c>
      <c r="L2420" s="2" t="s">
        <v>2696</v>
      </c>
      <c r="M2420" s="2">
        <v>59102.0</v>
      </c>
      <c r="N2420" s="2" t="s">
        <v>21</v>
      </c>
    </row>
    <row r="2421" ht="15.75" customHeight="1">
      <c r="A2421" s="2">
        <v>2014.0</v>
      </c>
      <c r="B2421" s="2" t="s">
        <v>11742</v>
      </c>
      <c r="C2421" s="2" t="s">
        <v>11742</v>
      </c>
      <c r="D2421" s="2" t="str">
        <f>"(805) 526-4563"</f>
        <v>(805) 526-4563</v>
      </c>
      <c r="E2421" s="2" t="s">
        <v>11743</v>
      </c>
      <c r="F2421" s="2" t="s">
        <v>11744</v>
      </c>
      <c r="G2421" s="2" t="str">
        <f>"SR-3129"</f>
        <v>SR-3129</v>
      </c>
      <c r="H2421" s="2" t="s">
        <v>11745</v>
      </c>
      <c r="I2421" s="2" t="s">
        <v>11746</v>
      </c>
      <c r="K2421" s="2" t="s">
        <v>1194</v>
      </c>
      <c r="L2421" s="2" t="s">
        <v>222</v>
      </c>
      <c r="M2421" s="2">
        <v>93065.0</v>
      </c>
      <c r="N2421" s="2" t="s">
        <v>21</v>
      </c>
    </row>
    <row r="2422" ht="15.75" customHeight="1">
      <c r="A2422" s="2">
        <v>2014.0</v>
      </c>
      <c r="B2422" s="2" t="s">
        <v>11747</v>
      </c>
      <c r="C2422" s="2" t="s">
        <v>11748</v>
      </c>
      <c r="D2422" s="2" t="str">
        <f>"507-217-7687"</f>
        <v>507-217-7687</v>
      </c>
      <c r="E2422" s="2" t="s">
        <v>6718</v>
      </c>
      <c r="F2422" s="2" t="s">
        <v>11749</v>
      </c>
      <c r="G2422" s="2" t="str">
        <f>"SR-3475"</f>
        <v>SR-3475</v>
      </c>
      <c r="H2422" s="2" t="s">
        <v>11750</v>
      </c>
      <c r="I2422" s="2" t="s">
        <v>11751</v>
      </c>
      <c r="K2422" s="2" t="s">
        <v>11752</v>
      </c>
      <c r="L2422" s="2" t="s">
        <v>62</v>
      </c>
      <c r="M2422" s="2">
        <v>56021.0</v>
      </c>
      <c r="N2422" s="2" t="s">
        <v>21</v>
      </c>
    </row>
    <row r="2423" ht="15.75" customHeight="1">
      <c r="A2423" s="2">
        <v>2014.0</v>
      </c>
      <c r="B2423" s="2" t="s">
        <v>11753</v>
      </c>
      <c r="C2423" s="2" t="s">
        <v>11754</v>
      </c>
      <c r="D2423" s="2" t="str">
        <f>"(828)524-4661"</f>
        <v>(828)524-4661</v>
      </c>
      <c r="E2423" s="2" t="s">
        <v>11755</v>
      </c>
      <c r="F2423" s="2" t="s">
        <v>11756</v>
      </c>
      <c r="G2423" s="2" t="str">
        <f>"SR-3472"</f>
        <v>SR-3472</v>
      </c>
      <c r="H2423" s="2" t="s">
        <v>11757</v>
      </c>
      <c r="I2423" s="2" t="s">
        <v>11758</v>
      </c>
      <c r="K2423" s="2" t="s">
        <v>278</v>
      </c>
      <c r="L2423" s="2" t="s">
        <v>20</v>
      </c>
      <c r="M2423" s="2">
        <v>28734.0</v>
      </c>
      <c r="N2423" s="2" t="s">
        <v>21</v>
      </c>
    </row>
    <row r="2424" ht="15.75" customHeight="1">
      <c r="A2424" s="2">
        <v>2014.0</v>
      </c>
      <c r="B2424" s="2" t="s">
        <v>11759</v>
      </c>
      <c r="C2424" s="2" t="s">
        <v>11760</v>
      </c>
      <c r="D2424" s="2" t="str">
        <f>"214-683-5897"</f>
        <v>214-683-5897</v>
      </c>
      <c r="E2424" s="2" t="s">
        <v>1208</v>
      </c>
      <c r="F2424" s="2" t="s">
        <v>639</v>
      </c>
      <c r="G2424" s="2" t="str">
        <f>"SR-3331"</f>
        <v>SR-3331</v>
      </c>
      <c r="H2424" s="2" t="s">
        <v>11761</v>
      </c>
      <c r="I2424" s="2" t="s">
        <v>11762</v>
      </c>
      <c r="K2424" s="2" t="s">
        <v>11763</v>
      </c>
      <c r="L2424" s="2" t="s">
        <v>172</v>
      </c>
      <c r="M2424" s="2">
        <v>75160.0</v>
      </c>
      <c r="N2424" s="2" t="s">
        <v>21</v>
      </c>
    </row>
    <row r="2425" ht="15.75" customHeight="1">
      <c r="A2425" s="2">
        <v>2014.0</v>
      </c>
      <c r="B2425" s="2" t="s">
        <v>11753</v>
      </c>
      <c r="C2425" s="2" t="s">
        <v>11764</v>
      </c>
      <c r="D2425" s="2" t="str">
        <f>"(828)524-4661"</f>
        <v>(828)524-4661</v>
      </c>
      <c r="E2425" s="2" t="s">
        <v>11765</v>
      </c>
      <c r="F2425" s="2" t="s">
        <v>11756</v>
      </c>
      <c r="G2425" s="2" t="str">
        <f>"SR-3471"</f>
        <v>SR-3471</v>
      </c>
      <c r="H2425" s="2" t="s">
        <v>11766</v>
      </c>
      <c r="I2425" s="2" t="s">
        <v>11758</v>
      </c>
      <c r="K2425" s="2" t="s">
        <v>278</v>
      </c>
      <c r="L2425" s="2" t="s">
        <v>20</v>
      </c>
      <c r="M2425" s="2">
        <v>28734.0</v>
      </c>
      <c r="N2425" s="2" t="s">
        <v>21</v>
      </c>
    </row>
    <row r="2426" ht="15.75" customHeight="1">
      <c r="A2426" s="2">
        <v>2014.0</v>
      </c>
      <c r="B2426" s="2" t="s">
        <v>11767</v>
      </c>
      <c r="C2426" s="2" t="s">
        <v>11768</v>
      </c>
      <c r="D2426" s="2" t="str">
        <f>"2525605352"</f>
        <v>2525605352</v>
      </c>
      <c r="E2426" s="2" t="s">
        <v>50</v>
      </c>
      <c r="F2426" s="2" t="s">
        <v>11769</v>
      </c>
      <c r="G2426" s="2" t="str">
        <f>"SR-3478"</f>
        <v>SR-3478</v>
      </c>
      <c r="H2426" s="2" t="s">
        <v>11770</v>
      </c>
      <c r="I2426" s="2" t="s">
        <v>11771</v>
      </c>
      <c r="K2426" s="2" t="s">
        <v>11772</v>
      </c>
      <c r="L2426" s="2" t="s">
        <v>20</v>
      </c>
      <c r="M2426" s="2">
        <v>28504.0</v>
      </c>
      <c r="N2426" s="2" t="s">
        <v>21</v>
      </c>
    </row>
    <row r="2427" ht="15.75" customHeight="1">
      <c r="A2427" s="2">
        <v>2014.0</v>
      </c>
      <c r="B2427" s="2" t="s">
        <v>11773</v>
      </c>
      <c r="C2427" s="2" t="s">
        <v>11774</v>
      </c>
      <c r="D2427" s="2" t="str">
        <f>"2542351171"</f>
        <v>2542351171</v>
      </c>
      <c r="E2427" s="2" t="s">
        <v>167</v>
      </c>
      <c r="F2427" s="2" t="s">
        <v>11775</v>
      </c>
      <c r="G2427" s="2" t="str">
        <f>"SR-3382"</f>
        <v>SR-3382</v>
      </c>
      <c r="H2427" s="2" t="s">
        <v>11776</v>
      </c>
      <c r="I2427" s="2" t="s">
        <v>11777</v>
      </c>
      <c r="K2427" s="2" t="s">
        <v>10845</v>
      </c>
      <c r="L2427" s="2" t="s">
        <v>172</v>
      </c>
      <c r="M2427" s="2">
        <v>76643.0</v>
      </c>
      <c r="N2427" s="2" t="s">
        <v>21</v>
      </c>
    </row>
    <row r="2428" ht="15.75" customHeight="1">
      <c r="A2428" s="2">
        <v>2014.0</v>
      </c>
      <c r="B2428" s="2" t="s">
        <v>11778</v>
      </c>
      <c r="C2428" s="2" t="s">
        <v>11778</v>
      </c>
      <c r="D2428" s="2" t="str">
        <f>"4076082123"</f>
        <v>4076082123</v>
      </c>
      <c r="E2428" s="2" t="s">
        <v>908</v>
      </c>
      <c r="F2428" s="2" t="s">
        <v>3707</v>
      </c>
      <c r="G2428" s="2" t="str">
        <f>"SR-3480"</f>
        <v>SR-3480</v>
      </c>
      <c r="H2428" s="2" t="s">
        <v>11779</v>
      </c>
      <c r="I2428" s="2" t="s">
        <v>3709</v>
      </c>
      <c r="K2428" s="2" t="s">
        <v>3710</v>
      </c>
      <c r="L2428" s="2" t="s">
        <v>208</v>
      </c>
      <c r="M2428" s="2">
        <v>34756.0</v>
      </c>
      <c r="N2428" s="2" t="s">
        <v>21</v>
      </c>
    </row>
    <row r="2429" ht="15.75" customHeight="1">
      <c r="A2429" s="2">
        <v>2014.0</v>
      </c>
      <c r="B2429" s="2" t="s">
        <v>11780</v>
      </c>
      <c r="C2429" s="2" t="s">
        <v>11780</v>
      </c>
      <c r="D2429" s="2" t="str">
        <f>"910-232-5760"</f>
        <v>910-232-5760</v>
      </c>
      <c r="E2429" s="2" t="s">
        <v>2031</v>
      </c>
      <c r="F2429" s="2" t="s">
        <v>11781</v>
      </c>
      <c r="G2429" s="2" t="str">
        <f>"SR-1095"</f>
        <v>SR-1095</v>
      </c>
      <c r="H2429" s="2" t="s">
        <v>11782</v>
      </c>
      <c r="I2429" s="2" t="s">
        <v>11783</v>
      </c>
      <c r="K2429" s="2" t="s">
        <v>11784</v>
      </c>
      <c r="L2429" s="2" t="s">
        <v>20</v>
      </c>
      <c r="M2429" s="2">
        <v>28409.0</v>
      </c>
      <c r="N2429" s="2" t="s">
        <v>21</v>
      </c>
    </row>
    <row r="2430" ht="15.75" customHeight="1">
      <c r="A2430" s="2">
        <v>2014.0</v>
      </c>
      <c r="B2430" s="2" t="s">
        <v>11785</v>
      </c>
      <c r="C2430" s="2" t="s">
        <v>11785</v>
      </c>
      <c r="D2430" s="2" t="str">
        <f>"5059181051"</f>
        <v>5059181051</v>
      </c>
      <c r="E2430" s="2" t="s">
        <v>955</v>
      </c>
      <c r="F2430" s="2" t="s">
        <v>11786</v>
      </c>
      <c r="G2430" s="2" t="str">
        <f>"SR-3485"</f>
        <v>SR-3485</v>
      </c>
      <c r="H2430" s="2" t="s">
        <v>11787</v>
      </c>
      <c r="I2430" s="2" t="s">
        <v>11788</v>
      </c>
      <c r="K2430" s="2" t="s">
        <v>3705</v>
      </c>
      <c r="L2430" s="2" t="s">
        <v>789</v>
      </c>
      <c r="M2430" s="2">
        <v>87120.0</v>
      </c>
      <c r="N2430" s="2" t="s">
        <v>21</v>
      </c>
    </row>
    <row r="2431" ht="15.75" customHeight="1">
      <c r="A2431" s="2">
        <v>2014.0</v>
      </c>
      <c r="B2431" s="2" t="s">
        <v>11789</v>
      </c>
      <c r="C2431" s="2" t="s">
        <v>11789</v>
      </c>
      <c r="D2431" s="2" t="str">
        <f>"423-745-9471"</f>
        <v>423-745-9471</v>
      </c>
      <c r="E2431" s="2" t="s">
        <v>908</v>
      </c>
      <c r="F2431" s="2" t="s">
        <v>11790</v>
      </c>
      <c r="G2431" s="2" t="str">
        <f>"SR-3329"</f>
        <v>SR-3329</v>
      </c>
      <c r="H2431" s="2" t="s">
        <v>11791</v>
      </c>
      <c r="I2431" s="2" t="s">
        <v>11792</v>
      </c>
      <c r="K2431" s="2" t="s">
        <v>11793</v>
      </c>
      <c r="L2431" s="2" t="s">
        <v>279</v>
      </c>
      <c r="M2431" s="2">
        <v>37370.0</v>
      </c>
      <c r="N2431" s="2" t="s">
        <v>21</v>
      </c>
    </row>
    <row r="2432" ht="15.75" customHeight="1">
      <c r="A2432" s="2">
        <v>2014.0</v>
      </c>
      <c r="B2432" s="2" t="s">
        <v>11794</v>
      </c>
      <c r="C2432" s="2" t="s">
        <v>11795</v>
      </c>
      <c r="D2432" s="2" t="str">
        <f>"(402)-379-3840"</f>
        <v>(402)-379-3840</v>
      </c>
      <c r="E2432" s="2" t="s">
        <v>580</v>
      </c>
      <c r="F2432" s="2" t="s">
        <v>89</v>
      </c>
      <c r="G2432" s="2" t="str">
        <f>"SR-3422"</f>
        <v>SR-3422</v>
      </c>
      <c r="H2432" s="2" t="s">
        <v>11796</v>
      </c>
      <c r="I2432" s="2" t="s">
        <v>11797</v>
      </c>
      <c r="K2432" s="2" t="s">
        <v>11726</v>
      </c>
      <c r="L2432" s="2" t="s">
        <v>757</v>
      </c>
      <c r="M2432" s="2">
        <v>68701.0</v>
      </c>
      <c r="N2432" s="2" t="s">
        <v>21</v>
      </c>
    </row>
    <row r="2433" ht="15.75" customHeight="1">
      <c r="A2433" s="2">
        <v>2014.0</v>
      </c>
      <c r="B2433" s="2" t="s">
        <v>11798</v>
      </c>
      <c r="C2433" s="2" t="s">
        <v>11799</v>
      </c>
      <c r="D2433" s="2" t="str">
        <f>"6152884631"</f>
        <v>6152884631</v>
      </c>
      <c r="E2433" s="2" t="s">
        <v>456</v>
      </c>
      <c r="F2433" s="2" t="s">
        <v>11800</v>
      </c>
      <c r="G2433" s="2" t="str">
        <f>"SR-3310"</f>
        <v>SR-3310</v>
      </c>
      <c r="H2433" s="2" t="s">
        <v>11801</v>
      </c>
      <c r="I2433" s="2" t="s">
        <v>11802</v>
      </c>
      <c r="K2433" s="2" t="s">
        <v>11803</v>
      </c>
      <c r="L2433" s="2" t="s">
        <v>279</v>
      </c>
      <c r="M2433" s="2">
        <v>37122.0</v>
      </c>
      <c r="N2433" s="2" t="s">
        <v>21</v>
      </c>
    </row>
    <row r="2434" ht="15.75" customHeight="1">
      <c r="A2434" s="2">
        <v>2014.0</v>
      </c>
      <c r="B2434" s="2" t="s">
        <v>11804</v>
      </c>
      <c r="C2434" s="2" t="s">
        <v>11805</v>
      </c>
      <c r="D2434" s="2" t="str">
        <f>"239-272-7524"</f>
        <v>239-272-7524</v>
      </c>
      <c r="E2434" s="2" t="s">
        <v>11806</v>
      </c>
      <c r="F2434" s="2" t="s">
        <v>11807</v>
      </c>
      <c r="G2434" s="2" t="str">
        <f>"SR-3481"</f>
        <v>SR-3481</v>
      </c>
      <c r="H2434" s="2" t="s">
        <v>11808</v>
      </c>
      <c r="I2434" s="2" t="s">
        <v>11809</v>
      </c>
      <c r="K2434" s="2" t="s">
        <v>5046</v>
      </c>
      <c r="L2434" s="2" t="s">
        <v>208</v>
      </c>
      <c r="M2434" s="2">
        <v>34120.0</v>
      </c>
      <c r="N2434" s="2" t="s">
        <v>21</v>
      </c>
    </row>
    <row r="2435" ht="15.75" customHeight="1">
      <c r="A2435" s="2">
        <v>2014.0</v>
      </c>
      <c r="B2435" s="2" t="s">
        <v>11810</v>
      </c>
      <c r="C2435" s="2" t="s">
        <v>11811</v>
      </c>
      <c r="D2435" s="2" t="str">
        <f>"6158966968"</f>
        <v>6158966968</v>
      </c>
      <c r="E2435" s="2" t="s">
        <v>4665</v>
      </c>
      <c r="F2435" s="2" t="s">
        <v>9537</v>
      </c>
      <c r="G2435" s="2" t="str">
        <f>"SR-3474"</f>
        <v>SR-3474</v>
      </c>
      <c r="H2435" s="2" t="s">
        <v>11812</v>
      </c>
      <c r="I2435" s="2">
        <v>5913.0</v>
      </c>
      <c r="J2435" s="2" t="s">
        <v>11813</v>
      </c>
      <c r="K2435" s="2" t="s">
        <v>11814</v>
      </c>
      <c r="L2435" s="2" t="s">
        <v>279</v>
      </c>
      <c r="M2435" s="2">
        <v>37153.0</v>
      </c>
      <c r="N2435" s="2" t="s">
        <v>21</v>
      </c>
    </row>
    <row r="2436" ht="15.75" customHeight="1">
      <c r="A2436" s="2">
        <v>2014.0</v>
      </c>
      <c r="B2436" s="2" t="s">
        <v>11815</v>
      </c>
      <c r="C2436" s="2" t="s">
        <v>11816</v>
      </c>
      <c r="D2436" s="2" t="str">
        <f>"703 425-9886"</f>
        <v>703 425-9886</v>
      </c>
      <c r="E2436" s="2" t="s">
        <v>580</v>
      </c>
      <c r="F2436" s="2" t="s">
        <v>11817</v>
      </c>
      <c r="G2436" s="2" t="str">
        <f>"SR-3491"</f>
        <v>SR-3491</v>
      </c>
      <c r="H2436" s="2" t="s">
        <v>11818</v>
      </c>
      <c r="I2436" s="2" t="s">
        <v>11819</v>
      </c>
      <c r="K2436" s="2" t="s">
        <v>11820</v>
      </c>
      <c r="L2436" s="2" t="s">
        <v>165</v>
      </c>
      <c r="M2436" s="2">
        <v>22003.0</v>
      </c>
      <c r="N2436" s="2" t="s">
        <v>21</v>
      </c>
    </row>
    <row r="2437" ht="15.75" customHeight="1">
      <c r="A2437" s="2">
        <v>2014.0</v>
      </c>
      <c r="B2437" s="2" t="s">
        <v>11821</v>
      </c>
      <c r="C2437" s="2" t="s">
        <v>11821</v>
      </c>
      <c r="D2437" s="2" t="str">
        <f>"540-468-2982"</f>
        <v>540-468-2982</v>
      </c>
      <c r="E2437" s="2" t="s">
        <v>1263</v>
      </c>
      <c r="F2437" s="2" t="s">
        <v>11822</v>
      </c>
      <c r="G2437" s="2" t="str">
        <f>"SR-3493"</f>
        <v>SR-3493</v>
      </c>
      <c r="H2437" s="2" t="s">
        <v>11823</v>
      </c>
      <c r="I2437" s="2" t="s">
        <v>11824</v>
      </c>
      <c r="K2437" s="2" t="s">
        <v>4107</v>
      </c>
      <c r="L2437" s="2" t="s">
        <v>165</v>
      </c>
      <c r="M2437" s="2">
        <v>24465.0</v>
      </c>
      <c r="N2437" s="2" t="s">
        <v>21</v>
      </c>
    </row>
    <row r="2438" ht="15.75" customHeight="1">
      <c r="A2438" s="2">
        <v>2014.0</v>
      </c>
      <c r="B2438" s="2" t="s">
        <v>11825</v>
      </c>
      <c r="C2438" s="2" t="s">
        <v>11826</v>
      </c>
      <c r="D2438" s="2" t="str">
        <f>"7638438814"</f>
        <v>7638438814</v>
      </c>
      <c r="E2438" s="2" t="s">
        <v>441</v>
      </c>
      <c r="F2438" s="2" t="s">
        <v>11827</v>
      </c>
      <c r="G2438" s="2" t="str">
        <f>"SR-3495"</f>
        <v>SR-3495</v>
      </c>
      <c r="H2438" s="2" t="s">
        <v>11828</v>
      </c>
      <c r="I2438" s="2" t="s">
        <v>11829</v>
      </c>
      <c r="K2438" s="2" t="s">
        <v>11830</v>
      </c>
      <c r="L2438" s="2" t="s">
        <v>62</v>
      </c>
      <c r="M2438" s="2">
        <v>55376.0</v>
      </c>
      <c r="N2438" s="2" t="s">
        <v>21</v>
      </c>
    </row>
    <row r="2439" ht="15.75" customHeight="1">
      <c r="A2439" s="2">
        <v>2014.0</v>
      </c>
      <c r="B2439" s="2" t="s">
        <v>4414</v>
      </c>
      <c r="C2439" s="2" t="s">
        <v>4415</v>
      </c>
      <c r="D2439" s="2" t="str">
        <f>"928-349-0504"</f>
        <v>928-349-0504</v>
      </c>
      <c r="E2439" s="2" t="s">
        <v>4416</v>
      </c>
      <c r="F2439" s="2" t="s">
        <v>4417</v>
      </c>
      <c r="G2439" s="2" t="str">
        <f>"SR-1322"</f>
        <v>SR-1322</v>
      </c>
      <c r="H2439" s="2" t="s">
        <v>4418</v>
      </c>
      <c r="I2439" s="2" t="s">
        <v>4419</v>
      </c>
      <c r="K2439" s="2" t="s">
        <v>4420</v>
      </c>
      <c r="L2439" s="2" t="s">
        <v>422</v>
      </c>
      <c r="M2439" s="2">
        <v>86503.0</v>
      </c>
      <c r="N2439" s="2" t="s">
        <v>21</v>
      </c>
    </row>
    <row r="2440" ht="15.75" customHeight="1">
      <c r="A2440" s="2">
        <v>2014.0</v>
      </c>
      <c r="B2440" s="2" t="s">
        <v>11831</v>
      </c>
      <c r="C2440" s="2" t="s">
        <v>11831</v>
      </c>
      <c r="D2440" s="2" t="str">
        <f>"404-444-2640"</f>
        <v>404-444-2640</v>
      </c>
      <c r="E2440" s="2" t="s">
        <v>453</v>
      </c>
      <c r="F2440" s="2" t="s">
        <v>11388</v>
      </c>
      <c r="G2440" s="2" t="str">
        <f>"SR-3490"</f>
        <v>SR-3490</v>
      </c>
      <c r="H2440" s="2" t="s">
        <v>11832</v>
      </c>
      <c r="I2440" s="2" t="s">
        <v>11833</v>
      </c>
      <c r="K2440" s="2" t="s">
        <v>10683</v>
      </c>
      <c r="L2440" s="2" t="s">
        <v>200</v>
      </c>
      <c r="M2440" s="2">
        <v>30318.0</v>
      </c>
      <c r="N2440" s="2" t="s">
        <v>21</v>
      </c>
    </row>
    <row r="2441" ht="15.75" customHeight="1">
      <c r="A2441" s="2">
        <v>2014.0</v>
      </c>
      <c r="B2441" s="2" t="s">
        <v>11834</v>
      </c>
      <c r="C2441" s="2" t="s">
        <v>11834</v>
      </c>
      <c r="D2441" s="2" t="str">
        <f>"8604906511"</f>
        <v>8604906511</v>
      </c>
      <c r="E2441" s="2" t="s">
        <v>339</v>
      </c>
      <c r="F2441" s="2" t="s">
        <v>11835</v>
      </c>
      <c r="G2441" s="2" t="str">
        <f>"SR-3500"</f>
        <v>SR-3500</v>
      </c>
      <c r="H2441" s="2" t="s">
        <v>11836</v>
      </c>
      <c r="I2441" s="2" t="s">
        <v>11837</v>
      </c>
      <c r="K2441" s="2" t="s">
        <v>11838</v>
      </c>
      <c r="L2441" s="2" t="s">
        <v>4836</v>
      </c>
      <c r="M2441" s="2">
        <v>6066.0</v>
      </c>
      <c r="N2441" s="2" t="s">
        <v>21</v>
      </c>
    </row>
    <row r="2442" ht="15.75" customHeight="1">
      <c r="A2442" s="2">
        <v>2014.0</v>
      </c>
      <c r="B2442" s="2" t="s">
        <v>11839</v>
      </c>
      <c r="C2442" s="2" t="s">
        <v>11840</v>
      </c>
      <c r="D2442" s="2" t="str">
        <f>"8022747630"</f>
        <v>8022747630</v>
      </c>
      <c r="E2442" s="2" t="s">
        <v>1713</v>
      </c>
      <c r="F2442" s="2" t="s">
        <v>3511</v>
      </c>
      <c r="G2442" s="2" t="str">
        <f>"SR-3496"</f>
        <v>SR-3496</v>
      </c>
      <c r="H2442" s="2" t="s">
        <v>11841</v>
      </c>
      <c r="I2442" s="2" t="s">
        <v>11842</v>
      </c>
      <c r="K2442" s="2" t="s">
        <v>11843</v>
      </c>
      <c r="L2442" s="2" t="s">
        <v>4836</v>
      </c>
      <c r="M2442" s="2">
        <v>6040.0</v>
      </c>
      <c r="N2442" s="2" t="s">
        <v>21</v>
      </c>
    </row>
    <row r="2443" ht="15.75" customHeight="1">
      <c r="A2443" s="2">
        <v>2014.0</v>
      </c>
      <c r="B2443" s="2" t="s">
        <v>11844</v>
      </c>
      <c r="C2443" s="2" t="s">
        <v>11844</v>
      </c>
      <c r="D2443" s="2" t="str">
        <f>"4025804088"</f>
        <v>4025804088</v>
      </c>
      <c r="E2443" s="2" t="s">
        <v>11845</v>
      </c>
      <c r="F2443" s="2" t="s">
        <v>11846</v>
      </c>
      <c r="G2443" s="2" t="str">
        <f>"SR-2610"</f>
        <v>SR-2610</v>
      </c>
      <c r="H2443" s="2" t="s">
        <v>11847</v>
      </c>
      <c r="I2443" s="2" t="s">
        <v>11848</v>
      </c>
      <c r="K2443" s="2" t="s">
        <v>10630</v>
      </c>
      <c r="L2443" s="2" t="s">
        <v>757</v>
      </c>
      <c r="M2443" s="2">
        <v>68506.0</v>
      </c>
      <c r="N2443" s="2" t="s">
        <v>21</v>
      </c>
    </row>
    <row r="2444" ht="15.75" customHeight="1">
      <c r="A2444" s="2">
        <v>2014.0</v>
      </c>
      <c r="B2444" s="2" t="s">
        <v>11849</v>
      </c>
      <c r="C2444" s="2" t="s">
        <v>11850</v>
      </c>
      <c r="D2444" s="2" t="str">
        <f>"651-373-0057"</f>
        <v>651-373-0057</v>
      </c>
      <c r="E2444" s="2" t="s">
        <v>2243</v>
      </c>
      <c r="F2444" s="2" t="s">
        <v>11851</v>
      </c>
      <c r="G2444" s="2" t="str">
        <f>"SR-3505"</f>
        <v>SR-3505</v>
      </c>
      <c r="H2444" s="2" t="s">
        <v>11852</v>
      </c>
      <c r="I2444" s="2" t="s">
        <v>11853</v>
      </c>
      <c r="K2444" s="2" t="s">
        <v>501</v>
      </c>
      <c r="L2444" s="2" t="s">
        <v>62</v>
      </c>
      <c r="M2444" s="2">
        <v>55122.0</v>
      </c>
      <c r="N2444" s="2" t="s">
        <v>21</v>
      </c>
    </row>
    <row r="2445" ht="15.75" customHeight="1">
      <c r="A2445" s="2">
        <v>2014.0</v>
      </c>
      <c r="B2445" s="2" t="s">
        <v>11854</v>
      </c>
      <c r="C2445" s="2" t="s">
        <v>11854</v>
      </c>
      <c r="D2445" s="2" t="str">
        <f>"5012599964"</f>
        <v>5012599964</v>
      </c>
      <c r="E2445" s="2" t="s">
        <v>908</v>
      </c>
      <c r="F2445" s="2" t="s">
        <v>690</v>
      </c>
      <c r="G2445" s="2" t="str">
        <f>"SR-3507"</f>
        <v>SR-3507</v>
      </c>
      <c r="H2445" s="2" t="s">
        <v>11855</v>
      </c>
      <c r="I2445" s="2" t="s">
        <v>11856</v>
      </c>
      <c r="K2445" s="2" t="s">
        <v>11857</v>
      </c>
      <c r="L2445" s="2" t="s">
        <v>214</v>
      </c>
      <c r="M2445" s="2">
        <v>64093.0</v>
      </c>
      <c r="N2445" s="2" t="s">
        <v>21</v>
      </c>
    </row>
    <row r="2446" ht="15.75" customHeight="1">
      <c r="A2446" s="2">
        <v>2014.0</v>
      </c>
      <c r="B2446" s="2" t="s">
        <v>11858</v>
      </c>
      <c r="C2446" s="2" t="s">
        <v>11859</v>
      </c>
      <c r="D2446" s="2" t="str">
        <f>"5159430034"</f>
        <v>5159430034</v>
      </c>
      <c r="E2446" s="2" t="s">
        <v>1022</v>
      </c>
      <c r="F2446" s="2" t="s">
        <v>11860</v>
      </c>
      <c r="G2446" s="2" t="str">
        <f>"SR-3416"</f>
        <v>SR-3416</v>
      </c>
      <c r="H2446" s="2" t="s">
        <v>11861</v>
      </c>
      <c r="I2446" s="2" t="s">
        <v>11862</v>
      </c>
      <c r="K2446" s="2" t="s">
        <v>11863</v>
      </c>
      <c r="L2446" s="2" t="s">
        <v>560</v>
      </c>
      <c r="M2446" s="2">
        <v>50325.0</v>
      </c>
      <c r="N2446" s="2" t="s">
        <v>21</v>
      </c>
    </row>
    <row r="2447" ht="15.75" customHeight="1">
      <c r="A2447" s="2">
        <v>2014.0</v>
      </c>
      <c r="B2447" s="2" t="s">
        <v>11864</v>
      </c>
      <c r="C2447" s="2" t="s">
        <v>11865</v>
      </c>
      <c r="D2447" s="2" t="str">
        <f>"859-626-0341"</f>
        <v>859-626-0341</v>
      </c>
      <c r="E2447" s="2" t="s">
        <v>4224</v>
      </c>
      <c r="F2447" s="2" t="s">
        <v>11866</v>
      </c>
      <c r="G2447" s="2" t="str">
        <f>"SR-3512"</f>
        <v>SR-3512</v>
      </c>
      <c r="H2447" s="2" t="s">
        <v>11867</v>
      </c>
      <c r="I2447" s="2" t="s">
        <v>11868</v>
      </c>
      <c r="K2447" s="2" t="s">
        <v>4216</v>
      </c>
      <c r="L2447" s="2" t="s">
        <v>1236</v>
      </c>
      <c r="M2447" s="2">
        <v>40475.0</v>
      </c>
      <c r="N2447" s="2" t="s">
        <v>21</v>
      </c>
    </row>
    <row r="2448" ht="15.75" customHeight="1">
      <c r="A2448" s="2">
        <v>2014.0</v>
      </c>
      <c r="B2448" s="2" t="s">
        <v>11869</v>
      </c>
      <c r="C2448" s="2" t="s">
        <v>11870</v>
      </c>
      <c r="D2448" s="2" t="str">
        <f>"325-340-8941"</f>
        <v>325-340-8941</v>
      </c>
      <c r="E2448" s="2" t="s">
        <v>3555</v>
      </c>
      <c r="F2448" s="2" t="s">
        <v>11871</v>
      </c>
      <c r="G2448" s="2" t="str">
        <f>"SR-3380"</f>
        <v>SR-3380</v>
      </c>
      <c r="H2448" s="2" t="s">
        <v>11872</v>
      </c>
      <c r="I2448" s="2" t="s">
        <v>11873</v>
      </c>
      <c r="K2448" s="2" t="s">
        <v>4279</v>
      </c>
      <c r="L2448" s="2" t="s">
        <v>172</v>
      </c>
      <c r="M2448" s="2">
        <v>76901.0</v>
      </c>
      <c r="N2448" s="2" t="s">
        <v>21</v>
      </c>
    </row>
    <row r="2449" ht="15.75" customHeight="1">
      <c r="A2449" s="2">
        <v>2014.0</v>
      </c>
      <c r="B2449" s="2" t="s">
        <v>11874</v>
      </c>
      <c r="C2449" s="2" t="s">
        <v>11874</v>
      </c>
      <c r="D2449" s="2" t="str">
        <f>"405-672-9956"</f>
        <v>405-672-9956</v>
      </c>
      <c r="E2449" s="2" t="s">
        <v>282</v>
      </c>
      <c r="F2449" s="2" t="s">
        <v>7742</v>
      </c>
      <c r="G2449" s="2" t="str">
        <f>"SR-2967"</f>
        <v>SR-2967</v>
      </c>
      <c r="H2449" s="2" t="s">
        <v>11875</v>
      </c>
      <c r="I2449" s="2" t="s">
        <v>11876</v>
      </c>
      <c r="K2449" s="2" t="s">
        <v>7745</v>
      </c>
      <c r="L2449" s="2" t="s">
        <v>840</v>
      </c>
      <c r="M2449" s="2">
        <v>73115.0</v>
      </c>
      <c r="N2449" s="2" t="s">
        <v>21</v>
      </c>
    </row>
    <row r="2450" ht="15.75" customHeight="1">
      <c r="A2450" s="2">
        <v>2014.0</v>
      </c>
      <c r="B2450" s="2" t="s">
        <v>11877</v>
      </c>
      <c r="C2450" s="2" t="s">
        <v>11878</v>
      </c>
      <c r="D2450" s="2" t="str">
        <f>"951-220-7466"</f>
        <v>951-220-7466</v>
      </c>
      <c r="E2450" s="2" t="s">
        <v>6081</v>
      </c>
      <c r="F2450" s="2" t="s">
        <v>11879</v>
      </c>
      <c r="G2450" s="2" t="str">
        <f>"SR-3508"</f>
        <v>SR-3508</v>
      </c>
      <c r="H2450" s="2" t="s">
        <v>11880</v>
      </c>
      <c r="I2450" s="2" t="s">
        <v>11881</v>
      </c>
      <c r="K2450" s="2" t="s">
        <v>11882</v>
      </c>
      <c r="L2450" s="2" t="s">
        <v>222</v>
      </c>
      <c r="M2450" s="2">
        <v>92880.0</v>
      </c>
      <c r="N2450" s="2" t="s">
        <v>21</v>
      </c>
    </row>
    <row r="2451" ht="15.75" customHeight="1">
      <c r="A2451" s="2">
        <v>2014.0</v>
      </c>
      <c r="B2451" s="2" t="s">
        <v>11883</v>
      </c>
      <c r="C2451" s="2" t="s">
        <v>11884</v>
      </c>
      <c r="D2451" s="2" t="str">
        <f>"303-221-1465"</f>
        <v>303-221-1465</v>
      </c>
      <c r="E2451" s="2" t="s">
        <v>11885</v>
      </c>
      <c r="F2451" s="2" t="s">
        <v>11886</v>
      </c>
      <c r="G2451" s="2" t="str">
        <f>"SR-3515"</f>
        <v>SR-3515</v>
      </c>
      <c r="H2451" s="2" t="s">
        <v>11887</v>
      </c>
      <c r="I2451" s="2" t="s">
        <v>11888</v>
      </c>
      <c r="K2451" s="2" t="s">
        <v>11889</v>
      </c>
      <c r="L2451" s="2" t="s">
        <v>157</v>
      </c>
      <c r="M2451" s="2">
        <v>80016.0</v>
      </c>
      <c r="N2451" s="2" t="s">
        <v>21</v>
      </c>
    </row>
    <row r="2452" ht="15.75" customHeight="1">
      <c r="A2452" s="2">
        <v>2014.0</v>
      </c>
      <c r="B2452" s="2" t="s">
        <v>11890</v>
      </c>
      <c r="C2452" s="2" t="s">
        <v>11891</v>
      </c>
      <c r="D2452" s="2" t="str">
        <f>"9073986124"</f>
        <v>9073986124</v>
      </c>
      <c r="E2452" s="2" t="s">
        <v>3173</v>
      </c>
      <c r="F2452" s="2" t="s">
        <v>11892</v>
      </c>
      <c r="G2452" s="2" t="str">
        <f>"SR-3520"</f>
        <v>SR-3520</v>
      </c>
      <c r="H2452" s="2" t="s">
        <v>11893</v>
      </c>
      <c r="I2452" s="2" t="s">
        <v>11894</v>
      </c>
      <c r="K2452" s="2" t="s">
        <v>10703</v>
      </c>
      <c r="L2452" s="2" t="s">
        <v>2613</v>
      </c>
      <c r="M2452" s="2">
        <v>83687.0</v>
      </c>
      <c r="N2452" s="2" t="s">
        <v>21</v>
      </c>
    </row>
    <row r="2453" ht="15.75" customHeight="1">
      <c r="A2453" s="2">
        <v>2014.0</v>
      </c>
      <c r="B2453" s="2" t="s">
        <v>11895</v>
      </c>
      <c r="C2453" s="2" t="s">
        <v>11896</v>
      </c>
      <c r="D2453" s="2" t="str">
        <f>"512-810-2347"</f>
        <v>512-810-2347</v>
      </c>
      <c r="E2453" s="2" t="s">
        <v>1239</v>
      </c>
      <c r="F2453" s="2" t="s">
        <v>11897</v>
      </c>
      <c r="G2453" s="2" t="str">
        <f>"SR-3378"</f>
        <v>SR-3378</v>
      </c>
      <c r="H2453" s="2" t="s">
        <v>11898</v>
      </c>
      <c r="I2453" s="2" t="s">
        <v>11899</v>
      </c>
      <c r="K2453" s="2" t="s">
        <v>1141</v>
      </c>
      <c r="L2453" s="2" t="s">
        <v>172</v>
      </c>
      <c r="M2453" s="2">
        <v>78738.0</v>
      </c>
      <c r="N2453" s="2" t="s">
        <v>21</v>
      </c>
    </row>
    <row r="2454" ht="15.75" customHeight="1">
      <c r="A2454" s="2">
        <v>2014.0</v>
      </c>
      <c r="B2454" s="2" t="s">
        <v>11900</v>
      </c>
      <c r="C2454" s="2" t="s">
        <v>11901</v>
      </c>
      <c r="D2454" s="2" t="str">
        <f>"512-818-4147"</f>
        <v>512-818-4147</v>
      </c>
      <c r="E2454" s="2" t="s">
        <v>3434</v>
      </c>
      <c r="F2454" s="2" t="s">
        <v>11902</v>
      </c>
      <c r="G2454" s="2" t="str">
        <f>"SR-3521"</f>
        <v>SR-3521</v>
      </c>
      <c r="H2454" s="2" t="s">
        <v>11903</v>
      </c>
      <c r="I2454" s="2" t="s">
        <v>11904</v>
      </c>
      <c r="K2454" s="2" t="s">
        <v>4482</v>
      </c>
      <c r="L2454" s="2" t="s">
        <v>172</v>
      </c>
      <c r="M2454" s="2">
        <v>78628.0</v>
      </c>
      <c r="N2454" s="2" t="s">
        <v>21</v>
      </c>
    </row>
    <row r="2455" ht="15.75" customHeight="1">
      <c r="A2455" s="2">
        <v>2014.0</v>
      </c>
      <c r="B2455" s="2" t="s">
        <v>7751</v>
      </c>
      <c r="C2455" s="2" t="s">
        <v>7751</v>
      </c>
      <c r="D2455" s="2" t="str">
        <f>"256-415-2074"</f>
        <v>256-415-2074</v>
      </c>
      <c r="E2455" s="2" t="s">
        <v>5244</v>
      </c>
      <c r="F2455" s="2" t="s">
        <v>1496</v>
      </c>
      <c r="G2455" s="2" t="str">
        <f>"SR-1880"</f>
        <v>SR-1880</v>
      </c>
      <c r="H2455" s="2" t="s">
        <v>7752</v>
      </c>
      <c r="I2455" s="2" t="s">
        <v>7753</v>
      </c>
      <c r="K2455" s="2" t="s">
        <v>254</v>
      </c>
      <c r="L2455" s="2" t="s">
        <v>539</v>
      </c>
      <c r="M2455" s="2">
        <v>35648.0</v>
      </c>
      <c r="N2455" s="2" t="s">
        <v>21</v>
      </c>
    </row>
    <row r="2456" ht="15.75" customHeight="1">
      <c r="A2456" s="2">
        <v>2014.0</v>
      </c>
      <c r="B2456" s="2" t="s">
        <v>11905</v>
      </c>
      <c r="C2456" s="2" t="s">
        <v>11905</v>
      </c>
      <c r="D2456" s="2" t="str">
        <f>"5057209920"</f>
        <v>5057209920</v>
      </c>
      <c r="E2456" s="2" t="s">
        <v>453</v>
      </c>
      <c r="F2456" s="2" t="s">
        <v>2863</v>
      </c>
      <c r="G2456" s="2" t="str">
        <f>"SR-18"</f>
        <v>SR-18</v>
      </c>
      <c r="H2456" s="2" t="s">
        <v>11906</v>
      </c>
      <c r="I2456" s="2" t="s">
        <v>11907</v>
      </c>
      <c r="K2456" s="2" t="s">
        <v>3803</v>
      </c>
      <c r="L2456" s="2" t="s">
        <v>789</v>
      </c>
      <c r="M2456" s="2">
        <v>87124.0</v>
      </c>
      <c r="N2456" s="2" t="s">
        <v>21</v>
      </c>
    </row>
    <row r="2457" ht="15.75" customHeight="1">
      <c r="A2457" s="2">
        <v>2014.0</v>
      </c>
      <c r="B2457" s="2" t="s">
        <v>11908</v>
      </c>
      <c r="C2457" s="2" t="s">
        <v>11909</v>
      </c>
      <c r="D2457" s="2" t="str">
        <f>"651-407-9990"</f>
        <v>651-407-9990</v>
      </c>
      <c r="E2457" s="2" t="s">
        <v>678</v>
      </c>
      <c r="F2457" s="2" t="s">
        <v>11910</v>
      </c>
      <c r="G2457" s="2" t="str">
        <f>"SR-3290"</f>
        <v>SR-3290</v>
      </c>
      <c r="H2457" s="2" t="s">
        <v>11911</v>
      </c>
      <c r="I2457" s="2" t="s">
        <v>11912</v>
      </c>
      <c r="K2457" s="2" t="s">
        <v>11711</v>
      </c>
      <c r="L2457" s="2" t="s">
        <v>62</v>
      </c>
      <c r="M2457" s="2">
        <v>55082.0</v>
      </c>
      <c r="N2457" s="2" t="s">
        <v>21</v>
      </c>
    </row>
    <row r="2458" ht="15.75" customHeight="1">
      <c r="A2458" s="2">
        <v>2014.0</v>
      </c>
      <c r="B2458" s="2" t="s">
        <v>7751</v>
      </c>
      <c r="C2458" s="2" t="s">
        <v>11913</v>
      </c>
      <c r="D2458" s="2" t="str">
        <f>"2564832487"</f>
        <v>2564832487</v>
      </c>
      <c r="E2458" s="2" t="s">
        <v>1891</v>
      </c>
      <c r="F2458" s="2" t="s">
        <v>1496</v>
      </c>
      <c r="G2458" s="2" t="str">
        <f>"SR-1879"</f>
        <v>SR-1879</v>
      </c>
      <c r="H2458" s="2" t="s">
        <v>11914</v>
      </c>
      <c r="I2458" s="2" t="s">
        <v>7753</v>
      </c>
      <c r="K2458" s="2" t="s">
        <v>254</v>
      </c>
      <c r="L2458" s="2" t="s">
        <v>539</v>
      </c>
      <c r="M2458" s="2">
        <v>35648.0</v>
      </c>
      <c r="N2458" s="2" t="s">
        <v>21</v>
      </c>
    </row>
    <row r="2459" ht="15.75" customHeight="1">
      <c r="A2459" s="2">
        <v>2014.0</v>
      </c>
      <c r="B2459" s="2" t="s">
        <v>11915</v>
      </c>
      <c r="C2459" s="2" t="s">
        <v>11916</v>
      </c>
      <c r="D2459" s="2" t="str">
        <f>"4272517"</f>
        <v>4272517</v>
      </c>
      <c r="E2459" s="2" t="s">
        <v>9924</v>
      </c>
      <c r="F2459" s="2" t="s">
        <v>11917</v>
      </c>
      <c r="G2459" s="2" t="str">
        <f>"SR-3110"</f>
        <v>SR-3110</v>
      </c>
      <c r="H2459" s="2" t="s">
        <v>11918</v>
      </c>
      <c r="I2459" s="2" t="s">
        <v>11919</v>
      </c>
      <c r="K2459" s="2" t="s">
        <v>10380</v>
      </c>
      <c r="L2459" s="2" t="s">
        <v>62</v>
      </c>
      <c r="M2459" s="2">
        <v>56159.0</v>
      </c>
      <c r="N2459" s="2" t="s">
        <v>21</v>
      </c>
    </row>
    <row r="2460" ht="15.75" customHeight="1">
      <c r="A2460" s="2">
        <v>2014.0</v>
      </c>
      <c r="B2460" s="2" t="s">
        <v>11920</v>
      </c>
      <c r="C2460" s="2" t="s">
        <v>11921</v>
      </c>
      <c r="D2460" s="2" t="str">
        <f>"952-881-8562"</f>
        <v>952-881-8562</v>
      </c>
      <c r="E2460" s="2" t="s">
        <v>261</v>
      </c>
      <c r="F2460" s="2" t="s">
        <v>11922</v>
      </c>
      <c r="G2460" s="2" t="str">
        <f>"SR-3529"</f>
        <v>SR-3529</v>
      </c>
      <c r="H2460" s="2" t="s">
        <v>11923</v>
      </c>
      <c r="I2460" s="2" t="s">
        <v>11924</v>
      </c>
      <c r="K2460" s="2" t="s">
        <v>1019</v>
      </c>
      <c r="L2460" s="2" t="s">
        <v>62</v>
      </c>
      <c r="M2460" s="2">
        <v>55431.0</v>
      </c>
      <c r="N2460" s="2" t="s">
        <v>21</v>
      </c>
    </row>
    <row r="2461" ht="15.75" customHeight="1">
      <c r="A2461" s="2">
        <v>2014.0</v>
      </c>
      <c r="B2461" s="2" t="s">
        <v>11925</v>
      </c>
      <c r="C2461" s="2" t="s">
        <v>11925</v>
      </c>
      <c r="D2461" s="2" t="str">
        <f>"940-367-5998"</f>
        <v>940-367-5998</v>
      </c>
      <c r="E2461" s="2" t="s">
        <v>4322</v>
      </c>
      <c r="F2461" s="2" t="s">
        <v>11926</v>
      </c>
      <c r="G2461" s="2" t="str">
        <f>"SR-3518"</f>
        <v>SR-3518</v>
      </c>
      <c r="H2461" s="2" t="s">
        <v>11927</v>
      </c>
      <c r="I2461" s="2" t="s">
        <v>11928</v>
      </c>
      <c r="K2461" s="2" t="s">
        <v>11929</v>
      </c>
      <c r="L2461" s="2" t="s">
        <v>172</v>
      </c>
      <c r="M2461" s="2">
        <v>75068.0</v>
      </c>
      <c r="N2461" s="2" t="s">
        <v>21</v>
      </c>
    </row>
    <row r="2462" ht="15.75" customHeight="1">
      <c r="A2462" s="2">
        <v>2014.0</v>
      </c>
      <c r="B2462" s="2" t="s">
        <v>11930</v>
      </c>
      <c r="C2462" s="2" t="s">
        <v>11930</v>
      </c>
      <c r="D2462" s="2" t="str">
        <f>"469-766-2290"</f>
        <v>469-766-2290</v>
      </c>
      <c r="E2462" s="2" t="s">
        <v>11931</v>
      </c>
      <c r="F2462" s="2" t="s">
        <v>11932</v>
      </c>
      <c r="G2462" s="2" t="str">
        <f>"SR-3501"</f>
        <v>SR-3501</v>
      </c>
      <c r="H2462" s="2" t="s">
        <v>11933</v>
      </c>
      <c r="I2462" s="2" t="s">
        <v>11934</v>
      </c>
      <c r="K2462" s="2" t="s">
        <v>11935</v>
      </c>
      <c r="L2462" s="2" t="s">
        <v>172</v>
      </c>
      <c r="M2462" s="2">
        <v>75056.0</v>
      </c>
      <c r="N2462" s="2" t="s">
        <v>21</v>
      </c>
    </row>
    <row r="2463" ht="15.75" customHeight="1">
      <c r="A2463" s="2">
        <v>2014.0</v>
      </c>
      <c r="B2463" s="2" t="s">
        <v>11936</v>
      </c>
      <c r="C2463" s="2" t="s">
        <v>11937</v>
      </c>
      <c r="D2463" s="2" t="str">
        <f>"2148624789"</f>
        <v>2148624789</v>
      </c>
      <c r="E2463" s="2" t="s">
        <v>1164</v>
      </c>
      <c r="F2463" s="2" t="s">
        <v>1151</v>
      </c>
      <c r="G2463" s="2" t="str">
        <f>"SR-3484"</f>
        <v>SR-3484</v>
      </c>
      <c r="H2463" s="2" t="s">
        <v>10496</v>
      </c>
      <c r="I2463" s="2" t="s">
        <v>11938</v>
      </c>
      <c r="K2463" s="2" t="s">
        <v>11935</v>
      </c>
      <c r="L2463" s="2" t="s">
        <v>172</v>
      </c>
      <c r="M2463" s="2">
        <v>75056.0</v>
      </c>
      <c r="N2463" s="2" t="s">
        <v>21</v>
      </c>
    </row>
    <row r="2464" ht="15.75" customHeight="1">
      <c r="A2464" s="2">
        <v>2014.0</v>
      </c>
      <c r="B2464" s="2" t="s">
        <v>3901</v>
      </c>
      <c r="C2464" s="2" t="s">
        <v>3902</v>
      </c>
      <c r="D2464" s="2" t="str">
        <f>"8654838022"</f>
        <v>8654838022</v>
      </c>
      <c r="E2464" s="2" t="s">
        <v>988</v>
      </c>
      <c r="F2464" s="2" t="s">
        <v>3903</v>
      </c>
      <c r="G2464" s="2" t="str">
        <f>"SR-1157"</f>
        <v>SR-1157</v>
      </c>
      <c r="H2464" s="2" t="s">
        <v>3904</v>
      </c>
      <c r="I2464" s="2" t="s">
        <v>3905</v>
      </c>
      <c r="K2464" s="2" t="s">
        <v>3906</v>
      </c>
      <c r="L2464" s="2" t="s">
        <v>279</v>
      </c>
      <c r="M2464" s="2">
        <v>37830.0</v>
      </c>
      <c r="N2464" s="2" t="s">
        <v>21</v>
      </c>
    </row>
    <row r="2465" ht="15.75" customHeight="1">
      <c r="A2465" s="2">
        <v>2014.0</v>
      </c>
      <c r="B2465" s="2" t="s">
        <v>11939</v>
      </c>
      <c r="C2465" s="2" t="s">
        <v>11939</v>
      </c>
      <c r="D2465" s="2" t="str">
        <f>"320-766-9831"</f>
        <v>320-766-9831</v>
      </c>
      <c r="E2465" s="2" t="s">
        <v>651</v>
      </c>
      <c r="F2465" s="2" t="s">
        <v>7887</v>
      </c>
      <c r="G2465" s="2" t="str">
        <f>"SR-3445"</f>
        <v>SR-3445</v>
      </c>
      <c r="H2465" s="2" t="s">
        <v>11940</v>
      </c>
      <c r="I2465" s="2" t="s">
        <v>11941</v>
      </c>
      <c r="K2465" s="2" t="s">
        <v>404</v>
      </c>
      <c r="L2465" s="2" t="s">
        <v>62</v>
      </c>
      <c r="M2465" s="2">
        <v>56308.0</v>
      </c>
      <c r="N2465" s="2" t="s">
        <v>21</v>
      </c>
    </row>
    <row r="2466" ht="15.75" customHeight="1">
      <c r="A2466" s="2">
        <v>2014.0</v>
      </c>
      <c r="B2466" s="2" t="s">
        <v>11942</v>
      </c>
      <c r="C2466" s="2" t="s">
        <v>11942</v>
      </c>
      <c r="D2466" s="2" t="str">
        <f>"614-288-5144"</f>
        <v>614-288-5144</v>
      </c>
      <c r="E2466" s="2" t="s">
        <v>1356</v>
      </c>
      <c r="F2466" s="2" t="s">
        <v>11943</v>
      </c>
      <c r="G2466" s="2" t="str">
        <f>"SR-3528"</f>
        <v>SR-3528</v>
      </c>
      <c r="H2466" s="2" t="s">
        <v>11944</v>
      </c>
      <c r="I2466" s="2" t="s">
        <v>11945</v>
      </c>
      <c r="K2466" s="2" t="s">
        <v>489</v>
      </c>
      <c r="L2466" s="2" t="s">
        <v>344</v>
      </c>
      <c r="M2466" s="2">
        <v>43081.0</v>
      </c>
      <c r="N2466" s="2" t="s">
        <v>21</v>
      </c>
    </row>
    <row r="2467" ht="15.75" customHeight="1">
      <c r="A2467" s="2">
        <v>2014.0</v>
      </c>
      <c r="B2467" s="2" t="s">
        <v>11946</v>
      </c>
      <c r="C2467" s="2" t="s">
        <v>11947</v>
      </c>
      <c r="D2467" s="2" t="str">
        <f>"865-691-6577"</f>
        <v>865-691-6577</v>
      </c>
      <c r="E2467" s="2" t="s">
        <v>11948</v>
      </c>
      <c r="F2467" s="2" t="s">
        <v>2985</v>
      </c>
      <c r="G2467" s="2" t="str">
        <f>"SR-3114"</f>
        <v>SR-3114</v>
      </c>
      <c r="H2467" s="2" t="s">
        <v>11949</v>
      </c>
      <c r="I2467" s="2" t="s">
        <v>11950</v>
      </c>
      <c r="K2467" s="2" t="s">
        <v>6168</v>
      </c>
      <c r="L2467" s="2" t="s">
        <v>279</v>
      </c>
      <c r="M2467" s="2">
        <v>37931.0</v>
      </c>
      <c r="N2467" s="2" t="s">
        <v>21</v>
      </c>
    </row>
    <row r="2468" ht="15.75" customHeight="1">
      <c r="A2468" s="2">
        <v>2014.0</v>
      </c>
      <c r="B2468" s="2" t="s">
        <v>11951</v>
      </c>
      <c r="C2468" s="2" t="s">
        <v>11952</v>
      </c>
      <c r="D2468" s="2" t="str">
        <f>"920-203-2426"</f>
        <v>920-203-2426</v>
      </c>
      <c r="E2468" s="2" t="s">
        <v>11953</v>
      </c>
      <c r="F2468" s="2" t="s">
        <v>11954</v>
      </c>
      <c r="G2468" s="2" t="str">
        <f>"SR-3531"</f>
        <v>SR-3531</v>
      </c>
      <c r="H2468" s="2" t="s">
        <v>11955</v>
      </c>
      <c r="I2468" s="2" t="s">
        <v>11956</v>
      </c>
      <c r="K2468" s="2" t="s">
        <v>809</v>
      </c>
      <c r="L2468" s="2" t="s">
        <v>157</v>
      </c>
      <c r="M2468" s="2">
        <v>80920.0</v>
      </c>
      <c r="N2468" s="2" t="s">
        <v>21</v>
      </c>
    </row>
    <row r="2469" ht="15.75" customHeight="1">
      <c r="A2469" s="2">
        <v>2014.0</v>
      </c>
      <c r="B2469" s="2" t="s">
        <v>11957</v>
      </c>
      <c r="C2469" s="2" t="s">
        <v>11958</v>
      </c>
      <c r="D2469" s="2" t="str">
        <f>"330-488-6033"</f>
        <v>330-488-6033</v>
      </c>
      <c r="E2469" s="2" t="s">
        <v>11959</v>
      </c>
      <c r="F2469" s="2" t="s">
        <v>11960</v>
      </c>
      <c r="G2469" s="2" t="str">
        <f>"SR-3105"</f>
        <v>SR-3105</v>
      </c>
      <c r="H2469" s="2" t="s">
        <v>11961</v>
      </c>
      <c r="I2469" s="2" t="s">
        <v>11962</v>
      </c>
      <c r="K2469" s="2" t="s">
        <v>11963</v>
      </c>
      <c r="L2469" s="2" t="s">
        <v>344</v>
      </c>
      <c r="M2469" s="2">
        <v>44707.0</v>
      </c>
      <c r="N2469" s="2" t="s">
        <v>21</v>
      </c>
    </row>
    <row r="2470" ht="15.75" customHeight="1">
      <c r="A2470" s="2">
        <v>2014.0</v>
      </c>
      <c r="B2470" s="2" t="s">
        <v>3051</v>
      </c>
      <c r="D2470" s="2" t="str">
        <f>""</f>
        <v/>
      </c>
      <c r="E2470" s="2" t="s">
        <v>428</v>
      </c>
      <c r="F2470" s="2" t="s">
        <v>3052</v>
      </c>
      <c r="G2470" s="2" t="str">
        <f>"SR-977"</f>
        <v>SR-977</v>
      </c>
      <c r="H2470" s="2" t="s">
        <v>3053</v>
      </c>
    </row>
    <row r="2471" ht="15.75" customHeight="1">
      <c r="A2471" s="2">
        <v>2014.0</v>
      </c>
      <c r="B2471" s="2" t="s">
        <v>11964</v>
      </c>
      <c r="C2471" s="2" t="s">
        <v>11964</v>
      </c>
      <c r="D2471" s="2" t="str">
        <f>"8165909794"</f>
        <v>8165909794</v>
      </c>
      <c r="E2471" s="2" t="s">
        <v>908</v>
      </c>
      <c r="F2471" s="2" t="s">
        <v>11965</v>
      </c>
      <c r="G2471" s="2" t="str">
        <f>"SR-3534"</f>
        <v>SR-3534</v>
      </c>
      <c r="H2471" s="2" t="s">
        <v>11966</v>
      </c>
      <c r="I2471" s="2" t="s">
        <v>11967</v>
      </c>
      <c r="K2471" s="2" t="s">
        <v>11968</v>
      </c>
      <c r="L2471" s="2" t="s">
        <v>214</v>
      </c>
      <c r="M2471" s="2">
        <v>64083.0</v>
      </c>
      <c r="N2471" s="2" t="s">
        <v>21</v>
      </c>
    </row>
    <row r="2472" ht="15.75" customHeight="1">
      <c r="A2472" s="2">
        <v>2014.0</v>
      </c>
      <c r="B2472" s="2" t="s">
        <v>11969</v>
      </c>
      <c r="C2472" s="2" t="s">
        <v>11970</v>
      </c>
      <c r="D2472" s="2" t="str">
        <f>"3023570699"</f>
        <v>3023570699</v>
      </c>
      <c r="E2472" s="2" t="s">
        <v>10949</v>
      </c>
      <c r="F2472" s="2" t="s">
        <v>11971</v>
      </c>
      <c r="G2472" s="2" t="str">
        <f>"SR-3540"</f>
        <v>SR-3540</v>
      </c>
      <c r="H2472" s="2" t="s">
        <v>11972</v>
      </c>
      <c r="I2472" s="2" t="s">
        <v>11973</v>
      </c>
      <c r="K2472" s="2" t="s">
        <v>2305</v>
      </c>
      <c r="L2472" s="2" t="s">
        <v>179</v>
      </c>
      <c r="M2472" s="2">
        <v>19311.0</v>
      </c>
      <c r="N2472" s="2" t="s">
        <v>21</v>
      </c>
    </row>
    <row r="2473" ht="15.75" customHeight="1">
      <c r="A2473" s="2">
        <v>2014.0</v>
      </c>
      <c r="B2473" s="2" t="s">
        <v>11974</v>
      </c>
      <c r="C2473" s="2" t="s">
        <v>11975</v>
      </c>
      <c r="D2473" s="2" t="str">
        <f>"406-252-6294"</f>
        <v>406-252-6294</v>
      </c>
      <c r="E2473" s="2" t="s">
        <v>152</v>
      </c>
      <c r="F2473" s="2" t="s">
        <v>11976</v>
      </c>
      <c r="G2473" s="2" t="str">
        <f>"SR-3542"</f>
        <v>SR-3542</v>
      </c>
      <c r="H2473" s="2" t="s">
        <v>11977</v>
      </c>
      <c r="I2473" s="2" t="s">
        <v>11978</v>
      </c>
      <c r="K2473" s="2" t="s">
        <v>3548</v>
      </c>
      <c r="L2473" s="2" t="s">
        <v>2696</v>
      </c>
      <c r="M2473" s="2">
        <v>59101.0</v>
      </c>
      <c r="N2473" s="2" t="s">
        <v>21</v>
      </c>
    </row>
    <row r="2474" ht="15.75" customHeight="1">
      <c r="A2474" s="2">
        <v>2014.0</v>
      </c>
      <c r="B2474" s="2" t="s">
        <v>11979</v>
      </c>
      <c r="C2474" s="2" t="s">
        <v>11980</v>
      </c>
      <c r="D2474" s="2" t="str">
        <f>"919-699-1114"</f>
        <v>919-699-1114</v>
      </c>
      <c r="E2474" s="2" t="s">
        <v>11981</v>
      </c>
      <c r="F2474" s="2" t="s">
        <v>11982</v>
      </c>
      <c r="G2474" s="2" t="str">
        <f>"SR-3483"</f>
        <v>SR-3483</v>
      </c>
      <c r="H2474" s="2" t="s">
        <v>11983</v>
      </c>
      <c r="I2474" s="2" t="s">
        <v>11984</v>
      </c>
      <c r="K2474" s="2" t="s">
        <v>1111</v>
      </c>
      <c r="L2474" s="2" t="s">
        <v>20</v>
      </c>
      <c r="M2474" s="2">
        <v>27713.0</v>
      </c>
      <c r="N2474" s="2" t="s">
        <v>21</v>
      </c>
    </row>
    <row r="2475" ht="15.75" customHeight="1">
      <c r="A2475" s="2">
        <v>2014.0</v>
      </c>
      <c r="B2475" s="2" t="s">
        <v>11974</v>
      </c>
      <c r="C2475" s="2" t="s">
        <v>11985</v>
      </c>
      <c r="D2475" s="2" t="str">
        <f>"406-696-6305"</f>
        <v>406-696-6305</v>
      </c>
      <c r="E2475" s="2" t="s">
        <v>11986</v>
      </c>
      <c r="F2475" s="2" t="s">
        <v>11976</v>
      </c>
      <c r="G2475" s="2" t="str">
        <f>"SR-3291"</f>
        <v>SR-3291</v>
      </c>
      <c r="H2475" s="2" t="s">
        <v>11987</v>
      </c>
      <c r="I2475" s="2" t="s">
        <v>11988</v>
      </c>
      <c r="K2475" s="2" t="s">
        <v>3548</v>
      </c>
      <c r="L2475" s="2" t="s">
        <v>2696</v>
      </c>
      <c r="M2475" s="2">
        <v>59101.0</v>
      </c>
      <c r="N2475" s="2" t="s">
        <v>21</v>
      </c>
    </row>
    <row r="2476" ht="15.75" customHeight="1">
      <c r="A2476" s="2">
        <v>2014.0</v>
      </c>
      <c r="B2476" s="2" t="s">
        <v>5554</v>
      </c>
      <c r="C2476" s="2" t="s">
        <v>5555</v>
      </c>
      <c r="D2476" s="2" t="str">
        <f>"785-314-0040"</f>
        <v>785-314-0040</v>
      </c>
      <c r="E2476" s="2" t="s">
        <v>3052</v>
      </c>
      <c r="F2476" s="2" t="s">
        <v>690</v>
      </c>
      <c r="G2476" s="2" t="str">
        <f>"SR-1563"</f>
        <v>SR-1563</v>
      </c>
      <c r="H2476" s="2" t="s">
        <v>5556</v>
      </c>
      <c r="I2476" s="2" t="s">
        <v>5557</v>
      </c>
      <c r="K2476" s="2" t="s">
        <v>5558</v>
      </c>
      <c r="L2476" s="2" t="s">
        <v>272</v>
      </c>
      <c r="M2476" s="2">
        <v>67473.0</v>
      </c>
      <c r="N2476" s="2" t="s">
        <v>21</v>
      </c>
    </row>
    <row r="2477" ht="15.75" customHeight="1">
      <c r="A2477" s="2">
        <v>2014.0</v>
      </c>
      <c r="B2477" s="2" t="s">
        <v>11989</v>
      </c>
      <c r="C2477" s="2" t="s">
        <v>11990</v>
      </c>
      <c r="D2477" s="2" t="str">
        <f>"253-946-6699"</f>
        <v>253-946-6699</v>
      </c>
      <c r="E2477" s="2" t="s">
        <v>11991</v>
      </c>
      <c r="F2477" s="2" t="s">
        <v>11992</v>
      </c>
      <c r="G2477" s="2" t="str">
        <f>"SR-3401"</f>
        <v>SR-3401</v>
      </c>
      <c r="H2477" s="2" t="s">
        <v>11993</v>
      </c>
      <c r="I2477" s="2" t="s">
        <v>11994</v>
      </c>
      <c r="K2477" s="2" t="s">
        <v>11995</v>
      </c>
      <c r="L2477" s="2" t="s">
        <v>86</v>
      </c>
      <c r="M2477" s="2">
        <v>98003.0</v>
      </c>
      <c r="N2477" s="2" t="s">
        <v>21</v>
      </c>
    </row>
    <row r="2478" ht="15.75" customHeight="1">
      <c r="A2478" s="2">
        <v>2014.0</v>
      </c>
      <c r="B2478" s="2" t="s">
        <v>11121</v>
      </c>
      <c r="C2478" s="2" t="s">
        <v>11121</v>
      </c>
      <c r="D2478" s="2" t="str">
        <f>"530-532-4214"</f>
        <v>530-532-4214</v>
      </c>
      <c r="E2478" s="2" t="s">
        <v>584</v>
      </c>
      <c r="F2478" s="2" t="s">
        <v>11123</v>
      </c>
      <c r="G2478" s="2" t="str">
        <f>"SR-3297"</f>
        <v>SR-3297</v>
      </c>
      <c r="H2478" s="2" t="s">
        <v>11996</v>
      </c>
      <c r="I2478" s="2" t="s">
        <v>11125</v>
      </c>
      <c r="K2478" s="2" t="s">
        <v>11126</v>
      </c>
      <c r="L2478" s="2" t="s">
        <v>222</v>
      </c>
      <c r="M2478" s="2">
        <v>95965.0</v>
      </c>
      <c r="N2478" s="2" t="s">
        <v>21</v>
      </c>
    </row>
    <row r="2479" ht="15.75" customHeight="1">
      <c r="A2479" s="2">
        <v>2014.0</v>
      </c>
      <c r="B2479" s="2" t="s">
        <v>11997</v>
      </c>
      <c r="C2479" s="2" t="s">
        <v>11997</v>
      </c>
      <c r="D2479" s="2" t="str">
        <f>"6207677618"</f>
        <v>6207677618</v>
      </c>
      <c r="E2479" s="2" t="s">
        <v>2314</v>
      </c>
      <c r="F2479" s="2" t="s">
        <v>11998</v>
      </c>
      <c r="G2479" s="2" t="str">
        <f>"SR-3547"</f>
        <v>SR-3547</v>
      </c>
      <c r="H2479" s="2" t="s">
        <v>11999</v>
      </c>
      <c r="I2479" s="2" t="s">
        <v>12000</v>
      </c>
      <c r="K2479" s="2" t="s">
        <v>6149</v>
      </c>
      <c r="L2479" s="2" t="s">
        <v>272</v>
      </c>
      <c r="M2479" s="2">
        <v>66846.0</v>
      </c>
      <c r="N2479" s="2" t="s">
        <v>21</v>
      </c>
    </row>
    <row r="2480" ht="15.75" customHeight="1">
      <c r="A2480" s="2">
        <v>2014.0</v>
      </c>
      <c r="B2480" s="2" t="s">
        <v>12001</v>
      </c>
      <c r="C2480" s="2" t="s">
        <v>12001</v>
      </c>
      <c r="D2480" s="2" t="str">
        <f>"785-477-5238"</f>
        <v>785-477-5238</v>
      </c>
      <c r="E2480" s="2" t="s">
        <v>301</v>
      </c>
      <c r="F2480" s="2" t="s">
        <v>12002</v>
      </c>
      <c r="G2480" s="2" t="str">
        <f>"SR-3333"</f>
        <v>SR-3333</v>
      </c>
      <c r="H2480" s="2" t="s">
        <v>12003</v>
      </c>
      <c r="I2480" s="2" t="s">
        <v>12004</v>
      </c>
      <c r="K2480" s="2" t="s">
        <v>12005</v>
      </c>
      <c r="L2480" s="2" t="s">
        <v>272</v>
      </c>
      <c r="M2480" s="2">
        <v>66834.0</v>
      </c>
      <c r="N2480" s="2" t="s">
        <v>21</v>
      </c>
    </row>
    <row r="2481" ht="15.75" customHeight="1">
      <c r="A2481" s="2">
        <v>2014.0</v>
      </c>
      <c r="B2481" s="2" t="s">
        <v>12006</v>
      </c>
      <c r="C2481" s="2" t="s">
        <v>12007</v>
      </c>
      <c r="D2481" s="2" t="str">
        <f>"208-631-6054"</f>
        <v>208-631-6054</v>
      </c>
      <c r="E2481" s="2" t="s">
        <v>590</v>
      </c>
      <c r="F2481" s="2" t="s">
        <v>12008</v>
      </c>
      <c r="G2481" s="2" t="str">
        <f>"SR-3389"</f>
        <v>SR-3389</v>
      </c>
      <c r="H2481" s="2" t="s">
        <v>12009</v>
      </c>
      <c r="I2481" s="2" t="s">
        <v>12010</v>
      </c>
      <c r="K2481" s="2" t="s">
        <v>10703</v>
      </c>
      <c r="L2481" s="2" t="s">
        <v>2613</v>
      </c>
      <c r="M2481" s="2">
        <v>83687.0</v>
      </c>
      <c r="N2481" s="2" t="s">
        <v>21</v>
      </c>
    </row>
    <row r="2482" ht="15.75" customHeight="1">
      <c r="A2482" s="2">
        <v>2014.0</v>
      </c>
      <c r="B2482" s="2" t="s">
        <v>12011</v>
      </c>
      <c r="C2482" s="2" t="s">
        <v>12011</v>
      </c>
      <c r="D2482" s="2" t="str">
        <f>"6207673630"</f>
        <v>6207673630</v>
      </c>
      <c r="E2482" s="2" t="s">
        <v>12012</v>
      </c>
      <c r="F2482" s="2" t="s">
        <v>962</v>
      </c>
      <c r="G2482" s="2" t="str">
        <f>"SR-3356"</f>
        <v>SR-3356</v>
      </c>
      <c r="H2482" s="2" t="s">
        <v>12013</v>
      </c>
      <c r="I2482" s="2" t="s">
        <v>12014</v>
      </c>
      <c r="K2482" s="2" t="s">
        <v>1814</v>
      </c>
      <c r="L2482" s="2" t="s">
        <v>214</v>
      </c>
      <c r="M2482" s="2">
        <v>64114.0</v>
      </c>
      <c r="N2482" s="2" t="s">
        <v>21</v>
      </c>
    </row>
    <row r="2483" ht="15.75" customHeight="1">
      <c r="A2483" s="2">
        <v>2014.0</v>
      </c>
      <c r="B2483" s="2" t="s">
        <v>12015</v>
      </c>
      <c r="C2483" s="2" t="s">
        <v>12015</v>
      </c>
      <c r="D2483" s="2" t="str">
        <f>"518-761-6641"</f>
        <v>518-761-6641</v>
      </c>
      <c r="E2483" s="2" t="s">
        <v>456</v>
      </c>
      <c r="F2483" s="2" t="s">
        <v>12016</v>
      </c>
      <c r="G2483" s="2" t="str">
        <f>"SR-3159"</f>
        <v>SR-3159</v>
      </c>
      <c r="H2483" s="2" t="s">
        <v>12017</v>
      </c>
      <c r="I2483" s="2" t="s">
        <v>12018</v>
      </c>
      <c r="K2483" s="2" t="s">
        <v>12019</v>
      </c>
      <c r="L2483" s="2" t="s">
        <v>142</v>
      </c>
      <c r="M2483" s="2">
        <v>12804.0</v>
      </c>
      <c r="N2483" s="2" t="s">
        <v>21</v>
      </c>
    </row>
    <row r="2484" ht="15.75" customHeight="1">
      <c r="A2484" s="2">
        <v>2014.0</v>
      </c>
      <c r="B2484" s="2" t="s">
        <v>12020</v>
      </c>
      <c r="C2484" s="2" t="s">
        <v>12021</v>
      </c>
      <c r="D2484" s="2" t="str">
        <f>"913-829-6659"</f>
        <v>913-829-6659</v>
      </c>
      <c r="E2484" s="2" t="s">
        <v>908</v>
      </c>
      <c r="F2484" s="2" t="s">
        <v>12022</v>
      </c>
      <c r="G2484" s="2" t="str">
        <f>"SR-3457"</f>
        <v>SR-3457</v>
      </c>
      <c r="H2484" s="2" t="s">
        <v>12023</v>
      </c>
      <c r="I2484" s="2" t="s">
        <v>12024</v>
      </c>
      <c r="K2484" s="2" t="s">
        <v>1067</v>
      </c>
      <c r="L2484" s="2" t="s">
        <v>272</v>
      </c>
      <c r="M2484" s="2">
        <v>66062.0</v>
      </c>
      <c r="N2484" s="2" t="s">
        <v>21</v>
      </c>
    </row>
    <row r="2485" ht="15.75" customHeight="1">
      <c r="A2485" s="2">
        <v>2014.0</v>
      </c>
      <c r="B2485" s="2" t="s">
        <v>12025</v>
      </c>
      <c r="C2485" s="2" t="s">
        <v>12026</v>
      </c>
      <c r="D2485" s="2" t="str">
        <f>"2487034935"</f>
        <v>2487034935</v>
      </c>
      <c r="E2485" s="2" t="s">
        <v>12027</v>
      </c>
      <c r="F2485" s="2" t="s">
        <v>12028</v>
      </c>
      <c r="G2485" s="2" t="str">
        <f>"SR-3551"</f>
        <v>SR-3551</v>
      </c>
      <c r="H2485" s="2" t="s">
        <v>12029</v>
      </c>
      <c r="I2485" s="2" t="s">
        <v>12030</v>
      </c>
      <c r="K2485" s="2" t="s">
        <v>12031</v>
      </c>
      <c r="L2485" s="2" t="s">
        <v>29</v>
      </c>
      <c r="M2485" s="2">
        <v>48302.0</v>
      </c>
      <c r="N2485" s="2" t="s">
        <v>21</v>
      </c>
    </row>
    <row r="2486" ht="15.75" customHeight="1">
      <c r="A2486" s="2">
        <v>2014.0</v>
      </c>
      <c r="B2486" s="2" t="s">
        <v>12032</v>
      </c>
      <c r="C2486" s="2" t="s">
        <v>12032</v>
      </c>
      <c r="D2486" s="2" t="str">
        <f>"478 993 7045"</f>
        <v>478 993 7045</v>
      </c>
      <c r="E2486" s="2" t="s">
        <v>12033</v>
      </c>
      <c r="F2486" s="2" t="s">
        <v>12034</v>
      </c>
      <c r="G2486" s="2" t="str">
        <f>"SR-3407"</f>
        <v>SR-3407</v>
      </c>
      <c r="H2486" s="2" t="s">
        <v>12035</v>
      </c>
      <c r="I2486" s="2" t="s">
        <v>12036</v>
      </c>
      <c r="K2486" s="2" t="s">
        <v>12037</v>
      </c>
      <c r="L2486" s="2" t="s">
        <v>200</v>
      </c>
      <c r="M2486" s="2">
        <v>31029.0</v>
      </c>
      <c r="N2486" s="2" t="s">
        <v>21</v>
      </c>
    </row>
    <row r="2487" ht="15.75" customHeight="1">
      <c r="A2487" s="2">
        <v>2014.0</v>
      </c>
      <c r="B2487" s="2" t="s">
        <v>12038</v>
      </c>
      <c r="C2487" s="2" t="s">
        <v>12038</v>
      </c>
      <c r="D2487" s="2" t="str">
        <f>"2817995261"</f>
        <v>2817995261</v>
      </c>
      <c r="E2487" s="2" t="s">
        <v>1114</v>
      </c>
      <c r="F2487" s="2" t="s">
        <v>5895</v>
      </c>
      <c r="G2487" s="2" t="str">
        <f>"SR-3522"</f>
        <v>SR-3522</v>
      </c>
      <c r="H2487" s="2" t="s">
        <v>12039</v>
      </c>
      <c r="I2487" s="2" t="s">
        <v>12040</v>
      </c>
      <c r="K2487" s="2" t="s">
        <v>5404</v>
      </c>
      <c r="L2487" s="2" t="s">
        <v>172</v>
      </c>
      <c r="M2487" s="2">
        <v>77354.0</v>
      </c>
      <c r="N2487" s="2" t="s">
        <v>21</v>
      </c>
    </row>
    <row r="2488" ht="15.75" customHeight="1">
      <c r="A2488" s="2">
        <v>2014.0</v>
      </c>
      <c r="B2488" s="2" t="s">
        <v>12041</v>
      </c>
      <c r="C2488" s="2" t="s">
        <v>12042</v>
      </c>
      <c r="D2488" s="2" t="str">
        <f>"9157607348"</f>
        <v>9157607348</v>
      </c>
      <c r="E2488" s="2" t="s">
        <v>12043</v>
      </c>
      <c r="F2488" s="2" t="s">
        <v>12044</v>
      </c>
      <c r="G2488" s="2" t="str">
        <f>"SR-3556"</f>
        <v>SR-3556</v>
      </c>
      <c r="H2488" s="2" t="s">
        <v>12045</v>
      </c>
      <c r="I2488" s="2" t="s">
        <v>12046</v>
      </c>
      <c r="K2488" s="2" t="s">
        <v>12047</v>
      </c>
      <c r="L2488" s="2" t="s">
        <v>172</v>
      </c>
      <c r="M2488" s="2">
        <v>79838.0</v>
      </c>
      <c r="N2488" s="2" t="s">
        <v>21</v>
      </c>
    </row>
    <row r="2489" ht="15.75" customHeight="1">
      <c r="A2489" s="2">
        <v>2014.0</v>
      </c>
      <c r="B2489" s="2" t="s">
        <v>12048</v>
      </c>
      <c r="C2489" s="2" t="s">
        <v>12048</v>
      </c>
      <c r="D2489" s="2" t="str">
        <f>"7808210690"</f>
        <v>7808210690</v>
      </c>
      <c r="E2489" s="2" t="s">
        <v>225</v>
      </c>
      <c r="F2489" s="2" t="s">
        <v>12049</v>
      </c>
      <c r="G2489" s="2" t="str">
        <f>"SR-3281"</f>
        <v>SR-3281</v>
      </c>
      <c r="H2489" s="2" t="s">
        <v>12050</v>
      </c>
      <c r="I2489" s="2" t="s">
        <v>12051</v>
      </c>
      <c r="J2489" s="2" t="s">
        <v>12052</v>
      </c>
      <c r="K2489" s="2" t="s">
        <v>12053</v>
      </c>
      <c r="L2489" s="2" t="s">
        <v>2397</v>
      </c>
      <c r="M2489" s="2" t="s">
        <v>12054</v>
      </c>
      <c r="N2489" s="2" t="s">
        <v>1602</v>
      </c>
    </row>
    <row r="2490" ht="15.75" customHeight="1">
      <c r="A2490" s="2">
        <v>2014.0</v>
      </c>
      <c r="B2490" s="2" t="s">
        <v>12055</v>
      </c>
      <c r="C2490" s="2" t="s">
        <v>12056</v>
      </c>
      <c r="D2490" s="2" t="str">
        <f>"3209687158"</f>
        <v>3209687158</v>
      </c>
      <c r="E2490" s="2" t="s">
        <v>282</v>
      </c>
      <c r="F2490" s="2" t="s">
        <v>7887</v>
      </c>
      <c r="G2490" s="2" t="str">
        <f>"SR-3557"</f>
        <v>SR-3557</v>
      </c>
      <c r="H2490" s="2" t="s">
        <v>12057</v>
      </c>
      <c r="I2490" s="2" t="s">
        <v>12058</v>
      </c>
      <c r="K2490" s="2" t="s">
        <v>12059</v>
      </c>
      <c r="L2490" s="2" t="s">
        <v>62</v>
      </c>
      <c r="M2490" s="2">
        <v>56329.0</v>
      </c>
      <c r="N2490" s="2" t="s">
        <v>21</v>
      </c>
    </row>
    <row r="2491" ht="15.75" customHeight="1">
      <c r="A2491" s="2">
        <v>2014.0</v>
      </c>
      <c r="B2491" s="2" t="s">
        <v>12060</v>
      </c>
      <c r="C2491" s="2" t="s">
        <v>12060</v>
      </c>
      <c r="D2491" s="2" t="str">
        <f>"2547496194"</f>
        <v>2547496194</v>
      </c>
      <c r="E2491" s="2" t="s">
        <v>50</v>
      </c>
      <c r="F2491" s="2" t="s">
        <v>511</v>
      </c>
      <c r="G2491" s="2" t="str">
        <f>"SR-3387"</f>
        <v>SR-3387</v>
      </c>
      <c r="H2491" s="2" t="s">
        <v>12061</v>
      </c>
      <c r="I2491" s="2" t="s">
        <v>12062</v>
      </c>
      <c r="K2491" s="2" t="s">
        <v>8941</v>
      </c>
      <c r="L2491" s="2" t="s">
        <v>172</v>
      </c>
      <c r="M2491" s="2">
        <v>76691.0</v>
      </c>
      <c r="N2491" s="2" t="s">
        <v>21</v>
      </c>
    </row>
    <row r="2492" ht="15.75" customHeight="1">
      <c r="A2492" s="2">
        <v>2014.0</v>
      </c>
      <c r="B2492" s="2" t="s">
        <v>12063</v>
      </c>
      <c r="C2492" s="2" t="s">
        <v>12064</v>
      </c>
      <c r="D2492" s="2" t="str">
        <f>"320-760-1425"</f>
        <v>320-760-1425</v>
      </c>
      <c r="E2492" s="2" t="s">
        <v>12065</v>
      </c>
      <c r="F2492" s="2" t="s">
        <v>2847</v>
      </c>
      <c r="G2492" s="2" t="str">
        <f>"SR-3545"</f>
        <v>SR-3545</v>
      </c>
      <c r="H2492" s="2" t="s">
        <v>12066</v>
      </c>
      <c r="I2492" s="2" t="s">
        <v>12067</v>
      </c>
      <c r="K2492" s="2" t="s">
        <v>1880</v>
      </c>
      <c r="L2492" s="2" t="s">
        <v>62</v>
      </c>
      <c r="M2492" s="2">
        <v>56319.0</v>
      </c>
      <c r="N2492" s="2" t="s">
        <v>21</v>
      </c>
    </row>
    <row r="2493" ht="15.75" customHeight="1">
      <c r="A2493" s="2">
        <v>2014.0</v>
      </c>
      <c r="B2493" s="2" t="s">
        <v>12068</v>
      </c>
      <c r="C2493" s="2" t="s">
        <v>12069</v>
      </c>
      <c r="D2493" s="2" t="str">
        <f>"304-862-2262"</f>
        <v>304-862-2262</v>
      </c>
      <c r="E2493" s="2" t="s">
        <v>2361</v>
      </c>
      <c r="F2493" s="2" t="s">
        <v>12070</v>
      </c>
      <c r="G2493" s="2" t="str">
        <f>"SR-3514"</f>
        <v>SR-3514</v>
      </c>
      <c r="H2493" s="2" t="s">
        <v>12071</v>
      </c>
      <c r="I2493" s="2" t="s">
        <v>12072</v>
      </c>
      <c r="K2493" s="2" t="s">
        <v>12073</v>
      </c>
      <c r="L2493" s="2" t="s">
        <v>6449</v>
      </c>
      <c r="M2493" s="2">
        <v>24868.0</v>
      </c>
      <c r="N2493" s="2" t="s">
        <v>21</v>
      </c>
    </row>
    <row r="2494" ht="15.75" customHeight="1">
      <c r="A2494" s="2">
        <v>2014.0</v>
      </c>
      <c r="B2494" s="2" t="s">
        <v>12055</v>
      </c>
      <c r="C2494" s="2" t="s">
        <v>12074</v>
      </c>
      <c r="D2494" s="2" t="str">
        <f>"320 266-2366"</f>
        <v>320 266-2366</v>
      </c>
      <c r="E2494" s="2" t="s">
        <v>12075</v>
      </c>
      <c r="F2494" s="2" t="s">
        <v>11171</v>
      </c>
      <c r="G2494" s="2" t="str">
        <f>"SR-3511"</f>
        <v>SR-3511</v>
      </c>
      <c r="H2494" s="2" t="s">
        <v>12076</v>
      </c>
      <c r="I2494" s="2" t="s">
        <v>12077</v>
      </c>
      <c r="K2494" s="2" t="s">
        <v>12078</v>
      </c>
      <c r="L2494" s="2" t="s">
        <v>62</v>
      </c>
      <c r="M2494" s="2">
        <v>56357.0</v>
      </c>
      <c r="N2494" s="2" t="s">
        <v>21</v>
      </c>
    </row>
    <row r="2495" ht="15.75" customHeight="1">
      <c r="A2495" s="2">
        <v>2014.0</v>
      </c>
      <c r="B2495" s="2" t="s">
        <v>12079</v>
      </c>
      <c r="C2495" s="2" t="s">
        <v>12080</v>
      </c>
      <c r="D2495" s="2" t="str">
        <f>"417-448-7289"</f>
        <v>417-448-7289</v>
      </c>
      <c r="E2495" s="2" t="s">
        <v>9558</v>
      </c>
      <c r="F2495" s="2" t="s">
        <v>12081</v>
      </c>
      <c r="G2495" s="2" t="str">
        <f>"SR-3565"</f>
        <v>SR-3565</v>
      </c>
      <c r="H2495" s="2" t="s">
        <v>12082</v>
      </c>
      <c r="I2495" s="2" t="s">
        <v>12083</v>
      </c>
      <c r="K2495" s="2" t="s">
        <v>3903</v>
      </c>
      <c r="L2495" s="2" t="s">
        <v>214</v>
      </c>
      <c r="M2495" s="2">
        <v>64790.0</v>
      </c>
      <c r="N2495" s="2" t="s">
        <v>21</v>
      </c>
    </row>
    <row r="2496" ht="15.75" customHeight="1">
      <c r="A2496" s="2">
        <v>2014.0</v>
      </c>
      <c r="B2496" s="2" t="s">
        <v>12084</v>
      </c>
      <c r="C2496" s="2" t="s">
        <v>12085</v>
      </c>
      <c r="D2496" s="2" t="str">
        <f>"(218)234-0641"</f>
        <v>(218)234-0641</v>
      </c>
      <c r="E2496" s="2" t="s">
        <v>2851</v>
      </c>
      <c r="F2496" s="2" t="s">
        <v>12086</v>
      </c>
      <c r="G2496" s="2" t="str">
        <f>"SR-3013"</f>
        <v>SR-3013</v>
      </c>
      <c r="H2496" s="2" t="s">
        <v>12087</v>
      </c>
      <c r="I2496" s="2" t="s">
        <v>12088</v>
      </c>
      <c r="K2496" s="2" t="s">
        <v>12089</v>
      </c>
      <c r="L2496" s="2" t="s">
        <v>62</v>
      </c>
      <c r="M2496" s="2">
        <v>56544.0</v>
      </c>
      <c r="N2496" s="2" t="s">
        <v>21</v>
      </c>
    </row>
    <row r="2497" ht="15.75" customHeight="1">
      <c r="A2497" s="2">
        <v>2014.0</v>
      </c>
      <c r="B2497" s="2" t="s">
        <v>12090</v>
      </c>
      <c r="C2497" s="2" t="s">
        <v>12090</v>
      </c>
      <c r="D2497" s="2" t="str">
        <f>"4323534252"</f>
        <v>4323534252</v>
      </c>
      <c r="E2497" s="2" t="s">
        <v>278</v>
      </c>
      <c r="F2497" s="2" t="s">
        <v>6500</v>
      </c>
      <c r="G2497" s="2" t="str">
        <f>"SR-3550"</f>
        <v>SR-3550</v>
      </c>
      <c r="H2497" s="2" t="s">
        <v>12091</v>
      </c>
      <c r="I2497" s="2" t="s">
        <v>12092</v>
      </c>
      <c r="K2497" s="2" t="s">
        <v>6503</v>
      </c>
      <c r="L2497" s="2" t="s">
        <v>172</v>
      </c>
      <c r="M2497" s="2">
        <v>79713.0</v>
      </c>
      <c r="N2497" s="2" t="s">
        <v>21</v>
      </c>
    </row>
    <row r="2498" ht="15.75" customHeight="1">
      <c r="A2498" s="2">
        <v>2014.0</v>
      </c>
      <c r="B2498" s="2" t="s">
        <v>12093</v>
      </c>
      <c r="C2498" s="2" t="s">
        <v>12093</v>
      </c>
      <c r="D2498" s="2" t="str">
        <f>"712-395-8708"</f>
        <v>712-395-8708</v>
      </c>
      <c r="E2498" s="2" t="s">
        <v>373</v>
      </c>
      <c r="F2498" s="2" t="s">
        <v>12094</v>
      </c>
      <c r="G2498" s="2" t="str">
        <f>"SR-3479"</f>
        <v>SR-3479</v>
      </c>
      <c r="H2498" s="2" t="s">
        <v>12095</v>
      </c>
      <c r="I2498" s="2" t="s">
        <v>12096</v>
      </c>
      <c r="K2498" s="2" t="s">
        <v>12097</v>
      </c>
      <c r="L2498" s="2" t="s">
        <v>560</v>
      </c>
      <c r="M2498" s="2">
        <v>51041.0</v>
      </c>
      <c r="N2498" s="2" t="s">
        <v>21</v>
      </c>
    </row>
    <row r="2499" ht="15.75" customHeight="1">
      <c r="A2499" s="2">
        <v>2014.0</v>
      </c>
      <c r="B2499" s="2" t="s">
        <v>12098</v>
      </c>
      <c r="C2499" s="2" t="s">
        <v>12099</v>
      </c>
      <c r="D2499" s="2" t="str">
        <f>"515-779-5653"</f>
        <v>515-779-5653</v>
      </c>
      <c r="E2499" s="2" t="s">
        <v>12100</v>
      </c>
      <c r="F2499" s="2" t="s">
        <v>12101</v>
      </c>
      <c r="G2499" s="2" t="str">
        <f>"SR-3562"</f>
        <v>SR-3562</v>
      </c>
      <c r="H2499" s="2" t="s">
        <v>12102</v>
      </c>
      <c r="I2499" s="2" t="s">
        <v>12103</v>
      </c>
      <c r="K2499" s="2" t="s">
        <v>2066</v>
      </c>
      <c r="L2499" s="2" t="s">
        <v>560</v>
      </c>
      <c r="M2499" s="2">
        <v>50266.0</v>
      </c>
      <c r="N2499" s="2" t="s">
        <v>21</v>
      </c>
    </row>
    <row r="2500" ht="15.75" customHeight="1">
      <c r="A2500" s="2">
        <v>2014.0</v>
      </c>
      <c r="B2500" s="2" t="s">
        <v>12104</v>
      </c>
      <c r="C2500" s="2" t="s">
        <v>12104</v>
      </c>
      <c r="D2500" s="2" t="str">
        <f>"803-708-7728"</f>
        <v>803-708-7728</v>
      </c>
      <c r="E2500" s="2" t="s">
        <v>2930</v>
      </c>
      <c r="F2500" s="2" t="s">
        <v>12105</v>
      </c>
      <c r="G2500" s="2" t="str">
        <f>"SR-3433"</f>
        <v>SR-3433</v>
      </c>
      <c r="H2500" s="2" t="s">
        <v>12106</v>
      </c>
      <c r="I2500" s="2" t="s">
        <v>12107</v>
      </c>
      <c r="K2500" s="2" t="s">
        <v>12108</v>
      </c>
      <c r="L2500" s="2" t="s">
        <v>3618</v>
      </c>
      <c r="M2500" s="2">
        <v>8759.0</v>
      </c>
      <c r="N2500" s="2" t="s">
        <v>21</v>
      </c>
    </row>
    <row r="2501" ht="15.75" customHeight="1">
      <c r="A2501" s="2">
        <v>2014.0</v>
      </c>
      <c r="B2501" s="2" t="s">
        <v>12109</v>
      </c>
      <c r="C2501" s="2" t="s">
        <v>12110</v>
      </c>
      <c r="D2501" s="2" t="str">
        <f>"763 658 8025"</f>
        <v>763 658 8025</v>
      </c>
      <c r="E2501" s="2" t="s">
        <v>12111</v>
      </c>
      <c r="F2501" s="2" t="s">
        <v>12112</v>
      </c>
      <c r="G2501" s="2" t="str">
        <f>"SR-3577"</f>
        <v>SR-3577</v>
      </c>
      <c r="H2501" s="2" t="s">
        <v>12113</v>
      </c>
      <c r="I2501" s="2" t="s">
        <v>12114</v>
      </c>
      <c r="K2501" s="2" t="s">
        <v>6907</v>
      </c>
      <c r="L2501" s="2" t="s">
        <v>62</v>
      </c>
      <c r="M2501" s="2">
        <v>55390.0</v>
      </c>
      <c r="N2501" s="2" t="s">
        <v>21</v>
      </c>
    </row>
    <row r="2502" ht="15.75" customHeight="1">
      <c r="A2502" s="2">
        <v>2014.0</v>
      </c>
      <c r="B2502" s="2" t="s">
        <v>12115</v>
      </c>
      <c r="D2502" s="2" t="str">
        <f>""</f>
        <v/>
      </c>
      <c r="E2502" s="2" t="s">
        <v>12116</v>
      </c>
      <c r="F2502" s="2" t="s">
        <v>2902</v>
      </c>
      <c r="G2502" s="2" t="str">
        <f>"SR-3334"</f>
        <v>SR-3334</v>
      </c>
      <c r="H2502" s="2" t="s">
        <v>12117</v>
      </c>
      <c r="N2502" s="2" t="s">
        <v>21</v>
      </c>
    </row>
    <row r="2503" ht="15.75" customHeight="1">
      <c r="A2503" s="2">
        <v>2014.0</v>
      </c>
      <c r="B2503" s="2" t="s">
        <v>12118</v>
      </c>
      <c r="C2503" s="2" t="s">
        <v>12119</v>
      </c>
      <c r="D2503" s="2" t="str">
        <f>"615-773-8740"</f>
        <v>615-773-8740</v>
      </c>
      <c r="E2503" s="2" t="s">
        <v>4968</v>
      </c>
      <c r="F2503" s="2" t="s">
        <v>2231</v>
      </c>
      <c r="G2503" s="2" t="str">
        <f>"SR-3488"</f>
        <v>SR-3488</v>
      </c>
      <c r="H2503" s="2" t="s">
        <v>12120</v>
      </c>
      <c r="I2503" s="2" t="s">
        <v>12121</v>
      </c>
      <c r="K2503" s="2" t="s">
        <v>11803</v>
      </c>
      <c r="L2503" s="2" t="s">
        <v>279</v>
      </c>
      <c r="M2503" s="2">
        <v>37122.0</v>
      </c>
      <c r="N2503" s="2" t="s">
        <v>21</v>
      </c>
    </row>
    <row r="2504" ht="15.75" customHeight="1">
      <c r="A2504" s="2">
        <v>2014.0</v>
      </c>
      <c r="B2504" s="2" t="s">
        <v>12122</v>
      </c>
      <c r="C2504" s="2" t="s">
        <v>12122</v>
      </c>
      <c r="D2504" s="2" t="str">
        <f>"402-821-7126"</f>
        <v>402-821-7126</v>
      </c>
      <c r="E2504" s="2" t="s">
        <v>160</v>
      </c>
      <c r="F2504" s="2" t="s">
        <v>12123</v>
      </c>
      <c r="G2504" s="2" t="str">
        <f>"SR-3354"</f>
        <v>SR-3354</v>
      </c>
      <c r="H2504" s="2" t="s">
        <v>12124</v>
      </c>
      <c r="I2504" s="2" t="s">
        <v>12125</v>
      </c>
      <c r="K2504" s="2" t="s">
        <v>572</v>
      </c>
      <c r="L2504" s="2" t="s">
        <v>757</v>
      </c>
      <c r="M2504" s="2">
        <v>68521.0</v>
      </c>
      <c r="N2504" s="2" t="s">
        <v>21</v>
      </c>
    </row>
    <row r="2505" ht="15.75" customHeight="1">
      <c r="A2505" s="2">
        <v>2014.0</v>
      </c>
      <c r="B2505" s="2" t="s">
        <v>12126</v>
      </c>
      <c r="C2505" s="2" t="s">
        <v>12127</v>
      </c>
      <c r="D2505" s="2" t="str">
        <f>"505-892-3920"</f>
        <v>505-892-3920</v>
      </c>
      <c r="E2505" s="2" t="s">
        <v>465</v>
      </c>
      <c r="F2505" s="2" t="s">
        <v>5335</v>
      </c>
      <c r="G2505" s="2" t="str">
        <f>"SR-3358"</f>
        <v>SR-3358</v>
      </c>
      <c r="H2505" s="2" t="s">
        <v>12128</v>
      </c>
      <c r="I2505" s="2" t="s">
        <v>12129</v>
      </c>
      <c r="K2505" s="2" t="s">
        <v>3803</v>
      </c>
      <c r="L2505" s="2" t="s">
        <v>789</v>
      </c>
      <c r="M2505" s="2">
        <v>87124.0</v>
      </c>
      <c r="N2505" s="2" t="s">
        <v>21</v>
      </c>
    </row>
    <row r="2506" ht="15.75" customHeight="1">
      <c r="A2506" s="2">
        <v>2014.0</v>
      </c>
      <c r="B2506" s="2" t="s">
        <v>12130</v>
      </c>
      <c r="C2506" s="2" t="s">
        <v>12131</v>
      </c>
      <c r="D2506" s="2" t="str">
        <f>"7193572772"</f>
        <v>7193572772</v>
      </c>
      <c r="E2506" s="2" t="s">
        <v>57</v>
      </c>
      <c r="F2506" s="2" t="s">
        <v>12132</v>
      </c>
      <c r="G2506" s="2" t="str">
        <f>"SR-3578"</f>
        <v>SR-3578</v>
      </c>
      <c r="H2506" s="2" t="s">
        <v>12133</v>
      </c>
      <c r="I2506" s="2" t="s">
        <v>12134</v>
      </c>
      <c r="K2506" s="2" t="s">
        <v>809</v>
      </c>
      <c r="L2506" s="2" t="s">
        <v>157</v>
      </c>
      <c r="M2506" s="2">
        <v>80917.0</v>
      </c>
      <c r="N2506" s="2" t="s">
        <v>21</v>
      </c>
    </row>
    <row r="2507" ht="15.75" customHeight="1">
      <c r="A2507" s="2">
        <v>2014.0</v>
      </c>
      <c r="B2507" s="2" t="s">
        <v>12055</v>
      </c>
      <c r="C2507" s="2" t="s">
        <v>12055</v>
      </c>
      <c r="D2507" s="2" t="str">
        <f>"320-968-7158"</f>
        <v>320-968-7158</v>
      </c>
      <c r="E2507" s="2" t="s">
        <v>12135</v>
      </c>
      <c r="F2507" s="2" t="s">
        <v>7887</v>
      </c>
      <c r="G2507" s="2" t="str">
        <f>"SR-3573"</f>
        <v>SR-3573</v>
      </c>
      <c r="H2507" s="2" t="s">
        <v>12136</v>
      </c>
      <c r="I2507" s="2" t="s">
        <v>12137</v>
      </c>
      <c r="K2507" s="2" t="s">
        <v>12059</v>
      </c>
      <c r="L2507" s="2" t="s">
        <v>62</v>
      </c>
      <c r="M2507" s="2">
        <v>56329.0</v>
      </c>
      <c r="N2507" s="2" t="s">
        <v>21</v>
      </c>
    </row>
    <row r="2508" ht="15.75" customHeight="1">
      <c r="A2508" s="2">
        <v>2014.0</v>
      </c>
      <c r="B2508" s="2" t="s">
        <v>12138</v>
      </c>
      <c r="D2508" s="2" t="str">
        <f>""</f>
        <v/>
      </c>
      <c r="E2508" s="2" t="s">
        <v>705</v>
      </c>
      <c r="F2508" s="2" t="s">
        <v>7647</v>
      </c>
      <c r="G2508" s="2" t="str">
        <f>"SR-3470"</f>
        <v>SR-3470</v>
      </c>
      <c r="H2508" s="2" t="s">
        <v>12139</v>
      </c>
      <c r="N2508" s="2" t="s">
        <v>21</v>
      </c>
    </row>
    <row r="2509" ht="15.75" customHeight="1">
      <c r="A2509" s="2">
        <v>2014.0</v>
      </c>
      <c r="B2509" s="2" t="s">
        <v>12140</v>
      </c>
      <c r="C2509" s="2" t="s">
        <v>12141</v>
      </c>
      <c r="D2509" s="2" t="str">
        <f>"808-640-4725"</f>
        <v>808-640-4725</v>
      </c>
      <c r="E2509" s="2" t="s">
        <v>5583</v>
      </c>
      <c r="F2509" s="2" t="s">
        <v>12142</v>
      </c>
      <c r="G2509" s="2" t="str">
        <f>"SR-2700"</f>
        <v>SR-2700</v>
      </c>
      <c r="H2509" s="2" t="s">
        <v>12143</v>
      </c>
      <c r="I2509" s="2" t="s">
        <v>12144</v>
      </c>
      <c r="K2509" s="2" t="s">
        <v>12145</v>
      </c>
      <c r="L2509" s="2" t="s">
        <v>770</v>
      </c>
      <c r="M2509" s="2">
        <v>96745.0</v>
      </c>
      <c r="N2509" s="2" t="s">
        <v>21</v>
      </c>
    </row>
    <row r="2510" ht="15.75" customHeight="1">
      <c r="A2510" s="2">
        <v>2014.0</v>
      </c>
      <c r="B2510" s="2" t="s">
        <v>12055</v>
      </c>
      <c r="C2510" s="2" t="s">
        <v>12146</v>
      </c>
      <c r="D2510" s="2" t="str">
        <f>"320 2914622"</f>
        <v>320 2914622</v>
      </c>
      <c r="E2510" s="2" t="s">
        <v>12147</v>
      </c>
      <c r="F2510" s="2" t="s">
        <v>7887</v>
      </c>
      <c r="G2510" s="2" t="str">
        <f>"SR-3492"</f>
        <v>SR-3492</v>
      </c>
      <c r="H2510" s="2" t="s">
        <v>12148</v>
      </c>
      <c r="I2510" s="2" t="s">
        <v>12149</v>
      </c>
      <c r="K2510" s="2" t="s">
        <v>12059</v>
      </c>
      <c r="L2510" s="2" t="s">
        <v>62</v>
      </c>
      <c r="M2510" s="2">
        <v>56329.0</v>
      </c>
      <c r="N2510" s="2" t="s">
        <v>21</v>
      </c>
    </row>
    <row r="2511" ht="15.75" customHeight="1">
      <c r="A2511" s="2">
        <v>2014.0</v>
      </c>
      <c r="B2511" s="2" t="s">
        <v>12150</v>
      </c>
      <c r="C2511" s="2" t="s">
        <v>12150</v>
      </c>
      <c r="D2511" s="2" t="str">
        <f>"8122953172"</f>
        <v>8122953172</v>
      </c>
      <c r="E2511" s="2" t="s">
        <v>590</v>
      </c>
      <c r="F2511" s="2" t="s">
        <v>10840</v>
      </c>
      <c r="G2511" s="2" t="str">
        <f>"SR-3572"</f>
        <v>SR-3572</v>
      </c>
      <c r="H2511" s="2" t="s">
        <v>12151</v>
      </c>
      <c r="I2511" s="2" t="s">
        <v>12152</v>
      </c>
      <c r="K2511" s="2" t="s">
        <v>12153</v>
      </c>
      <c r="L2511" s="2" t="s">
        <v>149</v>
      </c>
      <c r="M2511" s="2">
        <v>47553.0</v>
      </c>
      <c r="N2511" s="2" t="s">
        <v>21</v>
      </c>
    </row>
    <row r="2512" ht="15.75" customHeight="1">
      <c r="A2512" s="2">
        <v>2014.0</v>
      </c>
      <c r="B2512" s="2" t="s">
        <v>12154</v>
      </c>
      <c r="C2512" s="2" t="s">
        <v>12155</v>
      </c>
      <c r="D2512" s="2" t="str">
        <f>"605-280-3129"</f>
        <v>605-280-3129</v>
      </c>
      <c r="E2512" s="2" t="s">
        <v>12156</v>
      </c>
      <c r="F2512" s="2" t="s">
        <v>639</v>
      </c>
      <c r="G2512" s="2" t="str">
        <f>"SR-3489"</f>
        <v>SR-3489</v>
      </c>
      <c r="H2512" s="2" t="s">
        <v>12157</v>
      </c>
      <c r="I2512" s="2" t="s">
        <v>12158</v>
      </c>
      <c r="K2512" s="2" t="s">
        <v>4355</v>
      </c>
      <c r="L2512" s="2" t="s">
        <v>920</v>
      </c>
      <c r="M2512" s="2">
        <v>57501.0</v>
      </c>
      <c r="N2512" s="2" t="s">
        <v>21</v>
      </c>
    </row>
    <row r="2513" ht="15.75" customHeight="1">
      <c r="A2513" s="2">
        <v>2014.0</v>
      </c>
      <c r="B2513" s="2" t="s">
        <v>12159</v>
      </c>
      <c r="C2513" s="2" t="s">
        <v>12160</v>
      </c>
      <c r="D2513" s="2" t="str">
        <f>"830-456-7039"</f>
        <v>830-456-7039</v>
      </c>
      <c r="E2513" s="2" t="s">
        <v>261</v>
      </c>
      <c r="F2513" s="2" t="s">
        <v>12161</v>
      </c>
      <c r="G2513" s="2" t="str">
        <f>"SR-3584"</f>
        <v>SR-3584</v>
      </c>
      <c r="H2513" s="2" t="s">
        <v>12162</v>
      </c>
      <c r="I2513" s="2" t="s">
        <v>12163</v>
      </c>
      <c r="K2513" s="2" t="s">
        <v>12164</v>
      </c>
      <c r="L2513" s="2" t="s">
        <v>172</v>
      </c>
      <c r="M2513" s="2">
        <v>78624.0</v>
      </c>
      <c r="N2513" s="2" t="s">
        <v>21</v>
      </c>
    </row>
    <row r="2514" ht="15.75" customHeight="1">
      <c r="A2514" s="2">
        <v>2014.0</v>
      </c>
      <c r="B2514" s="2" t="s">
        <v>12165</v>
      </c>
      <c r="C2514" s="2" t="s">
        <v>12165</v>
      </c>
      <c r="D2514" s="2" t="str">
        <f>"609-267-8255"</f>
        <v>609-267-8255</v>
      </c>
      <c r="E2514" s="2" t="s">
        <v>12166</v>
      </c>
      <c r="F2514" s="2" t="s">
        <v>12167</v>
      </c>
      <c r="G2514" s="2" t="str">
        <f>"SR-2872"</f>
        <v>SR-2872</v>
      </c>
      <c r="H2514" s="2" t="s">
        <v>12168</v>
      </c>
      <c r="I2514" s="2" t="s">
        <v>12169</v>
      </c>
      <c r="K2514" s="2" t="s">
        <v>7727</v>
      </c>
      <c r="L2514" s="2" t="s">
        <v>3618</v>
      </c>
      <c r="M2514" s="2">
        <v>8048.0</v>
      </c>
      <c r="N2514" s="2" t="s">
        <v>21</v>
      </c>
    </row>
    <row r="2515" ht="15.75" customHeight="1">
      <c r="A2515" s="2">
        <v>2014.0</v>
      </c>
      <c r="B2515" s="2" t="s">
        <v>12170</v>
      </c>
      <c r="C2515" s="2" t="s">
        <v>12171</v>
      </c>
      <c r="D2515" s="2" t="str">
        <f>"8635947048"</f>
        <v>8635947048</v>
      </c>
      <c r="E2515" s="2" t="s">
        <v>1015</v>
      </c>
      <c r="F2515" s="2" t="s">
        <v>12172</v>
      </c>
      <c r="G2515" s="2" t="str">
        <f>"SR-3588"</f>
        <v>SR-3588</v>
      </c>
      <c r="H2515" s="2" t="s">
        <v>12173</v>
      </c>
      <c r="I2515" s="2" t="s">
        <v>12174</v>
      </c>
      <c r="K2515" s="2" t="s">
        <v>12175</v>
      </c>
      <c r="L2515" s="2" t="s">
        <v>62</v>
      </c>
      <c r="M2515" s="2">
        <v>55421.0</v>
      </c>
      <c r="N2515" s="2" t="s">
        <v>21</v>
      </c>
    </row>
    <row r="2516" ht="15.75" customHeight="1">
      <c r="A2516" s="2">
        <v>2014.0</v>
      </c>
      <c r="B2516" s="2" t="s">
        <v>12176</v>
      </c>
      <c r="C2516" s="2" t="s">
        <v>12176</v>
      </c>
      <c r="D2516" s="2" t="str">
        <f>"419-222-8670"</f>
        <v>419-222-8670</v>
      </c>
      <c r="E2516" s="2" t="s">
        <v>7864</v>
      </c>
      <c r="F2516" s="2" t="s">
        <v>1151</v>
      </c>
      <c r="G2516" s="2" t="str">
        <f>"SR-3555"</f>
        <v>SR-3555</v>
      </c>
      <c r="H2516" s="2" t="s">
        <v>12177</v>
      </c>
      <c r="I2516" s="2" t="s">
        <v>12178</v>
      </c>
      <c r="K2516" s="2" t="s">
        <v>12179</v>
      </c>
      <c r="L2516" s="2" t="s">
        <v>344</v>
      </c>
      <c r="M2516" s="2">
        <v>45806.0</v>
      </c>
      <c r="N2516" s="2" t="s">
        <v>21</v>
      </c>
    </row>
    <row r="2517" ht="15.75" customHeight="1">
      <c r="A2517" s="2">
        <v>2014.0</v>
      </c>
      <c r="B2517" s="2" t="s">
        <v>12180</v>
      </c>
      <c r="C2517" s="2" t="s">
        <v>12180</v>
      </c>
      <c r="D2517" s="2" t="str">
        <f>"952-955-3299"</f>
        <v>952-955-3299</v>
      </c>
      <c r="E2517" s="2" t="s">
        <v>1324</v>
      </c>
      <c r="F2517" s="2" t="s">
        <v>623</v>
      </c>
      <c r="G2517" s="2" t="str">
        <f>"SR-2326"</f>
        <v>SR-2326</v>
      </c>
      <c r="H2517" s="2" t="s">
        <v>12181</v>
      </c>
      <c r="I2517" s="2" t="s">
        <v>12182</v>
      </c>
      <c r="K2517" s="2" t="s">
        <v>626</v>
      </c>
      <c r="L2517" s="2" t="s">
        <v>62</v>
      </c>
      <c r="M2517" s="2">
        <v>55388.0</v>
      </c>
      <c r="N2517" s="2" t="s">
        <v>21</v>
      </c>
    </row>
    <row r="2518" ht="15.75" customHeight="1">
      <c r="A2518" s="2">
        <v>2014.0</v>
      </c>
      <c r="B2518" s="2" t="s">
        <v>12183</v>
      </c>
      <c r="C2518" s="2" t="s">
        <v>12184</v>
      </c>
      <c r="D2518" s="2" t="str">
        <f>"3348945656"</f>
        <v>3348945656</v>
      </c>
      <c r="E2518" s="2" t="s">
        <v>843</v>
      </c>
      <c r="F2518" s="2" t="s">
        <v>12185</v>
      </c>
      <c r="G2518" s="2" t="str">
        <f>"SR-2809"</f>
        <v>SR-2809</v>
      </c>
      <c r="H2518" s="2" t="s">
        <v>12186</v>
      </c>
      <c r="I2518" s="2" t="s">
        <v>12187</v>
      </c>
      <c r="K2518" s="2" t="s">
        <v>6349</v>
      </c>
      <c r="L2518" s="2" t="s">
        <v>539</v>
      </c>
      <c r="M2518" s="2">
        <v>36330.0</v>
      </c>
      <c r="N2518" s="2" t="s">
        <v>21</v>
      </c>
    </row>
    <row r="2519" ht="15.75" customHeight="1">
      <c r="A2519" s="2">
        <v>2014.0</v>
      </c>
      <c r="B2519" s="2" t="s">
        <v>12188</v>
      </c>
      <c r="C2519" s="2" t="s">
        <v>12189</v>
      </c>
      <c r="D2519" s="2" t="str">
        <f>"518-692-7915"</f>
        <v>518-692-7915</v>
      </c>
      <c r="E2519" s="2" t="s">
        <v>2841</v>
      </c>
      <c r="F2519" s="2" t="s">
        <v>10492</v>
      </c>
      <c r="G2519" s="2" t="str">
        <f>"SR-3595"</f>
        <v>SR-3595</v>
      </c>
      <c r="H2519" s="2" t="s">
        <v>12190</v>
      </c>
      <c r="I2519" s="2" t="s">
        <v>12191</v>
      </c>
      <c r="K2519" s="2" t="s">
        <v>12192</v>
      </c>
      <c r="L2519" s="2" t="s">
        <v>142</v>
      </c>
      <c r="M2519" s="2">
        <v>12185.0</v>
      </c>
      <c r="N2519" s="2" t="s">
        <v>21</v>
      </c>
    </row>
    <row r="2520" ht="15.75" customHeight="1">
      <c r="A2520" s="2">
        <v>2014.0</v>
      </c>
      <c r="B2520" s="2" t="s">
        <v>12193</v>
      </c>
      <c r="C2520" s="2" t="s">
        <v>12194</v>
      </c>
      <c r="D2520" s="2" t="str">
        <f>"5098482534"</f>
        <v>5098482534</v>
      </c>
      <c r="E2520" s="2" t="s">
        <v>12195</v>
      </c>
      <c r="F2520" s="2" t="s">
        <v>2168</v>
      </c>
      <c r="G2520" s="2" t="str">
        <f>"SR-3596"</f>
        <v>SR-3596</v>
      </c>
      <c r="H2520" s="2" t="s">
        <v>12196</v>
      </c>
      <c r="I2520" s="2" t="s">
        <v>12197</v>
      </c>
      <c r="K2520" s="2" t="s">
        <v>12198</v>
      </c>
      <c r="L2520" s="2" t="s">
        <v>86</v>
      </c>
      <c r="M2520" s="2">
        <v>98933.0</v>
      </c>
      <c r="N2520" s="2" t="s">
        <v>21</v>
      </c>
    </row>
    <row r="2521" ht="15.75" customHeight="1">
      <c r="A2521" s="2">
        <v>2014.0</v>
      </c>
      <c r="B2521" s="2" t="s">
        <v>12199</v>
      </c>
      <c r="C2521" s="2" t="s">
        <v>12200</v>
      </c>
      <c r="D2521" s="2" t="str">
        <f>"907-262-9111"</f>
        <v>907-262-9111</v>
      </c>
      <c r="E2521" s="2" t="s">
        <v>282</v>
      </c>
      <c r="F2521" s="2" t="s">
        <v>12201</v>
      </c>
      <c r="G2521" s="2" t="str">
        <f>"SR-3592"</f>
        <v>SR-3592</v>
      </c>
      <c r="H2521" s="2" t="s">
        <v>12202</v>
      </c>
      <c r="I2521" s="2" t="s">
        <v>12203</v>
      </c>
      <c r="K2521" s="2" t="s">
        <v>1336</v>
      </c>
      <c r="L2521" s="2" t="s">
        <v>70</v>
      </c>
      <c r="M2521" s="2">
        <v>99669.0</v>
      </c>
      <c r="N2521" s="2" t="s">
        <v>21</v>
      </c>
    </row>
    <row r="2522" ht="15.75" customHeight="1">
      <c r="A2522" s="2">
        <v>2014.0</v>
      </c>
      <c r="B2522" s="2" t="s">
        <v>12204</v>
      </c>
      <c r="C2522" s="2" t="s">
        <v>12204</v>
      </c>
      <c r="D2522" s="2" t="str">
        <f>"(916)744-1994"</f>
        <v>(916)744-1994</v>
      </c>
      <c r="E2522" s="2" t="s">
        <v>12205</v>
      </c>
      <c r="F2522" s="2" t="s">
        <v>1101</v>
      </c>
      <c r="G2522" s="2" t="str">
        <f>"SR-3509"</f>
        <v>SR-3509</v>
      </c>
      <c r="H2522" s="2" t="s">
        <v>12206</v>
      </c>
      <c r="I2522" s="2" t="s">
        <v>12207</v>
      </c>
      <c r="K2522" s="2" t="s">
        <v>4446</v>
      </c>
      <c r="L2522" s="2" t="s">
        <v>222</v>
      </c>
      <c r="M2522" s="2">
        <v>95612.0</v>
      </c>
      <c r="N2522" s="2" t="s">
        <v>21</v>
      </c>
    </row>
    <row r="2523" ht="15.75" customHeight="1">
      <c r="A2523" s="2">
        <v>2014.0</v>
      </c>
      <c r="B2523" s="2" t="s">
        <v>3189</v>
      </c>
      <c r="C2523" s="2" t="s">
        <v>3190</v>
      </c>
      <c r="D2523" s="2" t="str">
        <f>"662-321-3294"</f>
        <v>662-321-3294</v>
      </c>
      <c r="E2523" s="2" t="s">
        <v>3191</v>
      </c>
      <c r="F2523" s="2" t="s">
        <v>2424</v>
      </c>
      <c r="G2523" s="2" t="str">
        <f>"SR-972"</f>
        <v>SR-972</v>
      </c>
      <c r="H2523" s="2" t="s">
        <v>3192</v>
      </c>
      <c r="I2523" s="2" t="s">
        <v>3193</v>
      </c>
      <c r="K2523" s="2" t="s">
        <v>3194</v>
      </c>
      <c r="L2523" s="2" t="s">
        <v>1722</v>
      </c>
      <c r="M2523" s="2">
        <v>38866.0</v>
      </c>
      <c r="N2523" s="2" t="s">
        <v>21</v>
      </c>
    </row>
    <row r="2524" ht="15.75" customHeight="1">
      <c r="A2524" s="2">
        <v>2014.0</v>
      </c>
      <c r="B2524" s="2" t="s">
        <v>12188</v>
      </c>
      <c r="C2524" s="2" t="s">
        <v>12189</v>
      </c>
      <c r="D2524" s="2" t="str">
        <f>"518-692-7915"</f>
        <v>518-692-7915</v>
      </c>
      <c r="E2524" s="2" t="s">
        <v>9115</v>
      </c>
      <c r="F2524" s="2" t="s">
        <v>10492</v>
      </c>
      <c r="G2524" s="2" t="str">
        <f>"SR-3598"</f>
        <v>SR-3598</v>
      </c>
      <c r="H2524" s="2" t="s">
        <v>12208</v>
      </c>
      <c r="I2524" s="2" t="s">
        <v>12191</v>
      </c>
      <c r="K2524" s="2" t="s">
        <v>12209</v>
      </c>
      <c r="L2524" s="2" t="s">
        <v>142</v>
      </c>
      <c r="M2524" s="2">
        <v>12185.0</v>
      </c>
      <c r="N2524" s="2" t="s">
        <v>21</v>
      </c>
    </row>
    <row r="2525" ht="15.75" customHeight="1">
      <c r="A2525" s="2">
        <v>2014.0</v>
      </c>
      <c r="B2525" s="2" t="s">
        <v>12210</v>
      </c>
      <c r="C2525" s="2" t="s">
        <v>12210</v>
      </c>
      <c r="D2525" s="2" t="str">
        <f>"864-414-0438"</f>
        <v>864-414-0438</v>
      </c>
      <c r="E2525" s="2" t="s">
        <v>15</v>
      </c>
      <c r="F2525" s="2" t="s">
        <v>12211</v>
      </c>
      <c r="G2525" s="2" t="str">
        <f>"SR-3498"</f>
        <v>SR-3498</v>
      </c>
      <c r="H2525" s="2" t="s">
        <v>12212</v>
      </c>
      <c r="I2525" s="2" t="s">
        <v>12213</v>
      </c>
      <c r="K2525" s="2" t="s">
        <v>54</v>
      </c>
      <c r="L2525" s="2" t="s">
        <v>55</v>
      </c>
      <c r="M2525" s="2">
        <v>29607.0</v>
      </c>
      <c r="N2525" s="2" t="s">
        <v>21</v>
      </c>
    </row>
    <row r="2526" ht="15.75" customHeight="1">
      <c r="A2526" s="2">
        <v>2014.0</v>
      </c>
      <c r="B2526" s="2" t="s">
        <v>12214</v>
      </c>
      <c r="C2526" s="2" t="s">
        <v>12215</v>
      </c>
      <c r="D2526" s="2" t="str">
        <f>"706-378-9962"</f>
        <v>706-378-9962</v>
      </c>
      <c r="E2526" s="2" t="s">
        <v>453</v>
      </c>
      <c r="F2526" s="2" t="s">
        <v>12216</v>
      </c>
      <c r="G2526" s="2" t="str">
        <f>"SR-3506"</f>
        <v>SR-3506</v>
      </c>
      <c r="H2526" s="2" t="s">
        <v>12217</v>
      </c>
      <c r="I2526" s="2" t="s">
        <v>12218</v>
      </c>
      <c r="K2526" s="2" t="s">
        <v>12219</v>
      </c>
      <c r="L2526" s="2" t="s">
        <v>200</v>
      </c>
      <c r="M2526" s="2">
        <v>30173.0</v>
      </c>
      <c r="N2526" s="2" t="s">
        <v>21</v>
      </c>
    </row>
    <row r="2527" ht="15.75" customHeight="1">
      <c r="A2527" s="2">
        <v>2014.0</v>
      </c>
      <c r="B2527" s="2" t="s">
        <v>3815</v>
      </c>
      <c r="C2527" s="2" t="s">
        <v>12220</v>
      </c>
      <c r="D2527" s="2" t="str">
        <f>"540-529-1863"</f>
        <v>540-529-1863</v>
      </c>
      <c r="E2527" s="2" t="s">
        <v>4782</v>
      </c>
      <c r="F2527" s="2" t="s">
        <v>3817</v>
      </c>
      <c r="G2527" s="2" t="str">
        <f>"SR-3599"</f>
        <v>SR-3599</v>
      </c>
      <c r="H2527" s="2" t="s">
        <v>12221</v>
      </c>
      <c r="I2527" s="2" t="s">
        <v>12222</v>
      </c>
      <c r="K2527" s="2" t="s">
        <v>12223</v>
      </c>
      <c r="L2527" s="2" t="s">
        <v>165</v>
      </c>
      <c r="M2527" s="2">
        <v>24121.0</v>
      </c>
      <c r="N2527" s="2" t="s">
        <v>21</v>
      </c>
    </row>
    <row r="2528" ht="15.75" customHeight="1">
      <c r="A2528" s="2">
        <v>2014.0</v>
      </c>
      <c r="B2528" s="2" t="s">
        <v>12224</v>
      </c>
      <c r="C2528" s="2" t="s">
        <v>12225</v>
      </c>
      <c r="D2528" s="2" t="str">
        <f>"5099695145"</f>
        <v>5099695145</v>
      </c>
      <c r="E2528" s="2" t="s">
        <v>908</v>
      </c>
      <c r="F2528" s="2" t="s">
        <v>10530</v>
      </c>
      <c r="G2528" s="2" t="str">
        <f>"SR-3601"</f>
        <v>SR-3601</v>
      </c>
      <c r="H2528" s="2" t="s">
        <v>12226</v>
      </c>
      <c r="I2528" s="2" t="s">
        <v>12227</v>
      </c>
      <c r="K2528" s="2" t="s">
        <v>12228</v>
      </c>
      <c r="L2528" s="2" t="s">
        <v>86</v>
      </c>
      <c r="M2528" s="2">
        <v>98901.0</v>
      </c>
      <c r="N2528" s="2" t="s">
        <v>21</v>
      </c>
    </row>
    <row r="2529" ht="15.75" customHeight="1">
      <c r="A2529" s="2">
        <v>2014.0</v>
      </c>
      <c r="B2529" s="2" t="s">
        <v>12229</v>
      </c>
      <c r="C2529" s="2" t="s">
        <v>12230</v>
      </c>
      <c r="D2529" s="2" t="str">
        <f>"724-222-0505"</f>
        <v>724-222-0505</v>
      </c>
      <c r="E2529" s="2" t="s">
        <v>12231</v>
      </c>
      <c r="F2529" s="2" t="s">
        <v>12232</v>
      </c>
      <c r="G2529" s="2" t="str">
        <f>"SR-3326"</f>
        <v>SR-3326</v>
      </c>
      <c r="H2529" s="2" t="s">
        <v>12233</v>
      </c>
      <c r="I2529" s="2" t="s">
        <v>12234</v>
      </c>
      <c r="K2529" s="2" t="s">
        <v>111</v>
      </c>
      <c r="L2529" s="2" t="s">
        <v>179</v>
      </c>
      <c r="M2529" s="2">
        <v>15301.0</v>
      </c>
      <c r="N2529" s="2" t="s">
        <v>21</v>
      </c>
    </row>
    <row r="2530" ht="15.75" customHeight="1">
      <c r="A2530" s="2">
        <v>2014.0</v>
      </c>
      <c r="B2530" s="2" t="s">
        <v>6024</v>
      </c>
      <c r="C2530" s="2" t="s">
        <v>12235</v>
      </c>
      <c r="D2530" s="2" t="str">
        <f>"817-805-8480"</f>
        <v>817-805-8480</v>
      </c>
      <c r="E2530" s="2" t="s">
        <v>12236</v>
      </c>
      <c r="F2530" s="2" t="s">
        <v>6027</v>
      </c>
      <c r="G2530" s="2" t="str">
        <f>"SR-3607"</f>
        <v>SR-3607</v>
      </c>
      <c r="H2530" s="2" t="s">
        <v>12237</v>
      </c>
      <c r="I2530" s="2" t="s">
        <v>6029</v>
      </c>
      <c r="K2530" s="2" t="s">
        <v>6030</v>
      </c>
      <c r="L2530" s="2" t="s">
        <v>172</v>
      </c>
      <c r="M2530" s="2">
        <v>76248.0</v>
      </c>
      <c r="N2530" s="2" t="s">
        <v>21</v>
      </c>
    </row>
    <row r="2531" ht="15.75" customHeight="1">
      <c r="A2531" s="2">
        <v>2014.0</v>
      </c>
      <c r="B2531" s="2" t="s">
        <v>12238</v>
      </c>
      <c r="C2531" s="2" t="s">
        <v>12239</v>
      </c>
      <c r="D2531" s="2" t="str">
        <f>"754-581-3711"</f>
        <v>754-581-3711</v>
      </c>
      <c r="E2531" s="2" t="s">
        <v>862</v>
      </c>
      <c r="F2531" s="2" t="s">
        <v>6690</v>
      </c>
      <c r="G2531" s="2" t="str">
        <f>"SR-3539"</f>
        <v>SR-3539</v>
      </c>
      <c r="H2531" s="2" t="s">
        <v>12240</v>
      </c>
      <c r="I2531" s="2" t="s">
        <v>12241</v>
      </c>
      <c r="K2531" s="2" t="s">
        <v>12242</v>
      </c>
      <c r="L2531" s="2" t="s">
        <v>55</v>
      </c>
      <c r="M2531" s="2">
        <v>29388.0</v>
      </c>
      <c r="N2531" s="2" t="s">
        <v>21</v>
      </c>
    </row>
    <row r="2532" ht="15.75" customHeight="1">
      <c r="A2532" s="2">
        <v>2014.0</v>
      </c>
      <c r="B2532" s="2" t="s">
        <v>12243</v>
      </c>
      <c r="C2532" s="2" t="s">
        <v>12243</v>
      </c>
      <c r="D2532" s="2" t="str">
        <f>"832-904-6789"</f>
        <v>832-904-6789</v>
      </c>
      <c r="E2532" s="2" t="s">
        <v>590</v>
      </c>
      <c r="F2532" s="2" t="s">
        <v>12244</v>
      </c>
      <c r="G2532" s="2" t="str">
        <f>"SR-3180"</f>
        <v>SR-3180</v>
      </c>
      <c r="H2532" s="2" t="s">
        <v>12245</v>
      </c>
      <c r="I2532" s="2" t="s">
        <v>12246</v>
      </c>
      <c r="K2532" s="2" t="s">
        <v>3524</v>
      </c>
      <c r="L2532" s="2" t="s">
        <v>172</v>
      </c>
      <c r="M2532" s="2">
        <v>77546.0</v>
      </c>
      <c r="N2532" s="2" t="s">
        <v>21</v>
      </c>
    </row>
    <row r="2533" ht="15.75" customHeight="1">
      <c r="A2533" s="2">
        <v>2014.0</v>
      </c>
      <c r="B2533" s="2" t="s">
        <v>12247</v>
      </c>
      <c r="C2533" s="2" t="s">
        <v>12248</v>
      </c>
      <c r="D2533" s="2" t="str">
        <f>"703-757-3830"</f>
        <v>703-757-3830</v>
      </c>
      <c r="E2533" s="2" t="s">
        <v>12249</v>
      </c>
      <c r="F2533" s="2" t="s">
        <v>12250</v>
      </c>
      <c r="G2533" s="2" t="str">
        <f>"SR-3566"</f>
        <v>SR-3566</v>
      </c>
      <c r="H2533" s="2" t="s">
        <v>12251</v>
      </c>
      <c r="I2533" s="2" t="s">
        <v>12252</v>
      </c>
      <c r="K2533" s="2" t="s">
        <v>12253</v>
      </c>
      <c r="L2533" s="2" t="s">
        <v>165</v>
      </c>
      <c r="M2533" s="2">
        <v>22182.0</v>
      </c>
      <c r="N2533" s="2" t="s">
        <v>21</v>
      </c>
    </row>
    <row r="2534" ht="15.75" customHeight="1">
      <c r="A2534" s="2">
        <v>2014.0</v>
      </c>
      <c r="B2534" s="2" t="s">
        <v>12254</v>
      </c>
      <c r="C2534" s="2" t="s">
        <v>12255</v>
      </c>
      <c r="D2534" s="2" t="str">
        <f>"5154801665"</f>
        <v>5154801665</v>
      </c>
      <c r="E2534" s="2" t="s">
        <v>12256</v>
      </c>
      <c r="F2534" s="2" t="s">
        <v>12257</v>
      </c>
      <c r="G2534" s="2" t="str">
        <f>"SR-3606"</f>
        <v>SR-3606</v>
      </c>
      <c r="H2534" s="2" t="s">
        <v>12258</v>
      </c>
      <c r="I2534" s="2" t="s">
        <v>12259</v>
      </c>
      <c r="K2534" s="2" t="s">
        <v>11863</v>
      </c>
      <c r="L2534" s="2" t="s">
        <v>560</v>
      </c>
      <c r="M2534" s="2">
        <v>50325.0</v>
      </c>
      <c r="N2534" s="2" t="s">
        <v>21</v>
      </c>
    </row>
    <row r="2535" ht="15.75" customHeight="1">
      <c r="A2535" s="2">
        <v>2014.0</v>
      </c>
      <c r="B2535" s="2" t="s">
        <v>12260</v>
      </c>
      <c r="C2535" s="2" t="s">
        <v>12261</v>
      </c>
      <c r="D2535" s="2" t="str">
        <f>"616-340-6564"</f>
        <v>616-340-6564</v>
      </c>
      <c r="E2535" s="2" t="s">
        <v>137</v>
      </c>
      <c r="F2535" s="2" t="s">
        <v>12262</v>
      </c>
      <c r="G2535" s="2" t="str">
        <f>"SR-3402"</f>
        <v>SR-3402</v>
      </c>
      <c r="H2535" s="2" t="s">
        <v>12263</v>
      </c>
      <c r="I2535" s="2" t="s">
        <v>12264</v>
      </c>
      <c r="K2535" s="2" t="s">
        <v>809</v>
      </c>
      <c r="L2535" s="2" t="s">
        <v>157</v>
      </c>
      <c r="M2535" s="2">
        <v>80908.0</v>
      </c>
      <c r="N2535" s="2" t="s">
        <v>21</v>
      </c>
    </row>
    <row r="2536" ht="15.75" customHeight="1">
      <c r="A2536" s="2">
        <v>2014.0</v>
      </c>
      <c r="B2536" s="2" t="s">
        <v>4447</v>
      </c>
      <c r="C2536" s="2" t="s">
        <v>12265</v>
      </c>
      <c r="D2536" s="2" t="str">
        <f>"7314233407"</f>
        <v>7314233407</v>
      </c>
      <c r="E2536" s="2" t="s">
        <v>160</v>
      </c>
      <c r="F2536" s="2" t="s">
        <v>962</v>
      </c>
      <c r="G2536" s="2" t="str">
        <f>"SR-3537"</f>
        <v>SR-3537</v>
      </c>
      <c r="H2536" s="2" t="s">
        <v>12266</v>
      </c>
      <c r="I2536" s="2" t="s">
        <v>12267</v>
      </c>
      <c r="K2536" s="2" t="s">
        <v>1257</v>
      </c>
      <c r="L2536" s="2" t="s">
        <v>279</v>
      </c>
      <c r="M2536" s="2">
        <v>38301.0</v>
      </c>
      <c r="N2536" s="2" t="s">
        <v>21</v>
      </c>
    </row>
    <row r="2537" ht="15.75" customHeight="1">
      <c r="A2537" s="2">
        <v>2014.0</v>
      </c>
      <c r="B2537" s="2" t="s">
        <v>12268</v>
      </c>
      <c r="C2537" s="2" t="s">
        <v>12268</v>
      </c>
      <c r="D2537" s="2" t="str">
        <f>"612-845-9902"</f>
        <v>612-845-9902</v>
      </c>
      <c r="E2537" s="2" t="s">
        <v>12269</v>
      </c>
      <c r="F2537" s="2" t="s">
        <v>3445</v>
      </c>
      <c r="G2537" s="2" t="str">
        <f>"SR-2582"</f>
        <v>SR-2582</v>
      </c>
      <c r="H2537" s="2" t="s">
        <v>12270</v>
      </c>
      <c r="I2537" s="2" t="s">
        <v>3447</v>
      </c>
      <c r="K2537" s="2" t="s">
        <v>1490</v>
      </c>
      <c r="L2537" s="2" t="s">
        <v>62</v>
      </c>
      <c r="M2537" s="2">
        <v>55346.0</v>
      </c>
      <c r="N2537" s="2" t="s">
        <v>21</v>
      </c>
    </row>
    <row r="2538" ht="15.75" customHeight="1">
      <c r="A2538" s="2">
        <v>2014.0</v>
      </c>
      <c r="B2538" s="2" t="s">
        <v>12271</v>
      </c>
      <c r="C2538" s="2" t="s">
        <v>12272</v>
      </c>
      <c r="D2538" s="2" t="str">
        <f>"207 514 0558"</f>
        <v>207 514 0558</v>
      </c>
      <c r="E2538" s="2" t="s">
        <v>12273</v>
      </c>
      <c r="F2538" s="2" t="s">
        <v>12274</v>
      </c>
      <c r="G2538" s="2" t="str">
        <f>"SR-3213"</f>
        <v>SR-3213</v>
      </c>
      <c r="H2538" s="2" t="s">
        <v>12275</v>
      </c>
      <c r="I2538" s="2" t="s">
        <v>12276</v>
      </c>
      <c r="K2538" s="2" t="s">
        <v>12277</v>
      </c>
      <c r="L2538" s="2" t="s">
        <v>3737</v>
      </c>
      <c r="M2538" s="2">
        <v>4276.0</v>
      </c>
      <c r="N2538" s="2" t="s">
        <v>21</v>
      </c>
    </row>
    <row r="2539" ht="15.75" customHeight="1">
      <c r="A2539" s="2">
        <v>2014.0</v>
      </c>
      <c r="B2539" s="2" t="s">
        <v>12278</v>
      </c>
      <c r="C2539" s="2" t="s">
        <v>12278</v>
      </c>
      <c r="D2539" s="2" t="str">
        <f>"(425)888-0305"</f>
        <v>(425)888-0305</v>
      </c>
      <c r="E2539" s="2" t="s">
        <v>453</v>
      </c>
      <c r="F2539" s="2" t="s">
        <v>12279</v>
      </c>
      <c r="G2539" s="2" t="str">
        <f>"SR-3610"</f>
        <v>SR-3610</v>
      </c>
      <c r="H2539" s="2" t="s">
        <v>12280</v>
      </c>
      <c r="I2539" s="2" t="s">
        <v>12281</v>
      </c>
      <c r="K2539" s="2" t="s">
        <v>12282</v>
      </c>
      <c r="L2539" s="2" t="s">
        <v>86</v>
      </c>
      <c r="M2539" s="2">
        <v>98045.0</v>
      </c>
      <c r="N2539" s="2" t="s">
        <v>21</v>
      </c>
    </row>
    <row r="2540" ht="15.75" customHeight="1">
      <c r="A2540" s="2">
        <v>2014.0</v>
      </c>
      <c r="B2540" s="2" t="s">
        <v>12283</v>
      </c>
      <c r="C2540" s="2" t="s">
        <v>12284</v>
      </c>
      <c r="D2540" s="2" t="str">
        <f>"(262) 966-3692"</f>
        <v>(262) 966-3692</v>
      </c>
      <c r="E2540" s="2" t="s">
        <v>36</v>
      </c>
      <c r="F2540" s="2" t="s">
        <v>6624</v>
      </c>
      <c r="G2540" s="2" t="str">
        <f>"SR-3579"</f>
        <v>SR-3579</v>
      </c>
      <c r="H2540" s="2" t="s">
        <v>12285</v>
      </c>
      <c r="I2540" s="2" t="s">
        <v>12286</v>
      </c>
      <c r="K2540" s="2" t="s">
        <v>12287</v>
      </c>
      <c r="L2540" s="2" t="s">
        <v>193</v>
      </c>
      <c r="M2540" s="2">
        <v>53058.0</v>
      </c>
      <c r="N2540" s="2" t="s">
        <v>21</v>
      </c>
    </row>
    <row r="2541" ht="15.75" customHeight="1">
      <c r="A2541" s="2">
        <v>2014.0</v>
      </c>
      <c r="B2541" s="2" t="s">
        <v>12288</v>
      </c>
      <c r="C2541" s="2" t="s">
        <v>12288</v>
      </c>
      <c r="D2541" s="2" t="str">
        <f>"770-460-7314"</f>
        <v>770-460-7314</v>
      </c>
      <c r="E2541" s="2" t="s">
        <v>1015</v>
      </c>
      <c r="F2541" s="2" t="s">
        <v>12289</v>
      </c>
      <c r="G2541" s="2" t="str">
        <f>"SR-3608"</f>
        <v>SR-3608</v>
      </c>
      <c r="H2541" s="2" t="s">
        <v>12290</v>
      </c>
      <c r="I2541" s="2" t="s">
        <v>12291</v>
      </c>
      <c r="K2541" s="2" t="s">
        <v>3164</v>
      </c>
      <c r="L2541" s="2" t="s">
        <v>200</v>
      </c>
      <c r="M2541" s="2">
        <v>30215.0</v>
      </c>
      <c r="N2541" s="2" t="s">
        <v>21</v>
      </c>
    </row>
    <row r="2542" ht="15.75" customHeight="1">
      <c r="A2542" s="2">
        <v>2014.0</v>
      </c>
      <c r="B2542" s="2" t="s">
        <v>12292</v>
      </c>
      <c r="C2542" s="2" t="s">
        <v>12292</v>
      </c>
      <c r="D2542" s="2" t="str">
        <f>"770-460-1933"</f>
        <v>770-460-1933</v>
      </c>
      <c r="E2542" s="2" t="s">
        <v>2885</v>
      </c>
      <c r="F2542" s="2" t="s">
        <v>12293</v>
      </c>
      <c r="G2542" s="2" t="str">
        <f>"SR-3600"</f>
        <v>SR-3600</v>
      </c>
      <c r="H2542" s="2" t="s">
        <v>12294</v>
      </c>
      <c r="I2542" s="2" t="s">
        <v>12295</v>
      </c>
      <c r="K2542" s="2" t="s">
        <v>3164</v>
      </c>
      <c r="L2542" s="2" t="s">
        <v>200</v>
      </c>
      <c r="M2542" s="2">
        <v>30215.0</v>
      </c>
      <c r="N2542" s="2" t="s">
        <v>21</v>
      </c>
    </row>
    <row r="2543" ht="15.75" customHeight="1">
      <c r="A2543" s="2">
        <v>2014.0</v>
      </c>
      <c r="B2543" s="2" t="s">
        <v>12296</v>
      </c>
      <c r="C2543" s="2" t="s">
        <v>12297</v>
      </c>
      <c r="D2543" s="2" t="str">
        <f>"8505705613"</f>
        <v>8505705613</v>
      </c>
      <c r="E2543" s="2" t="s">
        <v>585</v>
      </c>
      <c r="F2543" s="2" t="s">
        <v>3857</v>
      </c>
      <c r="G2543" s="2" t="str">
        <f>"SR-3397"</f>
        <v>SR-3397</v>
      </c>
      <c r="H2543" s="2" t="s">
        <v>12298</v>
      </c>
      <c r="I2543" s="2" t="s">
        <v>12299</v>
      </c>
      <c r="K2543" s="2" t="s">
        <v>2007</v>
      </c>
      <c r="L2543" s="2" t="s">
        <v>208</v>
      </c>
      <c r="M2543" s="2">
        <v>32309.0</v>
      </c>
      <c r="N2543" s="2" t="s">
        <v>21</v>
      </c>
    </row>
    <row r="2544" ht="15.75" customHeight="1">
      <c r="A2544" s="2">
        <v>2014.0</v>
      </c>
      <c r="B2544" s="2" t="s">
        <v>12300</v>
      </c>
      <c r="C2544" s="2" t="s">
        <v>12301</v>
      </c>
      <c r="D2544" s="2" t="str">
        <f>"701-318-7509"</f>
        <v>701-318-7509</v>
      </c>
      <c r="E2544" s="2" t="s">
        <v>12302</v>
      </c>
      <c r="F2544" s="2" t="s">
        <v>12303</v>
      </c>
      <c r="G2544" s="2" t="str">
        <f>"SR-3449"</f>
        <v>SR-3449</v>
      </c>
      <c r="H2544" s="2" t="s">
        <v>12304</v>
      </c>
      <c r="I2544" s="2" t="s">
        <v>12305</v>
      </c>
      <c r="K2544" s="2" t="s">
        <v>12306</v>
      </c>
      <c r="L2544" s="2" t="s">
        <v>2534</v>
      </c>
      <c r="M2544" s="2">
        <v>58012.0</v>
      </c>
      <c r="N2544" s="2" t="s">
        <v>21</v>
      </c>
    </row>
    <row r="2545" ht="15.75" customHeight="1">
      <c r="A2545" s="2">
        <v>2014.0</v>
      </c>
      <c r="B2545" s="2" t="s">
        <v>12307</v>
      </c>
      <c r="C2545" s="2" t="s">
        <v>12308</v>
      </c>
      <c r="D2545" s="2" t="str">
        <f>"954-658-4031"</f>
        <v>954-658-4031</v>
      </c>
      <c r="E2545" s="2" t="s">
        <v>2263</v>
      </c>
      <c r="F2545" s="2" t="s">
        <v>12309</v>
      </c>
      <c r="G2545" s="2" t="str">
        <f>"SR-3611"</f>
        <v>SR-3611</v>
      </c>
      <c r="H2545" s="2" t="s">
        <v>12310</v>
      </c>
      <c r="I2545" s="2" t="s">
        <v>12311</v>
      </c>
      <c r="K2545" s="2" t="s">
        <v>10022</v>
      </c>
      <c r="L2545" s="2" t="s">
        <v>208</v>
      </c>
      <c r="M2545" s="2">
        <v>33314.0</v>
      </c>
      <c r="N2545" s="2" t="s">
        <v>21</v>
      </c>
    </row>
    <row r="2546" ht="15.75" customHeight="1">
      <c r="A2546" s="2">
        <v>2014.0</v>
      </c>
      <c r="B2546" s="2" t="s">
        <v>12312</v>
      </c>
      <c r="C2546" s="2" t="s">
        <v>12312</v>
      </c>
      <c r="D2546" s="2" t="str">
        <f>"5632094692"</f>
        <v>5632094692</v>
      </c>
      <c r="E2546" s="2" t="s">
        <v>301</v>
      </c>
      <c r="F2546" s="2" t="s">
        <v>1636</v>
      </c>
      <c r="G2546" s="2" t="str">
        <f>"SR-3409"</f>
        <v>SR-3409</v>
      </c>
      <c r="H2546" s="2" t="s">
        <v>12313</v>
      </c>
      <c r="I2546" s="2" t="s">
        <v>12314</v>
      </c>
      <c r="K2546" s="2" t="s">
        <v>6354</v>
      </c>
      <c r="L2546" s="2" t="s">
        <v>560</v>
      </c>
      <c r="M2546" s="2">
        <v>50014.0</v>
      </c>
      <c r="N2546" s="2" t="s">
        <v>21</v>
      </c>
    </row>
    <row r="2547" ht="15.75" customHeight="1">
      <c r="A2547" s="2">
        <v>2014.0</v>
      </c>
      <c r="B2547" s="2" t="s">
        <v>12315</v>
      </c>
      <c r="D2547" s="2" t="str">
        <f>""</f>
        <v/>
      </c>
      <c r="E2547" s="2" t="s">
        <v>137</v>
      </c>
      <c r="F2547" s="2" t="s">
        <v>9752</v>
      </c>
      <c r="G2547" s="2" t="str">
        <f>"SR-3617"</f>
        <v>SR-3617</v>
      </c>
      <c r="H2547" s="2" t="s">
        <v>12316</v>
      </c>
      <c r="N2547" s="2" t="s">
        <v>21</v>
      </c>
    </row>
    <row r="2548" ht="15.75" customHeight="1">
      <c r="A2548" s="2">
        <v>2014.0</v>
      </c>
      <c r="B2548" s="2" t="s">
        <v>12317</v>
      </c>
      <c r="C2548" s="2" t="s">
        <v>12317</v>
      </c>
      <c r="D2548" s="2" t="str">
        <f>"719-468-1951"</f>
        <v>719-468-1951</v>
      </c>
      <c r="E2548" s="2" t="s">
        <v>2162</v>
      </c>
      <c r="F2548" s="2" t="s">
        <v>962</v>
      </c>
      <c r="G2548" s="2" t="str">
        <f>"SR-3620"</f>
        <v>SR-3620</v>
      </c>
      <c r="H2548" s="2" t="s">
        <v>12318</v>
      </c>
      <c r="I2548" s="2" t="s">
        <v>12319</v>
      </c>
      <c r="K2548" s="2" t="s">
        <v>12320</v>
      </c>
      <c r="L2548" s="2" t="s">
        <v>157</v>
      </c>
      <c r="M2548" s="2">
        <v>81039.0</v>
      </c>
      <c r="N2548" s="2" t="s">
        <v>21</v>
      </c>
    </row>
    <row r="2549" ht="15.75" customHeight="1">
      <c r="A2549" s="2">
        <v>2014.0</v>
      </c>
      <c r="B2549" s="2" t="s">
        <v>12321</v>
      </c>
      <c r="C2549" s="2" t="s">
        <v>12321</v>
      </c>
      <c r="D2549" s="2" t="str">
        <f>"256-682-3727"</f>
        <v>256-682-3727</v>
      </c>
      <c r="E2549" s="2" t="s">
        <v>132</v>
      </c>
      <c r="F2549" s="2" t="s">
        <v>3903</v>
      </c>
      <c r="G2549" s="2" t="str">
        <f>"SR-3574"</f>
        <v>SR-3574</v>
      </c>
      <c r="H2549" s="2" t="s">
        <v>12322</v>
      </c>
      <c r="I2549" s="2" t="s">
        <v>12323</v>
      </c>
      <c r="K2549" s="2" t="s">
        <v>659</v>
      </c>
      <c r="L2549" s="2" t="s">
        <v>539</v>
      </c>
      <c r="M2549" s="2">
        <v>35758.0</v>
      </c>
      <c r="N2549" s="2" t="s">
        <v>21</v>
      </c>
    </row>
    <row r="2550" ht="15.75" customHeight="1">
      <c r="A2550" s="2">
        <v>2014.0</v>
      </c>
      <c r="B2550" s="2" t="s">
        <v>1927</v>
      </c>
      <c r="C2550" s="2" t="s">
        <v>1927</v>
      </c>
      <c r="D2550" s="2" t="str">
        <f>"843-735-8440"</f>
        <v>843-735-8440</v>
      </c>
      <c r="E2550" s="2" t="s">
        <v>1928</v>
      </c>
      <c r="F2550" s="2" t="s">
        <v>1929</v>
      </c>
      <c r="G2550" s="2" t="str">
        <f>"SR-85"</f>
        <v>SR-85</v>
      </c>
      <c r="H2550" s="2" t="s">
        <v>1930</v>
      </c>
      <c r="I2550" s="2" t="s">
        <v>1931</v>
      </c>
      <c r="K2550" s="2" t="s">
        <v>1932</v>
      </c>
      <c r="L2550" s="2" t="s">
        <v>55</v>
      </c>
      <c r="M2550" s="2">
        <v>29485.0</v>
      </c>
      <c r="N2550" s="2" t="s">
        <v>21</v>
      </c>
    </row>
    <row r="2551" ht="15.75" customHeight="1">
      <c r="A2551" s="2">
        <v>2014.0</v>
      </c>
      <c r="B2551" s="2" t="s">
        <v>12324</v>
      </c>
      <c r="C2551" s="2" t="s">
        <v>12324</v>
      </c>
      <c r="D2551" s="2" t="str">
        <f>"970 255 6662"</f>
        <v>970 255 6662</v>
      </c>
      <c r="E2551" s="2" t="s">
        <v>167</v>
      </c>
      <c r="F2551" s="2" t="s">
        <v>12325</v>
      </c>
      <c r="G2551" s="2" t="str">
        <f>"SR-3451"</f>
        <v>SR-3451</v>
      </c>
      <c r="H2551" s="2" t="s">
        <v>12326</v>
      </c>
      <c r="I2551" s="2" t="s">
        <v>12327</v>
      </c>
      <c r="K2551" s="2" t="s">
        <v>11440</v>
      </c>
      <c r="L2551" s="2" t="s">
        <v>157</v>
      </c>
      <c r="M2551" s="2">
        <v>81507.0</v>
      </c>
      <c r="N2551" s="2" t="s">
        <v>21</v>
      </c>
    </row>
    <row r="2552" ht="15.75" customHeight="1">
      <c r="A2552" s="2">
        <v>2014.0</v>
      </c>
      <c r="B2552" s="2" t="s">
        <v>12328</v>
      </c>
      <c r="C2552" s="2" t="s">
        <v>12329</v>
      </c>
      <c r="D2552" s="2" t="str">
        <f>"7146243185"</f>
        <v>7146243185</v>
      </c>
      <c r="E2552" s="2" t="s">
        <v>12330</v>
      </c>
      <c r="F2552" s="2" t="s">
        <v>12331</v>
      </c>
      <c r="G2552" s="2" t="str">
        <f>"SR-3614"</f>
        <v>SR-3614</v>
      </c>
      <c r="H2552" s="2" t="s">
        <v>12332</v>
      </c>
      <c r="I2552" s="2" t="s">
        <v>12333</v>
      </c>
      <c r="K2552" s="2" t="s">
        <v>12334</v>
      </c>
      <c r="L2552" s="2" t="s">
        <v>222</v>
      </c>
      <c r="M2552" s="2">
        <v>92886.0</v>
      </c>
      <c r="N2552" s="2" t="s">
        <v>21</v>
      </c>
    </row>
    <row r="2553" ht="15.75" customHeight="1">
      <c r="A2553" s="2">
        <v>2014.0</v>
      </c>
      <c r="B2553" s="2" t="s">
        <v>12335</v>
      </c>
      <c r="C2553" s="2" t="s">
        <v>12335</v>
      </c>
      <c r="D2553" s="2" t="str">
        <f>"6202214331"</f>
        <v>6202214331</v>
      </c>
      <c r="E2553" s="2" t="s">
        <v>2851</v>
      </c>
      <c r="F2553" s="2" t="s">
        <v>12336</v>
      </c>
      <c r="G2553" s="2" t="str">
        <f>"SR-3464"</f>
        <v>SR-3464</v>
      </c>
      <c r="H2553" s="2" t="s">
        <v>12337</v>
      </c>
      <c r="I2553" s="2" t="s">
        <v>12338</v>
      </c>
      <c r="K2553" s="2" t="s">
        <v>3530</v>
      </c>
      <c r="L2553" s="2" t="s">
        <v>272</v>
      </c>
      <c r="M2553" s="2">
        <v>67156.0</v>
      </c>
      <c r="N2553" s="2" t="s">
        <v>21</v>
      </c>
    </row>
    <row r="2554" ht="15.75" customHeight="1">
      <c r="A2554" s="2">
        <v>2014.0</v>
      </c>
      <c r="B2554" s="2" t="s">
        <v>12339</v>
      </c>
      <c r="C2554" s="2" t="s">
        <v>12339</v>
      </c>
      <c r="D2554" s="2" t="str">
        <f>"319-491-4364"</f>
        <v>319-491-4364</v>
      </c>
      <c r="E2554" s="2" t="s">
        <v>225</v>
      </c>
      <c r="F2554" s="2" t="s">
        <v>12340</v>
      </c>
      <c r="G2554" s="2" t="str">
        <f>"SR-3621"</f>
        <v>SR-3621</v>
      </c>
      <c r="H2554" s="2" t="s">
        <v>12341</v>
      </c>
      <c r="I2554" s="2">
        <v>3405.0</v>
      </c>
      <c r="K2554" s="2" t="s">
        <v>3493</v>
      </c>
      <c r="L2554" s="2" t="s">
        <v>560</v>
      </c>
      <c r="M2554" s="2">
        <v>52302.0</v>
      </c>
      <c r="N2554" s="2" t="s">
        <v>21</v>
      </c>
    </row>
    <row r="2555" ht="15.75" customHeight="1">
      <c r="A2555" s="2">
        <v>2014.0</v>
      </c>
      <c r="B2555" s="2" t="s">
        <v>12342</v>
      </c>
      <c r="C2555" s="2" t="s">
        <v>12343</v>
      </c>
      <c r="D2555" s="2" t="str">
        <f>"7636454893"</f>
        <v>7636454893</v>
      </c>
      <c r="E2555" s="2" t="s">
        <v>6244</v>
      </c>
      <c r="F2555" s="2" t="s">
        <v>984</v>
      </c>
      <c r="G2555" s="2" t="str">
        <f>"SR-3241"</f>
        <v>SR-3241</v>
      </c>
      <c r="H2555" s="2" t="s">
        <v>12344</v>
      </c>
      <c r="I2555" s="2" t="s">
        <v>12345</v>
      </c>
      <c r="K2555" s="2" t="s">
        <v>12346</v>
      </c>
      <c r="L2555" s="2" t="s">
        <v>62</v>
      </c>
      <c r="M2555" s="2">
        <v>55309.0</v>
      </c>
      <c r="N2555" s="2" t="s">
        <v>21</v>
      </c>
    </row>
    <row r="2556" ht="15.75" customHeight="1">
      <c r="A2556" s="2">
        <v>2014.0</v>
      </c>
      <c r="B2556" s="2" t="s">
        <v>12342</v>
      </c>
      <c r="C2556" s="2" t="s">
        <v>12347</v>
      </c>
      <c r="D2556" s="2" t="str">
        <f>"7012127240"</f>
        <v>7012127240</v>
      </c>
      <c r="E2556" s="2" t="s">
        <v>3878</v>
      </c>
      <c r="F2556" s="2" t="s">
        <v>984</v>
      </c>
      <c r="G2556" s="2" t="str">
        <f>"SR-3242"</f>
        <v>SR-3242</v>
      </c>
      <c r="H2556" s="2" t="s">
        <v>12348</v>
      </c>
      <c r="I2556" s="2" t="s">
        <v>12349</v>
      </c>
      <c r="K2556" s="2" t="s">
        <v>12350</v>
      </c>
      <c r="L2556" s="2" t="s">
        <v>62</v>
      </c>
      <c r="M2556" s="2">
        <v>56594.0</v>
      </c>
      <c r="N2556" s="2" t="s">
        <v>21</v>
      </c>
    </row>
    <row r="2557" ht="15.75" customHeight="1">
      <c r="A2557" s="2">
        <v>2014.0</v>
      </c>
      <c r="B2557" s="2" t="s">
        <v>12351</v>
      </c>
      <c r="C2557" s="2" t="s">
        <v>12352</v>
      </c>
      <c r="D2557" s="2" t="str">
        <f>"5036442035"</f>
        <v>5036442035</v>
      </c>
      <c r="E2557" s="2" t="s">
        <v>339</v>
      </c>
      <c r="F2557" s="2" t="s">
        <v>12353</v>
      </c>
      <c r="G2557" s="2" t="str">
        <f>"SR-3558"</f>
        <v>SR-3558</v>
      </c>
      <c r="H2557" s="2" t="s">
        <v>12354</v>
      </c>
      <c r="I2557" s="2" t="s">
        <v>12355</v>
      </c>
      <c r="K2557" s="2" t="s">
        <v>12356</v>
      </c>
      <c r="L2557" s="2" t="s">
        <v>2389</v>
      </c>
      <c r="M2557" s="2">
        <v>97007.0</v>
      </c>
      <c r="N2557" s="2" t="s">
        <v>21</v>
      </c>
    </row>
    <row r="2558" ht="15.75" customHeight="1">
      <c r="A2558" s="2">
        <v>2014.0</v>
      </c>
      <c r="B2558" s="2" t="s">
        <v>12357</v>
      </c>
      <c r="C2558" s="2" t="s">
        <v>12357</v>
      </c>
      <c r="D2558" s="2" t="str">
        <f>"513 484 7145"</f>
        <v>513 484 7145</v>
      </c>
      <c r="E2558" s="2" t="s">
        <v>938</v>
      </c>
      <c r="F2558" s="2" t="s">
        <v>12358</v>
      </c>
      <c r="G2558" s="2" t="str">
        <f>"SR-3619"</f>
        <v>SR-3619</v>
      </c>
      <c r="H2558" s="2" t="s">
        <v>12359</v>
      </c>
      <c r="I2558" s="2" t="s">
        <v>12360</v>
      </c>
      <c r="K2558" s="2" t="s">
        <v>12361</v>
      </c>
      <c r="L2558" s="2" t="s">
        <v>344</v>
      </c>
      <c r="M2558" s="2">
        <v>45242.0</v>
      </c>
      <c r="N2558" s="2" t="s">
        <v>21</v>
      </c>
    </row>
    <row r="2559" ht="15.75" customHeight="1">
      <c r="A2559" s="2">
        <v>2014.0</v>
      </c>
      <c r="B2559" s="2" t="s">
        <v>7850</v>
      </c>
      <c r="C2559" s="2" t="s">
        <v>12362</v>
      </c>
      <c r="D2559" s="2" t="str">
        <f>"209-662-4261"</f>
        <v>209-662-4261</v>
      </c>
      <c r="E2559" s="2" t="s">
        <v>12363</v>
      </c>
      <c r="F2559" s="2" t="s">
        <v>7852</v>
      </c>
      <c r="G2559" s="2" t="str">
        <f>"SR-3437"</f>
        <v>SR-3437</v>
      </c>
      <c r="H2559" s="2" t="s">
        <v>12364</v>
      </c>
      <c r="I2559" s="2" t="s">
        <v>12365</v>
      </c>
      <c r="K2559" s="2" t="s">
        <v>12366</v>
      </c>
      <c r="L2559" s="2" t="s">
        <v>222</v>
      </c>
      <c r="M2559" s="2">
        <v>95988.0</v>
      </c>
      <c r="N2559" s="2" t="s">
        <v>21</v>
      </c>
    </row>
    <row r="2560" ht="15.75" customHeight="1">
      <c r="A2560" s="2">
        <v>2014.0</v>
      </c>
      <c r="B2560" s="2" t="s">
        <v>12367</v>
      </c>
      <c r="C2560" s="2" t="s">
        <v>12368</v>
      </c>
      <c r="D2560" s="2" t="str">
        <f>"817-427-3300"</f>
        <v>817-427-3300</v>
      </c>
      <c r="E2560" s="2" t="s">
        <v>1032</v>
      </c>
      <c r="F2560" s="2" t="s">
        <v>737</v>
      </c>
      <c r="G2560" s="2" t="str">
        <f>"SR-3605"</f>
        <v>SR-3605</v>
      </c>
      <c r="H2560" s="2" t="s">
        <v>12369</v>
      </c>
      <c r="I2560" s="2" t="s">
        <v>12370</v>
      </c>
      <c r="K2560" s="2" t="s">
        <v>6030</v>
      </c>
      <c r="L2560" s="2" t="s">
        <v>172</v>
      </c>
      <c r="M2560" s="2">
        <v>76248.0</v>
      </c>
      <c r="N2560" s="2" t="s">
        <v>21</v>
      </c>
    </row>
    <row r="2561" ht="15.75" customHeight="1">
      <c r="A2561" s="2">
        <v>2014.0</v>
      </c>
      <c r="B2561" s="2" t="s">
        <v>12371</v>
      </c>
      <c r="C2561" s="2" t="s">
        <v>12372</v>
      </c>
      <c r="D2561" s="2" t="str">
        <f>"612-743-5292"</f>
        <v>612-743-5292</v>
      </c>
      <c r="E2561" s="2" t="s">
        <v>1197</v>
      </c>
      <c r="F2561" s="2" t="s">
        <v>12373</v>
      </c>
      <c r="G2561" s="2" t="str">
        <f>"SR-3616"</f>
        <v>SR-3616</v>
      </c>
      <c r="H2561" s="2" t="s">
        <v>12374</v>
      </c>
      <c r="I2561" s="2" t="s">
        <v>12375</v>
      </c>
      <c r="K2561" s="2" t="s">
        <v>10904</v>
      </c>
      <c r="L2561" s="2" t="s">
        <v>62</v>
      </c>
      <c r="M2561" s="2">
        <v>55313.0</v>
      </c>
      <c r="N2561" s="2" t="s">
        <v>21</v>
      </c>
    </row>
    <row r="2562" ht="15.75" customHeight="1">
      <c r="A2562" s="2">
        <v>2014.0</v>
      </c>
      <c r="B2562" s="2" t="s">
        <v>12376</v>
      </c>
      <c r="C2562" s="2" t="s">
        <v>12376</v>
      </c>
      <c r="D2562" s="2" t="str">
        <f>"620-640-0614"</f>
        <v>620-640-0614</v>
      </c>
      <c r="E2562" s="2" t="s">
        <v>124</v>
      </c>
      <c r="F2562" s="2" t="s">
        <v>12377</v>
      </c>
      <c r="G2562" s="2" t="str">
        <f>"SR-3560"</f>
        <v>SR-3560</v>
      </c>
      <c r="H2562" s="2" t="s">
        <v>12378</v>
      </c>
      <c r="I2562" s="2" t="s">
        <v>12379</v>
      </c>
      <c r="K2562" s="2" t="s">
        <v>12380</v>
      </c>
      <c r="L2562" s="2" t="s">
        <v>272</v>
      </c>
      <c r="M2562" s="2">
        <v>67838.0</v>
      </c>
      <c r="N2562" s="2" t="s">
        <v>21</v>
      </c>
    </row>
    <row r="2563" ht="15.75" customHeight="1">
      <c r="A2563" s="2">
        <v>2014.0</v>
      </c>
      <c r="B2563" s="2" t="s">
        <v>12381</v>
      </c>
      <c r="C2563" s="2" t="s">
        <v>12381</v>
      </c>
      <c r="D2563" s="2" t="str">
        <f>"521-333-440-8269"</f>
        <v>521-333-440-8269</v>
      </c>
      <c r="E2563" s="2" t="s">
        <v>301</v>
      </c>
      <c r="F2563" s="2" t="s">
        <v>7779</v>
      </c>
      <c r="G2563" s="2" t="str">
        <f>"SR-3623"</f>
        <v>SR-3623</v>
      </c>
      <c r="H2563" s="2" t="s">
        <v>12382</v>
      </c>
      <c r="I2563" s="2" t="s">
        <v>12383</v>
      </c>
      <c r="K2563" s="2" t="s">
        <v>12384</v>
      </c>
      <c r="L2563" s="2" t="s">
        <v>7783</v>
      </c>
      <c r="M2563" s="2">
        <v>45663.0</v>
      </c>
      <c r="N2563" s="2" t="s">
        <v>7784</v>
      </c>
    </row>
    <row r="2564" ht="15.75" customHeight="1">
      <c r="A2564" s="2">
        <v>2014.0</v>
      </c>
      <c r="B2564" s="2" t="s">
        <v>12385</v>
      </c>
      <c r="C2564" s="2" t="s">
        <v>12386</v>
      </c>
      <c r="D2564" s="2" t="str">
        <f>"281-853-4108"</f>
        <v>281-853-4108</v>
      </c>
      <c r="E2564" s="2" t="s">
        <v>250</v>
      </c>
      <c r="F2564" s="2" t="s">
        <v>12387</v>
      </c>
      <c r="G2564" s="2" t="str">
        <f>"SR-3466"</f>
        <v>SR-3466</v>
      </c>
      <c r="H2564" s="2" t="s">
        <v>12388</v>
      </c>
      <c r="I2564" s="2" t="s">
        <v>12389</v>
      </c>
      <c r="K2564" s="2" t="s">
        <v>809</v>
      </c>
      <c r="L2564" s="2" t="s">
        <v>157</v>
      </c>
      <c r="M2564" s="2">
        <v>80921.0</v>
      </c>
      <c r="N2564" s="2" t="s">
        <v>21</v>
      </c>
    </row>
    <row r="2565" ht="15.75" customHeight="1">
      <c r="A2565" s="2">
        <v>2014.0</v>
      </c>
      <c r="B2565" s="2" t="s">
        <v>12390</v>
      </c>
      <c r="C2565" s="2" t="s">
        <v>12391</v>
      </c>
      <c r="D2565" s="2" t="str">
        <f>"6822296532"</f>
        <v>6822296532</v>
      </c>
      <c r="E2565" s="2" t="s">
        <v>12392</v>
      </c>
      <c r="F2565" s="2" t="s">
        <v>12393</v>
      </c>
      <c r="G2565" s="2" t="str">
        <f>"SR-3622"</f>
        <v>SR-3622</v>
      </c>
      <c r="H2565" s="2" t="s">
        <v>12394</v>
      </c>
      <c r="I2565" s="2" t="s">
        <v>12395</v>
      </c>
      <c r="K2565" s="2" t="s">
        <v>5729</v>
      </c>
      <c r="L2565" s="2" t="s">
        <v>172</v>
      </c>
      <c r="M2565" s="2">
        <v>76088.0</v>
      </c>
      <c r="N2565" s="2" t="s">
        <v>21</v>
      </c>
    </row>
    <row r="2566" ht="15.75" customHeight="1">
      <c r="A2566" s="2">
        <v>2014.0</v>
      </c>
      <c r="B2566" s="2" t="s">
        <v>12396</v>
      </c>
      <c r="C2566" s="2" t="s">
        <v>12396</v>
      </c>
      <c r="D2566" s="2" t="str">
        <f>"732-774-4320"</f>
        <v>732-774-4320</v>
      </c>
      <c r="E2566" s="2" t="s">
        <v>4064</v>
      </c>
      <c r="F2566" s="2" t="s">
        <v>12397</v>
      </c>
      <c r="G2566" s="2" t="str">
        <f>"SR-2147"</f>
        <v>SR-2147</v>
      </c>
      <c r="H2566" s="2" t="s">
        <v>12398</v>
      </c>
      <c r="I2566" s="2">
        <v>1606.0</v>
      </c>
      <c r="K2566" s="2" t="s">
        <v>12399</v>
      </c>
      <c r="L2566" s="2" t="s">
        <v>3618</v>
      </c>
      <c r="M2566" s="2">
        <v>7712.0</v>
      </c>
      <c r="N2566" s="2" t="s">
        <v>21</v>
      </c>
    </row>
    <row r="2567" ht="15.75" customHeight="1">
      <c r="A2567" s="2">
        <v>2014.0</v>
      </c>
      <c r="B2567" s="2" t="s">
        <v>12400</v>
      </c>
      <c r="C2567" s="2" t="s">
        <v>12400</v>
      </c>
      <c r="D2567" s="2" t="str">
        <f>"(615) 890-5251"</f>
        <v>(615) 890-5251</v>
      </c>
      <c r="E2567" s="2" t="s">
        <v>12401</v>
      </c>
      <c r="F2567" s="2" t="s">
        <v>12402</v>
      </c>
      <c r="G2567" s="2" t="str">
        <f>"SR-3127"</f>
        <v>SR-3127</v>
      </c>
      <c r="H2567" s="2" t="s">
        <v>12403</v>
      </c>
      <c r="I2567" s="2" t="s">
        <v>12404</v>
      </c>
      <c r="K2567" s="2" t="s">
        <v>12405</v>
      </c>
      <c r="L2567" s="2" t="s">
        <v>279</v>
      </c>
      <c r="M2567" s="2">
        <v>37128.0</v>
      </c>
      <c r="N2567" s="2" t="s">
        <v>21</v>
      </c>
    </row>
    <row r="2568" ht="15.75" customHeight="1">
      <c r="A2568" s="2">
        <v>2014.0</v>
      </c>
      <c r="B2568" s="2" t="s">
        <v>12406</v>
      </c>
      <c r="C2568" s="2" t="s">
        <v>12406</v>
      </c>
      <c r="D2568" s="2" t="str">
        <f>"434-534-9203"</f>
        <v>434-534-9203</v>
      </c>
      <c r="E2568" s="2" t="s">
        <v>1015</v>
      </c>
      <c r="F2568" s="2" t="s">
        <v>320</v>
      </c>
      <c r="G2568" s="2" t="str">
        <f>"SR-3631"</f>
        <v>SR-3631</v>
      </c>
      <c r="H2568" s="2" t="s">
        <v>12407</v>
      </c>
      <c r="I2568" s="2" t="s">
        <v>12408</v>
      </c>
      <c r="K2568" s="2" t="s">
        <v>323</v>
      </c>
      <c r="L2568" s="2" t="s">
        <v>165</v>
      </c>
      <c r="M2568" s="2">
        <v>24551.0</v>
      </c>
      <c r="N2568" s="2" t="s">
        <v>21</v>
      </c>
    </row>
    <row r="2569" ht="15.75" customHeight="1">
      <c r="A2569" s="2">
        <v>2014.0</v>
      </c>
      <c r="B2569" s="2" t="s">
        <v>6636</v>
      </c>
      <c r="C2569" s="2" t="s">
        <v>12409</v>
      </c>
      <c r="D2569" s="2" t="str">
        <f>"952-404-9257"</f>
        <v>952-404-9257</v>
      </c>
      <c r="E2569" s="2" t="s">
        <v>15</v>
      </c>
      <c r="F2569" s="2" t="s">
        <v>6638</v>
      </c>
      <c r="G2569" s="2" t="str">
        <f>"SR-3633"</f>
        <v>SR-3633</v>
      </c>
      <c r="H2569" s="2" t="s">
        <v>12410</v>
      </c>
      <c r="I2569" s="2" t="s">
        <v>12411</v>
      </c>
      <c r="K2569" s="2" t="s">
        <v>6641</v>
      </c>
      <c r="L2569" s="2" t="s">
        <v>62</v>
      </c>
      <c r="M2569" s="2">
        <v>55391.0</v>
      </c>
      <c r="N2569" s="2" t="s">
        <v>21</v>
      </c>
    </row>
    <row r="2570" ht="15.75" customHeight="1">
      <c r="A2570" s="2">
        <v>2014.0</v>
      </c>
      <c r="B2570" s="2" t="s">
        <v>2076</v>
      </c>
      <c r="C2570" s="2" t="s">
        <v>2077</v>
      </c>
      <c r="D2570" s="2" t="str">
        <f>"8175726009"</f>
        <v>8175726009</v>
      </c>
      <c r="E2570" s="2" t="s">
        <v>282</v>
      </c>
      <c r="F2570" s="2" t="s">
        <v>2078</v>
      </c>
      <c r="G2570" s="2" t="str">
        <f>"SR-689"</f>
        <v>SR-689</v>
      </c>
      <c r="H2570" s="2" t="s">
        <v>2079</v>
      </c>
      <c r="I2570" s="2" t="s">
        <v>2080</v>
      </c>
      <c r="K2570" s="2" t="s">
        <v>882</v>
      </c>
      <c r="L2570" s="2" t="s">
        <v>172</v>
      </c>
      <c r="M2570" s="2">
        <v>76001.0</v>
      </c>
      <c r="N2570" s="2" t="s">
        <v>21</v>
      </c>
    </row>
    <row r="2571" ht="15.75" customHeight="1">
      <c r="A2571" s="2">
        <v>2014.0</v>
      </c>
      <c r="B2571" s="2" t="s">
        <v>12412</v>
      </c>
      <c r="C2571" s="2" t="s">
        <v>12412</v>
      </c>
      <c r="D2571" s="2" t="str">
        <f>"9375701300"</f>
        <v>9375701300</v>
      </c>
      <c r="E2571" s="2" t="s">
        <v>137</v>
      </c>
      <c r="F2571" s="2" t="s">
        <v>12413</v>
      </c>
      <c r="G2571" s="2" t="str">
        <f>"SR-3628"</f>
        <v>SR-3628</v>
      </c>
      <c r="H2571" s="2" t="s">
        <v>12414</v>
      </c>
      <c r="I2571" s="2" t="s">
        <v>12415</v>
      </c>
      <c r="K2571" s="2" t="s">
        <v>12416</v>
      </c>
      <c r="L2571" s="2" t="s">
        <v>344</v>
      </c>
      <c r="M2571" s="2">
        <v>45356.0</v>
      </c>
      <c r="N2571" s="2" t="s">
        <v>21</v>
      </c>
    </row>
    <row r="2572" ht="15.75" customHeight="1">
      <c r="A2572" s="2">
        <v>2014.0</v>
      </c>
      <c r="B2572" s="2" t="s">
        <v>12417</v>
      </c>
      <c r="C2572" s="2" t="s">
        <v>12418</v>
      </c>
      <c r="D2572" s="2" t="str">
        <f>"614-488-2008"</f>
        <v>614-488-2008</v>
      </c>
      <c r="E2572" s="2" t="s">
        <v>12419</v>
      </c>
      <c r="F2572" s="2" t="s">
        <v>457</v>
      </c>
      <c r="G2572" s="2" t="str">
        <f>"SR-3634"</f>
        <v>SR-3634</v>
      </c>
      <c r="H2572" s="2" t="s">
        <v>12420</v>
      </c>
      <c r="I2572" s="2" t="s">
        <v>12421</v>
      </c>
      <c r="K2572" s="2" t="s">
        <v>2421</v>
      </c>
      <c r="L2572" s="2" t="s">
        <v>344</v>
      </c>
      <c r="M2572" s="2">
        <v>43221.0</v>
      </c>
      <c r="N2572" s="2" t="s">
        <v>21</v>
      </c>
    </row>
    <row r="2573" ht="15.75" customHeight="1">
      <c r="A2573" s="2">
        <v>2014.0</v>
      </c>
      <c r="B2573" s="2" t="s">
        <v>12422</v>
      </c>
      <c r="C2573" s="2" t="s">
        <v>12422</v>
      </c>
      <c r="D2573" s="2" t="str">
        <f>"703 425 0329"</f>
        <v>703 425 0329</v>
      </c>
      <c r="E2573" s="2" t="s">
        <v>282</v>
      </c>
      <c r="F2573" s="2" t="s">
        <v>12423</v>
      </c>
      <c r="G2573" s="2" t="str">
        <f>"SR-3635"</f>
        <v>SR-3635</v>
      </c>
      <c r="H2573" s="2" t="s">
        <v>12424</v>
      </c>
      <c r="I2573" s="2" t="s">
        <v>12425</v>
      </c>
      <c r="K2573" s="2" t="s">
        <v>12426</v>
      </c>
      <c r="L2573" s="2" t="s">
        <v>165</v>
      </c>
      <c r="M2573" s="2">
        <v>22712.0</v>
      </c>
      <c r="N2573" s="2" t="s">
        <v>21</v>
      </c>
    </row>
    <row r="2574" ht="15.75" customHeight="1">
      <c r="A2574" s="2">
        <v>2014.0</v>
      </c>
      <c r="B2574" s="2" t="s">
        <v>12427</v>
      </c>
      <c r="C2574" s="2" t="s">
        <v>12428</v>
      </c>
      <c r="D2574" s="2" t="str">
        <f>"9072993544"</f>
        <v>9072993544</v>
      </c>
      <c r="E2574" s="2" t="s">
        <v>167</v>
      </c>
      <c r="F2574" s="2" t="s">
        <v>12429</v>
      </c>
      <c r="G2574" s="2" t="str">
        <f>"SR-3639"</f>
        <v>SR-3639</v>
      </c>
      <c r="H2574" s="2" t="s">
        <v>12430</v>
      </c>
      <c r="I2574" s="2" t="s">
        <v>12431</v>
      </c>
      <c r="K2574" s="2" t="s">
        <v>1336</v>
      </c>
      <c r="L2574" s="2" t="s">
        <v>70</v>
      </c>
      <c r="M2574" s="2">
        <v>99669.0</v>
      </c>
      <c r="N2574" s="2" t="s">
        <v>21</v>
      </c>
    </row>
    <row r="2575" ht="15.75" customHeight="1">
      <c r="A2575" s="2">
        <v>2014.0</v>
      </c>
      <c r="B2575" s="2" t="s">
        <v>12432</v>
      </c>
      <c r="C2575" s="2" t="s">
        <v>12433</v>
      </c>
      <c r="D2575" s="2" t="str">
        <f>"719-485-3428"</f>
        <v>719-485-3428</v>
      </c>
      <c r="E2575" s="2" t="s">
        <v>12434</v>
      </c>
      <c r="F2575" s="2" t="s">
        <v>12435</v>
      </c>
      <c r="G2575" s="2" t="str">
        <f>"SR-3372"</f>
        <v>SR-3372</v>
      </c>
      <c r="H2575" s="2" t="s">
        <v>12436</v>
      </c>
      <c r="I2575" s="2" t="s">
        <v>12437</v>
      </c>
      <c r="K2575" s="2" t="s">
        <v>12438</v>
      </c>
      <c r="L2575" s="2" t="s">
        <v>157</v>
      </c>
      <c r="M2575" s="2">
        <v>81023.0</v>
      </c>
      <c r="N2575" s="2" t="s">
        <v>21</v>
      </c>
    </row>
    <row r="2576" ht="15.75" customHeight="1">
      <c r="A2576" s="2">
        <v>2014.0</v>
      </c>
      <c r="B2576" s="2" t="s">
        <v>12439</v>
      </c>
      <c r="C2576" s="2" t="s">
        <v>12439</v>
      </c>
      <c r="D2576" s="2" t="str">
        <f>"9373533354"</f>
        <v>9373533354</v>
      </c>
      <c r="E2576" s="2" t="s">
        <v>167</v>
      </c>
      <c r="F2576" s="2" t="s">
        <v>12440</v>
      </c>
      <c r="G2576" s="2" t="str">
        <f>"SR-2313"</f>
        <v>SR-2313</v>
      </c>
      <c r="H2576" s="2" t="s">
        <v>12441</v>
      </c>
      <c r="I2576" s="2" t="s">
        <v>12442</v>
      </c>
      <c r="K2576" s="2" t="s">
        <v>12443</v>
      </c>
      <c r="L2576" s="2" t="s">
        <v>344</v>
      </c>
      <c r="M2576" s="2">
        <v>45342.0</v>
      </c>
      <c r="N2576" s="2" t="s">
        <v>21</v>
      </c>
    </row>
    <row r="2577" ht="15.75" customHeight="1">
      <c r="A2577" s="2">
        <v>2014.0</v>
      </c>
      <c r="B2577" s="2" t="s">
        <v>12444</v>
      </c>
      <c r="C2577" s="2" t="s">
        <v>12444</v>
      </c>
      <c r="D2577" s="2" t="str">
        <f>"310-325-5202"</f>
        <v>310-325-5202</v>
      </c>
      <c r="E2577" s="2" t="s">
        <v>72</v>
      </c>
      <c r="F2577" s="2" t="s">
        <v>3461</v>
      </c>
      <c r="G2577" s="2" t="str">
        <f>"SR-3641"</f>
        <v>SR-3641</v>
      </c>
      <c r="H2577" s="2" t="s">
        <v>12445</v>
      </c>
      <c r="I2577" s="2" t="s">
        <v>12446</v>
      </c>
      <c r="K2577" s="2" t="s">
        <v>5955</v>
      </c>
      <c r="L2577" s="2" t="s">
        <v>222</v>
      </c>
      <c r="M2577" s="2">
        <v>90501.0</v>
      </c>
      <c r="N2577" s="2" t="s">
        <v>21</v>
      </c>
    </row>
    <row r="2578" ht="15.75" customHeight="1">
      <c r="A2578" s="2">
        <v>2014.0</v>
      </c>
      <c r="B2578" s="2" t="s">
        <v>12447</v>
      </c>
      <c r="C2578" s="2" t="s">
        <v>12448</v>
      </c>
      <c r="D2578" s="2" t="str">
        <f>"7166341089"</f>
        <v>7166341089</v>
      </c>
      <c r="E2578" s="2" t="s">
        <v>12449</v>
      </c>
      <c r="F2578" s="2" t="s">
        <v>3816</v>
      </c>
      <c r="G2578" s="2" t="str">
        <f>"SR-3648"</f>
        <v>SR-3648</v>
      </c>
      <c r="H2578" s="2" t="s">
        <v>12450</v>
      </c>
      <c r="I2578" s="2" t="s">
        <v>12451</v>
      </c>
      <c r="K2578" s="2" t="s">
        <v>12452</v>
      </c>
      <c r="L2578" s="2" t="s">
        <v>142</v>
      </c>
      <c r="M2578" s="2">
        <v>14221.0</v>
      </c>
      <c r="N2578" s="2" t="s">
        <v>21</v>
      </c>
    </row>
    <row r="2579" ht="15.75" customHeight="1">
      <c r="A2579" s="2">
        <v>2014.0</v>
      </c>
      <c r="B2579" s="2" t="s">
        <v>12453</v>
      </c>
      <c r="C2579" s="2" t="s">
        <v>12453</v>
      </c>
      <c r="D2579" s="2" t="str">
        <f>"(607) 844-8835"</f>
        <v>(607) 844-8835</v>
      </c>
      <c r="E2579" s="2" t="s">
        <v>3400</v>
      </c>
      <c r="F2579" s="2" t="s">
        <v>12454</v>
      </c>
      <c r="G2579" s="2" t="str">
        <f>"SR-3645"</f>
        <v>SR-3645</v>
      </c>
      <c r="H2579" s="2" t="s">
        <v>12455</v>
      </c>
      <c r="I2579" s="2" t="s">
        <v>12456</v>
      </c>
      <c r="K2579" s="2" t="s">
        <v>12457</v>
      </c>
      <c r="L2579" s="2" t="s">
        <v>142</v>
      </c>
      <c r="M2579" s="2">
        <v>13068.0</v>
      </c>
      <c r="N2579" s="2" t="s">
        <v>21</v>
      </c>
    </row>
    <row r="2580" ht="15.75" customHeight="1">
      <c r="A2580" s="2">
        <v>2014.0</v>
      </c>
      <c r="B2580" s="2" t="s">
        <v>12458</v>
      </c>
      <c r="C2580" s="2" t="s">
        <v>12458</v>
      </c>
      <c r="D2580" s="2" t="str">
        <f>"(812) 449-9261"</f>
        <v>(812) 449-9261</v>
      </c>
      <c r="E2580" s="2" t="s">
        <v>2243</v>
      </c>
      <c r="F2580" s="2" t="s">
        <v>12459</v>
      </c>
      <c r="G2580" s="2" t="str">
        <f>"SR-3609"</f>
        <v>SR-3609</v>
      </c>
      <c r="H2580" s="2" t="s">
        <v>12460</v>
      </c>
      <c r="I2580" s="2" t="s">
        <v>12461</v>
      </c>
      <c r="K2580" s="2" t="s">
        <v>148</v>
      </c>
      <c r="L2580" s="2" t="s">
        <v>149</v>
      </c>
      <c r="M2580" s="2">
        <v>47720.0</v>
      </c>
      <c r="N2580" s="2" t="s">
        <v>21</v>
      </c>
    </row>
    <row r="2581" ht="15.75" customHeight="1">
      <c r="A2581" s="2">
        <v>2014.0</v>
      </c>
      <c r="B2581" s="2" t="s">
        <v>12462</v>
      </c>
      <c r="C2581" s="2" t="s">
        <v>12463</v>
      </c>
      <c r="D2581" s="2" t="str">
        <f>"7855982476"</f>
        <v>7855982476</v>
      </c>
      <c r="E2581" s="2" t="s">
        <v>2941</v>
      </c>
      <c r="F2581" s="2" t="s">
        <v>12464</v>
      </c>
      <c r="G2581" s="2" t="str">
        <f>"SR-3652"</f>
        <v>SR-3652</v>
      </c>
      <c r="H2581" s="2" t="s">
        <v>12465</v>
      </c>
      <c r="I2581" s="2" t="s">
        <v>12466</v>
      </c>
      <c r="K2581" s="2" t="s">
        <v>781</v>
      </c>
      <c r="L2581" s="2" t="s">
        <v>272</v>
      </c>
      <c r="M2581" s="2">
        <v>67410.0</v>
      </c>
      <c r="N2581" s="2" t="s">
        <v>21</v>
      </c>
    </row>
    <row r="2582" ht="15.75" customHeight="1">
      <c r="A2582" s="2">
        <v>2014.0</v>
      </c>
      <c r="B2582" s="2" t="s">
        <v>12467</v>
      </c>
      <c r="C2582" s="2" t="s">
        <v>12468</v>
      </c>
      <c r="D2582" s="2" t="str">
        <f>"2182340921"</f>
        <v>2182340921</v>
      </c>
      <c r="E2582" s="2" t="s">
        <v>15</v>
      </c>
      <c r="F2582" s="2" t="s">
        <v>12086</v>
      </c>
      <c r="G2582" s="2" t="str">
        <f>"SR-3499"</f>
        <v>SR-3499</v>
      </c>
      <c r="H2582" s="2" t="s">
        <v>12469</v>
      </c>
      <c r="I2582" s="2" t="s">
        <v>12470</v>
      </c>
      <c r="K2582" s="2" t="s">
        <v>12089</v>
      </c>
      <c r="L2582" s="2" t="s">
        <v>62</v>
      </c>
      <c r="M2582" s="2">
        <v>56544.0</v>
      </c>
      <c r="N2582" s="2" t="s">
        <v>21</v>
      </c>
    </row>
    <row r="2583" ht="15.75" customHeight="1">
      <c r="A2583" s="2">
        <v>2014.0</v>
      </c>
      <c r="B2583" s="2" t="s">
        <v>12471</v>
      </c>
      <c r="C2583" s="2" t="s">
        <v>12471</v>
      </c>
      <c r="D2583" s="2" t="str">
        <f>"(812) 449-9761"</f>
        <v>(812) 449-9761</v>
      </c>
      <c r="E2583" s="2" t="s">
        <v>2361</v>
      </c>
      <c r="F2583" s="2" t="s">
        <v>12459</v>
      </c>
      <c r="G2583" s="2" t="str">
        <f>"SR-3654"</f>
        <v>SR-3654</v>
      </c>
      <c r="H2583" s="2" t="s">
        <v>12472</v>
      </c>
      <c r="I2583" s="2" t="s">
        <v>12473</v>
      </c>
      <c r="K2583" s="2" t="s">
        <v>148</v>
      </c>
      <c r="L2583" s="2" t="s">
        <v>149</v>
      </c>
      <c r="M2583" s="2">
        <v>47720.0</v>
      </c>
      <c r="N2583" s="2" t="s">
        <v>21</v>
      </c>
    </row>
    <row r="2584" ht="15.75" customHeight="1">
      <c r="A2584" s="2">
        <v>2014.0</v>
      </c>
      <c r="B2584" s="2" t="s">
        <v>12474</v>
      </c>
      <c r="C2584" s="2" t="s">
        <v>12475</v>
      </c>
      <c r="D2584" s="2" t="str">
        <f>"812-278-4545"</f>
        <v>812-278-4545</v>
      </c>
      <c r="E2584" s="2" t="s">
        <v>1440</v>
      </c>
      <c r="F2584" s="2" t="s">
        <v>12476</v>
      </c>
      <c r="G2584" s="2" t="str">
        <f>"SR-3564"</f>
        <v>SR-3564</v>
      </c>
      <c r="H2584" s="2" t="s">
        <v>12477</v>
      </c>
      <c r="I2584" s="2" t="s">
        <v>12478</v>
      </c>
      <c r="K2584" s="2" t="s">
        <v>5399</v>
      </c>
      <c r="L2584" s="2" t="s">
        <v>149</v>
      </c>
      <c r="M2584" s="2">
        <v>47421.0</v>
      </c>
      <c r="N2584" s="2" t="s">
        <v>21</v>
      </c>
    </row>
    <row r="2585" ht="15.75" customHeight="1">
      <c r="A2585" s="2">
        <v>2014.0</v>
      </c>
      <c r="B2585" s="2" t="s">
        <v>5454</v>
      </c>
      <c r="C2585" s="2" t="s">
        <v>12479</v>
      </c>
      <c r="D2585" s="2" t="str">
        <f>"301-223-1237"</f>
        <v>301-223-1237</v>
      </c>
      <c r="E2585" s="2" t="s">
        <v>137</v>
      </c>
      <c r="F2585" s="2" t="s">
        <v>5457</v>
      </c>
      <c r="G2585" s="2" t="str">
        <f>"SR-3653"</f>
        <v>SR-3653</v>
      </c>
      <c r="H2585" s="2" t="s">
        <v>12480</v>
      </c>
      <c r="I2585" s="2" t="s">
        <v>12481</v>
      </c>
      <c r="K2585" s="2" t="s">
        <v>5460</v>
      </c>
      <c r="L2585" s="2" t="s">
        <v>1868</v>
      </c>
      <c r="M2585" s="2">
        <v>21795.0</v>
      </c>
      <c r="N2585" s="2" t="s">
        <v>21</v>
      </c>
    </row>
    <row r="2586" ht="15.75" customHeight="1">
      <c r="A2586" s="2">
        <v>2014.0</v>
      </c>
      <c r="B2586" s="2" t="s">
        <v>12482</v>
      </c>
      <c r="C2586" s="2" t="s">
        <v>12483</v>
      </c>
      <c r="D2586" s="2" t="str">
        <f>"(303) 478-3191"</f>
        <v>(303) 478-3191</v>
      </c>
      <c r="E2586" s="2" t="s">
        <v>1946</v>
      </c>
      <c r="F2586" s="2" t="s">
        <v>12484</v>
      </c>
      <c r="G2586" s="2" t="str">
        <f>"SR-3655"</f>
        <v>SR-3655</v>
      </c>
      <c r="H2586" s="2" t="s">
        <v>12485</v>
      </c>
      <c r="I2586" s="2" t="s">
        <v>12486</v>
      </c>
      <c r="K2586" s="2" t="s">
        <v>278</v>
      </c>
      <c r="L2586" s="2" t="s">
        <v>279</v>
      </c>
      <c r="M2586" s="2">
        <v>37069.0</v>
      </c>
      <c r="N2586" s="2" t="s">
        <v>21</v>
      </c>
    </row>
    <row r="2587" ht="15.75" customHeight="1">
      <c r="A2587" s="2">
        <v>2014.0</v>
      </c>
      <c r="B2587" s="2" t="s">
        <v>12487</v>
      </c>
      <c r="C2587" s="2" t="s">
        <v>12487</v>
      </c>
      <c r="D2587" s="2" t="str">
        <f>"515-494-7612"</f>
        <v>515-494-7612</v>
      </c>
      <c r="E2587" s="2" t="s">
        <v>2314</v>
      </c>
      <c r="F2587" s="2" t="s">
        <v>2147</v>
      </c>
      <c r="G2587" s="2" t="str">
        <f>"SR-3274"</f>
        <v>SR-3274</v>
      </c>
      <c r="H2587" s="2" t="s">
        <v>12488</v>
      </c>
      <c r="I2587" s="2" t="s">
        <v>12489</v>
      </c>
      <c r="K2587" s="2" t="s">
        <v>3984</v>
      </c>
      <c r="L2587" s="2" t="s">
        <v>560</v>
      </c>
      <c r="M2587" s="2">
        <v>50131.0</v>
      </c>
      <c r="N2587" s="2" t="s">
        <v>21</v>
      </c>
    </row>
    <row r="2588" ht="15.75" customHeight="1">
      <c r="A2588" s="2">
        <v>2014.0</v>
      </c>
      <c r="B2588" s="2" t="s">
        <v>12490</v>
      </c>
      <c r="C2588" s="2" t="s">
        <v>12490</v>
      </c>
      <c r="D2588" s="2" t="str">
        <f>"817-559-3540"</f>
        <v>817-559-3540</v>
      </c>
      <c r="E2588" s="2" t="s">
        <v>12491</v>
      </c>
      <c r="F2588" s="2" t="s">
        <v>639</v>
      </c>
      <c r="G2588" s="2" t="str">
        <f>"SR-3459"</f>
        <v>SR-3459</v>
      </c>
      <c r="H2588" s="2" t="s">
        <v>12492</v>
      </c>
      <c r="I2588" s="2" t="s">
        <v>12493</v>
      </c>
      <c r="K2588" s="2" t="s">
        <v>5729</v>
      </c>
      <c r="L2588" s="2" t="s">
        <v>172</v>
      </c>
      <c r="M2588" s="2">
        <v>76087.0</v>
      </c>
      <c r="N2588" s="2" t="s">
        <v>21</v>
      </c>
    </row>
    <row r="2589" ht="15.75" customHeight="1">
      <c r="A2589" s="2">
        <v>2014.0</v>
      </c>
      <c r="B2589" s="2" t="s">
        <v>12494</v>
      </c>
      <c r="C2589" s="2" t="s">
        <v>12494</v>
      </c>
      <c r="D2589" s="2" t="str">
        <f>"3525041438"</f>
        <v>3525041438</v>
      </c>
      <c r="E2589" s="2" t="s">
        <v>1974</v>
      </c>
      <c r="F2589" s="2" t="s">
        <v>12495</v>
      </c>
      <c r="G2589" s="2" t="str">
        <f>"SR-2892"</f>
        <v>SR-2892</v>
      </c>
      <c r="H2589" s="2" t="s">
        <v>12496</v>
      </c>
      <c r="I2589" s="2" t="s">
        <v>12497</v>
      </c>
      <c r="K2589" s="2" t="s">
        <v>12498</v>
      </c>
      <c r="L2589" s="2" t="s">
        <v>208</v>
      </c>
      <c r="M2589" s="2">
        <v>32778.0</v>
      </c>
      <c r="N2589" s="2" t="s">
        <v>21</v>
      </c>
    </row>
    <row r="2590" ht="15.75" customHeight="1">
      <c r="A2590" s="2">
        <v>2014.0</v>
      </c>
      <c r="B2590" s="2" t="s">
        <v>12499</v>
      </c>
      <c r="C2590" s="2" t="s">
        <v>12500</v>
      </c>
      <c r="D2590" s="2" t="str">
        <f>"7348543031"</f>
        <v>7348543031</v>
      </c>
      <c r="E2590" s="2" t="s">
        <v>12501</v>
      </c>
      <c r="F2590" s="2" t="s">
        <v>9115</v>
      </c>
      <c r="G2590" s="2" t="str">
        <f>"SR-3286"</f>
        <v>SR-3286</v>
      </c>
      <c r="H2590" s="2" t="s">
        <v>12502</v>
      </c>
      <c r="I2590" s="2" t="s">
        <v>12503</v>
      </c>
      <c r="K2590" s="2" t="s">
        <v>12504</v>
      </c>
      <c r="L2590" s="2" t="s">
        <v>29</v>
      </c>
      <c r="M2590" s="2">
        <v>49270.0</v>
      </c>
      <c r="N2590" s="2" t="s">
        <v>21</v>
      </c>
    </row>
    <row r="2591" ht="15.75" customHeight="1">
      <c r="A2591" s="2">
        <v>2014.0</v>
      </c>
      <c r="B2591" s="2" t="s">
        <v>12505</v>
      </c>
      <c r="C2591" s="2" t="s">
        <v>12506</v>
      </c>
      <c r="D2591" s="2" t="str">
        <f>"5129660641"</f>
        <v>5129660641</v>
      </c>
      <c r="E2591" s="2" t="s">
        <v>12507</v>
      </c>
      <c r="F2591" s="2" t="s">
        <v>12508</v>
      </c>
      <c r="G2591" s="2" t="str">
        <f>"SR-3664"</f>
        <v>SR-3664</v>
      </c>
      <c r="H2591" s="2" t="s">
        <v>12509</v>
      </c>
      <c r="I2591" s="2" t="s">
        <v>12510</v>
      </c>
      <c r="K2591" s="2" t="s">
        <v>12511</v>
      </c>
      <c r="L2591" s="2" t="s">
        <v>172</v>
      </c>
      <c r="M2591" s="2">
        <v>78673.0</v>
      </c>
      <c r="N2591" s="2" t="s">
        <v>21</v>
      </c>
    </row>
    <row r="2592" ht="15.75" customHeight="1">
      <c r="A2592" s="2">
        <v>2014.0</v>
      </c>
      <c r="B2592" s="2" t="s">
        <v>12512</v>
      </c>
      <c r="C2592" s="2" t="s">
        <v>12513</v>
      </c>
      <c r="D2592" s="2" t="str">
        <f>"(571) 358-7989"</f>
        <v>(571) 358-7989</v>
      </c>
      <c r="E2592" s="2" t="s">
        <v>1141</v>
      </c>
      <c r="F2592" s="2" t="s">
        <v>10257</v>
      </c>
      <c r="G2592" s="2" t="str">
        <f>"SR-3165"</f>
        <v>SR-3165</v>
      </c>
      <c r="H2592" s="2" t="s">
        <v>12514</v>
      </c>
      <c r="I2592" s="2" t="s">
        <v>12515</v>
      </c>
      <c r="K2592" s="2" t="s">
        <v>12516</v>
      </c>
      <c r="L2592" s="2" t="s">
        <v>165</v>
      </c>
      <c r="M2592" s="2">
        <v>20169.0</v>
      </c>
      <c r="N2592" s="2" t="s">
        <v>21</v>
      </c>
    </row>
    <row r="2593" ht="15.75" customHeight="1">
      <c r="A2593" s="2">
        <v>2014.0</v>
      </c>
      <c r="B2593" s="2" t="s">
        <v>12517</v>
      </c>
      <c r="C2593" s="2" t="s">
        <v>12518</v>
      </c>
      <c r="D2593" s="2" t="str">
        <f>"2817979182"</f>
        <v>2817979182</v>
      </c>
      <c r="E2593" s="2" t="s">
        <v>11043</v>
      </c>
      <c r="F2593" s="2" t="s">
        <v>12519</v>
      </c>
      <c r="G2593" s="2" t="str">
        <f>"SR-3527"</f>
        <v>SR-3527</v>
      </c>
      <c r="H2593" s="2" t="s">
        <v>12520</v>
      </c>
      <c r="I2593" s="2" t="s">
        <v>12521</v>
      </c>
      <c r="K2593" s="2" t="s">
        <v>12522</v>
      </c>
      <c r="L2593" s="2" t="s">
        <v>172</v>
      </c>
      <c r="M2593" s="2">
        <v>77429.0</v>
      </c>
      <c r="N2593" s="2" t="s">
        <v>21</v>
      </c>
    </row>
    <row r="2594" ht="15.75" customHeight="1">
      <c r="A2594" s="2">
        <v>2014.0</v>
      </c>
      <c r="B2594" s="2" t="s">
        <v>12523</v>
      </c>
      <c r="C2594" s="2" t="s">
        <v>12523</v>
      </c>
      <c r="D2594" s="2" t="str">
        <f>"605-341-2342"</f>
        <v>605-341-2342</v>
      </c>
      <c r="E2594" s="2" t="s">
        <v>12524</v>
      </c>
      <c r="F2594" s="2" t="s">
        <v>12525</v>
      </c>
      <c r="G2594" s="2" t="str">
        <f>"SR-3668"</f>
        <v>SR-3668</v>
      </c>
      <c r="H2594" s="2" t="s">
        <v>12526</v>
      </c>
      <c r="I2594" s="2" t="s">
        <v>12527</v>
      </c>
      <c r="K2594" s="2" t="s">
        <v>11510</v>
      </c>
      <c r="L2594" s="2" t="s">
        <v>920</v>
      </c>
      <c r="M2594" s="2">
        <v>57702.0</v>
      </c>
      <c r="N2594" s="2" t="s">
        <v>21</v>
      </c>
    </row>
    <row r="2595" ht="15.75" customHeight="1">
      <c r="A2595" s="2">
        <v>2014.0</v>
      </c>
      <c r="B2595" s="2" t="s">
        <v>12528</v>
      </c>
      <c r="C2595" s="2" t="s">
        <v>12529</v>
      </c>
      <c r="D2595" s="2" t="str">
        <f>"8507783494"</f>
        <v>8507783494</v>
      </c>
      <c r="E2595" s="2" t="s">
        <v>282</v>
      </c>
      <c r="F2595" s="2" t="s">
        <v>9036</v>
      </c>
      <c r="G2595" s="2" t="str">
        <f>"SR-3368"</f>
        <v>SR-3368</v>
      </c>
      <c r="H2595" s="2" t="s">
        <v>12530</v>
      </c>
      <c r="I2595" s="2" t="s">
        <v>12531</v>
      </c>
      <c r="K2595" s="2" t="s">
        <v>2007</v>
      </c>
      <c r="L2595" s="2" t="s">
        <v>208</v>
      </c>
      <c r="M2595" s="2">
        <v>32309.0</v>
      </c>
      <c r="N2595" s="2" t="s">
        <v>21</v>
      </c>
    </row>
    <row r="2596" ht="15.75" customHeight="1">
      <c r="A2596" s="2">
        <v>2014.0</v>
      </c>
      <c r="B2596" s="2" t="s">
        <v>12532</v>
      </c>
      <c r="C2596" s="2" t="s">
        <v>12533</v>
      </c>
      <c r="D2596" s="2" t="str">
        <f>"281-351-6033"</f>
        <v>281-351-6033</v>
      </c>
      <c r="E2596" s="2" t="s">
        <v>4346</v>
      </c>
      <c r="F2596" s="2" t="s">
        <v>4347</v>
      </c>
      <c r="G2596" s="2" t="str">
        <f>"SR-3428"</f>
        <v>SR-3428</v>
      </c>
      <c r="H2596" s="2" t="s">
        <v>4348</v>
      </c>
      <c r="I2596" s="2" t="s">
        <v>12534</v>
      </c>
      <c r="K2596" s="2" t="s">
        <v>4350</v>
      </c>
      <c r="L2596" s="2" t="s">
        <v>172</v>
      </c>
      <c r="M2596" s="2">
        <v>77377.0</v>
      </c>
      <c r="N2596" s="2" t="s">
        <v>21</v>
      </c>
    </row>
    <row r="2597" ht="15.75" customHeight="1">
      <c r="A2597" s="2">
        <v>2014.0</v>
      </c>
      <c r="B2597" s="2" t="s">
        <v>4392</v>
      </c>
      <c r="C2597" s="2" t="s">
        <v>12535</v>
      </c>
      <c r="D2597" s="2" t="str">
        <f>"7854362385"</f>
        <v>7854362385</v>
      </c>
      <c r="E2597" s="2" t="s">
        <v>1197</v>
      </c>
      <c r="F2597" s="2" t="s">
        <v>4393</v>
      </c>
      <c r="G2597" s="2" t="str">
        <f>"SR-1043"</f>
        <v>SR-1043</v>
      </c>
      <c r="H2597" s="2" t="s">
        <v>12536</v>
      </c>
      <c r="I2597" s="2" t="s">
        <v>12537</v>
      </c>
      <c r="K2597" s="2" t="s">
        <v>12538</v>
      </c>
      <c r="L2597" s="2" t="s">
        <v>272</v>
      </c>
      <c r="M2597" s="2">
        <v>67423.0</v>
      </c>
      <c r="N2597" s="2" t="s">
        <v>21</v>
      </c>
    </row>
    <row r="2598" ht="15.75" customHeight="1">
      <c r="A2598" s="2">
        <v>2014.0</v>
      </c>
      <c r="B2598" s="2" t="s">
        <v>12539</v>
      </c>
      <c r="C2598" s="2" t="s">
        <v>12539</v>
      </c>
      <c r="D2598" s="2" t="str">
        <f>"9286003793"</f>
        <v>9286003793</v>
      </c>
      <c r="E2598" s="2" t="s">
        <v>3560</v>
      </c>
      <c r="F2598" s="2" t="s">
        <v>12540</v>
      </c>
      <c r="G2598" s="2" t="str">
        <f>"SR-3671"</f>
        <v>SR-3671</v>
      </c>
      <c r="H2598" s="2" t="s">
        <v>12541</v>
      </c>
      <c r="I2598" s="2" t="s">
        <v>12542</v>
      </c>
      <c r="K2598" s="2" t="s">
        <v>104</v>
      </c>
      <c r="L2598" s="2" t="s">
        <v>422</v>
      </c>
      <c r="M2598" s="2">
        <v>85383.0</v>
      </c>
      <c r="N2598" s="2" t="s">
        <v>21</v>
      </c>
    </row>
    <row r="2599" ht="15.75" customHeight="1">
      <c r="A2599" s="2">
        <v>2014.0</v>
      </c>
      <c r="B2599" s="2" t="s">
        <v>12543</v>
      </c>
      <c r="D2599" s="2" t="str">
        <f>""</f>
        <v/>
      </c>
      <c r="E2599" s="2" t="s">
        <v>843</v>
      </c>
      <c r="F2599" s="2" t="s">
        <v>12544</v>
      </c>
      <c r="G2599" s="2" t="str">
        <f>"SR-3589"</f>
        <v>SR-3589</v>
      </c>
      <c r="H2599" s="2" t="s">
        <v>12545</v>
      </c>
      <c r="N2599" s="2" t="s">
        <v>21</v>
      </c>
    </row>
    <row r="2600" ht="15.75" customHeight="1">
      <c r="A2600" s="2">
        <v>2014.0</v>
      </c>
      <c r="B2600" s="2" t="s">
        <v>12546</v>
      </c>
      <c r="C2600" s="2" t="s">
        <v>12546</v>
      </c>
      <c r="D2600" s="2" t="str">
        <f>"(209) 605-0961"</f>
        <v>(209) 605-0961</v>
      </c>
      <c r="E2600" s="2" t="s">
        <v>5542</v>
      </c>
      <c r="F2600" s="2" t="s">
        <v>3022</v>
      </c>
      <c r="G2600" s="2" t="str">
        <f>"SR-3346"</f>
        <v>SR-3346</v>
      </c>
      <c r="H2600" s="2" t="s">
        <v>12547</v>
      </c>
      <c r="I2600" s="2" t="s">
        <v>12548</v>
      </c>
      <c r="K2600" s="2" t="s">
        <v>12549</v>
      </c>
      <c r="L2600" s="2" t="s">
        <v>222</v>
      </c>
      <c r="M2600" s="2">
        <v>95350.0</v>
      </c>
      <c r="N2600" s="2" t="s">
        <v>21</v>
      </c>
    </row>
    <row r="2601" ht="15.75" customHeight="1">
      <c r="A2601" s="2">
        <v>2014.0</v>
      </c>
      <c r="B2601" s="2" t="s">
        <v>12546</v>
      </c>
      <c r="C2601" s="2" t="s">
        <v>12550</v>
      </c>
      <c r="D2601" s="2" t="str">
        <f>"(209)589-8540"</f>
        <v>(209)589-8540</v>
      </c>
      <c r="E2601" s="2" t="s">
        <v>12551</v>
      </c>
      <c r="F2601" s="2" t="s">
        <v>3022</v>
      </c>
      <c r="G2601" s="2" t="str">
        <f>"SR-3347"</f>
        <v>SR-3347</v>
      </c>
      <c r="H2601" s="2" t="s">
        <v>12552</v>
      </c>
      <c r="I2601" s="2" t="s">
        <v>12548</v>
      </c>
      <c r="K2601" s="2" t="s">
        <v>12549</v>
      </c>
      <c r="L2601" s="2" t="s">
        <v>222</v>
      </c>
      <c r="M2601" s="2">
        <v>95350.0</v>
      </c>
      <c r="N2601" s="2" t="s">
        <v>21</v>
      </c>
    </row>
    <row r="2602" ht="15.75" customHeight="1">
      <c r="A2602" s="2">
        <v>2014.0</v>
      </c>
      <c r="B2602" s="2" t="s">
        <v>12553</v>
      </c>
      <c r="C2602" s="2" t="s">
        <v>12554</v>
      </c>
      <c r="D2602" s="2" t="str">
        <f>"630-261-1148"</f>
        <v>630-261-1148</v>
      </c>
      <c r="E2602" s="2" t="s">
        <v>12555</v>
      </c>
      <c r="F2602" s="2" t="s">
        <v>12556</v>
      </c>
      <c r="G2602" s="2" t="str">
        <f>"SR-3675"</f>
        <v>SR-3675</v>
      </c>
      <c r="H2602" s="2" t="s">
        <v>12557</v>
      </c>
      <c r="I2602" s="2" t="s">
        <v>12558</v>
      </c>
      <c r="K2602" s="2" t="s">
        <v>12559</v>
      </c>
      <c r="L2602" s="2" t="s">
        <v>105</v>
      </c>
      <c r="M2602" s="2">
        <v>60148.0</v>
      </c>
      <c r="N2602" s="2" t="s">
        <v>21</v>
      </c>
    </row>
    <row r="2603" ht="15.75" customHeight="1">
      <c r="A2603" s="2">
        <v>2014.0</v>
      </c>
      <c r="B2603" s="2" t="s">
        <v>12560</v>
      </c>
      <c r="C2603" s="2" t="s">
        <v>12561</v>
      </c>
      <c r="D2603" s="2" t="str">
        <f>"303-530-4680"</f>
        <v>303-530-4680</v>
      </c>
      <c r="E2603" s="2" t="s">
        <v>453</v>
      </c>
      <c r="F2603" s="2" t="s">
        <v>12562</v>
      </c>
      <c r="G2603" s="2" t="str">
        <f>"SR-3678"</f>
        <v>SR-3678</v>
      </c>
      <c r="H2603" s="2" t="s">
        <v>12563</v>
      </c>
      <c r="I2603" s="2" t="s">
        <v>12564</v>
      </c>
      <c r="K2603" s="2" t="s">
        <v>5179</v>
      </c>
      <c r="L2603" s="2" t="s">
        <v>157</v>
      </c>
      <c r="M2603" s="2">
        <v>80301.0</v>
      </c>
      <c r="N2603" s="2" t="s">
        <v>21</v>
      </c>
    </row>
    <row r="2604" ht="15.75" customHeight="1">
      <c r="A2604" s="2">
        <v>2014.0</v>
      </c>
      <c r="B2604" s="2" t="s">
        <v>12565</v>
      </c>
      <c r="C2604" s="2" t="s">
        <v>12566</v>
      </c>
      <c r="D2604" s="2" t="str">
        <f>"4062596199"</f>
        <v>4062596199</v>
      </c>
      <c r="E2604" s="2" t="s">
        <v>1761</v>
      </c>
      <c r="F2604" s="2" t="s">
        <v>6661</v>
      </c>
      <c r="G2604" s="2" t="str">
        <f>"SR-3674"</f>
        <v>SR-3674</v>
      </c>
      <c r="H2604" s="2" t="s">
        <v>12567</v>
      </c>
      <c r="I2604" s="2" t="s">
        <v>12568</v>
      </c>
      <c r="K2604" s="2" t="s">
        <v>3548</v>
      </c>
      <c r="L2604" s="2" t="s">
        <v>2696</v>
      </c>
      <c r="M2604" s="2">
        <v>59105.0</v>
      </c>
      <c r="N2604" s="2" t="s">
        <v>21</v>
      </c>
    </row>
    <row r="2605" ht="15.75" customHeight="1">
      <c r="A2605" s="2">
        <v>2014.0</v>
      </c>
      <c r="B2605" s="2" t="s">
        <v>3911</v>
      </c>
      <c r="C2605" s="2" t="s">
        <v>3912</v>
      </c>
      <c r="D2605" s="2" t="str">
        <f>"850-668-3144"</f>
        <v>850-668-3144</v>
      </c>
      <c r="E2605" s="2" t="s">
        <v>843</v>
      </c>
      <c r="F2605" s="2" t="s">
        <v>3913</v>
      </c>
      <c r="G2605" s="2" t="str">
        <f>"SR-1052"</f>
        <v>SR-1052</v>
      </c>
      <c r="H2605" s="2" t="s">
        <v>3914</v>
      </c>
      <c r="I2605" s="2" t="s">
        <v>3915</v>
      </c>
      <c r="K2605" s="2" t="s">
        <v>2007</v>
      </c>
      <c r="L2605" s="2" t="s">
        <v>208</v>
      </c>
      <c r="M2605" s="2">
        <v>32309.0</v>
      </c>
      <c r="N2605" s="2" t="s">
        <v>21</v>
      </c>
    </row>
    <row r="2606" ht="15.75" customHeight="1">
      <c r="A2606" s="2">
        <v>2014.0</v>
      </c>
      <c r="B2606" s="2" t="s">
        <v>12569</v>
      </c>
      <c r="C2606" s="2" t="s">
        <v>12570</v>
      </c>
      <c r="D2606" s="2" t="str">
        <f>"317-385-7690"</f>
        <v>317-385-7690</v>
      </c>
      <c r="E2606" s="2" t="s">
        <v>5760</v>
      </c>
      <c r="F2606" s="2" t="s">
        <v>12571</v>
      </c>
      <c r="G2606" s="2" t="str">
        <f>"SR-3638"</f>
        <v>SR-3638</v>
      </c>
      <c r="H2606" s="2" t="s">
        <v>12572</v>
      </c>
      <c r="I2606" s="2" t="s">
        <v>12573</v>
      </c>
      <c r="K2606" s="2" t="s">
        <v>10683</v>
      </c>
      <c r="L2606" s="2" t="s">
        <v>149</v>
      </c>
      <c r="M2606" s="2">
        <v>46031.0</v>
      </c>
      <c r="N2606" s="2" t="s">
        <v>21</v>
      </c>
    </row>
    <row r="2607" ht="15.75" customHeight="1">
      <c r="A2607" s="2">
        <v>2014.0</v>
      </c>
      <c r="B2607" s="2" t="s">
        <v>12574</v>
      </c>
      <c r="C2607" s="2" t="s">
        <v>12574</v>
      </c>
      <c r="D2607" s="2" t="str">
        <f>"772-299-4527"</f>
        <v>772-299-4527</v>
      </c>
      <c r="E2607" s="2" t="s">
        <v>12575</v>
      </c>
      <c r="F2607" s="2" t="s">
        <v>6486</v>
      </c>
      <c r="G2607" s="2" t="str">
        <f>"SR-3423"</f>
        <v>SR-3423</v>
      </c>
      <c r="H2607" s="2" t="s">
        <v>12576</v>
      </c>
      <c r="I2607" s="2" t="s">
        <v>12577</v>
      </c>
      <c r="K2607" s="2" t="s">
        <v>11560</v>
      </c>
      <c r="L2607" s="2" t="s">
        <v>208</v>
      </c>
      <c r="M2607" s="2">
        <v>32967.0</v>
      </c>
      <c r="N2607" s="2" t="s">
        <v>21</v>
      </c>
    </row>
    <row r="2608" ht="15.75" customHeight="1">
      <c r="A2608" s="2">
        <v>2014.0</v>
      </c>
      <c r="B2608" s="2" t="s">
        <v>12578</v>
      </c>
      <c r="C2608" s="2" t="s">
        <v>12579</v>
      </c>
      <c r="D2608" s="2" t="str">
        <f>"3213052770"</f>
        <v>3213052770</v>
      </c>
      <c r="E2608" s="2" t="s">
        <v>12580</v>
      </c>
      <c r="F2608" s="2" t="s">
        <v>12581</v>
      </c>
      <c r="G2608" s="2" t="str">
        <f>"SR-3587"</f>
        <v>SR-3587</v>
      </c>
      <c r="H2608" s="2" t="s">
        <v>12582</v>
      </c>
      <c r="I2608" s="2" t="s">
        <v>12583</v>
      </c>
      <c r="K2608" s="2" t="s">
        <v>12584</v>
      </c>
      <c r="L2608" s="2" t="s">
        <v>208</v>
      </c>
      <c r="M2608" s="2">
        <v>32754.0</v>
      </c>
      <c r="N2608" s="2" t="s">
        <v>21</v>
      </c>
    </row>
    <row r="2609" ht="15.75" customHeight="1">
      <c r="A2609" s="2">
        <v>2014.0</v>
      </c>
      <c r="B2609" s="2" t="s">
        <v>5278</v>
      </c>
      <c r="C2609" s="2" t="s">
        <v>12585</v>
      </c>
      <c r="D2609" s="2" t="str">
        <f>"7208381736"</f>
        <v>7208381736</v>
      </c>
      <c r="E2609" s="2" t="s">
        <v>203</v>
      </c>
      <c r="F2609" s="2" t="s">
        <v>5281</v>
      </c>
      <c r="G2609" s="2" t="str">
        <f>"SR-2949"</f>
        <v>SR-2949</v>
      </c>
      <c r="H2609" s="2" t="s">
        <v>12586</v>
      </c>
      <c r="I2609" s="2" t="s">
        <v>12587</v>
      </c>
      <c r="K2609" s="2" t="s">
        <v>1520</v>
      </c>
      <c r="L2609" s="2" t="s">
        <v>157</v>
      </c>
      <c r="M2609" s="2">
        <v>80015.0</v>
      </c>
      <c r="N2609" s="2" t="s">
        <v>21</v>
      </c>
    </row>
    <row r="2610" ht="15.75" customHeight="1">
      <c r="A2610" s="2">
        <v>2014.0</v>
      </c>
      <c r="B2610" s="2" t="s">
        <v>12588</v>
      </c>
      <c r="C2610" s="2" t="s">
        <v>12589</v>
      </c>
      <c r="D2610" s="2" t="str">
        <f>"325-718-8340"</f>
        <v>325-718-8340</v>
      </c>
      <c r="E2610" s="2" t="s">
        <v>12590</v>
      </c>
      <c r="F2610" s="2" t="s">
        <v>12591</v>
      </c>
      <c r="G2610" s="2" t="str">
        <f>"SR-3682"</f>
        <v>SR-3682</v>
      </c>
      <c r="H2610" s="2" t="s">
        <v>12592</v>
      </c>
      <c r="I2610" s="2" t="s">
        <v>12593</v>
      </c>
      <c r="K2610" s="2" t="s">
        <v>12594</v>
      </c>
      <c r="L2610" s="2" t="s">
        <v>172</v>
      </c>
      <c r="M2610" s="2">
        <v>76384.0</v>
      </c>
      <c r="N2610" s="2" t="s">
        <v>21</v>
      </c>
    </row>
    <row r="2611" ht="15.75" customHeight="1">
      <c r="A2611" s="2">
        <v>2014.0</v>
      </c>
      <c r="B2611" s="2" t="s">
        <v>12595</v>
      </c>
      <c r="C2611" s="2" t="s">
        <v>12596</v>
      </c>
      <c r="D2611" s="2" t="str">
        <f>"310-750-7604"</f>
        <v>310-750-7604</v>
      </c>
      <c r="E2611" s="2" t="s">
        <v>3196</v>
      </c>
      <c r="F2611" s="2" t="s">
        <v>12597</v>
      </c>
      <c r="G2611" s="2" t="str">
        <f>"SR-3686"</f>
        <v>SR-3686</v>
      </c>
      <c r="H2611" s="2" t="s">
        <v>12598</v>
      </c>
      <c r="I2611" s="2" t="s">
        <v>12599</v>
      </c>
      <c r="K2611" s="2" t="s">
        <v>12600</v>
      </c>
      <c r="L2611" s="2" t="s">
        <v>222</v>
      </c>
      <c r="M2611" s="2">
        <v>90275.0</v>
      </c>
      <c r="N2611" s="2" t="s">
        <v>21</v>
      </c>
    </row>
    <row r="2612" ht="15.75" customHeight="1">
      <c r="A2612" s="2">
        <v>2014.0</v>
      </c>
      <c r="B2612" s="2" t="s">
        <v>12601</v>
      </c>
      <c r="C2612" s="2" t="s">
        <v>12602</v>
      </c>
      <c r="D2612" s="2" t="str">
        <f>"407-366-8684"</f>
        <v>407-366-8684</v>
      </c>
      <c r="E2612" s="2" t="s">
        <v>862</v>
      </c>
      <c r="F2612" s="2" t="s">
        <v>10024</v>
      </c>
      <c r="G2612" s="2" t="str">
        <f>"SR-3395"</f>
        <v>SR-3395</v>
      </c>
      <c r="H2612" s="2" t="s">
        <v>12603</v>
      </c>
      <c r="I2612" s="2" t="s">
        <v>12604</v>
      </c>
      <c r="K2612" s="2" t="s">
        <v>12605</v>
      </c>
      <c r="L2612" s="2" t="s">
        <v>208</v>
      </c>
      <c r="M2612" s="2">
        <v>32766.0</v>
      </c>
      <c r="N2612" s="2" t="s">
        <v>21</v>
      </c>
    </row>
    <row r="2613" ht="15.75" customHeight="1">
      <c r="A2613" s="2">
        <v>2014.0</v>
      </c>
      <c r="B2613" s="2" t="s">
        <v>12606</v>
      </c>
      <c r="C2613" s="2" t="s">
        <v>12606</v>
      </c>
      <c r="D2613" s="2" t="str">
        <f>"(937)-672-1205"</f>
        <v>(937)-672-1205</v>
      </c>
      <c r="E2613" s="2" t="s">
        <v>167</v>
      </c>
      <c r="F2613" s="2" t="s">
        <v>6532</v>
      </c>
      <c r="G2613" s="2" t="str">
        <f>"SR-3688"</f>
        <v>SR-3688</v>
      </c>
      <c r="H2613" s="2" t="s">
        <v>12607</v>
      </c>
      <c r="I2613" s="2" t="s">
        <v>12608</v>
      </c>
      <c r="K2613" s="2" t="s">
        <v>12609</v>
      </c>
      <c r="L2613" s="2" t="s">
        <v>344</v>
      </c>
      <c r="M2613" s="2">
        <v>45385.0</v>
      </c>
      <c r="N2613" s="2" t="s">
        <v>21</v>
      </c>
    </row>
    <row r="2614" ht="15.75" customHeight="1">
      <c r="A2614" s="2">
        <v>2014.0</v>
      </c>
      <c r="B2614" s="2" t="s">
        <v>12595</v>
      </c>
      <c r="C2614" s="2" t="s">
        <v>12610</v>
      </c>
      <c r="D2614" s="2" t="str">
        <f>"310-997-5695"</f>
        <v>310-997-5695</v>
      </c>
      <c r="E2614" s="2" t="s">
        <v>12611</v>
      </c>
      <c r="F2614" s="2" t="s">
        <v>12612</v>
      </c>
      <c r="G2614" s="2" t="str">
        <f>"SR-3692"</f>
        <v>SR-3692</v>
      </c>
      <c r="H2614" s="2" t="s">
        <v>12613</v>
      </c>
      <c r="I2614" s="2" t="s">
        <v>12614</v>
      </c>
      <c r="K2614" s="2" t="s">
        <v>5955</v>
      </c>
      <c r="L2614" s="2" t="s">
        <v>222</v>
      </c>
      <c r="M2614" s="2">
        <v>90503.0</v>
      </c>
      <c r="N2614" s="2" t="s">
        <v>21</v>
      </c>
    </row>
    <row r="2615" ht="15.75" customHeight="1">
      <c r="A2615" s="2">
        <v>2014.0</v>
      </c>
      <c r="B2615" s="2" t="s">
        <v>12595</v>
      </c>
      <c r="C2615" s="2" t="s">
        <v>12615</v>
      </c>
      <c r="D2615" s="2" t="str">
        <f>"310-749-0121"</f>
        <v>310-749-0121</v>
      </c>
      <c r="E2615" s="2" t="s">
        <v>2031</v>
      </c>
      <c r="F2615" s="2" t="s">
        <v>12616</v>
      </c>
      <c r="G2615" s="2" t="str">
        <f>"SR-3694"</f>
        <v>SR-3694</v>
      </c>
      <c r="H2615" s="2" t="s">
        <v>12617</v>
      </c>
      <c r="I2615" s="2" t="s">
        <v>12618</v>
      </c>
      <c r="K2615" s="2" t="s">
        <v>5955</v>
      </c>
      <c r="L2615" s="2" t="s">
        <v>222</v>
      </c>
      <c r="M2615" s="2">
        <v>90505.0</v>
      </c>
      <c r="N2615" s="2" t="s">
        <v>21</v>
      </c>
    </row>
    <row r="2616" ht="15.75" customHeight="1">
      <c r="A2616" s="2">
        <v>2014.0</v>
      </c>
      <c r="B2616" s="2" t="s">
        <v>12619</v>
      </c>
      <c r="C2616" s="2" t="s">
        <v>12619</v>
      </c>
      <c r="D2616" s="2" t="str">
        <f>"(772) 567-2471"</f>
        <v>(772) 567-2471</v>
      </c>
      <c r="E2616" s="2" t="s">
        <v>12620</v>
      </c>
      <c r="F2616" s="2" t="s">
        <v>12621</v>
      </c>
      <c r="G2616" s="2" t="str">
        <f>"SR-3399"</f>
        <v>SR-3399</v>
      </c>
      <c r="H2616" s="2" t="s">
        <v>12622</v>
      </c>
      <c r="I2616" s="2" t="s">
        <v>12623</v>
      </c>
      <c r="K2616" s="2" t="s">
        <v>11560</v>
      </c>
      <c r="L2616" s="2" t="s">
        <v>208</v>
      </c>
      <c r="M2616" s="2">
        <v>32960.0</v>
      </c>
      <c r="N2616" s="2" t="s">
        <v>21</v>
      </c>
    </row>
    <row r="2617" ht="15.75" customHeight="1">
      <c r="A2617" s="2">
        <v>2014.0</v>
      </c>
      <c r="B2617" s="2" t="s">
        <v>12624</v>
      </c>
      <c r="C2617" s="2" t="s">
        <v>12625</v>
      </c>
      <c r="D2617" s="2" t="str">
        <f>"763-493-5123"</f>
        <v>763-493-5123</v>
      </c>
      <c r="E2617" s="2" t="s">
        <v>4322</v>
      </c>
      <c r="F2617" s="2" t="s">
        <v>3411</v>
      </c>
      <c r="G2617" s="2" t="str">
        <f>"SR-3594"</f>
        <v>SR-3594</v>
      </c>
      <c r="H2617" s="2" t="s">
        <v>12626</v>
      </c>
      <c r="I2617" s="2" t="s">
        <v>12627</v>
      </c>
      <c r="K2617" s="2" t="s">
        <v>8609</v>
      </c>
      <c r="L2617" s="2" t="s">
        <v>62</v>
      </c>
      <c r="M2617" s="2">
        <v>55369.0</v>
      </c>
      <c r="N2617" s="2" t="s">
        <v>21</v>
      </c>
    </row>
    <row r="2618" ht="15.75" customHeight="1">
      <c r="A2618" s="2">
        <v>2014.0</v>
      </c>
      <c r="B2618" s="2" t="s">
        <v>12628</v>
      </c>
      <c r="C2618" s="2" t="s">
        <v>12629</v>
      </c>
      <c r="D2618" s="2" t="str">
        <f>"(864) 423-3001"</f>
        <v>(864) 423-3001</v>
      </c>
      <c r="E2618" s="2" t="s">
        <v>137</v>
      </c>
      <c r="F2618" s="2" t="s">
        <v>12630</v>
      </c>
      <c r="G2618" s="2" t="str">
        <f>"SR-3649"</f>
        <v>SR-3649</v>
      </c>
      <c r="H2618" s="2" t="s">
        <v>12631</v>
      </c>
      <c r="I2618" s="2" t="s">
        <v>12632</v>
      </c>
      <c r="K2618" s="2" t="s">
        <v>54</v>
      </c>
      <c r="L2618" s="2" t="s">
        <v>55</v>
      </c>
      <c r="M2618" s="2">
        <v>29615.0</v>
      </c>
      <c r="N2618" s="2" t="s">
        <v>21</v>
      </c>
    </row>
    <row r="2619" ht="15.75" customHeight="1">
      <c r="A2619" s="2">
        <v>2014.0</v>
      </c>
      <c r="B2619" s="2" t="s">
        <v>12595</v>
      </c>
      <c r="C2619" s="2" t="s">
        <v>12633</v>
      </c>
      <c r="D2619" s="2" t="str">
        <f>"310-849-6694"</f>
        <v>310-849-6694</v>
      </c>
      <c r="E2619" s="2" t="s">
        <v>9075</v>
      </c>
      <c r="F2619" s="2" t="s">
        <v>12634</v>
      </c>
      <c r="G2619" s="2" t="str">
        <f>"SR-3685"</f>
        <v>SR-3685</v>
      </c>
      <c r="H2619" s="2" t="s">
        <v>12635</v>
      </c>
      <c r="I2619" s="2" t="s">
        <v>12636</v>
      </c>
      <c r="K2619" s="2" t="s">
        <v>5955</v>
      </c>
      <c r="L2619" s="2" t="s">
        <v>222</v>
      </c>
      <c r="M2619" s="2">
        <v>90504.0</v>
      </c>
      <c r="N2619" s="2" t="s">
        <v>21</v>
      </c>
    </row>
    <row r="2620" ht="15.75" customHeight="1">
      <c r="A2620" s="2">
        <v>2014.0</v>
      </c>
      <c r="B2620" s="2" t="s">
        <v>12637</v>
      </c>
      <c r="C2620" s="2" t="s">
        <v>12638</v>
      </c>
      <c r="D2620" s="2" t="str">
        <f>"864-423-8001"</f>
        <v>864-423-8001</v>
      </c>
      <c r="E2620" s="2" t="s">
        <v>453</v>
      </c>
      <c r="F2620" s="2" t="s">
        <v>12630</v>
      </c>
      <c r="G2620" s="2" t="str">
        <f>"SR-3646"</f>
        <v>SR-3646</v>
      </c>
      <c r="H2620" s="2" t="s">
        <v>12639</v>
      </c>
      <c r="I2620" s="2" t="s">
        <v>12632</v>
      </c>
      <c r="K2620" s="2" t="s">
        <v>54</v>
      </c>
      <c r="L2620" s="2" t="s">
        <v>55</v>
      </c>
      <c r="M2620" s="2">
        <v>29615.0</v>
      </c>
      <c r="N2620" s="2" t="s">
        <v>21</v>
      </c>
    </row>
    <row r="2621" ht="15.75" customHeight="1">
      <c r="A2621" s="2">
        <v>2014.0</v>
      </c>
      <c r="B2621" s="2" t="s">
        <v>12640</v>
      </c>
      <c r="C2621" s="2" t="s">
        <v>12641</v>
      </c>
      <c r="D2621" s="2" t="str">
        <f>"406-585-3346"</f>
        <v>406-585-3346</v>
      </c>
      <c r="E2621" s="2" t="s">
        <v>456</v>
      </c>
      <c r="F2621" s="2" t="s">
        <v>11424</v>
      </c>
      <c r="G2621" s="2" t="str">
        <f>"SR-3687"</f>
        <v>SR-3687</v>
      </c>
      <c r="H2621" s="2" t="s">
        <v>12642</v>
      </c>
      <c r="I2621" s="2" t="s">
        <v>12643</v>
      </c>
      <c r="K2621" s="2" t="s">
        <v>12644</v>
      </c>
      <c r="L2621" s="2" t="s">
        <v>2696</v>
      </c>
      <c r="M2621" s="2">
        <v>59715.0</v>
      </c>
      <c r="N2621" s="2" t="s">
        <v>21</v>
      </c>
    </row>
    <row r="2622" ht="15.75" customHeight="1">
      <c r="A2622" s="2">
        <v>2014.0</v>
      </c>
      <c r="B2622" s="2" t="s">
        <v>12595</v>
      </c>
      <c r="C2622" s="2" t="s">
        <v>12645</v>
      </c>
      <c r="D2622" s="2" t="str">
        <f>"310-418-4698"</f>
        <v>310-418-4698</v>
      </c>
      <c r="E2622" s="2" t="s">
        <v>1803</v>
      </c>
      <c r="F2622" s="2" t="s">
        <v>12634</v>
      </c>
      <c r="G2622" s="2" t="str">
        <f>"SR-3697"</f>
        <v>SR-3697</v>
      </c>
      <c r="H2622" s="2" t="s">
        <v>12646</v>
      </c>
      <c r="I2622" s="2" t="s">
        <v>12636</v>
      </c>
      <c r="K2622" s="2" t="s">
        <v>5955</v>
      </c>
      <c r="L2622" s="2" t="s">
        <v>222</v>
      </c>
      <c r="M2622" s="2">
        <v>90504.0</v>
      </c>
      <c r="N2622" s="2" t="s">
        <v>21</v>
      </c>
    </row>
    <row r="2623" ht="15.75" customHeight="1">
      <c r="A2623" s="2">
        <v>2014.0</v>
      </c>
      <c r="B2623" s="2" t="s">
        <v>12595</v>
      </c>
      <c r="C2623" s="2" t="s">
        <v>12647</v>
      </c>
      <c r="D2623" s="2" t="str">
        <f>"213-503-0923"</f>
        <v>213-503-0923</v>
      </c>
      <c r="E2623" s="2" t="s">
        <v>339</v>
      </c>
      <c r="F2623" s="2" t="s">
        <v>12648</v>
      </c>
      <c r="G2623" s="2" t="str">
        <f>"SR-3699"</f>
        <v>SR-3699</v>
      </c>
      <c r="H2623" s="2" t="s">
        <v>12649</v>
      </c>
      <c r="I2623" s="2" t="s">
        <v>12650</v>
      </c>
      <c r="K2623" s="2" t="s">
        <v>12651</v>
      </c>
      <c r="L2623" s="2" t="s">
        <v>222</v>
      </c>
      <c r="M2623" s="2">
        <v>90247.0</v>
      </c>
      <c r="N2623" s="2" t="s">
        <v>21</v>
      </c>
    </row>
    <row r="2624" ht="15.75" customHeight="1">
      <c r="A2624" s="2">
        <v>2014.0</v>
      </c>
      <c r="B2624" s="2" t="s">
        <v>12595</v>
      </c>
      <c r="C2624" s="2" t="s">
        <v>12652</v>
      </c>
      <c r="D2624" s="2" t="str">
        <f>"424-263-7458"</f>
        <v>424-263-7458</v>
      </c>
      <c r="E2624" s="2" t="s">
        <v>12653</v>
      </c>
      <c r="F2624" s="2" t="s">
        <v>12654</v>
      </c>
      <c r="G2624" s="2" t="str">
        <f>"SR-3701"</f>
        <v>SR-3701</v>
      </c>
      <c r="H2624" s="2" t="s">
        <v>12655</v>
      </c>
      <c r="I2624" s="2" t="s">
        <v>12656</v>
      </c>
      <c r="K2624" s="2" t="s">
        <v>5955</v>
      </c>
      <c r="L2624" s="2" t="s">
        <v>222</v>
      </c>
      <c r="M2624" s="2">
        <v>90505.0</v>
      </c>
      <c r="N2624" s="2" t="s">
        <v>21</v>
      </c>
    </row>
    <row r="2625" ht="15.75" customHeight="1">
      <c r="A2625" s="2">
        <v>2014.0</v>
      </c>
      <c r="B2625" s="2" t="s">
        <v>12657</v>
      </c>
      <c r="C2625" s="2" t="s">
        <v>12657</v>
      </c>
      <c r="D2625" s="2" t="str">
        <f>"937-303-2732"</f>
        <v>937-303-2732</v>
      </c>
      <c r="E2625" s="2" t="s">
        <v>4990</v>
      </c>
      <c r="F2625" s="2" t="s">
        <v>12658</v>
      </c>
      <c r="G2625" s="2" t="str">
        <f>"SR-3585"</f>
        <v>SR-3585</v>
      </c>
      <c r="H2625" s="2" t="s">
        <v>12659</v>
      </c>
      <c r="I2625" s="2" t="s">
        <v>12660</v>
      </c>
      <c r="K2625" s="2" t="s">
        <v>12661</v>
      </c>
      <c r="L2625" s="2" t="s">
        <v>344</v>
      </c>
      <c r="M2625" s="2">
        <v>43040.0</v>
      </c>
      <c r="N2625" s="2" t="s">
        <v>21</v>
      </c>
    </row>
    <row r="2626" ht="15.75" customHeight="1">
      <c r="A2626" s="2">
        <v>2014.0</v>
      </c>
      <c r="B2626" s="2" t="s">
        <v>12662</v>
      </c>
      <c r="C2626" s="2" t="s">
        <v>12662</v>
      </c>
      <c r="D2626" s="2" t="str">
        <f>"425-412-0211"</f>
        <v>425-412-0211</v>
      </c>
      <c r="E2626" s="2" t="s">
        <v>7584</v>
      </c>
      <c r="F2626" s="2" t="s">
        <v>2771</v>
      </c>
      <c r="G2626" s="2" t="str">
        <f>"SR-3643"</f>
        <v>SR-3643</v>
      </c>
      <c r="H2626" s="2" t="s">
        <v>12663</v>
      </c>
      <c r="I2626" s="2" t="s">
        <v>12664</v>
      </c>
      <c r="K2626" s="2" t="s">
        <v>965</v>
      </c>
      <c r="L2626" s="2" t="s">
        <v>86</v>
      </c>
      <c r="M2626" s="2">
        <v>98036.0</v>
      </c>
      <c r="N2626" s="2" t="s">
        <v>21</v>
      </c>
    </row>
    <row r="2627" ht="15.75" customHeight="1">
      <c r="A2627" s="2">
        <v>2014.0</v>
      </c>
      <c r="B2627" s="2" t="s">
        <v>12595</v>
      </c>
      <c r="C2627" s="2" t="s">
        <v>12665</v>
      </c>
      <c r="D2627" s="2" t="str">
        <f>"310-755-4254"</f>
        <v>310-755-4254</v>
      </c>
      <c r="E2627" s="2" t="s">
        <v>4111</v>
      </c>
      <c r="F2627" s="2" t="s">
        <v>12666</v>
      </c>
      <c r="G2627" s="2" t="str">
        <f>"SR-3703"</f>
        <v>SR-3703</v>
      </c>
      <c r="H2627" s="2" t="s">
        <v>12667</v>
      </c>
      <c r="I2627" s="2" t="s">
        <v>12668</v>
      </c>
      <c r="K2627" s="2" t="s">
        <v>5955</v>
      </c>
      <c r="L2627" s="2" t="s">
        <v>222</v>
      </c>
      <c r="M2627" s="2">
        <v>90503.0</v>
      </c>
      <c r="N2627" s="2" t="s">
        <v>21</v>
      </c>
    </row>
    <row r="2628" ht="15.75" customHeight="1">
      <c r="A2628" s="2">
        <v>2014.0</v>
      </c>
      <c r="B2628" s="2" t="s">
        <v>12595</v>
      </c>
      <c r="C2628" s="2" t="s">
        <v>12669</v>
      </c>
      <c r="D2628" s="2" t="str">
        <f>"310-617-9669"</f>
        <v>310-617-9669</v>
      </c>
      <c r="E2628" s="2" t="s">
        <v>339</v>
      </c>
      <c r="F2628" s="2" t="s">
        <v>6824</v>
      </c>
      <c r="G2628" s="2" t="str">
        <f>"SR-3704"</f>
        <v>SR-3704</v>
      </c>
      <c r="H2628" s="2" t="s">
        <v>12670</v>
      </c>
      <c r="I2628" s="2" t="s">
        <v>12671</v>
      </c>
      <c r="K2628" s="2" t="s">
        <v>5955</v>
      </c>
      <c r="L2628" s="2" t="s">
        <v>222</v>
      </c>
      <c r="M2628" s="2">
        <v>90505.0</v>
      </c>
      <c r="N2628" s="2" t="s">
        <v>21</v>
      </c>
    </row>
    <row r="2629" ht="15.75" customHeight="1">
      <c r="A2629" s="2">
        <v>2014.0</v>
      </c>
      <c r="B2629" s="2" t="s">
        <v>12672</v>
      </c>
      <c r="C2629" s="2" t="s">
        <v>12672</v>
      </c>
      <c r="D2629" s="2" t="str">
        <f>"4109755023"</f>
        <v>4109755023</v>
      </c>
      <c r="E2629" s="2" t="s">
        <v>1263</v>
      </c>
      <c r="F2629" s="2" t="s">
        <v>12673</v>
      </c>
      <c r="G2629" s="2" t="str">
        <f>"SR-3665"</f>
        <v>SR-3665</v>
      </c>
      <c r="H2629" s="2" t="s">
        <v>12674</v>
      </c>
      <c r="I2629" s="2" t="s">
        <v>12675</v>
      </c>
      <c r="K2629" s="2" t="s">
        <v>12676</v>
      </c>
      <c r="L2629" s="2" t="s">
        <v>1868</v>
      </c>
      <c r="M2629" s="2">
        <v>21012.0</v>
      </c>
      <c r="N2629" s="2" t="s">
        <v>21</v>
      </c>
    </row>
    <row r="2630" ht="15.75" customHeight="1">
      <c r="A2630" s="2">
        <v>2014.0</v>
      </c>
      <c r="B2630" s="2" t="s">
        <v>12677</v>
      </c>
      <c r="C2630" s="2" t="s">
        <v>12678</v>
      </c>
      <c r="D2630" s="2" t="str">
        <f>"5158641606"</f>
        <v>5158641606</v>
      </c>
      <c r="E2630" s="2" t="s">
        <v>1946</v>
      </c>
      <c r="F2630" s="2" t="s">
        <v>12679</v>
      </c>
      <c r="G2630" s="2" t="str">
        <f>"SR-3700"</f>
        <v>SR-3700</v>
      </c>
      <c r="H2630" s="2" t="s">
        <v>12680</v>
      </c>
      <c r="I2630" s="2" t="s">
        <v>12681</v>
      </c>
      <c r="K2630" s="2" t="s">
        <v>2066</v>
      </c>
      <c r="L2630" s="2" t="s">
        <v>560</v>
      </c>
      <c r="M2630" s="2">
        <v>50265.0</v>
      </c>
      <c r="N2630" s="2" t="s">
        <v>21</v>
      </c>
    </row>
    <row r="2631" ht="15.75" customHeight="1">
      <c r="A2631" s="2">
        <v>2014.0</v>
      </c>
      <c r="B2631" s="2" t="s">
        <v>12682</v>
      </c>
      <c r="C2631" s="2" t="s">
        <v>12682</v>
      </c>
      <c r="D2631" s="2" t="str">
        <f>"307 696-7925"</f>
        <v>307 696-7925</v>
      </c>
      <c r="E2631" s="2" t="s">
        <v>485</v>
      </c>
      <c r="F2631" s="2" t="s">
        <v>12683</v>
      </c>
      <c r="G2631" s="2" t="str">
        <f>"SR-3684"</f>
        <v>SR-3684</v>
      </c>
      <c r="H2631" s="2" t="s">
        <v>12684</v>
      </c>
      <c r="I2631" s="2" t="s">
        <v>12685</v>
      </c>
      <c r="K2631" s="2" t="s">
        <v>12686</v>
      </c>
      <c r="L2631" s="2" t="s">
        <v>1540</v>
      </c>
      <c r="M2631" s="2">
        <v>82718.0</v>
      </c>
      <c r="N2631" s="2" t="s">
        <v>21</v>
      </c>
    </row>
    <row r="2632" ht="15.75" customHeight="1">
      <c r="A2632" s="2">
        <v>2014.0</v>
      </c>
      <c r="B2632" s="2" t="s">
        <v>12595</v>
      </c>
      <c r="C2632" s="2" t="s">
        <v>12687</v>
      </c>
      <c r="D2632" s="2" t="str">
        <f>"310-944-4280"</f>
        <v>310-944-4280</v>
      </c>
      <c r="E2632" s="2" t="s">
        <v>926</v>
      </c>
      <c r="F2632" s="2" t="s">
        <v>12688</v>
      </c>
      <c r="G2632" s="2" t="str">
        <f>"SR-3705"</f>
        <v>SR-3705</v>
      </c>
      <c r="H2632" s="2" t="s">
        <v>12689</v>
      </c>
      <c r="I2632" s="2" t="s">
        <v>12690</v>
      </c>
      <c r="K2632" s="2" t="s">
        <v>5955</v>
      </c>
      <c r="L2632" s="2" t="s">
        <v>222</v>
      </c>
      <c r="M2632" s="2">
        <v>90503.0</v>
      </c>
      <c r="N2632" s="2" t="s">
        <v>21</v>
      </c>
    </row>
    <row r="2633" ht="15.75" customHeight="1">
      <c r="A2633" s="2">
        <v>2014.0</v>
      </c>
      <c r="B2633" s="2" t="s">
        <v>12691</v>
      </c>
      <c r="C2633" s="2" t="s">
        <v>12692</v>
      </c>
      <c r="D2633" s="2" t="str">
        <f>"704-882-9618"</f>
        <v>704-882-9618</v>
      </c>
      <c r="E2633" s="2" t="s">
        <v>12693</v>
      </c>
      <c r="F2633" s="2" t="s">
        <v>12694</v>
      </c>
      <c r="G2633" s="2" t="str">
        <f>"SR-3672"</f>
        <v>SR-3672</v>
      </c>
      <c r="H2633" s="2" t="s">
        <v>12695</v>
      </c>
      <c r="I2633" s="2" t="s">
        <v>12696</v>
      </c>
      <c r="K2633" s="2" t="s">
        <v>12697</v>
      </c>
      <c r="L2633" s="2" t="s">
        <v>20</v>
      </c>
      <c r="M2633" s="2">
        <v>28079.0</v>
      </c>
      <c r="N2633" s="2" t="s">
        <v>21</v>
      </c>
    </row>
    <row r="2634" ht="15.75" customHeight="1">
      <c r="A2634" s="2">
        <v>2014.0</v>
      </c>
      <c r="B2634" s="2" t="s">
        <v>12601</v>
      </c>
      <c r="C2634" s="2" t="s">
        <v>12698</v>
      </c>
      <c r="D2634" s="2" t="str">
        <f>"407-366-9798"</f>
        <v>407-366-9798</v>
      </c>
      <c r="E2634" s="2" t="s">
        <v>2412</v>
      </c>
      <c r="F2634" s="2" t="s">
        <v>12699</v>
      </c>
      <c r="G2634" s="2" t="str">
        <f>"SR-3394"</f>
        <v>SR-3394</v>
      </c>
      <c r="H2634" s="2" t="s">
        <v>12700</v>
      </c>
      <c r="I2634" s="2" t="s">
        <v>12701</v>
      </c>
      <c r="K2634" s="2" t="s">
        <v>12702</v>
      </c>
      <c r="L2634" s="2" t="s">
        <v>208</v>
      </c>
      <c r="M2634" s="2">
        <v>32765.0</v>
      </c>
      <c r="N2634" s="2" t="s">
        <v>21</v>
      </c>
    </row>
    <row r="2635" ht="15.75" customHeight="1">
      <c r="A2635" s="2">
        <v>2014.0</v>
      </c>
      <c r="B2635" s="2" t="s">
        <v>12703</v>
      </c>
      <c r="C2635" s="2" t="s">
        <v>12704</v>
      </c>
      <c r="D2635" s="2" t="str">
        <f>"785-727-8529"</f>
        <v>785-727-8529</v>
      </c>
      <c r="E2635" s="2" t="s">
        <v>12705</v>
      </c>
      <c r="F2635" s="2" t="s">
        <v>12706</v>
      </c>
      <c r="G2635" s="2" t="str">
        <f>"SR-3702"</f>
        <v>SR-3702</v>
      </c>
      <c r="H2635" s="2" t="s">
        <v>12707</v>
      </c>
      <c r="I2635" s="2" t="s">
        <v>12708</v>
      </c>
      <c r="K2635" s="2" t="s">
        <v>781</v>
      </c>
      <c r="L2635" s="2" t="s">
        <v>272</v>
      </c>
      <c r="M2635" s="2">
        <v>67410.0</v>
      </c>
      <c r="N2635" s="2" t="s">
        <v>21</v>
      </c>
    </row>
    <row r="2636" ht="15.75" customHeight="1">
      <c r="A2636" s="2">
        <v>2014.0</v>
      </c>
      <c r="B2636" s="2" t="s">
        <v>12709</v>
      </c>
      <c r="C2636" s="2" t="s">
        <v>12709</v>
      </c>
      <c r="D2636" s="2" t="str">
        <f>"850-656-4715"</f>
        <v>850-656-4715</v>
      </c>
      <c r="E2636" s="2" t="s">
        <v>282</v>
      </c>
      <c r="F2636" s="2" t="s">
        <v>12710</v>
      </c>
      <c r="G2636" s="2" t="str">
        <f>"SR-3706"</f>
        <v>SR-3706</v>
      </c>
      <c r="H2636" s="2" t="s">
        <v>12711</v>
      </c>
      <c r="I2636" s="2" t="s">
        <v>12712</v>
      </c>
      <c r="K2636" s="2" t="s">
        <v>2007</v>
      </c>
      <c r="L2636" s="2" t="s">
        <v>208</v>
      </c>
      <c r="M2636" s="2">
        <v>32311.0</v>
      </c>
      <c r="N2636" s="2" t="s">
        <v>21</v>
      </c>
    </row>
    <row r="2637" ht="15.75" customHeight="1">
      <c r="A2637" s="2">
        <v>2014.0</v>
      </c>
      <c r="B2637" s="2" t="s">
        <v>12713</v>
      </c>
      <c r="C2637" s="2" t="s">
        <v>12714</v>
      </c>
      <c r="D2637" s="2" t="str">
        <f>"704 401 9755"</f>
        <v>704 401 9755</v>
      </c>
      <c r="E2637" s="2" t="s">
        <v>534</v>
      </c>
      <c r="F2637" s="2" t="s">
        <v>12715</v>
      </c>
      <c r="G2637" s="2" t="str">
        <f>"SR-3710"</f>
        <v>SR-3710</v>
      </c>
      <c r="H2637" s="2" t="s">
        <v>12716</v>
      </c>
      <c r="I2637" s="2" t="s">
        <v>12717</v>
      </c>
      <c r="K2637" s="2" t="s">
        <v>5028</v>
      </c>
      <c r="L2637" s="2" t="s">
        <v>20</v>
      </c>
      <c r="M2637" s="2">
        <v>28078.0</v>
      </c>
      <c r="N2637" s="2" t="s">
        <v>21</v>
      </c>
    </row>
    <row r="2638" ht="15.75" customHeight="1">
      <c r="A2638" s="2">
        <v>2014.0</v>
      </c>
      <c r="B2638" s="2" t="s">
        <v>8001</v>
      </c>
      <c r="C2638" s="2" t="s">
        <v>8006</v>
      </c>
      <c r="D2638" s="2" t="str">
        <f>"337-528-3298"</f>
        <v>337-528-3298</v>
      </c>
      <c r="E2638" s="2" t="s">
        <v>2306</v>
      </c>
      <c r="F2638" s="2" t="s">
        <v>8007</v>
      </c>
      <c r="G2638" s="2" t="str">
        <f>"SR-2184"</f>
        <v>SR-2184</v>
      </c>
      <c r="H2638" s="2" t="s">
        <v>8008</v>
      </c>
      <c r="I2638" s="2" t="s">
        <v>8009</v>
      </c>
      <c r="K2638" s="2" t="s">
        <v>8005</v>
      </c>
      <c r="L2638" s="2" t="s">
        <v>715</v>
      </c>
      <c r="M2638" s="2">
        <v>70663.0</v>
      </c>
      <c r="N2638" s="2" t="s">
        <v>21</v>
      </c>
    </row>
    <row r="2639" ht="15.75" customHeight="1">
      <c r="A2639" s="2">
        <v>2014.0</v>
      </c>
      <c r="B2639" s="2" t="s">
        <v>12718</v>
      </c>
      <c r="C2639" s="2" t="s">
        <v>12718</v>
      </c>
      <c r="D2639" s="2" t="str">
        <f>"5157717395"</f>
        <v>5157717395</v>
      </c>
      <c r="E2639" s="2" t="s">
        <v>386</v>
      </c>
      <c r="F2639" s="2" t="s">
        <v>12719</v>
      </c>
      <c r="G2639" s="2" t="str">
        <f>"SR-3223"</f>
        <v>SR-3223</v>
      </c>
      <c r="H2639" s="2" t="s">
        <v>12720</v>
      </c>
      <c r="I2639" s="2" t="s">
        <v>12721</v>
      </c>
      <c r="K2639" s="2" t="s">
        <v>2066</v>
      </c>
      <c r="L2639" s="2" t="s">
        <v>560</v>
      </c>
      <c r="M2639" s="2">
        <v>50266.0</v>
      </c>
      <c r="N2639" s="2" t="s">
        <v>21</v>
      </c>
    </row>
    <row r="2640" ht="15.75" customHeight="1">
      <c r="A2640" s="2">
        <v>2014.0</v>
      </c>
      <c r="B2640" s="2" t="s">
        <v>12722</v>
      </c>
      <c r="C2640" s="2" t="s">
        <v>12722</v>
      </c>
      <c r="D2640" s="2" t="str">
        <f>"01090346767"</f>
        <v>01090346767</v>
      </c>
      <c r="E2640" s="2" t="s">
        <v>12723</v>
      </c>
      <c r="F2640" s="2" t="s">
        <v>12724</v>
      </c>
      <c r="G2640" s="2" t="str">
        <f>"SR-3467"</f>
        <v>SR-3467</v>
      </c>
      <c r="H2640" s="2" t="s">
        <v>12725</v>
      </c>
      <c r="I2640" s="2" t="s">
        <v>12726</v>
      </c>
      <c r="K2640" s="2" t="s">
        <v>12727</v>
      </c>
      <c r="L2640" s="2" t="s">
        <v>12728</v>
      </c>
      <c r="M2640" s="2" t="s">
        <v>12729</v>
      </c>
      <c r="N2640" s="2" t="s">
        <v>1626</v>
      </c>
    </row>
    <row r="2641" ht="15.75" customHeight="1">
      <c r="A2641" s="2">
        <v>2014.0</v>
      </c>
      <c r="B2641" s="2" t="s">
        <v>7184</v>
      </c>
      <c r="C2641" s="2" t="s">
        <v>7198</v>
      </c>
      <c r="D2641" s="2" t="str">
        <f>"937-728-7567"</f>
        <v>937-728-7567</v>
      </c>
      <c r="E2641" s="2" t="s">
        <v>1114</v>
      </c>
      <c r="F2641" s="2" t="s">
        <v>7185</v>
      </c>
      <c r="G2641" s="2" t="str">
        <f>"SR-3667"</f>
        <v>SR-3667</v>
      </c>
      <c r="H2641" s="2" t="s">
        <v>7199</v>
      </c>
      <c r="I2641" s="2" t="s">
        <v>12730</v>
      </c>
      <c r="K2641" s="2" t="s">
        <v>3671</v>
      </c>
      <c r="L2641" s="2" t="s">
        <v>344</v>
      </c>
      <c r="M2641" s="2">
        <v>45113.0</v>
      </c>
      <c r="N2641" s="2" t="s">
        <v>21</v>
      </c>
    </row>
    <row r="2642" ht="15.75" customHeight="1">
      <c r="A2642" s="2">
        <v>2014.0</v>
      </c>
      <c r="B2642" s="2" t="s">
        <v>12731</v>
      </c>
      <c r="C2642" s="2" t="s">
        <v>12732</v>
      </c>
      <c r="D2642" s="2" t="str">
        <f>"256-268-0275"</f>
        <v>256-268-0275</v>
      </c>
      <c r="E2642" s="2" t="s">
        <v>261</v>
      </c>
      <c r="F2642" s="2" t="s">
        <v>3144</v>
      </c>
      <c r="G2642" s="2" t="str">
        <f>"SR-3709"</f>
        <v>SR-3709</v>
      </c>
      <c r="H2642" s="2" t="s">
        <v>12733</v>
      </c>
      <c r="I2642" s="2" t="s">
        <v>12734</v>
      </c>
      <c r="K2642" s="2" t="s">
        <v>12735</v>
      </c>
      <c r="L2642" s="2" t="s">
        <v>539</v>
      </c>
      <c r="M2642" s="2">
        <v>35014.0</v>
      </c>
      <c r="N2642" s="2" t="s">
        <v>21</v>
      </c>
    </row>
    <row r="2643" ht="15.75" customHeight="1">
      <c r="A2643" s="2">
        <v>2014.0</v>
      </c>
      <c r="B2643" s="2" t="s">
        <v>12736</v>
      </c>
      <c r="C2643" s="2" t="s">
        <v>12736</v>
      </c>
      <c r="D2643" s="2" t="str">
        <f>"803-760-5350"</f>
        <v>803-760-5350</v>
      </c>
      <c r="E2643" s="2" t="s">
        <v>12737</v>
      </c>
      <c r="F2643" s="2" t="s">
        <v>457</v>
      </c>
      <c r="G2643" s="2" t="str">
        <f>"SR-3477"</f>
        <v>SR-3477</v>
      </c>
      <c r="H2643" s="2" t="s">
        <v>12738</v>
      </c>
      <c r="I2643" s="2" t="s">
        <v>12739</v>
      </c>
      <c r="K2643" s="2" t="s">
        <v>2750</v>
      </c>
      <c r="L2643" s="2" t="s">
        <v>55</v>
      </c>
      <c r="M2643" s="2">
        <v>29209.0</v>
      </c>
      <c r="N2643" s="2" t="s">
        <v>21</v>
      </c>
    </row>
    <row r="2644" ht="15.75" customHeight="1">
      <c r="A2644" s="2">
        <v>2014.0</v>
      </c>
      <c r="B2644" s="2" t="s">
        <v>12740</v>
      </c>
      <c r="C2644" s="2" t="s">
        <v>12740</v>
      </c>
      <c r="D2644" s="2" t="str">
        <f>"2563436370"</f>
        <v>2563436370</v>
      </c>
      <c r="E2644" s="2" t="s">
        <v>447</v>
      </c>
      <c r="F2644" s="2" t="s">
        <v>711</v>
      </c>
      <c r="G2644" s="2" t="str">
        <f>"SR-3673"</f>
        <v>SR-3673</v>
      </c>
      <c r="H2644" s="2" t="s">
        <v>5566</v>
      </c>
      <c r="I2644" s="2" t="s">
        <v>12741</v>
      </c>
      <c r="K2644" s="2" t="s">
        <v>5568</v>
      </c>
      <c r="L2644" s="2" t="s">
        <v>539</v>
      </c>
      <c r="M2644" s="2">
        <v>35131.0</v>
      </c>
      <c r="N2644" s="2" t="s">
        <v>21</v>
      </c>
    </row>
    <row r="2645" ht="15.75" customHeight="1">
      <c r="A2645" s="2">
        <v>2014.0</v>
      </c>
      <c r="B2645" s="2" t="s">
        <v>12742</v>
      </c>
      <c r="C2645" s="2" t="s">
        <v>12743</v>
      </c>
      <c r="D2645" s="2" t="str">
        <f>"561-362-4466"</f>
        <v>561-362-4466</v>
      </c>
      <c r="E2645" s="2" t="s">
        <v>137</v>
      </c>
      <c r="F2645" s="2" t="s">
        <v>12744</v>
      </c>
      <c r="G2645" s="2" t="str">
        <f>"SR-2442"</f>
        <v>SR-2442</v>
      </c>
      <c r="H2645" s="2" t="s">
        <v>12745</v>
      </c>
      <c r="I2645" s="2" t="s">
        <v>12746</v>
      </c>
      <c r="K2645" s="2" t="s">
        <v>2273</v>
      </c>
      <c r="L2645" s="2" t="s">
        <v>208</v>
      </c>
      <c r="M2645" s="2">
        <v>33432.0</v>
      </c>
      <c r="N2645" s="2" t="s">
        <v>21</v>
      </c>
    </row>
    <row r="2646" ht="15.75" customHeight="1">
      <c r="A2646" s="2">
        <v>2014.0</v>
      </c>
      <c r="B2646" s="2" t="s">
        <v>12747</v>
      </c>
      <c r="C2646" s="2" t="s">
        <v>12748</v>
      </c>
      <c r="D2646" s="2" t="str">
        <f>"317-76-9842"</f>
        <v>317-76-9842</v>
      </c>
      <c r="E2646" s="2" t="s">
        <v>417</v>
      </c>
      <c r="F2646" s="2" t="s">
        <v>12749</v>
      </c>
      <c r="G2646" s="2" t="str">
        <f>"SR-3051"</f>
        <v>SR-3051</v>
      </c>
      <c r="H2646" s="2" t="s">
        <v>12750</v>
      </c>
      <c r="I2646" s="2" t="s">
        <v>12751</v>
      </c>
      <c r="K2646" s="2" t="s">
        <v>12752</v>
      </c>
      <c r="L2646" s="2" t="s">
        <v>149</v>
      </c>
      <c r="M2646" s="2">
        <v>46062.0</v>
      </c>
      <c r="N2646" s="2" t="s">
        <v>21</v>
      </c>
    </row>
    <row r="2647" ht="15.75" customHeight="1">
      <c r="A2647" s="2">
        <v>2014.0</v>
      </c>
      <c r="B2647" s="2" t="s">
        <v>12753</v>
      </c>
      <c r="C2647" s="2" t="s">
        <v>12754</v>
      </c>
      <c r="D2647" s="2" t="str">
        <f>"205-863-0054"</f>
        <v>205-863-0054</v>
      </c>
      <c r="E2647" s="2" t="s">
        <v>12755</v>
      </c>
      <c r="F2647" s="2" t="s">
        <v>9021</v>
      </c>
      <c r="G2647" s="2" t="str">
        <f>"SR-3722"</f>
        <v>SR-3722</v>
      </c>
      <c r="H2647" s="2" t="s">
        <v>12756</v>
      </c>
      <c r="I2647" s="2" t="s">
        <v>12757</v>
      </c>
      <c r="K2647" s="2" t="s">
        <v>1173</v>
      </c>
      <c r="L2647" s="2" t="s">
        <v>539</v>
      </c>
      <c r="M2647" s="2">
        <v>35244.0</v>
      </c>
      <c r="N2647" s="2" t="s">
        <v>21</v>
      </c>
    </row>
    <row r="2648" ht="15.75" customHeight="1">
      <c r="A2648" s="2">
        <v>2014.0</v>
      </c>
      <c r="B2648" s="2" t="s">
        <v>12758</v>
      </c>
      <c r="C2648" s="2" t="s">
        <v>12759</v>
      </c>
      <c r="D2648" s="2" t="str">
        <f>"515-778-0290"</f>
        <v>515-778-0290</v>
      </c>
      <c r="E2648" s="2" t="s">
        <v>1257</v>
      </c>
      <c r="F2648" s="2" t="s">
        <v>10147</v>
      </c>
      <c r="G2648" s="2" t="str">
        <f>"SR-3681"</f>
        <v>SR-3681</v>
      </c>
      <c r="H2648" s="2" t="s">
        <v>12760</v>
      </c>
      <c r="I2648" s="2" t="s">
        <v>12761</v>
      </c>
      <c r="K2648" s="2" t="s">
        <v>3984</v>
      </c>
      <c r="L2648" s="2" t="s">
        <v>560</v>
      </c>
      <c r="M2648" s="2">
        <v>50131.0</v>
      </c>
      <c r="N2648" s="2" t="s">
        <v>21</v>
      </c>
    </row>
    <row r="2649" ht="15.75" customHeight="1">
      <c r="A2649" s="2">
        <v>2014.0</v>
      </c>
      <c r="B2649" s="2" t="s">
        <v>12762</v>
      </c>
      <c r="C2649" s="2" t="s">
        <v>12763</v>
      </c>
      <c r="D2649" s="2" t="str">
        <f>"(813)501-8608"</f>
        <v>(813)501-8608</v>
      </c>
      <c r="E2649" s="2" t="s">
        <v>12330</v>
      </c>
      <c r="F2649" s="2" t="s">
        <v>6923</v>
      </c>
      <c r="G2649" s="2" t="str">
        <f>"SR-3719"</f>
        <v>SR-3719</v>
      </c>
      <c r="H2649" s="2" t="s">
        <v>12764</v>
      </c>
      <c r="I2649" s="2" t="s">
        <v>12765</v>
      </c>
      <c r="J2649" s="2" t="s">
        <v>12766</v>
      </c>
      <c r="K2649" s="2" t="s">
        <v>1846</v>
      </c>
      <c r="L2649" s="2" t="s">
        <v>208</v>
      </c>
      <c r="M2649" s="2">
        <v>33544.0</v>
      </c>
      <c r="N2649" s="2" t="s">
        <v>21</v>
      </c>
    </row>
    <row r="2650" ht="15.75" customHeight="1">
      <c r="A2650" s="2">
        <v>2014.0</v>
      </c>
      <c r="B2650" s="2" t="s">
        <v>12767</v>
      </c>
      <c r="C2650" s="2" t="s">
        <v>12768</v>
      </c>
      <c r="D2650" s="2" t="str">
        <f>"540-364-0444"</f>
        <v>540-364-0444</v>
      </c>
      <c r="E2650" s="2" t="s">
        <v>908</v>
      </c>
      <c r="F2650" s="2" t="s">
        <v>12769</v>
      </c>
      <c r="G2650" s="2" t="str">
        <f>"SR-3729"</f>
        <v>SR-3729</v>
      </c>
      <c r="H2650" s="2" t="s">
        <v>12770</v>
      </c>
      <c r="I2650" s="2" t="s">
        <v>12771</v>
      </c>
      <c r="K2650" s="2" t="s">
        <v>12772</v>
      </c>
      <c r="L2650" s="2" t="s">
        <v>165</v>
      </c>
      <c r="M2650" s="2">
        <v>20144.0</v>
      </c>
      <c r="N2650" s="2" t="s">
        <v>21</v>
      </c>
    </row>
    <row r="2651" ht="15.75" customHeight="1">
      <c r="A2651" s="2">
        <v>2014.0</v>
      </c>
      <c r="B2651" s="2" t="s">
        <v>12773</v>
      </c>
      <c r="C2651" s="2" t="s">
        <v>12773</v>
      </c>
      <c r="D2651" s="2" t="str">
        <f>"512.827.1269"</f>
        <v>512.827.1269</v>
      </c>
      <c r="E2651" s="2" t="s">
        <v>12774</v>
      </c>
      <c r="F2651" s="2" t="s">
        <v>1151</v>
      </c>
      <c r="G2651" s="2" t="str">
        <f>"SR-3720"</f>
        <v>SR-3720</v>
      </c>
      <c r="H2651" s="2" t="s">
        <v>12775</v>
      </c>
      <c r="I2651" s="2" t="s">
        <v>12776</v>
      </c>
      <c r="K2651" s="2" t="s">
        <v>12777</v>
      </c>
      <c r="L2651" s="2" t="s">
        <v>172</v>
      </c>
      <c r="M2651" s="2">
        <v>78669.0</v>
      </c>
      <c r="N2651" s="2" t="s">
        <v>21</v>
      </c>
    </row>
    <row r="2652" ht="15.75" customHeight="1">
      <c r="A2652" s="2">
        <v>2014.0</v>
      </c>
      <c r="B2652" s="2" t="s">
        <v>6179</v>
      </c>
      <c r="C2652" s="2" t="s">
        <v>6179</v>
      </c>
      <c r="D2652" s="2" t="str">
        <f>"405-406-1726"</f>
        <v>405-406-1726</v>
      </c>
      <c r="E2652" s="2" t="s">
        <v>4375</v>
      </c>
      <c r="F2652" s="2" t="s">
        <v>1151</v>
      </c>
      <c r="G2652" s="2" t="str">
        <f>"SR-1567"</f>
        <v>SR-1567</v>
      </c>
      <c r="H2652" s="2" t="s">
        <v>6180</v>
      </c>
      <c r="I2652" s="2" t="s">
        <v>6181</v>
      </c>
      <c r="K2652" s="2" t="s">
        <v>1546</v>
      </c>
      <c r="L2652" s="2" t="s">
        <v>840</v>
      </c>
      <c r="M2652" s="2">
        <v>73034.0</v>
      </c>
      <c r="N2652" s="2" t="s">
        <v>21</v>
      </c>
    </row>
    <row r="2653" ht="15.75" customHeight="1">
      <c r="A2653" s="2">
        <v>2014.0</v>
      </c>
      <c r="B2653" s="2" t="s">
        <v>5173</v>
      </c>
      <c r="C2653" s="2" t="s">
        <v>5174</v>
      </c>
      <c r="D2653" s="2" t="str">
        <f>"303-530-0553"</f>
        <v>303-530-0553</v>
      </c>
      <c r="E2653" s="2" t="s">
        <v>5175</v>
      </c>
      <c r="F2653" s="2" t="s">
        <v>5176</v>
      </c>
      <c r="G2653" s="2" t="str">
        <f>"SR-845"</f>
        <v>SR-845</v>
      </c>
      <c r="H2653" s="2" t="s">
        <v>5177</v>
      </c>
      <c r="I2653" s="2" t="s">
        <v>5178</v>
      </c>
      <c r="K2653" s="2" t="s">
        <v>5179</v>
      </c>
      <c r="L2653" s="2" t="s">
        <v>157</v>
      </c>
      <c r="M2653" s="2">
        <v>80302.0</v>
      </c>
      <c r="N2653" s="2" t="s">
        <v>21</v>
      </c>
    </row>
    <row r="2654" ht="15.75" customHeight="1">
      <c r="A2654" s="2">
        <v>2014.0</v>
      </c>
      <c r="B2654" s="2" t="s">
        <v>12753</v>
      </c>
      <c r="C2654" s="2" t="s">
        <v>12778</v>
      </c>
      <c r="D2654" s="2" t="str">
        <f>"205-863-0054"</f>
        <v>205-863-0054</v>
      </c>
      <c r="E2654" s="2" t="s">
        <v>12779</v>
      </c>
      <c r="F2654" s="2" t="s">
        <v>9021</v>
      </c>
      <c r="G2654" s="2" t="str">
        <f>"SR-3732"</f>
        <v>SR-3732</v>
      </c>
      <c r="H2654" s="2" t="s">
        <v>12780</v>
      </c>
      <c r="I2654" s="2" t="s">
        <v>12757</v>
      </c>
      <c r="K2654" s="2" t="s">
        <v>1173</v>
      </c>
      <c r="L2654" s="2" t="s">
        <v>539</v>
      </c>
      <c r="M2654" s="2">
        <v>35244.0</v>
      </c>
      <c r="N2654" s="2" t="s">
        <v>21</v>
      </c>
    </row>
    <row r="2655" ht="15.75" customHeight="1">
      <c r="A2655" s="2">
        <v>2014.0</v>
      </c>
      <c r="B2655" s="2" t="s">
        <v>12781</v>
      </c>
      <c r="C2655" s="2" t="s">
        <v>12782</v>
      </c>
      <c r="D2655" s="2" t="str">
        <f>"9153468532"</f>
        <v>9153468532</v>
      </c>
      <c r="E2655" s="2" t="s">
        <v>12783</v>
      </c>
      <c r="F2655" s="2" t="s">
        <v>12784</v>
      </c>
      <c r="G2655" s="2" t="str">
        <f>"SR-3660"</f>
        <v>SR-3660</v>
      </c>
      <c r="H2655" s="2" t="s">
        <v>12785</v>
      </c>
      <c r="I2655" s="2" t="s">
        <v>12786</v>
      </c>
      <c r="J2655" s="2" t="s">
        <v>12787</v>
      </c>
      <c r="K2655" s="2" t="s">
        <v>12788</v>
      </c>
      <c r="L2655" s="2" t="s">
        <v>172</v>
      </c>
      <c r="M2655" s="2">
        <v>79853.0</v>
      </c>
      <c r="N2655" s="2" t="s">
        <v>21</v>
      </c>
    </row>
    <row r="2656" ht="15.75" customHeight="1">
      <c r="A2656" s="2">
        <v>2014.0</v>
      </c>
      <c r="B2656" s="2" t="s">
        <v>12789</v>
      </c>
      <c r="C2656" s="2" t="s">
        <v>12790</v>
      </c>
      <c r="D2656" s="2" t="str">
        <f>"906-482-8895"</f>
        <v>906-482-8895</v>
      </c>
      <c r="E2656" s="2" t="s">
        <v>386</v>
      </c>
      <c r="F2656" s="2" t="s">
        <v>12791</v>
      </c>
      <c r="G2656" s="2" t="str">
        <f>"SR-3730"</f>
        <v>SR-3730</v>
      </c>
      <c r="H2656" s="2" t="s">
        <v>12792</v>
      </c>
      <c r="I2656" s="2" t="s">
        <v>12793</v>
      </c>
      <c r="K2656" s="2" t="s">
        <v>10066</v>
      </c>
      <c r="L2656" s="2" t="s">
        <v>29</v>
      </c>
      <c r="M2656" s="2">
        <v>49931.0</v>
      </c>
      <c r="N2656" s="2" t="s">
        <v>21</v>
      </c>
    </row>
    <row r="2657" ht="15.75" customHeight="1">
      <c r="A2657" s="2">
        <v>2014.0</v>
      </c>
      <c r="B2657" s="2" t="s">
        <v>12794</v>
      </c>
      <c r="C2657" s="2" t="s">
        <v>12794</v>
      </c>
      <c r="D2657" s="2" t="str">
        <f>"3193777374"</f>
        <v>3193777374</v>
      </c>
      <c r="E2657" s="2" t="s">
        <v>1725</v>
      </c>
      <c r="F2657" s="2" t="s">
        <v>12340</v>
      </c>
      <c r="G2657" s="2" t="str">
        <f>"SR-3502"</f>
        <v>SR-3502</v>
      </c>
      <c r="H2657" s="2" t="s">
        <v>12795</v>
      </c>
      <c r="I2657" s="2" t="s">
        <v>12796</v>
      </c>
      <c r="K2657" s="2" t="s">
        <v>3493</v>
      </c>
      <c r="L2657" s="2" t="s">
        <v>560</v>
      </c>
      <c r="M2657" s="2">
        <v>52302.0</v>
      </c>
      <c r="N2657" s="2" t="s">
        <v>21</v>
      </c>
    </row>
    <row r="2658" ht="15.75" customHeight="1">
      <c r="A2658" s="2">
        <v>2014.0</v>
      </c>
      <c r="B2658" s="2" t="s">
        <v>12797</v>
      </c>
      <c r="C2658" s="2" t="s">
        <v>12797</v>
      </c>
      <c r="D2658" s="2" t="str">
        <f>"2053387333"</f>
        <v>2053387333</v>
      </c>
      <c r="E2658" s="2" t="s">
        <v>250</v>
      </c>
      <c r="F2658" s="2" t="s">
        <v>1151</v>
      </c>
      <c r="G2658" s="2" t="str">
        <f>"SR-3715"</f>
        <v>SR-3715</v>
      </c>
      <c r="H2658" s="2" t="s">
        <v>12798</v>
      </c>
      <c r="I2658" s="2" t="s">
        <v>12799</v>
      </c>
      <c r="K2658" s="2" t="s">
        <v>7469</v>
      </c>
      <c r="L2658" s="2" t="s">
        <v>539</v>
      </c>
      <c r="M2658" s="2">
        <v>35128.0</v>
      </c>
      <c r="N2658" s="2" t="s">
        <v>21</v>
      </c>
    </row>
    <row r="2659" ht="15.75" customHeight="1">
      <c r="A2659" s="2">
        <v>2014.0</v>
      </c>
      <c r="B2659" s="2" t="s">
        <v>12800</v>
      </c>
      <c r="C2659" s="2" t="s">
        <v>12800</v>
      </c>
      <c r="D2659" s="2" t="str">
        <f>"660-826-1880"</f>
        <v>660-826-1880</v>
      </c>
      <c r="E2659" s="2" t="s">
        <v>167</v>
      </c>
      <c r="F2659" s="2" t="s">
        <v>12801</v>
      </c>
      <c r="G2659" s="2" t="str">
        <f>"SR-3733"</f>
        <v>SR-3733</v>
      </c>
      <c r="H2659" s="2" t="s">
        <v>12802</v>
      </c>
      <c r="I2659" s="2" t="s">
        <v>12803</v>
      </c>
      <c r="K2659" s="2" t="s">
        <v>5412</v>
      </c>
      <c r="L2659" s="2" t="s">
        <v>214</v>
      </c>
      <c r="M2659" s="2">
        <v>65301.0</v>
      </c>
      <c r="N2659" s="2" t="s">
        <v>21</v>
      </c>
    </row>
    <row r="2660" ht="15.75" customHeight="1">
      <c r="A2660" s="2">
        <v>2014.0</v>
      </c>
      <c r="B2660" s="2" t="s">
        <v>12804</v>
      </c>
      <c r="C2660" s="2" t="s">
        <v>12805</v>
      </c>
      <c r="D2660" s="2" t="str">
        <f>"847/229-9272"</f>
        <v>847/229-9272</v>
      </c>
      <c r="E2660" s="2" t="s">
        <v>12806</v>
      </c>
      <c r="F2660" s="2" t="s">
        <v>12807</v>
      </c>
      <c r="G2660" s="2" t="str">
        <f>"SR-3728"</f>
        <v>SR-3728</v>
      </c>
      <c r="H2660" s="2" t="s">
        <v>12808</v>
      </c>
      <c r="I2660" s="2" t="s">
        <v>12809</v>
      </c>
      <c r="K2660" s="2" t="s">
        <v>12810</v>
      </c>
      <c r="L2660" s="2" t="s">
        <v>105</v>
      </c>
      <c r="M2660" s="2">
        <v>60070.0</v>
      </c>
      <c r="N2660" s="2" t="s">
        <v>21</v>
      </c>
    </row>
    <row r="2661" ht="15.75" customHeight="1">
      <c r="A2661" s="2">
        <v>2014.0</v>
      </c>
      <c r="B2661" s="2" t="s">
        <v>12811</v>
      </c>
      <c r="C2661" s="2" t="s">
        <v>12811</v>
      </c>
      <c r="D2661" s="2" t="str">
        <f>"517-240-8690"</f>
        <v>517-240-8690</v>
      </c>
      <c r="E2661" s="2" t="s">
        <v>908</v>
      </c>
      <c r="F2661" s="2" t="s">
        <v>12812</v>
      </c>
      <c r="G2661" s="2" t="str">
        <f>"SR-3727"</f>
        <v>SR-3727</v>
      </c>
      <c r="H2661" s="2" t="s">
        <v>12813</v>
      </c>
      <c r="I2661" s="2" t="s">
        <v>12814</v>
      </c>
      <c r="K2661" s="2" t="s">
        <v>12815</v>
      </c>
      <c r="L2661" s="2" t="s">
        <v>29</v>
      </c>
      <c r="M2661" s="2">
        <v>49283.0</v>
      </c>
      <c r="N2661" s="2" t="s">
        <v>21</v>
      </c>
    </row>
    <row r="2662" ht="15.75" customHeight="1">
      <c r="A2662" s="2">
        <v>2014.0</v>
      </c>
      <c r="B2662" s="2" t="s">
        <v>5173</v>
      </c>
      <c r="C2662" s="2" t="s">
        <v>5174</v>
      </c>
      <c r="D2662" s="2" t="str">
        <f>"303-530-0553"</f>
        <v>303-530-0553</v>
      </c>
      <c r="E2662" s="2" t="s">
        <v>5175</v>
      </c>
      <c r="F2662" s="2" t="s">
        <v>5176</v>
      </c>
      <c r="G2662" s="2" t="str">
        <f>"SR-3734"</f>
        <v>SR-3734</v>
      </c>
      <c r="H2662" s="2" t="s">
        <v>5177</v>
      </c>
      <c r="I2662" s="2" t="s">
        <v>12816</v>
      </c>
      <c r="K2662" s="2" t="s">
        <v>5179</v>
      </c>
      <c r="L2662" s="2" t="s">
        <v>157</v>
      </c>
      <c r="M2662" s="2">
        <v>80302.0</v>
      </c>
      <c r="N2662" s="2" t="s">
        <v>21</v>
      </c>
    </row>
    <row r="2663" ht="15.75" customHeight="1">
      <c r="A2663" s="2">
        <v>2014.0</v>
      </c>
      <c r="B2663" s="2" t="s">
        <v>12817</v>
      </c>
      <c r="C2663" s="2" t="s">
        <v>12817</v>
      </c>
      <c r="D2663" s="2" t="str">
        <f>"(209) 769-9732"</f>
        <v>(209) 769-9732</v>
      </c>
      <c r="E2663" s="2" t="s">
        <v>2361</v>
      </c>
      <c r="F2663" s="2" t="s">
        <v>12818</v>
      </c>
      <c r="G2663" s="2" t="str">
        <f>"SR-3131"</f>
        <v>SR-3131</v>
      </c>
      <c r="H2663" s="2" t="s">
        <v>12819</v>
      </c>
      <c r="I2663" s="2" t="s">
        <v>12820</v>
      </c>
      <c r="K2663" s="2" t="s">
        <v>12821</v>
      </c>
      <c r="L2663" s="2" t="s">
        <v>222</v>
      </c>
      <c r="M2663" s="2">
        <v>95301.0</v>
      </c>
      <c r="N2663" s="2" t="s">
        <v>21</v>
      </c>
    </row>
    <row r="2664" ht="15.75" customHeight="1">
      <c r="A2664" s="2">
        <v>2014.0</v>
      </c>
      <c r="B2664" s="2" t="s">
        <v>5640</v>
      </c>
      <c r="C2664" s="2" t="s">
        <v>5640</v>
      </c>
      <c r="D2664" s="2" t="str">
        <f>"205-594-4984"</f>
        <v>205-594-4984</v>
      </c>
      <c r="E2664" s="2" t="s">
        <v>12822</v>
      </c>
      <c r="F2664" s="2" t="s">
        <v>585</v>
      </c>
      <c r="G2664" s="2" t="str">
        <f>"SR-1458"</f>
        <v>SR-1458</v>
      </c>
      <c r="H2664" s="2" t="s">
        <v>12823</v>
      </c>
      <c r="I2664" s="2" t="s">
        <v>12824</v>
      </c>
      <c r="K2664" s="2" t="s">
        <v>5019</v>
      </c>
      <c r="L2664" s="2" t="s">
        <v>539</v>
      </c>
      <c r="M2664" s="2">
        <v>35953.0</v>
      </c>
      <c r="N2664" s="2" t="s">
        <v>21</v>
      </c>
    </row>
    <row r="2665" ht="15.75" customHeight="1">
      <c r="A2665" s="2">
        <v>2014.0</v>
      </c>
      <c r="B2665" s="2" t="s">
        <v>12825</v>
      </c>
      <c r="C2665" s="2" t="s">
        <v>12825</v>
      </c>
      <c r="D2665" s="2" t="str">
        <f>"515-943-9890"</f>
        <v>515-943-9890</v>
      </c>
      <c r="E2665" s="2" t="s">
        <v>843</v>
      </c>
      <c r="F2665" s="2" t="s">
        <v>12826</v>
      </c>
      <c r="G2665" s="2" t="str">
        <f>"SR-3630"</f>
        <v>SR-3630</v>
      </c>
      <c r="H2665" s="2" t="s">
        <v>12827</v>
      </c>
      <c r="I2665" s="2" t="s">
        <v>12828</v>
      </c>
      <c r="K2665" s="2" t="s">
        <v>4519</v>
      </c>
      <c r="L2665" s="2" t="s">
        <v>560</v>
      </c>
      <c r="M2665" s="2">
        <v>50170.0</v>
      </c>
      <c r="N2665" s="2" t="s">
        <v>21</v>
      </c>
    </row>
    <row r="2666" ht="15.75" customHeight="1">
      <c r="A2666" s="2">
        <v>2014.0</v>
      </c>
      <c r="B2666" s="2" t="s">
        <v>12829</v>
      </c>
      <c r="C2666" s="2" t="s">
        <v>12829</v>
      </c>
      <c r="D2666" s="2" t="str">
        <f>"9704819612"</f>
        <v>9704819612</v>
      </c>
      <c r="E2666" s="2" t="s">
        <v>12830</v>
      </c>
      <c r="F2666" s="2" t="s">
        <v>12831</v>
      </c>
      <c r="G2666" s="2" t="str">
        <f>"SR-2885"</f>
        <v>SR-2885</v>
      </c>
      <c r="H2666" s="2" t="s">
        <v>12832</v>
      </c>
      <c r="I2666" s="2" t="s">
        <v>12833</v>
      </c>
      <c r="K2666" s="2" t="s">
        <v>1048</v>
      </c>
      <c r="L2666" s="2" t="s">
        <v>157</v>
      </c>
      <c r="M2666" s="2">
        <v>8.05388605E8</v>
      </c>
      <c r="N2666" s="2" t="s">
        <v>21</v>
      </c>
    </row>
    <row r="2667" ht="15.75" customHeight="1">
      <c r="A2667" s="2">
        <v>2014.0</v>
      </c>
      <c r="B2667" s="2" t="s">
        <v>12804</v>
      </c>
      <c r="C2667" s="2" t="s">
        <v>12834</v>
      </c>
      <c r="D2667" s="2" t="str">
        <f>"847/229-9272"</f>
        <v>847/229-9272</v>
      </c>
      <c r="E2667" s="2" t="s">
        <v>12835</v>
      </c>
      <c r="F2667" s="2" t="s">
        <v>12807</v>
      </c>
      <c r="G2667" s="2" t="str">
        <f>"SR-3738"</f>
        <v>SR-3738</v>
      </c>
      <c r="H2667" s="2" t="s">
        <v>12836</v>
      </c>
      <c r="I2667" s="2" t="s">
        <v>12809</v>
      </c>
      <c r="K2667" s="2" t="s">
        <v>12810</v>
      </c>
      <c r="L2667" s="2" t="s">
        <v>105</v>
      </c>
      <c r="M2667" s="2">
        <v>60070.0</v>
      </c>
      <c r="N2667" s="2" t="s">
        <v>21</v>
      </c>
    </row>
    <row r="2668" ht="15.75" customHeight="1">
      <c r="A2668" s="2">
        <v>2014.0</v>
      </c>
      <c r="B2668" s="2" t="s">
        <v>12837</v>
      </c>
      <c r="C2668" s="2" t="s">
        <v>12837</v>
      </c>
      <c r="D2668" s="2" t="str">
        <f>"205-472-0118"</f>
        <v>205-472-0118</v>
      </c>
      <c r="E2668" s="2" t="s">
        <v>12838</v>
      </c>
      <c r="F2668" s="2" t="s">
        <v>711</v>
      </c>
      <c r="G2668" s="2" t="str">
        <f>"SR-3680"</f>
        <v>SR-3680</v>
      </c>
      <c r="H2668" s="2" t="s">
        <v>12839</v>
      </c>
      <c r="I2668" s="2" t="s">
        <v>12840</v>
      </c>
      <c r="K2668" s="2" t="s">
        <v>5568</v>
      </c>
      <c r="L2668" s="2" t="s">
        <v>539</v>
      </c>
      <c r="M2668" s="2">
        <v>35131.0</v>
      </c>
      <c r="N2668" s="2" t="s">
        <v>21</v>
      </c>
    </row>
    <row r="2669" ht="15.75" customHeight="1">
      <c r="A2669" s="2">
        <v>2014.0</v>
      </c>
      <c r="B2669" s="2" t="s">
        <v>12841</v>
      </c>
      <c r="C2669" s="2" t="s">
        <v>12842</v>
      </c>
      <c r="D2669" s="2" t="str">
        <f>"5057157156"</f>
        <v>5057157156</v>
      </c>
      <c r="E2669" s="2" t="s">
        <v>2800</v>
      </c>
      <c r="F2669" s="2" t="s">
        <v>5981</v>
      </c>
      <c r="G2669" s="2" t="str">
        <f>"SR-3613"</f>
        <v>SR-3613</v>
      </c>
      <c r="H2669" s="2" t="s">
        <v>5982</v>
      </c>
      <c r="I2669" s="2" t="s">
        <v>12843</v>
      </c>
      <c r="K2669" s="2" t="s">
        <v>3803</v>
      </c>
      <c r="L2669" s="2" t="s">
        <v>789</v>
      </c>
      <c r="M2669" s="2">
        <v>87124.0</v>
      </c>
      <c r="N2669" s="2" t="s">
        <v>21</v>
      </c>
    </row>
    <row r="2670" ht="15.75" customHeight="1">
      <c r="A2670" s="2">
        <v>2014.0</v>
      </c>
      <c r="B2670" s="2" t="s">
        <v>7535</v>
      </c>
      <c r="C2670" s="2" t="s">
        <v>7536</v>
      </c>
      <c r="D2670" s="2" t="str">
        <f>"2603381530"</f>
        <v>2603381530</v>
      </c>
      <c r="E2670" s="2" t="s">
        <v>301</v>
      </c>
      <c r="F2670" s="2" t="s">
        <v>7537</v>
      </c>
      <c r="G2670" s="2" t="str">
        <f>"SR-2049"</f>
        <v>SR-2049</v>
      </c>
      <c r="H2670" s="2" t="s">
        <v>7538</v>
      </c>
      <c r="I2670" s="2" t="s">
        <v>7539</v>
      </c>
      <c r="K2670" s="2" t="s">
        <v>7540</v>
      </c>
      <c r="L2670" s="2" t="s">
        <v>165</v>
      </c>
      <c r="M2670" s="2">
        <v>22625.0</v>
      </c>
      <c r="N2670" s="2" t="s">
        <v>21</v>
      </c>
    </row>
    <row r="2671" ht="15.75" customHeight="1">
      <c r="A2671" s="2">
        <v>2014.0</v>
      </c>
      <c r="B2671" s="2" t="s">
        <v>12844</v>
      </c>
      <c r="C2671" s="2" t="s">
        <v>12845</v>
      </c>
      <c r="D2671" s="2" t="str">
        <f>"530-417-5150"</f>
        <v>530-417-5150</v>
      </c>
      <c r="E2671" s="2" t="s">
        <v>100</v>
      </c>
      <c r="F2671" s="2" t="s">
        <v>12846</v>
      </c>
      <c r="G2671" s="2" t="str">
        <f>"SR-3465"</f>
        <v>SR-3465</v>
      </c>
      <c r="H2671" s="2" t="s">
        <v>12847</v>
      </c>
      <c r="I2671" s="2" t="s">
        <v>12848</v>
      </c>
      <c r="K2671" s="2" t="s">
        <v>3787</v>
      </c>
      <c r="L2671" s="2" t="s">
        <v>222</v>
      </c>
      <c r="M2671" s="2">
        <v>95682.0</v>
      </c>
      <c r="N2671" s="2" t="s">
        <v>21</v>
      </c>
    </row>
    <row r="2672" ht="15.75" customHeight="1">
      <c r="A2672" s="2">
        <v>2014.0</v>
      </c>
      <c r="B2672" s="2" t="s">
        <v>12849</v>
      </c>
      <c r="C2672" s="2" t="s">
        <v>12850</v>
      </c>
      <c r="D2672" s="2" t="str">
        <f>"719-487-8695"</f>
        <v>719-487-8695</v>
      </c>
      <c r="E2672" s="2" t="s">
        <v>4769</v>
      </c>
      <c r="F2672" s="2" t="s">
        <v>12851</v>
      </c>
      <c r="G2672" s="2" t="str">
        <f>"SR-3736"</f>
        <v>SR-3736</v>
      </c>
      <c r="H2672" s="2" t="s">
        <v>12852</v>
      </c>
      <c r="I2672" s="2" t="s">
        <v>12853</v>
      </c>
      <c r="K2672" s="2" t="s">
        <v>809</v>
      </c>
      <c r="L2672" s="2" t="s">
        <v>157</v>
      </c>
      <c r="M2672" s="2">
        <v>80920.0</v>
      </c>
      <c r="N2672" s="2" t="s">
        <v>21</v>
      </c>
    </row>
    <row r="2673" ht="15.75" customHeight="1">
      <c r="A2673" s="2">
        <v>2014.0</v>
      </c>
      <c r="B2673" s="2" t="s">
        <v>12854</v>
      </c>
      <c r="C2673" s="2" t="s">
        <v>12854</v>
      </c>
      <c r="D2673" s="2" t="str">
        <f>"970-663-3789"</f>
        <v>970-663-3789</v>
      </c>
      <c r="E2673" s="2" t="s">
        <v>4984</v>
      </c>
      <c r="F2673" s="2" t="s">
        <v>5476</v>
      </c>
      <c r="G2673" s="2" t="str">
        <f>"SR-3725"</f>
        <v>SR-3725</v>
      </c>
      <c r="H2673" s="2" t="s">
        <v>12855</v>
      </c>
      <c r="I2673" s="2" t="s">
        <v>12856</v>
      </c>
      <c r="K2673" s="2" t="s">
        <v>656</v>
      </c>
      <c r="L2673" s="2" t="s">
        <v>157</v>
      </c>
      <c r="M2673" s="2">
        <v>80525.0</v>
      </c>
      <c r="N2673" s="2" t="s">
        <v>21</v>
      </c>
    </row>
    <row r="2674" ht="15.75" customHeight="1">
      <c r="A2674" s="2">
        <v>2014.0</v>
      </c>
      <c r="B2674" s="2" t="s">
        <v>12857</v>
      </c>
      <c r="C2674" s="2" t="s">
        <v>12858</v>
      </c>
      <c r="D2674" s="2" t="str">
        <f>"256-592-0157"</f>
        <v>256-592-0157</v>
      </c>
      <c r="E2674" s="2" t="s">
        <v>288</v>
      </c>
      <c r="F2674" s="2" t="s">
        <v>7797</v>
      </c>
      <c r="G2674" s="2" t="str">
        <f>"SR-3740"</f>
        <v>SR-3740</v>
      </c>
      <c r="H2674" s="2" t="s">
        <v>12859</v>
      </c>
      <c r="I2674" s="2" t="s">
        <v>12860</v>
      </c>
      <c r="K2674" s="2" t="s">
        <v>12861</v>
      </c>
      <c r="L2674" s="2" t="s">
        <v>539</v>
      </c>
      <c r="M2674" s="2">
        <v>35160.0</v>
      </c>
      <c r="N2674" s="2" t="s">
        <v>21</v>
      </c>
    </row>
    <row r="2675" ht="15.75" customHeight="1">
      <c r="A2675" s="2">
        <v>2014.0</v>
      </c>
      <c r="B2675" s="2" t="s">
        <v>12862</v>
      </c>
      <c r="C2675" s="2" t="s">
        <v>12862</v>
      </c>
      <c r="D2675" s="2" t="str">
        <f>"(719)-775-2022"</f>
        <v>(719)-775-2022</v>
      </c>
      <c r="E2675" s="2" t="s">
        <v>6007</v>
      </c>
      <c r="F2675" s="2" t="s">
        <v>457</v>
      </c>
      <c r="G2675" s="2" t="str">
        <f>"SR-3742"</f>
        <v>SR-3742</v>
      </c>
      <c r="H2675" s="2" t="s">
        <v>12863</v>
      </c>
      <c r="I2675" s="2" t="s">
        <v>12864</v>
      </c>
      <c r="K2675" s="2" t="s">
        <v>6548</v>
      </c>
      <c r="L2675" s="2" t="s">
        <v>157</v>
      </c>
      <c r="M2675" s="2">
        <v>80828.0</v>
      </c>
      <c r="N2675" s="2" t="s">
        <v>21</v>
      </c>
    </row>
    <row r="2676" ht="15.75" customHeight="1">
      <c r="A2676" s="2">
        <v>2014.0</v>
      </c>
      <c r="B2676" s="2" t="s">
        <v>12865</v>
      </c>
      <c r="C2676" s="2" t="s">
        <v>12866</v>
      </c>
      <c r="D2676" s="2" t="str">
        <f>"7203637002"</f>
        <v>7203637002</v>
      </c>
      <c r="E2676" s="2" t="s">
        <v>6869</v>
      </c>
      <c r="F2676" s="2" t="s">
        <v>12867</v>
      </c>
      <c r="G2676" s="2" t="str">
        <f>"SR-3745"</f>
        <v>SR-3745</v>
      </c>
      <c r="H2676" s="2" t="s">
        <v>12868</v>
      </c>
      <c r="I2676" s="2" t="s">
        <v>12869</v>
      </c>
      <c r="K2676" s="2" t="s">
        <v>2317</v>
      </c>
      <c r="L2676" s="2" t="s">
        <v>157</v>
      </c>
      <c r="M2676" s="2">
        <v>80504.0</v>
      </c>
      <c r="N2676" s="2" t="s">
        <v>21</v>
      </c>
    </row>
    <row r="2677" ht="15.75" customHeight="1">
      <c r="A2677" s="2">
        <v>2014.0</v>
      </c>
      <c r="B2677" s="2" t="s">
        <v>12870</v>
      </c>
      <c r="C2677" s="2" t="s">
        <v>12871</v>
      </c>
      <c r="D2677" s="2" t="str">
        <f>"8649861145"</f>
        <v>8649861145</v>
      </c>
      <c r="E2677" s="2" t="s">
        <v>4491</v>
      </c>
      <c r="F2677" s="2" t="s">
        <v>12872</v>
      </c>
      <c r="G2677" s="2" t="str">
        <f>"SR-3657"</f>
        <v>SR-3657</v>
      </c>
      <c r="H2677" s="2" t="s">
        <v>12873</v>
      </c>
      <c r="I2677" s="2" t="s">
        <v>12874</v>
      </c>
      <c r="K2677" s="2" t="s">
        <v>4736</v>
      </c>
      <c r="L2677" s="2" t="s">
        <v>55</v>
      </c>
      <c r="M2677" s="2">
        <v>29630.0</v>
      </c>
      <c r="N2677" s="2" t="s">
        <v>21</v>
      </c>
    </row>
    <row r="2678" ht="15.75" customHeight="1">
      <c r="A2678" s="2">
        <v>2014.0</v>
      </c>
      <c r="B2678" s="2" t="s">
        <v>12875</v>
      </c>
      <c r="D2678" s="2" t="str">
        <f>""</f>
        <v/>
      </c>
      <c r="E2678" s="2" t="s">
        <v>3170</v>
      </c>
      <c r="F2678" s="2" t="s">
        <v>12876</v>
      </c>
      <c r="G2678" s="2" t="str">
        <f>"SR-3626"</f>
        <v>SR-3626</v>
      </c>
      <c r="H2678" s="2" t="s">
        <v>12877</v>
      </c>
      <c r="N2678" s="2" t="s">
        <v>21</v>
      </c>
    </row>
    <row r="2679" ht="15.75" customHeight="1">
      <c r="A2679" s="2">
        <v>2014.0</v>
      </c>
      <c r="B2679" s="2" t="s">
        <v>4995</v>
      </c>
      <c r="C2679" s="2" t="s">
        <v>4995</v>
      </c>
      <c r="D2679" s="2" t="str">
        <f>"205-594-4942"</f>
        <v>205-594-4942</v>
      </c>
      <c r="E2679" s="2" t="s">
        <v>1129</v>
      </c>
      <c r="F2679" s="2" t="s">
        <v>3028</v>
      </c>
      <c r="G2679" s="2" t="str">
        <f>"SR-2198"</f>
        <v>SR-2198</v>
      </c>
      <c r="H2679" s="2" t="s">
        <v>4996</v>
      </c>
      <c r="I2679" s="2" t="s">
        <v>8275</v>
      </c>
      <c r="K2679" s="2" t="s">
        <v>5019</v>
      </c>
      <c r="L2679" s="2" t="s">
        <v>539</v>
      </c>
      <c r="M2679" s="2">
        <v>35953.0</v>
      </c>
      <c r="N2679" s="2" t="s">
        <v>21</v>
      </c>
    </row>
    <row r="2680" ht="15.75" customHeight="1">
      <c r="A2680" s="2">
        <v>2014.0</v>
      </c>
      <c r="B2680" s="2" t="s">
        <v>12878</v>
      </c>
      <c r="C2680" s="2" t="s">
        <v>12879</v>
      </c>
      <c r="D2680" s="2" t="str">
        <f>"559-584-8120"</f>
        <v>559-584-8120</v>
      </c>
      <c r="E2680" s="2" t="s">
        <v>3778</v>
      </c>
      <c r="F2680" s="2" t="s">
        <v>6779</v>
      </c>
      <c r="G2680" s="2" t="str">
        <f>"SR-3743"</f>
        <v>SR-3743</v>
      </c>
      <c r="H2680" s="2" t="s">
        <v>12880</v>
      </c>
      <c r="I2680" s="2" t="s">
        <v>12881</v>
      </c>
      <c r="K2680" s="2" t="s">
        <v>12882</v>
      </c>
      <c r="L2680" s="2" t="s">
        <v>222</v>
      </c>
      <c r="M2680" s="2">
        <v>93230.0</v>
      </c>
      <c r="N2680" s="2" t="s">
        <v>21</v>
      </c>
    </row>
    <row r="2681" ht="15.75" customHeight="1">
      <c r="A2681" s="2">
        <v>2014.0</v>
      </c>
      <c r="B2681" s="2" t="s">
        <v>3124</v>
      </c>
      <c r="C2681" s="2" t="s">
        <v>12883</v>
      </c>
      <c r="D2681" s="2" t="str">
        <f>"702-395-3663"</f>
        <v>702-395-3663</v>
      </c>
      <c r="E2681" s="2" t="s">
        <v>2243</v>
      </c>
      <c r="F2681" s="2" t="s">
        <v>3125</v>
      </c>
      <c r="G2681" s="2" t="str">
        <f>"SR-3679"</f>
        <v>SR-3679</v>
      </c>
      <c r="H2681" s="2" t="s">
        <v>12884</v>
      </c>
      <c r="I2681" s="2" t="s">
        <v>3127</v>
      </c>
      <c r="K2681" s="2" t="s">
        <v>3128</v>
      </c>
      <c r="L2681" s="2" t="s">
        <v>1419</v>
      </c>
      <c r="M2681" s="2">
        <v>89129.0</v>
      </c>
      <c r="N2681" s="2" t="s">
        <v>21</v>
      </c>
    </row>
    <row r="2682" ht="15.75" customHeight="1">
      <c r="A2682" s="2">
        <v>2014.0</v>
      </c>
      <c r="B2682" s="2" t="s">
        <v>12885</v>
      </c>
      <c r="C2682" s="2" t="s">
        <v>12886</v>
      </c>
      <c r="D2682" s="2" t="str">
        <f>"303-877-2422"</f>
        <v>303-877-2422</v>
      </c>
      <c r="E2682" s="2" t="s">
        <v>137</v>
      </c>
      <c r="F2682" s="2" t="s">
        <v>3144</v>
      </c>
      <c r="G2682" s="2" t="str">
        <f>"SR-3748"</f>
        <v>SR-3748</v>
      </c>
      <c r="H2682" s="2" t="s">
        <v>12887</v>
      </c>
      <c r="I2682" s="2" t="s">
        <v>12888</v>
      </c>
      <c r="K2682" s="2" t="s">
        <v>1548</v>
      </c>
      <c r="L2682" s="2" t="s">
        <v>157</v>
      </c>
      <c r="M2682" s="2">
        <v>80107.0</v>
      </c>
      <c r="N2682" s="2" t="s">
        <v>21</v>
      </c>
    </row>
    <row r="2683" ht="15.75" customHeight="1">
      <c r="A2683" s="2">
        <v>2014.0</v>
      </c>
      <c r="B2683" s="2" t="s">
        <v>12889</v>
      </c>
      <c r="C2683" s="2" t="s">
        <v>12890</v>
      </c>
      <c r="D2683" s="2" t="str">
        <f>"6023495248"</f>
        <v>6023495248</v>
      </c>
      <c r="E2683" s="2" t="s">
        <v>638</v>
      </c>
      <c r="F2683" s="2" t="s">
        <v>12891</v>
      </c>
      <c r="G2683" s="2" t="str">
        <f>"SR-3696"</f>
        <v>SR-3696</v>
      </c>
      <c r="H2683" s="2" t="s">
        <v>12892</v>
      </c>
      <c r="I2683" s="2" t="s">
        <v>12893</v>
      </c>
      <c r="K2683" s="2" t="s">
        <v>1133</v>
      </c>
      <c r="L2683" s="2" t="s">
        <v>422</v>
      </c>
      <c r="M2683" s="2">
        <v>85302.0</v>
      </c>
      <c r="N2683" s="2" t="s">
        <v>21</v>
      </c>
    </row>
    <row r="2684" ht="15.75" customHeight="1">
      <c r="A2684" s="2">
        <v>2014.0</v>
      </c>
      <c r="B2684" s="2" t="s">
        <v>5363</v>
      </c>
      <c r="C2684" s="2" t="s">
        <v>5905</v>
      </c>
      <c r="D2684" s="2" t="str">
        <f>"6193120660"</f>
        <v>6193120660</v>
      </c>
      <c r="E2684" s="2" t="s">
        <v>5906</v>
      </c>
      <c r="F2684" s="2" t="s">
        <v>5365</v>
      </c>
      <c r="G2684" s="2" t="str">
        <f>"SR-1523"</f>
        <v>SR-1523</v>
      </c>
      <c r="H2684" s="2" t="s">
        <v>5907</v>
      </c>
      <c r="I2684" s="2" t="s">
        <v>5908</v>
      </c>
      <c r="K2684" s="2" t="s">
        <v>5909</v>
      </c>
      <c r="L2684" s="2" t="s">
        <v>222</v>
      </c>
      <c r="M2684" s="2">
        <v>92040.0</v>
      </c>
      <c r="N2684" s="2" t="s">
        <v>21</v>
      </c>
    </row>
    <row r="2685" ht="15.75" customHeight="1">
      <c r="A2685" s="2">
        <v>2014.0</v>
      </c>
      <c r="B2685" s="2" t="s">
        <v>12894</v>
      </c>
      <c r="C2685" s="2" t="s">
        <v>12895</v>
      </c>
      <c r="D2685" s="2" t="str">
        <f>"559-584-7525"</f>
        <v>559-584-7525</v>
      </c>
      <c r="E2685" s="2" t="s">
        <v>57</v>
      </c>
      <c r="F2685" s="2" t="s">
        <v>12896</v>
      </c>
      <c r="G2685" s="2" t="str">
        <f>"SR-3661"</f>
        <v>SR-3661</v>
      </c>
      <c r="H2685" s="2" t="s">
        <v>12897</v>
      </c>
      <c r="I2685" s="2" t="s">
        <v>12898</v>
      </c>
      <c r="K2685" s="2" t="s">
        <v>12882</v>
      </c>
      <c r="L2685" s="2" t="s">
        <v>222</v>
      </c>
      <c r="M2685" s="2">
        <v>93230.0</v>
      </c>
      <c r="N2685" s="2" t="s">
        <v>21</v>
      </c>
    </row>
    <row r="2686" ht="15.75" customHeight="1">
      <c r="A2686" s="2">
        <v>2014.0</v>
      </c>
      <c r="B2686" s="2" t="s">
        <v>12899</v>
      </c>
      <c r="C2686" s="2" t="s">
        <v>12900</v>
      </c>
      <c r="D2686" s="2" t="str">
        <f>"8586104858"</f>
        <v>8586104858</v>
      </c>
      <c r="E2686" s="2" t="s">
        <v>12901</v>
      </c>
      <c r="F2686" s="2" t="s">
        <v>12902</v>
      </c>
      <c r="G2686" s="2" t="str">
        <f>"SR-3359"</f>
        <v>SR-3359</v>
      </c>
      <c r="H2686" s="2" t="s">
        <v>12903</v>
      </c>
      <c r="I2686" s="2" t="s">
        <v>12904</v>
      </c>
      <c r="K2686" s="2" t="s">
        <v>8250</v>
      </c>
      <c r="L2686" s="2" t="s">
        <v>222</v>
      </c>
      <c r="M2686" s="2">
        <v>92116.0</v>
      </c>
      <c r="N2686" s="2" t="s">
        <v>21</v>
      </c>
    </row>
    <row r="2687" ht="15.75" customHeight="1">
      <c r="A2687" s="2">
        <v>2014.0</v>
      </c>
      <c r="B2687" s="2" t="s">
        <v>12905</v>
      </c>
      <c r="D2687" s="2" t="str">
        <f>""</f>
        <v/>
      </c>
      <c r="E2687" s="2" t="s">
        <v>12906</v>
      </c>
      <c r="F2687" s="2" t="s">
        <v>12907</v>
      </c>
      <c r="G2687" s="2" t="str">
        <f>"SR-3749"</f>
        <v>SR-3749</v>
      </c>
      <c r="H2687" s="2" t="s">
        <v>12908</v>
      </c>
      <c r="N2687" s="2" t="s">
        <v>21</v>
      </c>
    </row>
    <row r="2688" ht="15.75" customHeight="1">
      <c r="A2688" s="2">
        <v>2014.0</v>
      </c>
      <c r="B2688" s="2" t="s">
        <v>12909</v>
      </c>
      <c r="C2688" s="2" t="s">
        <v>12909</v>
      </c>
      <c r="D2688" s="2" t="str">
        <f>"7046843439"</f>
        <v>7046843439</v>
      </c>
      <c r="E2688" s="2" t="s">
        <v>580</v>
      </c>
      <c r="F2688" s="2" t="s">
        <v>938</v>
      </c>
      <c r="G2688" s="2" t="str">
        <f>"SR-3612"</f>
        <v>SR-3612</v>
      </c>
      <c r="H2688" s="2" t="s">
        <v>12910</v>
      </c>
      <c r="I2688" s="2" t="s">
        <v>12911</v>
      </c>
      <c r="K2688" s="2" t="s">
        <v>1612</v>
      </c>
      <c r="L2688" s="2" t="s">
        <v>20</v>
      </c>
      <c r="M2688" s="2">
        <v>28104.0</v>
      </c>
      <c r="N2688" s="2" t="s">
        <v>21</v>
      </c>
    </row>
    <row r="2689" ht="15.75" customHeight="1">
      <c r="A2689" s="2">
        <v>2014.0</v>
      </c>
      <c r="B2689" s="2" t="s">
        <v>5559</v>
      </c>
      <c r="C2689" s="2" t="s">
        <v>12912</v>
      </c>
      <c r="D2689" s="2" t="str">
        <f>"7048413629"</f>
        <v>7048413629</v>
      </c>
      <c r="E2689" s="2" t="s">
        <v>4300</v>
      </c>
      <c r="F2689" s="2" t="s">
        <v>5561</v>
      </c>
      <c r="G2689" s="2" t="str">
        <f>"SR-3563"</f>
        <v>SR-3563</v>
      </c>
      <c r="H2689" s="2" t="s">
        <v>12913</v>
      </c>
      <c r="I2689" s="2" t="s">
        <v>5563</v>
      </c>
      <c r="K2689" s="2" t="s">
        <v>12914</v>
      </c>
      <c r="L2689" s="2" t="s">
        <v>20</v>
      </c>
      <c r="M2689" s="2">
        <v>28227.0</v>
      </c>
      <c r="N2689" s="2" t="s">
        <v>21</v>
      </c>
    </row>
    <row r="2690" ht="15.75" customHeight="1">
      <c r="A2690" s="2">
        <v>2014.0</v>
      </c>
      <c r="B2690" s="2" t="s">
        <v>12915</v>
      </c>
      <c r="C2690" s="2" t="s">
        <v>12916</v>
      </c>
      <c r="D2690" s="2" t="str">
        <f>"8479421472"</f>
        <v>8479421472</v>
      </c>
      <c r="E2690" s="2" t="s">
        <v>12917</v>
      </c>
      <c r="F2690" s="2" t="s">
        <v>12918</v>
      </c>
      <c r="G2690" s="2" t="str">
        <f>"SR-3461"</f>
        <v>SR-3461</v>
      </c>
      <c r="H2690" s="2" t="s">
        <v>12919</v>
      </c>
      <c r="I2690" s="2" t="s">
        <v>12920</v>
      </c>
      <c r="K2690" s="2" t="s">
        <v>12921</v>
      </c>
      <c r="L2690" s="2" t="s">
        <v>105</v>
      </c>
      <c r="M2690" s="2">
        <v>60046.0</v>
      </c>
      <c r="N2690" s="2" t="s">
        <v>21</v>
      </c>
    </row>
    <row r="2691" ht="15.75" customHeight="1">
      <c r="A2691" s="2">
        <v>2014.0</v>
      </c>
      <c r="B2691" s="2" t="s">
        <v>8152</v>
      </c>
      <c r="C2691" s="2" t="s">
        <v>8153</v>
      </c>
      <c r="D2691" s="2" t="str">
        <f>"2483565218"</f>
        <v>2483565218</v>
      </c>
      <c r="E2691" s="2" t="s">
        <v>2355</v>
      </c>
      <c r="F2691" s="2" t="s">
        <v>2063</v>
      </c>
      <c r="G2691" s="2" t="str">
        <f>"SR-1726"</f>
        <v>SR-1726</v>
      </c>
      <c r="H2691" s="2" t="s">
        <v>8154</v>
      </c>
      <c r="I2691" s="2" t="s">
        <v>8155</v>
      </c>
      <c r="K2691" s="2" t="s">
        <v>8156</v>
      </c>
      <c r="L2691" s="2" t="s">
        <v>29</v>
      </c>
      <c r="M2691" s="2">
        <v>48033.0</v>
      </c>
      <c r="N2691" s="2" t="s">
        <v>21</v>
      </c>
    </row>
    <row r="2692" ht="15.75" customHeight="1">
      <c r="A2692" s="2">
        <v>2014.0</v>
      </c>
      <c r="B2692" s="2" t="s">
        <v>6225</v>
      </c>
      <c r="C2692" s="2" t="s">
        <v>12922</v>
      </c>
      <c r="D2692" s="2" t="str">
        <f>"254-223-7733"</f>
        <v>254-223-7733</v>
      </c>
      <c r="E2692" s="2" t="s">
        <v>9047</v>
      </c>
      <c r="F2692" s="2" t="s">
        <v>12923</v>
      </c>
      <c r="G2692" s="2" t="str">
        <f>"SR-3580"</f>
        <v>SR-3580</v>
      </c>
      <c r="H2692" s="2" t="s">
        <v>12924</v>
      </c>
      <c r="I2692" s="2" t="s">
        <v>12925</v>
      </c>
      <c r="K2692" s="2" t="s">
        <v>12926</v>
      </c>
      <c r="L2692" s="2" t="s">
        <v>172</v>
      </c>
      <c r="M2692" s="2">
        <v>76526.0</v>
      </c>
      <c r="N2692" s="2" t="s">
        <v>21</v>
      </c>
    </row>
    <row r="2693" ht="15.75" customHeight="1">
      <c r="A2693" s="2">
        <v>2014.0</v>
      </c>
      <c r="B2693" s="2" t="s">
        <v>12927</v>
      </c>
      <c r="D2693" s="2" t="str">
        <f>""</f>
        <v/>
      </c>
      <c r="E2693" s="2" t="s">
        <v>678</v>
      </c>
      <c r="F2693" s="2" t="s">
        <v>12928</v>
      </c>
      <c r="G2693" s="2" t="str">
        <f>"SR-3546"</f>
        <v>SR-3546</v>
      </c>
      <c r="H2693" s="2" t="s">
        <v>12929</v>
      </c>
    </row>
    <row r="2694" ht="15.75" customHeight="1">
      <c r="A2694" s="2">
        <v>2014.0</v>
      </c>
      <c r="B2694" s="2" t="s">
        <v>11957</v>
      </c>
      <c r="C2694" s="2" t="s">
        <v>12930</v>
      </c>
      <c r="D2694" s="2" t="str">
        <f>"330-488-2670"</f>
        <v>330-488-2670</v>
      </c>
      <c r="E2694" s="2" t="s">
        <v>11423</v>
      </c>
      <c r="F2694" s="2" t="s">
        <v>12931</v>
      </c>
      <c r="G2694" s="2" t="str">
        <f>"SR-3104"</f>
        <v>SR-3104</v>
      </c>
      <c r="H2694" s="2" t="s">
        <v>12932</v>
      </c>
      <c r="I2694" s="2" t="s">
        <v>12933</v>
      </c>
      <c r="K2694" s="2" t="s">
        <v>4037</v>
      </c>
      <c r="L2694" s="2" t="s">
        <v>344</v>
      </c>
      <c r="M2694" s="2">
        <v>44730.0</v>
      </c>
      <c r="N2694" s="2" t="s">
        <v>21</v>
      </c>
    </row>
    <row r="2695" ht="15.75" customHeight="1">
      <c r="A2695" s="2">
        <v>2014.0</v>
      </c>
      <c r="B2695" s="2" t="s">
        <v>12934</v>
      </c>
      <c r="C2695" s="2" t="s">
        <v>12934</v>
      </c>
      <c r="D2695" s="2" t="str">
        <f>"4435978995"</f>
        <v>4435978995</v>
      </c>
      <c r="E2695" s="2" t="s">
        <v>651</v>
      </c>
      <c r="F2695" s="2" t="s">
        <v>12673</v>
      </c>
      <c r="G2695" s="2" t="str">
        <f>"SR-3669"</f>
        <v>SR-3669</v>
      </c>
      <c r="H2695" s="2" t="s">
        <v>12935</v>
      </c>
      <c r="I2695" s="2" t="s">
        <v>12675</v>
      </c>
      <c r="K2695" s="2" t="s">
        <v>12676</v>
      </c>
      <c r="L2695" s="2" t="s">
        <v>1868</v>
      </c>
      <c r="M2695" s="2">
        <v>21012.0</v>
      </c>
      <c r="N2695" s="2" t="s">
        <v>21</v>
      </c>
    </row>
    <row r="2696" ht="15.75" customHeight="1">
      <c r="A2696" s="2">
        <v>2014.0</v>
      </c>
      <c r="B2696" s="2" t="s">
        <v>12936</v>
      </c>
      <c r="C2696" s="2" t="s">
        <v>12936</v>
      </c>
      <c r="D2696" s="2" t="str">
        <f>"281-450-2223"</f>
        <v>281-450-2223</v>
      </c>
      <c r="E2696" s="2" t="s">
        <v>12937</v>
      </c>
      <c r="F2696" s="2" t="s">
        <v>5895</v>
      </c>
      <c r="G2696" s="2" t="str">
        <f>"SR-3759"</f>
        <v>SR-3759</v>
      </c>
      <c r="H2696" s="2" t="s">
        <v>12938</v>
      </c>
      <c r="I2696" s="2" t="s">
        <v>12040</v>
      </c>
      <c r="K2696" s="2" t="s">
        <v>5404</v>
      </c>
      <c r="L2696" s="2" t="s">
        <v>172</v>
      </c>
      <c r="M2696" s="2">
        <v>77354.0</v>
      </c>
      <c r="N2696" s="2" t="s">
        <v>21</v>
      </c>
    </row>
    <row r="2697" ht="15.75" customHeight="1">
      <c r="A2697" s="2">
        <v>2014.0</v>
      </c>
      <c r="B2697" s="2" t="s">
        <v>12939</v>
      </c>
      <c r="C2697" s="2" t="s">
        <v>12940</v>
      </c>
      <c r="D2697" s="2" t="str">
        <f>"7204741193"</f>
        <v>7204741193</v>
      </c>
      <c r="E2697" s="2" t="s">
        <v>580</v>
      </c>
      <c r="F2697" s="2" t="s">
        <v>12941</v>
      </c>
      <c r="G2697" s="2" t="str">
        <f>"SR-3762"</f>
        <v>SR-3762</v>
      </c>
      <c r="H2697" s="2" t="s">
        <v>12942</v>
      </c>
      <c r="I2697" s="2" t="s">
        <v>12943</v>
      </c>
      <c r="K2697" s="2" t="s">
        <v>1054</v>
      </c>
      <c r="L2697" s="2" t="s">
        <v>157</v>
      </c>
      <c r="M2697" s="2">
        <v>80134.0</v>
      </c>
      <c r="N2697" s="2" t="s">
        <v>21</v>
      </c>
    </row>
    <row r="2698" ht="15.75" customHeight="1">
      <c r="A2698" s="2">
        <v>2014.0</v>
      </c>
      <c r="B2698" s="2" t="s">
        <v>12944</v>
      </c>
      <c r="C2698" s="2" t="s">
        <v>12945</v>
      </c>
      <c r="D2698" s="2" t="str">
        <f>"2074522449"</f>
        <v>2074522449</v>
      </c>
      <c r="E2698" s="2" t="s">
        <v>12946</v>
      </c>
      <c r="F2698" s="2" t="s">
        <v>12947</v>
      </c>
      <c r="G2698" s="2" t="str">
        <f>"SR-2533"</f>
        <v>SR-2533</v>
      </c>
      <c r="H2698" s="2" t="s">
        <v>12948</v>
      </c>
      <c r="I2698" s="2" t="s">
        <v>12949</v>
      </c>
      <c r="K2698" s="2" t="s">
        <v>12950</v>
      </c>
      <c r="L2698" s="2" t="s">
        <v>3737</v>
      </c>
      <c r="M2698" s="2">
        <v>4022.0</v>
      </c>
      <c r="N2698" s="2" t="s">
        <v>21</v>
      </c>
    </row>
    <row r="2699" ht="15.75" customHeight="1">
      <c r="A2699" s="2">
        <v>2014.0</v>
      </c>
      <c r="B2699" s="2" t="s">
        <v>12951</v>
      </c>
      <c r="C2699" s="2" t="s">
        <v>12951</v>
      </c>
      <c r="D2699" s="2" t="str">
        <f>"405 488-7395"</f>
        <v>405 488-7395</v>
      </c>
      <c r="E2699" s="2" t="s">
        <v>492</v>
      </c>
      <c r="F2699" s="2" t="s">
        <v>12952</v>
      </c>
      <c r="G2699" s="2" t="str">
        <f>"SR-3666"</f>
        <v>SR-3666</v>
      </c>
      <c r="H2699" s="2" t="s">
        <v>12953</v>
      </c>
      <c r="I2699" s="2" t="s">
        <v>12954</v>
      </c>
      <c r="K2699" s="2" t="s">
        <v>12955</v>
      </c>
      <c r="L2699" s="2" t="s">
        <v>840</v>
      </c>
      <c r="M2699" s="2">
        <v>73157.0</v>
      </c>
      <c r="N2699" s="2" t="s">
        <v>21</v>
      </c>
    </row>
    <row r="2700" ht="15.75" customHeight="1">
      <c r="A2700" s="2">
        <v>2014.0</v>
      </c>
      <c r="B2700" s="2" t="s">
        <v>6225</v>
      </c>
      <c r="C2700" s="2" t="s">
        <v>12956</v>
      </c>
      <c r="D2700" s="2" t="str">
        <f>"2542163175"</f>
        <v>2542163175</v>
      </c>
      <c r="E2700" s="2" t="s">
        <v>88</v>
      </c>
      <c r="F2700" s="2" t="s">
        <v>10469</v>
      </c>
      <c r="G2700" s="2" t="str">
        <f>"SR-3758"</f>
        <v>SR-3758</v>
      </c>
      <c r="H2700" s="2" t="s">
        <v>12957</v>
      </c>
      <c r="I2700" s="2" t="s">
        <v>12958</v>
      </c>
      <c r="K2700" s="2" t="s">
        <v>12959</v>
      </c>
      <c r="L2700" s="2" t="s">
        <v>172</v>
      </c>
      <c r="M2700" s="2">
        <v>76528.0</v>
      </c>
      <c r="N2700" s="2" t="s">
        <v>21</v>
      </c>
    </row>
    <row r="2701" ht="15.75" customHeight="1">
      <c r="A2701" s="2">
        <v>2014.0</v>
      </c>
      <c r="B2701" s="2" t="s">
        <v>12960</v>
      </c>
      <c r="C2701" s="2" t="s">
        <v>12960</v>
      </c>
      <c r="D2701" s="2" t="str">
        <f>"601-248-9771"</f>
        <v>601-248-9771</v>
      </c>
      <c r="E2701" s="2" t="s">
        <v>6121</v>
      </c>
      <c r="F2701" s="2" t="s">
        <v>12961</v>
      </c>
      <c r="G2701" s="2" t="str">
        <f>"SR-3698"</f>
        <v>SR-3698</v>
      </c>
      <c r="H2701" s="2" t="s">
        <v>12962</v>
      </c>
      <c r="I2701" s="2" t="s">
        <v>12963</v>
      </c>
      <c r="K2701" s="2" t="s">
        <v>12964</v>
      </c>
      <c r="L2701" s="2" t="s">
        <v>1722</v>
      </c>
      <c r="M2701" s="2">
        <v>3966.0</v>
      </c>
      <c r="N2701" s="2" t="s">
        <v>21</v>
      </c>
    </row>
    <row r="2702" ht="15.75" customHeight="1">
      <c r="A2702" s="2">
        <v>2014.0</v>
      </c>
      <c r="B2702" s="2" t="s">
        <v>12965</v>
      </c>
      <c r="C2702" s="2" t="s">
        <v>12966</v>
      </c>
      <c r="D2702" s="2" t="str">
        <f>"979-209-0733"</f>
        <v>979-209-0733</v>
      </c>
      <c r="E2702" s="2" t="s">
        <v>12967</v>
      </c>
      <c r="F2702" s="2" t="s">
        <v>12968</v>
      </c>
      <c r="G2702" s="2" t="str">
        <f>"SR-3763"</f>
        <v>SR-3763</v>
      </c>
      <c r="H2702" s="2" t="s">
        <v>12969</v>
      </c>
      <c r="I2702" s="2" t="s">
        <v>12970</v>
      </c>
      <c r="K2702" s="2" t="s">
        <v>2969</v>
      </c>
      <c r="L2702" s="2" t="s">
        <v>172</v>
      </c>
      <c r="M2702" s="2">
        <v>77845.0</v>
      </c>
      <c r="N2702" s="2" t="s">
        <v>21</v>
      </c>
    </row>
    <row r="2703" ht="15.75" customHeight="1">
      <c r="A2703" s="2">
        <v>2014.0</v>
      </c>
      <c r="B2703" s="2" t="s">
        <v>12971</v>
      </c>
      <c r="C2703" s="2" t="s">
        <v>12972</v>
      </c>
      <c r="D2703" s="2" t="str">
        <f>"320-585-6141"</f>
        <v>320-585-6141</v>
      </c>
      <c r="E2703" s="2" t="s">
        <v>12973</v>
      </c>
      <c r="F2703" s="2" t="s">
        <v>12974</v>
      </c>
      <c r="G2703" s="2" t="str">
        <f>"SR-3586"</f>
        <v>SR-3586</v>
      </c>
      <c r="H2703" s="2" t="s">
        <v>12975</v>
      </c>
      <c r="I2703" s="2" t="s">
        <v>12976</v>
      </c>
      <c r="K2703" s="2" t="s">
        <v>1533</v>
      </c>
      <c r="L2703" s="2" t="s">
        <v>62</v>
      </c>
      <c r="M2703" s="2">
        <v>56267.0</v>
      </c>
      <c r="N2703" s="2" t="s">
        <v>21</v>
      </c>
    </row>
    <row r="2704" ht="15.75" customHeight="1">
      <c r="A2704" s="2">
        <v>2014.0</v>
      </c>
      <c r="B2704" s="2" t="s">
        <v>12977</v>
      </c>
      <c r="C2704" s="2" t="s">
        <v>12978</v>
      </c>
      <c r="D2704" s="2" t="str">
        <f t="shared" ref="D2704:D2705" si="42">"309-627-2245"</f>
        <v>309-627-2245</v>
      </c>
      <c r="E2704" s="2" t="s">
        <v>250</v>
      </c>
      <c r="F2704" s="2" t="s">
        <v>5632</v>
      </c>
      <c r="G2704" s="2" t="str">
        <f>"SR-2598"</f>
        <v>SR-2598</v>
      </c>
      <c r="H2704" s="2" t="s">
        <v>12979</v>
      </c>
      <c r="I2704" s="2" t="s">
        <v>12980</v>
      </c>
      <c r="K2704" s="2" t="s">
        <v>12981</v>
      </c>
      <c r="L2704" s="2" t="s">
        <v>105</v>
      </c>
      <c r="M2704" s="2">
        <v>61453.0</v>
      </c>
      <c r="N2704" s="2" t="s">
        <v>21</v>
      </c>
    </row>
    <row r="2705" ht="15.75" customHeight="1">
      <c r="A2705" s="2">
        <v>2014.0</v>
      </c>
      <c r="B2705" s="2" t="s">
        <v>12977</v>
      </c>
      <c r="C2705" s="2" t="s">
        <v>12982</v>
      </c>
      <c r="D2705" s="2" t="str">
        <f t="shared" si="42"/>
        <v>309-627-2245</v>
      </c>
      <c r="E2705" s="2" t="s">
        <v>485</v>
      </c>
      <c r="F2705" s="2" t="s">
        <v>5632</v>
      </c>
      <c r="G2705" s="2" t="str">
        <f>"SR-2595"</f>
        <v>SR-2595</v>
      </c>
      <c r="H2705" s="2" t="s">
        <v>12983</v>
      </c>
      <c r="I2705" s="2" t="s">
        <v>12984</v>
      </c>
      <c r="K2705" s="2" t="s">
        <v>12981</v>
      </c>
      <c r="L2705" s="2" t="s">
        <v>105</v>
      </c>
      <c r="M2705" s="2">
        <v>61453.0</v>
      </c>
      <c r="N2705" s="2" t="s">
        <v>21</v>
      </c>
    </row>
    <row r="2706" ht="15.75" customHeight="1">
      <c r="A2706" s="2">
        <v>2014.0</v>
      </c>
      <c r="B2706" s="2" t="s">
        <v>12985</v>
      </c>
      <c r="D2706" s="2" t="str">
        <f>""</f>
        <v/>
      </c>
      <c r="E2706" s="2" t="s">
        <v>12986</v>
      </c>
      <c r="F2706" s="2" t="s">
        <v>12987</v>
      </c>
      <c r="G2706" s="2" t="str">
        <f>"SR-3765"</f>
        <v>SR-3765</v>
      </c>
      <c r="H2706" s="2" t="s">
        <v>12988</v>
      </c>
    </row>
    <row r="2707" ht="15.75" customHeight="1">
      <c r="A2707" s="2">
        <v>2014.0</v>
      </c>
      <c r="B2707" s="2" t="s">
        <v>12989</v>
      </c>
      <c r="C2707" s="2" t="s">
        <v>12989</v>
      </c>
      <c r="D2707" s="2" t="str">
        <f>"5153601527"</f>
        <v>5153601527</v>
      </c>
      <c r="E2707" s="2" t="s">
        <v>12990</v>
      </c>
      <c r="F2707" s="2" t="s">
        <v>12991</v>
      </c>
      <c r="G2707" s="2" t="str">
        <f>"SR-3723"</f>
        <v>SR-3723</v>
      </c>
      <c r="H2707" s="2" t="s">
        <v>12992</v>
      </c>
      <c r="I2707" s="2" t="s">
        <v>12993</v>
      </c>
      <c r="K2707" s="2" t="s">
        <v>12994</v>
      </c>
      <c r="L2707" s="2" t="s">
        <v>560</v>
      </c>
      <c r="M2707" s="2">
        <v>50072.0</v>
      </c>
      <c r="N2707" s="2" t="s">
        <v>21</v>
      </c>
    </row>
    <row r="2708" ht="15.75" customHeight="1">
      <c r="A2708" s="2">
        <v>2014.0</v>
      </c>
      <c r="B2708" s="2" t="s">
        <v>12995</v>
      </c>
      <c r="C2708" s="2" t="s">
        <v>12996</v>
      </c>
      <c r="D2708" s="2" t="str">
        <f>"8038185631"</f>
        <v>8038185631</v>
      </c>
      <c r="E2708" s="2" t="s">
        <v>137</v>
      </c>
      <c r="F2708" s="2" t="s">
        <v>1586</v>
      </c>
      <c r="G2708" s="2" t="str">
        <f>"SR-3767"</f>
        <v>SR-3767</v>
      </c>
      <c r="H2708" s="2" t="s">
        <v>12997</v>
      </c>
      <c r="I2708" s="2" t="s">
        <v>12998</v>
      </c>
      <c r="K2708" s="2" t="s">
        <v>12999</v>
      </c>
      <c r="L2708" s="2" t="s">
        <v>55</v>
      </c>
      <c r="M2708" s="2">
        <v>29710.0</v>
      </c>
      <c r="N2708" s="2" t="s">
        <v>21</v>
      </c>
    </row>
    <row r="2709" ht="15.75" customHeight="1">
      <c r="A2709" s="2">
        <v>2014.0</v>
      </c>
      <c r="B2709" s="2" t="s">
        <v>13000</v>
      </c>
      <c r="C2709" s="2" t="s">
        <v>13001</v>
      </c>
      <c r="D2709" s="2" t="str">
        <f>"785-436-2274"</f>
        <v>785-436-2274</v>
      </c>
      <c r="E2709" s="2" t="s">
        <v>5583</v>
      </c>
      <c r="F2709" s="2" t="s">
        <v>13002</v>
      </c>
      <c r="G2709" s="2" t="str">
        <f>"SR-3676"</f>
        <v>SR-3676</v>
      </c>
      <c r="H2709" s="2" t="s">
        <v>13003</v>
      </c>
      <c r="I2709" s="2" t="s">
        <v>13004</v>
      </c>
      <c r="K2709" s="2" t="s">
        <v>13005</v>
      </c>
      <c r="L2709" s="2" t="s">
        <v>272</v>
      </c>
      <c r="M2709" s="2">
        <v>67423.0</v>
      </c>
      <c r="N2709" s="2" t="s">
        <v>21</v>
      </c>
    </row>
    <row r="2710" ht="15.75" customHeight="1">
      <c r="A2710" s="2">
        <v>2014.0</v>
      </c>
      <c r="B2710" s="2" t="s">
        <v>13006</v>
      </c>
      <c r="C2710" s="2" t="s">
        <v>13006</v>
      </c>
      <c r="D2710" s="2" t="str">
        <f>"832-465-6773"</f>
        <v>832-465-6773</v>
      </c>
      <c r="E2710" s="2" t="s">
        <v>6266</v>
      </c>
      <c r="F2710" s="2" t="s">
        <v>5895</v>
      </c>
      <c r="G2710" s="2" t="str">
        <f>"SR-3768"</f>
        <v>SR-3768</v>
      </c>
      <c r="H2710" s="2" t="s">
        <v>13007</v>
      </c>
      <c r="I2710" s="2" t="s">
        <v>12040</v>
      </c>
      <c r="K2710" s="2" t="s">
        <v>5404</v>
      </c>
      <c r="L2710" s="2" t="s">
        <v>172</v>
      </c>
      <c r="M2710" s="2">
        <v>77354.0</v>
      </c>
      <c r="N2710" s="2" t="s">
        <v>21</v>
      </c>
    </row>
    <row r="2711" ht="15.75" customHeight="1">
      <c r="A2711" s="2">
        <v>2014.0</v>
      </c>
      <c r="B2711" s="2" t="s">
        <v>13008</v>
      </c>
      <c r="C2711" s="2" t="s">
        <v>13009</v>
      </c>
      <c r="D2711" s="2" t="str">
        <f>"330-260-0509"</f>
        <v>330-260-0509</v>
      </c>
      <c r="E2711" s="2" t="s">
        <v>580</v>
      </c>
      <c r="F2711" s="2" t="s">
        <v>13010</v>
      </c>
      <c r="G2711" s="2" t="str">
        <f>"SR-3770"</f>
        <v>SR-3770</v>
      </c>
      <c r="H2711" s="2" t="s">
        <v>13011</v>
      </c>
      <c r="I2711" s="2" t="s">
        <v>13012</v>
      </c>
      <c r="K2711" s="2" t="s">
        <v>13013</v>
      </c>
      <c r="L2711" s="2" t="s">
        <v>344</v>
      </c>
      <c r="M2711" s="2">
        <v>44224.0</v>
      </c>
      <c r="N2711" s="2" t="s">
        <v>21</v>
      </c>
    </row>
    <row r="2712" ht="15.75" customHeight="1">
      <c r="A2712" s="2">
        <v>2014.0</v>
      </c>
      <c r="B2712" s="2" t="s">
        <v>13014</v>
      </c>
      <c r="C2712" s="2" t="s">
        <v>13014</v>
      </c>
      <c r="D2712" s="2" t="str">
        <f>"(937)898-9657"</f>
        <v>(937)898-9657</v>
      </c>
      <c r="E2712" s="2" t="s">
        <v>428</v>
      </c>
      <c r="F2712" s="2" t="s">
        <v>13015</v>
      </c>
      <c r="G2712" s="2" t="str">
        <f>"SR-3644"</f>
        <v>SR-3644</v>
      </c>
      <c r="H2712" s="2" t="s">
        <v>13016</v>
      </c>
      <c r="I2712" s="2" t="s">
        <v>13017</v>
      </c>
      <c r="K2712" s="2" t="s">
        <v>4310</v>
      </c>
      <c r="L2712" s="2" t="s">
        <v>344</v>
      </c>
      <c r="M2712" s="2">
        <v>45415.0</v>
      </c>
      <c r="N2712" s="2" t="s">
        <v>21</v>
      </c>
    </row>
    <row r="2713" ht="15.75" customHeight="1">
      <c r="A2713" s="2">
        <v>2014.0</v>
      </c>
      <c r="B2713" s="2" t="s">
        <v>13018</v>
      </c>
      <c r="C2713" s="2" t="s">
        <v>13019</v>
      </c>
      <c r="D2713" s="2" t="str">
        <f>"937-248-8677"</f>
        <v>937-248-8677</v>
      </c>
      <c r="E2713" s="2" t="s">
        <v>250</v>
      </c>
      <c r="F2713" s="2" t="s">
        <v>1170</v>
      </c>
      <c r="G2713" s="2" t="str">
        <f>"SR-3513"</f>
        <v>SR-3513</v>
      </c>
      <c r="H2713" s="2" t="s">
        <v>13020</v>
      </c>
      <c r="I2713" s="2" t="s">
        <v>13021</v>
      </c>
      <c r="K2713" s="2" t="s">
        <v>185</v>
      </c>
      <c r="L2713" s="2" t="s">
        <v>344</v>
      </c>
      <c r="M2713" s="2">
        <v>45322.0</v>
      </c>
      <c r="N2713" s="2" t="s">
        <v>21</v>
      </c>
    </row>
    <row r="2714" ht="15.75" customHeight="1">
      <c r="A2714" s="2">
        <v>2014.0</v>
      </c>
      <c r="B2714" s="2" t="s">
        <v>13022</v>
      </c>
      <c r="C2714" s="2" t="s">
        <v>13022</v>
      </c>
      <c r="D2714" s="2" t="str">
        <f>"904-460-2901"</f>
        <v>904-460-2901</v>
      </c>
      <c r="E2714" s="2" t="s">
        <v>417</v>
      </c>
      <c r="F2714" s="2" t="s">
        <v>13023</v>
      </c>
      <c r="G2714" s="2" t="str">
        <f>"SR-3766"</f>
        <v>SR-3766</v>
      </c>
      <c r="H2714" s="2" t="s">
        <v>13024</v>
      </c>
      <c r="I2714" s="2" t="s">
        <v>13025</v>
      </c>
      <c r="K2714" s="2" t="s">
        <v>451</v>
      </c>
      <c r="L2714" s="2" t="s">
        <v>208</v>
      </c>
      <c r="M2714" s="2">
        <v>32259.0</v>
      </c>
      <c r="N2714" s="2" t="s">
        <v>21</v>
      </c>
    </row>
    <row r="2715" ht="15.75" customHeight="1">
      <c r="A2715" s="2">
        <v>2014.0</v>
      </c>
      <c r="B2715" s="2" t="s">
        <v>13026</v>
      </c>
      <c r="C2715" s="2" t="s">
        <v>13026</v>
      </c>
      <c r="D2715" s="2" t="str">
        <f>"6052220618"</f>
        <v>6052220618</v>
      </c>
      <c r="E2715" s="2" t="s">
        <v>13027</v>
      </c>
      <c r="F2715" s="2" t="s">
        <v>962</v>
      </c>
      <c r="G2715" s="2" t="str">
        <f>"SR-3231"</f>
        <v>SR-3231</v>
      </c>
      <c r="H2715" s="2" t="s">
        <v>13028</v>
      </c>
      <c r="I2715" s="2" t="s">
        <v>13029</v>
      </c>
      <c r="K2715" s="2" t="s">
        <v>4355</v>
      </c>
      <c r="L2715" s="2" t="s">
        <v>920</v>
      </c>
      <c r="M2715" s="2">
        <v>57501.0</v>
      </c>
      <c r="N2715" s="2" t="s">
        <v>21</v>
      </c>
    </row>
    <row r="2716" ht="15.75" customHeight="1">
      <c r="A2716" s="2">
        <v>2014.0</v>
      </c>
      <c r="B2716" s="2" t="s">
        <v>13030</v>
      </c>
      <c r="C2716" s="2" t="s">
        <v>13030</v>
      </c>
      <c r="D2716" s="2" t="str">
        <f>"60528070999"</f>
        <v>60528070999</v>
      </c>
      <c r="E2716" s="2" t="s">
        <v>1642</v>
      </c>
      <c r="F2716" s="2" t="s">
        <v>7004</v>
      </c>
      <c r="G2716" s="2" t="str">
        <f>"SR-3227"</f>
        <v>SR-3227</v>
      </c>
      <c r="H2716" s="2" t="s">
        <v>7005</v>
      </c>
      <c r="I2716" s="2" t="s">
        <v>7006</v>
      </c>
      <c r="K2716" s="2" t="s">
        <v>4355</v>
      </c>
      <c r="L2716" s="2" t="s">
        <v>920</v>
      </c>
      <c r="M2716" s="2">
        <v>57501.0</v>
      </c>
      <c r="N2716" s="2" t="s">
        <v>21</v>
      </c>
    </row>
    <row r="2717" ht="15.75" customHeight="1">
      <c r="A2717" s="2">
        <v>2014.0</v>
      </c>
      <c r="B2717" s="2" t="s">
        <v>13031</v>
      </c>
      <c r="C2717" s="2" t="s">
        <v>13032</v>
      </c>
      <c r="D2717" s="2" t="str">
        <f>"580-216-1335"</f>
        <v>580-216-1335</v>
      </c>
      <c r="E2717" s="2" t="s">
        <v>553</v>
      </c>
      <c r="F2717" s="2" t="s">
        <v>13033</v>
      </c>
      <c r="G2717" s="2" t="str">
        <f>"SR-3683"</f>
        <v>SR-3683</v>
      </c>
      <c r="H2717" s="2" t="s">
        <v>13034</v>
      </c>
      <c r="I2717" s="2" t="s">
        <v>13035</v>
      </c>
      <c r="K2717" s="2" t="s">
        <v>13036</v>
      </c>
      <c r="L2717" s="2" t="s">
        <v>840</v>
      </c>
      <c r="M2717" s="2">
        <v>73801.0</v>
      </c>
      <c r="N2717" s="2" t="s">
        <v>21</v>
      </c>
    </row>
    <row r="2718" ht="15.75" customHeight="1">
      <c r="A2718" s="2">
        <v>2014.0</v>
      </c>
      <c r="B2718" s="2" t="s">
        <v>13037</v>
      </c>
      <c r="C2718" s="2" t="s">
        <v>13038</v>
      </c>
      <c r="D2718" s="2" t="str">
        <f>"608-655-3519"</f>
        <v>608-655-3519</v>
      </c>
      <c r="E2718" s="2" t="s">
        <v>908</v>
      </c>
      <c r="F2718" s="2" t="s">
        <v>13039</v>
      </c>
      <c r="G2718" s="2" t="str">
        <f>"SR-3773"</f>
        <v>SR-3773</v>
      </c>
      <c r="H2718" s="2" t="s">
        <v>13040</v>
      </c>
      <c r="I2718" s="2" t="s">
        <v>13041</v>
      </c>
      <c r="K2718" s="2" t="s">
        <v>3511</v>
      </c>
      <c r="L2718" s="2" t="s">
        <v>193</v>
      </c>
      <c r="M2718" s="2">
        <v>53559.0</v>
      </c>
      <c r="N2718" s="2" t="s">
        <v>21</v>
      </c>
    </row>
    <row r="2719" ht="15.75" customHeight="1">
      <c r="A2719" s="2">
        <v>2014.0</v>
      </c>
      <c r="B2719" s="2" t="s">
        <v>13042</v>
      </c>
      <c r="C2719" s="2" t="s">
        <v>13042</v>
      </c>
      <c r="D2719" s="2" t="str">
        <f>"317 420 1214"</f>
        <v>317 420 1214</v>
      </c>
      <c r="E2719" s="2" t="s">
        <v>3597</v>
      </c>
      <c r="F2719" s="2" t="s">
        <v>13043</v>
      </c>
      <c r="G2719" s="2" t="str">
        <f>"SR-3366"</f>
        <v>SR-3366</v>
      </c>
      <c r="H2719" s="2" t="s">
        <v>13044</v>
      </c>
      <c r="I2719" s="2" t="s">
        <v>13045</v>
      </c>
      <c r="K2719" s="2" t="s">
        <v>2695</v>
      </c>
      <c r="L2719" s="2" t="s">
        <v>149</v>
      </c>
      <c r="M2719" s="2">
        <v>46069.0</v>
      </c>
      <c r="N2719" s="2" t="s">
        <v>21</v>
      </c>
    </row>
    <row r="2720" ht="15.75" customHeight="1">
      <c r="A2720" s="2">
        <v>2014.0</v>
      </c>
      <c r="B2720" s="2" t="s">
        <v>13046</v>
      </c>
      <c r="C2720" s="2" t="s">
        <v>13047</v>
      </c>
      <c r="D2720" s="2" t="str">
        <f>"7056894644"</f>
        <v>7056894644</v>
      </c>
      <c r="E2720" s="2" t="s">
        <v>3480</v>
      </c>
      <c r="F2720" s="2" t="s">
        <v>13048</v>
      </c>
      <c r="G2720" s="2" t="str">
        <f>"SR-3462"</f>
        <v>SR-3462</v>
      </c>
      <c r="H2720" s="2" t="s">
        <v>13049</v>
      </c>
      <c r="I2720" s="2" t="s">
        <v>13050</v>
      </c>
      <c r="K2720" s="2" t="s">
        <v>13051</v>
      </c>
      <c r="L2720" s="2" t="s">
        <v>2015</v>
      </c>
      <c r="M2720" s="2" t="s">
        <v>13052</v>
      </c>
      <c r="N2720" s="2" t="s">
        <v>1602</v>
      </c>
    </row>
    <row r="2721" ht="15.75" customHeight="1">
      <c r="A2721" s="2">
        <v>2014.0</v>
      </c>
      <c r="B2721" s="2" t="s">
        <v>13053</v>
      </c>
      <c r="C2721" s="2" t="s">
        <v>13054</v>
      </c>
      <c r="D2721" s="2" t="str">
        <f>"2085071867"</f>
        <v>2085071867</v>
      </c>
      <c r="E2721" s="2" t="s">
        <v>72</v>
      </c>
      <c r="F2721" s="2" t="s">
        <v>6760</v>
      </c>
      <c r="G2721" s="2" t="str">
        <f>"SR-3604"</f>
        <v>SR-3604</v>
      </c>
      <c r="H2721" s="2" t="s">
        <v>13055</v>
      </c>
      <c r="I2721" s="2" t="s">
        <v>13056</v>
      </c>
      <c r="K2721" s="2" t="s">
        <v>13057</v>
      </c>
      <c r="L2721" s="2" t="s">
        <v>2613</v>
      </c>
      <c r="M2721" s="2">
        <v>83530.0</v>
      </c>
      <c r="N2721" s="2" t="s">
        <v>21</v>
      </c>
    </row>
    <row r="2722" ht="15.75" customHeight="1">
      <c r="A2722" s="2">
        <v>2014.0</v>
      </c>
      <c r="B2722" s="2" t="s">
        <v>13058</v>
      </c>
      <c r="C2722" s="2" t="s">
        <v>13059</v>
      </c>
      <c r="D2722" s="2" t="str">
        <f>"605-224-6788"</f>
        <v>605-224-6788</v>
      </c>
      <c r="E2722" s="2" t="s">
        <v>3888</v>
      </c>
      <c r="F2722" s="2" t="s">
        <v>1451</v>
      </c>
      <c r="G2722" s="2" t="str">
        <f>"SR-811"</f>
        <v>SR-811</v>
      </c>
      <c r="H2722" s="2" t="s">
        <v>13060</v>
      </c>
      <c r="I2722" s="2" t="s">
        <v>13061</v>
      </c>
      <c r="K2722" s="2" t="s">
        <v>4355</v>
      </c>
      <c r="L2722" s="2" t="s">
        <v>920</v>
      </c>
      <c r="M2722" s="2">
        <v>57501.0</v>
      </c>
      <c r="N2722" s="2" t="s">
        <v>21</v>
      </c>
    </row>
    <row r="2723" ht="15.75" customHeight="1">
      <c r="A2723" s="2">
        <v>2014.0</v>
      </c>
      <c r="B2723" s="2" t="s">
        <v>13058</v>
      </c>
      <c r="D2723" s="2" t="str">
        <f>""</f>
        <v/>
      </c>
      <c r="E2723" s="2" t="s">
        <v>167</v>
      </c>
      <c r="F2723" s="2" t="s">
        <v>1451</v>
      </c>
      <c r="G2723" s="2" t="str">
        <f>"SR-3087"</f>
        <v>SR-3087</v>
      </c>
      <c r="H2723" s="2" t="s">
        <v>13062</v>
      </c>
      <c r="N2723" s="2" t="s">
        <v>21</v>
      </c>
    </row>
    <row r="2724" ht="15.75" customHeight="1">
      <c r="A2724" s="2">
        <v>2014.0</v>
      </c>
      <c r="B2724" s="2" t="s">
        <v>13063</v>
      </c>
      <c r="C2724" s="2" t="s">
        <v>13064</v>
      </c>
      <c r="D2724" s="2" t="str">
        <f>"519-393-5789"</f>
        <v>519-393-5789</v>
      </c>
      <c r="E2724" s="2" t="s">
        <v>13065</v>
      </c>
      <c r="F2724" s="2" t="s">
        <v>13066</v>
      </c>
      <c r="G2724" s="2" t="str">
        <f>"SR-3427"</f>
        <v>SR-3427</v>
      </c>
      <c r="H2724" s="2" t="s">
        <v>13067</v>
      </c>
      <c r="I2724" s="2" t="s">
        <v>13068</v>
      </c>
      <c r="J2724" s="2" t="s">
        <v>13069</v>
      </c>
      <c r="K2724" s="2" t="s">
        <v>666</v>
      </c>
      <c r="L2724" s="2" t="s">
        <v>2015</v>
      </c>
      <c r="M2724" s="2" t="s">
        <v>13070</v>
      </c>
      <c r="N2724" s="2" t="s">
        <v>1602</v>
      </c>
    </row>
    <row r="2725" ht="15.75" customHeight="1">
      <c r="A2725" s="2">
        <v>2014.0</v>
      </c>
      <c r="B2725" s="2" t="s">
        <v>13071</v>
      </c>
      <c r="C2725" s="2" t="s">
        <v>13072</v>
      </c>
      <c r="D2725" s="2" t="str">
        <f>"325-812-2750"</f>
        <v>325-812-2750</v>
      </c>
      <c r="E2725" s="2" t="s">
        <v>137</v>
      </c>
      <c r="F2725" s="2" t="s">
        <v>13073</v>
      </c>
      <c r="G2725" s="2" t="str">
        <f>"SR-3426"</f>
        <v>SR-3426</v>
      </c>
      <c r="H2725" s="2" t="s">
        <v>13074</v>
      </c>
      <c r="I2725" s="2" t="s">
        <v>13075</v>
      </c>
      <c r="K2725" s="2" t="s">
        <v>5108</v>
      </c>
      <c r="L2725" s="2" t="s">
        <v>172</v>
      </c>
      <c r="M2725" s="2">
        <v>75752.0</v>
      </c>
      <c r="N2725" s="2" t="s">
        <v>21</v>
      </c>
    </row>
    <row r="2726" ht="15.75" customHeight="1">
      <c r="A2726" s="2">
        <v>2014.0</v>
      </c>
      <c r="B2726" s="2" t="s">
        <v>13076</v>
      </c>
      <c r="C2726" s="2" t="s">
        <v>13077</v>
      </c>
      <c r="D2726" s="2" t="str">
        <f>"7608897466"</f>
        <v>7608897466</v>
      </c>
      <c r="E2726" s="2" t="s">
        <v>385</v>
      </c>
      <c r="F2726" s="2" t="s">
        <v>13078</v>
      </c>
      <c r="G2726" s="2" t="str">
        <f>"SR-3658"</f>
        <v>SR-3658</v>
      </c>
      <c r="H2726" s="2" t="s">
        <v>13079</v>
      </c>
      <c r="I2726" s="2" t="s">
        <v>13080</v>
      </c>
      <c r="K2726" s="2" t="s">
        <v>13081</v>
      </c>
      <c r="L2726" s="2" t="s">
        <v>222</v>
      </c>
      <c r="M2726" s="2">
        <v>92010.0</v>
      </c>
      <c r="N2726" s="2" t="s">
        <v>21</v>
      </c>
    </row>
    <row r="2727" ht="15.75" customHeight="1">
      <c r="A2727" s="2">
        <v>2014.0</v>
      </c>
      <c r="B2727" s="2" t="s">
        <v>13082</v>
      </c>
      <c r="C2727" s="2" t="s">
        <v>13082</v>
      </c>
      <c r="D2727" s="2" t="str">
        <f>"(306)752-1811"</f>
        <v>(306)752-1811</v>
      </c>
      <c r="E2727" s="2" t="s">
        <v>24</v>
      </c>
      <c r="F2727" s="2" t="s">
        <v>13083</v>
      </c>
      <c r="G2727" s="2" t="str">
        <f>"SR-3246"</f>
        <v>SR-3246</v>
      </c>
      <c r="H2727" s="2" t="s">
        <v>13084</v>
      </c>
      <c r="I2727" s="2" t="s">
        <v>13085</v>
      </c>
      <c r="K2727" s="2" t="s">
        <v>13086</v>
      </c>
      <c r="L2727" s="2" t="s">
        <v>13087</v>
      </c>
      <c r="M2727" s="2" t="s">
        <v>13088</v>
      </c>
      <c r="N2727" s="2" t="s">
        <v>1602</v>
      </c>
    </row>
    <row r="2728" ht="15.75" customHeight="1">
      <c r="A2728" s="2">
        <v>2014.0</v>
      </c>
      <c r="B2728" s="2" t="s">
        <v>13089</v>
      </c>
      <c r="C2728" s="2" t="s">
        <v>13090</v>
      </c>
      <c r="D2728" s="2" t="str">
        <f>"208-983-7535"</f>
        <v>208-983-7535</v>
      </c>
      <c r="E2728" s="2" t="s">
        <v>2965</v>
      </c>
      <c r="F2728" s="2" t="s">
        <v>13091</v>
      </c>
      <c r="G2728" s="2" t="str">
        <f>"SR-3784"</f>
        <v>SR-3784</v>
      </c>
      <c r="H2728" s="2" t="s">
        <v>13092</v>
      </c>
      <c r="I2728" s="2" t="s">
        <v>13093</v>
      </c>
      <c r="K2728" s="2" t="s">
        <v>13057</v>
      </c>
      <c r="L2728" s="2" t="s">
        <v>2613</v>
      </c>
      <c r="M2728" s="2">
        <v>83530.0</v>
      </c>
      <c r="N2728" s="2" t="s">
        <v>21</v>
      </c>
    </row>
    <row r="2729" ht="15.75" customHeight="1">
      <c r="A2729" s="2">
        <v>2014.0</v>
      </c>
      <c r="B2729" s="2" t="s">
        <v>13094</v>
      </c>
      <c r="C2729" s="2" t="s">
        <v>13094</v>
      </c>
      <c r="D2729" s="2" t="str">
        <f>"971-344-5712"</f>
        <v>971-344-5712</v>
      </c>
      <c r="E2729" s="2" t="s">
        <v>718</v>
      </c>
      <c r="F2729" s="2" t="s">
        <v>12876</v>
      </c>
      <c r="G2729" s="2" t="str">
        <f>"SR-3747"</f>
        <v>SR-3747</v>
      </c>
      <c r="H2729" s="2" t="s">
        <v>13095</v>
      </c>
      <c r="I2729" s="2" t="s">
        <v>13096</v>
      </c>
      <c r="K2729" s="2" t="s">
        <v>13097</v>
      </c>
      <c r="L2729" s="2" t="s">
        <v>172</v>
      </c>
      <c r="M2729" s="2">
        <v>78660.0</v>
      </c>
      <c r="N2729" s="2" t="s">
        <v>21</v>
      </c>
    </row>
    <row r="2730" ht="15.75" customHeight="1">
      <c r="A2730" s="2">
        <v>2014.0</v>
      </c>
      <c r="B2730" s="2" t="s">
        <v>12260</v>
      </c>
      <c r="C2730" s="2" t="s">
        <v>13098</v>
      </c>
      <c r="D2730" s="2" t="str">
        <f>"719-510-0851"</f>
        <v>719-510-0851</v>
      </c>
      <c r="E2730" s="2" t="s">
        <v>261</v>
      </c>
      <c r="F2730" s="2" t="s">
        <v>12262</v>
      </c>
      <c r="G2730" s="2" t="str">
        <f>"SR-3396"</f>
        <v>SR-3396</v>
      </c>
      <c r="H2730" s="2" t="s">
        <v>13099</v>
      </c>
      <c r="I2730" s="2" t="s">
        <v>12264</v>
      </c>
      <c r="K2730" s="2" t="s">
        <v>809</v>
      </c>
      <c r="L2730" s="2" t="s">
        <v>157</v>
      </c>
      <c r="M2730" s="2">
        <v>80908.0</v>
      </c>
      <c r="N2730" s="2" t="s">
        <v>21</v>
      </c>
    </row>
    <row r="2731" ht="15.75" customHeight="1">
      <c r="A2731" s="2">
        <v>2014.0</v>
      </c>
      <c r="B2731" s="2" t="s">
        <v>13100</v>
      </c>
      <c r="C2731" s="2" t="s">
        <v>13100</v>
      </c>
      <c r="D2731" s="2" t="str">
        <f>"519-949-0583"</f>
        <v>519-949-0583</v>
      </c>
      <c r="E2731" s="2" t="s">
        <v>2988</v>
      </c>
      <c r="F2731" s="2" t="s">
        <v>13066</v>
      </c>
      <c r="G2731" s="2" t="str">
        <f>"SR-3761"</f>
        <v>SR-3761</v>
      </c>
      <c r="H2731" s="2" t="s">
        <v>13101</v>
      </c>
      <c r="I2731" s="2" t="s">
        <v>13102</v>
      </c>
      <c r="K2731" s="2" t="s">
        <v>13103</v>
      </c>
      <c r="L2731" s="2" t="s">
        <v>2015</v>
      </c>
      <c r="M2731" s="2" t="s">
        <v>13104</v>
      </c>
      <c r="N2731" s="2" t="s">
        <v>1602</v>
      </c>
    </row>
    <row r="2732" ht="15.75" customHeight="1">
      <c r="A2732" s="2">
        <v>2014.0</v>
      </c>
      <c r="B2732" s="2" t="s">
        <v>6416</v>
      </c>
      <c r="C2732" s="2" t="s">
        <v>6417</v>
      </c>
      <c r="D2732" s="2" t="str">
        <f>"2696505656"</f>
        <v>2696505656</v>
      </c>
      <c r="E2732" s="2" t="s">
        <v>926</v>
      </c>
      <c r="F2732" s="2" t="s">
        <v>6418</v>
      </c>
      <c r="G2732" s="2" t="str">
        <f>"SR-1678"</f>
        <v>SR-1678</v>
      </c>
      <c r="H2732" s="2" t="s">
        <v>6419</v>
      </c>
      <c r="I2732" s="2" t="s">
        <v>6420</v>
      </c>
      <c r="K2732" s="2" t="s">
        <v>19</v>
      </c>
      <c r="L2732" s="2" t="s">
        <v>29</v>
      </c>
      <c r="M2732" s="2">
        <v>48813.0</v>
      </c>
      <c r="N2732" s="2" t="s">
        <v>21</v>
      </c>
    </row>
    <row r="2733" ht="15.75" customHeight="1">
      <c r="A2733" s="2">
        <v>2014.0</v>
      </c>
      <c r="B2733" s="2" t="s">
        <v>13105</v>
      </c>
      <c r="C2733" s="2" t="s">
        <v>13106</v>
      </c>
      <c r="D2733" s="2" t="str">
        <f>"9493370544"</f>
        <v>9493370544</v>
      </c>
      <c r="E2733" s="2" t="s">
        <v>13107</v>
      </c>
      <c r="F2733" s="2" t="s">
        <v>1849</v>
      </c>
      <c r="G2733" s="2" t="str">
        <f>"SR-3787"</f>
        <v>SR-3787</v>
      </c>
      <c r="H2733" s="2" t="s">
        <v>13108</v>
      </c>
      <c r="I2733" s="2" t="s">
        <v>13109</v>
      </c>
      <c r="K2733" s="2" t="s">
        <v>13110</v>
      </c>
      <c r="L2733" s="2" t="s">
        <v>222</v>
      </c>
      <c r="M2733" s="2">
        <v>92691.0</v>
      </c>
      <c r="N2733" s="2" t="s">
        <v>21</v>
      </c>
    </row>
    <row r="2734" ht="15.75" customHeight="1">
      <c r="A2734" s="2">
        <v>2014.0</v>
      </c>
      <c r="B2734" s="2" t="s">
        <v>13111</v>
      </c>
      <c r="C2734" s="2" t="s">
        <v>13111</v>
      </c>
      <c r="D2734" s="2" t="str">
        <f>"320 226 8907"</f>
        <v>320 226 8907</v>
      </c>
      <c r="E2734" s="2" t="s">
        <v>2412</v>
      </c>
      <c r="F2734" s="2" t="s">
        <v>13112</v>
      </c>
      <c r="G2734" s="2" t="str">
        <f>"SR-3789"</f>
        <v>SR-3789</v>
      </c>
      <c r="H2734" s="2" t="s">
        <v>13113</v>
      </c>
      <c r="I2734" s="2" t="s">
        <v>13114</v>
      </c>
      <c r="K2734" s="2" t="s">
        <v>737</v>
      </c>
      <c r="L2734" s="2" t="s">
        <v>62</v>
      </c>
      <c r="M2734" s="2">
        <v>56295.0</v>
      </c>
      <c r="N2734" s="2" t="s">
        <v>21</v>
      </c>
    </row>
    <row r="2735" ht="15.75" customHeight="1">
      <c r="A2735" s="2">
        <v>2014.0</v>
      </c>
      <c r="B2735" s="2" t="s">
        <v>13115</v>
      </c>
      <c r="C2735" s="2" t="s">
        <v>13116</v>
      </c>
      <c r="D2735" s="2" t="str">
        <f>"954.227.2567"</f>
        <v>954.227.2567</v>
      </c>
      <c r="E2735" s="2" t="s">
        <v>3668</v>
      </c>
      <c r="F2735" s="2" t="s">
        <v>1799</v>
      </c>
      <c r="G2735" s="2" t="str">
        <f>"SR-3791"</f>
        <v>SR-3791</v>
      </c>
      <c r="H2735" s="2" t="s">
        <v>13117</v>
      </c>
      <c r="I2735" s="2" t="s">
        <v>13118</v>
      </c>
      <c r="K2735" s="2" t="s">
        <v>5138</v>
      </c>
      <c r="L2735" s="2" t="s">
        <v>208</v>
      </c>
      <c r="M2735" s="2">
        <v>33067.0</v>
      </c>
      <c r="N2735" s="2" t="s">
        <v>21</v>
      </c>
    </row>
    <row r="2736" ht="15.75" customHeight="1">
      <c r="A2736" s="2">
        <v>2014.0</v>
      </c>
      <c r="B2736" s="2" t="s">
        <v>13119</v>
      </c>
      <c r="C2736" s="2" t="s">
        <v>13119</v>
      </c>
      <c r="D2736" s="2" t="str">
        <f>"407-739-4344"</f>
        <v>407-739-4344</v>
      </c>
      <c r="E2736" s="2" t="s">
        <v>373</v>
      </c>
      <c r="F2736" s="2" t="s">
        <v>10856</v>
      </c>
      <c r="G2736" s="2" t="str">
        <f>"SR-3487"</f>
        <v>SR-3487</v>
      </c>
      <c r="H2736" s="2" t="s">
        <v>13120</v>
      </c>
      <c r="I2736" s="2" t="s">
        <v>13121</v>
      </c>
      <c r="K2736" s="2" t="s">
        <v>4773</v>
      </c>
      <c r="L2736" s="2" t="s">
        <v>208</v>
      </c>
      <c r="M2736" s="2">
        <v>32773.0</v>
      </c>
      <c r="N2736" s="2" t="s">
        <v>21</v>
      </c>
    </row>
    <row r="2737" ht="15.75" customHeight="1">
      <c r="A2737" s="2">
        <v>2014.0</v>
      </c>
      <c r="B2737" s="2" t="s">
        <v>13122</v>
      </c>
      <c r="C2737" s="2" t="s">
        <v>13122</v>
      </c>
      <c r="D2737" s="2" t="str">
        <f>"818 883 3920"</f>
        <v>818 883 3920</v>
      </c>
      <c r="E2737" s="2" t="s">
        <v>1208</v>
      </c>
      <c r="F2737" s="2" t="s">
        <v>4507</v>
      </c>
      <c r="G2737" s="2" t="str">
        <f>"SR-3792"</f>
        <v>SR-3792</v>
      </c>
      <c r="H2737" s="2" t="s">
        <v>13123</v>
      </c>
      <c r="I2737" s="2" t="s">
        <v>13124</v>
      </c>
      <c r="K2737" s="2" t="s">
        <v>13125</v>
      </c>
      <c r="L2737" s="2" t="s">
        <v>222</v>
      </c>
      <c r="M2737" s="2">
        <v>91307.0</v>
      </c>
      <c r="N2737" s="2" t="s">
        <v>21</v>
      </c>
    </row>
    <row r="2738" ht="15.75" customHeight="1">
      <c r="A2738" s="2">
        <v>2014.0</v>
      </c>
      <c r="B2738" s="2" t="s">
        <v>13126</v>
      </c>
      <c r="C2738" s="2" t="s">
        <v>13126</v>
      </c>
      <c r="D2738" s="2" t="str">
        <f>"9123469411"</f>
        <v>9123469411</v>
      </c>
      <c r="E2738" s="2" t="s">
        <v>10152</v>
      </c>
      <c r="F2738" s="2" t="s">
        <v>1859</v>
      </c>
      <c r="G2738" s="2" t="str">
        <f>"SR-3303"</f>
        <v>SR-3303</v>
      </c>
      <c r="H2738" s="2" t="s">
        <v>13127</v>
      </c>
      <c r="I2738" s="2" t="s">
        <v>13128</v>
      </c>
      <c r="K2738" s="2" t="s">
        <v>1239</v>
      </c>
      <c r="L2738" s="2" t="s">
        <v>200</v>
      </c>
      <c r="M2738" s="2">
        <v>31406.0</v>
      </c>
      <c r="N2738" s="2" t="s">
        <v>21</v>
      </c>
    </row>
    <row r="2739" ht="15.75" customHeight="1">
      <c r="A2739" s="2">
        <v>2014.0</v>
      </c>
      <c r="B2739" s="2" t="s">
        <v>13129</v>
      </c>
      <c r="C2739" s="2" t="s">
        <v>13129</v>
      </c>
      <c r="D2739" s="2" t="str">
        <f>"9708469586"</f>
        <v>9708469586</v>
      </c>
      <c r="E2739" s="2" t="s">
        <v>3750</v>
      </c>
      <c r="F2739" s="2" t="s">
        <v>444</v>
      </c>
      <c r="G2739" s="2" t="str">
        <f>"SR-3783"</f>
        <v>SR-3783</v>
      </c>
      <c r="H2739" s="2" t="s">
        <v>13130</v>
      </c>
      <c r="I2739" s="2" t="s">
        <v>13131</v>
      </c>
      <c r="K2739" s="2" t="s">
        <v>13132</v>
      </c>
      <c r="L2739" s="2" t="s">
        <v>157</v>
      </c>
      <c r="M2739" s="2">
        <v>80477.0</v>
      </c>
      <c r="N2739" s="2" t="s">
        <v>21</v>
      </c>
    </row>
    <row r="2740" ht="15.75" customHeight="1">
      <c r="A2740" s="2">
        <v>2014.0</v>
      </c>
      <c r="B2740" s="2" t="s">
        <v>13133</v>
      </c>
      <c r="C2740" s="2" t="s">
        <v>13133</v>
      </c>
      <c r="D2740" s="2" t="str">
        <f>"9123988194"</f>
        <v>9123988194</v>
      </c>
      <c r="E2740" s="2" t="s">
        <v>8080</v>
      </c>
      <c r="F2740" s="2" t="s">
        <v>13134</v>
      </c>
      <c r="G2740" s="2" t="str">
        <f>"SR-3263"</f>
        <v>SR-3263</v>
      </c>
      <c r="H2740" s="2" t="s">
        <v>13135</v>
      </c>
      <c r="I2740" s="2" t="s">
        <v>13136</v>
      </c>
      <c r="K2740" s="2" t="s">
        <v>1239</v>
      </c>
      <c r="L2740" s="2" t="s">
        <v>200</v>
      </c>
      <c r="M2740" s="2">
        <v>31419.0</v>
      </c>
      <c r="N2740" s="2" t="s">
        <v>21</v>
      </c>
    </row>
    <row r="2741" ht="15.75" customHeight="1">
      <c r="A2741" s="2">
        <v>2014.0</v>
      </c>
      <c r="B2741" s="2" t="s">
        <v>13137</v>
      </c>
      <c r="C2741" s="2" t="s">
        <v>13137</v>
      </c>
      <c r="D2741" s="2" t="str">
        <f>"912-663-8390"</f>
        <v>912-663-8390</v>
      </c>
      <c r="E2741" s="2" t="s">
        <v>50</v>
      </c>
      <c r="F2741" s="2" t="s">
        <v>1257</v>
      </c>
      <c r="G2741" s="2" t="str">
        <f>"SR-3149"</f>
        <v>SR-3149</v>
      </c>
      <c r="H2741" s="2" t="s">
        <v>13138</v>
      </c>
      <c r="I2741" s="2" t="s">
        <v>13139</v>
      </c>
      <c r="J2741" s="2" t="s">
        <v>13139</v>
      </c>
      <c r="K2741" s="2" t="s">
        <v>13140</v>
      </c>
      <c r="L2741" s="2" t="s">
        <v>200</v>
      </c>
      <c r="M2741" s="2">
        <v>31312.0</v>
      </c>
      <c r="N2741" s="2" t="s">
        <v>21</v>
      </c>
    </row>
    <row r="2742" ht="15.75" customHeight="1">
      <c r="A2742" s="2">
        <v>2014.0</v>
      </c>
      <c r="B2742" s="2" t="s">
        <v>13141</v>
      </c>
      <c r="C2742" s="2" t="s">
        <v>13141</v>
      </c>
      <c r="D2742" s="2" t="str">
        <f>"360-521-6417"</f>
        <v>360-521-6417</v>
      </c>
      <c r="E2742" s="2" t="s">
        <v>5335</v>
      </c>
      <c r="F2742" s="2" t="s">
        <v>13142</v>
      </c>
      <c r="G2742" s="2" t="str">
        <f>"SR-3795"</f>
        <v>SR-3795</v>
      </c>
      <c r="H2742" s="2" t="s">
        <v>13143</v>
      </c>
      <c r="I2742" s="2" t="s">
        <v>13144</v>
      </c>
      <c r="K2742" s="2" t="s">
        <v>13145</v>
      </c>
      <c r="L2742" s="2" t="s">
        <v>86</v>
      </c>
      <c r="M2742" s="2">
        <v>98686.0</v>
      </c>
      <c r="N2742" s="2" t="s">
        <v>21</v>
      </c>
    </row>
    <row r="2743" ht="15.75" customHeight="1">
      <c r="A2743" s="2">
        <v>2014.0</v>
      </c>
      <c r="B2743" s="2" t="s">
        <v>13146</v>
      </c>
      <c r="C2743" s="2" t="s">
        <v>13147</v>
      </c>
      <c r="D2743" s="2" t="str">
        <f>"9128979013"</f>
        <v>9128979013</v>
      </c>
      <c r="E2743" s="2" t="s">
        <v>386</v>
      </c>
      <c r="F2743" s="2" t="s">
        <v>4065</v>
      </c>
      <c r="G2743" s="2" t="str">
        <f>"SR-3307"</f>
        <v>SR-3307</v>
      </c>
      <c r="H2743" s="2" t="s">
        <v>13148</v>
      </c>
      <c r="I2743" s="2" t="s">
        <v>13149</v>
      </c>
      <c r="K2743" s="2" t="s">
        <v>1239</v>
      </c>
      <c r="L2743" s="2" t="s">
        <v>200</v>
      </c>
      <c r="M2743" s="2">
        <v>31410.0</v>
      </c>
      <c r="N2743" s="2" t="s">
        <v>21</v>
      </c>
    </row>
    <row r="2744" ht="15.75" customHeight="1">
      <c r="A2744" s="2">
        <v>2014.0</v>
      </c>
      <c r="B2744" s="2" t="s">
        <v>13150</v>
      </c>
      <c r="C2744" s="2" t="s">
        <v>13150</v>
      </c>
      <c r="D2744" s="2" t="str">
        <f>"9127048671"</f>
        <v>9127048671</v>
      </c>
      <c r="E2744" s="2" t="s">
        <v>13151</v>
      </c>
      <c r="F2744" s="2" t="s">
        <v>13152</v>
      </c>
      <c r="G2744" s="2" t="str">
        <f>"SR-3141"</f>
        <v>SR-3141</v>
      </c>
      <c r="H2744" s="2" t="s">
        <v>13153</v>
      </c>
      <c r="I2744" s="2" t="s">
        <v>13154</v>
      </c>
      <c r="K2744" s="2" t="s">
        <v>7831</v>
      </c>
      <c r="L2744" s="2" t="s">
        <v>200</v>
      </c>
      <c r="M2744" s="2">
        <v>31322.0</v>
      </c>
      <c r="N2744" s="2" t="s">
        <v>21</v>
      </c>
    </row>
    <row r="2745" ht="15.75" customHeight="1">
      <c r="A2745" s="2">
        <v>2014.0</v>
      </c>
      <c r="B2745" s="2" t="s">
        <v>13155</v>
      </c>
      <c r="C2745" s="2" t="s">
        <v>13155</v>
      </c>
      <c r="D2745" s="2" t="str">
        <f>"(912)897-7037"</f>
        <v>(912)897-7037</v>
      </c>
      <c r="E2745" s="2" t="s">
        <v>3560</v>
      </c>
      <c r="F2745" s="2" t="s">
        <v>13156</v>
      </c>
      <c r="G2745" s="2" t="str">
        <f>"SR-3208"</f>
        <v>SR-3208</v>
      </c>
      <c r="H2745" s="2" t="s">
        <v>13157</v>
      </c>
      <c r="I2745" s="2" t="s">
        <v>13158</v>
      </c>
      <c r="K2745" s="2" t="s">
        <v>1239</v>
      </c>
      <c r="L2745" s="2" t="s">
        <v>200</v>
      </c>
      <c r="M2745" s="2">
        <v>31410.0</v>
      </c>
      <c r="N2745" s="2" t="s">
        <v>21</v>
      </c>
    </row>
    <row r="2746" ht="15.75" customHeight="1">
      <c r="A2746" s="2">
        <v>2014.0</v>
      </c>
      <c r="B2746" s="2" t="s">
        <v>13159</v>
      </c>
      <c r="C2746" s="2" t="s">
        <v>13159</v>
      </c>
      <c r="D2746" s="2" t="str">
        <f>"9708791881"</f>
        <v>9708791881</v>
      </c>
      <c r="E2746" s="2" t="s">
        <v>3750</v>
      </c>
      <c r="F2746" s="2" t="s">
        <v>1101</v>
      </c>
      <c r="G2746" s="2" t="str">
        <f>"SR-3236"</f>
        <v>SR-3236</v>
      </c>
      <c r="H2746" s="2" t="s">
        <v>13160</v>
      </c>
      <c r="I2746" s="2" t="s">
        <v>13161</v>
      </c>
      <c r="J2746" s="2" t="s">
        <v>13162</v>
      </c>
      <c r="K2746" s="2" t="s">
        <v>13163</v>
      </c>
      <c r="L2746" s="2" t="s">
        <v>157</v>
      </c>
      <c r="M2746" s="2">
        <v>80477.0</v>
      </c>
      <c r="N2746" s="2" t="s">
        <v>21</v>
      </c>
    </row>
    <row r="2747" ht="15.75" customHeight="1">
      <c r="A2747" s="2">
        <v>2014.0</v>
      </c>
      <c r="B2747" s="2" t="s">
        <v>13164</v>
      </c>
      <c r="C2747" s="2" t="s">
        <v>13165</v>
      </c>
      <c r="D2747" s="2" t="str">
        <f>"803-526-3599"</f>
        <v>803-526-3599</v>
      </c>
      <c r="E2747" s="2" t="s">
        <v>282</v>
      </c>
      <c r="F2747" s="2" t="s">
        <v>182</v>
      </c>
      <c r="G2747" s="2" t="str">
        <f>"SR-3724"</f>
        <v>SR-3724</v>
      </c>
      <c r="H2747" s="2" t="s">
        <v>13166</v>
      </c>
      <c r="I2747" s="2" t="s">
        <v>13167</v>
      </c>
      <c r="K2747" s="2" t="s">
        <v>12999</v>
      </c>
      <c r="L2747" s="2" t="s">
        <v>55</v>
      </c>
      <c r="M2747" s="2">
        <v>29710.0</v>
      </c>
      <c r="N2747" s="2" t="s">
        <v>21</v>
      </c>
    </row>
    <row r="2748" ht="15.75" customHeight="1">
      <c r="A2748" s="2">
        <v>2014.0</v>
      </c>
      <c r="B2748" s="2" t="s">
        <v>13168</v>
      </c>
      <c r="C2748" s="2" t="s">
        <v>13168</v>
      </c>
      <c r="D2748" s="2" t="str">
        <f>"9123084957"</f>
        <v>9123084957</v>
      </c>
      <c r="E2748" s="2" t="s">
        <v>2314</v>
      </c>
      <c r="F2748" s="2" t="s">
        <v>13169</v>
      </c>
      <c r="G2748" s="2" t="str">
        <f>"SR-3302"</f>
        <v>SR-3302</v>
      </c>
      <c r="H2748" s="2" t="s">
        <v>13170</v>
      </c>
      <c r="I2748" s="2" t="s">
        <v>13171</v>
      </c>
      <c r="K2748" s="2" t="s">
        <v>1239</v>
      </c>
      <c r="L2748" s="2" t="s">
        <v>200</v>
      </c>
      <c r="M2748" s="2">
        <v>31419.0</v>
      </c>
      <c r="N2748" s="2" t="s">
        <v>21</v>
      </c>
    </row>
    <row r="2749" ht="15.75" customHeight="1">
      <c r="A2749" s="2">
        <v>2014.0</v>
      </c>
      <c r="B2749" s="2" t="s">
        <v>13172</v>
      </c>
      <c r="D2749" s="2" t="str">
        <f>""</f>
        <v/>
      </c>
      <c r="E2749" s="2" t="s">
        <v>1803</v>
      </c>
      <c r="F2749" s="2" t="s">
        <v>13173</v>
      </c>
      <c r="G2749" s="2" t="str">
        <f>"SR-3794"</f>
        <v>SR-3794</v>
      </c>
      <c r="H2749" s="2" t="s">
        <v>13174</v>
      </c>
      <c r="N2749" s="2" t="s">
        <v>21</v>
      </c>
    </row>
    <row r="2750" ht="15.75" customHeight="1">
      <c r="A2750" s="2">
        <v>2014.0</v>
      </c>
      <c r="B2750" s="2" t="s">
        <v>13175</v>
      </c>
      <c r="C2750" s="2" t="s">
        <v>13176</v>
      </c>
      <c r="D2750" s="2" t="str">
        <f>"937-654-9191"</f>
        <v>937-654-9191</v>
      </c>
      <c r="E2750" s="2" t="s">
        <v>4782</v>
      </c>
      <c r="F2750" s="2" t="s">
        <v>13177</v>
      </c>
      <c r="G2750" s="2" t="str">
        <f>"SR-3778"</f>
        <v>SR-3778</v>
      </c>
      <c r="H2750" s="2" t="s">
        <v>13178</v>
      </c>
      <c r="I2750" s="2" t="s">
        <v>13179</v>
      </c>
      <c r="K2750" s="2" t="s">
        <v>809</v>
      </c>
      <c r="L2750" s="2" t="s">
        <v>157</v>
      </c>
      <c r="M2750" s="2">
        <v>80920.0</v>
      </c>
      <c r="N2750" s="2" t="s">
        <v>21</v>
      </c>
    </row>
    <row r="2751" ht="15.75" customHeight="1">
      <c r="A2751" s="2">
        <v>2014.0</v>
      </c>
      <c r="B2751" s="2" t="s">
        <v>13180</v>
      </c>
      <c r="C2751" s="2" t="s">
        <v>13181</v>
      </c>
      <c r="D2751" s="2" t="str">
        <f>"512-623-0136"</f>
        <v>512-623-0136</v>
      </c>
      <c r="E2751" s="2" t="s">
        <v>2941</v>
      </c>
      <c r="F2751" s="2" t="s">
        <v>13182</v>
      </c>
      <c r="G2751" s="2" t="str">
        <f>"SR-3808"</f>
        <v>SR-3808</v>
      </c>
      <c r="H2751" s="2" t="s">
        <v>13183</v>
      </c>
      <c r="I2751" s="2" t="s">
        <v>13184</v>
      </c>
      <c r="K2751" s="2" t="s">
        <v>4482</v>
      </c>
      <c r="L2751" s="2" t="s">
        <v>172</v>
      </c>
      <c r="M2751" s="2">
        <v>78633.0</v>
      </c>
      <c r="N2751" s="2" t="s">
        <v>21</v>
      </c>
    </row>
    <row r="2752" ht="15.75" customHeight="1">
      <c r="A2752" s="2">
        <v>2014.0</v>
      </c>
      <c r="B2752" s="2" t="s">
        <v>13185</v>
      </c>
      <c r="C2752" s="2" t="s">
        <v>13186</v>
      </c>
      <c r="D2752" s="2" t="str">
        <f>"540-362-1594"</f>
        <v>540-362-1594</v>
      </c>
      <c r="E2752" s="2" t="s">
        <v>9010</v>
      </c>
      <c r="F2752" s="2" t="s">
        <v>5632</v>
      </c>
      <c r="G2752" s="2" t="str">
        <f>"SR-3554"</f>
        <v>SR-3554</v>
      </c>
      <c r="H2752" s="2" t="s">
        <v>13187</v>
      </c>
      <c r="I2752" s="2" t="s">
        <v>13188</v>
      </c>
      <c r="J2752" s="2" t="s">
        <v>13188</v>
      </c>
      <c r="K2752" s="2" t="s">
        <v>4577</v>
      </c>
      <c r="L2752" s="2" t="s">
        <v>165</v>
      </c>
      <c r="M2752" s="2">
        <v>24018.0</v>
      </c>
      <c r="N2752" s="2" t="s">
        <v>21</v>
      </c>
    </row>
    <row r="2753" ht="15.75" customHeight="1">
      <c r="A2753" s="2">
        <v>2014.0</v>
      </c>
      <c r="B2753" s="2" t="s">
        <v>13189</v>
      </c>
      <c r="C2753" s="2" t="s">
        <v>13189</v>
      </c>
      <c r="D2753" s="2" t="str">
        <f>"(912)373-5081"</f>
        <v>(912)373-5081</v>
      </c>
      <c r="E2753" s="2" t="s">
        <v>13190</v>
      </c>
      <c r="F2753" s="2" t="s">
        <v>591</v>
      </c>
      <c r="G2753" s="2" t="str">
        <f>"SR-3222"</f>
        <v>SR-3222</v>
      </c>
      <c r="H2753" s="2" t="s">
        <v>13191</v>
      </c>
      <c r="I2753" s="2" t="s">
        <v>13192</v>
      </c>
      <c r="K2753" s="2" t="s">
        <v>7831</v>
      </c>
      <c r="L2753" s="2" t="s">
        <v>200</v>
      </c>
      <c r="M2753" s="2">
        <v>31322.0</v>
      </c>
      <c r="N2753" s="2" t="s">
        <v>21</v>
      </c>
    </row>
    <row r="2754" ht="15.75" customHeight="1">
      <c r="A2754" s="2">
        <v>2014.0</v>
      </c>
      <c r="B2754" s="2" t="s">
        <v>13193</v>
      </c>
      <c r="C2754" s="2" t="s">
        <v>13194</v>
      </c>
      <c r="D2754" s="2" t="str">
        <f>"5126892419"</f>
        <v>5126892419</v>
      </c>
      <c r="E2754" s="2" t="s">
        <v>1306</v>
      </c>
      <c r="F2754" s="2" t="s">
        <v>13195</v>
      </c>
      <c r="G2754" s="2" t="str">
        <f>"SR-3367"</f>
        <v>SR-3367</v>
      </c>
      <c r="H2754" s="2" t="s">
        <v>13196</v>
      </c>
      <c r="I2754" s="2" t="s">
        <v>13197</v>
      </c>
      <c r="K2754" s="2" t="s">
        <v>1141</v>
      </c>
      <c r="L2754" s="2" t="s">
        <v>172</v>
      </c>
      <c r="M2754" s="2">
        <v>78716.0</v>
      </c>
      <c r="N2754" s="2" t="s">
        <v>21</v>
      </c>
    </row>
    <row r="2755" ht="15.75" customHeight="1">
      <c r="A2755" s="2">
        <v>2014.0</v>
      </c>
      <c r="B2755" s="2" t="s">
        <v>13198</v>
      </c>
      <c r="C2755" s="2" t="s">
        <v>13199</v>
      </c>
      <c r="D2755" s="2" t="str">
        <f>"937-733-0469"</f>
        <v>937-733-0469</v>
      </c>
      <c r="E2755" s="2" t="s">
        <v>57</v>
      </c>
      <c r="F2755" s="2" t="s">
        <v>13200</v>
      </c>
      <c r="G2755" s="2" t="str">
        <f>"SR-3615"</f>
        <v>SR-3615</v>
      </c>
      <c r="H2755" s="2" t="s">
        <v>13201</v>
      </c>
      <c r="I2755" s="2" t="s">
        <v>13202</v>
      </c>
      <c r="K2755" s="2" t="s">
        <v>498</v>
      </c>
      <c r="L2755" s="2" t="s">
        <v>344</v>
      </c>
      <c r="M2755" s="2">
        <v>45320.0</v>
      </c>
      <c r="N2755" s="2" t="s">
        <v>21</v>
      </c>
    </row>
    <row r="2756" ht="15.75" customHeight="1">
      <c r="A2756" s="2">
        <v>2014.0</v>
      </c>
      <c r="B2756" s="2" t="s">
        <v>13203</v>
      </c>
      <c r="C2756" s="2" t="s">
        <v>13204</v>
      </c>
      <c r="D2756" s="2" t="str">
        <f>"9073941979"</f>
        <v>9073941979</v>
      </c>
      <c r="E2756" s="2" t="s">
        <v>13205</v>
      </c>
      <c r="F2756" s="2" t="s">
        <v>4120</v>
      </c>
      <c r="G2756" s="2" t="str">
        <f>"SR-3746"</f>
        <v>SR-3746</v>
      </c>
      <c r="H2756" s="2" t="s">
        <v>13206</v>
      </c>
      <c r="I2756" s="2" t="s">
        <v>13207</v>
      </c>
      <c r="K2756" s="2" t="s">
        <v>1336</v>
      </c>
      <c r="L2756" s="2" t="s">
        <v>70</v>
      </c>
      <c r="M2756" s="2">
        <v>99669.0</v>
      </c>
      <c r="N2756" s="2" t="s">
        <v>21</v>
      </c>
    </row>
    <row r="2757" ht="15.75" customHeight="1">
      <c r="A2757" s="2">
        <v>2014.0</v>
      </c>
      <c r="B2757" s="2" t="s">
        <v>13208</v>
      </c>
      <c r="C2757" s="2" t="s">
        <v>13209</v>
      </c>
      <c r="D2757" s="2" t="str">
        <f>"8327041677"</f>
        <v>8327041677</v>
      </c>
      <c r="E2757" s="2" t="s">
        <v>373</v>
      </c>
      <c r="F2757" s="2" t="s">
        <v>13210</v>
      </c>
      <c r="G2757" s="2" t="str">
        <f>"SR-3815"</f>
        <v>SR-3815</v>
      </c>
      <c r="H2757" s="2" t="s">
        <v>13211</v>
      </c>
      <c r="I2757" s="2" t="s">
        <v>13212</v>
      </c>
      <c r="K2757" s="2" t="s">
        <v>444</v>
      </c>
      <c r="L2757" s="2" t="s">
        <v>172</v>
      </c>
      <c r="M2757" s="2">
        <v>77070.0</v>
      </c>
      <c r="N2757" s="2" t="s">
        <v>21</v>
      </c>
    </row>
    <row r="2758" ht="15.75" customHeight="1">
      <c r="A2758" s="2">
        <v>2014.0</v>
      </c>
      <c r="B2758" s="2" t="s">
        <v>13213</v>
      </c>
      <c r="C2758" s="2" t="s">
        <v>13214</v>
      </c>
      <c r="D2758" s="2" t="str">
        <f>"714-222-5551"</f>
        <v>714-222-5551</v>
      </c>
      <c r="E2758" s="2" t="s">
        <v>13215</v>
      </c>
      <c r="F2758" s="2" t="s">
        <v>13216</v>
      </c>
      <c r="G2758" s="2" t="str">
        <f>"SR-3790"</f>
        <v>SR-3790</v>
      </c>
      <c r="H2758" s="2" t="s">
        <v>13217</v>
      </c>
      <c r="I2758" s="2" t="s">
        <v>13218</v>
      </c>
      <c r="K2758" s="2" t="s">
        <v>11463</v>
      </c>
      <c r="L2758" s="2" t="s">
        <v>222</v>
      </c>
      <c r="M2758" s="2">
        <v>92646.0</v>
      </c>
      <c r="N2758" s="2" t="s">
        <v>21</v>
      </c>
    </row>
    <row r="2759" ht="15.75" customHeight="1">
      <c r="A2759" s="2">
        <v>2014.0</v>
      </c>
      <c r="B2759" s="2" t="s">
        <v>13219</v>
      </c>
      <c r="C2759" s="2" t="s">
        <v>13220</v>
      </c>
      <c r="D2759" s="2" t="str">
        <f>"309-714-3407"</f>
        <v>309-714-3407</v>
      </c>
      <c r="E2759" s="2" t="s">
        <v>1015</v>
      </c>
      <c r="F2759" s="2" t="s">
        <v>13221</v>
      </c>
      <c r="G2759" s="2" t="str">
        <f>"SR-3424"</f>
        <v>SR-3424</v>
      </c>
      <c r="H2759" s="2" t="s">
        <v>13222</v>
      </c>
      <c r="I2759" s="2" t="s">
        <v>13223</v>
      </c>
      <c r="K2759" s="2" t="s">
        <v>13224</v>
      </c>
      <c r="L2759" s="2" t="s">
        <v>105</v>
      </c>
      <c r="M2759" s="2">
        <v>61254.0</v>
      </c>
      <c r="N2759" s="2" t="s">
        <v>21</v>
      </c>
    </row>
    <row r="2760" ht="15.75" customHeight="1">
      <c r="A2760" s="2">
        <v>2014.0</v>
      </c>
      <c r="B2760" s="2" t="s">
        <v>13225</v>
      </c>
      <c r="C2760" s="2" t="s">
        <v>13225</v>
      </c>
      <c r="D2760" s="2" t="str">
        <f>"954-856-5969"</f>
        <v>954-856-5969</v>
      </c>
      <c r="E2760" s="2" t="s">
        <v>1324</v>
      </c>
      <c r="F2760" s="2" t="s">
        <v>13226</v>
      </c>
      <c r="G2760" s="2" t="str">
        <f>"SR-3181"</f>
        <v>SR-3181</v>
      </c>
      <c r="H2760" s="2" t="s">
        <v>13227</v>
      </c>
      <c r="I2760" s="2" t="s">
        <v>13228</v>
      </c>
      <c r="K2760" s="2" t="s">
        <v>2897</v>
      </c>
      <c r="L2760" s="2" t="s">
        <v>208</v>
      </c>
      <c r="M2760" s="2">
        <v>33071.0</v>
      </c>
      <c r="N2760" s="2" t="s">
        <v>21</v>
      </c>
    </row>
    <row r="2761" ht="15.75" customHeight="1">
      <c r="A2761" s="2">
        <v>2014.0</v>
      </c>
      <c r="B2761" s="2" t="s">
        <v>13229</v>
      </c>
      <c r="C2761" s="2" t="s">
        <v>13230</v>
      </c>
      <c r="D2761" s="2" t="str">
        <f>"4077014973"</f>
        <v>4077014973</v>
      </c>
      <c r="E2761" s="2" t="s">
        <v>1548</v>
      </c>
      <c r="F2761" s="2" t="s">
        <v>5439</v>
      </c>
      <c r="G2761" s="2" t="str">
        <f>"SR-3772"</f>
        <v>SR-3772</v>
      </c>
      <c r="H2761" s="2" t="s">
        <v>5440</v>
      </c>
      <c r="I2761" s="2" t="s">
        <v>13231</v>
      </c>
      <c r="K2761" s="2" t="s">
        <v>3182</v>
      </c>
      <c r="L2761" s="2" t="s">
        <v>208</v>
      </c>
      <c r="M2761" s="2">
        <v>34786.0</v>
      </c>
      <c r="N2761" s="2" t="s">
        <v>21</v>
      </c>
    </row>
    <row r="2762" ht="15.75" customHeight="1">
      <c r="A2762" s="2">
        <v>2014.0</v>
      </c>
      <c r="B2762" s="2" t="s">
        <v>13232</v>
      </c>
      <c r="C2762" s="2" t="s">
        <v>13232</v>
      </c>
      <c r="D2762" s="2" t="str">
        <f>"9066442441"</f>
        <v>9066442441</v>
      </c>
      <c r="E2762" s="2" t="s">
        <v>9470</v>
      </c>
      <c r="F2762" s="2" t="s">
        <v>13233</v>
      </c>
      <c r="G2762" s="2" t="str">
        <f>"SR-3793"</f>
        <v>SR-3793</v>
      </c>
      <c r="H2762" s="2" t="s">
        <v>13234</v>
      </c>
      <c r="I2762" s="2" t="s">
        <v>13235</v>
      </c>
      <c r="J2762" s="2" t="s">
        <v>13236</v>
      </c>
      <c r="K2762" s="2" t="s">
        <v>13237</v>
      </c>
      <c r="L2762" s="2" t="s">
        <v>29</v>
      </c>
      <c r="M2762" s="2">
        <v>49835.0</v>
      </c>
      <c r="N2762" s="2" t="s">
        <v>21</v>
      </c>
    </row>
    <row r="2763" ht="15.75" customHeight="1">
      <c r="A2763" s="2">
        <v>2014.0</v>
      </c>
      <c r="B2763" s="2" t="s">
        <v>13238</v>
      </c>
      <c r="C2763" s="2" t="s">
        <v>13239</v>
      </c>
      <c r="D2763" s="2" t="str">
        <f>"317-6018946"</f>
        <v>317-6018946</v>
      </c>
      <c r="E2763" s="2" t="s">
        <v>10825</v>
      </c>
      <c r="F2763" s="2" t="s">
        <v>13240</v>
      </c>
      <c r="G2763" s="2" t="str">
        <f>"SR-3486"</f>
        <v>SR-3486</v>
      </c>
      <c r="H2763" s="2" t="s">
        <v>13241</v>
      </c>
      <c r="I2763" s="2" t="s">
        <v>13242</v>
      </c>
      <c r="K2763" s="2" t="s">
        <v>2674</v>
      </c>
      <c r="L2763" s="2" t="s">
        <v>149</v>
      </c>
      <c r="M2763" s="2">
        <v>46142.0</v>
      </c>
      <c r="N2763" s="2" t="s">
        <v>21</v>
      </c>
    </row>
    <row r="2764" ht="15.75" customHeight="1">
      <c r="A2764" s="2">
        <v>2014.0</v>
      </c>
      <c r="B2764" s="2" t="s">
        <v>13243</v>
      </c>
      <c r="C2764" s="2" t="s">
        <v>13244</v>
      </c>
      <c r="D2764" s="2" t="str">
        <f t="shared" ref="D2764:D2765" si="43">"248-895-7567"</f>
        <v>248-895-7567</v>
      </c>
      <c r="E2764" s="2" t="s">
        <v>13245</v>
      </c>
      <c r="F2764" s="2" t="s">
        <v>13177</v>
      </c>
      <c r="G2764" s="2" t="str">
        <f>"SR-3796"</f>
        <v>SR-3796</v>
      </c>
      <c r="H2764" s="2" t="s">
        <v>13246</v>
      </c>
      <c r="I2764" s="2" t="s">
        <v>13247</v>
      </c>
      <c r="K2764" s="2" t="s">
        <v>13248</v>
      </c>
      <c r="L2764" s="2" t="s">
        <v>3737</v>
      </c>
      <c r="M2764" s="2">
        <v>4675.0</v>
      </c>
      <c r="N2764" s="2" t="s">
        <v>21</v>
      </c>
    </row>
    <row r="2765" ht="15.75" customHeight="1">
      <c r="A2765" s="2">
        <v>2014.0</v>
      </c>
      <c r="B2765" s="2" t="s">
        <v>13243</v>
      </c>
      <c r="C2765" s="2" t="s">
        <v>13249</v>
      </c>
      <c r="D2765" s="2" t="str">
        <f t="shared" si="43"/>
        <v>248-895-7567</v>
      </c>
      <c r="E2765" s="2" t="s">
        <v>8386</v>
      </c>
      <c r="F2765" s="2" t="s">
        <v>13177</v>
      </c>
      <c r="G2765" s="2" t="str">
        <f>"SR-3805"</f>
        <v>SR-3805</v>
      </c>
      <c r="H2765" s="2" t="s">
        <v>13250</v>
      </c>
      <c r="I2765" s="2" t="s">
        <v>13247</v>
      </c>
      <c r="K2765" s="2" t="s">
        <v>13248</v>
      </c>
      <c r="L2765" s="2" t="s">
        <v>3737</v>
      </c>
      <c r="M2765" s="2">
        <v>4675.0</v>
      </c>
      <c r="N2765" s="2" t="s">
        <v>21</v>
      </c>
    </row>
    <row r="2766" ht="15.75" customHeight="1">
      <c r="A2766" s="2">
        <v>2014.0</v>
      </c>
      <c r="B2766" s="2" t="s">
        <v>13251</v>
      </c>
      <c r="C2766" s="2" t="s">
        <v>13252</v>
      </c>
      <c r="D2766" s="2" t="str">
        <f>"602-757-8873"</f>
        <v>602-757-8873</v>
      </c>
      <c r="E2766" s="2" t="s">
        <v>931</v>
      </c>
      <c r="F2766" s="2" t="s">
        <v>10236</v>
      </c>
      <c r="G2766" s="2" t="str">
        <f>"SR-3823"</f>
        <v>SR-3823</v>
      </c>
      <c r="H2766" s="2" t="s">
        <v>13253</v>
      </c>
      <c r="I2766" s="2" t="s">
        <v>13254</v>
      </c>
      <c r="K2766" s="2" t="s">
        <v>421</v>
      </c>
      <c r="L2766" s="2" t="s">
        <v>422</v>
      </c>
      <c r="M2766" s="2">
        <v>85013.0</v>
      </c>
      <c r="N2766" s="2" t="s">
        <v>21</v>
      </c>
    </row>
    <row r="2767" ht="15.75" customHeight="1">
      <c r="A2767" s="2">
        <v>2014.0</v>
      </c>
      <c r="B2767" s="2" t="s">
        <v>13255</v>
      </c>
      <c r="C2767" s="2" t="s">
        <v>13255</v>
      </c>
      <c r="D2767" s="2" t="str">
        <f>"6203521316"</f>
        <v>6203521316</v>
      </c>
      <c r="E2767" s="2" t="s">
        <v>718</v>
      </c>
      <c r="F2767" s="2" t="s">
        <v>13256</v>
      </c>
      <c r="G2767" s="2" t="str">
        <f>"SR-3824"</f>
        <v>SR-3824</v>
      </c>
      <c r="H2767" s="2" t="s">
        <v>13257</v>
      </c>
      <c r="I2767" s="2" t="s">
        <v>13258</v>
      </c>
      <c r="K2767" s="2" t="s">
        <v>5675</v>
      </c>
      <c r="L2767" s="2" t="s">
        <v>272</v>
      </c>
      <c r="M2767" s="2">
        <v>67578.0</v>
      </c>
      <c r="N2767" s="2" t="s">
        <v>21</v>
      </c>
    </row>
    <row r="2768" ht="15.75" customHeight="1">
      <c r="A2768" s="2">
        <v>2014.0</v>
      </c>
      <c r="B2768" s="2" t="s">
        <v>13259</v>
      </c>
      <c r="C2768" s="2" t="s">
        <v>13260</v>
      </c>
      <c r="D2768" s="2" t="str">
        <f>"8015187570"</f>
        <v>8015187570</v>
      </c>
      <c r="E2768" s="2" t="s">
        <v>580</v>
      </c>
      <c r="F2768" s="2" t="s">
        <v>283</v>
      </c>
      <c r="G2768" s="2" t="str">
        <f>"SR-3802"</f>
        <v>SR-3802</v>
      </c>
      <c r="H2768" s="2" t="s">
        <v>7387</v>
      </c>
      <c r="I2768" s="2" t="s">
        <v>13261</v>
      </c>
      <c r="K2768" s="2" t="s">
        <v>13262</v>
      </c>
      <c r="L2768" s="2" t="s">
        <v>763</v>
      </c>
      <c r="M2768" s="2">
        <v>84032.0</v>
      </c>
      <c r="N2768" s="2" t="s">
        <v>21</v>
      </c>
    </row>
    <row r="2769" ht="15.75" customHeight="1">
      <c r="A2769" s="2">
        <v>2014.0</v>
      </c>
      <c r="B2769" s="2" t="s">
        <v>13263</v>
      </c>
      <c r="C2769" s="2" t="s">
        <v>13263</v>
      </c>
      <c r="D2769" s="2" t="str">
        <f>"2102647025"</f>
        <v>2102647025</v>
      </c>
      <c r="E2769" s="2" t="s">
        <v>3778</v>
      </c>
      <c r="F2769" s="2" t="s">
        <v>199</v>
      </c>
      <c r="G2769" s="2" t="str">
        <f>"SR-3785"</f>
        <v>SR-3785</v>
      </c>
      <c r="H2769" s="2" t="s">
        <v>13264</v>
      </c>
      <c r="I2769" s="2" t="s">
        <v>13265</v>
      </c>
      <c r="K2769" s="2" t="s">
        <v>632</v>
      </c>
      <c r="L2769" s="2" t="s">
        <v>172</v>
      </c>
      <c r="M2769" s="2">
        <v>78237.0</v>
      </c>
      <c r="N2769" s="2" t="s">
        <v>21</v>
      </c>
    </row>
    <row r="2770" ht="15.75" customHeight="1">
      <c r="A2770" s="2">
        <v>2014.0</v>
      </c>
      <c r="B2770" s="2" t="s">
        <v>13266</v>
      </c>
      <c r="C2770" s="2" t="s">
        <v>13267</v>
      </c>
      <c r="D2770" s="2" t="str">
        <f>"907-376-8937"</f>
        <v>907-376-8937</v>
      </c>
      <c r="E2770" s="2" t="s">
        <v>13268</v>
      </c>
      <c r="F2770" s="2" t="s">
        <v>13269</v>
      </c>
      <c r="G2770" s="2" t="str">
        <f>"SR-3813"</f>
        <v>SR-3813</v>
      </c>
      <c r="H2770" s="2" t="s">
        <v>13270</v>
      </c>
      <c r="I2770" s="2" t="s">
        <v>13271</v>
      </c>
      <c r="K2770" s="2" t="s">
        <v>13272</v>
      </c>
      <c r="L2770" s="2" t="s">
        <v>70</v>
      </c>
      <c r="M2770" s="2">
        <v>99654.0</v>
      </c>
      <c r="N2770" s="2" t="s">
        <v>21</v>
      </c>
    </row>
    <row r="2771" ht="15.75" customHeight="1">
      <c r="A2771" s="2">
        <v>2014.0</v>
      </c>
      <c r="B2771" s="2" t="s">
        <v>13273</v>
      </c>
      <c r="C2771" s="2" t="s">
        <v>13274</v>
      </c>
      <c r="D2771" s="2" t="str">
        <f>"(208) 215-5516"</f>
        <v>(208) 215-5516</v>
      </c>
      <c r="E2771" s="2" t="s">
        <v>1483</v>
      </c>
      <c r="F2771" s="2" t="s">
        <v>13275</v>
      </c>
      <c r="G2771" s="2" t="str">
        <f>"SR-3807"</f>
        <v>SR-3807</v>
      </c>
      <c r="H2771" s="2" t="s">
        <v>13276</v>
      </c>
      <c r="I2771" s="2" t="s">
        <v>13277</v>
      </c>
      <c r="K2771" s="2" t="s">
        <v>13278</v>
      </c>
      <c r="L2771" s="2" t="s">
        <v>2613</v>
      </c>
      <c r="M2771" s="2">
        <v>83877.0</v>
      </c>
      <c r="N2771" s="2" t="s">
        <v>21</v>
      </c>
    </row>
    <row r="2772" ht="15.75" customHeight="1">
      <c r="A2772" s="2">
        <v>2014.0</v>
      </c>
      <c r="B2772" s="2" t="s">
        <v>13279</v>
      </c>
      <c r="C2772" s="2" t="s">
        <v>13280</v>
      </c>
      <c r="D2772" s="2" t="str">
        <f>"410-923-1047"</f>
        <v>410-923-1047</v>
      </c>
      <c r="E2772" s="2" t="s">
        <v>428</v>
      </c>
      <c r="F2772" s="2" t="s">
        <v>13281</v>
      </c>
      <c r="G2772" s="2" t="str">
        <f>"SR-3826"</f>
        <v>SR-3826</v>
      </c>
      <c r="H2772" s="2" t="s">
        <v>13282</v>
      </c>
      <c r="I2772" s="2" t="s">
        <v>13283</v>
      </c>
      <c r="K2772" s="2" t="s">
        <v>13284</v>
      </c>
      <c r="L2772" s="2" t="s">
        <v>1868</v>
      </c>
      <c r="M2772" s="2">
        <v>21108.0</v>
      </c>
      <c r="N2772" s="2" t="s">
        <v>21</v>
      </c>
    </row>
    <row r="2773" ht="15.75" customHeight="1">
      <c r="A2773" s="2">
        <v>2014.0</v>
      </c>
      <c r="B2773" s="2" t="s">
        <v>13285</v>
      </c>
      <c r="C2773" s="2" t="s">
        <v>13285</v>
      </c>
      <c r="D2773" s="2" t="str">
        <f>"7122425882"</f>
        <v>7122425882</v>
      </c>
      <c r="E2773" s="2" t="s">
        <v>2147</v>
      </c>
      <c r="F2773" s="2" t="s">
        <v>13286</v>
      </c>
      <c r="G2773" s="2" t="str">
        <f>"SR-3829"</f>
        <v>SR-3829</v>
      </c>
      <c r="H2773" s="2" t="s">
        <v>13287</v>
      </c>
      <c r="I2773" s="2" t="s">
        <v>13288</v>
      </c>
      <c r="K2773" s="2" t="s">
        <v>13289</v>
      </c>
      <c r="L2773" s="2" t="s">
        <v>560</v>
      </c>
      <c r="M2773" s="2">
        <v>51501.0</v>
      </c>
      <c r="N2773" s="2" t="s">
        <v>21</v>
      </c>
    </row>
    <row r="2774" ht="15.75" customHeight="1">
      <c r="A2774" s="2">
        <v>2014.0</v>
      </c>
      <c r="B2774" s="2" t="s">
        <v>13290</v>
      </c>
      <c r="C2774" s="2" t="s">
        <v>13291</v>
      </c>
      <c r="D2774" s="2" t="str">
        <f>"970-819-1727"</f>
        <v>970-819-1727</v>
      </c>
      <c r="E2774" s="2" t="s">
        <v>267</v>
      </c>
      <c r="F2774" s="2" t="s">
        <v>984</v>
      </c>
      <c r="G2774" s="2" t="str">
        <f>"SR-3820"</f>
        <v>SR-3820</v>
      </c>
      <c r="H2774" s="2" t="s">
        <v>13292</v>
      </c>
      <c r="I2774" s="2" t="s">
        <v>13293</v>
      </c>
      <c r="K2774" s="2" t="s">
        <v>10688</v>
      </c>
      <c r="L2774" s="2" t="s">
        <v>157</v>
      </c>
      <c r="M2774" s="2">
        <v>80480.0</v>
      </c>
      <c r="N2774" s="2" t="s">
        <v>21</v>
      </c>
    </row>
    <row r="2775" ht="15.75" customHeight="1">
      <c r="A2775" s="2">
        <v>2014.0</v>
      </c>
      <c r="B2775" s="2" t="s">
        <v>13294</v>
      </c>
      <c r="C2775" s="2" t="s">
        <v>13295</v>
      </c>
      <c r="D2775" s="2" t="str">
        <f>"2076503035"</f>
        <v>2076503035</v>
      </c>
      <c r="E2775" s="2" t="s">
        <v>1054</v>
      </c>
      <c r="F2775" s="2" t="s">
        <v>13296</v>
      </c>
      <c r="G2775" s="2" t="str">
        <f>"SR-3830"</f>
        <v>SR-3830</v>
      </c>
      <c r="H2775" s="2" t="s">
        <v>13297</v>
      </c>
      <c r="I2775" s="2" t="s">
        <v>13298</v>
      </c>
      <c r="K2775" s="2" t="s">
        <v>3782</v>
      </c>
      <c r="L2775" s="2" t="s">
        <v>3737</v>
      </c>
      <c r="M2775" s="2">
        <v>4011.0</v>
      </c>
      <c r="N2775" s="2" t="s">
        <v>21</v>
      </c>
    </row>
    <row r="2776" ht="15.75" customHeight="1">
      <c r="A2776" s="2">
        <v>2014.0</v>
      </c>
      <c r="B2776" s="2" t="s">
        <v>4362</v>
      </c>
      <c r="C2776" s="2" t="s">
        <v>4362</v>
      </c>
      <c r="D2776" s="2" t="str">
        <f>"724-506-0460"</f>
        <v>724-506-0460</v>
      </c>
      <c r="E2776" s="2" t="s">
        <v>1548</v>
      </c>
      <c r="F2776" s="2" t="s">
        <v>4363</v>
      </c>
      <c r="G2776" s="2" t="str">
        <f>"SR-1309"</f>
        <v>SR-1309</v>
      </c>
      <c r="H2776" s="2" t="s">
        <v>4364</v>
      </c>
      <c r="I2776" s="2" t="s">
        <v>4365</v>
      </c>
      <c r="K2776" s="2" t="s">
        <v>4366</v>
      </c>
      <c r="L2776" s="2" t="s">
        <v>179</v>
      </c>
      <c r="M2776" s="2">
        <v>15005.0</v>
      </c>
      <c r="N2776" s="2" t="s">
        <v>21</v>
      </c>
    </row>
    <row r="2777" ht="15.75" customHeight="1">
      <c r="A2777" s="2">
        <v>2014.0</v>
      </c>
      <c r="B2777" s="2" t="s">
        <v>13299</v>
      </c>
      <c r="C2777" s="2" t="s">
        <v>13299</v>
      </c>
      <c r="D2777" s="2" t="str">
        <f>"734-464-0401"</f>
        <v>734-464-0401</v>
      </c>
      <c r="E2777" s="2" t="s">
        <v>6121</v>
      </c>
      <c r="F2777" s="2" t="s">
        <v>13300</v>
      </c>
      <c r="G2777" s="2" t="str">
        <f>"SR-3834"</f>
        <v>SR-3834</v>
      </c>
      <c r="H2777" s="2" t="s">
        <v>13301</v>
      </c>
      <c r="I2777" s="2" t="s">
        <v>13302</v>
      </c>
      <c r="K2777" s="2" t="s">
        <v>13303</v>
      </c>
      <c r="L2777" s="2" t="s">
        <v>29</v>
      </c>
      <c r="M2777" s="2">
        <v>48154.0</v>
      </c>
      <c r="N2777" s="2" t="s">
        <v>21</v>
      </c>
    </row>
    <row r="2778" ht="15.75" customHeight="1">
      <c r="A2778" s="2">
        <v>2014.0</v>
      </c>
      <c r="B2778" s="2" t="s">
        <v>13304</v>
      </c>
      <c r="C2778" s="2" t="s">
        <v>13304</v>
      </c>
      <c r="D2778" s="2" t="str">
        <f>"9094757639"</f>
        <v>9094757639</v>
      </c>
      <c r="E2778" s="2" t="s">
        <v>9599</v>
      </c>
      <c r="F2778" s="2" t="s">
        <v>13305</v>
      </c>
      <c r="G2778" s="2" t="str">
        <f>"SR-3835"</f>
        <v>SR-3835</v>
      </c>
      <c r="H2778" s="2" t="s">
        <v>13306</v>
      </c>
      <c r="I2778" s="2" t="s">
        <v>13307</v>
      </c>
      <c r="K2778" s="2" t="s">
        <v>3770</v>
      </c>
      <c r="L2778" s="2" t="s">
        <v>222</v>
      </c>
      <c r="M2778" s="2">
        <v>92399.0</v>
      </c>
      <c r="N2778" s="2" t="s">
        <v>21</v>
      </c>
    </row>
    <row r="2779" ht="15.75" customHeight="1">
      <c r="A2779" s="2">
        <v>2014.0</v>
      </c>
      <c r="B2779" s="2" t="s">
        <v>13308</v>
      </c>
      <c r="C2779" s="2" t="s">
        <v>13308</v>
      </c>
      <c r="D2779" s="2" t="str">
        <f>"701-277-0733"</f>
        <v>701-277-0733</v>
      </c>
      <c r="E2779" s="2" t="s">
        <v>13309</v>
      </c>
      <c r="F2779" s="2" t="s">
        <v>11892</v>
      </c>
      <c r="G2779" s="2" t="str">
        <f>"SR-3308"</f>
        <v>SR-3308</v>
      </c>
      <c r="H2779" s="2" t="s">
        <v>13310</v>
      </c>
      <c r="I2779" s="2">
        <v>4808.0</v>
      </c>
      <c r="J2779" s="2" t="s">
        <v>13311</v>
      </c>
      <c r="K2779" s="2" t="s">
        <v>10390</v>
      </c>
      <c r="L2779" s="2" t="s">
        <v>2534</v>
      </c>
      <c r="M2779" s="2">
        <v>58104.0</v>
      </c>
      <c r="N2779" s="2" t="s">
        <v>21</v>
      </c>
    </row>
    <row r="2780" ht="15.75" customHeight="1">
      <c r="A2780" s="2">
        <v>2014.0</v>
      </c>
      <c r="B2780" s="2" t="s">
        <v>13312</v>
      </c>
      <c r="C2780" s="2" t="s">
        <v>13313</v>
      </c>
      <c r="D2780" s="2" t="str">
        <f>"7203848984"</f>
        <v>7203848984</v>
      </c>
      <c r="E2780" s="2" t="s">
        <v>13314</v>
      </c>
      <c r="F2780" s="2" t="s">
        <v>13315</v>
      </c>
      <c r="G2780" s="2" t="str">
        <f>"SR-367"</f>
        <v>SR-367</v>
      </c>
      <c r="H2780" s="2" t="s">
        <v>13316</v>
      </c>
      <c r="I2780" s="2" t="s">
        <v>13317</v>
      </c>
      <c r="K2780" s="2" t="s">
        <v>13318</v>
      </c>
      <c r="L2780" s="2" t="s">
        <v>157</v>
      </c>
      <c r="M2780" s="2">
        <v>80134.0</v>
      </c>
      <c r="N2780" s="2" t="s">
        <v>21</v>
      </c>
    </row>
    <row r="2781" ht="15.75" customHeight="1">
      <c r="A2781" s="2">
        <v>2014.0</v>
      </c>
      <c r="B2781" s="2" t="s">
        <v>13319</v>
      </c>
      <c r="C2781" s="2" t="s">
        <v>13319</v>
      </c>
      <c r="D2781" s="2" t="str">
        <f>"(405)-761-8655"</f>
        <v>(405)-761-8655</v>
      </c>
      <c r="E2781" s="2" t="s">
        <v>72</v>
      </c>
      <c r="F2781" s="2" t="s">
        <v>13320</v>
      </c>
      <c r="G2781" s="2" t="str">
        <f>"SR-3842"</f>
        <v>SR-3842</v>
      </c>
      <c r="H2781" s="2" t="s">
        <v>13321</v>
      </c>
      <c r="I2781" s="2" t="s">
        <v>13322</v>
      </c>
      <c r="K2781" s="2" t="s">
        <v>1546</v>
      </c>
      <c r="L2781" s="2" t="s">
        <v>840</v>
      </c>
      <c r="M2781" s="2">
        <v>73012.0</v>
      </c>
      <c r="N2781" s="2" t="s">
        <v>21</v>
      </c>
    </row>
    <row r="2782" ht="15.75" customHeight="1">
      <c r="A2782" s="2">
        <v>2014.0</v>
      </c>
      <c r="B2782" s="2" t="s">
        <v>13323</v>
      </c>
      <c r="C2782" s="2" t="s">
        <v>13324</v>
      </c>
      <c r="D2782" s="2" t="str">
        <f>"7069655151"</f>
        <v>7069655151</v>
      </c>
      <c r="E2782" s="2" t="s">
        <v>2752</v>
      </c>
      <c r="F2782" s="2" t="s">
        <v>1960</v>
      </c>
      <c r="G2782" s="2" t="str">
        <f>"SR-3786"</f>
        <v>SR-3786</v>
      </c>
      <c r="H2782" s="2" t="s">
        <v>13325</v>
      </c>
      <c r="I2782" s="2" t="s">
        <v>13326</v>
      </c>
      <c r="K2782" s="2" t="s">
        <v>4569</v>
      </c>
      <c r="L2782" s="2" t="s">
        <v>200</v>
      </c>
      <c r="M2782" s="2">
        <v>30736.0</v>
      </c>
      <c r="N2782" s="2" t="s">
        <v>21</v>
      </c>
    </row>
    <row r="2783" ht="15.75" customHeight="1">
      <c r="A2783" s="2">
        <v>2014.0</v>
      </c>
      <c r="B2783" s="2" t="s">
        <v>11662</v>
      </c>
      <c r="C2783" s="2" t="s">
        <v>13327</v>
      </c>
      <c r="D2783" s="2" t="str">
        <f>"7652107356"</f>
        <v>7652107356</v>
      </c>
      <c r="E2783" s="2" t="s">
        <v>36</v>
      </c>
      <c r="F2783" s="2" t="s">
        <v>11664</v>
      </c>
      <c r="G2783" s="2" t="str">
        <f>"SR-3832"</f>
        <v>SR-3832</v>
      </c>
      <c r="H2783" s="2" t="s">
        <v>13328</v>
      </c>
      <c r="I2783" s="2" t="s">
        <v>11666</v>
      </c>
      <c r="K2783" s="2" t="s">
        <v>11667</v>
      </c>
      <c r="L2783" s="2" t="s">
        <v>149</v>
      </c>
      <c r="M2783" s="2">
        <v>46901.0</v>
      </c>
      <c r="N2783" s="2" t="s">
        <v>21</v>
      </c>
    </row>
    <row r="2784" ht="15.75" customHeight="1">
      <c r="A2784" s="2">
        <v>2014.0</v>
      </c>
      <c r="B2784" s="2" t="s">
        <v>2794</v>
      </c>
      <c r="C2784" s="2" t="s">
        <v>13329</v>
      </c>
      <c r="D2784" s="2" t="str">
        <f>"614 783-0740"</f>
        <v>614 783-0740</v>
      </c>
      <c r="E2784" s="2" t="s">
        <v>2361</v>
      </c>
      <c r="F2784" s="2" t="s">
        <v>2796</v>
      </c>
      <c r="G2784" s="2" t="str">
        <f>"SR-3256"</f>
        <v>SR-3256</v>
      </c>
      <c r="H2784" s="2" t="s">
        <v>13330</v>
      </c>
      <c r="I2784" s="2" t="s">
        <v>2798</v>
      </c>
      <c r="K2784" s="2" t="s">
        <v>489</v>
      </c>
      <c r="L2784" s="2" t="s">
        <v>344</v>
      </c>
      <c r="M2784" s="2">
        <v>43082.0</v>
      </c>
      <c r="N2784" s="2" t="s">
        <v>21</v>
      </c>
    </row>
    <row r="2785" ht="15.75" customHeight="1">
      <c r="A2785" s="2">
        <v>2014.0</v>
      </c>
      <c r="B2785" s="2" t="s">
        <v>5227</v>
      </c>
      <c r="C2785" s="2" t="s">
        <v>5228</v>
      </c>
      <c r="D2785" s="2" t="str">
        <f>"(205) 907-8159"</f>
        <v>(205) 907-8159</v>
      </c>
      <c r="E2785" s="2" t="s">
        <v>2965</v>
      </c>
      <c r="F2785" s="2" t="s">
        <v>4532</v>
      </c>
      <c r="G2785" s="2" t="str">
        <f>"SR-1492"</f>
        <v>SR-1492</v>
      </c>
      <c r="H2785" s="2" t="s">
        <v>5229</v>
      </c>
      <c r="I2785" s="2" t="s">
        <v>5230</v>
      </c>
      <c r="K2785" s="2" t="s">
        <v>1173</v>
      </c>
      <c r="L2785" s="2" t="s">
        <v>539</v>
      </c>
      <c r="M2785" s="2">
        <v>35215.0</v>
      </c>
      <c r="N2785" s="2" t="s">
        <v>21</v>
      </c>
    </row>
    <row r="2786" ht="15.75" customHeight="1">
      <c r="A2786" s="2">
        <v>2014.0</v>
      </c>
      <c r="B2786" s="2" t="s">
        <v>4426</v>
      </c>
      <c r="C2786" s="2" t="s">
        <v>4426</v>
      </c>
      <c r="D2786" s="2" t="str">
        <f>"505-236-9562"</f>
        <v>505-236-9562</v>
      </c>
      <c r="E2786" s="2" t="s">
        <v>4474</v>
      </c>
      <c r="F2786" s="2" t="s">
        <v>4427</v>
      </c>
      <c r="G2786" s="2" t="str">
        <f>"SR-1345"</f>
        <v>SR-1345</v>
      </c>
      <c r="H2786" s="2" t="s">
        <v>4475</v>
      </c>
      <c r="I2786" s="2" t="s">
        <v>4476</v>
      </c>
      <c r="K2786" s="2" t="s">
        <v>3803</v>
      </c>
      <c r="L2786" s="2" t="s">
        <v>789</v>
      </c>
      <c r="M2786" s="2">
        <v>87124.0</v>
      </c>
      <c r="N2786" s="2" t="s">
        <v>21</v>
      </c>
    </row>
    <row r="2787" ht="15.75" customHeight="1">
      <c r="A2787" s="2">
        <v>2014.0</v>
      </c>
      <c r="B2787" s="2" t="s">
        <v>2794</v>
      </c>
      <c r="C2787" s="2" t="s">
        <v>2795</v>
      </c>
      <c r="D2787" s="2" t="str">
        <f>"614 783-0740"</f>
        <v>614 783-0740</v>
      </c>
      <c r="E2787" s="2" t="s">
        <v>453</v>
      </c>
      <c r="F2787" s="2" t="s">
        <v>2796</v>
      </c>
      <c r="G2787" s="2" t="str">
        <f>"SR-794"</f>
        <v>SR-794</v>
      </c>
      <c r="H2787" s="2" t="s">
        <v>2797</v>
      </c>
      <c r="I2787" s="2" t="s">
        <v>2798</v>
      </c>
      <c r="K2787" s="2" t="s">
        <v>489</v>
      </c>
      <c r="L2787" s="2" t="s">
        <v>344</v>
      </c>
      <c r="M2787" s="2">
        <v>43082.0</v>
      </c>
      <c r="N2787" s="2" t="s">
        <v>21</v>
      </c>
    </row>
    <row r="2788" ht="15.75" customHeight="1">
      <c r="A2788" s="2">
        <v>2014.0</v>
      </c>
      <c r="B2788" s="2" t="s">
        <v>13331</v>
      </c>
      <c r="C2788" s="2" t="s">
        <v>13331</v>
      </c>
      <c r="D2788" s="2" t="str">
        <f>"701-282-6437"</f>
        <v>701-282-6437</v>
      </c>
      <c r="E2788" s="2" t="s">
        <v>3743</v>
      </c>
      <c r="F2788" s="2" t="s">
        <v>124</v>
      </c>
      <c r="G2788" s="2" t="str">
        <f>"SR-3843"</f>
        <v>SR-3843</v>
      </c>
      <c r="H2788" s="2" t="s">
        <v>13332</v>
      </c>
      <c r="I2788" s="2" t="s">
        <v>13333</v>
      </c>
      <c r="K2788" s="2" t="s">
        <v>13334</v>
      </c>
      <c r="L2788" s="2" t="s">
        <v>2534</v>
      </c>
      <c r="M2788" s="2">
        <v>58078.0</v>
      </c>
      <c r="N2788" s="2" t="s">
        <v>21</v>
      </c>
    </row>
    <row r="2789" ht="15.75" customHeight="1">
      <c r="A2789" s="2">
        <v>2014.0</v>
      </c>
      <c r="B2789" s="2" t="s">
        <v>13335</v>
      </c>
      <c r="C2789" s="2" t="s">
        <v>13336</v>
      </c>
      <c r="D2789" s="2" t="str">
        <f>"(864)599-9411"</f>
        <v>(864)599-9411</v>
      </c>
      <c r="E2789" s="2" t="s">
        <v>301</v>
      </c>
      <c r="F2789" s="2" t="s">
        <v>1756</v>
      </c>
      <c r="G2789" s="2" t="str">
        <f>"SR-3627"</f>
        <v>SR-3627</v>
      </c>
      <c r="H2789" s="2" t="s">
        <v>13337</v>
      </c>
      <c r="I2789" s="2" t="s">
        <v>13338</v>
      </c>
      <c r="K2789" s="2" t="s">
        <v>13339</v>
      </c>
      <c r="L2789" s="2" t="s">
        <v>55</v>
      </c>
      <c r="M2789" s="2">
        <v>29316.0</v>
      </c>
      <c r="N2789" s="2" t="s">
        <v>21</v>
      </c>
    </row>
    <row r="2790" ht="15.75" customHeight="1">
      <c r="A2790" s="2">
        <v>2014.0</v>
      </c>
      <c r="B2790" s="2" t="s">
        <v>13340</v>
      </c>
      <c r="C2790" s="2" t="s">
        <v>13341</v>
      </c>
      <c r="D2790" s="2" t="str">
        <f>"(925) 784-3674"</f>
        <v>(925) 784-3674</v>
      </c>
      <c r="E2790" s="2" t="s">
        <v>521</v>
      </c>
      <c r="F2790" s="2" t="s">
        <v>1281</v>
      </c>
      <c r="G2790" s="2" t="str">
        <f>"SR-3804"</f>
        <v>SR-3804</v>
      </c>
      <c r="H2790" s="2" t="s">
        <v>13342</v>
      </c>
      <c r="I2790" s="2" t="s">
        <v>13343</v>
      </c>
      <c r="K2790" s="2" t="s">
        <v>9868</v>
      </c>
      <c r="L2790" s="2" t="s">
        <v>222</v>
      </c>
      <c r="M2790" s="2">
        <v>94513.0</v>
      </c>
      <c r="N2790" s="2" t="s">
        <v>21</v>
      </c>
    </row>
    <row r="2791" ht="15.75" customHeight="1">
      <c r="A2791" s="2">
        <v>2014.0</v>
      </c>
      <c r="B2791" s="2" t="s">
        <v>13344</v>
      </c>
      <c r="C2791" s="2" t="s">
        <v>13344</v>
      </c>
      <c r="D2791" s="2" t="str">
        <f>"(919)-225-7796"</f>
        <v>(919)-225-7796</v>
      </c>
      <c r="E2791" s="2" t="s">
        <v>1548</v>
      </c>
      <c r="F2791" s="2" t="s">
        <v>13345</v>
      </c>
      <c r="G2791" s="2" t="str">
        <f>"SR-3844"</f>
        <v>SR-3844</v>
      </c>
      <c r="H2791" s="2" t="s">
        <v>13346</v>
      </c>
      <c r="I2791" s="2" t="s">
        <v>13347</v>
      </c>
      <c r="K2791" s="2" t="s">
        <v>1111</v>
      </c>
      <c r="L2791" s="2" t="s">
        <v>20</v>
      </c>
      <c r="M2791" s="2">
        <v>27713.0</v>
      </c>
      <c r="N2791" s="2" t="s">
        <v>21</v>
      </c>
    </row>
    <row r="2792" ht="15.75" customHeight="1">
      <c r="A2792" s="2">
        <v>2014.0</v>
      </c>
      <c r="B2792" s="2" t="s">
        <v>13348</v>
      </c>
      <c r="C2792" s="2" t="s">
        <v>13349</v>
      </c>
      <c r="D2792" s="2" t="str">
        <f>"563-263-6969"</f>
        <v>563-263-6969</v>
      </c>
      <c r="E2792" s="2" t="s">
        <v>11423</v>
      </c>
      <c r="F2792" s="2" t="s">
        <v>13350</v>
      </c>
      <c r="G2792" s="2" t="str">
        <f>"SR-3721"</f>
        <v>SR-3721</v>
      </c>
      <c r="H2792" s="2" t="s">
        <v>13351</v>
      </c>
      <c r="I2792" s="2" t="s">
        <v>13352</v>
      </c>
      <c r="K2792" s="2" t="s">
        <v>13353</v>
      </c>
      <c r="L2792" s="2" t="s">
        <v>560</v>
      </c>
      <c r="M2792" s="2">
        <v>52761.0</v>
      </c>
      <c r="N2792" s="2" t="s">
        <v>21</v>
      </c>
    </row>
    <row r="2793" ht="15.75" customHeight="1">
      <c r="A2793" s="2">
        <v>2014.0</v>
      </c>
      <c r="B2793" s="2" t="s">
        <v>13354</v>
      </c>
      <c r="C2793" s="2" t="s">
        <v>13354</v>
      </c>
      <c r="D2793" s="2" t="str">
        <f>"719-213-8110"</f>
        <v>719-213-8110</v>
      </c>
      <c r="E2793" s="2" t="s">
        <v>225</v>
      </c>
      <c r="F2793" s="2" t="s">
        <v>13355</v>
      </c>
      <c r="G2793" s="2" t="str">
        <f>"SR-3837"</f>
        <v>SR-3837</v>
      </c>
      <c r="H2793" s="2" t="s">
        <v>13356</v>
      </c>
      <c r="I2793" s="2" t="s">
        <v>13357</v>
      </c>
      <c r="K2793" s="2" t="s">
        <v>809</v>
      </c>
      <c r="L2793" s="2" t="s">
        <v>157</v>
      </c>
      <c r="M2793" s="2">
        <v>80920.0</v>
      </c>
      <c r="N2793" s="2" t="s">
        <v>21</v>
      </c>
    </row>
    <row r="2794" ht="15.75" customHeight="1">
      <c r="A2794" s="2">
        <v>2014.0</v>
      </c>
      <c r="B2794" s="2" t="s">
        <v>13358</v>
      </c>
      <c r="C2794" s="2" t="s">
        <v>13359</v>
      </c>
      <c r="D2794" s="2" t="str">
        <f>"509-443-2451"</f>
        <v>509-443-2451</v>
      </c>
      <c r="E2794" s="2" t="s">
        <v>13360</v>
      </c>
      <c r="F2794" s="2" t="s">
        <v>13361</v>
      </c>
      <c r="G2794" s="2" t="str">
        <f>"SR-3852"</f>
        <v>SR-3852</v>
      </c>
      <c r="H2794" s="2" t="s">
        <v>13362</v>
      </c>
      <c r="I2794" s="2" t="s">
        <v>13363</v>
      </c>
      <c r="K2794" s="2" t="s">
        <v>1413</v>
      </c>
      <c r="L2794" s="2" t="s">
        <v>86</v>
      </c>
      <c r="M2794" s="2">
        <v>99223.0</v>
      </c>
      <c r="N2794" s="2" t="s">
        <v>21</v>
      </c>
    </row>
    <row r="2795" ht="15.75" customHeight="1">
      <c r="A2795" s="2">
        <v>2014.0</v>
      </c>
      <c r="B2795" s="2" t="s">
        <v>13364</v>
      </c>
      <c r="C2795" s="2" t="s">
        <v>13365</v>
      </c>
      <c r="D2795" s="2" t="str">
        <f>"9372964321"</f>
        <v>9372964321</v>
      </c>
      <c r="E2795" s="2" t="s">
        <v>50</v>
      </c>
      <c r="F2795" s="2" t="s">
        <v>13366</v>
      </c>
      <c r="G2795" s="2" t="str">
        <f>"SR-3839"</f>
        <v>SR-3839</v>
      </c>
      <c r="H2795" s="2" t="s">
        <v>13367</v>
      </c>
      <c r="I2795" s="2" t="s">
        <v>13368</v>
      </c>
      <c r="K2795" s="2" t="s">
        <v>8043</v>
      </c>
      <c r="L2795" s="2" t="s">
        <v>344</v>
      </c>
      <c r="M2795" s="2">
        <v>45429.0</v>
      </c>
      <c r="N2795" s="2" t="s">
        <v>21</v>
      </c>
    </row>
    <row r="2796" ht="15.75" customHeight="1">
      <c r="A2796" s="2">
        <v>2014.0</v>
      </c>
      <c r="B2796" s="2" t="s">
        <v>13369</v>
      </c>
      <c r="C2796" s="2" t="s">
        <v>13370</v>
      </c>
      <c r="D2796" s="2" t="str">
        <f>"(850) 544-9673"</f>
        <v>(850) 544-9673</v>
      </c>
      <c r="E2796" s="2" t="s">
        <v>6121</v>
      </c>
      <c r="F2796" s="2" t="s">
        <v>13371</v>
      </c>
      <c r="G2796" s="2" t="str">
        <f>"SR-3816"</f>
        <v>SR-3816</v>
      </c>
      <c r="H2796" s="2" t="s">
        <v>13372</v>
      </c>
      <c r="I2796" s="2" t="s">
        <v>13373</v>
      </c>
      <c r="K2796" s="2" t="s">
        <v>2007</v>
      </c>
      <c r="L2796" s="2" t="s">
        <v>208</v>
      </c>
      <c r="M2796" s="2">
        <v>32303.0</v>
      </c>
      <c r="N2796" s="2" t="s">
        <v>21</v>
      </c>
    </row>
    <row r="2797" ht="15.75" customHeight="1">
      <c r="A2797" s="2">
        <v>2014.0</v>
      </c>
      <c r="B2797" s="2" t="s">
        <v>13374</v>
      </c>
      <c r="C2797" s="2" t="s">
        <v>13375</v>
      </c>
      <c r="D2797" s="2" t="str">
        <f>"512-587-6795"</f>
        <v>512-587-6795</v>
      </c>
      <c r="E2797" s="2" t="s">
        <v>4637</v>
      </c>
      <c r="F2797" s="2" t="s">
        <v>2063</v>
      </c>
      <c r="G2797" s="2" t="str">
        <f>"SR-3458"</f>
        <v>SR-3458</v>
      </c>
      <c r="H2797" s="2" t="s">
        <v>13376</v>
      </c>
      <c r="I2797" s="2" t="s">
        <v>13377</v>
      </c>
      <c r="K2797" s="2" t="s">
        <v>12777</v>
      </c>
      <c r="L2797" s="2" t="s">
        <v>172</v>
      </c>
      <c r="M2797" s="2">
        <v>78669.0</v>
      </c>
      <c r="N2797" s="2" t="s">
        <v>21</v>
      </c>
    </row>
    <row r="2798" ht="15.75" customHeight="1">
      <c r="A2798" s="2">
        <v>2014.0</v>
      </c>
      <c r="B2798" s="2" t="s">
        <v>13279</v>
      </c>
      <c r="C2798" s="2" t="s">
        <v>13378</v>
      </c>
      <c r="D2798" s="2" t="str">
        <f>"410-923-1047"</f>
        <v>410-923-1047</v>
      </c>
      <c r="E2798" s="2" t="s">
        <v>1197</v>
      </c>
      <c r="F2798" s="2" t="s">
        <v>13281</v>
      </c>
      <c r="G2798" s="2" t="str">
        <f>"SR-3827"</f>
        <v>SR-3827</v>
      </c>
      <c r="H2798" s="2" t="s">
        <v>13379</v>
      </c>
      <c r="I2798" s="2" t="s">
        <v>13283</v>
      </c>
      <c r="K2798" s="2" t="s">
        <v>13284</v>
      </c>
      <c r="L2798" s="2" t="s">
        <v>1868</v>
      </c>
      <c r="M2798" s="2">
        <v>21108.0</v>
      </c>
      <c r="N2798" s="2" t="s">
        <v>21</v>
      </c>
    </row>
    <row r="2799" ht="15.75" customHeight="1">
      <c r="A2799" s="2">
        <v>2014.0</v>
      </c>
      <c r="B2799" s="2" t="s">
        <v>13380</v>
      </c>
      <c r="C2799" s="2" t="s">
        <v>13381</v>
      </c>
      <c r="D2799" s="2" t="str">
        <f>"361-655-2350"</f>
        <v>361-655-2350</v>
      </c>
      <c r="E2799" s="2" t="s">
        <v>10566</v>
      </c>
      <c r="F2799" s="2" t="s">
        <v>1325</v>
      </c>
      <c r="G2799" s="2" t="str">
        <f>"SR-2932"</f>
        <v>SR-2932</v>
      </c>
      <c r="H2799" s="2" t="s">
        <v>13382</v>
      </c>
      <c r="I2799" s="2" t="s">
        <v>13383</v>
      </c>
      <c r="K2799" s="2" t="s">
        <v>13384</v>
      </c>
      <c r="L2799" s="2" t="s">
        <v>172</v>
      </c>
      <c r="M2799" s="2">
        <v>77979.0</v>
      </c>
      <c r="N2799" s="2" t="s">
        <v>21</v>
      </c>
    </row>
    <row r="2800" ht="15.75" customHeight="1">
      <c r="A2800" s="2">
        <v>2014.0</v>
      </c>
      <c r="B2800" s="2" t="s">
        <v>13385</v>
      </c>
      <c r="D2800" s="2" t="str">
        <f>""</f>
        <v/>
      </c>
      <c r="E2800" s="2" t="s">
        <v>13386</v>
      </c>
      <c r="F2800" s="2" t="s">
        <v>13387</v>
      </c>
      <c r="G2800" s="2" t="str">
        <f>"SR-3444"</f>
        <v>SR-3444</v>
      </c>
      <c r="H2800" s="2" t="s">
        <v>13388</v>
      </c>
      <c r="I2800" s="2" t="s">
        <v>13389</v>
      </c>
      <c r="K2800" s="2" t="s">
        <v>11126</v>
      </c>
      <c r="N2800" s="2" t="s">
        <v>21</v>
      </c>
    </row>
    <row r="2801" ht="15.75" customHeight="1">
      <c r="A2801" s="2">
        <v>2014.0</v>
      </c>
      <c r="B2801" s="2" t="s">
        <v>1672</v>
      </c>
      <c r="C2801" s="2" t="s">
        <v>1673</v>
      </c>
      <c r="D2801" s="2" t="str">
        <f>"4254891020"</f>
        <v>4254891020</v>
      </c>
      <c r="E2801" s="2" t="s">
        <v>843</v>
      </c>
      <c r="F2801" s="2" t="s">
        <v>1674</v>
      </c>
      <c r="G2801" s="2" t="str">
        <f>"SR-437"</f>
        <v>SR-437</v>
      </c>
      <c r="H2801" s="2" t="s">
        <v>1675</v>
      </c>
      <c r="I2801" s="2" t="s">
        <v>1676</v>
      </c>
      <c r="K2801" s="2" t="s">
        <v>1677</v>
      </c>
      <c r="L2801" s="2" t="s">
        <v>86</v>
      </c>
      <c r="M2801" s="2">
        <v>98011.0</v>
      </c>
      <c r="N2801" s="2" t="s">
        <v>21</v>
      </c>
    </row>
    <row r="2802" ht="15.75" customHeight="1">
      <c r="A2802" s="2">
        <v>2014.0</v>
      </c>
      <c r="B2802" s="2" t="s">
        <v>13390</v>
      </c>
      <c r="C2802" s="2" t="s">
        <v>13391</v>
      </c>
      <c r="D2802" s="2" t="str">
        <f>"313.737.7383"</f>
        <v>313.737.7383</v>
      </c>
      <c r="E2802" s="2" t="s">
        <v>1946</v>
      </c>
      <c r="F2802" s="2" t="s">
        <v>13392</v>
      </c>
      <c r="G2802" s="2" t="str">
        <f>"SR-3757"</f>
        <v>SR-3757</v>
      </c>
      <c r="H2802" s="2" t="s">
        <v>13393</v>
      </c>
      <c r="I2802" s="2" t="s">
        <v>13394</v>
      </c>
      <c r="K2802" s="2" t="s">
        <v>13395</v>
      </c>
      <c r="L2802" s="2" t="s">
        <v>29</v>
      </c>
      <c r="M2802" s="2">
        <v>48128.0</v>
      </c>
      <c r="N2802" s="2" t="s">
        <v>21</v>
      </c>
    </row>
    <row r="2803" ht="15.75" customHeight="1">
      <c r="A2803" s="2">
        <v>2014.0</v>
      </c>
      <c r="B2803" s="2" t="s">
        <v>13396</v>
      </c>
      <c r="C2803" s="2" t="s">
        <v>13396</v>
      </c>
      <c r="D2803" s="2" t="str">
        <f>"224-567-1418"</f>
        <v>224-567-1418</v>
      </c>
      <c r="E2803" s="2" t="s">
        <v>4224</v>
      </c>
      <c r="F2803" s="2" t="s">
        <v>13397</v>
      </c>
      <c r="G2803" s="2" t="str">
        <f>"SR-3857"</f>
        <v>SR-3857</v>
      </c>
      <c r="H2803" s="2" t="s">
        <v>13398</v>
      </c>
      <c r="I2803" s="2" t="s">
        <v>13399</v>
      </c>
      <c r="K2803" s="2" t="s">
        <v>12921</v>
      </c>
      <c r="L2803" s="2" t="s">
        <v>105</v>
      </c>
      <c r="M2803" s="2">
        <v>60046.0</v>
      </c>
      <c r="N2803" s="2" t="s">
        <v>21</v>
      </c>
    </row>
    <row r="2804" ht="15.75" customHeight="1">
      <c r="A2804" s="2">
        <v>2014.0</v>
      </c>
      <c r="B2804" s="2" t="s">
        <v>13400</v>
      </c>
      <c r="C2804" s="2" t="s">
        <v>13401</v>
      </c>
      <c r="D2804" s="2" t="str">
        <f>"9013738894"</f>
        <v>9013738894</v>
      </c>
      <c r="E2804" s="2" t="s">
        <v>590</v>
      </c>
      <c r="F2804" s="2" t="s">
        <v>5516</v>
      </c>
      <c r="G2804" s="2" t="str">
        <f>"SR-3862"</f>
        <v>SR-3862</v>
      </c>
      <c r="H2804" s="2" t="s">
        <v>13402</v>
      </c>
      <c r="I2804" s="2" t="s">
        <v>13403</v>
      </c>
      <c r="K2804" s="2" t="s">
        <v>5519</v>
      </c>
      <c r="L2804" s="2" t="s">
        <v>279</v>
      </c>
      <c r="M2804" s="2">
        <v>38134.0</v>
      </c>
      <c r="N2804" s="2" t="s">
        <v>21</v>
      </c>
    </row>
    <row r="2805" ht="15.75" customHeight="1">
      <c r="A2805" s="2">
        <v>2014.0</v>
      </c>
      <c r="B2805" s="2" t="s">
        <v>13404</v>
      </c>
      <c r="C2805" s="2" t="s">
        <v>13405</v>
      </c>
      <c r="D2805" s="2" t="str">
        <f>"901-849-4520"</f>
        <v>901-849-4520</v>
      </c>
      <c r="E2805" s="2" t="s">
        <v>1263</v>
      </c>
      <c r="F2805" s="2" t="s">
        <v>13406</v>
      </c>
      <c r="G2805" s="2" t="str">
        <f>"SR-3861"</f>
        <v>SR-3861</v>
      </c>
      <c r="H2805" s="2" t="s">
        <v>13407</v>
      </c>
      <c r="I2805" s="2" t="s">
        <v>13408</v>
      </c>
      <c r="K2805" s="2" t="s">
        <v>5519</v>
      </c>
      <c r="L2805" s="2" t="s">
        <v>279</v>
      </c>
      <c r="M2805" s="2">
        <v>38119.0</v>
      </c>
      <c r="N2805" s="2" t="s">
        <v>21</v>
      </c>
    </row>
    <row r="2806" ht="15.75" customHeight="1">
      <c r="A2806" s="2">
        <v>2014.0</v>
      </c>
      <c r="B2806" s="2" t="s">
        <v>13409</v>
      </c>
      <c r="C2806" s="2" t="s">
        <v>13409</v>
      </c>
      <c r="D2806" s="2" t="str">
        <f>"404-561-9077"</f>
        <v>404-561-9077</v>
      </c>
      <c r="E2806" s="2" t="s">
        <v>13410</v>
      </c>
      <c r="F2806" s="2" t="s">
        <v>13411</v>
      </c>
      <c r="G2806" s="2" t="str">
        <f>"SR-3712"</f>
        <v>SR-3712</v>
      </c>
      <c r="H2806" s="2" t="s">
        <v>13412</v>
      </c>
      <c r="I2806" s="2" t="s">
        <v>13413</v>
      </c>
      <c r="K2806" s="2" t="s">
        <v>13414</v>
      </c>
      <c r="L2806" s="2" t="s">
        <v>200</v>
      </c>
      <c r="M2806" s="2">
        <v>30327.0</v>
      </c>
      <c r="N2806" s="2" t="s">
        <v>21</v>
      </c>
    </row>
    <row r="2807" ht="15.75" customHeight="1">
      <c r="A2807" s="2">
        <v>2014.0</v>
      </c>
      <c r="B2807" s="2" t="s">
        <v>13415</v>
      </c>
      <c r="C2807" s="2" t="s">
        <v>13416</v>
      </c>
      <c r="D2807" s="2" t="str">
        <f>"3364163967"</f>
        <v>3364163967</v>
      </c>
      <c r="E2807" s="2" t="s">
        <v>124</v>
      </c>
      <c r="F2807" s="2" t="s">
        <v>13417</v>
      </c>
      <c r="G2807" s="2" t="str">
        <f>"SR-3597"</f>
        <v>SR-3597</v>
      </c>
      <c r="H2807" s="2" t="s">
        <v>13418</v>
      </c>
      <c r="I2807" s="2" t="s">
        <v>13419</v>
      </c>
      <c r="K2807" s="2" t="s">
        <v>4174</v>
      </c>
      <c r="L2807" s="2" t="s">
        <v>20</v>
      </c>
      <c r="M2807" s="2">
        <v>27023.0</v>
      </c>
      <c r="N2807" s="2" t="s">
        <v>21</v>
      </c>
    </row>
    <row r="2808" ht="15.75" customHeight="1">
      <c r="A2808" s="2">
        <v>2014.0</v>
      </c>
      <c r="B2808" s="2" t="s">
        <v>6096</v>
      </c>
      <c r="C2808" s="2" t="s">
        <v>6097</v>
      </c>
      <c r="D2808" s="2" t="str">
        <f>"5403360325"</f>
        <v>5403360325</v>
      </c>
      <c r="E2808" s="2" t="s">
        <v>6098</v>
      </c>
      <c r="F2808" s="2" t="s">
        <v>6099</v>
      </c>
      <c r="G2808" s="2" t="str">
        <f>"SR-708"</f>
        <v>SR-708</v>
      </c>
      <c r="H2808" s="2" t="s">
        <v>6100</v>
      </c>
      <c r="I2808" s="2" t="s">
        <v>6101</v>
      </c>
      <c r="K2808" s="2" t="s">
        <v>594</v>
      </c>
      <c r="L2808" s="2" t="s">
        <v>165</v>
      </c>
      <c r="M2808" s="2">
        <v>22601.0</v>
      </c>
      <c r="N2808" s="2" t="s">
        <v>21</v>
      </c>
    </row>
    <row r="2809" ht="15.75" customHeight="1">
      <c r="A2809" s="2">
        <v>2014.0</v>
      </c>
      <c r="B2809" s="2" t="s">
        <v>13420</v>
      </c>
      <c r="C2809" s="2" t="s">
        <v>13420</v>
      </c>
      <c r="D2809" s="2" t="str">
        <f>"(405) 386-7995"</f>
        <v>(405) 386-7995</v>
      </c>
      <c r="E2809" s="2" t="s">
        <v>6244</v>
      </c>
      <c r="F2809" s="2" t="s">
        <v>13421</v>
      </c>
      <c r="G2809" s="2" t="str">
        <f>"SR-3865"</f>
        <v>SR-3865</v>
      </c>
      <c r="H2809" s="2" t="s">
        <v>13422</v>
      </c>
      <c r="I2809" s="2" t="s">
        <v>13423</v>
      </c>
      <c r="K2809" s="2" t="s">
        <v>13424</v>
      </c>
      <c r="L2809" s="2" t="s">
        <v>840</v>
      </c>
      <c r="M2809" s="2">
        <v>74857.0</v>
      </c>
      <c r="N2809" s="2" t="s">
        <v>21</v>
      </c>
    </row>
    <row r="2810" ht="15.75" customHeight="1">
      <c r="A2810" s="2">
        <v>2014.0</v>
      </c>
      <c r="B2810" s="2" t="s">
        <v>13425</v>
      </c>
      <c r="C2810" s="2" t="s">
        <v>13426</v>
      </c>
      <c r="D2810" s="2" t="str">
        <f>"240-447-5962"</f>
        <v>240-447-5962</v>
      </c>
      <c r="E2810" s="2" t="s">
        <v>50</v>
      </c>
      <c r="F2810" s="2" t="s">
        <v>327</v>
      </c>
      <c r="G2810" s="2" t="str">
        <f>"SR-3867"</f>
        <v>SR-3867</v>
      </c>
      <c r="H2810" s="2" t="s">
        <v>13427</v>
      </c>
      <c r="I2810" s="2" t="s">
        <v>13428</v>
      </c>
      <c r="K2810" s="2" t="s">
        <v>9323</v>
      </c>
      <c r="L2810" s="2" t="s">
        <v>1868</v>
      </c>
      <c r="M2810" s="2">
        <v>20878.0</v>
      </c>
      <c r="N2810" s="2" t="s">
        <v>21</v>
      </c>
    </row>
    <row r="2811" ht="15.75" customHeight="1">
      <c r="A2811" s="2">
        <v>2014.0</v>
      </c>
      <c r="B2811" s="2" t="s">
        <v>12578</v>
      </c>
      <c r="C2811" s="2" t="s">
        <v>13429</v>
      </c>
      <c r="D2811" s="2" t="str">
        <f>"3219613632"</f>
        <v>3219613632</v>
      </c>
      <c r="E2811" s="2" t="s">
        <v>13430</v>
      </c>
      <c r="F2811" s="2" t="s">
        <v>12581</v>
      </c>
      <c r="G2811" s="2" t="str">
        <f>"SR-3593"</f>
        <v>SR-3593</v>
      </c>
      <c r="H2811" s="2" t="s">
        <v>13431</v>
      </c>
      <c r="I2811" s="2" t="s">
        <v>13432</v>
      </c>
      <c r="J2811" s="2" t="s">
        <v>13433</v>
      </c>
      <c r="K2811" s="2" t="s">
        <v>13434</v>
      </c>
      <c r="L2811" s="2" t="s">
        <v>422</v>
      </c>
      <c r="M2811" s="2">
        <v>85392.0</v>
      </c>
      <c r="N2811" s="2" t="s">
        <v>21</v>
      </c>
    </row>
    <row r="2812" ht="15.75" customHeight="1">
      <c r="A2812" s="2">
        <v>2014.0</v>
      </c>
      <c r="B2812" s="2" t="s">
        <v>13435</v>
      </c>
      <c r="C2812" s="2" t="s">
        <v>13436</v>
      </c>
      <c r="D2812" s="2" t="str">
        <f>"7046413698"</f>
        <v>7046413698</v>
      </c>
      <c r="E2812" s="2" t="s">
        <v>8887</v>
      </c>
      <c r="F2812" s="2" t="s">
        <v>13437</v>
      </c>
      <c r="G2812" s="2" t="str">
        <f>"SR-3240"</f>
        <v>SR-3240</v>
      </c>
      <c r="H2812" s="2" t="s">
        <v>13438</v>
      </c>
      <c r="I2812" s="2" t="s">
        <v>13439</v>
      </c>
      <c r="K2812" s="2" t="s">
        <v>4304</v>
      </c>
      <c r="L2812" s="2" t="s">
        <v>20</v>
      </c>
      <c r="M2812" s="2">
        <v>28173.0</v>
      </c>
      <c r="N2812" s="2" t="s">
        <v>21</v>
      </c>
    </row>
    <row r="2813" ht="15.75" customHeight="1">
      <c r="A2813" s="2">
        <v>2014.0</v>
      </c>
      <c r="B2813" s="2" t="s">
        <v>13435</v>
      </c>
      <c r="C2813" s="2" t="s">
        <v>13440</v>
      </c>
      <c r="D2813" s="2" t="str">
        <f>"704.243.2511"</f>
        <v>704.243.2511</v>
      </c>
      <c r="E2813" s="2" t="s">
        <v>1239</v>
      </c>
      <c r="F2813" s="2" t="s">
        <v>13437</v>
      </c>
      <c r="G2813" s="2" t="str">
        <f>"SR-3238"</f>
        <v>SR-3238</v>
      </c>
      <c r="H2813" s="2" t="s">
        <v>13441</v>
      </c>
      <c r="I2813" s="2" t="s">
        <v>13439</v>
      </c>
      <c r="K2813" s="2" t="s">
        <v>4304</v>
      </c>
      <c r="L2813" s="2" t="s">
        <v>20</v>
      </c>
      <c r="M2813" s="2">
        <v>28173.0</v>
      </c>
      <c r="N2813" s="2" t="s">
        <v>21</v>
      </c>
    </row>
    <row r="2814" ht="15.75" customHeight="1">
      <c r="A2814" s="2">
        <v>2014.0</v>
      </c>
      <c r="B2814" s="2" t="s">
        <v>13442</v>
      </c>
      <c r="C2814" s="2" t="s">
        <v>13443</v>
      </c>
      <c r="D2814" s="2" t="str">
        <f>"308-224-1437"</f>
        <v>308-224-1437</v>
      </c>
      <c r="E2814" s="2" t="s">
        <v>7754</v>
      </c>
      <c r="F2814" s="2" t="s">
        <v>9036</v>
      </c>
      <c r="G2814" s="2" t="str">
        <f>"SR-3140"</f>
        <v>SR-3140</v>
      </c>
      <c r="H2814" s="2" t="s">
        <v>13444</v>
      </c>
      <c r="I2814" s="2" t="s">
        <v>13445</v>
      </c>
      <c r="K2814" s="2" t="s">
        <v>13446</v>
      </c>
      <c r="L2814" s="2" t="s">
        <v>757</v>
      </c>
      <c r="M2814" s="2">
        <v>68845.0</v>
      </c>
      <c r="N2814" s="2" t="s">
        <v>21</v>
      </c>
    </row>
    <row r="2815" ht="15.75" customHeight="1">
      <c r="A2815" s="2">
        <v>2014.0</v>
      </c>
      <c r="B2815" s="2" t="s">
        <v>13447</v>
      </c>
      <c r="C2815" s="2" t="s">
        <v>13447</v>
      </c>
      <c r="D2815" s="2" t="str">
        <f>"707-495-2824"</f>
        <v>707-495-2824</v>
      </c>
      <c r="E2815" s="2" t="s">
        <v>12166</v>
      </c>
      <c r="F2815" s="2" t="s">
        <v>13448</v>
      </c>
      <c r="G2815" s="2" t="str">
        <f>"SR-3809"</f>
        <v>SR-3809</v>
      </c>
      <c r="H2815" s="2" t="s">
        <v>13449</v>
      </c>
      <c r="I2815" s="2" t="s">
        <v>13450</v>
      </c>
      <c r="K2815" s="2" t="s">
        <v>9695</v>
      </c>
      <c r="L2815" s="2" t="s">
        <v>222</v>
      </c>
      <c r="M2815" s="2">
        <v>95404.0</v>
      </c>
      <c r="N2815" s="2" t="s">
        <v>21</v>
      </c>
    </row>
    <row r="2816" ht="15.75" customHeight="1">
      <c r="A2816" s="2">
        <v>2014.0</v>
      </c>
      <c r="B2816" s="2" t="s">
        <v>13451</v>
      </c>
      <c r="C2816" s="2" t="s">
        <v>13452</v>
      </c>
      <c r="D2816" s="2" t="str">
        <f>"7208791379"</f>
        <v>7208791379</v>
      </c>
      <c r="E2816" s="2" t="s">
        <v>2162</v>
      </c>
      <c r="F2816" s="2" t="s">
        <v>13453</v>
      </c>
      <c r="G2816" s="2" t="str">
        <f>"SR-3651"</f>
        <v>SR-3651</v>
      </c>
      <c r="H2816" s="2" t="s">
        <v>13454</v>
      </c>
      <c r="I2816" s="2" t="s">
        <v>13455</v>
      </c>
      <c r="K2816" s="2" t="s">
        <v>1054</v>
      </c>
      <c r="L2816" s="2" t="s">
        <v>157</v>
      </c>
      <c r="M2816" s="2">
        <v>80138.0</v>
      </c>
      <c r="N2816" s="2" t="s">
        <v>21</v>
      </c>
    </row>
    <row r="2817" ht="15.75" customHeight="1">
      <c r="A2817" s="2">
        <v>2014.0</v>
      </c>
      <c r="B2817" s="2" t="s">
        <v>13456</v>
      </c>
      <c r="C2817" s="2" t="s">
        <v>13457</v>
      </c>
      <c r="D2817" s="2" t="str">
        <f>"405-615-6143"</f>
        <v>405-615-6143</v>
      </c>
      <c r="E2817" s="2" t="s">
        <v>13458</v>
      </c>
      <c r="F2817" s="2" t="s">
        <v>13459</v>
      </c>
      <c r="G2817" s="2" t="str">
        <f>"SR-3869"</f>
        <v>SR-3869</v>
      </c>
      <c r="H2817" s="2" t="s">
        <v>13460</v>
      </c>
      <c r="I2817" s="2" t="s">
        <v>13461</v>
      </c>
      <c r="K2817" s="2" t="s">
        <v>1859</v>
      </c>
      <c r="L2817" s="2" t="s">
        <v>840</v>
      </c>
      <c r="M2817" s="2">
        <v>73160.0</v>
      </c>
      <c r="N2817" s="2" t="s">
        <v>21</v>
      </c>
    </row>
    <row r="2818" ht="15.75" customHeight="1">
      <c r="A2818" s="2">
        <v>2014.0</v>
      </c>
      <c r="B2818" s="2" t="s">
        <v>13462</v>
      </c>
      <c r="C2818" s="2" t="s">
        <v>13463</v>
      </c>
      <c r="D2818" s="2" t="str">
        <f>"3153316481"</f>
        <v>3153316481</v>
      </c>
      <c r="E2818" s="2" t="s">
        <v>13464</v>
      </c>
      <c r="F2818" s="2" t="s">
        <v>13465</v>
      </c>
      <c r="G2818" s="2" t="str">
        <f>"SR-3812"</f>
        <v>SR-3812</v>
      </c>
      <c r="H2818" s="2" t="s">
        <v>13466</v>
      </c>
      <c r="I2818" s="2" t="s">
        <v>13467</v>
      </c>
      <c r="K2818" s="2" t="s">
        <v>4884</v>
      </c>
      <c r="L2818" s="2" t="s">
        <v>142</v>
      </c>
      <c r="M2818" s="2">
        <v>14513.0</v>
      </c>
      <c r="N2818" s="2" t="s">
        <v>21</v>
      </c>
    </row>
    <row r="2819" ht="15.75" customHeight="1">
      <c r="A2819" s="2">
        <v>2014.0</v>
      </c>
      <c r="B2819" s="2" t="s">
        <v>13468</v>
      </c>
      <c r="C2819" s="2" t="s">
        <v>13469</v>
      </c>
      <c r="D2819" s="2" t="str">
        <f>"6614762553"</f>
        <v>6614762553</v>
      </c>
      <c r="E2819" s="2" t="s">
        <v>181</v>
      </c>
      <c r="F2819" s="2" t="s">
        <v>1864</v>
      </c>
      <c r="G2819" s="2" t="str">
        <f>"SR-3853"</f>
        <v>SR-3853</v>
      </c>
      <c r="H2819" s="2" t="s">
        <v>13470</v>
      </c>
      <c r="I2819" s="2" t="s">
        <v>13471</v>
      </c>
      <c r="K2819" s="2" t="s">
        <v>13472</v>
      </c>
      <c r="L2819" s="2" t="s">
        <v>222</v>
      </c>
      <c r="M2819" s="2">
        <v>91354.0</v>
      </c>
      <c r="N2819" s="2" t="s">
        <v>21</v>
      </c>
    </row>
    <row r="2820" ht="15.75" customHeight="1">
      <c r="A2820" s="2">
        <v>2014.0</v>
      </c>
      <c r="B2820" s="2" t="s">
        <v>13473</v>
      </c>
      <c r="C2820" s="2" t="s">
        <v>13474</v>
      </c>
      <c r="D2820" s="2" t="str">
        <f>"479-409-2681"</f>
        <v>479-409-2681</v>
      </c>
      <c r="E2820" s="2" t="s">
        <v>5906</v>
      </c>
      <c r="F2820" s="2" t="s">
        <v>13475</v>
      </c>
      <c r="G2820" s="2" t="str">
        <f>"SR-3870"</f>
        <v>SR-3870</v>
      </c>
      <c r="H2820" s="2" t="s">
        <v>13476</v>
      </c>
      <c r="I2820" s="2" t="s">
        <v>13477</v>
      </c>
      <c r="K2820" s="2" t="s">
        <v>3164</v>
      </c>
      <c r="L2820" s="2" t="s">
        <v>1012</v>
      </c>
      <c r="M2820" s="2">
        <v>72704.0</v>
      </c>
      <c r="N2820" s="2" t="s">
        <v>21</v>
      </c>
    </row>
    <row r="2821" ht="15.75" customHeight="1">
      <c r="A2821" s="2">
        <v>2014.0</v>
      </c>
      <c r="B2821" s="2" t="s">
        <v>13478</v>
      </c>
      <c r="C2821" s="2" t="s">
        <v>13479</v>
      </c>
      <c r="D2821" s="2" t="str">
        <f>"9546818275"</f>
        <v>9546818275</v>
      </c>
      <c r="E2821" s="2" t="s">
        <v>13480</v>
      </c>
      <c r="F2821" s="2" t="s">
        <v>13481</v>
      </c>
      <c r="G2821" s="2" t="str">
        <f>"SR-3866"</f>
        <v>SR-3866</v>
      </c>
      <c r="H2821" s="2" t="s">
        <v>13482</v>
      </c>
      <c r="I2821" s="2" t="s">
        <v>13483</v>
      </c>
      <c r="K2821" s="2" t="s">
        <v>7406</v>
      </c>
      <c r="L2821" s="2" t="s">
        <v>208</v>
      </c>
      <c r="M2821" s="2">
        <v>33029.0</v>
      </c>
      <c r="N2821" s="2" t="s">
        <v>21</v>
      </c>
    </row>
    <row r="2822" ht="15.75" customHeight="1">
      <c r="A2822" s="2">
        <v>2014.0</v>
      </c>
      <c r="B2822" s="2" t="s">
        <v>13484</v>
      </c>
      <c r="C2822" s="2" t="s">
        <v>13485</v>
      </c>
      <c r="D2822" s="2" t="str">
        <f>"3184911130"</f>
        <v>3184911130</v>
      </c>
      <c r="E2822" s="2" t="s">
        <v>585</v>
      </c>
      <c r="F2822" s="2" t="s">
        <v>984</v>
      </c>
      <c r="G2822" s="2" t="str">
        <f>"SR-3647"</f>
        <v>SR-3647</v>
      </c>
      <c r="H2822" s="2" t="s">
        <v>13486</v>
      </c>
      <c r="I2822" s="2" t="s">
        <v>13487</v>
      </c>
      <c r="K2822" s="2" t="s">
        <v>13488</v>
      </c>
      <c r="L2822" s="2" t="s">
        <v>715</v>
      </c>
      <c r="M2822" s="2">
        <v>70656.0</v>
      </c>
      <c r="N2822" s="2" t="s">
        <v>21</v>
      </c>
    </row>
    <row r="2823" ht="15.75" customHeight="1">
      <c r="A2823" s="2">
        <v>2014.0</v>
      </c>
      <c r="B2823" s="2" t="s">
        <v>13489</v>
      </c>
      <c r="C2823" s="2" t="s">
        <v>13489</v>
      </c>
      <c r="D2823" s="2" t="str">
        <f>"8067908948"</f>
        <v>8067908948</v>
      </c>
      <c r="E2823" s="2" t="s">
        <v>339</v>
      </c>
      <c r="F2823" s="2" t="s">
        <v>13490</v>
      </c>
      <c r="G2823" s="2" t="str">
        <f>"SR-2660"</f>
        <v>SR-2660</v>
      </c>
      <c r="H2823" s="2" t="s">
        <v>13491</v>
      </c>
      <c r="I2823" s="2" t="s">
        <v>13492</v>
      </c>
      <c r="K2823" s="2" t="s">
        <v>13493</v>
      </c>
      <c r="L2823" s="2" t="s">
        <v>172</v>
      </c>
      <c r="M2823" s="2">
        <v>79382.0</v>
      </c>
      <c r="N2823" s="2" t="s">
        <v>21</v>
      </c>
    </row>
    <row r="2824" ht="15.75" customHeight="1">
      <c r="A2824" s="2">
        <v>2014.0</v>
      </c>
      <c r="B2824" s="2" t="s">
        <v>13494</v>
      </c>
      <c r="C2824" s="2" t="s">
        <v>13494</v>
      </c>
      <c r="D2824" s="2" t="str">
        <f>"626-335-1195"</f>
        <v>626-335-1195</v>
      </c>
      <c r="E2824" s="2" t="s">
        <v>644</v>
      </c>
      <c r="F2824" s="2" t="s">
        <v>13495</v>
      </c>
      <c r="G2824" s="2" t="str">
        <f>"SR-3877"</f>
        <v>SR-3877</v>
      </c>
      <c r="H2824" s="2" t="s">
        <v>13496</v>
      </c>
      <c r="I2824" s="2" t="s">
        <v>13497</v>
      </c>
      <c r="K2824" s="2" t="s">
        <v>7320</v>
      </c>
      <c r="L2824" s="2" t="s">
        <v>222</v>
      </c>
      <c r="M2824" s="2">
        <v>91740.0</v>
      </c>
      <c r="N2824" s="2" t="s">
        <v>21</v>
      </c>
    </row>
    <row r="2825" ht="15.75" customHeight="1">
      <c r="A2825" s="2">
        <v>2014.0</v>
      </c>
      <c r="B2825" s="2" t="s">
        <v>13498</v>
      </c>
      <c r="C2825" s="2" t="s">
        <v>13499</v>
      </c>
      <c r="D2825" s="2" t="str">
        <f>"515-729-8125"</f>
        <v>515-729-8125</v>
      </c>
      <c r="E2825" s="2" t="s">
        <v>590</v>
      </c>
      <c r="F2825" s="2" t="s">
        <v>13500</v>
      </c>
      <c r="G2825" s="2" t="str">
        <f>"SR-3811"</f>
        <v>SR-3811</v>
      </c>
      <c r="H2825" s="2" t="s">
        <v>13501</v>
      </c>
      <c r="I2825" s="2" t="s">
        <v>13502</v>
      </c>
      <c r="K2825" s="2" t="s">
        <v>13503</v>
      </c>
      <c r="L2825" s="2" t="s">
        <v>560</v>
      </c>
      <c r="M2825" s="2">
        <v>50049.0</v>
      </c>
      <c r="N2825" s="2" t="s">
        <v>21</v>
      </c>
    </row>
    <row r="2826" ht="15.75" customHeight="1">
      <c r="A2826" s="2">
        <v>2014.0</v>
      </c>
      <c r="B2826" s="2" t="s">
        <v>13504</v>
      </c>
      <c r="C2826" s="2" t="s">
        <v>13505</v>
      </c>
      <c r="D2826" s="2" t="str">
        <f>"815 529 4104"</f>
        <v>815 529 4104</v>
      </c>
      <c r="E2826" s="2" t="s">
        <v>13506</v>
      </c>
      <c r="F2826" s="2" t="s">
        <v>9188</v>
      </c>
      <c r="G2826" s="2" t="str">
        <f>"SR-3735"</f>
        <v>SR-3735</v>
      </c>
      <c r="H2826" s="2" t="s">
        <v>13507</v>
      </c>
      <c r="I2826" s="2" t="s">
        <v>13508</v>
      </c>
      <c r="K2826" s="2" t="s">
        <v>13509</v>
      </c>
      <c r="L2826" s="2" t="s">
        <v>105</v>
      </c>
      <c r="M2826" s="2">
        <v>60050.0</v>
      </c>
      <c r="N2826" s="2" t="s">
        <v>21</v>
      </c>
    </row>
    <row r="2827" ht="15.75" customHeight="1">
      <c r="A2827" s="2">
        <v>2014.0</v>
      </c>
      <c r="B2827" s="2" t="s">
        <v>13510</v>
      </c>
      <c r="C2827" s="2" t="s">
        <v>13510</v>
      </c>
      <c r="D2827" s="2" t="str">
        <f>"574-536-0249"</f>
        <v>574-536-0249</v>
      </c>
      <c r="E2827" s="2" t="s">
        <v>580</v>
      </c>
      <c r="F2827" s="2" t="s">
        <v>1756</v>
      </c>
      <c r="G2827" s="2" t="str">
        <f>"SR-3882"</f>
        <v>SR-3882</v>
      </c>
      <c r="H2827" s="2" t="s">
        <v>13511</v>
      </c>
      <c r="I2827" s="2" t="s">
        <v>13512</v>
      </c>
      <c r="K2827" s="2" t="s">
        <v>13513</v>
      </c>
      <c r="L2827" s="2" t="s">
        <v>149</v>
      </c>
      <c r="M2827" s="2">
        <v>46526.0</v>
      </c>
      <c r="N2827" s="2" t="s">
        <v>21</v>
      </c>
    </row>
    <row r="2828" ht="15.75" customHeight="1">
      <c r="A2828" s="2">
        <v>2014.0</v>
      </c>
      <c r="B2828" s="2" t="s">
        <v>13514</v>
      </c>
      <c r="C2828" s="2" t="s">
        <v>13514</v>
      </c>
      <c r="D2828" s="2" t="str">
        <f>"9146934097"</f>
        <v>9146934097</v>
      </c>
      <c r="E2828" s="2" t="s">
        <v>4206</v>
      </c>
      <c r="F2828" s="2" t="s">
        <v>13515</v>
      </c>
      <c r="G2828" s="2" t="str">
        <f>"SR-3739"</f>
        <v>SR-3739</v>
      </c>
      <c r="H2828" s="2" t="s">
        <v>13516</v>
      </c>
      <c r="I2828" s="2" t="s">
        <v>13517</v>
      </c>
      <c r="K2828" s="2" t="s">
        <v>13518</v>
      </c>
      <c r="L2828" s="2" t="s">
        <v>142</v>
      </c>
      <c r="M2828" s="2">
        <v>10607.0</v>
      </c>
      <c r="N2828" s="2" t="s">
        <v>21</v>
      </c>
    </row>
    <row r="2829" ht="15.75" customHeight="1">
      <c r="A2829" s="2">
        <v>2014.0</v>
      </c>
      <c r="B2829" s="2" t="s">
        <v>13519</v>
      </c>
      <c r="C2829" s="2" t="s">
        <v>13520</v>
      </c>
      <c r="D2829" s="2" t="str">
        <f>"502.548.2184"</f>
        <v>502.548.2184</v>
      </c>
      <c r="E2829" s="2" t="s">
        <v>2825</v>
      </c>
      <c r="F2829" s="2" t="s">
        <v>6755</v>
      </c>
      <c r="G2829" s="2" t="str">
        <f>"SR-3883"</f>
        <v>SR-3883</v>
      </c>
      <c r="H2829" s="2" t="s">
        <v>13521</v>
      </c>
      <c r="I2829" s="2" t="s">
        <v>13522</v>
      </c>
      <c r="K2829" s="2" t="s">
        <v>5288</v>
      </c>
      <c r="L2829" s="2" t="s">
        <v>1236</v>
      </c>
      <c r="M2829" s="2">
        <v>40299.0</v>
      </c>
      <c r="N2829" s="2" t="s">
        <v>21</v>
      </c>
    </row>
    <row r="2830" ht="15.75" customHeight="1">
      <c r="A2830" s="2">
        <v>2014.0</v>
      </c>
      <c r="B2830" s="2" t="s">
        <v>13523</v>
      </c>
      <c r="C2830" s="2" t="s">
        <v>13523</v>
      </c>
      <c r="D2830" s="2" t="str">
        <f>"9704625813"</f>
        <v>9704625813</v>
      </c>
      <c r="E2830" s="2" t="s">
        <v>453</v>
      </c>
      <c r="F2830" s="2" t="s">
        <v>13524</v>
      </c>
      <c r="G2830" s="2" t="str">
        <f>"SR-3879"</f>
        <v>SR-3879</v>
      </c>
      <c r="H2830" s="2" t="s">
        <v>13525</v>
      </c>
      <c r="I2830" s="2" t="s">
        <v>13526</v>
      </c>
      <c r="K2830" s="2" t="s">
        <v>11440</v>
      </c>
      <c r="L2830" s="2" t="s">
        <v>157</v>
      </c>
      <c r="M2830" s="2">
        <v>81507.0</v>
      </c>
      <c r="N2830" s="2" t="s">
        <v>21</v>
      </c>
    </row>
    <row r="2831" ht="15.75" customHeight="1">
      <c r="A2831" s="2">
        <v>2014.0</v>
      </c>
      <c r="B2831" s="2" t="s">
        <v>13473</v>
      </c>
      <c r="C2831" s="2" t="s">
        <v>13473</v>
      </c>
      <c r="D2831" s="2" t="str">
        <f>"479-790-8973"</f>
        <v>479-790-8973</v>
      </c>
      <c r="E2831" s="2" t="s">
        <v>13527</v>
      </c>
      <c r="F2831" s="2" t="s">
        <v>13475</v>
      </c>
      <c r="G2831" s="2" t="str">
        <f>"SR-3881"</f>
        <v>SR-3881</v>
      </c>
      <c r="H2831" s="2" t="s">
        <v>13528</v>
      </c>
      <c r="I2831" s="2" t="s">
        <v>13477</v>
      </c>
      <c r="K2831" s="2" t="s">
        <v>3164</v>
      </c>
      <c r="L2831" s="2" t="s">
        <v>1012</v>
      </c>
      <c r="M2831" s="2">
        <v>72704.0</v>
      </c>
      <c r="N2831" s="2" t="s">
        <v>21</v>
      </c>
    </row>
    <row r="2832" ht="15.75" customHeight="1">
      <c r="A2832" s="2">
        <v>2014.0</v>
      </c>
      <c r="B2832" s="2" t="s">
        <v>13529</v>
      </c>
      <c r="C2832" s="2" t="s">
        <v>13530</v>
      </c>
      <c r="D2832" s="2" t="str">
        <f>"573-442-1004"</f>
        <v>573-442-1004</v>
      </c>
      <c r="E2832" s="2" t="s">
        <v>2401</v>
      </c>
      <c r="F2832" s="2" t="s">
        <v>13531</v>
      </c>
      <c r="G2832" s="2" t="str">
        <f>"SR-3888"</f>
        <v>SR-3888</v>
      </c>
      <c r="H2832" s="2" t="s">
        <v>13532</v>
      </c>
      <c r="I2832" s="2" t="s">
        <v>13533</v>
      </c>
      <c r="K2832" s="2" t="s">
        <v>2750</v>
      </c>
      <c r="L2832" s="2" t="s">
        <v>214</v>
      </c>
      <c r="M2832" s="2">
        <v>65203.0</v>
      </c>
      <c r="N2832" s="2" t="s">
        <v>21</v>
      </c>
    </row>
    <row r="2833" ht="15.75" customHeight="1">
      <c r="A2833" s="2">
        <v>2014.0</v>
      </c>
      <c r="B2833" s="2" t="s">
        <v>13534</v>
      </c>
      <c r="C2833" s="2" t="s">
        <v>13534</v>
      </c>
      <c r="D2833" s="2" t="str">
        <f>"937-839-1459"</f>
        <v>937-839-1459</v>
      </c>
      <c r="E2833" s="2" t="s">
        <v>288</v>
      </c>
      <c r="F2833" s="2" t="s">
        <v>11233</v>
      </c>
      <c r="G2833" s="2" t="str">
        <f>"SR-3716"</f>
        <v>SR-3716</v>
      </c>
      <c r="H2833" s="2" t="s">
        <v>13535</v>
      </c>
      <c r="I2833" s="2" t="s">
        <v>13536</v>
      </c>
      <c r="K2833" s="2" t="s">
        <v>13537</v>
      </c>
      <c r="L2833" s="2" t="s">
        <v>344</v>
      </c>
      <c r="M2833" s="2">
        <v>45381.0</v>
      </c>
      <c r="N2833" s="2" t="s">
        <v>21</v>
      </c>
    </row>
    <row r="2834" ht="15.75" customHeight="1">
      <c r="A2834" s="2">
        <v>2014.0</v>
      </c>
      <c r="B2834" s="2" t="s">
        <v>13538</v>
      </c>
      <c r="C2834" s="2" t="s">
        <v>13538</v>
      </c>
      <c r="D2834" s="2" t="str">
        <f>"303-501-6872"</f>
        <v>303-501-6872</v>
      </c>
      <c r="E2834" s="2" t="s">
        <v>6381</v>
      </c>
      <c r="F2834" s="2" t="s">
        <v>13539</v>
      </c>
      <c r="G2834" s="2" t="str">
        <f>"SR-3860"</f>
        <v>SR-3860</v>
      </c>
      <c r="H2834" s="2" t="s">
        <v>13540</v>
      </c>
      <c r="I2834" s="2" t="s">
        <v>13541</v>
      </c>
      <c r="K2834" s="2" t="s">
        <v>682</v>
      </c>
      <c r="L2834" s="2" t="s">
        <v>157</v>
      </c>
      <c r="M2834" s="2">
        <v>80130.0</v>
      </c>
      <c r="N2834" s="2" t="s">
        <v>21</v>
      </c>
    </row>
    <row r="2835" ht="15.75" customHeight="1">
      <c r="A2835" s="2">
        <v>2014.0</v>
      </c>
      <c r="B2835" s="2" t="s">
        <v>13542</v>
      </c>
      <c r="C2835" s="2" t="s">
        <v>13543</v>
      </c>
      <c r="D2835" s="2" t="str">
        <f>"512-2842539"</f>
        <v>512-2842539</v>
      </c>
      <c r="E2835" s="2" t="s">
        <v>4959</v>
      </c>
      <c r="F2835" s="2" t="s">
        <v>13544</v>
      </c>
      <c r="G2835" s="2" t="str">
        <f>"SR-3874"</f>
        <v>SR-3874</v>
      </c>
      <c r="H2835" s="2" t="s">
        <v>13545</v>
      </c>
      <c r="I2835" s="2" t="s">
        <v>13546</v>
      </c>
      <c r="K2835" s="2" t="s">
        <v>13547</v>
      </c>
      <c r="L2835" s="2" t="s">
        <v>172</v>
      </c>
      <c r="M2835" s="2">
        <v>78734.0</v>
      </c>
      <c r="N2835" s="2" t="s">
        <v>21</v>
      </c>
    </row>
    <row r="2836" ht="15.75" customHeight="1">
      <c r="A2836" s="2">
        <v>2014.0</v>
      </c>
      <c r="B2836" s="2" t="s">
        <v>13548</v>
      </c>
      <c r="C2836" s="2" t="s">
        <v>13549</v>
      </c>
      <c r="D2836" s="2" t="str">
        <f>"9018286306"</f>
        <v>9018286306</v>
      </c>
      <c r="E2836" s="2" t="s">
        <v>2598</v>
      </c>
      <c r="F2836" s="2" t="s">
        <v>13550</v>
      </c>
      <c r="G2836" s="2" t="str">
        <f>"SR-3863"</f>
        <v>SR-3863</v>
      </c>
      <c r="H2836" s="2" t="s">
        <v>13551</v>
      </c>
      <c r="I2836" s="2" t="s">
        <v>13552</v>
      </c>
      <c r="K2836" s="2" t="s">
        <v>882</v>
      </c>
      <c r="L2836" s="2" t="s">
        <v>279</v>
      </c>
      <c r="M2836" s="2">
        <v>38002.0</v>
      </c>
      <c r="N2836" s="2" t="s">
        <v>21</v>
      </c>
    </row>
    <row r="2837" ht="15.75" customHeight="1">
      <c r="A2837" s="2">
        <v>2014.0</v>
      </c>
      <c r="B2837" s="2" t="s">
        <v>13553</v>
      </c>
      <c r="C2837" s="2" t="s">
        <v>13553</v>
      </c>
      <c r="D2837" s="2" t="str">
        <f>"2058763914"</f>
        <v>2058763914</v>
      </c>
      <c r="E2837" s="2" t="s">
        <v>1015</v>
      </c>
      <c r="F2837" s="2" t="s">
        <v>13554</v>
      </c>
      <c r="G2837" s="2" t="str">
        <f>"SR-3636"</f>
        <v>SR-3636</v>
      </c>
      <c r="H2837" s="2" t="s">
        <v>13555</v>
      </c>
      <c r="I2837" s="2" t="s">
        <v>13556</v>
      </c>
      <c r="K2837" s="2" t="s">
        <v>5513</v>
      </c>
      <c r="L2837" s="2" t="s">
        <v>539</v>
      </c>
      <c r="M2837" s="2">
        <v>35173.0</v>
      </c>
      <c r="N2837" s="2" t="s">
        <v>21</v>
      </c>
    </row>
    <row r="2838" ht="15.75" customHeight="1">
      <c r="A2838" s="2">
        <v>2014.0</v>
      </c>
      <c r="B2838" s="2" t="s">
        <v>13534</v>
      </c>
      <c r="C2838" s="2" t="s">
        <v>13534</v>
      </c>
      <c r="D2838" s="2" t="str">
        <f>"9378391459"</f>
        <v>9378391459</v>
      </c>
      <c r="E2838" s="2" t="s">
        <v>15</v>
      </c>
      <c r="F2838" s="2" t="s">
        <v>11233</v>
      </c>
      <c r="G2838" s="2" t="str">
        <f>"SR-3713"</f>
        <v>SR-3713</v>
      </c>
      <c r="H2838" s="2" t="s">
        <v>13557</v>
      </c>
      <c r="I2838" s="2" t="s">
        <v>13536</v>
      </c>
      <c r="K2838" s="2" t="s">
        <v>13537</v>
      </c>
      <c r="L2838" s="2" t="s">
        <v>344</v>
      </c>
      <c r="M2838" s="2">
        <v>45381.0</v>
      </c>
      <c r="N2838" s="2" t="s">
        <v>21</v>
      </c>
    </row>
    <row r="2839" ht="15.75" customHeight="1">
      <c r="A2839" s="2">
        <v>2014.0</v>
      </c>
      <c r="B2839" s="2" t="s">
        <v>13558</v>
      </c>
      <c r="C2839" s="2" t="s">
        <v>13558</v>
      </c>
      <c r="D2839" s="2" t="str">
        <f>"(949) 878-6954"</f>
        <v>(949) 878-6954</v>
      </c>
      <c r="E2839" s="2" t="s">
        <v>13559</v>
      </c>
      <c r="F2839" s="2" t="s">
        <v>3062</v>
      </c>
      <c r="G2839" s="2" t="str">
        <f>"SR-3629"</f>
        <v>SR-3629</v>
      </c>
      <c r="H2839" s="2" t="s">
        <v>13560</v>
      </c>
      <c r="I2839" s="2" t="s">
        <v>3064</v>
      </c>
      <c r="K2839" s="2" t="s">
        <v>3065</v>
      </c>
      <c r="L2839" s="2" t="s">
        <v>222</v>
      </c>
      <c r="M2839" s="2">
        <v>92688.0</v>
      </c>
      <c r="N2839" s="2" t="s">
        <v>21</v>
      </c>
    </row>
    <row r="2840" ht="15.75" customHeight="1">
      <c r="A2840" s="2">
        <v>2014.0</v>
      </c>
      <c r="B2840" s="2" t="s">
        <v>13561</v>
      </c>
      <c r="C2840" s="2" t="s">
        <v>13561</v>
      </c>
      <c r="D2840" s="2" t="str">
        <f>"3059050483"</f>
        <v>3059050483</v>
      </c>
      <c r="E2840" s="2" t="s">
        <v>72</v>
      </c>
      <c r="F2840" s="2" t="s">
        <v>13562</v>
      </c>
      <c r="G2840" s="2" t="str">
        <f>"SR-3890"</f>
        <v>SR-3890</v>
      </c>
      <c r="H2840" s="2" t="s">
        <v>13563</v>
      </c>
      <c r="I2840" s="2" t="s">
        <v>13564</v>
      </c>
      <c r="K2840" s="2" t="s">
        <v>538</v>
      </c>
      <c r="L2840" s="2" t="s">
        <v>172</v>
      </c>
      <c r="M2840" s="2">
        <v>77316.0</v>
      </c>
      <c r="N2840" s="2" t="s">
        <v>21</v>
      </c>
    </row>
    <row r="2841" ht="15.75" customHeight="1">
      <c r="A2841" s="2">
        <v>2014.0</v>
      </c>
      <c r="B2841" s="2" t="s">
        <v>13565</v>
      </c>
      <c r="C2841" s="2" t="s">
        <v>13566</v>
      </c>
      <c r="D2841" s="2" t="str">
        <f>"919 524-2921"</f>
        <v>919 524-2921</v>
      </c>
      <c r="E2841" s="2" t="s">
        <v>2841</v>
      </c>
      <c r="F2841" s="2" t="s">
        <v>645</v>
      </c>
      <c r="G2841" s="2" t="str">
        <f>"SR-2926"</f>
        <v>SR-2926</v>
      </c>
      <c r="H2841" s="2" t="s">
        <v>13567</v>
      </c>
      <c r="I2841" s="2" t="s">
        <v>13568</v>
      </c>
      <c r="K2841" s="2" t="s">
        <v>13569</v>
      </c>
      <c r="L2841" s="2" t="s">
        <v>20</v>
      </c>
      <c r="M2841" s="2">
        <v>27526.0</v>
      </c>
      <c r="N2841" s="2" t="s">
        <v>21</v>
      </c>
    </row>
    <row r="2842" ht="15.75" customHeight="1">
      <c r="A2842" s="2">
        <v>2014.0</v>
      </c>
      <c r="B2842" s="2" t="s">
        <v>13570</v>
      </c>
      <c r="C2842" s="2" t="s">
        <v>13570</v>
      </c>
      <c r="D2842" s="2" t="str">
        <f>"(804) 212-9738"</f>
        <v>(804) 212-9738</v>
      </c>
      <c r="E2842" s="2" t="s">
        <v>2309</v>
      </c>
      <c r="F2842" s="2" t="s">
        <v>11503</v>
      </c>
      <c r="G2842" s="2" t="str">
        <f>"SR-3781"</f>
        <v>SR-3781</v>
      </c>
      <c r="H2842" s="2" t="s">
        <v>13571</v>
      </c>
      <c r="I2842" s="2" t="s">
        <v>13572</v>
      </c>
      <c r="K2842" s="2" t="s">
        <v>11179</v>
      </c>
      <c r="L2842" s="2" t="s">
        <v>165</v>
      </c>
      <c r="M2842" s="2">
        <v>23113.0</v>
      </c>
      <c r="N2842" s="2" t="s">
        <v>21</v>
      </c>
    </row>
    <row r="2843" ht="15.75" customHeight="1">
      <c r="A2843" s="2">
        <v>2014.0</v>
      </c>
      <c r="B2843" s="2" t="s">
        <v>13573</v>
      </c>
      <c r="C2843" s="2" t="s">
        <v>13574</v>
      </c>
      <c r="D2843" s="2" t="str">
        <f>"805 660-0247"</f>
        <v>805 660-0247</v>
      </c>
      <c r="E2843" s="2" t="s">
        <v>261</v>
      </c>
      <c r="F2843" s="2" t="s">
        <v>13575</v>
      </c>
      <c r="G2843" s="2" t="str">
        <f>"SR-3045"</f>
        <v>SR-3045</v>
      </c>
      <c r="H2843" s="2" t="s">
        <v>13576</v>
      </c>
      <c r="I2843" s="2" t="s">
        <v>13577</v>
      </c>
      <c r="K2843" s="2" t="s">
        <v>1194</v>
      </c>
      <c r="L2843" s="2" t="s">
        <v>222</v>
      </c>
      <c r="M2843" s="2">
        <v>93065.0</v>
      </c>
      <c r="N2843" s="2" t="s">
        <v>21</v>
      </c>
    </row>
    <row r="2844" ht="15.75" customHeight="1">
      <c r="A2844" s="2">
        <v>2014.0</v>
      </c>
      <c r="B2844" s="2" t="s">
        <v>13578</v>
      </c>
      <c r="C2844" s="2" t="s">
        <v>13579</v>
      </c>
      <c r="D2844" s="2" t="str">
        <f>"704 953 5651"</f>
        <v>704 953 5651</v>
      </c>
      <c r="E2844" s="2" t="s">
        <v>13580</v>
      </c>
      <c r="F2844" s="2" t="s">
        <v>13581</v>
      </c>
      <c r="G2844" s="2" t="str">
        <f>"SR-3894"</f>
        <v>SR-3894</v>
      </c>
      <c r="H2844" s="2" t="s">
        <v>13582</v>
      </c>
      <c r="I2844" s="2">
        <v>2918.0</v>
      </c>
      <c r="J2844" s="2" t="s">
        <v>13583</v>
      </c>
      <c r="K2844" s="2" t="s">
        <v>4519</v>
      </c>
      <c r="L2844" s="2" t="s">
        <v>20</v>
      </c>
      <c r="M2844" s="2">
        <v>28110.0</v>
      </c>
      <c r="N2844" s="2" t="s">
        <v>21</v>
      </c>
    </row>
    <row r="2845" ht="15.75" customHeight="1">
      <c r="A2845" s="2">
        <v>2014.0</v>
      </c>
      <c r="B2845" s="2" t="s">
        <v>13584</v>
      </c>
      <c r="C2845" s="2" t="s">
        <v>13584</v>
      </c>
      <c r="D2845" s="2" t="str">
        <f>"804-247-4848"</f>
        <v>804-247-4848</v>
      </c>
      <c r="E2845" s="2" t="s">
        <v>13585</v>
      </c>
      <c r="F2845" s="2" t="s">
        <v>585</v>
      </c>
      <c r="G2845" s="2" t="str">
        <f>"SR-3893"</f>
        <v>SR-3893</v>
      </c>
      <c r="H2845" s="2" t="s">
        <v>13586</v>
      </c>
      <c r="I2845" s="2" t="s">
        <v>13587</v>
      </c>
      <c r="K2845" s="2" t="s">
        <v>13588</v>
      </c>
      <c r="L2845" s="2" t="s">
        <v>165</v>
      </c>
      <c r="M2845" s="2">
        <v>23192.0</v>
      </c>
      <c r="N2845" s="2" t="s">
        <v>21</v>
      </c>
    </row>
    <row r="2846" ht="15.75" customHeight="1">
      <c r="A2846" s="2">
        <v>2014.0</v>
      </c>
      <c r="B2846" s="2" t="s">
        <v>13589</v>
      </c>
      <c r="C2846" s="2" t="s">
        <v>13590</v>
      </c>
      <c r="D2846" s="2" t="str">
        <f>"9043058815"</f>
        <v>9043058815</v>
      </c>
      <c r="E2846" s="2" t="s">
        <v>1156</v>
      </c>
      <c r="F2846" s="2" t="s">
        <v>43</v>
      </c>
      <c r="G2846" s="2" t="str">
        <f>"SR-3203"</f>
        <v>SR-3203</v>
      </c>
      <c r="H2846" s="2" t="s">
        <v>13591</v>
      </c>
      <c r="I2846" s="2" t="s">
        <v>13592</v>
      </c>
      <c r="K2846" s="2" t="s">
        <v>13593</v>
      </c>
      <c r="L2846" s="2" t="s">
        <v>208</v>
      </c>
      <c r="M2846" s="2">
        <v>32073.0</v>
      </c>
      <c r="N2846" s="2" t="s">
        <v>21</v>
      </c>
    </row>
    <row r="2847" ht="15.75" customHeight="1">
      <c r="A2847" s="2">
        <v>2014.0</v>
      </c>
      <c r="B2847" s="2" t="s">
        <v>13594</v>
      </c>
      <c r="C2847" s="2" t="s">
        <v>6901</v>
      </c>
      <c r="D2847" s="2" t="str">
        <f>"7047858828"</f>
        <v>7047858828</v>
      </c>
      <c r="E2847" s="2" t="s">
        <v>528</v>
      </c>
      <c r="F2847" s="2" t="s">
        <v>6902</v>
      </c>
      <c r="G2847" s="2" t="str">
        <f>"SR-3903"</f>
        <v>SR-3903</v>
      </c>
      <c r="H2847" s="2" t="s">
        <v>6903</v>
      </c>
      <c r="I2847" s="2" t="s">
        <v>13595</v>
      </c>
      <c r="K2847" s="2" t="s">
        <v>6658</v>
      </c>
      <c r="L2847" s="2" t="s">
        <v>20</v>
      </c>
      <c r="M2847" s="2">
        <v>28027.0</v>
      </c>
      <c r="N2847" s="2" t="s">
        <v>21</v>
      </c>
    </row>
    <row r="2848" ht="15.75" customHeight="1">
      <c r="A2848" s="2">
        <v>2014.0</v>
      </c>
      <c r="B2848" s="2" t="s">
        <v>13596</v>
      </c>
      <c r="C2848" s="2" t="s">
        <v>13597</v>
      </c>
      <c r="D2848" s="2" t="str">
        <f>"9018285778"</f>
        <v>9018285778</v>
      </c>
      <c r="E2848" s="2" t="s">
        <v>13598</v>
      </c>
      <c r="F2848" s="2" t="s">
        <v>950</v>
      </c>
      <c r="G2848" s="2" t="str">
        <f>"SR-3831"</f>
        <v>SR-3831</v>
      </c>
      <c r="H2848" s="2" t="s">
        <v>13599</v>
      </c>
      <c r="I2848" s="2" t="s">
        <v>952</v>
      </c>
      <c r="K2848" s="2" t="s">
        <v>882</v>
      </c>
      <c r="L2848" s="2" t="s">
        <v>279</v>
      </c>
      <c r="M2848" s="2">
        <v>38002.0</v>
      </c>
      <c r="N2848" s="2" t="s">
        <v>21</v>
      </c>
    </row>
    <row r="2849" ht="15.75" customHeight="1">
      <c r="A2849" s="2">
        <v>2014.0</v>
      </c>
      <c r="B2849" s="2" t="s">
        <v>13600</v>
      </c>
      <c r="C2849" s="2" t="s">
        <v>13600</v>
      </c>
      <c r="D2849" s="2" t="str">
        <f>"972-294-5821"</f>
        <v>972-294-5821</v>
      </c>
      <c r="E2849" s="2" t="s">
        <v>4111</v>
      </c>
      <c r="F2849" s="2" t="s">
        <v>3576</v>
      </c>
      <c r="G2849" s="2" t="str">
        <f>"SR-3891"</f>
        <v>SR-3891</v>
      </c>
      <c r="H2849" s="2" t="s">
        <v>13601</v>
      </c>
      <c r="I2849" s="2" t="s">
        <v>13602</v>
      </c>
      <c r="K2849" s="2" t="s">
        <v>11935</v>
      </c>
      <c r="L2849" s="2" t="s">
        <v>172</v>
      </c>
      <c r="M2849" s="2">
        <v>75056.0</v>
      </c>
      <c r="N2849" s="2" t="s">
        <v>21</v>
      </c>
    </row>
    <row r="2850" ht="15.75" customHeight="1">
      <c r="A2850" s="2">
        <v>2014.0</v>
      </c>
      <c r="B2850" s="2" t="s">
        <v>13603</v>
      </c>
      <c r="C2850" s="2" t="s">
        <v>13603</v>
      </c>
      <c r="D2850" s="2" t="str">
        <f>"4692364442"</f>
        <v>4692364442</v>
      </c>
      <c r="E2850" s="2" t="s">
        <v>1257</v>
      </c>
      <c r="F2850" s="2" t="s">
        <v>13604</v>
      </c>
      <c r="G2850" s="2" t="str">
        <f>"SR-3886"</f>
        <v>SR-3886</v>
      </c>
      <c r="H2850" s="2" t="s">
        <v>13605</v>
      </c>
      <c r="I2850" s="2" t="s">
        <v>13606</v>
      </c>
      <c r="K2850" s="2" t="s">
        <v>11935</v>
      </c>
      <c r="L2850" s="2" t="s">
        <v>172</v>
      </c>
      <c r="M2850" s="2">
        <v>75056.0</v>
      </c>
      <c r="N2850" s="2" t="s">
        <v>21</v>
      </c>
    </row>
    <row r="2851" ht="15.75" customHeight="1">
      <c r="A2851" s="2">
        <v>2014.0</v>
      </c>
      <c r="B2851" s="2" t="s">
        <v>13607</v>
      </c>
      <c r="C2851" s="2" t="s">
        <v>13608</v>
      </c>
      <c r="D2851" s="2" t="str">
        <f>"(719)630-3757"</f>
        <v>(719)630-3757</v>
      </c>
      <c r="E2851" s="2" t="s">
        <v>13609</v>
      </c>
      <c r="F2851" s="2" t="s">
        <v>1151</v>
      </c>
      <c r="G2851" s="2" t="str">
        <f>"SR-3741"</f>
        <v>SR-3741</v>
      </c>
      <c r="H2851" s="2" t="s">
        <v>13610</v>
      </c>
      <c r="I2851" s="2" t="s">
        <v>13611</v>
      </c>
      <c r="K2851" s="2" t="s">
        <v>809</v>
      </c>
      <c r="L2851" s="2" t="s">
        <v>157</v>
      </c>
      <c r="M2851" s="2">
        <v>80907.0</v>
      </c>
      <c r="N2851" s="2" t="s">
        <v>21</v>
      </c>
    </row>
    <row r="2852" ht="15.75" customHeight="1">
      <c r="A2852" s="2">
        <v>2014.0</v>
      </c>
      <c r="B2852" s="2" t="s">
        <v>13612</v>
      </c>
      <c r="C2852" s="2" t="s">
        <v>13613</v>
      </c>
      <c r="D2852" s="2" t="str">
        <f>"512-954-1036"</f>
        <v>512-954-1036</v>
      </c>
      <c r="E2852" s="2" t="s">
        <v>678</v>
      </c>
      <c r="F2852" s="2" t="s">
        <v>283</v>
      </c>
      <c r="G2852" s="2" t="str">
        <f>"SR-3900"</f>
        <v>SR-3900</v>
      </c>
      <c r="H2852" s="2" t="s">
        <v>13614</v>
      </c>
      <c r="I2852" s="2" t="s">
        <v>13615</v>
      </c>
      <c r="K2852" s="2" t="s">
        <v>1141</v>
      </c>
      <c r="L2852" s="2" t="s">
        <v>172</v>
      </c>
      <c r="M2852" s="2">
        <v>78737.0</v>
      </c>
      <c r="N2852" s="2" t="s">
        <v>21</v>
      </c>
    </row>
    <row r="2853" ht="15.75" customHeight="1">
      <c r="A2853" s="2">
        <v>2014.0</v>
      </c>
      <c r="B2853" s="2" t="s">
        <v>13616</v>
      </c>
      <c r="C2853" s="2" t="s">
        <v>13617</v>
      </c>
      <c r="D2853" s="2" t="str">
        <f>"303-979-3695"</f>
        <v>303-979-3695</v>
      </c>
      <c r="E2853" s="2" t="s">
        <v>10057</v>
      </c>
      <c r="F2853" s="2" t="s">
        <v>4941</v>
      </c>
      <c r="G2853" s="2" t="str">
        <f>"SR-3899"</f>
        <v>SR-3899</v>
      </c>
      <c r="H2853" s="2" t="s">
        <v>10058</v>
      </c>
      <c r="I2853" s="2" t="s">
        <v>13618</v>
      </c>
      <c r="K2853" s="2" t="s">
        <v>1889</v>
      </c>
      <c r="L2853" s="2" t="s">
        <v>157</v>
      </c>
      <c r="M2853" s="2">
        <v>80128.0</v>
      </c>
      <c r="N2853" s="2" t="s">
        <v>21</v>
      </c>
    </row>
    <row r="2854" ht="15.75" customHeight="1">
      <c r="A2854" s="2">
        <v>2014.0</v>
      </c>
      <c r="B2854" s="2" t="s">
        <v>13565</v>
      </c>
      <c r="C2854" s="2" t="s">
        <v>13619</v>
      </c>
      <c r="D2854" s="2" t="str">
        <f>"919 524 2921"</f>
        <v>919 524 2921</v>
      </c>
      <c r="E2854" s="2" t="s">
        <v>13620</v>
      </c>
      <c r="F2854" s="2" t="s">
        <v>645</v>
      </c>
      <c r="G2854" s="2" t="str">
        <f>"SR-2927"</f>
        <v>SR-2927</v>
      </c>
      <c r="H2854" s="2" t="s">
        <v>13621</v>
      </c>
      <c r="I2854" s="2" t="s">
        <v>13622</v>
      </c>
      <c r="K2854" s="2" t="s">
        <v>13623</v>
      </c>
      <c r="L2854" s="2" t="s">
        <v>20</v>
      </c>
      <c r="M2854" s="2">
        <v>27526.0</v>
      </c>
      <c r="N2854" s="2" t="s">
        <v>21</v>
      </c>
    </row>
    <row r="2855" ht="15.75" customHeight="1">
      <c r="A2855" s="2">
        <v>2014.0</v>
      </c>
      <c r="B2855" s="2" t="s">
        <v>4608</v>
      </c>
      <c r="C2855" s="2" t="s">
        <v>4609</v>
      </c>
      <c r="D2855" s="2" t="str">
        <f>"224 456 3969"</f>
        <v>224 456 3969</v>
      </c>
      <c r="E2855" s="2" t="s">
        <v>1548</v>
      </c>
      <c r="F2855" s="2" t="s">
        <v>4610</v>
      </c>
      <c r="G2855" s="2" t="str">
        <f>"SR-1105"</f>
        <v>SR-1105</v>
      </c>
      <c r="H2855" s="2" t="s">
        <v>4611</v>
      </c>
      <c r="I2855" s="2">
        <v>1643.0</v>
      </c>
      <c r="J2855" s="2" t="s">
        <v>4612</v>
      </c>
      <c r="K2855" s="2" t="s">
        <v>4613</v>
      </c>
      <c r="L2855" s="2" t="s">
        <v>105</v>
      </c>
      <c r="M2855" s="2">
        <v>60047.0</v>
      </c>
      <c r="N2855" s="2" t="s">
        <v>21</v>
      </c>
    </row>
    <row r="2856" ht="15.75" customHeight="1">
      <c r="A2856" s="2">
        <v>2014.0</v>
      </c>
      <c r="B2856" s="2" t="s">
        <v>6828</v>
      </c>
      <c r="C2856" s="2" t="s">
        <v>6829</v>
      </c>
      <c r="D2856" s="2" t="str">
        <f>"612-720-3668"</f>
        <v>612-720-3668</v>
      </c>
      <c r="E2856" s="2" t="s">
        <v>1034</v>
      </c>
      <c r="F2856" s="2" t="s">
        <v>2906</v>
      </c>
      <c r="G2856" s="2" t="str">
        <f>"SR-823"</f>
        <v>SR-823</v>
      </c>
      <c r="H2856" s="2" t="s">
        <v>6830</v>
      </c>
      <c r="I2856" s="2" t="s">
        <v>2908</v>
      </c>
      <c r="K2856" s="2" t="s">
        <v>2909</v>
      </c>
      <c r="L2856" s="2" t="s">
        <v>62</v>
      </c>
      <c r="M2856" s="2">
        <v>55441.0</v>
      </c>
      <c r="N2856" s="2" t="s">
        <v>21</v>
      </c>
    </row>
    <row r="2857" ht="15.75" customHeight="1">
      <c r="A2857" s="2">
        <v>2014.0</v>
      </c>
      <c r="B2857" s="2" t="s">
        <v>13578</v>
      </c>
      <c r="C2857" s="2" t="s">
        <v>13624</v>
      </c>
      <c r="D2857" s="2" t="str">
        <f>"704 953 3171"</f>
        <v>704 953 3171</v>
      </c>
      <c r="E2857" s="2" t="s">
        <v>8752</v>
      </c>
      <c r="F2857" s="2" t="s">
        <v>13581</v>
      </c>
      <c r="G2857" s="2" t="str">
        <f>"SR-3906"</f>
        <v>SR-3906</v>
      </c>
      <c r="H2857" s="2" t="s">
        <v>13625</v>
      </c>
      <c r="I2857" s="2" t="s">
        <v>13626</v>
      </c>
      <c r="K2857" s="2" t="s">
        <v>4519</v>
      </c>
      <c r="L2857" s="2" t="s">
        <v>20</v>
      </c>
      <c r="M2857" s="2">
        <v>28110.0</v>
      </c>
      <c r="N2857" s="2" t="s">
        <v>21</v>
      </c>
    </row>
    <row r="2858" ht="15.75" customHeight="1">
      <c r="A2858" s="2">
        <v>2014.0</v>
      </c>
      <c r="B2858" s="2" t="s">
        <v>13627</v>
      </c>
      <c r="C2858" s="2" t="s">
        <v>13627</v>
      </c>
      <c r="D2858" s="2" t="str">
        <f>"320-226-1726"</f>
        <v>320-226-1726</v>
      </c>
      <c r="E2858" s="2" t="s">
        <v>2988</v>
      </c>
      <c r="F2858" s="2" t="s">
        <v>13112</v>
      </c>
      <c r="G2858" s="2" t="str">
        <f>"SR-3769"</f>
        <v>SR-3769</v>
      </c>
      <c r="H2858" s="2" t="s">
        <v>13628</v>
      </c>
      <c r="I2858" s="2" t="s">
        <v>13114</v>
      </c>
      <c r="K2858" s="2" t="s">
        <v>737</v>
      </c>
      <c r="L2858" s="2" t="s">
        <v>62</v>
      </c>
      <c r="M2858" s="2">
        <v>56295.0</v>
      </c>
      <c r="N2858" s="2" t="s">
        <v>21</v>
      </c>
    </row>
    <row r="2859" ht="15.75" customHeight="1">
      <c r="A2859" s="2">
        <v>2014.0</v>
      </c>
      <c r="B2859" s="2" t="s">
        <v>13629</v>
      </c>
      <c r="C2859" s="2" t="s">
        <v>13629</v>
      </c>
      <c r="D2859" s="2" t="str">
        <f>"719-487-3294"</f>
        <v>719-487-3294</v>
      </c>
      <c r="E2859" s="2" t="s">
        <v>13630</v>
      </c>
      <c r="F2859" s="2" t="s">
        <v>13631</v>
      </c>
      <c r="G2859" s="2" t="str">
        <f>"SR-3905"</f>
        <v>SR-3905</v>
      </c>
      <c r="H2859" s="2" t="s">
        <v>13632</v>
      </c>
      <c r="I2859" s="2" t="s">
        <v>13633</v>
      </c>
      <c r="K2859" s="2" t="s">
        <v>809</v>
      </c>
      <c r="L2859" s="2" t="s">
        <v>157</v>
      </c>
      <c r="M2859" s="2">
        <v>80921.0</v>
      </c>
      <c r="N2859" s="2" t="s">
        <v>21</v>
      </c>
    </row>
    <row r="2860" ht="15.75" customHeight="1">
      <c r="A2860" s="2">
        <v>2014.0</v>
      </c>
      <c r="B2860" s="2" t="s">
        <v>13634</v>
      </c>
      <c r="C2860" s="2" t="s">
        <v>13634</v>
      </c>
      <c r="D2860" s="2" t="str">
        <f>"251-714-6531"</f>
        <v>251-714-6531</v>
      </c>
      <c r="E2860" s="2" t="s">
        <v>282</v>
      </c>
      <c r="F2860" s="2" t="s">
        <v>13635</v>
      </c>
      <c r="G2860" s="2" t="str">
        <f>"SR-3896"</f>
        <v>SR-3896</v>
      </c>
      <c r="H2860" s="2" t="s">
        <v>13636</v>
      </c>
      <c r="I2860" s="2" t="s">
        <v>13637</v>
      </c>
      <c r="K2860" s="2" t="s">
        <v>4519</v>
      </c>
      <c r="L2860" s="2" t="s">
        <v>715</v>
      </c>
      <c r="M2860" s="2">
        <v>71203.0</v>
      </c>
      <c r="N2860" s="2" t="s">
        <v>21</v>
      </c>
    </row>
    <row r="2861" ht="15.75" customHeight="1">
      <c r="A2861" s="2">
        <v>2014.0</v>
      </c>
      <c r="B2861" s="2" t="s">
        <v>13638</v>
      </c>
      <c r="C2861" s="2" t="s">
        <v>13639</v>
      </c>
      <c r="D2861" s="2" t="str">
        <f>"954 985 9477"</f>
        <v>954 985 9477</v>
      </c>
      <c r="E2861" s="2" t="s">
        <v>13640</v>
      </c>
      <c r="F2861" s="2" t="s">
        <v>2648</v>
      </c>
      <c r="G2861" s="2" t="str">
        <f>"SR-3549"</f>
        <v>SR-3549</v>
      </c>
      <c r="H2861" s="2" t="s">
        <v>13641</v>
      </c>
      <c r="I2861" s="2" t="s">
        <v>13642</v>
      </c>
      <c r="K2861" s="2" t="s">
        <v>7313</v>
      </c>
      <c r="L2861" s="2" t="s">
        <v>208</v>
      </c>
      <c r="M2861" s="2">
        <v>33021.0</v>
      </c>
      <c r="N2861" s="2" t="s">
        <v>21</v>
      </c>
    </row>
    <row r="2862" ht="15.75" customHeight="1">
      <c r="A2862" s="2">
        <v>2014.0</v>
      </c>
      <c r="B2862" s="2" t="s">
        <v>5770</v>
      </c>
      <c r="C2862" s="2" t="s">
        <v>5771</v>
      </c>
      <c r="D2862" s="2" t="str">
        <f>"4043722703"</f>
        <v>4043722703</v>
      </c>
      <c r="E2862" s="2" t="s">
        <v>580</v>
      </c>
      <c r="F2862" s="2" t="s">
        <v>5772</v>
      </c>
      <c r="G2862" s="2" t="str">
        <f>"SR-1403"</f>
        <v>SR-1403</v>
      </c>
      <c r="H2862" s="2" t="s">
        <v>5773</v>
      </c>
      <c r="I2862" s="2" t="s">
        <v>5774</v>
      </c>
      <c r="K2862" s="2" t="s">
        <v>5775</v>
      </c>
      <c r="L2862" s="2" t="s">
        <v>200</v>
      </c>
      <c r="M2862" s="2">
        <v>30139.0</v>
      </c>
      <c r="N2862" s="2" t="s">
        <v>21</v>
      </c>
    </row>
    <row r="2863" ht="15.75" customHeight="1">
      <c r="A2863" s="2">
        <v>2014.0</v>
      </c>
      <c r="B2863" s="2" t="s">
        <v>13643</v>
      </c>
      <c r="C2863" s="2" t="s">
        <v>13643</v>
      </c>
      <c r="D2863" s="2" t="str">
        <f>"816-524-5061"</f>
        <v>816-524-5061</v>
      </c>
      <c r="E2863" s="2" t="s">
        <v>9513</v>
      </c>
      <c r="F2863" s="2" t="s">
        <v>529</v>
      </c>
      <c r="G2863" s="2" t="str">
        <f>"SR-3911"</f>
        <v>SR-3911</v>
      </c>
      <c r="H2863" s="2" t="s">
        <v>13644</v>
      </c>
      <c r="I2863" s="2" t="s">
        <v>13645</v>
      </c>
      <c r="K2863" s="2" t="s">
        <v>13646</v>
      </c>
      <c r="L2863" s="2" t="s">
        <v>214</v>
      </c>
      <c r="M2863" s="2">
        <v>64081.0</v>
      </c>
      <c r="N2863" s="2" t="s">
        <v>21</v>
      </c>
    </row>
    <row r="2864" ht="15.75" customHeight="1">
      <c r="A2864" s="2">
        <v>2014.0</v>
      </c>
      <c r="B2864" s="2" t="s">
        <v>13647</v>
      </c>
      <c r="C2864" s="2" t="s">
        <v>13648</v>
      </c>
      <c r="D2864" s="2" t="str">
        <f>"719-494-0136"</f>
        <v>719-494-0136</v>
      </c>
      <c r="E2864" s="2" t="s">
        <v>651</v>
      </c>
      <c r="F2864" s="2" t="s">
        <v>3028</v>
      </c>
      <c r="G2864" s="2" t="str">
        <f>"SR-3476"</f>
        <v>SR-3476</v>
      </c>
      <c r="H2864" s="2" t="s">
        <v>13649</v>
      </c>
      <c r="I2864" s="2" t="s">
        <v>13650</v>
      </c>
      <c r="K2864" s="2" t="s">
        <v>809</v>
      </c>
      <c r="L2864" s="2" t="s">
        <v>157</v>
      </c>
      <c r="M2864" s="2">
        <v>80918.0</v>
      </c>
      <c r="N2864" s="2" t="s">
        <v>21</v>
      </c>
    </row>
    <row r="2865" ht="15.75" customHeight="1">
      <c r="A2865" s="2">
        <v>2014.0</v>
      </c>
      <c r="B2865" s="2" t="s">
        <v>13651</v>
      </c>
      <c r="C2865" s="2" t="s">
        <v>13651</v>
      </c>
      <c r="D2865" s="2" t="str">
        <f>"8322538034"</f>
        <v>8322538034</v>
      </c>
      <c r="E2865" s="2" t="s">
        <v>13652</v>
      </c>
      <c r="F2865" s="2" t="s">
        <v>13653</v>
      </c>
      <c r="G2865" s="2" t="str">
        <f>"SR-3825"</f>
        <v>SR-3825</v>
      </c>
      <c r="H2865" s="2" t="s">
        <v>13654</v>
      </c>
      <c r="I2865" s="2" t="s">
        <v>13655</v>
      </c>
      <c r="K2865" s="2" t="s">
        <v>444</v>
      </c>
      <c r="L2865" s="2" t="s">
        <v>172</v>
      </c>
      <c r="M2865" s="2">
        <v>77070.0</v>
      </c>
      <c r="N2865" s="2" t="s">
        <v>21</v>
      </c>
    </row>
    <row r="2866" ht="15.75" customHeight="1">
      <c r="A2866" s="2">
        <v>2014.0</v>
      </c>
      <c r="B2866" s="2" t="s">
        <v>13573</v>
      </c>
      <c r="C2866" s="2" t="s">
        <v>13656</v>
      </c>
      <c r="D2866" s="2" t="str">
        <f>"(805) 526-2172"</f>
        <v>(805) 526-2172</v>
      </c>
      <c r="E2866" s="2" t="s">
        <v>13657</v>
      </c>
      <c r="F2866" s="2" t="s">
        <v>13575</v>
      </c>
      <c r="G2866" s="2" t="str">
        <f>"SR-3916"</f>
        <v>SR-3916</v>
      </c>
      <c r="H2866" s="2" t="s">
        <v>13658</v>
      </c>
      <c r="I2866" s="2" t="s">
        <v>13659</v>
      </c>
      <c r="K2866" s="2" t="s">
        <v>1194</v>
      </c>
      <c r="L2866" s="2" t="s">
        <v>222</v>
      </c>
      <c r="M2866" s="2">
        <v>93065.0</v>
      </c>
      <c r="N2866" s="2" t="s">
        <v>21</v>
      </c>
    </row>
    <row r="2867" ht="15.75" customHeight="1">
      <c r="A2867" s="2">
        <v>2014.0</v>
      </c>
      <c r="B2867" s="2" t="s">
        <v>13660</v>
      </c>
      <c r="C2867" s="2" t="s">
        <v>13661</v>
      </c>
      <c r="D2867" s="2" t="str">
        <f>"512-528-8999"</f>
        <v>512-528-8999</v>
      </c>
      <c r="E2867" s="2" t="s">
        <v>9052</v>
      </c>
      <c r="F2867" s="2" t="s">
        <v>3043</v>
      </c>
      <c r="G2867" s="2" t="str">
        <f>"SR-3908"</f>
        <v>SR-3908</v>
      </c>
      <c r="H2867" s="2" t="s">
        <v>13662</v>
      </c>
      <c r="I2867" s="2" t="s">
        <v>13663</v>
      </c>
      <c r="K2867" s="2" t="s">
        <v>1249</v>
      </c>
      <c r="L2867" s="2" t="s">
        <v>172</v>
      </c>
      <c r="M2867" s="2">
        <v>78613.0</v>
      </c>
      <c r="N2867" s="2" t="s">
        <v>21</v>
      </c>
    </row>
    <row r="2868" ht="15.75" customHeight="1">
      <c r="A2868" s="2">
        <v>2014.0</v>
      </c>
      <c r="B2868" s="2" t="s">
        <v>13664</v>
      </c>
      <c r="C2868" s="2" t="s">
        <v>13665</v>
      </c>
      <c r="D2868" s="2" t="str">
        <f>"5613508789"</f>
        <v>5613508789</v>
      </c>
      <c r="E2868" s="2" t="s">
        <v>4968</v>
      </c>
      <c r="F2868" s="2" t="s">
        <v>13666</v>
      </c>
      <c r="G2868" s="2" t="str">
        <f>"SR-3918"</f>
        <v>SR-3918</v>
      </c>
      <c r="H2868" s="2" t="s">
        <v>13667</v>
      </c>
      <c r="I2868" s="2" t="s">
        <v>13668</v>
      </c>
      <c r="K2868" s="2" t="s">
        <v>13669</v>
      </c>
      <c r="L2868" s="2" t="s">
        <v>208</v>
      </c>
      <c r="M2868" s="2">
        <v>33431.0</v>
      </c>
      <c r="N2868" s="2" t="s">
        <v>21</v>
      </c>
    </row>
    <row r="2869" ht="15.75" customHeight="1">
      <c r="A2869" s="2">
        <v>2014.0</v>
      </c>
      <c r="B2869" s="2" t="s">
        <v>13670</v>
      </c>
      <c r="C2869" s="2" t="s">
        <v>13671</v>
      </c>
      <c r="D2869" s="2" t="str">
        <f>"8175947994"</f>
        <v>8175947994</v>
      </c>
      <c r="E2869" s="2" t="s">
        <v>1032</v>
      </c>
      <c r="F2869" s="2" t="s">
        <v>5637</v>
      </c>
      <c r="G2869" s="2" t="str">
        <f>"SR-3904"</f>
        <v>SR-3904</v>
      </c>
      <c r="H2869" s="2" t="s">
        <v>13672</v>
      </c>
      <c r="I2869" s="2" t="s">
        <v>13673</v>
      </c>
      <c r="K2869" s="2" t="s">
        <v>10044</v>
      </c>
      <c r="L2869" s="2" t="s">
        <v>29</v>
      </c>
      <c r="M2869" s="2">
        <v>49093.0</v>
      </c>
      <c r="N2869" s="2" t="s">
        <v>21</v>
      </c>
    </row>
    <row r="2870" ht="15.75" customHeight="1">
      <c r="A2870" s="2">
        <v>2014.0</v>
      </c>
      <c r="B2870" s="2" t="s">
        <v>13643</v>
      </c>
      <c r="C2870" s="2" t="s">
        <v>13643</v>
      </c>
      <c r="D2870" s="2" t="str">
        <f>"816-524-5061"</f>
        <v>816-524-5061</v>
      </c>
      <c r="E2870" s="2" t="s">
        <v>1263</v>
      </c>
      <c r="F2870" s="2" t="s">
        <v>529</v>
      </c>
      <c r="G2870" s="2" t="str">
        <f>"SR-3919"</f>
        <v>SR-3919</v>
      </c>
      <c r="H2870" s="2" t="s">
        <v>13674</v>
      </c>
      <c r="I2870" s="2" t="s">
        <v>13645</v>
      </c>
      <c r="K2870" s="2" t="s">
        <v>13646</v>
      </c>
      <c r="L2870" s="2" t="s">
        <v>214</v>
      </c>
      <c r="M2870" s="2">
        <v>64081.0</v>
      </c>
      <c r="N2870" s="2" t="s">
        <v>21</v>
      </c>
    </row>
    <row r="2871" ht="15.75" customHeight="1">
      <c r="A2871" s="2">
        <v>2014.0</v>
      </c>
      <c r="B2871" s="2" t="s">
        <v>13675</v>
      </c>
      <c r="C2871" s="2" t="s">
        <v>13676</v>
      </c>
      <c r="D2871" s="2" t="str">
        <f>"719-290-3844"</f>
        <v>719-290-3844</v>
      </c>
      <c r="E2871" s="2" t="s">
        <v>1263</v>
      </c>
      <c r="F2871" s="2" t="s">
        <v>13677</v>
      </c>
      <c r="G2871" s="2" t="str">
        <f>"SR-3913"</f>
        <v>SR-3913</v>
      </c>
      <c r="H2871" s="2" t="s">
        <v>13678</v>
      </c>
      <c r="I2871" s="2" t="s">
        <v>13679</v>
      </c>
      <c r="K2871" s="2" t="s">
        <v>809</v>
      </c>
      <c r="L2871" s="2" t="s">
        <v>157</v>
      </c>
      <c r="M2871" s="2">
        <v>80915.0</v>
      </c>
      <c r="N2871" s="2" t="s">
        <v>21</v>
      </c>
    </row>
    <row r="2872" ht="15.75" customHeight="1">
      <c r="A2872" s="2">
        <v>2014.0</v>
      </c>
      <c r="B2872" s="2" t="s">
        <v>13680</v>
      </c>
      <c r="C2872" s="2" t="s">
        <v>13680</v>
      </c>
      <c r="D2872" s="2" t="str">
        <f>"970-523-0116"</f>
        <v>970-523-0116</v>
      </c>
      <c r="E2872" s="2" t="s">
        <v>705</v>
      </c>
      <c r="F2872" s="2" t="s">
        <v>13681</v>
      </c>
      <c r="G2872" s="2" t="str">
        <f>"SR-3910"</f>
        <v>SR-3910</v>
      </c>
      <c r="H2872" s="2" t="s">
        <v>13682</v>
      </c>
      <c r="I2872" s="2" t="s">
        <v>13683</v>
      </c>
      <c r="K2872" s="2" t="s">
        <v>13684</v>
      </c>
      <c r="L2872" s="2" t="s">
        <v>157</v>
      </c>
      <c r="M2872" s="2">
        <v>81520.0</v>
      </c>
      <c r="N2872" s="2" t="s">
        <v>21</v>
      </c>
    </row>
    <row r="2873" ht="15.75" customHeight="1">
      <c r="A2873" s="2">
        <v>2014.0</v>
      </c>
      <c r="B2873" s="2" t="s">
        <v>13685</v>
      </c>
      <c r="C2873" s="2" t="s">
        <v>13685</v>
      </c>
      <c r="D2873" s="2" t="str">
        <f>"14088416730"</f>
        <v>14088416730</v>
      </c>
      <c r="E2873" s="2" t="s">
        <v>13686</v>
      </c>
      <c r="F2873" s="2" t="s">
        <v>447</v>
      </c>
      <c r="G2873" s="2" t="str">
        <f>"SR-3100"</f>
        <v>SR-3100</v>
      </c>
      <c r="H2873" s="2" t="s">
        <v>13687</v>
      </c>
      <c r="I2873" s="2" t="s">
        <v>13688</v>
      </c>
      <c r="K2873" s="2" t="s">
        <v>5826</v>
      </c>
      <c r="L2873" s="2" t="s">
        <v>222</v>
      </c>
      <c r="M2873" s="2">
        <v>95123.0</v>
      </c>
      <c r="N2873" s="2" t="s">
        <v>21</v>
      </c>
    </row>
    <row r="2874" ht="15.75" customHeight="1">
      <c r="A2874" s="2">
        <v>2014.0</v>
      </c>
      <c r="B2874" s="2" t="s">
        <v>13680</v>
      </c>
      <c r="C2874" s="2" t="s">
        <v>13689</v>
      </c>
      <c r="D2874" s="2" t="str">
        <f>"970-523-0116"</f>
        <v>970-523-0116</v>
      </c>
      <c r="E2874" s="2" t="s">
        <v>13690</v>
      </c>
      <c r="F2874" s="2" t="s">
        <v>13681</v>
      </c>
      <c r="G2874" s="2" t="str">
        <f>"SR-3924"</f>
        <v>SR-3924</v>
      </c>
      <c r="H2874" s="2" t="s">
        <v>13691</v>
      </c>
      <c r="I2874" s="2" t="s">
        <v>13683</v>
      </c>
      <c r="K2874" s="2" t="s">
        <v>13684</v>
      </c>
      <c r="L2874" s="2" t="s">
        <v>157</v>
      </c>
      <c r="M2874" s="2">
        <v>81520.0</v>
      </c>
      <c r="N2874" s="2" t="s">
        <v>21</v>
      </c>
    </row>
    <row r="2875" ht="15.75" customHeight="1">
      <c r="A2875" s="2">
        <v>2014.0</v>
      </c>
      <c r="B2875" s="2" t="s">
        <v>13664</v>
      </c>
      <c r="C2875" s="2" t="s">
        <v>13692</v>
      </c>
      <c r="D2875" s="2" t="str">
        <f>"561-350-8789"</f>
        <v>561-350-8789</v>
      </c>
      <c r="E2875" s="2" t="s">
        <v>6174</v>
      </c>
      <c r="F2875" s="2" t="s">
        <v>13693</v>
      </c>
      <c r="G2875" s="2" t="str">
        <f>"SR-3921"</f>
        <v>SR-3921</v>
      </c>
      <c r="H2875" s="2" t="s">
        <v>13694</v>
      </c>
      <c r="I2875" s="2" t="s">
        <v>13668</v>
      </c>
      <c r="K2875" s="2" t="s">
        <v>13669</v>
      </c>
      <c r="L2875" s="2" t="s">
        <v>208</v>
      </c>
      <c r="M2875" s="2">
        <v>33431.0</v>
      </c>
      <c r="N2875" s="2" t="s">
        <v>21</v>
      </c>
    </row>
    <row r="2876" ht="15.75" customHeight="1">
      <c r="A2876" s="2">
        <v>2014.0</v>
      </c>
      <c r="B2876" s="2" t="s">
        <v>13695</v>
      </c>
      <c r="C2876" s="2" t="s">
        <v>13696</v>
      </c>
      <c r="D2876" s="2" t="str">
        <f>"303-763-0361"</f>
        <v>303-763-0361</v>
      </c>
      <c r="E2876" s="2" t="s">
        <v>908</v>
      </c>
      <c r="F2876" s="2" t="s">
        <v>13697</v>
      </c>
      <c r="G2876" s="2" t="str">
        <f>"SR-3922"</f>
        <v>SR-3922</v>
      </c>
      <c r="H2876" s="2" t="s">
        <v>13698</v>
      </c>
      <c r="I2876" s="2" t="s">
        <v>13699</v>
      </c>
      <c r="K2876" s="2" t="s">
        <v>1502</v>
      </c>
      <c r="L2876" s="2" t="s">
        <v>157</v>
      </c>
      <c r="M2876" s="2">
        <v>80007.0</v>
      </c>
      <c r="N2876" s="2" t="s">
        <v>21</v>
      </c>
    </row>
    <row r="2877" ht="15.75" customHeight="1">
      <c r="A2877" s="2">
        <v>2014.0</v>
      </c>
      <c r="B2877" s="2" t="s">
        <v>13700</v>
      </c>
      <c r="C2877" s="2" t="s">
        <v>13701</v>
      </c>
      <c r="D2877" s="2" t="str">
        <f>"425-882-7377"</f>
        <v>425-882-7377</v>
      </c>
      <c r="E2877" s="2" t="s">
        <v>938</v>
      </c>
      <c r="F2877" s="2" t="s">
        <v>13702</v>
      </c>
      <c r="G2877" s="2" t="str">
        <f>"SR-3920"</f>
        <v>SR-3920</v>
      </c>
      <c r="H2877" s="2" t="s">
        <v>13703</v>
      </c>
      <c r="I2877" s="2" t="s">
        <v>13704</v>
      </c>
      <c r="K2877" s="2" t="s">
        <v>13705</v>
      </c>
      <c r="L2877" s="2" t="s">
        <v>86</v>
      </c>
      <c r="M2877" s="2">
        <v>98072.0</v>
      </c>
      <c r="N2877" s="2" t="s">
        <v>21</v>
      </c>
    </row>
    <row r="2878" ht="15.75" customHeight="1">
      <c r="A2878" s="2">
        <v>2014.0</v>
      </c>
      <c r="B2878" s="2" t="s">
        <v>13706</v>
      </c>
      <c r="C2878" s="2" t="s">
        <v>13706</v>
      </c>
      <c r="D2878" s="2" t="str">
        <f>"4145738500"</f>
        <v>4145738500</v>
      </c>
      <c r="E2878" s="2" t="s">
        <v>250</v>
      </c>
      <c r="F2878" s="2" t="s">
        <v>13707</v>
      </c>
      <c r="G2878" s="2" t="str">
        <f>"SR-3576"</f>
        <v>SR-3576</v>
      </c>
      <c r="H2878" s="2" t="s">
        <v>13708</v>
      </c>
      <c r="I2878" s="2" t="s">
        <v>13709</v>
      </c>
      <c r="K2878" s="2" t="s">
        <v>13710</v>
      </c>
      <c r="L2878" s="2" t="s">
        <v>193</v>
      </c>
      <c r="M2878" s="2">
        <v>53207.0</v>
      </c>
      <c r="N2878" s="2" t="s">
        <v>21</v>
      </c>
    </row>
    <row r="2879" ht="15.75" customHeight="1">
      <c r="A2879" s="2">
        <v>2014.0</v>
      </c>
      <c r="B2879" s="2" t="s">
        <v>13711</v>
      </c>
      <c r="C2879" s="2" t="s">
        <v>13711</v>
      </c>
      <c r="D2879" s="2" t="str">
        <f>"9095694646"</f>
        <v>9095694646</v>
      </c>
      <c r="E2879" s="2" t="s">
        <v>1664</v>
      </c>
      <c r="F2879" s="2" t="s">
        <v>13712</v>
      </c>
      <c r="G2879" s="2" t="str">
        <f>"SR-3602"</f>
        <v>SR-3602</v>
      </c>
      <c r="H2879" s="2" t="s">
        <v>13713</v>
      </c>
      <c r="I2879" s="2" t="s">
        <v>13714</v>
      </c>
      <c r="K2879" s="2" t="s">
        <v>13715</v>
      </c>
      <c r="L2879" s="2" t="s">
        <v>222</v>
      </c>
      <c r="M2879" s="2">
        <v>91789.0</v>
      </c>
      <c r="N2879" s="2" t="s">
        <v>21</v>
      </c>
    </row>
    <row r="2880" ht="15.75" customHeight="1">
      <c r="A2880" s="2">
        <v>2014.0</v>
      </c>
      <c r="B2880" s="2" t="s">
        <v>13716</v>
      </c>
      <c r="C2880" s="2" t="s">
        <v>13717</v>
      </c>
      <c r="D2880" s="2" t="str">
        <f t="shared" ref="D2880:D2881" si="44">"9166063833"</f>
        <v>9166063833</v>
      </c>
      <c r="E2880" s="2" t="s">
        <v>301</v>
      </c>
      <c r="F2880" s="2" t="s">
        <v>13718</v>
      </c>
      <c r="G2880" s="2" t="str">
        <f>"SR-3817"</f>
        <v>SR-3817</v>
      </c>
      <c r="H2880" s="2" t="s">
        <v>13719</v>
      </c>
      <c r="I2880" s="2" t="s">
        <v>13720</v>
      </c>
      <c r="K2880" s="2" t="s">
        <v>10305</v>
      </c>
      <c r="L2880" s="2" t="s">
        <v>222</v>
      </c>
      <c r="M2880" s="2">
        <v>95833.0</v>
      </c>
      <c r="N2880" s="2" t="s">
        <v>21</v>
      </c>
    </row>
    <row r="2881" ht="15.75" customHeight="1">
      <c r="A2881" s="2">
        <v>2014.0</v>
      </c>
      <c r="B2881" s="2" t="s">
        <v>13716</v>
      </c>
      <c r="C2881" s="2" t="s">
        <v>13721</v>
      </c>
      <c r="D2881" s="2" t="str">
        <f t="shared" si="44"/>
        <v>9166063833</v>
      </c>
      <c r="E2881" s="2" t="s">
        <v>2031</v>
      </c>
      <c r="F2881" s="2" t="s">
        <v>13718</v>
      </c>
      <c r="G2881" s="2" t="str">
        <f>"SR-3822"</f>
        <v>SR-3822</v>
      </c>
      <c r="H2881" s="2" t="s">
        <v>13722</v>
      </c>
      <c r="I2881" s="2" t="s">
        <v>13720</v>
      </c>
      <c r="K2881" s="2" t="s">
        <v>10305</v>
      </c>
      <c r="L2881" s="2" t="s">
        <v>222</v>
      </c>
      <c r="M2881" s="2">
        <v>95833.0</v>
      </c>
      <c r="N2881" s="2" t="s">
        <v>21</v>
      </c>
    </row>
    <row r="2882" ht="15.75" customHeight="1">
      <c r="A2882" s="2">
        <v>2014.0</v>
      </c>
      <c r="B2882" s="2" t="s">
        <v>13723</v>
      </c>
      <c r="C2882" s="2" t="s">
        <v>13724</v>
      </c>
      <c r="D2882" s="2" t="str">
        <f>"4254668383"</f>
        <v>4254668383</v>
      </c>
      <c r="E2882" s="2" t="s">
        <v>659</v>
      </c>
      <c r="F2882" s="2" t="s">
        <v>13725</v>
      </c>
      <c r="G2882" s="2" t="str">
        <f>"SR-3850"</f>
        <v>SR-3850</v>
      </c>
      <c r="H2882" s="2" t="s">
        <v>13726</v>
      </c>
      <c r="I2882" s="2" t="s">
        <v>13727</v>
      </c>
      <c r="K2882" s="2" t="s">
        <v>13728</v>
      </c>
      <c r="L2882" s="2" t="s">
        <v>770</v>
      </c>
      <c r="M2882" s="2">
        <v>96761.0</v>
      </c>
      <c r="N2882" s="2" t="s">
        <v>21</v>
      </c>
    </row>
    <row r="2883" ht="15.75" customHeight="1">
      <c r="A2883" s="2">
        <v>2014.0</v>
      </c>
      <c r="B2883" s="2" t="s">
        <v>13729</v>
      </c>
      <c r="C2883" s="2" t="s">
        <v>13730</v>
      </c>
      <c r="D2883" s="2" t="str">
        <f>"7208001576"</f>
        <v>7208001576</v>
      </c>
      <c r="E2883" s="2" t="s">
        <v>13731</v>
      </c>
      <c r="F2883" s="2" t="s">
        <v>13732</v>
      </c>
      <c r="G2883" s="2" t="str">
        <f>"SR-3928"</f>
        <v>SR-3928</v>
      </c>
      <c r="H2883" s="2" t="s">
        <v>13733</v>
      </c>
      <c r="I2883" s="2" t="s">
        <v>13734</v>
      </c>
      <c r="K2883" s="2" t="s">
        <v>1520</v>
      </c>
      <c r="L2883" s="2" t="s">
        <v>157</v>
      </c>
      <c r="M2883" s="2">
        <v>80013.0</v>
      </c>
      <c r="N2883" s="2" t="s">
        <v>21</v>
      </c>
    </row>
    <row r="2884" ht="15.75" customHeight="1">
      <c r="A2884" s="2">
        <v>2014.0</v>
      </c>
      <c r="B2884" s="2" t="s">
        <v>13735</v>
      </c>
      <c r="C2884" s="2" t="s">
        <v>13736</v>
      </c>
      <c r="D2884" s="2" t="str">
        <f>"5629880403"</f>
        <v>5629880403</v>
      </c>
      <c r="E2884" s="2" t="s">
        <v>453</v>
      </c>
      <c r="F2884" s="2" t="s">
        <v>13737</v>
      </c>
      <c r="G2884" s="2" t="str">
        <f>"SR-3914"</f>
        <v>SR-3914</v>
      </c>
      <c r="H2884" s="2" t="s">
        <v>13738</v>
      </c>
      <c r="I2884" s="2" t="s">
        <v>13739</v>
      </c>
      <c r="K2884" s="2" t="s">
        <v>3950</v>
      </c>
      <c r="L2884" s="2" t="s">
        <v>222</v>
      </c>
      <c r="M2884" s="2">
        <v>90807.0</v>
      </c>
      <c r="N2884" s="2" t="s">
        <v>21</v>
      </c>
    </row>
    <row r="2885" ht="15.75" customHeight="1">
      <c r="A2885" s="2">
        <v>2014.0</v>
      </c>
      <c r="B2885" s="2" t="s">
        <v>13740</v>
      </c>
      <c r="C2885" s="2" t="s">
        <v>13741</v>
      </c>
      <c r="D2885" s="2" t="str">
        <f>"336 469-9054"</f>
        <v>336 469-9054</v>
      </c>
      <c r="E2885" s="2" t="s">
        <v>2243</v>
      </c>
      <c r="F2885" s="2" t="s">
        <v>13742</v>
      </c>
      <c r="G2885" s="2" t="str">
        <f>"SR-3618"</f>
        <v>SR-3618</v>
      </c>
      <c r="H2885" s="2" t="s">
        <v>13743</v>
      </c>
      <c r="I2885" s="2" t="s">
        <v>13744</v>
      </c>
      <c r="K2885" s="2" t="s">
        <v>4174</v>
      </c>
      <c r="L2885" s="2" t="s">
        <v>20</v>
      </c>
      <c r="M2885" s="2">
        <v>27023.0</v>
      </c>
      <c r="N2885" s="2" t="s">
        <v>21</v>
      </c>
    </row>
    <row r="2886" ht="15.75" customHeight="1">
      <c r="A2886" s="2">
        <v>2014.0</v>
      </c>
      <c r="B2886" s="2" t="s">
        <v>13723</v>
      </c>
      <c r="C2886" s="2" t="s">
        <v>13745</v>
      </c>
      <c r="D2886" s="2" t="str">
        <f>"503-867-1655"</f>
        <v>503-867-1655</v>
      </c>
      <c r="E2886" s="2" t="s">
        <v>585</v>
      </c>
      <c r="F2886" s="2" t="s">
        <v>4657</v>
      </c>
      <c r="G2886" s="2" t="str">
        <f>"SR-3849"</f>
        <v>SR-3849</v>
      </c>
      <c r="H2886" s="2" t="s">
        <v>13746</v>
      </c>
      <c r="I2886" s="2" t="s">
        <v>13747</v>
      </c>
      <c r="K2886" s="2" t="s">
        <v>13748</v>
      </c>
      <c r="L2886" s="2" t="s">
        <v>2389</v>
      </c>
      <c r="M2886" s="2">
        <v>97034.0</v>
      </c>
      <c r="N2886" s="2" t="s">
        <v>21</v>
      </c>
    </row>
    <row r="2887" ht="15.75" customHeight="1">
      <c r="A2887" s="2">
        <v>2014.0</v>
      </c>
      <c r="B2887" s="2" t="s">
        <v>13749</v>
      </c>
      <c r="C2887" s="2" t="s">
        <v>13749</v>
      </c>
      <c r="D2887" s="2" t="str">
        <f>"785-505-7191"</f>
        <v>785-505-7191</v>
      </c>
      <c r="E2887" s="2" t="s">
        <v>13750</v>
      </c>
      <c r="F2887" s="2" t="s">
        <v>457</v>
      </c>
      <c r="G2887" s="2" t="str">
        <f>"SR-3386"</f>
        <v>SR-3386</v>
      </c>
      <c r="H2887" s="2" t="s">
        <v>13751</v>
      </c>
      <c r="I2887" s="2" t="s">
        <v>13752</v>
      </c>
      <c r="K2887" s="2" t="s">
        <v>13753</v>
      </c>
      <c r="L2887" s="2" t="s">
        <v>272</v>
      </c>
      <c r="M2887" s="2">
        <v>67530.0</v>
      </c>
      <c r="N2887" s="2" t="s">
        <v>21</v>
      </c>
    </row>
    <row r="2888" ht="15.75" customHeight="1">
      <c r="A2888" s="2">
        <v>2014.0</v>
      </c>
      <c r="B2888" s="2" t="s">
        <v>13754</v>
      </c>
      <c r="C2888" s="2" t="s">
        <v>13755</v>
      </c>
      <c r="D2888" s="2" t="str">
        <f>"703 231-8145"</f>
        <v>703 231-8145</v>
      </c>
      <c r="E2888" s="2" t="s">
        <v>13756</v>
      </c>
      <c r="F2888" s="2" t="s">
        <v>13757</v>
      </c>
      <c r="G2888" s="2" t="str">
        <f>"SR-3885"</f>
        <v>SR-3885</v>
      </c>
      <c r="H2888" s="2" t="s">
        <v>13758</v>
      </c>
      <c r="I2888" s="2" t="s">
        <v>13759</v>
      </c>
      <c r="K2888" s="2" t="s">
        <v>13760</v>
      </c>
      <c r="L2888" s="2" t="s">
        <v>165</v>
      </c>
      <c r="M2888" s="2">
        <v>20120.0</v>
      </c>
      <c r="N2888" s="2" t="s">
        <v>21</v>
      </c>
    </row>
    <row r="2889" ht="15.75" customHeight="1">
      <c r="A2889" s="2">
        <v>2014.0</v>
      </c>
      <c r="B2889" s="2" t="s">
        <v>13761</v>
      </c>
      <c r="C2889" s="2" t="s">
        <v>13761</v>
      </c>
      <c r="D2889" s="2" t="str">
        <f>"9704925979"</f>
        <v>9704925979</v>
      </c>
      <c r="E2889" s="2" t="s">
        <v>339</v>
      </c>
      <c r="F2889" s="2" t="s">
        <v>13762</v>
      </c>
      <c r="G2889" s="2" t="str">
        <f>"SR-3821"</f>
        <v>SR-3821</v>
      </c>
      <c r="H2889" s="2" t="s">
        <v>13763</v>
      </c>
      <c r="I2889" s="2" t="s">
        <v>13764</v>
      </c>
      <c r="K2889" s="2" t="s">
        <v>1048</v>
      </c>
      <c r="L2889" s="2" t="s">
        <v>157</v>
      </c>
      <c r="M2889" s="2">
        <v>80537.0</v>
      </c>
      <c r="N2889" s="2" t="s">
        <v>21</v>
      </c>
    </row>
    <row r="2890" ht="15.75" customHeight="1">
      <c r="A2890" s="2">
        <v>2014.0</v>
      </c>
      <c r="B2890" s="2" t="s">
        <v>13765</v>
      </c>
      <c r="C2890" s="2" t="s">
        <v>13766</v>
      </c>
      <c r="D2890" s="2" t="str">
        <f>"3207964048"</f>
        <v>3207964048</v>
      </c>
      <c r="E2890" s="2" t="s">
        <v>1529</v>
      </c>
      <c r="F2890" s="2" t="s">
        <v>13767</v>
      </c>
      <c r="G2890" s="2" t="str">
        <f>"SR-3014"</f>
        <v>SR-3014</v>
      </c>
      <c r="H2890" s="2" t="s">
        <v>13768</v>
      </c>
      <c r="I2890" s="2" t="s">
        <v>13769</v>
      </c>
      <c r="K2890" s="2" t="s">
        <v>9895</v>
      </c>
      <c r="L2890" s="2" t="s">
        <v>62</v>
      </c>
      <c r="M2890" s="2">
        <v>56288.0</v>
      </c>
      <c r="N2890" s="2" t="s">
        <v>21</v>
      </c>
    </row>
    <row r="2891" ht="15.75" customHeight="1">
      <c r="A2891" s="2">
        <v>2014.0</v>
      </c>
      <c r="B2891" s="2" t="s">
        <v>13770</v>
      </c>
      <c r="C2891" s="2" t="s">
        <v>13771</v>
      </c>
      <c r="D2891" s="2" t="str">
        <f>"423-365-9086"</f>
        <v>423-365-9086</v>
      </c>
      <c r="E2891" s="2" t="s">
        <v>705</v>
      </c>
      <c r="F2891" s="2" t="s">
        <v>10257</v>
      </c>
      <c r="G2891" s="2" t="str">
        <f>"SR-3931"</f>
        <v>SR-3931</v>
      </c>
      <c r="H2891" s="2" t="s">
        <v>13772</v>
      </c>
      <c r="I2891" s="2" t="s">
        <v>13773</v>
      </c>
      <c r="K2891" s="2" t="s">
        <v>13774</v>
      </c>
      <c r="L2891" s="2" t="s">
        <v>279</v>
      </c>
      <c r="M2891" s="2">
        <v>37337.0</v>
      </c>
      <c r="N2891" s="2" t="s">
        <v>21</v>
      </c>
    </row>
    <row r="2892" ht="15.75" customHeight="1">
      <c r="A2892" s="2">
        <v>2014.0</v>
      </c>
      <c r="B2892" s="2" t="s">
        <v>13775</v>
      </c>
      <c r="C2892" s="2" t="s">
        <v>13775</v>
      </c>
      <c r="D2892" s="2" t="str">
        <f>"(731) 613 - 0180"</f>
        <v>(731) 613 - 0180</v>
      </c>
      <c r="E2892" s="2" t="s">
        <v>301</v>
      </c>
      <c r="F2892" s="2" t="s">
        <v>13776</v>
      </c>
      <c r="G2892" s="2" t="str">
        <f>"SR-3262"</f>
        <v>SR-3262</v>
      </c>
      <c r="H2892" s="2" t="s">
        <v>13777</v>
      </c>
      <c r="I2892" s="2" t="s">
        <v>13778</v>
      </c>
      <c r="K2892" s="2" t="s">
        <v>13779</v>
      </c>
      <c r="L2892" s="2" t="s">
        <v>279</v>
      </c>
      <c r="M2892" s="2">
        <v>38358.0</v>
      </c>
      <c r="N2892" s="2" t="s">
        <v>21</v>
      </c>
    </row>
    <row r="2893" ht="15.75" customHeight="1">
      <c r="A2893" s="2">
        <v>2014.0</v>
      </c>
      <c r="B2893" s="2" t="s">
        <v>13780</v>
      </c>
      <c r="C2893" s="2" t="s">
        <v>13780</v>
      </c>
      <c r="D2893" s="2" t="str">
        <f>"9199068204"</f>
        <v>9199068204</v>
      </c>
      <c r="E2893" s="2" t="s">
        <v>2954</v>
      </c>
      <c r="F2893" s="2" t="s">
        <v>13781</v>
      </c>
      <c r="G2893" s="2" t="str">
        <f>"SR-3872"</f>
        <v>SR-3872</v>
      </c>
      <c r="H2893" s="2" t="s">
        <v>13782</v>
      </c>
      <c r="I2893" s="2" t="s">
        <v>13783</v>
      </c>
      <c r="K2893" s="2" t="s">
        <v>7993</v>
      </c>
      <c r="L2893" s="2" t="s">
        <v>20</v>
      </c>
      <c r="M2893" s="2">
        <v>27609.0</v>
      </c>
      <c r="N2893" s="2" t="s">
        <v>21</v>
      </c>
    </row>
    <row r="2894" ht="15.75" customHeight="1">
      <c r="A2894" s="2">
        <v>2014.0</v>
      </c>
      <c r="B2894" s="2" t="s">
        <v>13784</v>
      </c>
      <c r="C2894" s="2" t="s">
        <v>13784</v>
      </c>
      <c r="D2894" s="2" t="str">
        <f>"281-256-3067"</f>
        <v>281-256-3067</v>
      </c>
      <c r="E2894" s="2" t="s">
        <v>339</v>
      </c>
      <c r="F2894" s="2" t="s">
        <v>13785</v>
      </c>
      <c r="G2894" s="2" t="str">
        <f>"SR-3440"</f>
        <v>SR-3440</v>
      </c>
      <c r="H2894" s="2" t="s">
        <v>13786</v>
      </c>
      <c r="I2894" s="2" t="s">
        <v>13787</v>
      </c>
      <c r="K2894" s="2" t="s">
        <v>444</v>
      </c>
      <c r="L2894" s="2" t="s">
        <v>172</v>
      </c>
      <c r="M2894" s="2">
        <v>77095.0</v>
      </c>
      <c r="N2894" s="2" t="s">
        <v>21</v>
      </c>
    </row>
    <row r="2895" ht="15.75" customHeight="1">
      <c r="A2895" s="2">
        <v>2014.0</v>
      </c>
      <c r="B2895" s="2" t="s">
        <v>13788</v>
      </c>
      <c r="C2895" s="2" t="s">
        <v>13789</v>
      </c>
      <c r="D2895" s="2" t="str">
        <f>"9517048101"</f>
        <v>9517048101</v>
      </c>
      <c r="E2895" s="2" t="s">
        <v>417</v>
      </c>
      <c r="F2895" s="2" t="s">
        <v>13790</v>
      </c>
      <c r="G2895" s="2" t="str">
        <f>"SR-3873"</f>
        <v>SR-3873</v>
      </c>
      <c r="H2895" s="2" t="s">
        <v>13791</v>
      </c>
      <c r="I2895" s="2" t="s">
        <v>13792</v>
      </c>
      <c r="K2895" s="2" t="s">
        <v>13793</v>
      </c>
      <c r="L2895" s="2" t="s">
        <v>222</v>
      </c>
      <c r="M2895" s="2">
        <v>92562.0</v>
      </c>
      <c r="N2895" s="2" t="s">
        <v>21</v>
      </c>
    </row>
    <row r="2896" ht="15.75" customHeight="1">
      <c r="A2896" s="2">
        <v>2014.0</v>
      </c>
      <c r="B2896" s="2" t="s">
        <v>13794</v>
      </c>
      <c r="C2896" s="2" t="s">
        <v>13794</v>
      </c>
      <c r="D2896" s="2" t="str">
        <f>"817-999-6627"</f>
        <v>817-999-6627</v>
      </c>
      <c r="E2896" s="2" t="s">
        <v>137</v>
      </c>
      <c r="F2896" s="2" t="s">
        <v>13795</v>
      </c>
      <c r="G2896" s="2" t="str">
        <f>"SR-3909"</f>
        <v>SR-3909</v>
      </c>
      <c r="H2896" s="2" t="s">
        <v>13796</v>
      </c>
      <c r="I2896" s="2" t="s">
        <v>13797</v>
      </c>
      <c r="K2896" s="2" t="s">
        <v>5729</v>
      </c>
      <c r="L2896" s="2" t="s">
        <v>172</v>
      </c>
      <c r="M2896" s="2">
        <v>76087.0</v>
      </c>
      <c r="N2896" s="2" t="s">
        <v>21</v>
      </c>
    </row>
    <row r="2897" ht="15.75" customHeight="1">
      <c r="A2897" s="2">
        <v>2014.0</v>
      </c>
      <c r="B2897" s="2" t="s">
        <v>13798</v>
      </c>
      <c r="C2897" s="2" t="s">
        <v>13799</v>
      </c>
      <c r="D2897" s="2" t="str">
        <f>"404-433-1873"</f>
        <v>404-433-1873</v>
      </c>
      <c r="E2897" s="2" t="s">
        <v>10825</v>
      </c>
      <c r="F2897" s="2" t="s">
        <v>3651</v>
      </c>
      <c r="G2897" s="2" t="str">
        <f>"SR-3941"</f>
        <v>SR-3941</v>
      </c>
      <c r="H2897" s="2" t="s">
        <v>13800</v>
      </c>
      <c r="I2897" s="2" t="s">
        <v>13801</v>
      </c>
      <c r="K2897" s="2" t="s">
        <v>10683</v>
      </c>
      <c r="L2897" s="2" t="s">
        <v>200</v>
      </c>
      <c r="M2897" s="2">
        <v>30327.0</v>
      </c>
      <c r="N2897" s="2" t="s">
        <v>21</v>
      </c>
    </row>
    <row r="2898" ht="15.75" customHeight="1">
      <c r="A2898" s="2">
        <v>2014.0</v>
      </c>
      <c r="B2898" s="2" t="s">
        <v>3041</v>
      </c>
      <c r="C2898" s="2" t="s">
        <v>3042</v>
      </c>
      <c r="D2898" s="2" t="str">
        <f>"817-763-9181"</f>
        <v>817-763-9181</v>
      </c>
      <c r="E2898" s="2" t="s">
        <v>339</v>
      </c>
      <c r="F2898" s="2" t="s">
        <v>3043</v>
      </c>
      <c r="G2898" s="2" t="str">
        <f>"SR-969"</f>
        <v>SR-969</v>
      </c>
      <c r="H2898" s="2" t="s">
        <v>3044</v>
      </c>
      <c r="I2898" s="2" t="s">
        <v>3045</v>
      </c>
      <c r="K2898" s="2" t="s">
        <v>1260</v>
      </c>
      <c r="L2898" s="2" t="s">
        <v>172</v>
      </c>
      <c r="M2898" s="2">
        <v>76116.0</v>
      </c>
      <c r="N2898" s="2" t="s">
        <v>21</v>
      </c>
    </row>
    <row r="2899" ht="15.75" customHeight="1">
      <c r="A2899" s="2">
        <v>2014.0</v>
      </c>
      <c r="B2899" s="2" t="s">
        <v>13802</v>
      </c>
      <c r="C2899" s="2" t="s">
        <v>13802</v>
      </c>
      <c r="D2899" s="2" t="str">
        <f>"(480)299-1928"</f>
        <v>(480)299-1928</v>
      </c>
      <c r="E2899" s="2" t="s">
        <v>718</v>
      </c>
      <c r="F2899" s="2" t="s">
        <v>13803</v>
      </c>
      <c r="G2899" s="2" t="str">
        <f>"SR-3943"</f>
        <v>SR-3943</v>
      </c>
      <c r="H2899" s="2" t="s">
        <v>13804</v>
      </c>
      <c r="I2899" s="2" t="s">
        <v>13805</v>
      </c>
      <c r="K2899" s="2" t="s">
        <v>9191</v>
      </c>
      <c r="L2899" s="2" t="s">
        <v>422</v>
      </c>
      <c r="M2899" s="2">
        <v>85142.0</v>
      </c>
      <c r="N2899" s="2" t="s">
        <v>21</v>
      </c>
    </row>
    <row r="2900" ht="15.75" customHeight="1">
      <c r="A2900" s="2">
        <v>2014.0</v>
      </c>
      <c r="B2900" s="2" t="s">
        <v>13806</v>
      </c>
      <c r="C2900" s="2" t="s">
        <v>13806</v>
      </c>
      <c r="D2900" s="2" t="str">
        <f>"(805)801-7133"</f>
        <v>(805)801-7133</v>
      </c>
      <c r="E2900" s="2" t="s">
        <v>2598</v>
      </c>
      <c r="F2900" s="2" t="s">
        <v>13807</v>
      </c>
      <c r="G2900" s="2" t="str">
        <f>"SR-3942"</f>
        <v>SR-3942</v>
      </c>
      <c r="H2900" s="2" t="s">
        <v>13808</v>
      </c>
      <c r="I2900" s="2" t="s">
        <v>13809</v>
      </c>
      <c r="K2900" s="2" t="s">
        <v>13810</v>
      </c>
      <c r="L2900" s="2" t="s">
        <v>222</v>
      </c>
      <c r="M2900" s="2">
        <v>93401.0</v>
      </c>
      <c r="N2900" s="2" t="s">
        <v>21</v>
      </c>
    </row>
    <row r="2901" ht="15.75" customHeight="1">
      <c r="A2901" s="2">
        <v>2014.0</v>
      </c>
      <c r="B2901" s="2" t="s">
        <v>13811</v>
      </c>
      <c r="C2901" s="2" t="s">
        <v>13811</v>
      </c>
      <c r="D2901" s="2" t="str">
        <f>"6826672252"</f>
        <v>6826672252</v>
      </c>
      <c r="E2901" s="2" t="s">
        <v>585</v>
      </c>
      <c r="F2901" s="2" t="s">
        <v>13812</v>
      </c>
      <c r="G2901" s="2" t="str">
        <f>"SR-3780"</f>
        <v>SR-3780</v>
      </c>
      <c r="H2901" s="2" t="s">
        <v>13813</v>
      </c>
      <c r="I2901" s="2" t="s">
        <v>13814</v>
      </c>
      <c r="K2901" s="2" t="s">
        <v>7933</v>
      </c>
      <c r="L2901" s="2" t="s">
        <v>172</v>
      </c>
      <c r="M2901" s="2">
        <v>76182.0</v>
      </c>
      <c r="N2901" s="2" t="s">
        <v>21</v>
      </c>
    </row>
    <row r="2902" ht="15.75" customHeight="1">
      <c r="A2902" s="2">
        <v>2014.0</v>
      </c>
      <c r="B2902" s="2" t="s">
        <v>13815</v>
      </c>
      <c r="C2902" s="2" t="s">
        <v>13816</v>
      </c>
      <c r="D2902" s="2" t="str">
        <f>"270 339 0486"</f>
        <v>270 339 0486</v>
      </c>
      <c r="E2902" s="2" t="s">
        <v>13817</v>
      </c>
      <c r="F2902" s="2" t="s">
        <v>13818</v>
      </c>
      <c r="G2902" s="2" t="str">
        <f>"SR-3945"</f>
        <v>SR-3945</v>
      </c>
      <c r="H2902" s="2" t="s">
        <v>13819</v>
      </c>
      <c r="I2902" s="2" t="s">
        <v>13820</v>
      </c>
      <c r="K2902" s="2" t="s">
        <v>13821</v>
      </c>
      <c r="L2902" s="2" t="s">
        <v>214</v>
      </c>
      <c r="M2902" s="2">
        <v>63068.0</v>
      </c>
      <c r="N2902" s="2" t="s">
        <v>21</v>
      </c>
    </row>
    <row r="2903" ht="15.75" customHeight="1">
      <c r="A2903" s="2">
        <v>2014.0</v>
      </c>
      <c r="B2903" s="2" t="s">
        <v>13822</v>
      </c>
      <c r="C2903" s="2" t="s">
        <v>13823</v>
      </c>
      <c r="D2903" s="2" t="str">
        <f>"785-539-4709"</f>
        <v>785-539-4709</v>
      </c>
      <c r="E2903" s="2" t="s">
        <v>6294</v>
      </c>
      <c r="F2903" s="2" t="s">
        <v>13824</v>
      </c>
      <c r="G2903" s="2" t="str">
        <f>"SR-3947"</f>
        <v>SR-3947</v>
      </c>
      <c r="H2903" s="2" t="s">
        <v>13825</v>
      </c>
      <c r="I2903" s="2" t="s">
        <v>13826</v>
      </c>
      <c r="K2903" s="2" t="s">
        <v>1807</v>
      </c>
      <c r="L2903" s="2" t="s">
        <v>272</v>
      </c>
      <c r="M2903" s="2">
        <v>66503.0</v>
      </c>
      <c r="N2903" s="2" t="s">
        <v>21</v>
      </c>
    </row>
    <row r="2904" ht="15.75" customHeight="1">
      <c r="A2904" s="2">
        <v>2014.0</v>
      </c>
      <c r="B2904" s="2" t="s">
        <v>13827</v>
      </c>
      <c r="C2904" s="2" t="s">
        <v>13827</v>
      </c>
      <c r="D2904" s="2" t="str">
        <f>"202212480"</f>
        <v>202212480</v>
      </c>
      <c r="E2904" s="2" t="s">
        <v>5456</v>
      </c>
      <c r="F2904" s="2" t="s">
        <v>13828</v>
      </c>
      <c r="G2904" s="2" t="str">
        <f>"SR-2672"</f>
        <v>SR-2672</v>
      </c>
      <c r="H2904" s="2" t="s">
        <v>13829</v>
      </c>
      <c r="I2904" s="2" t="s">
        <v>13830</v>
      </c>
      <c r="K2904" s="2" t="s">
        <v>3530</v>
      </c>
      <c r="L2904" s="2" t="s">
        <v>272</v>
      </c>
      <c r="M2904" s="2">
        <v>67156.0</v>
      </c>
      <c r="N2904" s="2" t="s">
        <v>21</v>
      </c>
    </row>
    <row r="2905" ht="15.75" customHeight="1">
      <c r="A2905" s="2">
        <v>2014.0</v>
      </c>
      <c r="B2905" s="2" t="s">
        <v>4541</v>
      </c>
      <c r="C2905" s="2" t="s">
        <v>4542</v>
      </c>
      <c r="D2905" s="2" t="str">
        <f>"(320)-679-1443"</f>
        <v>(320)-679-1443</v>
      </c>
      <c r="E2905" s="2" t="s">
        <v>2259</v>
      </c>
      <c r="F2905" s="2" t="s">
        <v>984</v>
      </c>
      <c r="G2905" s="2" t="str">
        <f>"SR-935"</f>
        <v>SR-935</v>
      </c>
      <c r="H2905" s="2" t="s">
        <v>4543</v>
      </c>
      <c r="I2905" s="2" t="s">
        <v>4544</v>
      </c>
      <c r="K2905" s="2" t="s">
        <v>4545</v>
      </c>
      <c r="L2905" s="2" t="s">
        <v>62</v>
      </c>
      <c r="M2905" s="2">
        <v>55007.0</v>
      </c>
      <c r="N2905" s="2" t="s">
        <v>21</v>
      </c>
    </row>
    <row r="2906" ht="15.75" customHeight="1">
      <c r="A2906" s="2">
        <v>2014.0</v>
      </c>
      <c r="B2906" s="2" t="s">
        <v>2153</v>
      </c>
      <c r="C2906" s="2" t="s">
        <v>2153</v>
      </c>
      <c r="D2906" s="2" t="str">
        <f>"719-433-9896"</f>
        <v>719-433-9896</v>
      </c>
      <c r="E2906" s="2" t="s">
        <v>1263</v>
      </c>
      <c r="F2906" s="2" t="s">
        <v>2154</v>
      </c>
      <c r="G2906" s="2" t="str">
        <f>"SR-673"</f>
        <v>SR-673</v>
      </c>
      <c r="H2906" s="2" t="s">
        <v>2155</v>
      </c>
      <c r="I2906" s="2" t="s">
        <v>2156</v>
      </c>
      <c r="K2906" s="2" t="s">
        <v>809</v>
      </c>
      <c r="L2906" s="2" t="s">
        <v>157</v>
      </c>
      <c r="M2906" s="2">
        <v>80920.0</v>
      </c>
      <c r="N2906" s="2" t="s">
        <v>21</v>
      </c>
    </row>
    <row r="2907" ht="15.75" customHeight="1">
      <c r="A2907" s="2">
        <v>2014.0</v>
      </c>
      <c r="B2907" s="2" t="s">
        <v>13831</v>
      </c>
      <c r="C2907" s="2" t="s">
        <v>13832</v>
      </c>
      <c r="D2907" s="2" t="str">
        <f t="shared" ref="D2907:D2908" si="45">"780-482-4106"</f>
        <v>780-482-4106</v>
      </c>
      <c r="E2907" s="2" t="s">
        <v>13386</v>
      </c>
      <c r="F2907" s="2" t="s">
        <v>13833</v>
      </c>
      <c r="G2907" s="2" t="str">
        <f>"SR-3948"</f>
        <v>SR-3948</v>
      </c>
      <c r="H2907" s="2" t="s">
        <v>13834</v>
      </c>
      <c r="I2907" s="2" t="s">
        <v>13835</v>
      </c>
      <c r="K2907" s="2" t="s">
        <v>13836</v>
      </c>
      <c r="L2907" s="2" t="s">
        <v>2397</v>
      </c>
      <c r="M2907" s="2" t="s">
        <v>13837</v>
      </c>
      <c r="N2907" s="2" t="s">
        <v>1602</v>
      </c>
    </row>
    <row r="2908" ht="15.75" customHeight="1">
      <c r="A2908" s="2">
        <v>2014.0</v>
      </c>
      <c r="B2908" s="2" t="s">
        <v>13831</v>
      </c>
      <c r="C2908" s="2" t="s">
        <v>13831</v>
      </c>
      <c r="D2908" s="2" t="str">
        <f t="shared" si="45"/>
        <v>780-482-4106</v>
      </c>
      <c r="E2908" s="2" t="s">
        <v>13838</v>
      </c>
      <c r="F2908" s="2" t="s">
        <v>13833</v>
      </c>
      <c r="G2908" s="2" t="str">
        <f>"SR-3946"</f>
        <v>SR-3946</v>
      </c>
      <c r="H2908" s="2" t="s">
        <v>13839</v>
      </c>
      <c r="I2908" s="2" t="s">
        <v>13835</v>
      </c>
      <c r="K2908" s="2" t="s">
        <v>13836</v>
      </c>
      <c r="L2908" s="2" t="s">
        <v>2397</v>
      </c>
      <c r="M2908" s="2" t="s">
        <v>13837</v>
      </c>
      <c r="N2908" s="2" t="s">
        <v>1602</v>
      </c>
    </row>
    <row r="2909" ht="15.75" customHeight="1">
      <c r="A2909" s="2">
        <v>2014.0</v>
      </c>
      <c r="B2909" s="2" t="s">
        <v>13840</v>
      </c>
      <c r="C2909" s="2" t="s">
        <v>13841</v>
      </c>
      <c r="D2909" s="2" t="str">
        <f>"404-732-7253"</f>
        <v>404-732-7253</v>
      </c>
      <c r="E2909" s="2" t="s">
        <v>13842</v>
      </c>
      <c r="F2909" s="2" t="s">
        <v>13843</v>
      </c>
      <c r="G2909" s="2" t="str">
        <f>"SR-3954"</f>
        <v>SR-3954</v>
      </c>
      <c r="H2909" s="2" t="s">
        <v>13844</v>
      </c>
      <c r="I2909" s="2" t="s">
        <v>13845</v>
      </c>
      <c r="K2909" s="2" t="s">
        <v>13846</v>
      </c>
      <c r="L2909" s="2" t="s">
        <v>200</v>
      </c>
      <c r="M2909" s="2">
        <v>30701.0</v>
      </c>
      <c r="N2909" s="2" t="s">
        <v>21</v>
      </c>
    </row>
    <row r="2910" ht="15.75" customHeight="1">
      <c r="A2910" s="2">
        <v>2014.0</v>
      </c>
      <c r="B2910" s="2" t="s">
        <v>13847</v>
      </c>
      <c r="C2910" s="2" t="s">
        <v>13848</v>
      </c>
      <c r="D2910" s="2" t="str">
        <f>"931-607-1490"</f>
        <v>931-607-1490</v>
      </c>
      <c r="E2910" s="2" t="s">
        <v>339</v>
      </c>
      <c r="F2910" s="2" t="s">
        <v>128</v>
      </c>
      <c r="G2910" s="2" t="str">
        <f>"SR-3951"</f>
        <v>SR-3951</v>
      </c>
      <c r="H2910" s="2" t="s">
        <v>13849</v>
      </c>
      <c r="I2910" s="2" t="s">
        <v>13850</v>
      </c>
      <c r="K2910" s="2" t="s">
        <v>13851</v>
      </c>
      <c r="L2910" s="2" t="s">
        <v>279</v>
      </c>
      <c r="M2910" s="2">
        <v>37183.0</v>
      </c>
      <c r="N2910" s="2" t="s">
        <v>21</v>
      </c>
    </row>
    <row r="2911" ht="15.75" customHeight="1">
      <c r="A2911" s="2">
        <v>2014.0</v>
      </c>
      <c r="B2911" s="2" t="s">
        <v>13852</v>
      </c>
      <c r="C2911" s="2" t="s">
        <v>13852</v>
      </c>
      <c r="D2911" s="2" t="str">
        <f>"661-858-9286"</f>
        <v>661-858-9286</v>
      </c>
      <c r="E2911" s="2" t="s">
        <v>225</v>
      </c>
      <c r="F2911" s="2" t="s">
        <v>13853</v>
      </c>
      <c r="G2911" s="2" t="str">
        <f>"SR-3460"</f>
        <v>SR-3460</v>
      </c>
      <c r="H2911" s="2" t="s">
        <v>13854</v>
      </c>
      <c r="I2911" s="2" t="s">
        <v>13855</v>
      </c>
      <c r="K2911" s="2" t="s">
        <v>11198</v>
      </c>
      <c r="L2911" s="2" t="s">
        <v>222</v>
      </c>
      <c r="M2911" s="2">
        <v>93311.0</v>
      </c>
      <c r="N2911" s="2" t="s">
        <v>21</v>
      </c>
    </row>
    <row r="2912" ht="15.75" customHeight="1">
      <c r="A2912" s="2">
        <v>2014.0</v>
      </c>
      <c r="B2912" s="2" t="s">
        <v>13856</v>
      </c>
      <c r="C2912" s="2" t="s">
        <v>13856</v>
      </c>
      <c r="D2912" s="2" t="str">
        <f>"616-748-9638"</f>
        <v>616-748-9638</v>
      </c>
      <c r="E2912" s="2" t="s">
        <v>160</v>
      </c>
      <c r="F2912" s="2" t="s">
        <v>1054</v>
      </c>
      <c r="G2912" s="2" t="str">
        <f>"SR-3955"</f>
        <v>SR-3955</v>
      </c>
      <c r="H2912" s="2" t="s">
        <v>13857</v>
      </c>
      <c r="I2912" s="2" t="s">
        <v>13858</v>
      </c>
      <c r="K2912" s="2" t="s">
        <v>4869</v>
      </c>
      <c r="L2912" s="2" t="s">
        <v>29</v>
      </c>
      <c r="M2912" s="2">
        <v>49464.0</v>
      </c>
      <c r="N2912" s="2" t="s">
        <v>21</v>
      </c>
    </row>
    <row r="2913" ht="15.75" customHeight="1">
      <c r="A2913" s="2">
        <v>2014.0</v>
      </c>
      <c r="B2913" s="2" t="s">
        <v>13859</v>
      </c>
      <c r="C2913" s="2" t="s">
        <v>13860</v>
      </c>
      <c r="D2913" s="2" t="str">
        <f>"812-683-3671"</f>
        <v>812-683-3671</v>
      </c>
      <c r="E2913" s="2" t="s">
        <v>13861</v>
      </c>
      <c r="F2913" s="2" t="s">
        <v>13862</v>
      </c>
      <c r="G2913" s="2" t="str">
        <f>"SR-3944"</f>
        <v>SR-3944</v>
      </c>
      <c r="H2913" s="2" t="s">
        <v>13863</v>
      </c>
      <c r="I2913" s="2" t="s">
        <v>13864</v>
      </c>
      <c r="K2913" s="2" t="s">
        <v>13865</v>
      </c>
      <c r="L2913" s="2" t="s">
        <v>149</v>
      </c>
      <c r="M2913" s="2">
        <v>47542.0</v>
      </c>
      <c r="N2913" s="2" t="s">
        <v>21</v>
      </c>
    </row>
    <row r="2914" ht="15.75" customHeight="1">
      <c r="A2914" s="2">
        <v>2014.0</v>
      </c>
      <c r="B2914" s="2" t="s">
        <v>13866</v>
      </c>
      <c r="C2914" s="2" t="s">
        <v>13866</v>
      </c>
      <c r="D2914" s="2" t="str">
        <f>"9706407063"</f>
        <v>9706407063</v>
      </c>
      <c r="E2914" s="2" t="s">
        <v>13867</v>
      </c>
      <c r="F2914" s="2" t="s">
        <v>8565</v>
      </c>
      <c r="G2914" s="2" t="str">
        <f>"SR-3952"</f>
        <v>SR-3952</v>
      </c>
      <c r="H2914" s="2" t="s">
        <v>13868</v>
      </c>
      <c r="I2914" s="2" t="s">
        <v>13869</v>
      </c>
      <c r="K2914" s="2" t="s">
        <v>11440</v>
      </c>
      <c r="L2914" s="2" t="s">
        <v>157</v>
      </c>
      <c r="M2914" s="2">
        <v>81505.0</v>
      </c>
      <c r="N2914" s="2" t="s">
        <v>21</v>
      </c>
    </row>
    <row r="2915" ht="15.75" customHeight="1">
      <c r="A2915" s="2">
        <v>2014.0</v>
      </c>
      <c r="B2915" s="2" t="s">
        <v>13870</v>
      </c>
      <c r="C2915" s="2" t="s">
        <v>13871</v>
      </c>
      <c r="D2915" s="2" t="str">
        <f>"903-574-2004"</f>
        <v>903-574-2004</v>
      </c>
      <c r="E2915" s="2" t="s">
        <v>678</v>
      </c>
      <c r="F2915" s="2" t="s">
        <v>13872</v>
      </c>
      <c r="G2915" s="2" t="str">
        <f>"SR-3782"</f>
        <v>SR-3782</v>
      </c>
      <c r="H2915" s="2" t="s">
        <v>13873</v>
      </c>
      <c r="I2915" s="2" t="s">
        <v>13874</v>
      </c>
      <c r="K2915" s="2" t="s">
        <v>465</v>
      </c>
      <c r="L2915" s="2" t="s">
        <v>172</v>
      </c>
      <c r="M2915" s="2">
        <v>75704.0</v>
      </c>
      <c r="N2915" s="2" t="s">
        <v>21</v>
      </c>
    </row>
    <row r="2916" ht="15.75" customHeight="1">
      <c r="A2916" s="2">
        <v>2014.0</v>
      </c>
      <c r="B2916" s="2" t="s">
        <v>13875</v>
      </c>
      <c r="C2916" s="2" t="s">
        <v>13876</v>
      </c>
      <c r="D2916" s="2" t="str">
        <f>"602-550-2045"</f>
        <v>602-550-2045</v>
      </c>
      <c r="E2916" s="2" t="s">
        <v>373</v>
      </c>
      <c r="F2916" s="2" t="s">
        <v>13877</v>
      </c>
      <c r="G2916" s="2" t="str">
        <f>"SR-3717"</f>
        <v>SR-3717</v>
      </c>
      <c r="H2916" s="2" t="s">
        <v>13878</v>
      </c>
      <c r="I2916" s="2" t="s">
        <v>13879</v>
      </c>
      <c r="K2916" s="2" t="s">
        <v>1133</v>
      </c>
      <c r="L2916" s="2" t="s">
        <v>422</v>
      </c>
      <c r="M2916" s="2">
        <v>85308.0</v>
      </c>
      <c r="N2916" s="2" t="s">
        <v>21</v>
      </c>
    </row>
    <row r="2917" ht="15.75" customHeight="1">
      <c r="A2917" s="2">
        <v>2014.0</v>
      </c>
      <c r="B2917" s="2" t="s">
        <v>2294</v>
      </c>
      <c r="C2917" s="2" t="s">
        <v>2295</v>
      </c>
      <c r="D2917" s="2" t="str">
        <f>"817 832 0392"</f>
        <v>817 832 0392</v>
      </c>
      <c r="E2917" s="2" t="s">
        <v>2296</v>
      </c>
      <c r="F2917" s="2" t="s">
        <v>2297</v>
      </c>
      <c r="G2917" s="2" t="str">
        <f>"SR-733"</f>
        <v>SR-733</v>
      </c>
      <c r="H2917" s="2" t="s">
        <v>2298</v>
      </c>
      <c r="I2917" s="2" t="s">
        <v>2299</v>
      </c>
      <c r="K2917" s="2" t="s">
        <v>1260</v>
      </c>
      <c r="L2917" s="2" t="s">
        <v>172</v>
      </c>
      <c r="M2917" s="2">
        <v>76110.0</v>
      </c>
      <c r="N2917" s="2" t="s">
        <v>21</v>
      </c>
    </row>
    <row r="2918" ht="15.75" customHeight="1">
      <c r="A2918" s="2">
        <v>2014.0</v>
      </c>
      <c r="B2918" s="2" t="s">
        <v>13880</v>
      </c>
      <c r="C2918" s="2" t="s">
        <v>13881</v>
      </c>
      <c r="D2918" s="2" t="str">
        <f>"970-590-7282"</f>
        <v>970-590-7282</v>
      </c>
      <c r="E2918" s="2" t="s">
        <v>386</v>
      </c>
      <c r="F2918" s="2" t="s">
        <v>2936</v>
      </c>
      <c r="G2918" s="2" t="str">
        <f>"SR-3841"</f>
        <v>SR-3841</v>
      </c>
      <c r="H2918" s="2" t="s">
        <v>13882</v>
      </c>
      <c r="I2918" s="2" t="s">
        <v>13883</v>
      </c>
      <c r="K2918" s="2" t="s">
        <v>13884</v>
      </c>
      <c r="L2918" s="2" t="s">
        <v>157</v>
      </c>
      <c r="M2918" s="2">
        <v>80543.0</v>
      </c>
      <c r="N2918" s="2" t="s">
        <v>21</v>
      </c>
    </row>
    <row r="2919" ht="15.75" customHeight="1">
      <c r="A2919" s="2">
        <v>2014.0</v>
      </c>
      <c r="B2919" s="2" t="s">
        <v>13885</v>
      </c>
      <c r="C2919" s="2" t="s">
        <v>13886</v>
      </c>
      <c r="D2919" s="2" t="str">
        <f>"(909) 913-4117"</f>
        <v>(909) 913-4117</v>
      </c>
      <c r="E2919" s="2" t="s">
        <v>261</v>
      </c>
      <c r="F2919" s="2" t="s">
        <v>962</v>
      </c>
      <c r="G2919" s="2" t="str">
        <f>"SR-3965"</f>
        <v>SR-3965</v>
      </c>
      <c r="H2919" s="2" t="s">
        <v>13887</v>
      </c>
      <c r="I2919" s="2" t="s">
        <v>13888</v>
      </c>
      <c r="K2919" s="2" t="s">
        <v>13889</v>
      </c>
      <c r="L2919" s="2" t="s">
        <v>222</v>
      </c>
      <c r="M2919" s="2">
        <v>92373.0</v>
      </c>
      <c r="N2919" s="2" t="s">
        <v>21</v>
      </c>
    </row>
    <row r="2920" ht="15.75" customHeight="1">
      <c r="A2920" s="2">
        <v>2014.0</v>
      </c>
      <c r="B2920" s="2" t="s">
        <v>13885</v>
      </c>
      <c r="C2920" s="2" t="s">
        <v>13890</v>
      </c>
      <c r="D2920" s="2" t="str">
        <f>"(909) 446-8177"</f>
        <v>(909) 446-8177</v>
      </c>
      <c r="E2920" s="2" t="s">
        <v>580</v>
      </c>
      <c r="F2920" s="2" t="s">
        <v>962</v>
      </c>
      <c r="G2920" s="2" t="str">
        <f>"SR-3972"</f>
        <v>SR-3972</v>
      </c>
      <c r="H2920" s="2" t="s">
        <v>13891</v>
      </c>
      <c r="I2920" s="2" t="s">
        <v>13888</v>
      </c>
      <c r="K2920" s="2" t="s">
        <v>13889</v>
      </c>
      <c r="L2920" s="2" t="s">
        <v>222</v>
      </c>
      <c r="M2920" s="2">
        <v>92373.0</v>
      </c>
      <c r="N2920" s="2" t="s">
        <v>21</v>
      </c>
    </row>
    <row r="2921" ht="15.75" customHeight="1">
      <c r="A2921" s="2">
        <v>2014.0</v>
      </c>
      <c r="B2921" s="2" t="s">
        <v>13892</v>
      </c>
      <c r="C2921" s="2" t="s">
        <v>13892</v>
      </c>
      <c r="D2921" s="2" t="str">
        <f>"813-968-9672"</f>
        <v>813-968-9672</v>
      </c>
      <c r="E2921" s="2" t="s">
        <v>1664</v>
      </c>
      <c r="F2921" s="2" t="s">
        <v>3428</v>
      </c>
      <c r="G2921" s="2" t="str">
        <f>"SR-3971"</f>
        <v>SR-3971</v>
      </c>
      <c r="H2921" s="2" t="s">
        <v>3429</v>
      </c>
      <c r="I2921" s="2" t="s">
        <v>13893</v>
      </c>
      <c r="K2921" s="2" t="s">
        <v>3431</v>
      </c>
      <c r="L2921" s="2" t="s">
        <v>208</v>
      </c>
      <c r="M2921" s="2">
        <v>33618.0</v>
      </c>
      <c r="N2921" s="2" t="s">
        <v>21</v>
      </c>
    </row>
    <row r="2922" ht="15.75" customHeight="1">
      <c r="A2922" s="2">
        <v>2014.0</v>
      </c>
      <c r="B2922" s="2" t="s">
        <v>13894</v>
      </c>
      <c r="C2922" s="2" t="s">
        <v>13895</v>
      </c>
      <c r="D2922" s="2" t="str">
        <f>"305-331-2286"</f>
        <v>305-331-2286</v>
      </c>
      <c r="E2922" s="2" t="s">
        <v>13896</v>
      </c>
      <c r="F2922" s="2" t="s">
        <v>13897</v>
      </c>
      <c r="G2922" s="2" t="str">
        <f>"SR-3957"</f>
        <v>SR-3957</v>
      </c>
      <c r="H2922" s="2" t="s">
        <v>13898</v>
      </c>
      <c r="I2922" s="2" t="s">
        <v>13899</v>
      </c>
      <c r="K2922" s="2" t="s">
        <v>2211</v>
      </c>
      <c r="L2922" s="2" t="s">
        <v>208</v>
      </c>
      <c r="M2922" s="2">
        <v>33186.0</v>
      </c>
      <c r="N2922" s="2" t="s">
        <v>21</v>
      </c>
    </row>
    <row r="2923" ht="15.75" customHeight="1">
      <c r="A2923" s="2">
        <v>2014.0</v>
      </c>
      <c r="B2923" s="2" t="s">
        <v>13900</v>
      </c>
      <c r="C2923" s="2" t="s">
        <v>13900</v>
      </c>
      <c r="D2923" s="2" t="str">
        <f>"4024173998"</f>
        <v>4024173998</v>
      </c>
      <c r="E2923" s="2" t="s">
        <v>1713</v>
      </c>
      <c r="F2923" s="2" t="s">
        <v>13901</v>
      </c>
      <c r="G2923" s="2" t="str">
        <f>"SR-3774"</f>
        <v>SR-3774</v>
      </c>
      <c r="H2923" s="2" t="s">
        <v>13902</v>
      </c>
      <c r="I2923" s="2" t="s">
        <v>13903</v>
      </c>
      <c r="K2923" s="2" t="s">
        <v>572</v>
      </c>
      <c r="L2923" s="2" t="s">
        <v>757</v>
      </c>
      <c r="M2923" s="2">
        <v>68521.0</v>
      </c>
      <c r="N2923" s="2" t="s">
        <v>21</v>
      </c>
    </row>
    <row r="2924" ht="15.75" customHeight="1">
      <c r="A2924" s="2">
        <v>2014.0</v>
      </c>
      <c r="B2924" s="2" t="s">
        <v>13904</v>
      </c>
      <c r="C2924" s="2" t="s">
        <v>13905</v>
      </c>
      <c r="D2924" s="2" t="str">
        <f>"7192295220"</f>
        <v>7192295220</v>
      </c>
      <c r="E2924" s="2" t="s">
        <v>1257</v>
      </c>
      <c r="F2924" s="2" t="s">
        <v>10622</v>
      </c>
      <c r="G2924" s="2" t="str">
        <f>"SR-3314"</f>
        <v>SR-3314</v>
      </c>
      <c r="H2924" s="2" t="s">
        <v>13906</v>
      </c>
      <c r="I2924" s="2" t="s">
        <v>13907</v>
      </c>
      <c r="K2924" s="2" t="s">
        <v>507</v>
      </c>
      <c r="L2924" s="2" t="s">
        <v>157</v>
      </c>
      <c r="M2924" s="2">
        <v>80132.0</v>
      </c>
      <c r="N2924" s="2" t="s">
        <v>21</v>
      </c>
    </row>
    <row r="2925" ht="15.75" customHeight="1">
      <c r="A2925" s="2">
        <v>2014.0</v>
      </c>
      <c r="B2925" s="2" t="s">
        <v>13908</v>
      </c>
      <c r="C2925" s="2" t="s">
        <v>13909</v>
      </c>
      <c r="D2925" s="2" t="str">
        <f>"9132380989"</f>
        <v>9132380989</v>
      </c>
      <c r="E2925" s="2" t="s">
        <v>651</v>
      </c>
      <c r="F2925" s="2" t="s">
        <v>13910</v>
      </c>
      <c r="G2925" s="2" t="str">
        <f>"SR-3404"</f>
        <v>SR-3404</v>
      </c>
      <c r="H2925" s="2" t="s">
        <v>13911</v>
      </c>
      <c r="I2925" s="2" t="s">
        <v>13912</v>
      </c>
      <c r="K2925" s="2" t="s">
        <v>1067</v>
      </c>
      <c r="L2925" s="2" t="s">
        <v>272</v>
      </c>
      <c r="M2925" s="2">
        <v>66062.0</v>
      </c>
      <c r="N2925" s="2" t="s">
        <v>21</v>
      </c>
    </row>
    <row r="2926" ht="15.75" customHeight="1">
      <c r="A2926" s="2">
        <v>2014.0</v>
      </c>
      <c r="B2926" s="2" t="s">
        <v>13913</v>
      </c>
      <c r="C2926" s="2" t="s">
        <v>13913</v>
      </c>
      <c r="D2926" s="2" t="str">
        <f>"719-246-4692"</f>
        <v>719-246-4692</v>
      </c>
      <c r="E2926" s="2" t="s">
        <v>13914</v>
      </c>
      <c r="F2926" s="2" t="s">
        <v>13915</v>
      </c>
      <c r="G2926" s="2" t="str">
        <f>"SR-3304"</f>
        <v>SR-3304</v>
      </c>
      <c r="H2926" s="2" t="s">
        <v>13916</v>
      </c>
      <c r="I2926" s="2" t="s">
        <v>13917</v>
      </c>
      <c r="K2926" s="2" t="s">
        <v>507</v>
      </c>
      <c r="L2926" s="2" t="s">
        <v>157</v>
      </c>
      <c r="M2926" s="2">
        <v>80132.0</v>
      </c>
      <c r="N2926" s="2" t="s">
        <v>21</v>
      </c>
    </row>
    <row r="2927" ht="15.75" customHeight="1">
      <c r="A2927" s="2">
        <v>2014.0</v>
      </c>
      <c r="B2927" s="2" t="s">
        <v>13918</v>
      </c>
      <c r="C2927" s="2" t="s">
        <v>13919</v>
      </c>
      <c r="D2927" s="2" t="str">
        <f>"8056494003"</f>
        <v>8056494003</v>
      </c>
      <c r="E2927" s="2" t="s">
        <v>282</v>
      </c>
      <c r="F2927" s="2" t="s">
        <v>13920</v>
      </c>
      <c r="G2927" s="2" t="str">
        <f>"SR-3983"</f>
        <v>SR-3983</v>
      </c>
      <c r="H2927" s="2" t="s">
        <v>13921</v>
      </c>
      <c r="I2927" s="2" t="s">
        <v>13922</v>
      </c>
      <c r="K2927" s="2" t="s">
        <v>13923</v>
      </c>
      <c r="L2927" s="2" t="s">
        <v>222</v>
      </c>
      <c r="M2927" s="2">
        <v>93022.0</v>
      </c>
      <c r="N2927" s="2" t="s">
        <v>21</v>
      </c>
    </row>
    <row r="2928" ht="15.75" customHeight="1">
      <c r="A2928" s="2">
        <v>2014.0</v>
      </c>
      <c r="B2928" s="2" t="s">
        <v>13924</v>
      </c>
      <c r="C2928" s="2" t="s">
        <v>13925</v>
      </c>
      <c r="D2928" s="2" t="str">
        <f>"719-201-6249"</f>
        <v>719-201-6249</v>
      </c>
      <c r="E2928" s="2" t="s">
        <v>417</v>
      </c>
      <c r="F2928" s="2" t="s">
        <v>13926</v>
      </c>
      <c r="G2928" s="2" t="str">
        <f>"SR-3309"</f>
        <v>SR-3309</v>
      </c>
      <c r="H2928" s="2" t="s">
        <v>13927</v>
      </c>
      <c r="I2928" s="2" t="s">
        <v>13928</v>
      </c>
      <c r="K2928" s="2" t="s">
        <v>809</v>
      </c>
      <c r="L2928" s="2" t="s">
        <v>157</v>
      </c>
      <c r="M2928" s="2">
        <v>80908.0</v>
      </c>
      <c r="N2928" s="2" t="s">
        <v>21</v>
      </c>
    </row>
    <row r="2929" ht="15.75" customHeight="1">
      <c r="A2929" s="2">
        <v>2014.0</v>
      </c>
      <c r="B2929" s="2" t="s">
        <v>13929</v>
      </c>
      <c r="C2929" s="2" t="s">
        <v>13930</v>
      </c>
      <c r="D2929" s="2" t="str">
        <f>"(907)841-8428"</f>
        <v>(907)841-8428</v>
      </c>
      <c r="E2929" s="2" t="s">
        <v>81</v>
      </c>
      <c r="F2929" s="2" t="s">
        <v>1405</v>
      </c>
      <c r="G2929" s="2" t="str">
        <f>"SR-3988"</f>
        <v>SR-3988</v>
      </c>
      <c r="H2929" s="2" t="s">
        <v>13931</v>
      </c>
      <c r="I2929" s="2" t="s">
        <v>13932</v>
      </c>
      <c r="K2929" s="2" t="s">
        <v>69</v>
      </c>
      <c r="L2929" s="2" t="s">
        <v>70</v>
      </c>
      <c r="M2929" s="2">
        <v>99514.0</v>
      </c>
      <c r="N2929" s="2" t="s">
        <v>21</v>
      </c>
    </row>
    <row r="2930" ht="15.75" customHeight="1">
      <c r="A2930" s="2">
        <v>2014.0</v>
      </c>
      <c r="B2930" s="2" t="s">
        <v>13933</v>
      </c>
      <c r="C2930" s="2" t="s">
        <v>13934</v>
      </c>
      <c r="D2930" s="2" t="str">
        <f>"2815657809"</f>
        <v>2815657809</v>
      </c>
      <c r="E2930" s="2" t="s">
        <v>13935</v>
      </c>
      <c r="F2930" s="2" t="s">
        <v>13936</v>
      </c>
      <c r="G2930" s="2" t="str">
        <f>"SR-3970"</f>
        <v>SR-3970</v>
      </c>
      <c r="H2930" s="2" t="s">
        <v>13937</v>
      </c>
      <c r="I2930" s="2" t="s">
        <v>13938</v>
      </c>
      <c r="K2930" s="2" t="s">
        <v>13939</v>
      </c>
      <c r="L2930" s="2" t="s">
        <v>172</v>
      </c>
      <c r="M2930" s="2">
        <v>77479.0</v>
      </c>
      <c r="N2930" s="2" t="s">
        <v>21</v>
      </c>
    </row>
    <row r="2931" ht="15.75" customHeight="1">
      <c r="A2931" s="2">
        <v>2014.0</v>
      </c>
      <c r="B2931" s="2" t="s">
        <v>13940</v>
      </c>
      <c r="C2931" s="2" t="s">
        <v>13940</v>
      </c>
      <c r="D2931" s="2" t="str">
        <f>"612-600-5260"</f>
        <v>612-600-5260</v>
      </c>
      <c r="E2931" s="2" t="s">
        <v>1946</v>
      </c>
      <c r="F2931" s="2" t="s">
        <v>13941</v>
      </c>
      <c r="G2931" s="2" t="str">
        <f>"SR-3994"</f>
        <v>SR-3994</v>
      </c>
      <c r="H2931" s="2" t="s">
        <v>13942</v>
      </c>
      <c r="I2931" s="2" t="s">
        <v>13943</v>
      </c>
      <c r="K2931" s="2" t="s">
        <v>1073</v>
      </c>
      <c r="L2931" s="2" t="s">
        <v>62</v>
      </c>
      <c r="M2931" s="2">
        <v>55419.0</v>
      </c>
      <c r="N2931" s="2" t="s">
        <v>21</v>
      </c>
    </row>
    <row r="2932" ht="15.75" customHeight="1">
      <c r="A2932" s="2">
        <v>2014.0</v>
      </c>
      <c r="B2932" s="2" t="s">
        <v>13944</v>
      </c>
      <c r="C2932" s="2" t="s">
        <v>13945</v>
      </c>
      <c r="D2932" s="2" t="str">
        <f>"812-583-9181"</f>
        <v>812-583-9181</v>
      </c>
      <c r="E2932" s="2" t="s">
        <v>282</v>
      </c>
      <c r="F2932" s="2" t="s">
        <v>13946</v>
      </c>
      <c r="G2932" s="2" t="str">
        <f>"SR-3995"</f>
        <v>SR-3995</v>
      </c>
      <c r="H2932" s="2" t="s">
        <v>13947</v>
      </c>
      <c r="I2932" s="2" t="s">
        <v>13948</v>
      </c>
      <c r="K2932" s="2" t="s">
        <v>5399</v>
      </c>
      <c r="L2932" s="2" t="s">
        <v>149</v>
      </c>
      <c r="M2932" s="2">
        <v>47421.0</v>
      </c>
      <c r="N2932" s="2" t="s">
        <v>21</v>
      </c>
    </row>
    <row r="2933" ht="15.75" customHeight="1">
      <c r="A2933" s="2">
        <v>2014.0</v>
      </c>
      <c r="B2933" s="2" t="s">
        <v>13940</v>
      </c>
      <c r="C2933" s="2" t="s">
        <v>13940</v>
      </c>
      <c r="D2933" s="2" t="str">
        <f>"612-823-4046"</f>
        <v>612-823-4046</v>
      </c>
      <c r="E2933" s="2" t="s">
        <v>453</v>
      </c>
      <c r="F2933" s="2" t="s">
        <v>13941</v>
      </c>
      <c r="G2933" s="2" t="str">
        <f>"SR-3950"</f>
        <v>SR-3950</v>
      </c>
      <c r="H2933" s="2" t="s">
        <v>13949</v>
      </c>
      <c r="I2933" s="2" t="s">
        <v>13943</v>
      </c>
      <c r="K2933" s="2" t="s">
        <v>1073</v>
      </c>
      <c r="L2933" s="2" t="s">
        <v>62</v>
      </c>
      <c r="M2933" s="2">
        <v>55419.0</v>
      </c>
      <c r="N2933" s="2" t="s">
        <v>21</v>
      </c>
    </row>
    <row r="2934" ht="15.75" customHeight="1">
      <c r="A2934" s="2">
        <v>2014.0</v>
      </c>
      <c r="B2934" s="2" t="s">
        <v>13950</v>
      </c>
      <c r="C2934" s="2" t="s">
        <v>13951</v>
      </c>
      <c r="D2934" s="2" t="str">
        <f>"865-414-2506"</f>
        <v>865-414-2506</v>
      </c>
      <c r="E2934" s="2" t="s">
        <v>288</v>
      </c>
      <c r="F2934" s="2" t="s">
        <v>13952</v>
      </c>
      <c r="G2934" s="2" t="str">
        <f>"SR-4000"</f>
        <v>SR-4000</v>
      </c>
      <c r="H2934" s="2" t="s">
        <v>13953</v>
      </c>
      <c r="I2934" s="2" t="s">
        <v>13954</v>
      </c>
      <c r="K2934" s="2" t="s">
        <v>6168</v>
      </c>
      <c r="L2934" s="2" t="s">
        <v>279</v>
      </c>
      <c r="M2934" s="2">
        <v>37914.0</v>
      </c>
      <c r="N2934" s="2" t="s">
        <v>21</v>
      </c>
    </row>
    <row r="2935" ht="15.75" customHeight="1">
      <c r="A2935" s="2">
        <v>2014.0</v>
      </c>
      <c r="B2935" s="2" t="s">
        <v>13955</v>
      </c>
      <c r="C2935" s="2" t="s">
        <v>13956</v>
      </c>
      <c r="D2935" s="2" t="str">
        <f>"(828) 228-4140"</f>
        <v>(828) 228-4140</v>
      </c>
      <c r="E2935" s="2" t="s">
        <v>13957</v>
      </c>
      <c r="F2935" s="2" t="s">
        <v>13958</v>
      </c>
      <c r="G2935" s="2" t="str">
        <f>"SR-3992"</f>
        <v>SR-3992</v>
      </c>
      <c r="H2935" s="2" t="s">
        <v>13959</v>
      </c>
      <c r="I2935" s="2" t="s">
        <v>13960</v>
      </c>
      <c r="K2935" s="2" t="s">
        <v>13961</v>
      </c>
      <c r="L2935" s="2" t="s">
        <v>20</v>
      </c>
      <c r="M2935" s="2">
        <v>28645.0</v>
      </c>
      <c r="N2935" s="2" t="s">
        <v>21</v>
      </c>
    </row>
    <row r="2936" ht="15.75" customHeight="1">
      <c r="A2936" s="2">
        <v>2014.0</v>
      </c>
      <c r="B2936" s="2" t="s">
        <v>13519</v>
      </c>
      <c r="C2936" s="2" t="s">
        <v>6754</v>
      </c>
      <c r="D2936" s="2" t="str">
        <f>"502-645-9250"</f>
        <v>502-645-9250</v>
      </c>
      <c r="E2936" s="2" t="s">
        <v>465</v>
      </c>
      <c r="F2936" s="2" t="s">
        <v>6755</v>
      </c>
      <c r="G2936" s="2" t="str">
        <f>"SR-4002"</f>
        <v>SR-4002</v>
      </c>
      <c r="H2936" s="2" t="s">
        <v>6756</v>
      </c>
      <c r="I2936" s="2" t="s">
        <v>13522</v>
      </c>
      <c r="K2936" s="2" t="s">
        <v>5288</v>
      </c>
      <c r="L2936" s="2" t="s">
        <v>1236</v>
      </c>
      <c r="M2936" s="2">
        <v>40299.0</v>
      </c>
      <c r="N2936" s="2" t="s">
        <v>21</v>
      </c>
    </row>
    <row r="2937" ht="15.75" customHeight="1">
      <c r="A2937" s="2">
        <v>2014.0</v>
      </c>
      <c r="B2937" s="2" t="s">
        <v>13962</v>
      </c>
      <c r="C2937" s="2" t="s">
        <v>13963</v>
      </c>
      <c r="D2937" s="2" t="str">
        <f>"319-404-3753"</f>
        <v>319-404-3753</v>
      </c>
      <c r="E2937" s="2" t="s">
        <v>9476</v>
      </c>
      <c r="F2937" s="2" t="s">
        <v>13964</v>
      </c>
      <c r="G2937" s="2" t="str">
        <f>"SR-4003"</f>
        <v>SR-4003</v>
      </c>
      <c r="H2937" s="2" t="s">
        <v>13965</v>
      </c>
      <c r="I2937" s="2" t="s">
        <v>13966</v>
      </c>
      <c r="K2937" s="2" t="s">
        <v>13967</v>
      </c>
      <c r="L2937" s="2" t="s">
        <v>560</v>
      </c>
      <c r="M2937" s="2">
        <v>50701.0</v>
      </c>
      <c r="N2937" s="2" t="s">
        <v>21</v>
      </c>
    </row>
    <row r="2938" ht="15.75" customHeight="1">
      <c r="A2938" s="2">
        <v>2014.0</v>
      </c>
      <c r="B2938" s="2" t="s">
        <v>13968</v>
      </c>
      <c r="C2938" s="2" t="s">
        <v>13969</v>
      </c>
      <c r="D2938" s="2" t="str">
        <f>"4342272141"</f>
        <v>4342272141</v>
      </c>
      <c r="E2938" s="2" t="s">
        <v>4665</v>
      </c>
      <c r="F2938" s="2" t="s">
        <v>6356</v>
      </c>
      <c r="G2938" s="2" t="str">
        <f>"SR-4006"</f>
        <v>SR-4006</v>
      </c>
      <c r="H2938" s="2" t="s">
        <v>13970</v>
      </c>
      <c r="I2938" s="2" t="s">
        <v>13971</v>
      </c>
      <c r="K2938" s="2" t="s">
        <v>13972</v>
      </c>
      <c r="L2938" s="2" t="s">
        <v>344</v>
      </c>
      <c r="M2938" s="2">
        <v>44024.0</v>
      </c>
      <c r="N2938" s="2" t="s">
        <v>21</v>
      </c>
    </row>
    <row r="2939" ht="15.75" customHeight="1">
      <c r="A2939" s="2">
        <v>2014.0</v>
      </c>
      <c r="B2939" s="2" t="s">
        <v>13968</v>
      </c>
      <c r="C2939" s="2" t="s">
        <v>13973</v>
      </c>
      <c r="D2939" s="2" t="str">
        <f>"4402798545"</f>
        <v>4402798545</v>
      </c>
      <c r="E2939" s="2" t="s">
        <v>705</v>
      </c>
      <c r="F2939" s="2" t="s">
        <v>6356</v>
      </c>
      <c r="G2939" s="2" t="str">
        <f>"SR-4009"</f>
        <v>SR-4009</v>
      </c>
      <c r="H2939" s="2" t="s">
        <v>13974</v>
      </c>
      <c r="I2939" s="2" t="s">
        <v>13975</v>
      </c>
      <c r="K2939" s="2" t="s">
        <v>1520</v>
      </c>
      <c r="L2939" s="2" t="s">
        <v>344</v>
      </c>
      <c r="M2939" s="2">
        <v>44202.0</v>
      </c>
      <c r="N2939" s="2" t="s">
        <v>21</v>
      </c>
    </row>
    <row r="2940" ht="15.75" customHeight="1">
      <c r="A2940" s="2">
        <v>2014.0</v>
      </c>
      <c r="B2940" s="2" t="s">
        <v>13976</v>
      </c>
      <c r="C2940" s="2" t="s">
        <v>13977</v>
      </c>
      <c r="D2940" s="2" t="str">
        <f>"2817280126"</f>
        <v>2817280126</v>
      </c>
      <c r="E2940" s="2" t="s">
        <v>339</v>
      </c>
      <c r="F2940" s="2" t="s">
        <v>13978</v>
      </c>
      <c r="G2940" s="2" t="str">
        <f>"SR-4014"</f>
        <v>SR-4014</v>
      </c>
      <c r="H2940" s="2" t="s">
        <v>13979</v>
      </c>
      <c r="I2940" s="2" t="s">
        <v>13980</v>
      </c>
      <c r="K2940" s="2" t="s">
        <v>6499</v>
      </c>
      <c r="L2940" s="2" t="s">
        <v>172</v>
      </c>
      <c r="M2940" s="2">
        <v>77450.0</v>
      </c>
      <c r="N2940" s="2" t="s">
        <v>21</v>
      </c>
    </row>
    <row r="2941" ht="15.75" customHeight="1">
      <c r="A2941" s="2">
        <v>2014.0</v>
      </c>
      <c r="B2941" s="2" t="s">
        <v>13981</v>
      </c>
      <c r="C2941" s="2" t="s">
        <v>13982</v>
      </c>
      <c r="D2941" s="2" t="str">
        <f>"973-625-1708"</f>
        <v>973-625-1708</v>
      </c>
      <c r="E2941" s="2" t="s">
        <v>250</v>
      </c>
      <c r="F2941" s="2" t="s">
        <v>13983</v>
      </c>
      <c r="G2941" s="2" t="str">
        <f>"SR-3979"</f>
        <v>SR-3979</v>
      </c>
      <c r="H2941" s="2" t="s">
        <v>13984</v>
      </c>
      <c r="I2941" s="2" t="s">
        <v>13985</v>
      </c>
      <c r="K2941" s="2" t="s">
        <v>13986</v>
      </c>
      <c r="L2941" s="2" t="s">
        <v>3618</v>
      </c>
      <c r="M2941" s="2">
        <v>7834.0</v>
      </c>
      <c r="N2941" s="2" t="s">
        <v>21</v>
      </c>
    </row>
    <row r="2942" ht="15.75" customHeight="1">
      <c r="A2942" s="2">
        <v>2014.0</v>
      </c>
      <c r="B2942" s="2" t="s">
        <v>13987</v>
      </c>
      <c r="C2942" s="2" t="s">
        <v>13988</v>
      </c>
      <c r="D2942" s="2" t="str">
        <f>"716 634-1089"</f>
        <v>716 634-1089</v>
      </c>
      <c r="E2942" s="2" t="s">
        <v>160</v>
      </c>
      <c r="F2942" s="2" t="s">
        <v>3816</v>
      </c>
      <c r="G2942" s="2" t="str">
        <f>"SR-4021"</f>
        <v>SR-4021</v>
      </c>
      <c r="H2942" s="2" t="s">
        <v>13989</v>
      </c>
      <c r="I2942" s="2" t="s">
        <v>12451</v>
      </c>
      <c r="K2942" s="2" t="s">
        <v>12452</v>
      </c>
      <c r="L2942" s="2" t="s">
        <v>142</v>
      </c>
      <c r="M2942" s="2">
        <v>14221.0</v>
      </c>
      <c r="N2942" s="2" t="s">
        <v>21</v>
      </c>
    </row>
    <row r="2943" ht="15.75" customHeight="1">
      <c r="A2943" s="2">
        <v>2014.0</v>
      </c>
      <c r="B2943" s="2" t="s">
        <v>13987</v>
      </c>
      <c r="C2943" s="2" t="s">
        <v>13990</v>
      </c>
      <c r="D2943" s="2" t="str">
        <f>"716n634-1089"</f>
        <v>716n634-1089</v>
      </c>
      <c r="E2943" s="2" t="s">
        <v>13991</v>
      </c>
      <c r="F2943" s="2" t="s">
        <v>3816</v>
      </c>
      <c r="G2943" s="2" t="str">
        <f>"SR-4023"</f>
        <v>SR-4023</v>
      </c>
      <c r="H2943" s="2" t="s">
        <v>13992</v>
      </c>
      <c r="I2943" s="2" t="s">
        <v>12451</v>
      </c>
      <c r="K2943" s="2" t="s">
        <v>12452</v>
      </c>
      <c r="L2943" s="2" t="s">
        <v>142</v>
      </c>
      <c r="M2943" s="2">
        <v>14221.0</v>
      </c>
      <c r="N2943" s="2" t="s">
        <v>21</v>
      </c>
    </row>
    <row r="2944" ht="15.75" customHeight="1">
      <c r="A2944" s="2">
        <v>2014.0</v>
      </c>
      <c r="B2944" s="2" t="s">
        <v>13993</v>
      </c>
      <c r="C2944" s="2" t="s">
        <v>13994</v>
      </c>
      <c r="D2944" s="2" t="str">
        <f>"330-837-7706"</f>
        <v>330-837-7706</v>
      </c>
      <c r="E2944" s="2" t="s">
        <v>2401</v>
      </c>
      <c r="F2944" s="2" t="s">
        <v>13995</v>
      </c>
      <c r="G2944" s="2" t="str">
        <f>"SR-4008"</f>
        <v>SR-4008</v>
      </c>
      <c r="H2944" s="2" t="s">
        <v>13996</v>
      </c>
      <c r="I2944" s="2" t="s">
        <v>13997</v>
      </c>
      <c r="K2944" s="2" t="s">
        <v>13998</v>
      </c>
      <c r="L2944" s="2" t="s">
        <v>344</v>
      </c>
      <c r="M2944" s="2">
        <v>44646.0</v>
      </c>
      <c r="N2944" s="2" t="s">
        <v>21</v>
      </c>
    </row>
    <row r="2945" ht="15.75" customHeight="1">
      <c r="A2945" s="2">
        <v>2014.0</v>
      </c>
      <c r="B2945" s="2" t="s">
        <v>13999</v>
      </c>
      <c r="C2945" s="2" t="s">
        <v>13999</v>
      </c>
      <c r="D2945" s="2" t="str">
        <f>"573-864-2656"</f>
        <v>573-864-2656</v>
      </c>
      <c r="E2945" s="2" t="s">
        <v>14000</v>
      </c>
      <c r="F2945" s="2" t="s">
        <v>1605</v>
      </c>
      <c r="G2945" s="2" t="str">
        <f>"SR-4025"</f>
        <v>SR-4025</v>
      </c>
      <c r="H2945" s="2" t="s">
        <v>14001</v>
      </c>
      <c r="I2945" s="2" t="s">
        <v>14002</v>
      </c>
      <c r="K2945" s="2" t="s">
        <v>519</v>
      </c>
      <c r="L2945" s="2" t="s">
        <v>214</v>
      </c>
      <c r="M2945" s="2">
        <v>65061.0</v>
      </c>
      <c r="N2945" s="2" t="s">
        <v>21</v>
      </c>
    </row>
    <row r="2946" ht="15.75" customHeight="1">
      <c r="A2946" s="2">
        <v>2014.0</v>
      </c>
      <c r="B2946" s="2" t="s">
        <v>14003</v>
      </c>
      <c r="C2946" s="2" t="s">
        <v>14004</v>
      </c>
      <c r="D2946" s="2" t="str">
        <f>"856-424-1989"</f>
        <v>856-424-1989</v>
      </c>
      <c r="E2946" s="2" t="s">
        <v>14005</v>
      </c>
      <c r="F2946" s="2" t="s">
        <v>14006</v>
      </c>
      <c r="G2946" s="2" t="str">
        <f>"SR-4027"</f>
        <v>SR-4027</v>
      </c>
      <c r="H2946" s="2" t="s">
        <v>14007</v>
      </c>
      <c r="I2946" s="2" t="s">
        <v>14008</v>
      </c>
      <c r="K2946" s="2" t="s">
        <v>14009</v>
      </c>
      <c r="L2946" s="2" t="s">
        <v>3618</v>
      </c>
      <c r="M2946" s="2">
        <v>8003.0</v>
      </c>
      <c r="N2946" s="2" t="s">
        <v>21</v>
      </c>
    </row>
    <row r="2947" ht="15.75" customHeight="1">
      <c r="A2947" s="2">
        <v>2014.0</v>
      </c>
      <c r="B2947" s="2" t="s">
        <v>14010</v>
      </c>
      <c r="C2947" s="2" t="s">
        <v>14010</v>
      </c>
      <c r="D2947" s="2" t="str">
        <f>"225-802-1818"</f>
        <v>225-802-1818</v>
      </c>
      <c r="E2947" s="2" t="s">
        <v>6606</v>
      </c>
      <c r="F2947" s="2" t="s">
        <v>14011</v>
      </c>
      <c r="G2947" s="2" t="str">
        <f>"SR-4040"</f>
        <v>SR-4040</v>
      </c>
      <c r="H2947" s="2" t="s">
        <v>14012</v>
      </c>
      <c r="I2947" s="2" t="s">
        <v>14013</v>
      </c>
      <c r="K2947" s="2" t="s">
        <v>3654</v>
      </c>
      <c r="L2947" s="2" t="s">
        <v>715</v>
      </c>
      <c r="M2947" s="2">
        <v>70815.0</v>
      </c>
      <c r="N2947" s="2" t="s">
        <v>21</v>
      </c>
    </row>
    <row r="2948" ht="15.75" customHeight="1">
      <c r="A2948" s="2">
        <v>2014.0</v>
      </c>
      <c r="B2948" s="2" t="s">
        <v>14014</v>
      </c>
      <c r="C2948" s="2" t="s">
        <v>14014</v>
      </c>
      <c r="D2948" s="2" t="str">
        <f>"225-810-5688"</f>
        <v>225-810-5688</v>
      </c>
      <c r="E2948" s="2" t="s">
        <v>14015</v>
      </c>
      <c r="F2948" s="2" t="s">
        <v>14011</v>
      </c>
      <c r="G2948" s="2" t="str">
        <f>"SR-4041"</f>
        <v>SR-4041</v>
      </c>
      <c r="H2948" s="2" t="s">
        <v>14016</v>
      </c>
      <c r="I2948" s="2" t="s">
        <v>14017</v>
      </c>
      <c r="K2948" s="2" t="s">
        <v>3654</v>
      </c>
      <c r="L2948" s="2" t="s">
        <v>715</v>
      </c>
      <c r="M2948" s="2">
        <v>70810.0</v>
      </c>
      <c r="N2948" s="2" t="s">
        <v>21</v>
      </c>
    </row>
    <row r="2949" ht="15.75" customHeight="1">
      <c r="A2949" s="2">
        <v>2014.0</v>
      </c>
      <c r="B2949" s="2" t="s">
        <v>14018</v>
      </c>
      <c r="C2949" s="2" t="s">
        <v>14019</v>
      </c>
      <c r="D2949" s="2" t="str">
        <f>"2178175051"</f>
        <v>2178175051</v>
      </c>
      <c r="E2949" s="2" t="s">
        <v>922</v>
      </c>
      <c r="F2949" s="2" t="s">
        <v>9374</v>
      </c>
      <c r="G2949" s="2" t="str">
        <f>"SR-3998"</f>
        <v>SR-3998</v>
      </c>
      <c r="H2949" s="2" t="s">
        <v>14020</v>
      </c>
      <c r="I2949" s="2" t="s">
        <v>14021</v>
      </c>
      <c r="K2949" s="2" t="s">
        <v>5373</v>
      </c>
      <c r="L2949" s="2" t="s">
        <v>105</v>
      </c>
      <c r="M2949" s="2">
        <v>61856.0</v>
      </c>
      <c r="N2949" s="2" t="s">
        <v>21</v>
      </c>
    </row>
    <row r="2950" ht="15.75" customHeight="1">
      <c r="A2950" s="2">
        <v>2014.0</v>
      </c>
      <c r="B2950" s="2" t="s">
        <v>14022</v>
      </c>
      <c r="C2950" s="2" t="s">
        <v>14022</v>
      </c>
      <c r="D2950" s="2" t="str">
        <f>"5158651358"</f>
        <v>5158651358</v>
      </c>
      <c r="E2950" s="2" t="s">
        <v>1761</v>
      </c>
      <c r="F2950" s="2" t="s">
        <v>10099</v>
      </c>
      <c r="G2950" s="2" t="str">
        <f>"SR-4004"</f>
        <v>SR-4004</v>
      </c>
      <c r="H2950" s="2" t="s">
        <v>14023</v>
      </c>
      <c r="I2950" s="2" t="s">
        <v>14024</v>
      </c>
      <c r="K2950" s="2" t="s">
        <v>3050</v>
      </c>
      <c r="L2950" s="2" t="s">
        <v>560</v>
      </c>
      <c r="M2950" s="2">
        <v>50323.0</v>
      </c>
      <c r="N2950" s="2" t="s">
        <v>21</v>
      </c>
    </row>
    <row r="2951" ht="15.75" customHeight="1">
      <c r="A2951" s="2">
        <v>2014.0</v>
      </c>
      <c r="B2951" s="2" t="s">
        <v>14025</v>
      </c>
      <c r="C2951" s="2" t="s">
        <v>14025</v>
      </c>
      <c r="D2951" s="2" t="str">
        <f>"5098993347"</f>
        <v>5098993347</v>
      </c>
      <c r="E2951" s="2" t="s">
        <v>1015</v>
      </c>
      <c r="F2951" s="2" t="s">
        <v>14026</v>
      </c>
      <c r="G2951" s="2" t="str">
        <f>"SR-4020"</f>
        <v>SR-4020</v>
      </c>
      <c r="H2951" s="2" t="s">
        <v>14027</v>
      </c>
      <c r="I2951" s="2" t="s">
        <v>14028</v>
      </c>
      <c r="K2951" s="2" t="s">
        <v>14029</v>
      </c>
      <c r="L2951" s="2" t="s">
        <v>1868</v>
      </c>
      <c r="M2951" s="2">
        <v>21401.0</v>
      </c>
      <c r="N2951" s="2" t="s">
        <v>21</v>
      </c>
    </row>
    <row r="2952" ht="15.75" customHeight="1">
      <c r="A2952" s="2">
        <v>2014.0</v>
      </c>
      <c r="B2952" s="2" t="s">
        <v>14030</v>
      </c>
      <c r="C2952" s="2" t="s">
        <v>14030</v>
      </c>
      <c r="D2952" s="2" t="str">
        <f>"402-277-0103"</f>
        <v>402-277-0103</v>
      </c>
      <c r="E2952" s="2" t="s">
        <v>2988</v>
      </c>
      <c r="F2952" s="2" t="s">
        <v>701</v>
      </c>
      <c r="G2952" s="2" t="str">
        <f>"SR-4024"</f>
        <v>SR-4024</v>
      </c>
      <c r="H2952" s="2" t="s">
        <v>2989</v>
      </c>
      <c r="I2952" s="2" t="s">
        <v>14031</v>
      </c>
      <c r="K2952" s="2" t="s">
        <v>4484</v>
      </c>
      <c r="L2952" s="2" t="s">
        <v>757</v>
      </c>
      <c r="M2952" s="2">
        <v>68041.0</v>
      </c>
      <c r="N2952" s="2" t="s">
        <v>21</v>
      </c>
    </row>
    <row r="2953" ht="15.75" customHeight="1">
      <c r="A2953" s="2">
        <v>2014.0</v>
      </c>
      <c r="B2953" s="2" t="s">
        <v>14032</v>
      </c>
      <c r="C2953" s="2" t="s">
        <v>14032</v>
      </c>
      <c r="D2953" s="2" t="str">
        <f>"307-399-4271"</f>
        <v>307-399-4271</v>
      </c>
      <c r="E2953" s="2" t="s">
        <v>3400</v>
      </c>
      <c r="F2953" s="2" t="s">
        <v>14033</v>
      </c>
      <c r="G2953" s="2" t="str">
        <f>"SR-4022"</f>
        <v>SR-4022</v>
      </c>
      <c r="H2953" s="2" t="s">
        <v>14034</v>
      </c>
      <c r="I2953" s="2" t="s">
        <v>14035</v>
      </c>
      <c r="K2953" s="2" t="s">
        <v>14036</v>
      </c>
      <c r="L2953" s="2" t="s">
        <v>1540</v>
      </c>
      <c r="M2953" s="2">
        <v>82070.0</v>
      </c>
      <c r="N2953" s="2" t="s">
        <v>21</v>
      </c>
    </row>
    <row r="2954" ht="15.75" customHeight="1">
      <c r="A2954" s="2">
        <v>2014.0</v>
      </c>
      <c r="B2954" s="2" t="s">
        <v>14037</v>
      </c>
      <c r="D2954" s="2" t="str">
        <f>""</f>
        <v/>
      </c>
      <c r="E2954" s="2" t="s">
        <v>14038</v>
      </c>
      <c r="F2954" s="2" t="s">
        <v>7343</v>
      </c>
      <c r="G2954" s="2" t="str">
        <f>"SR-4042"</f>
        <v>SR-4042</v>
      </c>
      <c r="H2954" s="2" t="s">
        <v>14039</v>
      </c>
    </row>
    <row r="2955" ht="15.75" customHeight="1">
      <c r="A2955" s="2">
        <v>2014.0</v>
      </c>
      <c r="B2955" s="2" t="s">
        <v>14040</v>
      </c>
      <c r="C2955" s="2" t="s">
        <v>14041</v>
      </c>
      <c r="D2955" s="2" t="str">
        <f>"504-400-4850"</f>
        <v>504-400-4850</v>
      </c>
      <c r="E2955" s="2" t="s">
        <v>261</v>
      </c>
      <c r="F2955" s="2" t="s">
        <v>14042</v>
      </c>
      <c r="G2955" s="2" t="str">
        <f>"SR-3177"</f>
        <v>SR-3177</v>
      </c>
      <c r="H2955" s="2" t="s">
        <v>14043</v>
      </c>
      <c r="I2955" s="2" t="s">
        <v>14044</v>
      </c>
      <c r="K2955" s="2" t="s">
        <v>14045</v>
      </c>
      <c r="L2955" s="2" t="s">
        <v>715</v>
      </c>
      <c r="M2955" s="2">
        <v>70461.0</v>
      </c>
      <c r="N2955" s="2" t="s">
        <v>21</v>
      </c>
    </row>
    <row r="2956" ht="15.75" customHeight="1">
      <c r="A2956" s="2">
        <v>2014.0</v>
      </c>
      <c r="B2956" s="2" t="s">
        <v>14046</v>
      </c>
      <c r="C2956" s="2" t="s">
        <v>14047</v>
      </c>
      <c r="D2956" s="2" t="str">
        <f>"719-684-5480"</f>
        <v>719-684-5480</v>
      </c>
      <c r="E2956" s="2" t="s">
        <v>748</v>
      </c>
      <c r="F2956" s="2" t="s">
        <v>14048</v>
      </c>
      <c r="G2956" s="2" t="str">
        <f>"SR-4013"</f>
        <v>SR-4013</v>
      </c>
      <c r="H2956" s="2" t="s">
        <v>14049</v>
      </c>
      <c r="I2956" s="2" t="s">
        <v>14050</v>
      </c>
      <c r="K2956" s="2" t="s">
        <v>809</v>
      </c>
      <c r="L2956" s="2" t="s">
        <v>157</v>
      </c>
      <c r="M2956" s="2">
        <v>80907.0</v>
      </c>
      <c r="N2956" s="2" t="s">
        <v>21</v>
      </c>
    </row>
    <row r="2957" ht="15.75" customHeight="1">
      <c r="A2957" s="2">
        <v>2014.0</v>
      </c>
      <c r="B2957" s="2" t="s">
        <v>14051</v>
      </c>
      <c r="C2957" s="2" t="s">
        <v>14052</v>
      </c>
      <c r="D2957" s="2" t="str">
        <f t="shared" ref="D2957:D2958" si="46">"952-461-6494"</f>
        <v>952-461-6494</v>
      </c>
      <c r="E2957" s="2" t="s">
        <v>417</v>
      </c>
      <c r="F2957" s="2" t="s">
        <v>275</v>
      </c>
      <c r="G2957" s="2" t="str">
        <f>"SR-3538"</f>
        <v>SR-3538</v>
      </c>
      <c r="H2957" s="2" t="s">
        <v>14053</v>
      </c>
      <c r="I2957" s="2" t="s">
        <v>14054</v>
      </c>
      <c r="K2957" s="2" t="s">
        <v>2267</v>
      </c>
      <c r="L2957" s="2" t="s">
        <v>62</v>
      </c>
      <c r="M2957" s="2">
        <v>55044.0</v>
      </c>
      <c r="N2957" s="2" t="s">
        <v>21</v>
      </c>
    </row>
    <row r="2958" ht="15.75" customHeight="1">
      <c r="A2958" s="2">
        <v>2014.0</v>
      </c>
      <c r="B2958" s="2" t="s">
        <v>14051</v>
      </c>
      <c r="C2958" s="2" t="s">
        <v>14055</v>
      </c>
      <c r="D2958" s="2" t="str">
        <f t="shared" si="46"/>
        <v>952-461-6494</v>
      </c>
      <c r="E2958" s="2" t="s">
        <v>1810</v>
      </c>
      <c r="F2958" s="2" t="s">
        <v>275</v>
      </c>
      <c r="G2958" s="2" t="str">
        <f>"SR-3548"</f>
        <v>SR-3548</v>
      </c>
      <c r="H2958" s="2" t="s">
        <v>14056</v>
      </c>
      <c r="I2958" s="2" t="s">
        <v>14054</v>
      </c>
      <c r="K2958" s="2" t="s">
        <v>2267</v>
      </c>
      <c r="L2958" s="2" t="s">
        <v>62</v>
      </c>
      <c r="M2958" s="2">
        <v>55044.0</v>
      </c>
      <c r="N2958" s="2" t="s">
        <v>21</v>
      </c>
    </row>
    <row r="2959" ht="15.75" customHeight="1">
      <c r="A2959" s="2">
        <v>2014.0</v>
      </c>
      <c r="B2959" s="2" t="s">
        <v>14057</v>
      </c>
      <c r="C2959" s="2" t="s">
        <v>14058</v>
      </c>
      <c r="D2959" s="2" t="str">
        <f>"3033967376"</f>
        <v>3033967376</v>
      </c>
      <c r="E2959" s="2" t="s">
        <v>137</v>
      </c>
      <c r="F2959" s="2" t="s">
        <v>14059</v>
      </c>
      <c r="G2959" s="2" t="str">
        <f>"SR-4050"</f>
        <v>SR-4050</v>
      </c>
      <c r="H2959" s="2" t="s">
        <v>14060</v>
      </c>
      <c r="I2959" s="2" t="s">
        <v>14061</v>
      </c>
      <c r="J2959" s="2" t="s">
        <v>14062</v>
      </c>
      <c r="K2959" s="2" t="s">
        <v>1889</v>
      </c>
      <c r="L2959" s="2" t="s">
        <v>157</v>
      </c>
      <c r="M2959" s="2">
        <v>80123.0</v>
      </c>
      <c r="N2959" s="2" t="s">
        <v>21</v>
      </c>
    </row>
    <row r="2960" ht="15.75" customHeight="1">
      <c r="A2960" s="2">
        <v>2014.0</v>
      </c>
      <c r="B2960" s="2" t="s">
        <v>14057</v>
      </c>
      <c r="C2960" s="2" t="s">
        <v>14063</v>
      </c>
      <c r="D2960" s="2" t="str">
        <f>"9257196303"</f>
        <v>9257196303</v>
      </c>
      <c r="E2960" s="2" t="s">
        <v>4782</v>
      </c>
      <c r="F2960" s="2" t="s">
        <v>14059</v>
      </c>
      <c r="G2960" s="2" t="str">
        <f>"SR-4052"</f>
        <v>SR-4052</v>
      </c>
      <c r="H2960" s="2" t="s">
        <v>14064</v>
      </c>
      <c r="I2960" s="2" t="s">
        <v>14061</v>
      </c>
      <c r="J2960" s="2" t="s">
        <v>14062</v>
      </c>
      <c r="K2960" s="2" t="s">
        <v>1889</v>
      </c>
      <c r="L2960" s="2" t="s">
        <v>157</v>
      </c>
      <c r="M2960" s="2">
        <v>80123.0</v>
      </c>
      <c r="N2960" s="2" t="s">
        <v>21</v>
      </c>
    </row>
    <row r="2961" ht="15.75" customHeight="1">
      <c r="A2961" s="2">
        <v>2014.0</v>
      </c>
      <c r="B2961" s="2" t="s">
        <v>14065</v>
      </c>
      <c r="C2961" s="2" t="s">
        <v>14065</v>
      </c>
      <c r="D2961" s="2" t="str">
        <f>"(661)587-1805"</f>
        <v>(661)587-1805</v>
      </c>
      <c r="E2961" s="2" t="s">
        <v>584</v>
      </c>
      <c r="F2961" s="2" t="s">
        <v>12821</v>
      </c>
      <c r="G2961" s="2" t="str">
        <f>"SR-3708"</f>
        <v>SR-3708</v>
      </c>
      <c r="H2961" s="2" t="s">
        <v>14066</v>
      </c>
      <c r="I2961" s="2" t="s">
        <v>14067</v>
      </c>
      <c r="K2961" s="2" t="s">
        <v>11198</v>
      </c>
      <c r="L2961" s="2" t="s">
        <v>222</v>
      </c>
      <c r="M2961" s="2">
        <v>93312.0</v>
      </c>
      <c r="N2961" s="2" t="s">
        <v>21</v>
      </c>
    </row>
    <row r="2962" ht="15.75" customHeight="1">
      <c r="A2962" s="2">
        <v>2014.0</v>
      </c>
      <c r="B2962" s="2" t="s">
        <v>14068</v>
      </c>
      <c r="C2962" s="2" t="s">
        <v>14068</v>
      </c>
      <c r="D2962" s="2" t="str">
        <f>"7707332487"</f>
        <v>7707332487</v>
      </c>
      <c r="E2962" s="2" t="s">
        <v>14069</v>
      </c>
      <c r="F2962" s="2" t="s">
        <v>14070</v>
      </c>
      <c r="G2962" s="2" t="str">
        <f>"SR-4054"</f>
        <v>SR-4054</v>
      </c>
      <c r="H2962" s="2" t="s">
        <v>14071</v>
      </c>
      <c r="I2962" s="2" t="s">
        <v>14072</v>
      </c>
      <c r="K2962" s="2" t="s">
        <v>14073</v>
      </c>
      <c r="L2962" s="2" t="s">
        <v>200</v>
      </c>
      <c r="M2962" s="2">
        <v>30052.0</v>
      </c>
      <c r="N2962" s="2" t="s">
        <v>21</v>
      </c>
    </row>
    <row r="2963" ht="15.75" customHeight="1">
      <c r="A2963" s="2">
        <v>2014.0</v>
      </c>
      <c r="B2963" s="2" t="s">
        <v>14074</v>
      </c>
      <c r="C2963" s="2" t="s">
        <v>14075</v>
      </c>
      <c r="D2963" s="2" t="str">
        <f>"503-368-5637"</f>
        <v>503-368-5637</v>
      </c>
      <c r="E2963" s="2" t="s">
        <v>385</v>
      </c>
      <c r="F2963" s="2" t="s">
        <v>13036</v>
      </c>
      <c r="G2963" s="2" t="str">
        <f>"SR-4056"</f>
        <v>SR-4056</v>
      </c>
      <c r="H2963" s="2" t="s">
        <v>14076</v>
      </c>
      <c r="I2963" s="2" t="s">
        <v>14077</v>
      </c>
      <c r="K2963" s="2" t="s">
        <v>14078</v>
      </c>
      <c r="L2963" s="2" t="s">
        <v>2389</v>
      </c>
      <c r="M2963" s="2">
        <v>97131.0</v>
      </c>
      <c r="N2963" s="2" t="s">
        <v>21</v>
      </c>
    </row>
    <row r="2964" ht="15.75" customHeight="1">
      <c r="A2964" s="2">
        <v>2014.0</v>
      </c>
      <c r="B2964" s="2" t="s">
        <v>14079</v>
      </c>
      <c r="C2964" s="2" t="s">
        <v>14080</v>
      </c>
      <c r="D2964" s="2" t="str">
        <f t="shared" ref="D2964:D2965" si="47">"214.547.0122"</f>
        <v>214.547.0122</v>
      </c>
      <c r="E2964" s="2" t="s">
        <v>456</v>
      </c>
      <c r="F2964" s="2" t="s">
        <v>13226</v>
      </c>
      <c r="G2964" s="2" t="str">
        <f>"SR-4061"</f>
        <v>SR-4061</v>
      </c>
      <c r="H2964" s="2" t="s">
        <v>14081</v>
      </c>
      <c r="I2964" s="2" t="s">
        <v>14082</v>
      </c>
      <c r="K2964" s="2" t="s">
        <v>1593</v>
      </c>
      <c r="L2964" s="2" t="s">
        <v>422</v>
      </c>
      <c r="M2964" s="2">
        <v>85255.0</v>
      </c>
      <c r="N2964" s="2" t="s">
        <v>21</v>
      </c>
    </row>
    <row r="2965" ht="15.75" customHeight="1">
      <c r="A2965" s="2">
        <v>2014.0</v>
      </c>
      <c r="B2965" s="2" t="s">
        <v>14079</v>
      </c>
      <c r="C2965" s="2" t="s">
        <v>14083</v>
      </c>
      <c r="D2965" s="2" t="str">
        <f t="shared" si="47"/>
        <v>214.547.0122</v>
      </c>
      <c r="E2965" s="2" t="s">
        <v>1022</v>
      </c>
      <c r="F2965" s="2" t="s">
        <v>13226</v>
      </c>
      <c r="G2965" s="2" t="str">
        <f>"SR-4060"</f>
        <v>SR-4060</v>
      </c>
      <c r="H2965" s="2" t="s">
        <v>14084</v>
      </c>
      <c r="I2965" s="2" t="s">
        <v>14082</v>
      </c>
      <c r="K2965" s="2" t="s">
        <v>1593</v>
      </c>
      <c r="L2965" s="2" t="s">
        <v>422</v>
      </c>
      <c r="M2965" s="2">
        <v>85255.0</v>
      </c>
      <c r="N2965" s="2" t="s">
        <v>21</v>
      </c>
    </row>
    <row r="2966" ht="15.75" customHeight="1">
      <c r="A2966" s="2">
        <v>2014.0</v>
      </c>
      <c r="B2966" s="2" t="s">
        <v>14085</v>
      </c>
      <c r="C2966" s="2" t="s">
        <v>14085</v>
      </c>
      <c r="D2966" s="2" t="str">
        <f>"905 889 0837"</f>
        <v>905 889 0837</v>
      </c>
      <c r="E2966" s="2" t="s">
        <v>160</v>
      </c>
      <c r="F2966" s="2" t="s">
        <v>14086</v>
      </c>
      <c r="G2966" s="2" t="str">
        <f>"SR-4053"</f>
        <v>SR-4053</v>
      </c>
      <c r="H2966" s="2" t="s">
        <v>14087</v>
      </c>
      <c r="I2966" s="2" t="s">
        <v>14088</v>
      </c>
      <c r="K2966" s="2" t="s">
        <v>14089</v>
      </c>
      <c r="L2966" s="2" t="s">
        <v>2022</v>
      </c>
      <c r="M2966" s="2" t="s">
        <v>14090</v>
      </c>
      <c r="N2966" s="2" t="s">
        <v>1602</v>
      </c>
    </row>
    <row r="2967" ht="15.75" customHeight="1">
      <c r="A2967" s="2">
        <v>2014.0</v>
      </c>
      <c r="B2967" s="2" t="s">
        <v>14091</v>
      </c>
      <c r="C2967" s="2" t="s">
        <v>14092</v>
      </c>
      <c r="D2967" s="2" t="str">
        <f>"712-873-3220"</f>
        <v>712-873-3220</v>
      </c>
      <c r="E2967" s="2" t="s">
        <v>14093</v>
      </c>
      <c r="F2967" s="2" t="s">
        <v>14094</v>
      </c>
      <c r="G2967" s="2" t="str">
        <f>"SR-4066"</f>
        <v>SR-4066</v>
      </c>
      <c r="H2967" s="2" t="s">
        <v>14095</v>
      </c>
      <c r="I2967" s="2" t="s">
        <v>14096</v>
      </c>
      <c r="K2967" s="2" t="s">
        <v>14097</v>
      </c>
      <c r="L2967" s="2" t="s">
        <v>560</v>
      </c>
      <c r="M2967" s="2">
        <v>51039.0</v>
      </c>
      <c r="N2967" s="2" t="s">
        <v>21</v>
      </c>
    </row>
    <row r="2968" ht="15.75" customHeight="1">
      <c r="A2968" s="2">
        <v>2014.0</v>
      </c>
      <c r="B2968" s="2" t="s">
        <v>14098</v>
      </c>
      <c r="C2968" s="2" t="s">
        <v>14099</v>
      </c>
      <c r="D2968" s="2" t="str">
        <f>"8302371398"</f>
        <v>8302371398</v>
      </c>
      <c r="E2968" s="2" t="s">
        <v>14100</v>
      </c>
      <c r="F2968" s="2" t="s">
        <v>14101</v>
      </c>
      <c r="G2968" s="2" t="str">
        <f>"SR-4030"</f>
        <v>SR-4030</v>
      </c>
      <c r="H2968" s="2" t="s">
        <v>14102</v>
      </c>
      <c r="I2968" s="2" t="s">
        <v>14103</v>
      </c>
      <c r="K2968" s="2" t="s">
        <v>14104</v>
      </c>
      <c r="L2968" s="2" t="s">
        <v>172</v>
      </c>
      <c r="M2968" s="2">
        <v>78132.0</v>
      </c>
      <c r="N2968" s="2" t="s">
        <v>21</v>
      </c>
    </row>
    <row r="2969" ht="15.75" customHeight="1">
      <c r="A2969" s="2">
        <v>2014.0</v>
      </c>
      <c r="B2969" s="2" t="s">
        <v>14105</v>
      </c>
      <c r="C2969" s="2" t="s">
        <v>14105</v>
      </c>
      <c r="D2969" s="2" t="str">
        <f>"(206) 265-0183"</f>
        <v>(206) 265-0183</v>
      </c>
      <c r="E2969" s="2" t="s">
        <v>339</v>
      </c>
      <c r="F2969" s="2" t="s">
        <v>13036</v>
      </c>
      <c r="G2969" s="2" t="str">
        <f>"SR-4069"</f>
        <v>SR-4069</v>
      </c>
      <c r="H2969" s="2" t="s">
        <v>14106</v>
      </c>
      <c r="I2969" s="2" t="s">
        <v>14107</v>
      </c>
      <c r="K2969" s="2" t="s">
        <v>3118</v>
      </c>
      <c r="L2969" s="2" t="s">
        <v>86</v>
      </c>
      <c r="M2969" s="2">
        <v>98119.0</v>
      </c>
      <c r="N2969" s="2" t="s">
        <v>21</v>
      </c>
    </row>
    <row r="2970" ht="15.75" customHeight="1">
      <c r="A2970" s="2">
        <v>2014.0</v>
      </c>
      <c r="B2970" s="2" t="s">
        <v>14108</v>
      </c>
      <c r="C2970" s="2" t="s">
        <v>14109</v>
      </c>
      <c r="D2970" s="2" t="str">
        <f>"973-948-3559"</f>
        <v>973-948-3559</v>
      </c>
      <c r="E2970" s="2" t="s">
        <v>14110</v>
      </c>
      <c r="F2970" s="2" t="s">
        <v>14111</v>
      </c>
      <c r="G2970" s="2" t="str">
        <f>"SR-4072"</f>
        <v>SR-4072</v>
      </c>
      <c r="H2970" s="2" t="s">
        <v>14112</v>
      </c>
      <c r="I2970" s="2" t="s">
        <v>14113</v>
      </c>
      <c r="J2970" s="2" t="s">
        <v>14114</v>
      </c>
      <c r="K2970" s="2" t="s">
        <v>14115</v>
      </c>
      <c r="L2970" s="2" t="s">
        <v>3618</v>
      </c>
      <c r="M2970" s="2">
        <v>7826.0</v>
      </c>
      <c r="N2970" s="2" t="s">
        <v>21</v>
      </c>
    </row>
    <row r="2971" ht="15.75" customHeight="1">
      <c r="A2971" s="2">
        <v>2014.0</v>
      </c>
      <c r="B2971" s="2" t="s">
        <v>14116</v>
      </c>
      <c r="C2971" s="2" t="s">
        <v>14116</v>
      </c>
      <c r="D2971" s="2" t="str">
        <f>"6054611392"</f>
        <v>6054611392</v>
      </c>
      <c r="E2971" s="2" t="s">
        <v>14117</v>
      </c>
      <c r="F2971" s="2" t="s">
        <v>14118</v>
      </c>
      <c r="G2971" s="2" t="str">
        <f>"SR-3974"</f>
        <v>SR-3974</v>
      </c>
      <c r="H2971" s="2" t="s">
        <v>14119</v>
      </c>
      <c r="I2971" s="2" t="s">
        <v>14120</v>
      </c>
      <c r="K2971" s="2" t="s">
        <v>14121</v>
      </c>
      <c r="L2971" s="2" t="s">
        <v>2534</v>
      </c>
      <c r="M2971" s="2">
        <v>58601.0</v>
      </c>
      <c r="N2971" s="2" t="s">
        <v>21</v>
      </c>
    </row>
    <row r="2972" ht="15.75" customHeight="1">
      <c r="A2972" s="2">
        <v>2014.0</v>
      </c>
      <c r="B2972" s="2" t="s">
        <v>14122</v>
      </c>
      <c r="C2972" s="2" t="s">
        <v>14123</v>
      </c>
      <c r="D2972" s="2" t="str">
        <f>"5178989486"</f>
        <v>5178989486</v>
      </c>
      <c r="E2972" s="2" t="s">
        <v>2243</v>
      </c>
      <c r="F2972" s="2" t="s">
        <v>14124</v>
      </c>
      <c r="G2972" s="2" t="str">
        <f>"SR-3892"</f>
        <v>SR-3892</v>
      </c>
      <c r="H2972" s="2" t="s">
        <v>14125</v>
      </c>
      <c r="I2972" s="2" t="s">
        <v>14126</v>
      </c>
      <c r="K2972" s="2" t="s">
        <v>5335</v>
      </c>
      <c r="L2972" s="2" t="s">
        <v>29</v>
      </c>
      <c r="M2972" s="2">
        <v>48854.0</v>
      </c>
      <c r="N2972" s="2" t="s">
        <v>21</v>
      </c>
    </row>
    <row r="2973" ht="15.75" customHeight="1">
      <c r="A2973" s="2">
        <v>2014.0</v>
      </c>
      <c r="B2973" s="2" t="s">
        <v>14127</v>
      </c>
      <c r="C2973" s="2" t="s">
        <v>14127</v>
      </c>
      <c r="D2973" s="2" t="str">
        <f>"5755263498"</f>
        <v>5755263498</v>
      </c>
      <c r="E2973" s="2" t="s">
        <v>13318</v>
      </c>
      <c r="F2973" s="2" t="s">
        <v>14128</v>
      </c>
      <c r="G2973" s="2" t="str">
        <f>"SR-4065"</f>
        <v>SR-4065</v>
      </c>
      <c r="H2973" s="2" t="s">
        <v>14129</v>
      </c>
      <c r="I2973" s="2" t="s">
        <v>14130</v>
      </c>
      <c r="K2973" s="2" t="s">
        <v>14131</v>
      </c>
      <c r="L2973" s="2" t="s">
        <v>789</v>
      </c>
      <c r="M2973" s="2">
        <v>88001.0</v>
      </c>
      <c r="N2973" s="2" t="s">
        <v>21</v>
      </c>
    </row>
    <row r="2974" ht="15.75" customHeight="1">
      <c r="A2974" s="2">
        <v>2014.0</v>
      </c>
      <c r="B2974" s="2" t="s">
        <v>14132</v>
      </c>
      <c r="C2974" s="2" t="s">
        <v>14133</v>
      </c>
      <c r="D2974" s="2" t="str">
        <f>"419-215-1092"</f>
        <v>419-215-1092</v>
      </c>
      <c r="E2974" s="2" t="s">
        <v>14134</v>
      </c>
      <c r="F2974" s="2" t="s">
        <v>14135</v>
      </c>
      <c r="G2974" s="2" t="str">
        <f>"SR-4082"</f>
        <v>SR-4082</v>
      </c>
      <c r="H2974" s="2" t="s">
        <v>14136</v>
      </c>
      <c r="I2974" s="2" t="s">
        <v>14137</v>
      </c>
      <c r="K2974" s="2" t="s">
        <v>14138</v>
      </c>
      <c r="L2974" s="2" t="s">
        <v>344</v>
      </c>
      <c r="M2974" s="2">
        <v>43571.0</v>
      </c>
      <c r="N2974" s="2" t="s">
        <v>21</v>
      </c>
    </row>
    <row r="2975" ht="15.75" customHeight="1">
      <c r="A2975" s="2">
        <v>2014.0</v>
      </c>
      <c r="B2975" s="2" t="s">
        <v>14132</v>
      </c>
      <c r="C2975" s="2" t="s">
        <v>14139</v>
      </c>
      <c r="D2975" s="2" t="str">
        <f>"567-249-9689"</f>
        <v>567-249-9689</v>
      </c>
      <c r="E2975" s="2" t="s">
        <v>14140</v>
      </c>
      <c r="F2975" s="2" t="s">
        <v>14135</v>
      </c>
      <c r="G2975" s="2" t="str">
        <f>"SR-4083"</f>
        <v>SR-4083</v>
      </c>
      <c r="H2975" s="2" t="s">
        <v>14141</v>
      </c>
      <c r="I2975" s="2" t="s">
        <v>14137</v>
      </c>
      <c r="K2975" s="2" t="s">
        <v>14138</v>
      </c>
      <c r="L2975" s="2" t="s">
        <v>344</v>
      </c>
      <c r="M2975" s="2">
        <v>43571.0</v>
      </c>
      <c r="N2975" s="2" t="s">
        <v>21</v>
      </c>
    </row>
    <row r="2976" ht="15.75" customHeight="1">
      <c r="A2976" s="2">
        <v>2014.0</v>
      </c>
      <c r="B2976" s="2" t="s">
        <v>14132</v>
      </c>
      <c r="C2976" s="2" t="s">
        <v>14142</v>
      </c>
      <c r="D2976" s="2" t="str">
        <f>"567-249-9688"</f>
        <v>567-249-9688</v>
      </c>
      <c r="E2976" s="2" t="s">
        <v>14143</v>
      </c>
      <c r="F2976" s="2" t="s">
        <v>14135</v>
      </c>
      <c r="G2976" s="2" t="str">
        <f>"SR-4084"</f>
        <v>SR-4084</v>
      </c>
      <c r="H2976" s="2" t="s">
        <v>14144</v>
      </c>
      <c r="I2976" s="2" t="s">
        <v>14137</v>
      </c>
      <c r="K2976" s="2" t="s">
        <v>14138</v>
      </c>
      <c r="L2976" s="2" t="s">
        <v>344</v>
      </c>
      <c r="M2976" s="2">
        <v>43571.0</v>
      </c>
      <c r="N2976" s="2" t="s">
        <v>21</v>
      </c>
    </row>
    <row r="2977" ht="15.75" customHeight="1">
      <c r="A2977" s="2">
        <v>2014.0</v>
      </c>
      <c r="B2977" s="2" t="s">
        <v>14145</v>
      </c>
      <c r="C2977" s="2" t="s">
        <v>14145</v>
      </c>
      <c r="D2977" s="2" t="str">
        <f>"817-600-5345"</f>
        <v>817-600-5345</v>
      </c>
      <c r="E2977" s="2" t="s">
        <v>2424</v>
      </c>
      <c r="F2977" s="2" t="s">
        <v>14146</v>
      </c>
      <c r="G2977" s="2" t="str">
        <f>"SR-4071"</f>
        <v>SR-4071</v>
      </c>
      <c r="H2977" s="2" t="s">
        <v>14147</v>
      </c>
      <c r="I2977" s="2" t="s">
        <v>14148</v>
      </c>
      <c r="K2977" s="2" t="s">
        <v>6017</v>
      </c>
      <c r="L2977" s="2" t="s">
        <v>172</v>
      </c>
      <c r="M2977" s="2">
        <v>76008.0</v>
      </c>
      <c r="N2977" s="2" t="s">
        <v>21</v>
      </c>
    </row>
    <row r="2978" ht="15.75" customHeight="1">
      <c r="A2978" s="2">
        <v>2014.0</v>
      </c>
      <c r="B2978" s="2" t="s">
        <v>14149</v>
      </c>
      <c r="C2978" s="2" t="s">
        <v>14149</v>
      </c>
      <c r="D2978" s="2" t="str">
        <f>"817-888-5081"</f>
        <v>817-888-5081</v>
      </c>
      <c r="E2978" s="2" t="s">
        <v>14150</v>
      </c>
      <c r="F2978" s="2" t="s">
        <v>14146</v>
      </c>
      <c r="G2978" s="2" t="str">
        <f>"SR-4073"</f>
        <v>SR-4073</v>
      </c>
      <c r="H2978" s="2" t="s">
        <v>14151</v>
      </c>
      <c r="I2978" s="2" t="s">
        <v>14148</v>
      </c>
      <c r="K2978" s="2" t="s">
        <v>6017</v>
      </c>
      <c r="L2978" s="2" t="s">
        <v>172</v>
      </c>
      <c r="M2978" s="2">
        <v>76008.0</v>
      </c>
      <c r="N2978" s="2" t="s">
        <v>21</v>
      </c>
    </row>
    <row r="2979" ht="15.75" customHeight="1">
      <c r="A2979" s="2">
        <v>2014.0</v>
      </c>
      <c r="B2979" s="2" t="s">
        <v>14152</v>
      </c>
      <c r="C2979" s="2" t="s">
        <v>14153</v>
      </c>
      <c r="D2979" s="2" t="str">
        <f>"305-903-0447"</f>
        <v>305-903-0447</v>
      </c>
      <c r="E2979" s="2" t="s">
        <v>5760</v>
      </c>
      <c r="F2979" s="2" t="s">
        <v>14154</v>
      </c>
      <c r="G2979" s="2" t="str">
        <f>"SR-4094"</f>
        <v>SR-4094</v>
      </c>
      <c r="H2979" s="2" t="s">
        <v>14155</v>
      </c>
      <c r="I2979" s="2" t="s">
        <v>14156</v>
      </c>
      <c r="K2979" s="2" t="s">
        <v>2211</v>
      </c>
      <c r="L2979" s="2" t="s">
        <v>208</v>
      </c>
      <c r="M2979" s="2">
        <v>33156.0</v>
      </c>
      <c r="N2979" s="2" t="s">
        <v>21</v>
      </c>
    </row>
    <row r="2980" ht="15.75" customHeight="1">
      <c r="A2980" s="2">
        <v>2014.0</v>
      </c>
      <c r="B2980" s="2" t="s">
        <v>14157</v>
      </c>
      <c r="C2980" s="2" t="s">
        <v>14157</v>
      </c>
      <c r="D2980" s="2" t="str">
        <f>"303-956-1520"</f>
        <v>303-956-1520</v>
      </c>
      <c r="E2980" s="2" t="s">
        <v>14158</v>
      </c>
      <c r="F2980" s="2" t="s">
        <v>14159</v>
      </c>
      <c r="G2980" s="2" t="str">
        <f>"SR-3714"</f>
        <v>SR-3714</v>
      </c>
      <c r="H2980" s="2" t="s">
        <v>14160</v>
      </c>
      <c r="I2980" s="2" t="s">
        <v>14161</v>
      </c>
      <c r="K2980" s="2" t="s">
        <v>14162</v>
      </c>
      <c r="L2980" s="2" t="s">
        <v>157</v>
      </c>
      <c r="M2980" s="2">
        <v>80111.0</v>
      </c>
      <c r="N2980" s="2" t="s">
        <v>21</v>
      </c>
    </row>
    <row r="2981" ht="15.75" customHeight="1">
      <c r="A2981" s="2">
        <v>2014.0</v>
      </c>
      <c r="B2981" s="2" t="s">
        <v>14163</v>
      </c>
      <c r="C2981" s="2" t="s">
        <v>14163</v>
      </c>
      <c r="D2981" s="2" t="str">
        <f>"907-268-3110"</f>
        <v>907-268-3110</v>
      </c>
      <c r="E2981" s="2" t="s">
        <v>2384</v>
      </c>
      <c r="F2981" s="2" t="s">
        <v>14164</v>
      </c>
      <c r="G2981" s="2" t="str">
        <f>"SR-4088"</f>
        <v>SR-4088</v>
      </c>
      <c r="H2981" s="2" t="s">
        <v>14165</v>
      </c>
      <c r="I2981" s="2" t="s">
        <v>14166</v>
      </c>
      <c r="K2981" s="2" t="s">
        <v>1729</v>
      </c>
      <c r="L2981" s="2" t="s">
        <v>70</v>
      </c>
      <c r="M2981" s="2">
        <v>99577.0</v>
      </c>
      <c r="N2981" s="2" t="s">
        <v>21</v>
      </c>
    </row>
    <row r="2982" ht="15.75" customHeight="1">
      <c r="A2982" s="2">
        <v>2014.0</v>
      </c>
      <c r="B2982" s="2" t="s">
        <v>14167</v>
      </c>
      <c r="C2982" s="2" t="s">
        <v>14168</v>
      </c>
      <c r="D2982" s="2" t="str">
        <f>"9374679167"</f>
        <v>9374679167</v>
      </c>
      <c r="E2982" s="2" t="s">
        <v>4469</v>
      </c>
      <c r="F2982" s="2" t="s">
        <v>14169</v>
      </c>
      <c r="G2982" s="2" t="str">
        <f>"SR-4091"</f>
        <v>SR-4091</v>
      </c>
      <c r="H2982" s="2" t="s">
        <v>14170</v>
      </c>
      <c r="I2982" s="2" t="s">
        <v>14171</v>
      </c>
      <c r="K2982" s="2" t="s">
        <v>14172</v>
      </c>
      <c r="L2982" s="2" t="s">
        <v>344</v>
      </c>
      <c r="M2982" s="2">
        <v>45331.0</v>
      </c>
      <c r="N2982" s="2" t="s">
        <v>21</v>
      </c>
    </row>
    <row r="2983" ht="15.75" customHeight="1">
      <c r="A2983" s="2">
        <v>2014.0</v>
      </c>
      <c r="B2983" s="2" t="s">
        <v>14173</v>
      </c>
      <c r="C2983" s="2" t="s">
        <v>14173</v>
      </c>
      <c r="D2983" s="2" t="str">
        <f>"817-901-5641"</f>
        <v>817-901-5641</v>
      </c>
      <c r="E2983" s="2" t="s">
        <v>14174</v>
      </c>
      <c r="F2983" s="2" t="s">
        <v>14146</v>
      </c>
      <c r="G2983" s="2" t="str">
        <f>"SR-4074"</f>
        <v>SR-4074</v>
      </c>
      <c r="H2983" s="2" t="s">
        <v>14175</v>
      </c>
      <c r="I2983" s="2" t="s">
        <v>14148</v>
      </c>
      <c r="K2983" s="2" t="s">
        <v>6017</v>
      </c>
      <c r="L2983" s="2" t="s">
        <v>172</v>
      </c>
      <c r="M2983" s="2">
        <v>76008.0</v>
      </c>
      <c r="N2983" s="2" t="s">
        <v>21</v>
      </c>
    </row>
    <row r="2984" ht="15.75" customHeight="1">
      <c r="A2984" s="2">
        <v>2014.0</v>
      </c>
      <c r="B2984" s="2" t="s">
        <v>14176</v>
      </c>
      <c r="C2984" s="2" t="s">
        <v>14176</v>
      </c>
      <c r="D2984" s="2" t="str">
        <f>"(509)945-4809"</f>
        <v>(509)945-4809</v>
      </c>
      <c r="E2984" s="2" t="s">
        <v>385</v>
      </c>
      <c r="F2984" s="2" t="s">
        <v>5981</v>
      </c>
      <c r="G2984" s="2" t="str">
        <f>"SR-4098"</f>
        <v>SR-4098</v>
      </c>
      <c r="H2984" s="2" t="s">
        <v>14177</v>
      </c>
      <c r="I2984" s="2" t="s">
        <v>14178</v>
      </c>
      <c r="K2984" s="2" t="s">
        <v>12228</v>
      </c>
      <c r="L2984" s="2" t="s">
        <v>86</v>
      </c>
      <c r="M2984" s="2">
        <v>98901.0</v>
      </c>
      <c r="N2984" s="2" t="s">
        <v>21</v>
      </c>
    </row>
    <row r="2985" ht="15.75" customHeight="1">
      <c r="A2985" s="2">
        <v>2014.0</v>
      </c>
      <c r="B2985" s="2" t="s">
        <v>14179</v>
      </c>
      <c r="C2985" s="2" t="s">
        <v>14180</v>
      </c>
      <c r="D2985" s="2" t="str">
        <f>"541-910-8808"</f>
        <v>541-910-8808</v>
      </c>
      <c r="E2985" s="2" t="s">
        <v>14181</v>
      </c>
      <c r="F2985" s="2" t="s">
        <v>14182</v>
      </c>
      <c r="G2985" s="2" t="str">
        <f>"SR-4086"</f>
        <v>SR-4086</v>
      </c>
      <c r="H2985" s="2" t="s">
        <v>14183</v>
      </c>
      <c r="I2985" s="2" t="s">
        <v>14184</v>
      </c>
      <c r="K2985" s="2" t="s">
        <v>14185</v>
      </c>
      <c r="L2985" s="2" t="s">
        <v>2389</v>
      </c>
      <c r="M2985" s="2">
        <v>97850.0</v>
      </c>
      <c r="N2985" s="2" t="s">
        <v>21</v>
      </c>
    </row>
    <row r="2986" ht="15.75" customHeight="1">
      <c r="A2986" s="2">
        <v>2014.0</v>
      </c>
      <c r="B2986" s="2" t="s">
        <v>14186</v>
      </c>
      <c r="C2986" s="2" t="s">
        <v>14187</v>
      </c>
      <c r="D2986" s="2" t="str">
        <f>"2817615446"</f>
        <v>2817615446</v>
      </c>
      <c r="E2986" s="2" t="s">
        <v>14188</v>
      </c>
      <c r="F2986" s="2" t="s">
        <v>14189</v>
      </c>
      <c r="G2986" s="2" t="str">
        <f>"SR-4104"</f>
        <v>SR-4104</v>
      </c>
      <c r="H2986" s="2" t="s">
        <v>14190</v>
      </c>
      <c r="I2986" s="2" t="s">
        <v>14191</v>
      </c>
      <c r="K2986" s="2" t="s">
        <v>4350</v>
      </c>
      <c r="L2986" s="2" t="s">
        <v>172</v>
      </c>
      <c r="M2986" s="2">
        <v>77375.0</v>
      </c>
      <c r="N2986" s="2" t="s">
        <v>21</v>
      </c>
    </row>
    <row r="2987" ht="15.75" customHeight="1">
      <c r="A2987" s="2">
        <v>2014.0</v>
      </c>
      <c r="B2987" s="2" t="s">
        <v>14192</v>
      </c>
      <c r="C2987" s="2" t="s">
        <v>14192</v>
      </c>
      <c r="D2987" s="2" t="str">
        <f>"15403504105"</f>
        <v>15403504105</v>
      </c>
      <c r="E2987" s="2" t="s">
        <v>9513</v>
      </c>
      <c r="F2987" s="2" t="s">
        <v>14193</v>
      </c>
      <c r="G2987" s="2" t="str">
        <f>"SR-4033"</f>
        <v>SR-4033</v>
      </c>
      <c r="H2987" s="2" t="s">
        <v>14194</v>
      </c>
      <c r="I2987" s="2" t="s">
        <v>14195</v>
      </c>
      <c r="K2987" s="2" t="s">
        <v>14196</v>
      </c>
      <c r="L2987" s="2" t="s">
        <v>165</v>
      </c>
      <c r="M2987" s="2">
        <v>22843.0</v>
      </c>
      <c r="N2987" s="2" t="s">
        <v>21</v>
      </c>
    </row>
    <row r="2988" ht="15.75" customHeight="1">
      <c r="A2988" s="2">
        <v>2014.0</v>
      </c>
      <c r="B2988" s="2" t="s">
        <v>14197</v>
      </c>
      <c r="C2988" s="2" t="s">
        <v>14197</v>
      </c>
      <c r="D2988" s="2" t="str">
        <f>"970-290-8533"</f>
        <v>970-290-8533</v>
      </c>
      <c r="E2988" s="2" t="s">
        <v>14198</v>
      </c>
      <c r="F2988" s="2" t="s">
        <v>12185</v>
      </c>
      <c r="G2988" s="2" t="str">
        <f>"SR-4108"</f>
        <v>SR-4108</v>
      </c>
      <c r="H2988" s="2" t="s">
        <v>14199</v>
      </c>
      <c r="I2988" s="2" t="s">
        <v>14200</v>
      </c>
      <c r="K2988" s="2" t="s">
        <v>5805</v>
      </c>
      <c r="L2988" s="2" t="s">
        <v>157</v>
      </c>
      <c r="M2988" s="2">
        <v>80513.0</v>
      </c>
      <c r="N2988" s="2" t="s">
        <v>21</v>
      </c>
    </row>
    <row r="2989" ht="15.75" customHeight="1">
      <c r="A2989" s="2">
        <v>2014.0</v>
      </c>
      <c r="B2989" s="2" t="s">
        <v>14201</v>
      </c>
      <c r="C2989" s="2" t="s">
        <v>14201</v>
      </c>
      <c r="D2989" s="2" t="str">
        <f>"9709016384"</f>
        <v>9709016384</v>
      </c>
      <c r="E2989" s="2" t="s">
        <v>144</v>
      </c>
      <c r="F2989" s="2" t="s">
        <v>14202</v>
      </c>
      <c r="G2989" s="2" t="str">
        <f>"SR-4107"</f>
        <v>SR-4107</v>
      </c>
      <c r="H2989" s="2" t="s">
        <v>14203</v>
      </c>
      <c r="I2989" s="2" t="s">
        <v>14204</v>
      </c>
      <c r="K2989" s="2" t="s">
        <v>11358</v>
      </c>
      <c r="L2989" s="2" t="s">
        <v>157</v>
      </c>
      <c r="M2989" s="2">
        <v>81521.0</v>
      </c>
      <c r="N2989" s="2" t="s">
        <v>21</v>
      </c>
    </row>
    <row r="2990" ht="15.75" customHeight="1">
      <c r="A2990" s="2">
        <v>2014.0</v>
      </c>
      <c r="B2990" s="2" t="s">
        <v>14205</v>
      </c>
      <c r="C2990" s="2" t="s">
        <v>14206</v>
      </c>
      <c r="D2990" s="2" t="str">
        <f>"734-487-9050"</f>
        <v>734-487-9050</v>
      </c>
      <c r="E2990" s="2" t="s">
        <v>696</v>
      </c>
      <c r="F2990" s="2" t="s">
        <v>14207</v>
      </c>
      <c r="G2990" s="2" t="str">
        <f>"SR-3962"</f>
        <v>SR-3962</v>
      </c>
      <c r="H2990" s="2" t="s">
        <v>14208</v>
      </c>
      <c r="I2990" s="2" t="s">
        <v>14209</v>
      </c>
      <c r="K2990" s="2" t="s">
        <v>14210</v>
      </c>
      <c r="L2990" s="2" t="s">
        <v>29</v>
      </c>
      <c r="M2990" s="2">
        <v>48197.0</v>
      </c>
      <c r="N2990" s="2" t="s">
        <v>21</v>
      </c>
    </row>
    <row r="2991" ht="15.75" customHeight="1">
      <c r="A2991" s="2">
        <v>2014.0</v>
      </c>
      <c r="B2991" s="2" t="s">
        <v>14211</v>
      </c>
      <c r="C2991" s="2" t="s">
        <v>14212</v>
      </c>
      <c r="D2991" s="2" t="str">
        <f>"406-669-3817"</f>
        <v>406-669-3817</v>
      </c>
      <c r="E2991" s="2" t="s">
        <v>2158</v>
      </c>
      <c r="F2991" s="2" t="s">
        <v>14213</v>
      </c>
      <c r="G2991" s="2" t="str">
        <f>"SR-4113"</f>
        <v>SR-4113</v>
      </c>
      <c r="H2991" s="2" t="s">
        <v>14214</v>
      </c>
      <c r="I2991" s="2" t="s">
        <v>14215</v>
      </c>
      <c r="K2991" s="2" t="s">
        <v>3548</v>
      </c>
      <c r="L2991" s="2" t="s">
        <v>2696</v>
      </c>
      <c r="M2991" s="2">
        <v>59102.0</v>
      </c>
      <c r="N2991" s="2" t="s">
        <v>21</v>
      </c>
    </row>
    <row r="2992" ht="15.75" customHeight="1">
      <c r="A2992" s="2">
        <v>2014.0</v>
      </c>
      <c r="B2992" s="2" t="s">
        <v>14216</v>
      </c>
      <c r="C2992" s="2" t="s">
        <v>14217</v>
      </c>
      <c r="D2992" s="2" t="str">
        <f>"7195479110"</f>
        <v>7195479110</v>
      </c>
      <c r="E2992" s="2" t="s">
        <v>339</v>
      </c>
      <c r="F2992" s="2" t="s">
        <v>7396</v>
      </c>
      <c r="G2992" s="2" t="str">
        <f>"SR-4117"</f>
        <v>SR-4117</v>
      </c>
      <c r="H2992" s="2" t="s">
        <v>14218</v>
      </c>
      <c r="I2992" s="2" t="s">
        <v>7472</v>
      </c>
      <c r="K2992" s="2" t="s">
        <v>7473</v>
      </c>
      <c r="L2992" s="2" t="s">
        <v>157</v>
      </c>
      <c r="M2992" s="2">
        <v>81007.0</v>
      </c>
      <c r="N2992" s="2" t="s">
        <v>21</v>
      </c>
    </row>
    <row r="2993" ht="15.75" customHeight="1">
      <c r="A2993" s="2">
        <v>2014.0</v>
      </c>
      <c r="B2993" s="2" t="s">
        <v>7535</v>
      </c>
      <c r="C2993" s="2" t="s">
        <v>14219</v>
      </c>
      <c r="D2993" s="2" t="str">
        <f>"260-515-7152"</f>
        <v>260-515-7152</v>
      </c>
      <c r="E2993" s="2" t="s">
        <v>705</v>
      </c>
      <c r="F2993" s="2" t="s">
        <v>7537</v>
      </c>
      <c r="G2993" s="2" t="str">
        <f>"SR-3519"</f>
        <v>SR-3519</v>
      </c>
      <c r="H2993" s="2" t="s">
        <v>14220</v>
      </c>
      <c r="I2993" s="2" t="s">
        <v>14221</v>
      </c>
      <c r="K2993" s="2" t="s">
        <v>14222</v>
      </c>
      <c r="L2993" s="2" t="s">
        <v>165</v>
      </c>
      <c r="M2993" s="2">
        <v>22625.0</v>
      </c>
      <c r="N2993" s="2" t="s">
        <v>21</v>
      </c>
    </row>
    <row r="2994" ht="15.75" customHeight="1">
      <c r="A2994" s="2">
        <v>2014.0</v>
      </c>
      <c r="B2994" s="2" t="s">
        <v>8202</v>
      </c>
      <c r="C2994" s="2" t="s">
        <v>8203</v>
      </c>
      <c r="D2994" s="2" t="str">
        <f>"(251) 368-1275"</f>
        <v>(251) 368-1275</v>
      </c>
      <c r="E2994" s="2" t="s">
        <v>15</v>
      </c>
      <c r="F2994" s="2" t="s">
        <v>8204</v>
      </c>
      <c r="G2994" s="2" t="str">
        <f>"SR-2250"</f>
        <v>SR-2250</v>
      </c>
      <c r="H2994" s="2" t="s">
        <v>8205</v>
      </c>
      <c r="I2994" s="2" t="s">
        <v>8206</v>
      </c>
      <c r="J2994" s="2" t="s">
        <v>8207</v>
      </c>
      <c r="K2994" s="2" t="s">
        <v>8208</v>
      </c>
      <c r="L2994" s="2" t="s">
        <v>539</v>
      </c>
      <c r="M2994" s="2">
        <v>36502.0</v>
      </c>
      <c r="N2994" s="2" t="s">
        <v>21</v>
      </c>
    </row>
    <row r="2995" ht="15.75" customHeight="1">
      <c r="A2995" s="2">
        <v>2014.0</v>
      </c>
      <c r="B2995" s="2" t="s">
        <v>14223</v>
      </c>
      <c r="C2995" s="2" t="s">
        <v>14224</v>
      </c>
      <c r="D2995" s="2" t="str">
        <f>"734-997-9721"</f>
        <v>734-997-9721</v>
      </c>
      <c r="E2995" s="2" t="s">
        <v>417</v>
      </c>
      <c r="F2995" s="2" t="s">
        <v>14225</v>
      </c>
      <c r="G2995" s="2" t="str">
        <f>"SR-3691"</f>
        <v>SR-3691</v>
      </c>
      <c r="H2995" s="2" t="s">
        <v>14226</v>
      </c>
      <c r="I2995" s="2" t="s">
        <v>14227</v>
      </c>
      <c r="K2995" s="2" t="s">
        <v>4746</v>
      </c>
      <c r="L2995" s="2" t="s">
        <v>29</v>
      </c>
      <c r="M2995" s="2">
        <v>48108.0</v>
      </c>
      <c r="N2995" s="2" t="s">
        <v>21</v>
      </c>
    </row>
    <row r="2996" ht="15.75" customHeight="1">
      <c r="A2996" s="2">
        <v>2014.0</v>
      </c>
      <c r="B2996" s="2" t="s">
        <v>14228</v>
      </c>
      <c r="C2996" s="2" t="s">
        <v>14228</v>
      </c>
      <c r="D2996" s="2" t="str">
        <f>"772-9781648"</f>
        <v>772-9781648</v>
      </c>
      <c r="E2996" s="2" t="s">
        <v>14229</v>
      </c>
      <c r="F2996" s="2" t="s">
        <v>14230</v>
      </c>
      <c r="G2996" s="2" t="str">
        <f>"SR-3775"</f>
        <v>SR-3775</v>
      </c>
      <c r="H2996" s="2" t="s">
        <v>14231</v>
      </c>
      <c r="I2996" s="2" t="s">
        <v>14232</v>
      </c>
      <c r="K2996" s="2" t="s">
        <v>11560</v>
      </c>
      <c r="L2996" s="2" t="s">
        <v>208</v>
      </c>
      <c r="M2996" s="2">
        <v>32966.0</v>
      </c>
      <c r="N2996" s="2" t="s">
        <v>21</v>
      </c>
    </row>
    <row r="2997" ht="15.75" customHeight="1">
      <c r="A2997" s="2">
        <v>2014.0</v>
      </c>
      <c r="B2997" s="2" t="s">
        <v>14098</v>
      </c>
      <c r="C2997" s="2" t="s">
        <v>14098</v>
      </c>
      <c r="D2997" s="2" t="str">
        <f>"8302371398"</f>
        <v>8302371398</v>
      </c>
      <c r="E2997" s="2" t="s">
        <v>14233</v>
      </c>
      <c r="F2997" s="2" t="s">
        <v>14101</v>
      </c>
      <c r="G2997" s="2" t="str">
        <f>"SR-4070"</f>
        <v>SR-4070</v>
      </c>
      <c r="H2997" s="2" t="s">
        <v>14234</v>
      </c>
      <c r="I2997" s="2" t="s">
        <v>14235</v>
      </c>
      <c r="K2997" s="2" t="s">
        <v>14104</v>
      </c>
      <c r="L2997" s="2" t="s">
        <v>172</v>
      </c>
      <c r="M2997" s="2">
        <v>78131.0</v>
      </c>
      <c r="N2997" s="2" t="s">
        <v>21</v>
      </c>
    </row>
    <row r="2998" ht="15.75" customHeight="1">
      <c r="A2998" s="2">
        <v>2014.0</v>
      </c>
      <c r="B2998" s="2" t="s">
        <v>14236</v>
      </c>
      <c r="C2998" s="2" t="s">
        <v>14237</v>
      </c>
      <c r="D2998" s="2" t="str">
        <f t="shared" ref="D2998:D2999" si="48">"214-908-3833"</f>
        <v>214-908-3833</v>
      </c>
      <c r="E2998" s="2" t="s">
        <v>261</v>
      </c>
      <c r="F2998" s="2" t="s">
        <v>14238</v>
      </c>
      <c r="G2998" s="2" t="str">
        <f>"SR-4122"</f>
        <v>SR-4122</v>
      </c>
      <c r="H2998" s="2" t="s">
        <v>14239</v>
      </c>
      <c r="I2998" s="2" t="s">
        <v>14240</v>
      </c>
      <c r="K2998" s="2" t="s">
        <v>2934</v>
      </c>
      <c r="L2998" s="2" t="s">
        <v>172</v>
      </c>
      <c r="M2998" s="2">
        <v>75116.0</v>
      </c>
      <c r="N2998" s="2" t="s">
        <v>21</v>
      </c>
    </row>
    <row r="2999" ht="15.75" customHeight="1">
      <c r="A2999" s="2">
        <v>2014.0</v>
      </c>
      <c r="B2999" s="2" t="s">
        <v>14236</v>
      </c>
      <c r="C2999" s="2" t="s">
        <v>14241</v>
      </c>
      <c r="D2999" s="2" t="str">
        <f t="shared" si="48"/>
        <v>214-908-3833</v>
      </c>
      <c r="E2999" s="2" t="s">
        <v>580</v>
      </c>
      <c r="F2999" s="2" t="s">
        <v>14238</v>
      </c>
      <c r="G2999" s="2" t="str">
        <f>"SR-4123"</f>
        <v>SR-4123</v>
      </c>
      <c r="H2999" s="2" t="s">
        <v>14242</v>
      </c>
      <c r="I2999" s="2" t="s">
        <v>14240</v>
      </c>
      <c r="K2999" s="2" t="s">
        <v>2934</v>
      </c>
      <c r="L2999" s="2" t="s">
        <v>172</v>
      </c>
      <c r="M2999" s="2">
        <v>75116.0</v>
      </c>
      <c r="N2999" s="2" t="s">
        <v>21</v>
      </c>
    </row>
    <row r="3000" ht="15.75" customHeight="1">
      <c r="A3000" s="2">
        <v>2014.0</v>
      </c>
      <c r="B3000" s="2" t="s">
        <v>14243</v>
      </c>
      <c r="C3000" s="2" t="s">
        <v>14243</v>
      </c>
      <c r="D3000" s="2" t="str">
        <f>"4236531828"</f>
        <v>4236531828</v>
      </c>
      <c r="E3000" s="2" t="s">
        <v>2243</v>
      </c>
      <c r="F3000" s="2" t="s">
        <v>14244</v>
      </c>
      <c r="G3000" s="2" t="str">
        <f>"SR-4059"</f>
        <v>SR-4059</v>
      </c>
      <c r="H3000" s="2" t="s">
        <v>14245</v>
      </c>
      <c r="I3000" s="2" t="s">
        <v>14246</v>
      </c>
      <c r="K3000" s="2" t="s">
        <v>14247</v>
      </c>
      <c r="L3000" s="2" t="s">
        <v>279</v>
      </c>
      <c r="M3000" s="2">
        <v>37363.0</v>
      </c>
      <c r="N3000" s="2" t="s">
        <v>21</v>
      </c>
    </row>
    <row r="3001" ht="15.75" customHeight="1">
      <c r="A3001" s="2">
        <v>2014.0</v>
      </c>
      <c r="B3001" s="2" t="s">
        <v>14248</v>
      </c>
      <c r="C3001" s="2" t="s">
        <v>14248</v>
      </c>
      <c r="D3001" s="2" t="str">
        <f>"541-786-3391"</f>
        <v>541-786-3391</v>
      </c>
      <c r="E3001" s="2" t="s">
        <v>14249</v>
      </c>
      <c r="F3001" s="2" t="s">
        <v>14182</v>
      </c>
      <c r="G3001" s="2" t="str">
        <f>"SR-4087"</f>
        <v>SR-4087</v>
      </c>
      <c r="H3001" s="2" t="s">
        <v>14250</v>
      </c>
      <c r="I3001" s="2" t="s">
        <v>14251</v>
      </c>
      <c r="K3001" s="2" t="s">
        <v>14185</v>
      </c>
      <c r="L3001" s="2" t="s">
        <v>2389</v>
      </c>
      <c r="M3001" s="2">
        <v>97850.0</v>
      </c>
      <c r="N3001" s="2" t="s">
        <v>21</v>
      </c>
    </row>
    <row r="3002" ht="15.75" customHeight="1">
      <c r="A3002" s="2">
        <v>2014.0</v>
      </c>
      <c r="B3002" s="2" t="s">
        <v>14252</v>
      </c>
      <c r="C3002" s="2" t="s">
        <v>14253</v>
      </c>
      <c r="D3002" s="2" t="str">
        <f>"831.637-7367"</f>
        <v>831.637-7367</v>
      </c>
      <c r="E3002" s="2" t="s">
        <v>528</v>
      </c>
      <c r="F3002" s="2" t="s">
        <v>14254</v>
      </c>
      <c r="G3002" s="2" t="str">
        <f>"SR-4105"</f>
        <v>SR-4105</v>
      </c>
      <c r="H3002" s="2" t="s">
        <v>14255</v>
      </c>
      <c r="I3002" s="2" t="s">
        <v>14256</v>
      </c>
      <c r="K3002" s="2" t="s">
        <v>14257</v>
      </c>
      <c r="L3002" s="2" t="s">
        <v>222</v>
      </c>
      <c r="M3002" s="2">
        <v>95023.0</v>
      </c>
      <c r="N3002" s="2" t="s">
        <v>21</v>
      </c>
    </row>
    <row r="3003" ht="15.75" customHeight="1">
      <c r="A3003" s="2">
        <v>2014.0</v>
      </c>
      <c r="B3003" s="2" t="s">
        <v>5109</v>
      </c>
      <c r="C3003" s="2" t="s">
        <v>14258</v>
      </c>
      <c r="D3003" s="2" t="str">
        <f>"8508410458"</f>
        <v>8508410458</v>
      </c>
      <c r="E3003" s="2" t="s">
        <v>160</v>
      </c>
      <c r="F3003" s="2" t="s">
        <v>5111</v>
      </c>
      <c r="G3003" s="2" t="str">
        <f>"SR-2831"</f>
        <v>SR-2831</v>
      </c>
      <c r="H3003" s="2" t="s">
        <v>14259</v>
      </c>
      <c r="I3003" s="2" t="s">
        <v>14260</v>
      </c>
      <c r="J3003" s="2" t="s">
        <v>14261</v>
      </c>
      <c r="K3003" s="2" t="s">
        <v>4310</v>
      </c>
      <c r="L3003" s="2" t="s">
        <v>208</v>
      </c>
      <c r="M3003" s="2">
        <v>37321.0</v>
      </c>
      <c r="N3003" s="2" t="s">
        <v>21</v>
      </c>
    </row>
    <row r="3004" ht="15.75" customHeight="1">
      <c r="A3004" s="2">
        <v>2014.0</v>
      </c>
      <c r="B3004" s="2" t="s">
        <v>4655</v>
      </c>
      <c r="C3004" s="2" t="s">
        <v>14262</v>
      </c>
      <c r="D3004" s="2" t="str">
        <f>"804-569-1501"</f>
        <v>804-569-1501</v>
      </c>
      <c r="E3004" s="2" t="s">
        <v>1614</v>
      </c>
      <c r="F3004" s="2" t="s">
        <v>4657</v>
      </c>
      <c r="G3004" s="2" t="str">
        <f>"SR-4128"</f>
        <v>SR-4128</v>
      </c>
      <c r="H3004" s="2" t="s">
        <v>14263</v>
      </c>
      <c r="I3004" s="2" t="s">
        <v>4659</v>
      </c>
      <c r="K3004" s="2" t="s">
        <v>4216</v>
      </c>
      <c r="L3004" s="2" t="s">
        <v>165</v>
      </c>
      <c r="M3004" s="2">
        <v>23228.0</v>
      </c>
      <c r="N3004" s="2" t="s">
        <v>21</v>
      </c>
    </row>
    <row r="3005" ht="15.75" customHeight="1">
      <c r="A3005" s="2">
        <v>2014.0</v>
      </c>
      <c r="B3005" s="2" t="s">
        <v>14264</v>
      </c>
      <c r="C3005" s="2" t="s">
        <v>14264</v>
      </c>
      <c r="D3005" s="2" t="str">
        <f>"7192105909"</f>
        <v>7192105909</v>
      </c>
      <c r="E3005" s="2" t="s">
        <v>167</v>
      </c>
      <c r="F3005" s="2" t="s">
        <v>14265</v>
      </c>
      <c r="G3005" s="2" t="str">
        <f>"SR-4005"</f>
        <v>SR-4005</v>
      </c>
      <c r="H3005" s="2" t="s">
        <v>14266</v>
      </c>
      <c r="I3005" s="2" t="s">
        <v>14267</v>
      </c>
      <c r="K3005" s="2" t="s">
        <v>809</v>
      </c>
      <c r="L3005" s="2" t="s">
        <v>157</v>
      </c>
      <c r="M3005" s="2">
        <v>80919.0</v>
      </c>
      <c r="N3005" s="2" t="s">
        <v>21</v>
      </c>
    </row>
    <row r="3006" ht="15.75" customHeight="1">
      <c r="A3006" s="2">
        <v>2014.0</v>
      </c>
      <c r="B3006" s="2" t="s">
        <v>14268</v>
      </c>
      <c r="C3006" s="2" t="s">
        <v>14269</v>
      </c>
      <c r="D3006" s="2" t="str">
        <f>"316-761-0959"</f>
        <v>316-761-0959</v>
      </c>
      <c r="E3006" s="2" t="s">
        <v>1761</v>
      </c>
      <c r="F3006" s="2" t="s">
        <v>14270</v>
      </c>
      <c r="G3006" s="2" t="str">
        <f>"SR-4100"</f>
        <v>SR-4100</v>
      </c>
      <c r="H3006" s="2" t="s">
        <v>14271</v>
      </c>
      <c r="I3006" s="2" t="s">
        <v>14272</v>
      </c>
      <c r="K3006" s="2" t="s">
        <v>606</v>
      </c>
      <c r="L3006" s="2" t="s">
        <v>272</v>
      </c>
      <c r="M3006" s="2">
        <v>67204.0</v>
      </c>
      <c r="N3006" s="2" t="s">
        <v>21</v>
      </c>
    </row>
    <row r="3007" ht="15.75" customHeight="1">
      <c r="A3007" s="2">
        <v>2014.0</v>
      </c>
      <c r="B3007" s="2" t="s">
        <v>14273</v>
      </c>
      <c r="C3007" s="2" t="s">
        <v>14273</v>
      </c>
      <c r="D3007" s="2" t="str">
        <f>"979-204-8142"</f>
        <v>979-204-8142</v>
      </c>
      <c r="E3007" s="2" t="s">
        <v>1548</v>
      </c>
      <c r="F3007" s="2" t="s">
        <v>14274</v>
      </c>
      <c r="G3007" s="2" t="str">
        <f>"SR-4109"</f>
        <v>SR-4109</v>
      </c>
      <c r="H3007" s="2" t="s">
        <v>14275</v>
      </c>
      <c r="I3007" s="2" t="s">
        <v>14276</v>
      </c>
      <c r="K3007" s="2" t="s">
        <v>1190</v>
      </c>
      <c r="L3007" s="2" t="s">
        <v>172</v>
      </c>
      <c r="M3007" s="2">
        <v>77807.0</v>
      </c>
      <c r="N3007" s="2" t="s">
        <v>21</v>
      </c>
    </row>
    <row r="3008" ht="15.75" customHeight="1">
      <c r="A3008" s="2">
        <v>2014.0</v>
      </c>
      <c r="B3008" s="2" t="s">
        <v>14277</v>
      </c>
      <c r="C3008" s="2" t="s">
        <v>14278</v>
      </c>
      <c r="D3008" s="2" t="str">
        <f>"317-882-9934"</f>
        <v>317-882-9934</v>
      </c>
      <c r="E3008" s="2" t="s">
        <v>301</v>
      </c>
      <c r="F3008" s="2" t="s">
        <v>14279</v>
      </c>
      <c r="G3008" s="2" t="str">
        <f>"SR-3939"</f>
        <v>SR-3939</v>
      </c>
      <c r="H3008" s="2" t="s">
        <v>14280</v>
      </c>
      <c r="I3008" s="2" t="s">
        <v>14281</v>
      </c>
      <c r="K3008" s="2" t="s">
        <v>1188</v>
      </c>
      <c r="L3008" s="2" t="s">
        <v>149</v>
      </c>
      <c r="M3008" s="2">
        <v>46227.0</v>
      </c>
      <c r="N3008" s="2" t="s">
        <v>21</v>
      </c>
    </row>
    <row r="3009" ht="15.75" customHeight="1">
      <c r="A3009" s="2">
        <v>2014.0</v>
      </c>
      <c r="B3009" s="2" t="s">
        <v>14282</v>
      </c>
      <c r="C3009" s="2" t="s">
        <v>14283</v>
      </c>
      <c r="D3009" s="2" t="str">
        <f>"6149498528"</f>
        <v>6149498528</v>
      </c>
      <c r="E3009" s="2" t="s">
        <v>57</v>
      </c>
      <c r="F3009" s="2" t="s">
        <v>4532</v>
      </c>
      <c r="G3009" s="2" t="str">
        <f>"SR-4132"</f>
        <v>SR-4132</v>
      </c>
      <c r="H3009" s="2" t="s">
        <v>14284</v>
      </c>
      <c r="I3009" s="2" t="s">
        <v>14285</v>
      </c>
      <c r="K3009" s="2" t="s">
        <v>2421</v>
      </c>
      <c r="L3009" s="2" t="s">
        <v>344</v>
      </c>
      <c r="M3009" s="2">
        <v>43229.0</v>
      </c>
      <c r="N3009" s="2" t="s">
        <v>21</v>
      </c>
    </row>
    <row r="3010" ht="15.75" customHeight="1">
      <c r="A3010" s="2">
        <v>2014.0</v>
      </c>
      <c r="B3010" s="2" t="s">
        <v>14286</v>
      </c>
      <c r="C3010" s="2" t="s">
        <v>14287</v>
      </c>
      <c r="D3010" s="2" t="str">
        <f t="shared" ref="D3010:D3012" si="49">"9038391622"</f>
        <v>9038391622</v>
      </c>
      <c r="E3010" s="2" t="s">
        <v>301</v>
      </c>
      <c r="F3010" s="2" t="s">
        <v>3106</v>
      </c>
      <c r="G3010" s="2" t="str">
        <f>"SR-3902"</f>
        <v>SR-3902</v>
      </c>
      <c r="H3010" s="2" t="s">
        <v>14288</v>
      </c>
      <c r="I3010" s="2" t="s">
        <v>14289</v>
      </c>
      <c r="K3010" s="2" t="s">
        <v>465</v>
      </c>
      <c r="L3010" s="2" t="s">
        <v>172</v>
      </c>
      <c r="M3010" s="2">
        <v>75703.0</v>
      </c>
      <c r="N3010" s="2" t="s">
        <v>21</v>
      </c>
    </row>
    <row r="3011" ht="15.75" customHeight="1">
      <c r="A3011" s="2">
        <v>2014.0</v>
      </c>
      <c r="B3011" s="2" t="s">
        <v>14286</v>
      </c>
      <c r="C3011" s="2" t="s">
        <v>14287</v>
      </c>
      <c r="D3011" s="2" t="str">
        <f t="shared" si="49"/>
        <v>9038391622</v>
      </c>
      <c r="E3011" s="2" t="s">
        <v>217</v>
      </c>
      <c r="F3011" s="2" t="s">
        <v>3106</v>
      </c>
      <c r="G3011" s="2" t="str">
        <f>"SR-3897"</f>
        <v>SR-3897</v>
      </c>
      <c r="H3011" s="2" t="s">
        <v>14290</v>
      </c>
      <c r="I3011" s="2" t="s">
        <v>14289</v>
      </c>
      <c r="K3011" s="2" t="s">
        <v>465</v>
      </c>
      <c r="L3011" s="2" t="s">
        <v>172</v>
      </c>
      <c r="M3011" s="2">
        <v>75703.0</v>
      </c>
      <c r="N3011" s="2" t="s">
        <v>21</v>
      </c>
    </row>
    <row r="3012" ht="15.75" customHeight="1">
      <c r="A3012" s="2">
        <v>2014.0</v>
      </c>
      <c r="B3012" s="2" t="s">
        <v>14286</v>
      </c>
      <c r="C3012" s="2" t="s">
        <v>14287</v>
      </c>
      <c r="D3012" s="2" t="str">
        <f t="shared" si="49"/>
        <v>9038391622</v>
      </c>
      <c r="E3012" s="2" t="s">
        <v>1529</v>
      </c>
      <c r="F3012" s="2" t="s">
        <v>3106</v>
      </c>
      <c r="G3012" s="2" t="str">
        <f>"SR-3889"</f>
        <v>SR-3889</v>
      </c>
      <c r="H3012" s="2" t="s">
        <v>14291</v>
      </c>
      <c r="I3012" s="2" t="s">
        <v>14292</v>
      </c>
      <c r="K3012" s="2" t="s">
        <v>465</v>
      </c>
      <c r="L3012" s="2" t="s">
        <v>172</v>
      </c>
      <c r="M3012" s="2">
        <v>75703.0</v>
      </c>
      <c r="N3012" s="2" t="s">
        <v>21</v>
      </c>
    </row>
    <row r="3013" ht="15.75" customHeight="1">
      <c r="A3013" s="2">
        <v>2014.0</v>
      </c>
      <c r="B3013" s="2" t="s">
        <v>14293</v>
      </c>
      <c r="C3013" s="2" t="s">
        <v>14294</v>
      </c>
      <c r="D3013" s="2" t="str">
        <f>"5059169425"</f>
        <v>5059169425</v>
      </c>
      <c r="E3013" s="2" t="s">
        <v>14295</v>
      </c>
      <c r="F3013" s="2" t="s">
        <v>2648</v>
      </c>
      <c r="G3013" s="2" t="str">
        <f>"SR-3878"</f>
        <v>SR-3878</v>
      </c>
      <c r="H3013" s="2" t="s">
        <v>14296</v>
      </c>
      <c r="I3013" s="2" t="s">
        <v>14297</v>
      </c>
      <c r="K3013" s="2" t="s">
        <v>14298</v>
      </c>
      <c r="L3013" s="2" t="s">
        <v>789</v>
      </c>
      <c r="M3013" s="2">
        <v>87031.0</v>
      </c>
      <c r="N3013" s="2" t="s">
        <v>21</v>
      </c>
    </row>
    <row r="3014" ht="15.75" customHeight="1">
      <c r="A3014" s="2">
        <v>2014.0</v>
      </c>
      <c r="B3014" s="2" t="s">
        <v>14299</v>
      </c>
      <c r="C3014" s="2" t="s">
        <v>14300</v>
      </c>
      <c r="D3014" s="2" t="str">
        <f>"469/667-1984"</f>
        <v>469/667-1984</v>
      </c>
      <c r="E3014" s="2" t="s">
        <v>4749</v>
      </c>
      <c r="F3014" s="2" t="s">
        <v>14301</v>
      </c>
      <c r="G3014" s="2" t="str">
        <f>"SR-4140"</f>
        <v>SR-4140</v>
      </c>
      <c r="H3014" s="2" t="s">
        <v>14302</v>
      </c>
      <c r="I3014" s="2" t="s">
        <v>14303</v>
      </c>
      <c r="K3014" s="2" t="s">
        <v>14304</v>
      </c>
      <c r="L3014" s="2" t="s">
        <v>279</v>
      </c>
      <c r="M3014" s="2">
        <v>37135.0</v>
      </c>
      <c r="N3014" s="2" t="s">
        <v>21</v>
      </c>
    </row>
    <row r="3015" ht="15.75" customHeight="1">
      <c r="A3015" s="2">
        <v>2014.0</v>
      </c>
      <c r="B3015" s="2" t="s">
        <v>14305</v>
      </c>
      <c r="C3015" s="2" t="s">
        <v>14306</v>
      </c>
      <c r="D3015" s="2" t="str">
        <f>"717-332-0907"</f>
        <v>717-332-0907</v>
      </c>
      <c r="E3015" s="2" t="s">
        <v>1422</v>
      </c>
      <c r="F3015" s="2" t="s">
        <v>14307</v>
      </c>
      <c r="G3015" s="2" t="str">
        <f>"SR-2363"</f>
        <v>SR-2363</v>
      </c>
      <c r="H3015" s="2" t="s">
        <v>14308</v>
      </c>
      <c r="I3015" s="2" t="s">
        <v>14309</v>
      </c>
      <c r="K3015" s="2" t="s">
        <v>9922</v>
      </c>
      <c r="L3015" s="2" t="s">
        <v>157</v>
      </c>
      <c r="M3015" s="2">
        <v>80133.0</v>
      </c>
      <c r="N3015" s="2" t="s">
        <v>21</v>
      </c>
    </row>
    <row r="3016" ht="15.75" customHeight="1">
      <c r="A3016" s="2">
        <v>2014.0</v>
      </c>
      <c r="B3016" s="2" t="s">
        <v>14310</v>
      </c>
      <c r="C3016" s="2" t="s">
        <v>14310</v>
      </c>
      <c r="D3016" s="2" t="str">
        <f>"7192256544"</f>
        <v>7192256544</v>
      </c>
      <c r="E3016" s="2" t="s">
        <v>2800</v>
      </c>
      <c r="F3016" s="2" t="s">
        <v>7396</v>
      </c>
      <c r="G3016" s="2" t="str">
        <f>"SR-4118"</f>
        <v>SR-4118</v>
      </c>
      <c r="H3016" s="2" t="s">
        <v>14311</v>
      </c>
      <c r="I3016" s="2" t="s">
        <v>7472</v>
      </c>
      <c r="K3016" s="2" t="s">
        <v>7473</v>
      </c>
      <c r="L3016" s="2" t="s">
        <v>157</v>
      </c>
      <c r="M3016" s="2">
        <v>81007.0</v>
      </c>
      <c r="N3016" s="2" t="s">
        <v>21</v>
      </c>
    </row>
    <row r="3017" ht="15.75" customHeight="1">
      <c r="A3017" s="2">
        <v>2014.0</v>
      </c>
      <c r="B3017" s="2" t="s">
        <v>14312</v>
      </c>
      <c r="C3017" s="2" t="s">
        <v>14313</v>
      </c>
      <c r="D3017" s="2" t="str">
        <f>"208 787 6023"</f>
        <v>208 787 6023</v>
      </c>
      <c r="E3017" s="2" t="s">
        <v>1208</v>
      </c>
      <c r="F3017" s="2" t="s">
        <v>13666</v>
      </c>
      <c r="G3017" s="2" t="str">
        <f>"SR-4116"</f>
        <v>SR-4116</v>
      </c>
      <c r="H3017" s="2" t="s">
        <v>14314</v>
      </c>
      <c r="I3017" s="2" t="s">
        <v>14315</v>
      </c>
      <c r="K3017" s="2" t="s">
        <v>3067</v>
      </c>
      <c r="L3017" s="2" t="s">
        <v>2613</v>
      </c>
      <c r="M3017" s="2">
        <v>83455.0</v>
      </c>
      <c r="N3017" s="2" t="s">
        <v>21</v>
      </c>
    </row>
    <row r="3018" ht="15.75" customHeight="1">
      <c r="A3018" s="2">
        <v>2014.0</v>
      </c>
      <c r="B3018" s="2" t="s">
        <v>14316</v>
      </c>
      <c r="D3018" s="2" t="str">
        <f>""</f>
        <v/>
      </c>
      <c r="E3018" s="2" t="s">
        <v>6759</v>
      </c>
      <c r="F3018" s="2" t="s">
        <v>14317</v>
      </c>
      <c r="G3018" s="2" t="str">
        <f>"SR-4068"</f>
        <v>SR-4068</v>
      </c>
      <c r="H3018" s="2" t="s">
        <v>14318</v>
      </c>
      <c r="N3018" s="2" t="s">
        <v>21</v>
      </c>
    </row>
    <row r="3019" ht="15.75" customHeight="1">
      <c r="A3019" s="2">
        <v>2014.0</v>
      </c>
      <c r="B3019" s="2" t="s">
        <v>14319</v>
      </c>
      <c r="C3019" s="2" t="s">
        <v>14320</v>
      </c>
      <c r="D3019" s="2" t="str">
        <f>"678-364-0370"</f>
        <v>678-364-0370</v>
      </c>
      <c r="E3019" s="2" t="s">
        <v>24</v>
      </c>
      <c r="F3019" s="2" t="s">
        <v>4501</v>
      </c>
      <c r="G3019" s="2" t="str">
        <f>"SR-4099"</f>
        <v>SR-4099</v>
      </c>
      <c r="H3019" s="2" t="s">
        <v>14321</v>
      </c>
      <c r="I3019" s="2" t="s">
        <v>14322</v>
      </c>
      <c r="K3019" s="2" t="s">
        <v>2192</v>
      </c>
      <c r="L3019" s="2" t="s">
        <v>200</v>
      </c>
      <c r="M3019" s="2">
        <v>30269.0</v>
      </c>
      <c r="N3019" s="2" t="s">
        <v>21</v>
      </c>
    </row>
    <row r="3020" ht="15.75" customHeight="1">
      <c r="A3020" s="2">
        <v>2014.0</v>
      </c>
      <c r="B3020" s="2" t="s">
        <v>8438</v>
      </c>
      <c r="C3020" s="2" t="s">
        <v>8439</v>
      </c>
      <c r="D3020" s="2" t="str">
        <f>"6195046131"</f>
        <v>6195046131</v>
      </c>
      <c r="E3020" s="2" t="s">
        <v>8440</v>
      </c>
      <c r="F3020" s="2" t="s">
        <v>8441</v>
      </c>
      <c r="G3020" s="2" t="str">
        <f>"SR-2333"</f>
        <v>SR-2333</v>
      </c>
      <c r="H3020" s="2" t="s">
        <v>8442</v>
      </c>
      <c r="I3020" s="2" t="s">
        <v>8443</v>
      </c>
      <c r="K3020" s="2" t="s">
        <v>8444</v>
      </c>
      <c r="L3020" s="2" t="s">
        <v>222</v>
      </c>
      <c r="M3020" s="2">
        <v>92020.0</v>
      </c>
      <c r="N3020" s="2" t="s">
        <v>21</v>
      </c>
    </row>
    <row r="3021" ht="15.75" customHeight="1">
      <c r="A3021" s="2">
        <v>2014.0</v>
      </c>
      <c r="B3021" s="2" t="s">
        <v>14323</v>
      </c>
      <c r="C3021" s="2" t="s">
        <v>14324</v>
      </c>
      <c r="D3021" s="2" t="str">
        <f>"4256473912"</f>
        <v>4256473912</v>
      </c>
      <c r="E3021" s="2" t="s">
        <v>3191</v>
      </c>
      <c r="F3021" s="2" t="s">
        <v>5281</v>
      </c>
      <c r="G3021" s="2" t="str">
        <f>"SR-4134"</f>
        <v>SR-4134</v>
      </c>
      <c r="H3021" s="2" t="s">
        <v>14325</v>
      </c>
      <c r="I3021" s="2" t="s">
        <v>14326</v>
      </c>
      <c r="K3021" s="2" t="s">
        <v>7873</v>
      </c>
      <c r="L3021" s="2" t="s">
        <v>86</v>
      </c>
      <c r="M3021" s="2">
        <v>98008.0</v>
      </c>
      <c r="N3021" s="2" t="s">
        <v>21</v>
      </c>
    </row>
    <row r="3022" ht="15.75" customHeight="1">
      <c r="A3022" s="2">
        <v>2014.0</v>
      </c>
      <c r="B3022" s="2" t="s">
        <v>14327</v>
      </c>
      <c r="C3022" s="2" t="s">
        <v>14327</v>
      </c>
      <c r="D3022" s="2" t="str">
        <f>"6025017566"</f>
        <v>6025017566</v>
      </c>
      <c r="E3022" s="2" t="s">
        <v>5127</v>
      </c>
      <c r="F3022" s="2" t="s">
        <v>14328</v>
      </c>
      <c r="G3022" s="2" t="str">
        <f>"SR-644"</f>
        <v>SR-644</v>
      </c>
      <c r="H3022" s="2" t="s">
        <v>14329</v>
      </c>
      <c r="I3022" s="2" t="s">
        <v>14330</v>
      </c>
      <c r="K3022" s="2" t="s">
        <v>10945</v>
      </c>
      <c r="L3022" s="2" t="s">
        <v>422</v>
      </c>
      <c r="M3022" s="2">
        <v>85396.0</v>
      </c>
      <c r="N3022" s="2" t="s">
        <v>21</v>
      </c>
    </row>
    <row r="3023" ht="15.75" customHeight="1">
      <c r="A3023" s="2">
        <v>2014.0</v>
      </c>
      <c r="B3023" s="2" t="s">
        <v>14331</v>
      </c>
      <c r="C3023" s="2" t="s">
        <v>14331</v>
      </c>
      <c r="D3023" s="2" t="str">
        <f>"713-429-5914"</f>
        <v>713-429-5914</v>
      </c>
      <c r="E3023" s="2" t="s">
        <v>14332</v>
      </c>
      <c r="F3023" s="2" t="s">
        <v>4978</v>
      </c>
      <c r="G3023" s="2" t="str">
        <f>"SR-4135"</f>
        <v>SR-4135</v>
      </c>
      <c r="H3023" s="2" t="s">
        <v>14333</v>
      </c>
      <c r="I3023" s="2" t="s">
        <v>14334</v>
      </c>
      <c r="K3023" s="2" t="s">
        <v>14335</v>
      </c>
      <c r="L3023" s="2" t="s">
        <v>172</v>
      </c>
      <c r="M3023" s="2">
        <v>77871.0</v>
      </c>
      <c r="N3023" s="2" t="s">
        <v>21</v>
      </c>
    </row>
    <row r="3024" ht="15.75" customHeight="1">
      <c r="A3024" s="2">
        <v>2014.0</v>
      </c>
      <c r="B3024" s="2" t="s">
        <v>14336</v>
      </c>
      <c r="D3024" s="2" t="str">
        <f>""</f>
        <v/>
      </c>
      <c r="E3024" s="2" t="s">
        <v>2752</v>
      </c>
      <c r="F3024" s="2" t="s">
        <v>4978</v>
      </c>
      <c r="G3024" s="2" t="str">
        <f>"SR-4139"</f>
        <v>SR-4139</v>
      </c>
      <c r="H3024" s="2" t="s">
        <v>14337</v>
      </c>
      <c r="N3024" s="2" t="s">
        <v>21</v>
      </c>
    </row>
    <row r="3025" ht="15.75" customHeight="1">
      <c r="A3025" s="2">
        <v>2014.0</v>
      </c>
      <c r="B3025" s="2" t="s">
        <v>14338</v>
      </c>
      <c r="C3025" s="2" t="s">
        <v>14339</v>
      </c>
      <c r="D3025" s="2" t="str">
        <f>"6157195456"</f>
        <v>6157195456</v>
      </c>
      <c r="E3025" s="2" t="s">
        <v>2632</v>
      </c>
      <c r="F3025" s="2" t="s">
        <v>1169</v>
      </c>
      <c r="G3025" s="2" t="str">
        <f>"SR-3582"</f>
        <v>SR-3582</v>
      </c>
      <c r="H3025" s="2" t="s">
        <v>14340</v>
      </c>
      <c r="I3025" s="2" t="s">
        <v>14341</v>
      </c>
      <c r="K3025" s="2" t="s">
        <v>14342</v>
      </c>
      <c r="L3025" s="2" t="s">
        <v>279</v>
      </c>
      <c r="M3025" s="2">
        <v>37135.0</v>
      </c>
      <c r="N3025" s="2" t="s">
        <v>21</v>
      </c>
    </row>
    <row r="3026" ht="15.75" customHeight="1">
      <c r="A3026" s="2">
        <v>2014.0</v>
      </c>
      <c r="B3026" s="2" t="s">
        <v>14343</v>
      </c>
      <c r="C3026" s="2" t="s">
        <v>14344</v>
      </c>
      <c r="D3026" s="2" t="str">
        <f>"(505) 977-1373"</f>
        <v>(505) 977-1373</v>
      </c>
      <c r="E3026" s="2" t="s">
        <v>1810</v>
      </c>
      <c r="F3026" s="2" t="s">
        <v>10622</v>
      </c>
      <c r="G3026" s="2" t="str">
        <f>"SR-4148"</f>
        <v>SR-4148</v>
      </c>
      <c r="H3026" s="2" t="s">
        <v>14345</v>
      </c>
      <c r="I3026" s="2" t="s">
        <v>14346</v>
      </c>
      <c r="K3026" s="2" t="s">
        <v>796</v>
      </c>
      <c r="L3026" s="2" t="s">
        <v>789</v>
      </c>
      <c r="M3026" s="2">
        <v>87042.0</v>
      </c>
      <c r="N3026" s="2" t="s">
        <v>21</v>
      </c>
    </row>
    <row r="3027" ht="15.75" customHeight="1">
      <c r="A3027" s="2">
        <v>2014.0</v>
      </c>
      <c r="B3027" s="2" t="s">
        <v>14347</v>
      </c>
      <c r="C3027" s="2" t="s">
        <v>14348</v>
      </c>
      <c r="D3027" s="2" t="str">
        <f>"320-393-3388"</f>
        <v>320-393-3388</v>
      </c>
      <c r="E3027" s="2" t="s">
        <v>3693</v>
      </c>
      <c r="F3027" s="2" t="s">
        <v>14349</v>
      </c>
      <c r="G3027" s="2" t="str">
        <f>"SR-3981"</f>
        <v>SR-3981</v>
      </c>
      <c r="H3027" s="2" t="s">
        <v>14350</v>
      </c>
      <c r="I3027" s="2" t="s">
        <v>14351</v>
      </c>
      <c r="K3027" s="2" t="s">
        <v>14352</v>
      </c>
      <c r="L3027" s="2" t="s">
        <v>62</v>
      </c>
      <c r="M3027" s="2">
        <v>56367.0</v>
      </c>
      <c r="N3027" s="2" t="s">
        <v>21</v>
      </c>
    </row>
    <row r="3028" ht="15.75" customHeight="1">
      <c r="A3028" s="2">
        <v>2014.0</v>
      </c>
      <c r="B3028" s="2" t="s">
        <v>14353</v>
      </c>
      <c r="C3028" s="2" t="s">
        <v>14354</v>
      </c>
      <c r="D3028" s="2" t="str">
        <f>"865-523-7403"</f>
        <v>865-523-7403</v>
      </c>
      <c r="E3028" s="2" t="s">
        <v>1263</v>
      </c>
      <c r="F3028" s="2" t="s">
        <v>14355</v>
      </c>
      <c r="G3028" s="2" t="str">
        <f>"SR-4147"</f>
        <v>SR-4147</v>
      </c>
      <c r="H3028" s="2" t="s">
        <v>14356</v>
      </c>
      <c r="I3028" s="2" t="s">
        <v>14357</v>
      </c>
      <c r="K3028" s="2" t="s">
        <v>6168</v>
      </c>
      <c r="L3028" s="2" t="s">
        <v>279</v>
      </c>
      <c r="M3028" s="2">
        <v>37921.0</v>
      </c>
      <c r="N3028" s="2" t="s">
        <v>21</v>
      </c>
    </row>
    <row r="3029" ht="15.75" customHeight="1">
      <c r="A3029" s="2">
        <v>2014.0</v>
      </c>
      <c r="B3029" s="2" t="s">
        <v>14358</v>
      </c>
      <c r="C3029" s="2" t="s">
        <v>14359</v>
      </c>
      <c r="D3029" s="2" t="str">
        <f>"480 200 7914"</f>
        <v>480 200 7914</v>
      </c>
      <c r="E3029" s="2" t="s">
        <v>373</v>
      </c>
      <c r="F3029" s="2" t="s">
        <v>1101</v>
      </c>
      <c r="G3029" s="2" t="str">
        <f>"SR-4137"</f>
        <v>SR-4137</v>
      </c>
      <c r="H3029" s="2" t="s">
        <v>14360</v>
      </c>
      <c r="I3029" s="2" t="s">
        <v>14361</v>
      </c>
      <c r="K3029" s="2" t="s">
        <v>14362</v>
      </c>
      <c r="L3029" s="2" t="s">
        <v>422</v>
      </c>
      <c r="M3029" s="2">
        <v>85209.0</v>
      </c>
      <c r="N3029" s="2" t="s">
        <v>21</v>
      </c>
    </row>
    <row r="3030" ht="15.75" customHeight="1">
      <c r="A3030" s="2">
        <v>2014.0</v>
      </c>
      <c r="B3030" s="2" t="s">
        <v>14363</v>
      </c>
      <c r="C3030" s="2" t="s">
        <v>14363</v>
      </c>
      <c r="D3030" s="2" t="str">
        <f>"(316) 788-0913"</f>
        <v>(316) 788-0913</v>
      </c>
      <c r="E3030" s="2" t="s">
        <v>2412</v>
      </c>
      <c r="F3030" s="2" t="s">
        <v>82</v>
      </c>
      <c r="G3030" s="2" t="str">
        <f>"SR-657"</f>
        <v>SR-657</v>
      </c>
      <c r="H3030" s="2" t="s">
        <v>14364</v>
      </c>
      <c r="I3030" s="2" t="s">
        <v>14365</v>
      </c>
      <c r="K3030" s="2" t="s">
        <v>1026</v>
      </c>
      <c r="L3030" s="2" t="s">
        <v>272</v>
      </c>
      <c r="M3030" s="2">
        <v>67037.0</v>
      </c>
      <c r="N3030" s="2" t="s">
        <v>21</v>
      </c>
    </row>
    <row r="3031" ht="15.75" customHeight="1">
      <c r="A3031" s="2">
        <v>2014.0</v>
      </c>
      <c r="B3031" s="2" t="s">
        <v>14366</v>
      </c>
      <c r="C3031" s="2" t="s">
        <v>14366</v>
      </c>
      <c r="D3031" s="2" t="str">
        <f>"0966804532"</f>
        <v>0966804532</v>
      </c>
      <c r="E3031" s="2" t="s">
        <v>590</v>
      </c>
      <c r="F3031" s="2" t="s">
        <v>14367</v>
      </c>
      <c r="G3031" s="2" t="str">
        <f>"SR-4029"</f>
        <v>SR-4029</v>
      </c>
      <c r="H3031" s="2" t="s">
        <v>14368</v>
      </c>
      <c r="I3031" s="2" t="s">
        <v>14204</v>
      </c>
      <c r="K3031" s="2" t="s">
        <v>14369</v>
      </c>
      <c r="L3031" s="2" t="s">
        <v>14370</v>
      </c>
      <c r="M3031" s="2">
        <v>10101.0</v>
      </c>
      <c r="N3031" s="2" t="s">
        <v>14371</v>
      </c>
    </row>
    <row r="3032" ht="15.75" customHeight="1">
      <c r="A3032" s="2">
        <v>2014.0</v>
      </c>
      <c r="B3032" s="2" t="s">
        <v>14372</v>
      </c>
      <c r="C3032" s="2" t="s">
        <v>14372</v>
      </c>
      <c r="D3032" s="2" t="str">
        <f>"2098783667"</f>
        <v>2098783667</v>
      </c>
      <c r="E3032" s="2" t="s">
        <v>10615</v>
      </c>
      <c r="F3032" s="2" t="s">
        <v>14373</v>
      </c>
      <c r="G3032" s="2" t="str">
        <f>"SR-4152"</f>
        <v>SR-4152</v>
      </c>
      <c r="H3032" s="2" t="s">
        <v>14374</v>
      </c>
      <c r="I3032" s="2" t="s">
        <v>14375</v>
      </c>
      <c r="K3032" s="2" t="s">
        <v>14376</v>
      </c>
      <c r="L3032" s="2" t="s">
        <v>222</v>
      </c>
      <c r="M3032" s="2">
        <v>95311.0</v>
      </c>
      <c r="N3032" s="2" t="s">
        <v>21</v>
      </c>
    </row>
    <row r="3033" ht="15.75" customHeight="1">
      <c r="A3033" s="2">
        <v>2014.0</v>
      </c>
      <c r="B3033" s="2" t="s">
        <v>14377</v>
      </c>
      <c r="C3033" s="2" t="s">
        <v>14377</v>
      </c>
      <c r="D3033" s="2" t="str">
        <f>"309-310-6389"</f>
        <v>309-310-6389</v>
      </c>
      <c r="E3033" s="2" t="s">
        <v>1548</v>
      </c>
      <c r="F3033" s="2" t="s">
        <v>14378</v>
      </c>
      <c r="G3033" s="2" t="str">
        <f>"SR-4038"</f>
        <v>SR-4038</v>
      </c>
      <c r="H3033" s="2" t="s">
        <v>14379</v>
      </c>
      <c r="I3033" s="2" t="s">
        <v>14380</v>
      </c>
      <c r="K3033" s="2" t="s">
        <v>14381</v>
      </c>
      <c r="L3033" s="2" t="s">
        <v>105</v>
      </c>
      <c r="M3033" s="2">
        <v>61761.0</v>
      </c>
      <c r="N3033" s="2" t="s">
        <v>21</v>
      </c>
    </row>
    <row r="3034" ht="15.75" customHeight="1">
      <c r="A3034" s="2">
        <v>2014.0</v>
      </c>
      <c r="B3034" s="2" t="s">
        <v>14382</v>
      </c>
      <c r="C3034" s="2" t="s">
        <v>14382</v>
      </c>
      <c r="D3034" s="2" t="str">
        <f>"812-859-4063"</f>
        <v>812-859-4063</v>
      </c>
      <c r="E3034" s="2" t="s">
        <v>1015</v>
      </c>
      <c r="F3034" s="2" t="s">
        <v>14383</v>
      </c>
      <c r="G3034" s="2" t="str">
        <f>"SR-4161"</f>
        <v>SR-4161</v>
      </c>
      <c r="H3034" s="2" t="s">
        <v>14384</v>
      </c>
      <c r="I3034" s="2" t="s">
        <v>14385</v>
      </c>
      <c r="K3034" s="2" t="s">
        <v>14386</v>
      </c>
      <c r="L3034" s="2" t="s">
        <v>149</v>
      </c>
      <c r="M3034" s="2">
        <v>47431.0</v>
      </c>
      <c r="N3034" s="2" t="s">
        <v>21</v>
      </c>
    </row>
    <row r="3035" ht="15.75" customHeight="1">
      <c r="A3035" s="2">
        <v>2014.0</v>
      </c>
      <c r="B3035" s="2" t="s">
        <v>12170</v>
      </c>
      <c r="C3035" s="2" t="s">
        <v>14387</v>
      </c>
      <c r="D3035" s="2" t="str">
        <f>"863 594 7048"</f>
        <v>863 594 7048</v>
      </c>
      <c r="E3035" s="2" t="s">
        <v>651</v>
      </c>
      <c r="F3035" s="2" t="s">
        <v>12172</v>
      </c>
      <c r="G3035" s="2" t="str">
        <f>"SR-4145"</f>
        <v>SR-4145</v>
      </c>
      <c r="H3035" s="2" t="s">
        <v>14388</v>
      </c>
      <c r="I3035" s="2" t="s">
        <v>14389</v>
      </c>
      <c r="K3035" s="2" t="s">
        <v>12175</v>
      </c>
      <c r="L3035" s="2" t="s">
        <v>62</v>
      </c>
      <c r="M3035" s="2">
        <v>55421.0</v>
      </c>
      <c r="N3035" s="2" t="s">
        <v>21</v>
      </c>
    </row>
    <row r="3036" ht="15.75" customHeight="1">
      <c r="A3036" s="2">
        <v>2014.0</v>
      </c>
      <c r="B3036" s="2" t="s">
        <v>14390</v>
      </c>
      <c r="C3036" s="2" t="s">
        <v>14391</v>
      </c>
      <c r="D3036" s="2" t="str">
        <f>"423-775-6109"</f>
        <v>423-775-6109</v>
      </c>
      <c r="E3036" s="2" t="s">
        <v>14392</v>
      </c>
      <c r="F3036" s="2" t="s">
        <v>14393</v>
      </c>
      <c r="G3036" s="2" t="str">
        <f>"SR-4095"</f>
        <v>SR-4095</v>
      </c>
      <c r="H3036" s="2" t="s">
        <v>14394</v>
      </c>
      <c r="I3036" s="2" t="s">
        <v>14395</v>
      </c>
      <c r="K3036" s="2" t="s">
        <v>4310</v>
      </c>
      <c r="L3036" s="2" t="s">
        <v>279</v>
      </c>
      <c r="M3036" s="2">
        <v>37321.0</v>
      </c>
      <c r="N3036" s="2" t="s">
        <v>21</v>
      </c>
    </row>
    <row r="3037" ht="15.75" customHeight="1">
      <c r="A3037" s="2">
        <v>2014.0</v>
      </c>
      <c r="B3037" s="2" t="s">
        <v>14396</v>
      </c>
      <c r="C3037" s="2" t="s">
        <v>14396</v>
      </c>
      <c r="D3037" s="2" t="str">
        <f>"5032518934"</f>
        <v>5032518934</v>
      </c>
      <c r="E3037" s="2" t="s">
        <v>144</v>
      </c>
      <c r="F3037" s="2" t="s">
        <v>1702</v>
      </c>
      <c r="G3037" s="2" t="str">
        <f>"SR-4159"</f>
        <v>SR-4159</v>
      </c>
      <c r="H3037" s="2" t="s">
        <v>14397</v>
      </c>
      <c r="I3037" s="2" t="s">
        <v>14398</v>
      </c>
      <c r="K3037" s="2" t="s">
        <v>2828</v>
      </c>
      <c r="L3037" s="2" t="s">
        <v>2389</v>
      </c>
      <c r="M3037" s="2">
        <v>97220.0</v>
      </c>
      <c r="N3037" s="2" t="s">
        <v>21</v>
      </c>
    </row>
    <row r="3038" ht="15.75" customHeight="1">
      <c r="A3038" s="2">
        <v>2014.0</v>
      </c>
      <c r="B3038" s="2" t="s">
        <v>14399</v>
      </c>
      <c r="C3038" s="2" t="s">
        <v>2207</v>
      </c>
      <c r="D3038" s="2" t="str">
        <f>"3057209488"</f>
        <v>3057209488</v>
      </c>
      <c r="E3038" s="2" t="s">
        <v>14400</v>
      </c>
      <c r="F3038" s="2" t="s">
        <v>2208</v>
      </c>
      <c r="G3038" s="2" t="str">
        <f>"SR-3292"</f>
        <v>SR-3292</v>
      </c>
      <c r="H3038" s="2" t="s">
        <v>14401</v>
      </c>
      <c r="I3038" s="2" t="s">
        <v>14402</v>
      </c>
      <c r="K3038" s="2" t="s">
        <v>2211</v>
      </c>
      <c r="L3038" s="2" t="s">
        <v>208</v>
      </c>
      <c r="M3038" s="2">
        <v>33177.0</v>
      </c>
      <c r="N3038" s="2" t="s">
        <v>21</v>
      </c>
    </row>
    <row r="3039" ht="15.75" customHeight="1">
      <c r="A3039" s="2">
        <v>2014.0</v>
      </c>
      <c r="B3039" s="2" t="s">
        <v>14403</v>
      </c>
      <c r="C3039" s="2" t="s">
        <v>14403</v>
      </c>
      <c r="D3039" s="2" t="str">
        <f>"19406132818"</f>
        <v>19406132818</v>
      </c>
      <c r="E3039" s="2" t="s">
        <v>1946</v>
      </c>
      <c r="F3039" s="2" t="s">
        <v>14404</v>
      </c>
      <c r="G3039" s="2" t="str">
        <f>"SR-4165"</f>
        <v>SR-4165</v>
      </c>
      <c r="H3039" s="2" t="s">
        <v>14405</v>
      </c>
      <c r="I3039" s="2" t="s">
        <v>14406</v>
      </c>
      <c r="K3039" s="2" t="s">
        <v>3070</v>
      </c>
      <c r="L3039" s="2" t="s">
        <v>172</v>
      </c>
      <c r="M3039" s="2">
        <v>76230.0</v>
      </c>
      <c r="N3039" s="2" t="s">
        <v>21</v>
      </c>
    </row>
    <row r="3040" ht="15.75" customHeight="1">
      <c r="A3040" s="2">
        <v>2014.0</v>
      </c>
      <c r="B3040" s="2" t="s">
        <v>14407</v>
      </c>
      <c r="C3040" s="2" t="s">
        <v>14407</v>
      </c>
      <c r="D3040" s="2" t="str">
        <f>"316.541.2022"</f>
        <v>316.541.2022</v>
      </c>
      <c r="E3040" s="2" t="s">
        <v>1263</v>
      </c>
      <c r="F3040" s="2" t="s">
        <v>14408</v>
      </c>
      <c r="G3040" s="2" t="str">
        <f>"SR-4167"</f>
        <v>SR-4167</v>
      </c>
      <c r="H3040" s="2" t="s">
        <v>14409</v>
      </c>
      <c r="I3040" s="2" t="s">
        <v>14410</v>
      </c>
      <c r="K3040" s="2" t="s">
        <v>3508</v>
      </c>
      <c r="L3040" s="2" t="s">
        <v>272</v>
      </c>
      <c r="M3040" s="2">
        <v>67144.0</v>
      </c>
      <c r="N3040" s="2" t="s">
        <v>21</v>
      </c>
    </row>
    <row r="3041" ht="15.75" customHeight="1">
      <c r="A3041" s="2">
        <v>2014.0</v>
      </c>
      <c r="B3041" s="2" t="s">
        <v>14411</v>
      </c>
      <c r="C3041" s="2" t="s">
        <v>14412</v>
      </c>
      <c r="D3041" s="2" t="str">
        <f>"785-689-4686"</f>
        <v>785-689-4686</v>
      </c>
      <c r="E3041" s="2" t="s">
        <v>1094</v>
      </c>
      <c r="F3041" s="2" t="s">
        <v>9533</v>
      </c>
      <c r="G3041" s="2" t="str">
        <f>"SR-4169"</f>
        <v>SR-4169</v>
      </c>
      <c r="H3041" s="2" t="s">
        <v>14413</v>
      </c>
      <c r="I3041" s="2" t="s">
        <v>14414</v>
      </c>
      <c r="K3041" s="2" t="s">
        <v>124</v>
      </c>
      <c r="L3041" s="2" t="s">
        <v>272</v>
      </c>
      <c r="M3041" s="2">
        <v>67646.0</v>
      </c>
      <c r="N3041" s="2" t="s">
        <v>21</v>
      </c>
    </row>
    <row r="3042" ht="15.75" customHeight="1">
      <c r="A3042" s="2">
        <v>2014.0</v>
      </c>
      <c r="B3042" s="2" t="s">
        <v>14415</v>
      </c>
      <c r="C3042" s="2" t="s">
        <v>14415</v>
      </c>
      <c r="D3042" s="2" t="str">
        <f>"9098688627"</f>
        <v>9098688627</v>
      </c>
      <c r="E3042" s="2" t="s">
        <v>14416</v>
      </c>
      <c r="F3042" s="2" t="s">
        <v>14417</v>
      </c>
      <c r="G3042" s="2" t="str">
        <f>"SR-4047"</f>
        <v>SR-4047</v>
      </c>
      <c r="H3042" s="2" t="s">
        <v>14418</v>
      </c>
      <c r="I3042" s="2" t="s">
        <v>14419</v>
      </c>
      <c r="K3042" s="2" t="s">
        <v>1444</v>
      </c>
      <c r="L3042" s="2" t="s">
        <v>222</v>
      </c>
      <c r="M3042" s="2">
        <v>91765.0</v>
      </c>
      <c r="N3042" s="2" t="s">
        <v>21</v>
      </c>
    </row>
    <row r="3043" ht="15.75" customHeight="1">
      <c r="A3043" s="2">
        <v>2014.0</v>
      </c>
      <c r="B3043" s="2" t="s">
        <v>14420</v>
      </c>
      <c r="C3043" s="2" t="s">
        <v>14421</v>
      </c>
      <c r="D3043" s="2" t="str">
        <f>"9209249846"</f>
        <v>9209249846</v>
      </c>
      <c r="E3043" s="2" t="s">
        <v>14422</v>
      </c>
      <c r="F3043" s="2" t="s">
        <v>14423</v>
      </c>
      <c r="G3043" s="2" t="str">
        <f>"SR-4141"</f>
        <v>SR-4141</v>
      </c>
      <c r="H3043" s="2" t="s">
        <v>14424</v>
      </c>
      <c r="I3043" s="2" t="s">
        <v>14425</v>
      </c>
      <c r="K3043" s="2" t="s">
        <v>192</v>
      </c>
      <c r="L3043" s="2" t="s">
        <v>193</v>
      </c>
      <c r="M3043" s="2">
        <v>54935.0</v>
      </c>
      <c r="N3043" s="2" t="s">
        <v>21</v>
      </c>
    </row>
    <row r="3044" ht="15.75" customHeight="1">
      <c r="A3044" s="2">
        <v>2014.0</v>
      </c>
      <c r="B3044" s="2" t="s">
        <v>14426</v>
      </c>
      <c r="C3044" s="2" t="s">
        <v>14426</v>
      </c>
      <c r="D3044" s="2" t="str">
        <f>"910 224 1055"</f>
        <v>910 224 1055</v>
      </c>
      <c r="E3044" s="2" t="s">
        <v>326</v>
      </c>
      <c r="F3044" s="2" t="s">
        <v>14427</v>
      </c>
      <c r="G3044" s="2" t="str">
        <f>"SR-4126"</f>
        <v>SR-4126</v>
      </c>
      <c r="H3044" s="2" t="s">
        <v>14428</v>
      </c>
      <c r="I3044" s="2" t="s">
        <v>14429</v>
      </c>
      <c r="K3044" s="2" t="s">
        <v>13339</v>
      </c>
      <c r="L3044" s="2" t="s">
        <v>179</v>
      </c>
      <c r="M3044" s="2">
        <v>17007.0</v>
      </c>
      <c r="N3044" s="2" t="s">
        <v>21</v>
      </c>
    </row>
    <row r="3045" ht="15.75" customHeight="1">
      <c r="A3045" s="2">
        <v>2014.0</v>
      </c>
      <c r="B3045" s="2" t="s">
        <v>14430</v>
      </c>
      <c r="C3045" s="2" t="s">
        <v>14430</v>
      </c>
      <c r="D3045" s="2" t="str">
        <f>"7862178443"</f>
        <v>7862178443</v>
      </c>
      <c r="E3045" s="2" t="s">
        <v>14431</v>
      </c>
      <c r="F3045" s="2" t="s">
        <v>14432</v>
      </c>
      <c r="G3045" s="2" t="str">
        <f>"SR-4158"</f>
        <v>SR-4158</v>
      </c>
      <c r="H3045" s="2" t="s">
        <v>14433</v>
      </c>
      <c r="I3045" s="2" t="s">
        <v>14434</v>
      </c>
      <c r="K3045" s="2" t="s">
        <v>7229</v>
      </c>
      <c r="L3045" s="2" t="s">
        <v>208</v>
      </c>
      <c r="M3045" s="2">
        <v>33034.0</v>
      </c>
      <c r="N3045" s="2" t="s">
        <v>21</v>
      </c>
    </row>
    <row r="3046" ht="15.75" customHeight="1">
      <c r="A3046" s="2">
        <v>2014.0</v>
      </c>
      <c r="B3046" s="2" t="s">
        <v>14435</v>
      </c>
      <c r="C3046" s="2" t="s">
        <v>14435</v>
      </c>
      <c r="D3046" s="2" t="str">
        <f>"501-215-1132"</f>
        <v>501-215-1132</v>
      </c>
      <c r="E3046" s="2" t="s">
        <v>908</v>
      </c>
      <c r="F3046" s="2" t="s">
        <v>10393</v>
      </c>
      <c r="G3046" s="2" t="str">
        <f>"SR-3868"</f>
        <v>SR-3868</v>
      </c>
      <c r="H3046" s="2" t="s">
        <v>14436</v>
      </c>
      <c r="I3046" s="2" t="s">
        <v>14437</v>
      </c>
      <c r="K3046" s="2" t="s">
        <v>14438</v>
      </c>
      <c r="L3046" s="2" t="s">
        <v>1012</v>
      </c>
      <c r="M3046" s="2">
        <v>72016.0</v>
      </c>
      <c r="N3046" s="2" t="s">
        <v>21</v>
      </c>
    </row>
    <row r="3047" ht="15.75" customHeight="1">
      <c r="A3047" s="2">
        <v>2014.0</v>
      </c>
      <c r="B3047" s="2" t="s">
        <v>14439</v>
      </c>
      <c r="C3047" s="2" t="s">
        <v>14439</v>
      </c>
      <c r="D3047" s="2" t="str">
        <f>"423-775-3725"</f>
        <v>423-775-3725</v>
      </c>
      <c r="E3047" s="2" t="s">
        <v>261</v>
      </c>
      <c r="F3047" s="2" t="s">
        <v>2771</v>
      </c>
      <c r="G3047" s="2" t="str">
        <f>"SR-4155"</f>
        <v>SR-4155</v>
      </c>
      <c r="H3047" s="2" t="s">
        <v>14440</v>
      </c>
      <c r="I3047" s="2" t="s">
        <v>14441</v>
      </c>
      <c r="K3047" s="2" t="s">
        <v>4310</v>
      </c>
      <c r="L3047" s="2" t="s">
        <v>279</v>
      </c>
      <c r="M3047" s="2">
        <v>37321.0</v>
      </c>
      <c r="N3047" s="2" t="s">
        <v>21</v>
      </c>
    </row>
    <row r="3048" ht="15.75" customHeight="1">
      <c r="A3048" s="2">
        <v>2014.0</v>
      </c>
      <c r="B3048" s="2" t="s">
        <v>14442</v>
      </c>
      <c r="C3048" s="2" t="s">
        <v>14442</v>
      </c>
      <c r="D3048" s="2" t="str">
        <f>"(662) 423-6724"</f>
        <v>(662) 423-6724</v>
      </c>
      <c r="E3048" s="2" t="s">
        <v>14443</v>
      </c>
      <c r="F3048" s="2" t="s">
        <v>89</v>
      </c>
      <c r="G3048" s="2" t="str">
        <f>"SR-4170"</f>
        <v>SR-4170</v>
      </c>
      <c r="H3048" s="2" t="s">
        <v>14444</v>
      </c>
      <c r="I3048" s="2" t="s">
        <v>14445</v>
      </c>
      <c r="K3048" s="2" t="s">
        <v>14446</v>
      </c>
      <c r="L3048" s="2" t="s">
        <v>1722</v>
      </c>
      <c r="M3048" s="2">
        <v>38852.0</v>
      </c>
      <c r="N3048" s="2" t="s">
        <v>21</v>
      </c>
    </row>
    <row r="3049" ht="15.75" customHeight="1">
      <c r="A3049" s="2">
        <v>2014.0</v>
      </c>
      <c r="B3049" s="2" t="s">
        <v>14447</v>
      </c>
      <c r="C3049" s="2" t="s">
        <v>14448</v>
      </c>
      <c r="D3049" s="2" t="str">
        <f>"949-680-0468"</f>
        <v>949-680-0468</v>
      </c>
      <c r="E3049" s="2" t="s">
        <v>7930</v>
      </c>
      <c r="F3049" s="2" t="s">
        <v>448</v>
      </c>
      <c r="G3049" s="2" t="str">
        <f>"SR-4188"</f>
        <v>SR-4188</v>
      </c>
      <c r="H3049" s="2" t="s">
        <v>14449</v>
      </c>
      <c r="I3049" s="2" t="s">
        <v>14450</v>
      </c>
      <c r="K3049" s="2" t="s">
        <v>2171</v>
      </c>
      <c r="L3049" s="2" t="s">
        <v>222</v>
      </c>
      <c r="M3049" s="2">
        <v>92677.0</v>
      </c>
      <c r="N3049" s="2" t="s">
        <v>21</v>
      </c>
    </row>
    <row r="3050" ht="15.75" customHeight="1">
      <c r="A3050" s="2">
        <v>2014.0</v>
      </c>
      <c r="B3050" s="2" t="s">
        <v>14451</v>
      </c>
      <c r="C3050" s="2" t="s">
        <v>14451</v>
      </c>
      <c r="D3050" s="2" t="str">
        <f>"4805440913"</f>
        <v>4805440913</v>
      </c>
      <c r="E3050" s="2" t="s">
        <v>239</v>
      </c>
      <c r="F3050" s="2" t="s">
        <v>1689</v>
      </c>
      <c r="G3050" s="2" t="str">
        <f>"SR-4191"</f>
        <v>SR-4191</v>
      </c>
      <c r="H3050" s="2" t="s">
        <v>14452</v>
      </c>
      <c r="I3050" s="2" t="s">
        <v>14453</v>
      </c>
      <c r="K3050" s="2" t="s">
        <v>14454</v>
      </c>
      <c r="L3050" s="2" t="s">
        <v>20</v>
      </c>
      <c r="M3050" s="2">
        <v>27502.0</v>
      </c>
      <c r="N3050" s="2" t="s">
        <v>21</v>
      </c>
    </row>
    <row r="3051" ht="15.75" customHeight="1">
      <c r="A3051" s="2">
        <v>2014.0</v>
      </c>
      <c r="B3051" s="2" t="s">
        <v>14455</v>
      </c>
      <c r="C3051" s="2" t="s">
        <v>14456</v>
      </c>
      <c r="D3051" s="2" t="str">
        <f>"925-337-6942"</f>
        <v>925-337-6942</v>
      </c>
      <c r="E3051" s="2" t="s">
        <v>4782</v>
      </c>
      <c r="F3051" s="2" t="s">
        <v>14457</v>
      </c>
      <c r="G3051" s="2" t="str">
        <f>"SR-4182"</f>
        <v>SR-4182</v>
      </c>
      <c r="H3051" s="2" t="s">
        <v>14458</v>
      </c>
      <c r="I3051" s="2" t="s">
        <v>14459</v>
      </c>
      <c r="J3051" s="2" t="s">
        <v>14460</v>
      </c>
      <c r="K3051" s="2" t="s">
        <v>9721</v>
      </c>
      <c r="L3051" s="2" t="s">
        <v>222</v>
      </c>
      <c r="M3051" s="2">
        <v>94550.0</v>
      </c>
      <c r="N3051" s="2" t="s">
        <v>21</v>
      </c>
    </row>
    <row r="3052" ht="15.75" customHeight="1">
      <c r="A3052" s="2">
        <v>2014.0</v>
      </c>
      <c r="B3052" s="2" t="s">
        <v>14455</v>
      </c>
      <c r="C3052" s="2" t="s">
        <v>14461</v>
      </c>
      <c r="D3052" s="2" t="str">
        <f>"925-567-7201"</f>
        <v>925-567-7201</v>
      </c>
      <c r="E3052" s="2" t="s">
        <v>2891</v>
      </c>
      <c r="F3052" s="2" t="s">
        <v>14462</v>
      </c>
      <c r="G3052" s="2" t="str">
        <f>"SR-4187"</f>
        <v>SR-4187</v>
      </c>
      <c r="H3052" s="2" t="s">
        <v>14463</v>
      </c>
      <c r="I3052" s="2" t="s">
        <v>14464</v>
      </c>
      <c r="K3052" s="2" t="s">
        <v>9721</v>
      </c>
      <c r="L3052" s="2" t="s">
        <v>222</v>
      </c>
      <c r="M3052" s="2">
        <v>94550.0</v>
      </c>
      <c r="N3052" s="2" t="s">
        <v>21</v>
      </c>
    </row>
    <row r="3053" ht="15.75" customHeight="1">
      <c r="A3053" s="2">
        <v>2014.0</v>
      </c>
      <c r="B3053" s="2" t="s">
        <v>14465</v>
      </c>
      <c r="C3053" s="2" t="s">
        <v>14466</v>
      </c>
      <c r="D3053" s="2" t="str">
        <f>"5193830129"</f>
        <v>5193830129</v>
      </c>
      <c r="E3053" s="2" t="s">
        <v>1269</v>
      </c>
      <c r="F3053" s="2" t="s">
        <v>12715</v>
      </c>
      <c r="G3053" s="2" t="str">
        <f>"SR-4181"</f>
        <v>SR-4181</v>
      </c>
      <c r="H3053" s="2" t="s">
        <v>14467</v>
      </c>
      <c r="I3053" s="2" t="s">
        <v>14468</v>
      </c>
      <c r="K3053" s="2" t="s">
        <v>14469</v>
      </c>
      <c r="L3053" s="2" t="s">
        <v>2022</v>
      </c>
      <c r="M3053" s="2" t="s">
        <v>14470</v>
      </c>
      <c r="N3053" s="2" t="s">
        <v>1602</v>
      </c>
    </row>
    <row r="3054" ht="15.75" customHeight="1">
      <c r="A3054" s="2">
        <v>2014.0</v>
      </c>
      <c r="B3054" s="2" t="s">
        <v>588</v>
      </c>
      <c r="C3054" s="2" t="s">
        <v>589</v>
      </c>
      <c r="D3054" s="2" t="str">
        <f t="shared" ref="D3054:D3055" si="50">"5406650664"</f>
        <v>5406650664</v>
      </c>
      <c r="E3054" s="2" t="s">
        <v>590</v>
      </c>
      <c r="F3054" s="2" t="s">
        <v>591</v>
      </c>
      <c r="G3054" s="2" t="str">
        <f>"SR-249"</f>
        <v>SR-249</v>
      </c>
      <c r="H3054" s="2" t="s">
        <v>592</v>
      </c>
      <c r="I3054" s="2" t="s">
        <v>593</v>
      </c>
      <c r="K3054" s="2" t="s">
        <v>594</v>
      </c>
      <c r="L3054" s="2" t="s">
        <v>165</v>
      </c>
      <c r="M3054" s="2">
        <v>22601.0</v>
      </c>
      <c r="N3054" s="2" t="s">
        <v>21</v>
      </c>
    </row>
    <row r="3055" ht="15.75" customHeight="1">
      <c r="A3055" s="2">
        <v>2014.0</v>
      </c>
      <c r="B3055" s="2" t="s">
        <v>588</v>
      </c>
      <c r="C3055" s="2" t="s">
        <v>14471</v>
      </c>
      <c r="D3055" s="2" t="str">
        <f t="shared" si="50"/>
        <v>5406650664</v>
      </c>
      <c r="E3055" s="2" t="s">
        <v>100</v>
      </c>
      <c r="F3055" s="2" t="s">
        <v>591</v>
      </c>
      <c r="G3055" s="2" t="str">
        <f>"SR-4194"</f>
        <v>SR-4194</v>
      </c>
      <c r="H3055" s="2" t="s">
        <v>14472</v>
      </c>
      <c r="I3055" s="2" t="s">
        <v>14473</v>
      </c>
      <c r="K3055" s="2" t="s">
        <v>594</v>
      </c>
      <c r="L3055" s="2" t="s">
        <v>165</v>
      </c>
      <c r="M3055" s="2">
        <v>22601.0</v>
      </c>
      <c r="N3055" s="2" t="s">
        <v>21</v>
      </c>
    </row>
    <row r="3056" ht="15.75" customHeight="1">
      <c r="A3056" s="2">
        <v>2014.0</v>
      </c>
      <c r="B3056" s="2" t="s">
        <v>14474</v>
      </c>
      <c r="C3056" s="2" t="s">
        <v>8339</v>
      </c>
      <c r="D3056" s="2" t="str">
        <f>"248-396-1771"</f>
        <v>248-396-1771</v>
      </c>
      <c r="E3056" s="2" t="s">
        <v>8340</v>
      </c>
      <c r="F3056" s="2" t="s">
        <v>8341</v>
      </c>
      <c r="G3056" s="2" t="str">
        <f>"SR-3524"</f>
        <v>SR-3524</v>
      </c>
      <c r="H3056" s="2" t="s">
        <v>8342</v>
      </c>
      <c r="I3056" s="2" t="s">
        <v>8343</v>
      </c>
      <c r="K3056" s="2" t="s">
        <v>8344</v>
      </c>
      <c r="L3056" s="2" t="s">
        <v>29</v>
      </c>
      <c r="M3056" s="2">
        <v>48386.0</v>
      </c>
      <c r="N3056" s="2" t="s">
        <v>21</v>
      </c>
    </row>
    <row r="3057" ht="15.75" customHeight="1">
      <c r="A3057" s="2">
        <v>2014.0</v>
      </c>
      <c r="B3057" s="2" t="s">
        <v>14475</v>
      </c>
      <c r="C3057" s="2" t="s">
        <v>14475</v>
      </c>
      <c r="D3057" s="2" t="str">
        <f>"620-431-4523"</f>
        <v>620-431-4523</v>
      </c>
      <c r="E3057" s="2" t="s">
        <v>9975</v>
      </c>
      <c r="F3057" s="2" t="s">
        <v>14476</v>
      </c>
      <c r="G3057" s="2" t="str">
        <f>"SR-4199"</f>
        <v>SR-4199</v>
      </c>
      <c r="H3057" s="2" t="s">
        <v>14477</v>
      </c>
      <c r="I3057" s="2" t="s">
        <v>14478</v>
      </c>
      <c r="K3057" s="2" t="s">
        <v>14479</v>
      </c>
      <c r="L3057" s="2" t="s">
        <v>272</v>
      </c>
      <c r="M3057" s="2">
        <v>66720.0</v>
      </c>
      <c r="N3057" s="2" t="s">
        <v>21</v>
      </c>
    </row>
    <row r="3058" ht="15.75" customHeight="1">
      <c r="A3058" s="2">
        <v>2014.0</v>
      </c>
      <c r="B3058" s="2" t="s">
        <v>3962</v>
      </c>
      <c r="C3058" s="2" t="s">
        <v>14480</v>
      </c>
      <c r="D3058" s="2" t="str">
        <f>"813-258-8615"</f>
        <v>813-258-8615</v>
      </c>
      <c r="E3058" s="2" t="s">
        <v>651</v>
      </c>
      <c r="F3058" s="2" t="s">
        <v>3964</v>
      </c>
      <c r="G3058" s="2" t="str">
        <f>"SR-4203"</f>
        <v>SR-4203</v>
      </c>
      <c r="H3058" s="2" t="s">
        <v>14481</v>
      </c>
      <c r="I3058" s="2" t="s">
        <v>3966</v>
      </c>
      <c r="K3058" s="2" t="s">
        <v>3431</v>
      </c>
      <c r="L3058" s="2" t="s">
        <v>208</v>
      </c>
      <c r="M3058" s="2">
        <v>33629.0</v>
      </c>
      <c r="N3058" s="2" t="s">
        <v>21</v>
      </c>
    </row>
    <row r="3059" ht="15.75" customHeight="1">
      <c r="A3059" s="2">
        <v>2014.0</v>
      </c>
      <c r="B3059" s="2" t="s">
        <v>588</v>
      </c>
      <c r="C3059" s="2" t="s">
        <v>14482</v>
      </c>
      <c r="D3059" s="2" t="str">
        <f>"5406650665"</f>
        <v>5406650665</v>
      </c>
      <c r="E3059" s="2" t="s">
        <v>14483</v>
      </c>
      <c r="F3059" s="2" t="s">
        <v>591</v>
      </c>
      <c r="G3059" s="2" t="str">
        <f>"SR-4204"</f>
        <v>SR-4204</v>
      </c>
      <c r="H3059" s="2" t="s">
        <v>14484</v>
      </c>
      <c r="I3059" s="2" t="s">
        <v>593</v>
      </c>
      <c r="K3059" s="2" t="s">
        <v>594</v>
      </c>
      <c r="L3059" s="2" t="s">
        <v>165</v>
      </c>
      <c r="M3059" s="2">
        <v>22601.0</v>
      </c>
      <c r="N3059" s="2" t="s">
        <v>21</v>
      </c>
    </row>
    <row r="3060" ht="15.75" customHeight="1">
      <c r="A3060" s="2">
        <v>2014.0</v>
      </c>
      <c r="B3060" s="2" t="s">
        <v>14485</v>
      </c>
      <c r="C3060" s="2" t="s">
        <v>14485</v>
      </c>
      <c r="D3060" s="2" t="str">
        <f>"3092531979"</f>
        <v>3092531979</v>
      </c>
      <c r="E3060" s="2" t="s">
        <v>465</v>
      </c>
      <c r="F3060" s="2" t="s">
        <v>14486</v>
      </c>
      <c r="G3060" s="2" t="str">
        <f>"SR-4205"</f>
        <v>SR-4205</v>
      </c>
      <c r="H3060" s="2" t="s">
        <v>14487</v>
      </c>
      <c r="I3060" s="2" t="s">
        <v>14488</v>
      </c>
      <c r="K3060" s="2" t="s">
        <v>9467</v>
      </c>
      <c r="L3060" s="2" t="s">
        <v>105</v>
      </c>
      <c r="M3060" s="2">
        <v>61550.0</v>
      </c>
      <c r="N3060" s="2" t="s">
        <v>21</v>
      </c>
    </row>
    <row r="3061" ht="15.75" customHeight="1">
      <c r="A3061" s="2">
        <v>2014.0</v>
      </c>
      <c r="B3061" s="2" t="s">
        <v>14489</v>
      </c>
      <c r="C3061" s="2" t="s">
        <v>14489</v>
      </c>
      <c r="D3061" s="2" t="str">
        <f>"301-498-4082"</f>
        <v>301-498-4082</v>
      </c>
      <c r="E3061" s="2" t="s">
        <v>4897</v>
      </c>
      <c r="F3061" s="2" t="s">
        <v>2667</v>
      </c>
      <c r="G3061" s="2" t="str">
        <f>"SR-4171"</f>
        <v>SR-4171</v>
      </c>
      <c r="H3061" s="2" t="s">
        <v>14490</v>
      </c>
      <c r="I3061" s="2" t="s">
        <v>14491</v>
      </c>
      <c r="K3061" s="2" t="s">
        <v>5732</v>
      </c>
      <c r="L3061" s="2" t="s">
        <v>1868</v>
      </c>
      <c r="M3061" s="2">
        <v>20723.0</v>
      </c>
      <c r="N3061" s="2" t="s">
        <v>21</v>
      </c>
    </row>
    <row r="3062" ht="15.75" customHeight="1">
      <c r="A3062" s="2">
        <v>2014.0</v>
      </c>
      <c r="B3062" s="2" t="s">
        <v>14492</v>
      </c>
      <c r="C3062" s="2" t="s">
        <v>14492</v>
      </c>
      <c r="D3062" s="2" t="str">
        <f>"574-686-2889"</f>
        <v>574-686-2889</v>
      </c>
      <c r="E3062" s="2" t="s">
        <v>1263</v>
      </c>
      <c r="F3062" s="2" t="s">
        <v>14493</v>
      </c>
      <c r="G3062" s="2" t="str">
        <f>"SR-4177"</f>
        <v>SR-4177</v>
      </c>
      <c r="H3062" s="2" t="s">
        <v>14494</v>
      </c>
      <c r="I3062" s="2" t="s">
        <v>14495</v>
      </c>
      <c r="K3062" s="2" t="s">
        <v>14496</v>
      </c>
      <c r="L3062" s="2" t="s">
        <v>149</v>
      </c>
      <c r="M3062" s="2">
        <v>46923.0</v>
      </c>
      <c r="N3062" s="2" t="s">
        <v>21</v>
      </c>
    </row>
    <row r="3063" ht="15.75" customHeight="1">
      <c r="A3063" s="2">
        <v>2014.0</v>
      </c>
      <c r="B3063" s="2" t="s">
        <v>14497</v>
      </c>
      <c r="C3063" s="2" t="s">
        <v>14498</v>
      </c>
      <c r="D3063" s="2" t="str">
        <f>"704-775-0377"</f>
        <v>704-775-0377</v>
      </c>
      <c r="E3063" s="2" t="s">
        <v>1274</v>
      </c>
      <c r="F3063" s="2" t="s">
        <v>9198</v>
      </c>
      <c r="G3063" s="2" t="str">
        <f>"SR-4201"</f>
        <v>SR-4201</v>
      </c>
      <c r="H3063" s="2" t="s">
        <v>14499</v>
      </c>
      <c r="I3063" s="2" t="s">
        <v>14500</v>
      </c>
      <c r="K3063" s="2" t="s">
        <v>2494</v>
      </c>
      <c r="L3063" s="2" t="s">
        <v>20</v>
      </c>
      <c r="M3063" s="2">
        <v>28677.0</v>
      </c>
      <c r="N3063" s="2" t="s">
        <v>21</v>
      </c>
    </row>
    <row r="3064" ht="15.75" customHeight="1">
      <c r="A3064" s="2">
        <v>2014.0</v>
      </c>
      <c r="B3064" s="2" t="s">
        <v>14501</v>
      </c>
      <c r="C3064" s="2" t="s">
        <v>14501</v>
      </c>
      <c r="D3064" s="2" t="str">
        <f>"7144745152"</f>
        <v>7144745152</v>
      </c>
      <c r="E3064" s="2" t="s">
        <v>705</v>
      </c>
      <c r="F3064" s="2" t="s">
        <v>14502</v>
      </c>
      <c r="G3064" s="2" t="str">
        <f>"SR-4198"</f>
        <v>SR-4198</v>
      </c>
      <c r="H3064" s="2" t="s">
        <v>14503</v>
      </c>
      <c r="I3064" s="2" t="s">
        <v>14504</v>
      </c>
      <c r="K3064" s="2" t="s">
        <v>12735</v>
      </c>
      <c r="L3064" s="2" t="s">
        <v>222</v>
      </c>
      <c r="M3064" s="2">
        <v>91901.0</v>
      </c>
      <c r="N3064" s="2" t="s">
        <v>21</v>
      </c>
    </row>
    <row r="3065" ht="15.75" customHeight="1">
      <c r="A3065" s="2">
        <v>2014.0</v>
      </c>
      <c r="B3065" s="2" t="s">
        <v>14505</v>
      </c>
      <c r="C3065" s="2" t="s">
        <v>14506</v>
      </c>
      <c r="D3065" s="2" t="str">
        <f>"3102937232"</f>
        <v>3102937232</v>
      </c>
      <c r="E3065" s="2" t="s">
        <v>14507</v>
      </c>
      <c r="F3065" s="2" t="s">
        <v>14508</v>
      </c>
      <c r="G3065" s="2" t="str">
        <f>"SR-3197"</f>
        <v>SR-3197</v>
      </c>
      <c r="H3065" s="2" t="s">
        <v>14509</v>
      </c>
      <c r="I3065" s="2" t="s">
        <v>14510</v>
      </c>
      <c r="K3065" s="2" t="s">
        <v>5955</v>
      </c>
      <c r="L3065" s="2" t="s">
        <v>222</v>
      </c>
      <c r="M3065" s="2">
        <v>90505.0</v>
      </c>
      <c r="N3065" s="2" t="s">
        <v>21</v>
      </c>
    </row>
    <row r="3066" ht="15.75" customHeight="1">
      <c r="A3066" s="2">
        <v>2014.0</v>
      </c>
      <c r="B3066" s="2" t="s">
        <v>14511</v>
      </c>
      <c r="C3066" s="2" t="s">
        <v>14512</v>
      </c>
      <c r="D3066" s="2" t="str">
        <f>"479-268-8457"</f>
        <v>479-268-8457</v>
      </c>
      <c r="E3066" s="2" t="s">
        <v>534</v>
      </c>
      <c r="F3066" s="2" t="s">
        <v>14513</v>
      </c>
      <c r="G3066" s="2" t="str">
        <f>"SR-4211"</f>
        <v>SR-4211</v>
      </c>
      <c r="H3066" s="2" t="s">
        <v>14514</v>
      </c>
      <c r="I3066" s="2" t="s">
        <v>14515</v>
      </c>
      <c r="K3066" s="2" t="s">
        <v>14516</v>
      </c>
      <c r="L3066" s="2" t="s">
        <v>1012</v>
      </c>
      <c r="M3066" s="2">
        <v>72712.0</v>
      </c>
      <c r="N3066" s="2" t="s">
        <v>21</v>
      </c>
    </row>
    <row r="3067" ht="15.75" customHeight="1">
      <c r="A3067" s="2">
        <v>2014.0</v>
      </c>
      <c r="B3067" s="2" t="s">
        <v>14517</v>
      </c>
      <c r="C3067" s="2" t="s">
        <v>14518</v>
      </c>
      <c r="D3067" s="2" t="str">
        <f>"6192706778"</f>
        <v>6192706778</v>
      </c>
      <c r="E3067" s="2" t="s">
        <v>6081</v>
      </c>
      <c r="F3067" s="2" t="s">
        <v>14519</v>
      </c>
      <c r="G3067" s="2" t="str">
        <f>"SR-4192"</f>
        <v>SR-4192</v>
      </c>
      <c r="H3067" s="2" t="s">
        <v>14520</v>
      </c>
      <c r="I3067" s="2" t="s">
        <v>14521</v>
      </c>
      <c r="K3067" s="2" t="s">
        <v>8444</v>
      </c>
      <c r="L3067" s="2" t="s">
        <v>222</v>
      </c>
      <c r="M3067" s="2">
        <v>92019.0</v>
      </c>
      <c r="N3067" s="2" t="s">
        <v>21</v>
      </c>
    </row>
    <row r="3068" ht="15.75" customHeight="1">
      <c r="A3068" s="2">
        <v>2014.0</v>
      </c>
      <c r="B3068" s="2" t="s">
        <v>8110</v>
      </c>
      <c r="C3068" s="2" t="s">
        <v>8110</v>
      </c>
      <c r="D3068" s="2" t="str">
        <f>"8174031225"</f>
        <v>8174031225</v>
      </c>
      <c r="E3068" s="2" t="s">
        <v>24</v>
      </c>
      <c r="F3068" s="2" t="s">
        <v>167</v>
      </c>
      <c r="G3068" s="2" t="str">
        <f>"SR-4218"</f>
        <v>SR-4218</v>
      </c>
      <c r="H3068" s="2" t="s">
        <v>14522</v>
      </c>
      <c r="I3068" s="2" t="s">
        <v>14523</v>
      </c>
      <c r="K3068" s="2" t="s">
        <v>5729</v>
      </c>
      <c r="L3068" s="2" t="s">
        <v>172</v>
      </c>
      <c r="M3068" s="2">
        <v>76087.0</v>
      </c>
      <c r="N3068" s="2" t="s">
        <v>21</v>
      </c>
    </row>
    <row r="3069" ht="15.75" customHeight="1">
      <c r="A3069" s="2">
        <v>2014.0</v>
      </c>
      <c r="B3069" s="2" t="s">
        <v>14524</v>
      </c>
      <c r="C3069" s="2" t="s">
        <v>14525</v>
      </c>
      <c r="D3069" s="2" t="str">
        <f>"217-737-6382"</f>
        <v>217-737-6382</v>
      </c>
      <c r="E3069" s="2" t="s">
        <v>1088</v>
      </c>
      <c r="F3069" s="2" t="s">
        <v>14526</v>
      </c>
      <c r="G3069" s="2" t="str">
        <f>"SR-4174"</f>
        <v>SR-4174</v>
      </c>
      <c r="H3069" s="2" t="s">
        <v>14527</v>
      </c>
      <c r="I3069" s="2" t="s">
        <v>14528</v>
      </c>
      <c r="K3069" s="2" t="s">
        <v>14529</v>
      </c>
      <c r="L3069" s="2" t="s">
        <v>105</v>
      </c>
      <c r="M3069" s="2">
        <v>61778.0</v>
      </c>
      <c r="N3069" s="2" t="s">
        <v>21</v>
      </c>
    </row>
    <row r="3070" ht="15.75" customHeight="1">
      <c r="A3070" s="2">
        <v>2014.0</v>
      </c>
      <c r="B3070" s="2" t="s">
        <v>14530</v>
      </c>
      <c r="C3070" s="2" t="s">
        <v>14531</v>
      </c>
      <c r="D3070" s="2" t="str">
        <f>"478-361-3459"</f>
        <v>478-361-3459</v>
      </c>
      <c r="E3070" s="2" t="s">
        <v>14532</v>
      </c>
      <c r="F3070" s="2" t="s">
        <v>14533</v>
      </c>
      <c r="G3070" s="2" t="str">
        <f>"SR-4221"</f>
        <v>SR-4221</v>
      </c>
      <c r="H3070" s="2" t="s">
        <v>14534</v>
      </c>
      <c r="I3070" s="2" t="s">
        <v>14535</v>
      </c>
      <c r="K3070" s="2" t="s">
        <v>7843</v>
      </c>
      <c r="L3070" s="2" t="s">
        <v>200</v>
      </c>
      <c r="M3070" s="2">
        <v>31210.0</v>
      </c>
      <c r="N3070" s="2" t="s">
        <v>21</v>
      </c>
    </row>
    <row r="3071" ht="15.75" customHeight="1">
      <c r="A3071" s="2">
        <v>2014.0</v>
      </c>
      <c r="B3071" s="2" t="s">
        <v>14536</v>
      </c>
      <c r="C3071" s="2" t="s">
        <v>14536</v>
      </c>
      <c r="D3071" s="2" t="str">
        <f>"(817) 263-0396"</f>
        <v>(817) 263-0396</v>
      </c>
      <c r="E3071" s="2" t="s">
        <v>14537</v>
      </c>
      <c r="F3071" s="2" t="s">
        <v>14538</v>
      </c>
      <c r="G3071" s="2" t="str">
        <f>"SR-4222"</f>
        <v>SR-4222</v>
      </c>
      <c r="H3071" s="2" t="s">
        <v>14539</v>
      </c>
      <c r="I3071" s="2" t="s">
        <v>14540</v>
      </c>
      <c r="K3071" s="2" t="s">
        <v>1260</v>
      </c>
      <c r="L3071" s="2" t="s">
        <v>172</v>
      </c>
      <c r="M3071" s="2">
        <v>76133.0</v>
      </c>
      <c r="N3071" s="2" t="s">
        <v>21</v>
      </c>
    </row>
    <row r="3072" ht="15.75" customHeight="1">
      <c r="A3072" s="2">
        <v>2014.0</v>
      </c>
      <c r="B3072" s="2" t="s">
        <v>14541</v>
      </c>
      <c r="C3072" s="2" t="s">
        <v>14542</v>
      </c>
      <c r="D3072" s="2" t="str">
        <f>"909 247-7690"</f>
        <v>909 247-7690</v>
      </c>
      <c r="E3072" s="2" t="s">
        <v>385</v>
      </c>
      <c r="F3072" s="2" t="s">
        <v>14543</v>
      </c>
      <c r="G3072" s="2" t="str">
        <f>"SR-3953"</f>
        <v>SR-3953</v>
      </c>
      <c r="H3072" s="2" t="s">
        <v>14544</v>
      </c>
      <c r="I3072" s="2" t="s">
        <v>14545</v>
      </c>
      <c r="K3072" s="2" t="s">
        <v>10340</v>
      </c>
      <c r="L3072" s="2" t="s">
        <v>222</v>
      </c>
      <c r="M3072" s="2">
        <v>91709.0</v>
      </c>
      <c r="N3072" s="2" t="s">
        <v>21</v>
      </c>
    </row>
    <row r="3073" ht="15.75" customHeight="1">
      <c r="A3073" s="2">
        <v>2014.0</v>
      </c>
      <c r="B3073" s="2" t="s">
        <v>14541</v>
      </c>
      <c r="C3073" s="2" t="s">
        <v>14546</v>
      </c>
      <c r="D3073" s="2" t="str">
        <f>"909 263-7217"</f>
        <v>909 263-7217</v>
      </c>
      <c r="E3073" s="2" t="s">
        <v>1032</v>
      </c>
      <c r="F3073" s="2" t="s">
        <v>14543</v>
      </c>
      <c r="G3073" s="2" t="str">
        <f>"SR-4035"</f>
        <v>SR-4035</v>
      </c>
      <c r="H3073" s="2" t="s">
        <v>14547</v>
      </c>
      <c r="I3073" s="2" t="s">
        <v>14545</v>
      </c>
      <c r="K3073" s="2" t="s">
        <v>10340</v>
      </c>
      <c r="L3073" s="2" t="s">
        <v>222</v>
      </c>
      <c r="M3073" s="2">
        <v>91709.0</v>
      </c>
      <c r="N3073" s="2" t="s">
        <v>21</v>
      </c>
    </row>
    <row r="3074" ht="15.75" customHeight="1">
      <c r="A3074" s="2">
        <v>2014.0</v>
      </c>
      <c r="B3074" s="2" t="s">
        <v>14548</v>
      </c>
      <c r="C3074" s="2" t="s">
        <v>14549</v>
      </c>
      <c r="D3074" s="2" t="str">
        <f>"920-924-6861"</f>
        <v>920-924-6861</v>
      </c>
      <c r="E3074" s="2" t="s">
        <v>890</v>
      </c>
      <c r="F3074" s="2" t="s">
        <v>14550</v>
      </c>
      <c r="G3074" s="2" t="str">
        <f>"SR-3225"</f>
        <v>SR-3225</v>
      </c>
      <c r="H3074" s="2" t="s">
        <v>14551</v>
      </c>
      <c r="I3074" s="2" t="s">
        <v>14552</v>
      </c>
      <c r="K3074" s="2" t="s">
        <v>192</v>
      </c>
      <c r="L3074" s="2" t="s">
        <v>193</v>
      </c>
      <c r="M3074" s="2">
        <v>54935.0</v>
      </c>
      <c r="N3074" s="2" t="s">
        <v>21</v>
      </c>
    </row>
    <row r="3075" ht="15.75" customHeight="1">
      <c r="A3075" s="2">
        <v>2014.0</v>
      </c>
      <c r="B3075" s="2" t="s">
        <v>14553</v>
      </c>
      <c r="C3075" s="2" t="s">
        <v>14553</v>
      </c>
      <c r="D3075" s="2" t="str">
        <f>"903-941-0256"</f>
        <v>903-941-0256</v>
      </c>
      <c r="E3075" s="2" t="s">
        <v>3434</v>
      </c>
      <c r="F3075" s="2" t="s">
        <v>14554</v>
      </c>
      <c r="G3075" s="2" t="str">
        <f>"SR-4196"</f>
        <v>SR-4196</v>
      </c>
      <c r="H3075" s="2" t="s">
        <v>14555</v>
      </c>
      <c r="I3075" s="2" t="s">
        <v>14556</v>
      </c>
      <c r="K3075" s="2" t="s">
        <v>14557</v>
      </c>
      <c r="L3075" s="2" t="s">
        <v>172</v>
      </c>
      <c r="M3075" s="2">
        <v>75755.0</v>
      </c>
      <c r="N3075" s="2" t="s">
        <v>21</v>
      </c>
    </row>
    <row r="3076" ht="15.75" customHeight="1">
      <c r="A3076" s="2">
        <v>2014.0</v>
      </c>
      <c r="B3076" s="2" t="s">
        <v>14558</v>
      </c>
      <c r="C3076" s="2" t="s">
        <v>14559</v>
      </c>
      <c r="D3076" s="2" t="str">
        <f>"850-661-2095"</f>
        <v>850-661-2095</v>
      </c>
      <c r="E3076" s="2" t="s">
        <v>50</v>
      </c>
      <c r="F3076" s="2" t="s">
        <v>4159</v>
      </c>
      <c r="G3076" s="2" t="str">
        <f>"SR-4224"</f>
        <v>SR-4224</v>
      </c>
      <c r="H3076" s="2" t="s">
        <v>14560</v>
      </c>
      <c r="I3076" s="2" t="s">
        <v>14561</v>
      </c>
      <c r="K3076" s="2" t="s">
        <v>2007</v>
      </c>
      <c r="L3076" s="2" t="s">
        <v>208</v>
      </c>
      <c r="M3076" s="2">
        <v>32312.0</v>
      </c>
      <c r="N3076" s="2" t="s">
        <v>21</v>
      </c>
    </row>
    <row r="3077" ht="15.75" customHeight="1">
      <c r="A3077" s="2">
        <v>2014.0</v>
      </c>
      <c r="B3077" s="2" t="s">
        <v>14562</v>
      </c>
      <c r="C3077" s="2" t="s">
        <v>14563</v>
      </c>
      <c r="D3077" s="2" t="str">
        <f>"602-384-8357"</f>
        <v>602-384-8357</v>
      </c>
      <c r="E3077" s="2" t="s">
        <v>428</v>
      </c>
      <c r="F3077" s="2" t="s">
        <v>14564</v>
      </c>
      <c r="G3077" s="2" t="str">
        <f>"SR-4062"</f>
        <v>SR-4062</v>
      </c>
      <c r="H3077" s="2" t="s">
        <v>14565</v>
      </c>
      <c r="I3077" s="2" t="s">
        <v>14566</v>
      </c>
      <c r="K3077" s="2" t="s">
        <v>421</v>
      </c>
      <c r="L3077" s="2" t="s">
        <v>422</v>
      </c>
      <c r="M3077" s="2">
        <v>85029.0</v>
      </c>
      <c r="N3077" s="2" t="s">
        <v>21</v>
      </c>
    </row>
    <row r="3078" ht="15.75" customHeight="1">
      <c r="A3078" s="2">
        <v>2014.0</v>
      </c>
      <c r="B3078" s="2" t="s">
        <v>14567</v>
      </c>
      <c r="C3078" s="2" t="s">
        <v>14568</v>
      </c>
      <c r="D3078" s="2" t="str">
        <f>"8654757032"</f>
        <v>8654757032</v>
      </c>
      <c r="E3078" s="2" t="s">
        <v>14569</v>
      </c>
      <c r="F3078" s="2" t="s">
        <v>14570</v>
      </c>
      <c r="G3078" s="2" t="str">
        <f>"SR-4236"</f>
        <v>SR-4236</v>
      </c>
      <c r="H3078" s="2" t="s">
        <v>14571</v>
      </c>
      <c r="I3078" s="2" t="s">
        <v>14572</v>
      </c>
      <c r="K3078" s="2" t="s">
        <v>14573</v>
      </c>
      <c r="L3078" s="2" t="s">
        <v>279</v>
      </c>
      <c r="M3078" s="2">
        <v>37760.0</v>
      </c>
      <c r="N3078" s="2" t="s">
        <v>21</v>
      </c>
    </row>
    <row r="3079" ht="15.75" customHeight="1">
      <c r="A3079" s="2">
        <v>2014.0</v>
      </c>
      <c r="B3079" s="2" t="s">
        <v>14574</v>
      </c>
      <c r="C3079" s="2" t="s">
        <v>14575</v>
      </c>
      <c r="D3079" s="2" t="str">
        <f>"615-663-5828"</f>
        <v>615-663-5828</v>
      </c>
      <c r="E3079" s="2" t="s">
        <v>14576</v>
      </c>
      <c r="F3079" s="2" t="s">
        <v>14577</v>
      </c>
      <c r="G3079" s="2" t="str">
        <f>"SR-4243"</f>
        <v>SR-4243</v>
      </c>
      <c r="H3079" s="2" t="s">
        <v>14578</v>
      </c>
      <c r="I3079" s="2" t="s">
        <v>14579</v>
      </c>
      <c r="K3079" s="2" t="s">
        <v>13414</v>
      </c>
      <c r="L3079" s="2" t="s">
        <v>279</v>
      </c>
      <c r="M3079" s="2">
        <v>37167.0</v>
      </c>
      <c r="N3079" s="2" t="s">
        <v>21</v>
      </c>
    </row>
    <row r="3080" ht="15.75" customHeight="1">
      <c r="A3080" s="2">
        <v>2014.0</v>
      </c>
      <c r="B3080" s="2" t="s">
        <v>14580</v>
      </c>
      <c r="C3080" s="2" t="s">
        <v>14580</v>
      </c>
      <c r="D3080" s="2" t="str">
        <f>"8314192782"</f>
        <v>8314192782</v>
      </c>
      <c r="E3080" s="2" t="s">
        <v>4990</v>
      </c>
      <c r="F3080" s="2" t="s">
        <v>1263</v>
      </c>
      <c r="G3080" s="2" t="str">
        <f>"SR-3801"</f>
        <v>SR-3801</v>
      </c>
      <c r="H3080" s="2" t="s">
        <v>14581</v>
      </c>
      <c r="I3080" s="2" t="s">
        <v>14582</v>
      </c>
      <c r="K3080" s="2" t="s">
        <v>14583</v>
      </c>
      <c r="L3080" s="2" t="s">
        <v>172</v>
      </c>
      <c r="M3080" s="2">
        <v>75019.0</v>
      </c>
      <c r="N3080" s="2" t="s">
        <v>21</v>
      </c>
    </row>
    <row r="3081" ht="15.75" customHeight="1">
      <c r="A3081" s="2">
        <v>2014.0</v>
      </c>
      <c r="B3081" s="2" t="s">
        <v>14574</v>
      </c>
      <c r="C3081" s="2" t="s">
        <v>14584</v>
      </c>
      <c r="D3081" s="2" t="str">
        <f>"615-332-1790"</f>
        <v>615-332-1790</v>
      </c>
      <c r="E3081" s="2" t="s">
        <v>1114</v>
      </c>
      <c r="F3081" s="2" t="s">
        <v>14577</v>
      </c>
      <c r="G3081" s="2" t="str">
        <f>"SR-4245"</f>
        <v>SR-4245</v>
      </c>
      <c r="H3081" s="2" t="s">
        <v>14585</v>
      </c>
      <c r="I3081" s="2" t="s">
        <v>14579</v>
      </c>
      <c r="K3081" s="2" t="s">
        <v>13414</v>
      </c>
      <c r="L3081" s="2" t="s">
        <v>279</v>
      </c>
      <c r="M3081" s="2">
        <v>37167.0</v>
      </c>
      <c r="N3081" s="2" t="s">
        <v>21</v>
      </c>
    </row>
    <row r="3082" ht="15.75" customHeight="1">
      <c r="A3082" s="2">
        <v>2014.0</v>
      </c>
      <c r="B3082" s="2" t="s">
        <v>14586</v>
      </c>
      <c r="C3082" s="2" t="s">
        <v>14587</v>
      </c>
      <c r="D3082" s="2" t="str">
        <f>"9524708676"</f>
        <v>9524708676</v>
      </c>
      <c r="E3082" s="2" t="s">
        <v>2851</v>
      </c>
      <c r="F3082" s="2" t="s">
        <v>9467</v>
      </c>
      <c r="G3082" s="2" t="str">
        <f>"SR-4244"</f>
        <v>SR-4244</v>
      </c>
      <c r="H3082" s="2" t="s">
        <v>14588</v>
      </c>
      <c r="I3082" s="2" t="s">
        <v>14589</v>
      </c>
      <c r="K3082" s="2" t="s">
        <v>14590</v>
      </c>
      <c r="L3082" s="2" t="s">
        <v>62</v>
      </c>
      <c r="M3082" s="2">
        <v>55331.0</v>
      </c>
      <c r="N3082" s="2" t="s">
        <v>21</v>
      </c>
    </row>
    <row r="3083" ht="15.75" customHeight="1">
      <c r="A3083" s="2">
        <v>2014.0</v>
      </c>
      <c r="B3083" s="2" t="s">
        <v>14591</v>
      </c>
      <c r="C3083" s="2" t="s">
        <v>14592</v>
      </c>
      <c r="D3083" s="2" t="str">
        <f>"918 951-0820"</f>
        <v>918 951-0820</v>
      </c>
      <c r="E3083" s="2" t="s">
        <v>14593</v>
      </c>
      <c r="F3083" s="2" t="s">
        <v>10024</v>
      </c>
      <c r="G3083" s="2" t="str">
        <f>"SR-4225"</f>
        <v>SR-4225</v>
      </c>
      <c r="H3083" s="2" t="s">
        <v>14594</v>
      </c>
      <c r="I3083" s="2" t="s">
        <v>14595</v>
      </c>
      <c r="K3083" s="2" t="s">
        <v>4519</v>
      </c>
      <c r="L3083" s="2" t="s">
        <v>20</v>
      </c>
      <c r="M3083" s="2">
        <v>28112.0</v>
      </c>
      <c r="N3083" s="2" t="s">
        <v>21</v>
      </c>
    </row>
    <row r="3084" ht="15.75" customHeight="1">
      <c r="A3084" s="2">
        <v>2014.0</v>
      </c>
      <c r="B3084" s="2" t="s">
        <v>14596</v>
      </c>
      <c r="C3084" s="2" t="s">
        <v>14597</v>
      </c>
      <c r="D3084" s="2" t="str">
        <f>"651-246-9104"</f>
        <v>651-246-9104</v>
      </c>
      <c r="E3084" s="2" t="s">
        <v>5760</v>
      </c>
      <c r="F3084" s="2" t="s">
        <v>2310</v>
      </c>
      <c r="G3084" s="2" t="str">
        <f>"SR-4093"</f>
        <v>SR-4093</v>
      </c>
      <c r="H3084" s="2" t="s">
        <v>14598</v>
      </c>
      <c r="I3084" s="2" t="s">
        <v>14599</v>
      </c>
      <c r="K3084" s="2" t="s">
        <v>14600</v>
      </c>
      <c r="L3084" s="2" t="s">
        <v>62</v>
      </c>
      <c r="M3084" s="2">
        <v>55119.0</v>
      </c>
      <c r="N3084" s="2" t="s">
        <v>21</v>
      </c>
    </row>
    <row r="3085" ht="15.75" customHeight="1">
      <c r="A3085" s="2">
        <v>2014.0</v>
      </c>
      <c r="B3085" s="2" t="s">
        <v>4499</v>
      </c>
      <c r="C3085" s="2" t="s">
        <v>4500</v>
      </c>
      <c r="D3085" s="2" t="str">
        <f>"6186248006"</f>
        <v>6186248006</v>
      </c>
      <c r="E3085" s="2" t="s">
        <v>50</v>
      </c>
      <c r="F3085" s="2" t="s">
        <v>4501</v>
      </c>
      <c r="G3085" s="2" t="str">
        <f>"SR-1353"</f>
        <v>SR-1353</v>
      </c>
      <c r="H3085" s="2" t="s">
        <v>4502</v>
      </c>
      <c r="I3085" s="2" t="s">
        <v>4503</v>
      </c>
      <c r="K3085" s="2" t="s">
        <v>4504</v>
      </c>
      <c r="L3085" s="2" t="s">
        <v>105</v>
      </c>
      <c r="M3085" s="2">
        <v>62074.0</v>
      </c>
      <c r="N3085" s="2" t="s">
        <v>21</v>
      </c>
    </row>
    <row r="3086" ht="15.75" customHeight="1">
      <c r="A3086" s="2">
        <v>2014.0</v>
      </c>
      <c r="B3086" s="2" t="s">
        <v>14601</v>
      </c>
      <c r="C3086" s="2" t="s">
        <v>14602</v>
      </c>
      <c r="D3086" s="2" t="str">
        <f>"8307963420"</f>
        <v>8307963420</v>
      </c>
      <c r="E3086" s="2" t="s">
        <v>1782</v>
      </c>
      <c r="F3086" s="2" t="s">
        <v>14603</v>
      </c>
      <c r="G3086" s="2" t="str">
        <f>"SR-4237"</f>
        <v>SR-4237</v>
      </c>
      <c r="H3086" s="2" t="s">
        <v>14604</v>
      </c>
      <c r="I3086" s="2" t="s">
        <v>14605</v>
      </c>
      <c r="J3086" s="2" t="s">
        <v>14606</v>
      </c>
      <c r="K3086" s="2" t="s">
        <v>14607</v>
      </c>
      <c r="L3086" s="2" t="s">
        <v>172</v>
      </c>
      <c r="M3086" s="2">
        <v>78028.0</v>
      </c>
      <c r="N3086" s="2" t="s">
        <v>21</v>
      </c>
    </row>
    <row r="3087" ht="15.75" customHeight="1">
      <c r="A3087" s="2">
        <v>2014.0</v>
      </c>
      <c r="B3087" s="2" t="s">
        <v>14608</v>
      </c>
      <c r="C3087" s="2" t="s">
        <v>14609</v>
      </c>
      <c r="D3087" s="2" t="str">
        <f>"251-937-1012"</f>
        <v>251-937-1012</v>
      </c>
      <c r="E3087" s="2" t="s">
        <v>15</v>
      </c>
      <c r="F3087" s="2" t="s">
        <v>14610</v>
      </c>
      <c r="G3087" s="2" t="str">
        <f>"SR-3352"</f>
        <v>SR-3352</v>
      </c>
      <c r="H3087" s="2" t="s">
        <v>14611</v>
      </c>
      <c r="I3087" s="2" t="s">
        <v>14612</v>
      </c>
      <c r="K3087" s="2" t="s">
        <v>14613</v>
      </c>
      <c r="L3087" s="2" t="s">
        <v>539</v>
      </c>
      <c r="M3087" s="2">
        <v>36507.0</v>
      </c>
      <c r="N3087" s="2" t="s">
        <v>21</v>
      </c>
    </row>
    <row r="3088" ht="15.75" customHeight="1">
      <c r="A3088" s="2">
        <v>2014.0</v>
      </c>
      <c r="B3088" s="2" t="s">
        <v>14614</v>
      </c>
      <c r="C3088" s="2" t="s">
        <v>14615</v>
      </c>
      <c r="D3088" s="2" t="str">
        <f>"+81--45-664-6042"</f>
        <v>+81--45-664-6042</v>
      </c>
      <c r="E3088" s="2" t="s">
        <v>14616</v>
      </c>
      <c r="F3088" s="2" t="s">
        <v>14617</v>
      </c>
      <c r="G3088" s="2" t="str">
        <f>"SR-3961"</f>
        <v>SR-3961</v>
      </c>
      <c r="H3088" s="2" t="s">
        <v>14618</v>
      </c>
      <c r="I3088" s="2" t="s">
        <v>14619</v>
      </c>
      <c r="K3088" s="2" t="s">
        <v>14620</v>
      </c>
      <c r="M3088" s="2" t="s">
        <v>14621</v>
      </c>
      <c r="N3088" s="2" t="s">
        <v>14622</v>
      </c>
    </row>
    <row r="3089" ht="15.75" customHeight="1">
      <c r="A3089" s="2">
        <v>2014.0</v>
      </c>
      <c r="B3089" s="2" t="s">
        <v>14623</v>
      </c>
      <c r="C3089" s="2" t="s">
        <v>14624</v>
      </c>
      <c r="D3089" s="2" t="str">
        <f>"207-395-4251"</f>
        <v>207-395-4251</v>
      </c>
      <c r="E3089" s="2" t="s">
        <v>5760</v>
      </c>
      <c r="F3089" s="2" t="s">
        <v>10173</v>
      </c>
      <c r="G3089" s="2" t="str">
        <f>"SR-3840"</f>
        <v>SR-3840</v>
      </c>
      <c r="H3089" s="2" t="s">
        <v>14625</v>
      </c>
      <c r="I3089" s="2" t="s">
        <v>14626</v>
      </c>
      <c r="K3089" s="2" t="s">
        <v>14627</v>
      </c>
      <c r="L3089" s="2" t="s">
        <v>3737</v>
      </c>
      <c r="M3089" s="2">
        <v>4343.0</v>
      </c>
      <c r="N3089" s="2" t="s">
        <v>21</v>
      </c>
    </row>
    <row r="3090" ht="15.75" customHeight="1">
      <c r="A3090" s="2">
        <v>2014.0</v>
      </c>
      <c r="B3090" s="2" t="s">
        <v>14628</v>
      </c>
      <c r="C3090" s="2" t="s">
        <v>14628</v>
      </c>
      <c r="D3090" s="2" t="str">
        <f>"2533894221"</f>
        <v>2533894221</v>
      </c>
      <c r="E3090" s="2" t="s">
        <v>50</v>
      </c>
      <c r="F3090" s="2" t="s">
        <v>14629</v>
      </c>
      <c r="G3090" s="2" t="str">
        <f>"SR-4230"</f>
        <v>SR-4230</v>
      </c>
      <c r="H3090" s="2" t="s">
        <v>14630</v>
      </c>
      <c r="I3090" s="2" t="s">
        <v>14631</v>
      </c>
      <c r="K3090" s="2" t="s">
        <v>14632</v>
      </c>
      <c r="L3090" s="2" t="s">
        <v>86</v>
      </c>
      <c r="M3090" s="2">
        <v>98466.0</v>
      </c>
      <c r="N3090" s="2" t="s">
        <v>21</v>
      </c>
    </row>
    <row r="3091" ht="15.75" customHeight="1">
      <c r="A3091" s="2">
        <v>2014.0</v>
      </c>
      <c r="B3091" s="2" t="s">
        <v>14633</v>
      </c>
      <c r="C3091" s="2" t="s">
        <v>14633</v>
      </c>
      <c r="D3091" s="2" t="str">
        <f>"605 553 8910"</f>
        <v>605 553 8910</v>
      </c>
      <c r="E3091" s="2" t="s">
        <v>705</v>
      </c>
      <c r="F3091" s="2" t="s">
        <v>14634</v>
      </c>
      <c r="G3091" s="2" t="str">
        <f>"SR-3996"</f>
        <v>SR-3996</v>
      </c>
      <c r="H3091" s="2" t="s">
        <v>14635</v>
      </c>
      <c r="I3091" s="2" t="s">
        <v>14636</v>
      </c>
      <c r="K3091" s="2" t="s">
        <v>10921</v>
      </c>
      <c r="L3091" s="2" t="s">
        <v>222</v>
      </c>
      <c r="M3091" s="2">
        <v>92055.0</v>
      </c>
      <c r="N3091" s="2" t="s">
        <v>21</v>
      </c>
    </row>
    <row r="3092" ht="15.75" customHeight="1">
      <c r="A3092" s="2">
        <v>2014.0</v>
      </c>
      <c r="B3092" s="2" t="s">
        <v>14637</v>
      </c>
      <c r="C3092" s="2" t="s">
        <v>14638</v>
      </c>
      <c r="D3092" s="2" t="str">
        <f>"951-491-5159"</f>
        <v>951-491-5159</v>
      </c>
      <c r="E3092" s="2" t="s">
        <v>503</v>
      </c>
      <c r="F3092" s="2" t="s">
        <v>14639</v>
      </c>
      <c r="G3092" s="2" t="str">
        <f>"SR-4254"</f>
        <v>SR-4254</v>
      </c>
      <c r="H3092" s="2" t="s">
        <v>14640</v>
      </c>
      <c r="I3092" s="2" t="s">
        <v>14641</v>
      </c>
      <c r="K3092" s="2" t="s">
        <v>13793</v>
      </c>
      <c r="L3092" s="2" t="s">
        <v>222</v>
      </c>
      <c r="M3092" s="2">
        <v>92563.0</v>
      </c>
      <c r="N3092" s="2" t="s">
        <v>21</v>
      </c>
    </row>
    <row r="3093" ht="15.75" customHeight="1">
      <c r="A3093" s="2">
        <v>2014.0</v>
      </c>
      <c r="B3093" s="2" t="s">
        <v>14642</v>
      </c>
      <c r="C3093" s="2" t="s">
        <v>14642</v>
      </c>
      <c r="D3093" s="2" t="str">
        <f>"(970)259-1602"</f>
        <v>(970)259-1602</v>
      </c>
      <c r="E3093" s="2" t="s">
        <v>4129</v>
      </c>
      <c r="F3093" s="2" t="s">
        <v>1151</v>
      </c>
      <c r="G3093" s="2" t="str">
        <f>"SR-4241"</f>
        <v>SR-4241</v>
      </c>
      <c r="H3093" s="2" t="s">
        <v>14643</v>
      </c>
      <c r="I3093" s="2" t="s">
        <v>14644</v>
      </c>
      <c r="K3093" s="2" t="s">
        <v>14645</v>
      </c>
      <c r="L3093" s="2" t="s">
        <v>157</v>
      </c>
      <c r="M3093" s="2">
        <v>81301.0</v>
      </c>
      <c r="N3093" s="2" t="s">
        <v>21</v>
      </c>
    </row>
    <row r="3094" ht="15.75" customHeight="1">
      <c r="A3094" s="2">
        <v>2014.0</v>
      </c>
      <c r="B3094" s="2" t="s">
        <v>14646</v>
      </c>
      <c r="C3094" s="2" t="s">
        <v>14647</v>
      </c>
      <c r="D3094" s="2" t="str">
        <f>"434-882-4281"</f>
        <v>434-882-4281</v>
      </c>
      <c r="E3094" s="2" t="s">
        <v>9513</v>
      </c>
      <c r="F3094" s="2" t="s">
        <v>14648</v>
      </c>
      <c r="G3094" s="2" t="str">
        <f>"SR-4255"</f>
        <v>SR-4255</v>
      </c>
      <c r="H3094" s="2" t="s">
        <v>14649</v>
      </c>
      <c r="I3094" s="2" t="s">
        <v>14650</v>
      </c>
      <c r="K3094" s="2" t="s">
        <v>14651</v>
      </c>
      <c r="L3094" s="2" t="s">
        <v>165</v>
      </c>
      <c r="M3094" s="2">
        <v>24590.0</v>
      </c>
      <c r="N3094" s="2" t="s">
        <v>21</v>
      </c>
    </row>
    <row r="3095" ht="15.75" customHeight="1">
      <c r="A3095" s="2">
        <v>2014.0</v>
      </c>
      <c r="B3095" s="2" t="s">
        <v>14652</v>
      </c>
      <c r="D3095" s="2" t="str">
        <f>""</f>
        <v/>
      </c>
      <c r="E3095" s="2" t="s">
        <v>14653</v>
      </c>
      <c r="F3095" s="2" t="s">
        <v>14654</v>
      </c>
      <c r="G3095" s="2" t="str">
        <f>"SR-4172"</f>
        <v>SR-4172</v>
      </c>
      <c r="H3095" s="2" t="s">
        <v>14655</v>
      </c>
      <c r="N3095" s="2" t="s">
        <v>21</v>
      </c>
    </row>
    <row r="3096" ht="15.75" customHeight="1">
      <c r="A3096" s="2">
        <v>2014.0</v>
      </c>
      <c r="B3096" s="2" t="s">
        <v>14656</v>
      </c>
      <c r="C3096" s="2" t="s">
        <v>14656</v>
      </c>
      <c r="D3096" s="2" t="str">
        <f>"00201229250650"</f>
        <v>00201229250650</v>
      </c>
      <c r="E3096" s="2" t="s">
        <v>14657</v>
      </c>
      <c r="F3096" s="2" t="s">
        <v>8960</v>
      </c>
      <c r="G3096" s="2" t="str">
        <f>"SR-4146"</f>
        <v>SR-4146</v>
      </c>
      <c r="H3096" s="2" t="s">
        <v>14658</v>
      </c>
      <c r="I3096" s="2" t="s">
        <v>14659</v>
      </c>
      <c r="K3096" s="2" t="s">
        <v>9297</v>
      </c>
      <c r="N3096" s="2" t="s">
        <v>9298</v>
      </c>
    </row>
    <row r="3097" ht="15.75" customHeight="1">
      <c r="A3097" s="2">
        <v>2014.0</v>
      </c>
      <c r="B3097" s="2" t="s">
        <v>14660</v>
      </c>
      <c r="D3097" s="2" t="str">
        <f>""</f>
        <v/>
      </c>
      <c r="E3097" s="2" t="s">
        <v>14661</v>
      </c>
      <c r="F3097" s="2" t="s">
        <v>2598</v>
      </c>
      <c r="G3097" s="2" t="str">
        <f>"SR-4256"</f>
        <v>SR-4256</v>
      </c>
      <c r="H3097" s="2" t="s">
        <v>14662</v>
      </c>
      <c r="N3097" s="2" t="s">
        <v>21</v>
      </c>
    </row>
    <row r="3098" ht="15.75" customHeight="1">
      <c r="A3098" s="2">
        <v>2014.0</v>
      </c>
      <c r="B3098" s="2" t="s">
        <v>14663</v>
      </c>
      <c r="C3098" s="2" t="s">
        <v>14663</v>
      </c>
      <c r="D3098" s="2" t="str">
        <f>"859-652-2846"</f>
        <v>859-652-2846</v>
      </c>
      <c r="E3098" s="2" t="s">
        <v>188</v>
      </c>
      <c r="F3098" s="2" t="s">
        <v>14664</v>
      </c>
      <c r="G3098" s="2" t="str">
        <f>"SR-4247"</f>
        <v>SR-4247</v>
      </c>
      <c r="H3098" s="2" t="s">
        <v>14665</v>
      </c>
      <c r="I3098" s="2" t="s">
        <v>14666</v>
      </c>
      <c r="K3098" s="2" t="s">
        <v>14667</v>
      </c>
      <c r="L3098" s="2" t="s">
        <v>1236</v>
      </c>
      <c r="M3098" s="2">
        <v>41091.0</v>
      </c>
      <c r="N3098" s="2" t="s">
        <v>21</v>
      </c>
    </row>
    <row r="3099" ht="15.75" customHeight="1">
      <c r="A3099" s="2">
        <v>2014.0</v>
      </c>
      <c r="B3099" s="2" t="s">
        <v>14668</v>
      </c>
      <c r="C3099" s="2" t="s">
        <v>14668</v>
      </c>
      <c r="D3099" s="2" t="str">
        <f>"719 339-9072"</f>
        <v>719 339-9072</v>
      </c>
      <c r="E3099" s="2" t="s">
        <v>651</v>
      </c>
      <c r="F3099" s="2" t="s">
        <v>128</v>
      </c>
      <c r="G3099" s="2" t="str">
        <f>"SR-3990"</f>
        <v>SR-3990</v>
      </c>
      <c r="H3099" s="2" t="s">
        <v>14669</v>
      </c>
      <c r="I3099" s="2" t="s">
        <v>6580</v>
      </c>
      <c r="K3099" s="2" t="s">
        <v>507</v>
      </c>
      <c r="L3099" s="2" t="s">
        <v>157</v>
      </c>
      <c r="M3099" s="2">
        <v>80132.0</v>
      </c>
      <c r="N3099" s="2" t="s">
        <v>21</v>
      </c>
    </row>
    <row r="3100" ht="15.75" customHeight="1">
      <c r="A3100" s="2">
        <v>2014.0</v>
      </c>
      <c r="B3100" s="2" t="s">
        <v>14670</v>
      </c>
      <c r="C3100" s="2" t="s">
        <v>14670</v>
      </c>
      <c r="D3100" s="2" t="str">
        <f>"3344300235"</f>
        <v>3344300235</v>
      </c>
      <c r="E3100" s="2" t="s">
        <v>14671</v>
      </c>
      <c r="F3100" s="2" t="s">
        <v>9594</v>
      </c>
      <c r="G3100" s="2" t="str">
        <f>"SR-4263"</f>
        <v>SR-4263</v>
      </c>
      <c r="H3100" s="2" t="s">
        <v>14672</v>
      </c>
      <c r="I3100" s="2" t="s">
        <v>14673</v>
      </c>
      <c r="K3100" s="2" t="s">
        <v>14674</v>
      </c>
      <c r="L3100" s="2" t="s">
        <v>539</v>
      </c>
      <c r="M3100" s="2">
        <v>36054.0</v>
      </c>
      <c r="N3100" s="2" t="s">
        <v>21</v>
      </c>
    </row>
    <row r="3101" ht="15.75" customHeight="1">
      <c r="A3101" s="2">
        <v>2014.0</v>
      </c>
      <c r="B3101" s="2" t="s">
        <v>14675</v>
      </c>
      <c r="C3101" s="2" t="s">
        <v>14676</v>
      </c>
      <c r="D3101" s="2" t="str">
        <f>"515-832-1880"</f>
        <v>515-832-1880</v>
      </c>
      <c r="E3101" s="2" t="s">
        <v>137</v>
      </c>
      <c r="F3101" s="2" t="s">
        <v>14677</v>
      </c>
      <c r="G3101" s="2" t="str">
        <f>"SR-4096"</f>
        <v>SR-4096</v>
      </c>
      <c r="H3101" s="2" t="s">
        <v>14678</v>
      </c>
      <c r="I3101" s="2" t="s">
        <v>14679</v>
      </c>
      <c r="K3101" s="2" t="s">
        <v>14680</v>
      </c>
      <c r="L3101" s="2" t="s">
        <v>560</v>
      </c>
      <c r="M3101" s="2">
        <v>50595.0</v>
      </c>
      <c r="N3101" s="2" t="s">
        <v>21</v>
      </c>
    </row>
    <row r="3102" ht="15.75" customHeight="1">
      <c r="A3102" s="2">
        <v>2014.0</v>
      </c>
      <c r="B3102" s="2" t="s">
        <v>14681</v>
      </c>
      <c r="C3102" s="2" t="s">
        <v>14681</v>
      </c>
      <c r="D3102" s="2" t="str">
        <f>"5158223802"</f>
        <v>5158223802</v>
      </c>
      <c r="E3102" s="2" t="s">
        <v>3750</v>
      </c>
      <c r="F3102" s="2" t="s">
        <v>14682</v>
      </c>
      <c r="G3102" s="2" t="str">
        <f>"SR-4112"</f>
        <v>SR-4112</v>
      </c>
      <c r="H3102" s="2" t="s">
        <v>14683</v>
      </c>
      <c r="I3102" s="2" t="s">
        <v>14684</v>
      </c>
      <c r="K3102" s="2" t="s">
        <v>340</v>
      </c>
      <c r="L3102" s="2" t="s">
        <v>560</v>
      </c>
      <c r="M3102" s="2">
        <v>50111.0</v>
      </c>
      <c r="N3102" s="2" t="s">
        <v>21</v>
      </c>
    </row>
    <row r="3103" ht="15.75" customHeight="1">
      <c r="A3103" s="2">
        <v>2014.0</v>
      </c>
      <c r="B3103" s="2" t="s">
        <v>14685</v>
      </c>
      <c r="C3103" s="2" t="s">
        <v>14686</v>
      </c>
      <c r="D3103" s="2" t="str">
        <f>"703-968-6333"</f>
        <v>703-968-6333</v>
      </c>
      <c r="E3103" s="2" t="s">
        <v>3511</v>
      </c>
      <c r="F3103" s="2" t="s">
        <v>2032</v>
      </c>
      <c r="G3103" s="2" t="str">
        <f>"SR-4261"</f>
        <v>SR-4261</v>
      </c>
      <c r="H3103" s="2" t="s">
        <v>14687</v>
      </c>
      <c r="I3103" s="2" t="s">
        <v>14688</v>
      </c>
      <c r="K3103" s="2" t="s">
        <v>13760</v>
      </c>
      <c r="L3103" s="2" t="s">
        <v>165</v>
      </c>
      <c r="M3103" s="2">
        <v>20120.0</v>
      </c>
      <c r="N3103" s="2" t="s">
        <v>21</v>
      </c>
    </row>
    <row r="3104" ht="15.75" customHeight="1">
      <c r="A3104" s="2">
        <v>2014.0</v>
      </c>
      <c r="B3104" s="2" t="s">
        <v>14689</v>
      </c>
      <c r="C3104" s="2" t="s">
        <v>14690</v>
      </c>
      <c r="D3104" s="2" t="str">
        <f>"9187284896"</f>
        <v>9187284896</v>
      </c>
      <c r="E3104" s="2" t="s">
        <v>1233</v>
      </c>
      <c r="F3104" s="2" t="s">
        <v>14691</v>
      </c>
      <c r="G3104" s="2" t="str">
        <f>"SR-4212"</f>
        <v>SR-4212</v>
      </c>
      <c r="H3104" s="2" t="s">
        <v>14692</v>
      </c>
      <c r="I3104" s="2" t="s">
        <v>14693</v>
      </c>
      <c r="K3104" s="2" t="s">
        <v>14694</v>
      </c>
      <c r="L3104" s="2" t="s">
        <v>840</v>
      </c>
      <c r="M3104" s="2">
        <v>74454.0</v>
      </c>
      <c r="N3104" s="2" t="s">
        <v>21</v>
      </c>
    </row>
    <row r="3105" ht="15.75" customHeight="1">
      <c r="A3105" s="2">
        <v>2014.0</v>
      </c>
      <c r="B3105" s="2" t="s">
        <v>7560</v>
      </c>
      <c r="C3105" s="2" t="s">
        <v>7560</v>
      </c>
      <c r="D3105" s="2" t="str">
        <f>"408-401-7572"</f>
        <v>408-401-7572</v>
      </c>
      <c r="E3105" s="2" t="s">
        <v>100</v>
      </c>
      <c r="F3105" s="2" t="s">
        <v>7561</v>
      </c>
      <c r="G3105" s="2" t="str">
        <f>"SR-2068"</f>
        <v>SR-2068</v>
      </c>
      <c r="H3105" s="2" t="s">
        <v>7562</v>
      </c>
      <c r="I3105" s="2" t="s">
        <v>7563</v>
      </c>
      <c r="K3105" s="2" t="s">
        <v>5826</v>
      </c>
      <c r="L3105" s="2" t="s">
        <v>222</v>
      </c>
      <c r="M3105" s="2">
        <v>95120.0</v>
      </c>
      <c r="N3105" s="2" t="s">
        <v>21</v>
      </c>
    </row>
    <row r="3106" ht="15.75" customHeight="1">
      <c r="A3106" s="2">
        <v>2014.0</v>
      </c>
      <c r="B3106" s="2" t="s">
        <v>7560</v>
      </c>
      <c r="C3106" s="2" t="s">
        <v>7564</v>
      </c>
      <c r="D3106" s="2" t="str">
        <f>"4084972191"</f>
        <v>4084972191</v>
      </c>
      <c r="E3106" s="2" t="s">
        <v>7565</v>
      </c>
      <c r="F3106" s="2" t="s">
        <v>7561</v>
      </c>
      <c r="G3106" s="2" t="str">
        <f>"SR-2069"</f>
        <v>SR-2069</v>
      </c>
      <c r="H3106" s="2" t="s">
        <v>7566</v>
      </c>
      <c r="I3106" s="2" t="s">
        <v>7567</v>
      </c>
      <c r="K3106" s="2" t="s">
        <v>7568</v>
      </c>
      <c r="L3106" s="2" t="s">
        <v>222</v>
      </c>
      <c r="M3106" s="2">
        <v>95120.0</v>
      </c>
      <c r="N3106" s="2" t="s">
        <v>21</v>
      </c>
    </row>
    <row r="3107" ht="15.75" customHeight="1">
      <c r="A3107" s="2">
        <v>2014.0</v>
      </c>
      <c r="B3107" s="2" t="s">
        <v>14695</v>
      </c>
      <c r="C3107" s="2" t="s">
        <v>14696</v>
      </c>
      <c r="D3107" s="2" t="str">
        <f>"2562499533"</f>
        <v>2562499533</v>
      </c>
      <c r="E3107" s="2" t="s">
        <v>580</v>
      </c>
      <c r="F3107" s="2" t="s">
        <v>2648</v>
      </c>
      <c r="G3107" s="2" t="str">
        <f>"SR-4251"</f>
        <v>SR-4251</v>
      </c>
      <c r="H3107" s="2" t="s">
        <v>14697</v>
      </c>
      <c r="I3107" s="2" t="s">
        <v>14698</v>
      </c>
      <c r="K3107" s="2" t="s">
        <v>14699</v>
      </c>
      <c r="L3107" s="2" t="s">
        <v>539</v>
      </c>
      <c r="M3107" s="2">
        <v>35151.0</v>
      </c>
      <c r="N3107" s="2" t="s">
        <v>21</v>
      </c>
    </row>
    <row r="3108" ht="15.75" customHeight="1">
      <c r="A3108" s="2">
        <v>2014.0</v>
      </c>
      <c r="B3108" s="2" t="s">
        <v>14700</v>
      </c>
      <c r="C3108" s="2" t="s">
        <v>14700</v>
      </c>
      <c r="D3108" s="2" t="str">
        <f>"225-642-3800"</f>
        <v>225-642-3800</v>
      </c>
      <c r="E3108" s="2" t="s">
        <v>14701</v>
      </c>
      <c r="F3108" s="2" t="s">
        <v>6527</v>
      </c>
      <c r="G3108" s="2" t="str">
        <f>"SR-4269"</f>
        <v>SR-4269</v>
      </c>
      <c r="H3108" s="2" t="s">
        <v>14702</v>
      </c>
      <c r="I3108" s="2" t="s">
        <v>7770</v>
      </c>
      <c r="K3108" s="2" t="s">
        <v>7771</v>
      </c>
      <c r="L3108" s="2" t="s">
        <v>715</v>
      </c>
      <c r="M3108" s="2">
        <v>70780.0</v>
      </c>
      <c r="N3108" s="2" t="s">
        <v>21</v>
      </c>
    </row>
    <row r="3109" ht="15.75" customHeight="1">
      <c r="A3109" s="2">
        <v>2014.0</v>
      </c>
      <c r="B3109" s="2" t="s">
        <v>14703</v>
      </c>
      <c r="C3109" s="2" t="s">
        <v>14704</v>
      </c>
      <c r="D3109" s="2" t="str">
        <f>"3216631518"</f>
        <v>3216631518</v>
      </c>
      <c r="E3109" s="2" t="s">
        <v>908</v>
      </c>
      <c r="F3109" s="2" t="s">
        <v>14705</v>
      </c>
      <c r="G3109" s="2" t="str">
        <f>"SR-4259"</f>
        <v>SR-4259</v>
      </c>
      <c r="H3109" s="2" t="s">
        <v>14706</v>
      </c>
      <c r="I3109" s="2" t="s">
        <v>14707</v>
      </c>
      <c r="K3109" s="2" t="s">
        <v>4724</v>
      </c>
      <c r="L3109" s="2" t="s">
        <v>208</v>
      </c>
      <c r="M3109" s="2">
        <v>32828.0</v>
      </c>
      <c r="N3109" s="2" t="s">
        <v>21</v>
      </c>
    </row>
    <row r="3110" ht="15.75" customHeight="1">
      <c r="A3110" s="2">
        <v>2014.0</v>
      </c>
      <c r="B3110" s="2" t="s">
        <v>14708</v>
      </c>
      <c r="C3110" s="2" t="s">
        <v>14708</v>
      </c>
      <c r="D3110" s="2" t="str">
        <f>"8324490482"</f>
        <v>8324490482</v>
      </c>
      <c r="E3110" s="2" t="s">
        <v>167</v>
      </c>
      <c r="F3110" s="2" t="s">
        <v>14709</v>
      </c>
      <c r="G3110" s="2" t="str">
        <f>"SR-3858"</f>
        <v>SR-3858</v>
      </c>
      <c r="H3110" s="2" t="s">
        <v>14710</v>
      </c>
      <c r="I3110" s="2" t="s">
        <v>14711</v>
      </c>
      <c r="K3110" s="2" t="s">
        <v>2182</v>
      </c>
      <c r="L3110" s="2" t="s">
        <v>172</v>
      </c>
      <c r="M3110" s="2">
        <v>77479.0</v>
      </c>
      <c r="N3110" s="2" t="s">
        <v>21</v>
      </c>
    </row>
    <row r="3111" ht="15.75" customHeight="1">
      <c r="A3111" s="2">
        <v>2014.0</v>
      </c>
      <c r="B3111" s="2" t="s">
        <v>14712</v>
      </c>
      <c r="C3111" s="2" t="s">
        <v>14713</v>
      </c>
      <c r="D3111" s="2" t="str">
        <f>"(740) 312-4224"</f>
        <v>(740) 312-4224</v>
      </c>
      <c r="E3111" s="2" t="s">
        <v>3878</v>
      </c>
      <c r="F3111" s="2" t="s">
        <v>550</v>
      </c>
      <c r="G3111" s="2" t="str">
        <f>"SR-4279"</f>
        <v>SR-4279</v>
      </c>
      <c r="H3111" s="2" t="s">
        <v>14714</v>
      </c>
      <c r="I3111" s="2" t="s">
        <v>14715</v>
      </c>
      <c r="K3111" s="2" t="s">
        <v>14716</v>
      </c>
      <c r="L3111" s="2" t="s">
        <v>344</v>
      </c>
      <c r="M3111" s="2">
        <v>43950.0</v>
      </c>
      <c r="N3111" s="2" t="s">
        <v>21</v>
      </c>
    </row>
    <row r="3112" ht="15.75" customHeight="1">
      <c r="A3112" s="2">
        <v>2014.0</v>
      </c>
      <c r="B3112" s="2" t="s">
        <v>4269</v>
      </c>
      <c r="C3112" s="2" t="s">
        <v>4269</v>
      </c>
      <c r="D3112" s="2" t="str">
        <f>"2486611163"</f>
        <v>2486611163</v>
      </c>
      <c r="E3112" s="2" t="s">
        <v>261</v>
      </c>
      <c r="F3112" s="2" t="s">
        <v>3576</v>
      </c>
      <c r="G3112" s="2" t="str">
        <f>"SR-4288"</f>
        <v>SR-4288</v>
      </c>
      <c r="H3112" s="2" t="s">
        <v>4270</v>
      </c>
      <c r="I3112" s="2" t="s">
        <v>4271</v>
      </c>
      <c r="K3112" s="2" t="s">
        <v>4272</v>
      </c>
      <c r="L3112" s="2" t="s">
        <v>29</v>
      </c>
      <c r="M3112" s="2">
        <v>48322.0</v>
      </c>
      <c r="N3112" s="2" t="s">
        <v>21</v>
      </c>
    </row>
    <row r="3113" ht="15.75" customHeight="1">
      <c r="A3113" s="2">
        <v>2014.0</v>
      </c>
      <c r="B3113" s="2" t="s">
        <v>14717</v>
      </c>
      <c r="C3113" s="2" t="s">
        <v>14718</v>
      </c>
      <c r="D3113" s="2" t="str">
        <f>"8652924725"</f>
        <v>8652924725</v>
      </c>
      <c r="E3113" s="2" t="s">
        <v>160</v>
      </c>
      <c r="F3113" s="2" t="s">
        <v>11583</v>
      </c>
      <c r="G3113" s="2" t="str">
        <f>"SR-4200"</f>
        <v>SR-4200</v>
      </c>
      <c r="H3113" s="2" t="s">
        <v>14719</v>
      </c>
      <c r="I3113" s="2" t="s">
        <v>14720</v>
      </c>
      <c r="K3113" s="2" t="s">
        <v>6168</v>
      </c>
      <c r="L3113" s="2" t="s">
        <v>279</v>
      </c>
      <c r="M3113" s="2">
        <v>37923.0</v>
      </c>
      <c r="N3113" s="2" t="s">
        <v>21</v>
      </c>
    </row>
    <row r="3114" ht="15.75" customHeight="1">
      <c r="A3114" s="2">
        <v>2014.0</v>
      </c>
      <c r="B3114" s="2" t="s">
        <v>14721</v>
      </c>
      <c r="C3114" s="2" t="s">
        <v>14721</v>
      </c>
      <c r="D3114" s="2" t="str">
        <f>"3107365931"</f>
        <v>3107365931</v>
      </c>
      <c r="E3114" s="2" t="s">
        <v>14722</v>
      </c>
      <c r="F3114" s="2" t="s">
        <v>14723</v>
      </c>
      <c r="G3114" s="2" t="str">
        <f>"SR-4289"</f>
        <v>SR-4289</v>
      </c>
      <c r="H3114" s="2" t="s">
        <v>14724</v>
      </c>
      <c r="I3114" s="2" t="s">
        <v>14725</v>
      </c>
      <c r="K3114" s="2" t="s">
        <v>14726</v>
      </c>
      <c r="L3114" s="2" t="s">
        <v>222</v>
      </c>
      <c r="M3114" s="2">
        <v>92882.0</v>
      </c>
      <c r="N3114" s="2" t="s">
        <v>21</v>
      </c>
    </row>
    <row r="3115" ht="15.75" customHeight="1">
      <c r="A3115" s="2">
        <v>2014.0</v>
      </c>
      <c r="B3115" s="2" t="s">
        <v>14727</v>
      </c>
      <c r="C3115" s="2" t="s">
        <v>6611</v>
      </c>
      <c r="D3115" s="2" t="str">
        <f>"740-397-7556"</f>
        <v>740-397-7556</v>
      </c>
      <c r="E3115" s="2" t="s">
        <v>1422</v>
      </c>
      <c r="F3115" s="2" t="s">
        <v>6612</v>
      </c>
      <c r="G3115" s="2" t="str">
        <f>"SR-4290"</f>
        <v>SR-4290</v>
      </c>
      <c r="H3115" s="2" t="s">
        <v>6613</v>
      </c>
      <c r="I3115" s="2" t="s">
        <v>6614</v>
      </c>
      <c r="K3115" s="2" t="s">
        <v>6615</v>
      </c>
      <c r="L3115" s="2" t="s">
        <v>344</v>
      </c>
      <c r="M3115" s="2">
        <v>43050.0</v>
      </c>
      <c r="N3115" s="2" t="s">
        <v>21</v>
      </c>
    </row>
    <row r="3116" ht="15.75" customHeight="1">
      <c r="A3116" s="2">
        <v>2014.0</v>
      </c>
      <c r="B3116" s="2" t="s">
        <v>14728</v>
      </c>
      <c r="C3116" s="2" t="s">
        <v>14728</v>
      </c>
      <c r="D3116" s="2" t="str">
        <f>"3174503121"</f>
        <v>3174503121</v>
      </c>
      <c r="E3116" s="2" t="s">
        <v>14729</v>
      </c>
      <c r="F3116" s="2" t="s">
        <v>1162</v>
      </c>
      <c r="G3116" s="2" t="str">
        <f>"SR-2558"</f>
        <v>SR-2558</v>
      </c>
      <c r="H3116" s="2" t="s">
        <v>14730</v>
      </c>
      <c r="I3116" s="2" t="s">
        <v>14731</v>
      </c>
      <c r="K3116" s="2" t="s">
        <v>10407</v>
      </c>
      <c r="L3116" s="2" t="s">
        <v>149</v>
      </c>
      <c r="M3116" s="2">
        <v>46032.0</v>
      </c>
      <c r="N3116" s="2" t="s">
        <v>21</v>
      </c>
    </row>
    <row r="3117" ht="15.75" customHeight="1">
      <c r="A3117" s="2">
        <v>2014.0</v>
      </c>
      <c r="B3117" s="2" t="s">
        <v>14712</v>
      </c>
      <c r="C3117" s="2" t="s">
        <v>14732</v>
      </c>
      <c r="D3117" s="2" t="str">
        <f>"740-827-7548"</f>
        <v>740-827-7548</v>
      </c>
      <c r="E3117" s="2" t="s">
        <v>908</v>
      </c>
      <c r="F3117" s="2" t="s">
        <v>550</v>
      </c>
      <c r="G3117" s="2" t="str">
        <f>"SR-4291"</f>
        <v>SR-4291</v>
      </c>
      <c r="H3117" s="2" t="s">
        <v>14733</v>
      </c>
      <c r="I3117" s="2" t="s">
        <v>14715</v>
      </c>
      <c r="K3117" s="2" t="s">
        <v>14734</v>
      </c>
      <c r="L3117" s="2" t="s">
        <v>344</v>
      </c>
      <c r="M3117" s="2">
        <v>43950.0</v>
      </c>
      <c r="N3117" s="2" t="s">
        <v>21</v>
      </c>
    </row>
    <row r="3118" ht="15.75" customHeight="1">
      <c r="A3118" s="2">
        <v>2014.0</v>
      </c>
      <c r="B3118" s="2" t="s">
        <v>14735</v>
      </c>
      <c r="C3118" s="2" t="s">
        <v>14736</v>
      </c>
      <c r="D3118" s="2" t="str">
        <f>"8132802541"</f>
        <v>8132802541</v>
      </c>
      <c r="E3118" s="2" t="s">
        <v>843</v>
      </c>
      <c r="F3118" s="2" t="s">
        <v>11781</v>
      </c>
      <c r="G3118" s="2" t="str">
        <f>"SR-4180"</f>
        <v>SR-4180</v>
      </c>
      <c r="H3118" s="2" t="s">
        <v>14737</v>
      </c>
      <c r="I3118" s="2" t="s">
        <v>14738</v>
      </c>
      <c r="K3118" s="2" t="s">
        <v>3431</v>
      </c>
      <c r="L3118" s="2" t="s">
        <v>208</v>
      </c>
      <c r="M3118" s="2">
        <v>33621.0</v>
      </c>
      <c r="N3118" s="2" t="s">
        <v>21</v>
      </c>
    </row>
    <row r="3119" ht="15.75" customHeight="1">
      <c r="A3119" s="2">
        <v>2014.0</v>
      </c>
      <c r="B3119" s="2" t="s">
        <v>14739</v>
      </c>
      <c r="C3119" s="2" t="s">
        <v>14740</v>
      </c>
      <c r="D3119" s="2" t="str">
        <f>"8646403033"</f>
        <v>8646403033</v>
      </c>
      <c r="E3119" s="2" t="s">
        <v>301</v>
      </c>
      <c r="F3119" s="2" t="s">
        <v>457</v>
      </c>
      <c r="G3119" s="2" t="str">
        <f>"SR-4293"</f>
        <v>SR-4293</v>
      </c>
      <c r="H3119" s="2" t="s">
        <v>14741</v>
      </c>
      <c r="I3119" s="2" t="s">
        <v>14742</v>
      </c>
      <c r="K3119" s="2" t="s">
        <v>54</v>
      </c>
      <c r="L3119" s="2" t="s">
        <v>55</v>
      </c>
      <c r="M3119" s="2">
        <v>29609.0</v>
      </c>
      <c r="N3119" s="2" t="s">
        <v>21</v>
      </c>
    </row>
    <row r="3120" ht="15.75" customHeight="1">
      <c r="A3120" s="2">
        <v>2014.0</v>
      </c>
      <c r="B3120" s="2" t="s">
        <v>14743</v>
      </c>
      <c r="C3120" s="2" t="s">
        <v>14744</v>
      </c>
      <c r="D3120" s="2" t="str">
        <f t="shared" ref="D3120:D3121" si="51">"3342807833"</f>
        <v>3342807833</v>
      </c>
      <c r="E3120" s="2" t="s">
        <v>282</v>
      </c>
      <c r="F3120" s="2" t="s">
        <v>14745</v>
      </c>
      <c r="G3120" s="2" t="str">
        <f>"SR-4300"</f>
        <v>SR-4300</v>
      </c>
      <c r="H3120" s="2" t="s">
        <v>14746</v>
      </c>
      <c r="I3120" s="2" t="s">
        <v>14747</v>
      </c>
      <c r="K3120" s="2" t="s">
        <v>538</v>
      </c>
      <c r="L3120" s="2" t="s">
        <v>539</v>
      </c>
      <c r="M3120" s="2">
        <v>36116.0</v>
      </c>
      <c r="N3120" s="2" t="s">
        <v>21</v>
      </c>
    </row>
    <row r="3121" ht="15.75" customHeight="1">
      <c r="A3121" s="2">
        <v>2014.0</v>
      </c>
      <c r="B3121" s="2" t="s">
        <v>14743</v>
      </c>
      <c r="C3121" s="2" t="s">
        <v>14748</v>
      </c>
      <c r="D3121" s="2" t="str">
        <f t="shared" si="51"/>
        <v>3342807833</v>
      </c>
      <c r="E3121" s="2" t="s">
        <v>1585</v>
      </c>
      <c r="F3121" s="2" t="s">
        <v>14745</v>
      </c>
      <c r="G3121" s="2" t="str">
        <f>"SR-4304"</f>
        <v>SR-4304</v>
      </c>
      <c r="H3121" s="2" t="s">
        <v>14749</v>
      </c>
      <c r="I3121" s="2" t="s">
        <v>14747</v>
      </c>
      <c r="K3121" s="2" t="s">
        <v>538</v>
      </c>
      <c r="L3121" s="2" t="s">
        <v>539</v>
      </c>
      <c r="M3121" s="2">
        <v>36116.0</v>
      </c>
      <c r="N3121" s="2" t="s">
        <v>21</v>
      </c>
    </row>
    <row r="3122" ht="15.75" customHeight="1">
      <c r="A3122" s="2">
        <v>2014.0</v>
      </c>
      <c r="B3122" s="2" t="s">
        <v>4892</v>
      </c>
      <c r="D3122" s="2" t="str">
        <f>""</f>
        <v/>
      </c>
      <c r="E3122" s="2" t="s">
        <v>1243</v>
      </c>
      <c r="F3122" s="2" t="s">
        <v>4893</v>
      </c>
      <c r="G3122" s="2" t="str">
        <f>"SR-746"</f>
        <v>SR-746</v>
      </c>
      <c r="H3122" s="2" t="s">
        <v>4894</v>
      </c>
    </row>
    <row r="3123" ht="15.75" customHeight="1">
      <c r="A3123" s="2">
        <v>2014.0</v>
      </c>
      <c r="B3123" s="2" t="s">
        <v>14750</v>
      </c>
      <c r="C3123" s="2" t="s">
        <v>14751</v>
      </c>
      <c r="D3123" s="2" t="str">
        <f>"630-832-3364"</f>
        <v>630-832-3364</v>
      </c>
      <c r="E3123" s="2" t="s">
        <v>2259</v>
      </c>
      <c r="F3123" s="2" t="s">
        <v>14752</v>
      </c>
      <c r="G3123" s="2" t="str">
        <f>"SR-4306"</f>
        <v>SR-4306</v>
      </c>
      <c r="H3123" s="2" t="s">
        <v>14753</v>
      </c>
      <c r="I3123" s="2" t="s">
        <v>14754</v>
      </c>
      <c r="K3123" s="2" t="s">
        <v>14755</v>
      </c>
      <c r="L3123" s="2" t="s">
        <v>105</v>
      </c>
      <c r="M3123" s="2">
        <v>60181.0</v>
      </c>
      <c r="N3123" s="2" t="s">
        <v>21</v>
      </c>
    </row>
    <row r="3124" ht="15.75" customHeight="1">
      <c r="A3124" s="2">
        <v>2014.0</v>
      </c>
      <c r="B3124" s="2" t="s">
        <v>14057</v>
      </c>
      <c r="C3124" s="2" t="s">
        <v>14756</v>
      </c>
      <c r="D3124" s="2" t="str">
        <f>"3035234643"</f>
        <v>3035234643</v>
      </c>
      <c r="E3124" s="2" t="s">
        <v>167</v>
      </c>
      <c r="F3124" s="2" t="s">
        <v>14757</v>
      </c>
      <c r="G3124" s="2" t="str">
        <f>"SR-4292"</f>
        <v>SR-4292</v>
      </c>
      <c r="H3124" s="2" t="s">
        <v>14758</v>
      </c>
      <c r="I3124" s="2" t="s">
        <v>14759</v>
      </c>
      <c r="K3124" s="2" t="s">
        <v>185</v>
      </c>
      <c r="L3124" s="2" t="s">
        <v>157</v>
      </c>
      <c r="M3124" s="2">
        <v>80110.0</v>
      </c>
      <c r="N3124" s="2" t="s">
        <v>21</v>
      </c>
    </row>
    <row r="3125" ht="15.75" customHeight="1">
      <c r="A3125" s="2">
        <v>2014.0</v>
      </c>
      <c r="B3125" s="2" t="s">
        <v>14760</v>
      </c>
      <c r="C3125" s="2" t="s">
        <v>14761</v>
      </c>
      <c r="D3125" s="2" t="str">
        <f>"971-322-5214"</f>
        <v>971-322-5214</v>
      </c>
      <c r="E3125" s="2" t="s">
        <v>8039</v>
      </c>
      <c r="F3125" s="2" t="s">
        <v>14762</v>
      </c>
      <c r="G3125" s="2" t="str">
        <f>"SR-4325"</f>
        <v>SR-4325</v>
      </c>
      <c r="H3125" s="2" t="s">
        <v>14763</v>
      </c>
      <c r="I3125" s="2" t="s">
        <v>14764</v>
      </c>
      <c r="K3125" s="2" t="s">
        <v>3058</v>
      </c>
      <c r="L3125" s="2" t="s">
        <v>2389</v>
      </c>
      <c r="M3125" s="2">
        <v>97080.0</v>
      </c>
      <c r="N3125" s="2" t="s">
        <v>21</v>
      </c>
    </row>
    <row r="3126" ht="15.75" customHeight="1">
      <c r="A3126" s="2">
        <v>2014.0</v>
      </c>
      <c r="B3126" s="2" t="s">
        <v>14765</v>
      </c>
      <c r="C3126" s="2" t="s">
        <v>14766</v>
      </c>
      <c r="D3126" s="2" t="str">
        <f>"8163737063"</f>
        <v>8163737063</v>
      </c>
      <c r="E3126" s="2" t="s">
        <v>1782</v>
      </c>
      <c r="F3126" s="2" t="s">
        <v>863</v>
      </c>
      <c r="G3126" s="2" t="str">
        <f>"SR-4302"</f>
        <v>SR-4302</v>
      </c>
      <c r="H3126" s="2" t="s">
        <v>14767</v>
      </c>
      <c r="I3126" s="2" t="s">
        <v>14768</v>
      </c>
      <c r="K3126" s="2" t="s">
        <v>13646</v>
      </c>
      <c r="L3126" s="2" t="s">
        <v>214</v>
      </c>
      <c r="M3126" s="2">
        <v>64064.0</v>
      </c>
      <c r="N3126" s="2" t="s">
        <v>21</v>
      </c>
    </row>
    <row r="3127" ht="15.75" customHeight="1">
      <c r="A3127" s="2">
        <v>2014.0</v>
      </c>
      <c r="B3127" s="2" t="s">
        <v>14769</v>
      </c>
      <c r="C3127" s="2" t="s">
        <v>14769</v>
      </c>
      <c r="D3127" s="2" t="str">
        <f>"8176148976"</f>
        <v>8176148976</v>
      </c>
      <c r="E3127" s="2" t="s">
        <v>4406</v>
      </c>
      <c r="F3127" s="2" t="s">
        <v>14770</v>
      </c>
      <c r="G3127" s="2" t="str">
        <f>"SR-4163"</f>
        <v>SR-4163</v>
      </c>
      <c r="H3127" s="2" t="s">
        <v>14771</v>
      </c>
      <c r="I3127" s="2" t="s">
        <v>14772</v>
      </c>
      <c r="K3127" s="2" t="s">
        <v>6017</v>
      </c>
      <c r="L3127" s="2" t="s">
        <v>172</v>
      </c>
      <c r="M3127" s="2">
        <v>76008.0</v>
      </c>
      <c r="N3127" s="2" t="s">
        <v>21</v>
      </c>
    </row>
    <row r="3128" ht="15.75" customHeight="1">
      <c r="A3128" s="2">
        <v>2014.0</v>
      </c>
      <c r="B3128" s="2" t="s">
        <v>14773</v>
      </c>
      <c r="C3128" s="2" t="s">
        <v>14773</v>
      </c>
      <c r="D3128" s="2" t="str">
        <f>"4233713154"</f>
        <v>4233713154</v>
      </c>
      <c r="E3128" s="2" t="s">
        <v>1015</v>
      </c>
      <c r="F3128" s="2" t="s">
        <v>1929</v>
      </c>
      <c r="G3128" s="2" t="str">
        <f>"SR-4234"</f>
        <v>SR-4234</v>
      </c>
      <c r="H3128" s="2" t="s">
        <v>14774</v>
      </c>
      <c r="I3128" s="2" t="s">
        <v>14775</v>
      </c>
      <c r="K3128" s="2" t="s">
        <v>14776</v>
      </c>
      <c r="L3128" s="2" t="s">
        <v>279</v>
      </c>
      <c r="M3128" s="2">
        <v>37385.0</v>
      </c>
      <c r="N3128" s="2" t="s">
        <v>21</v>
      </c>
    </row>
    <row r="3129" ht="15.75" customHeight="1">
      <c r="A3129" s="2">
        <v>2014.0</v>
      </c>
      <c r="B3129" s="2" t="s">
        <v>14777</v>
      </c>
      <c r="C3129" s="2" t="s">
        <v>14777</v>
      </c>
      <c r="D3129" s="2" t="str">
        <f>"614-588-3767"</f>
        <v>614-588-3767</v>
      </c>
      <c r="E3129" s="2" t="s">
        <v>1548</v>
      </c>
      <c r="F3129" s="2" t="s">
        <v>14778</v>
      </c>
      <c r="G3129" s="2" t="str">
        <f>"SR-4332"</f>
        <v>SR-4332</v>
      </c>
      <c r="H3129" s="2" t="s">
        <v>14779</v>
      </c>
      <c r="I3129" s="2" t="s">
        <v>14780</v>
      </c>
      <c r="K3129" s="2" t="s">
        <v>14781</v>
      </c>
      <c r="L3129" s="2" t="s">
        <v>344</v>
      </c>
      <c r="M3129" s="2">
        <v>43061.0</v>
      </c>
      <c r="N3129" s="2" t="s">
        <v>21</v>
      </c>
    </row>
    <row r="3130" ht="15.75" customHeight="1">
      <c r="A3130" s="2">
        <v>2014.0</v>
      </c>
      <c r="B3130" s="2" t="s">
        <v>14782</v>
      </c>
      <c r="C3130" s="2" t="s">
        <v>14783</v>
      </c>
      <c r="D3130" s="2" t="str">
        <f>"719-219-6840"</f>
        <v>719-219-6840</v>
      </c>
      <c r="E3130" s="2" t="s">
        <v>2572</v>
      </c>
      <c r="F3130" s="2" t="s">
        <v>8020</v>
      </c>
      <c r="G3130" s="2" t="str">
        <f>"SR-1752"</f>
        <v>SR-1752</v>
      </c>
      <c r="H3130" s="2" t="s">
        <v>14784</v>
      </c>
      <c r="I3130" s="2" t="s">
        <v>14785</v>
      </c>
      <c r="K3130" s="2" t="s">
        <v>809</v>
      </c>
      <c r="L3130" s="2" t="s">
        <v>157</v>
      </c>
      <c r="M3130" s="2">
        <v>80908.0</v>
      </c>
      <c r="N3130" s="2" t="s">
        <v>21</v>
      </c>
    </row>
    <row r="3131" ht="15.75" customHeight="1">
      <c r="A3131" s="2">
        <v>2014.0</v>
      </c>
      <c r="B3131" s="2" t="s">
        <v>14786</v>
      </c>
      <c r="C3131" s="2" t="s">
        <v>14787</v>
      </c>
      <c r="D3131" s="2" t="str">
        <f>"4064513229"</f>
        <v>4064513229</v>
      </c>
      <c r="E3131" s="2" t="s">
        <v>14788</v>
      </c>
      <c r="F3131" s="2" t="s">
        <v>14789</v>
      </c>
      <c r="G3131" s="2" t="str">
        <f>"SR-4338"</f>
        <v>SR-4338</v>
      </c>
      <c r="H3131" s="2" t="s">
        <v>14790</v>
      </c>
      <c r="I3131" s="2" t="s">
        <v>14791</v>
      </c>
      <c r="K3131" s="2" t="s">
        <v>12644</v>
      </c>
      <c r="L3131" s="2" t="s">
        <v>2696</v>
      </c>
      <c r="M3131" s="2">
        <v>59718.0</v>
      </c>
      <c r="N3131" s="2" t="s">
        <v>21</v>
      </c>
    </row>
    <row r="3132" ht="15.75" customHeight="1">
      <c r="A3132" s="2">
        <v>2014.0</v>
      </c>
      <c r="B3132" s="2" t="s">
        <v>14792</v>
      </c>
      <c r="C3132" s="2" t="s">
        <v>14792</v>
      </c>
      <c r="D3132" s="2" t="str">
        <f>"616-874-7265"</f>
        <v>616-874-7265</v>
      </c>
      <c r="E3132" s="2" t="s">
        <v>1799</v>
      </c>
      <c r="F3132" s="2" t="s">
        <v>14793</v>
      </c>
      <c r="G3132" s="2" t="str">
        <f>"SR-2819"</f>
        <v>SR-2819</v>
      </c>
      <c r="H3132" s="2" t="s">
        <v>14794</v>
      </c>
      <c r="I3132" s="2" t="s">
        <v>14795</v>
      </c>
      <c r="K3132" s="2" t="s">
        <v>382</v>
      </c>
      <c r="L3132" s="2" t="s">
        <v>29</v>
      </c>
      <c r="M3132" s="2">
        <v>49341.0</v>
      </c>
      <c r="N3132" s="2" t="s">
        <v>21</v>
      </c>
    </row>
    <row r="3133" ht="15.75" customHeight="1">
      <c r="A3133" s="2">
        <v>2014.0</v>
      </c>
      <c r="B3133" s="2" t="s">
        <v>14796</v>
      </c>
      <c r="C3133" s="2" t="s">
        <v>14797</v>
      </c>
      <c r="D3133" s="2" t="str">
        <f>"5207971156"</f>
        <v>5207971156</v>
      </c>
      <c r="E3133" s="2" t="s">
        <v>72</v>
      </c>
      <c r="F3133" s="2" t="s">
        <v>14798</v>
      </c>
      <c r="G3133" s="2" t="str">
        <f>"SR-4348"</f>
        <v>SR-4348</v>
      </c>
      <c r="H3133" s="2" t="s">
        <v>14799</v>
      </c>
      <c r="I3133" s="2" t="s">
        <v>14800</v>
      </c>
      <c r="K3133" s="2" t="s">
        <v>5946</v>
      </c>
      <c r="L3133" s="2" t="s">
        <v>422</v>
      </c>
      <c r="M3133" s="2">
        <v>85742.0</v>
      </c>
      <c r="N3133" s="2" t="s">
        <v>21</v>
      </c>
    </row>
    <row r="3134" ht="15.75" customHeight="1">
      <c r="A3134" s="2">
        <v>2014.0</v>
      </c>
      <c r="B3134" s="2" t="s">
        <v>14801</v>
      </c>
      <c r="C3134" s="2" t="s">
        <v>14801</v>
      </c>
      <c r="D3134" s="2" t="str">
        <f>"6199926221"</f>
        <v>6199926221</v>
      </c>
      <c r="E3134" s="2" t="s">
        <v>705</v>
      </c>
      <c r="F3134" s="2" t="s">
        <v>14802</v>
      </c>
      <c r="G3134" s="2" t="str">
        <f>"SR-2799"</f>
        <v>SR-2799</v>
      </c>
      <c r="H3134" s="2" t="s">
        <v>14803</v>
      </c>
      <c r="I3134" s="2" t="s">
        <v>14804</v>
      </c>
      <c r="K3134" s="2" t="s">
        <v>14805</v>
      </c>
      <c r="L3134" s="2" t="s">
        <v>222</v>
      </c>
      <c r="M3134" s="2">
        <v>91977.0</v>
      </c>
      <c r="N3134" s="2" t="s">
        <v>21</v>
      </c>
    </row>
    <row r="3135" ht="15.75" customHeight="1">
      <c r="A3135" s="2">
        <v>2014.0</v>
      </c>
      <c r="B3135" s="2" t="s">
        <v>14806</v>
      </c>
      <c r="C3135" s="2" t="s">
        <v>14807</v>
      </c>
      <c r="D3135" s="2" t="str">
        <f>"530-759-0442"</f>
        <v>530-759-0442</v>
      </c>
      <c r="E3135" s="2" t="s">
        <v>339</v>
      </c>
      <c r="F3135" s="2" t="s">
        <v>14808</v>
      </c>
      <c r="G3135" s="2" t="str">
        <f>"SR-4352"</f>
        <v>SR-4352</v>
      </c>
      <c r="H3135" s="2" t="s">
        <v>14809</v>
      </c>
      <c r="I3135" s="2" t="s">
        <v>14810</v>
      </c>
      <c r="K3135" s="2" t="s">
        <v>256</v>
      </c>
      <c r="L3135" s="2" t="s">
        <v>222</v>
      </c>
      <c r="M3135" s="2">
        <v>95616.0</v>
      </c>
      <c r="N3135" s="2" t="s">
        <v>21</v>
      </c>
    </row>
    <row r="3136" ht="15.75" customHeight="1">
      <c r="A3136" s="2">
        <v>2014.0</v>
      </c>
      <c r="B3136" s="2" t="s">
        <v>14811</v>
      </c>
      <c r="C3136" s="2" t="s">
        <v>14812</v>
      </c>
      <c r="D3136" s="2" t="str">
        <f>"832-265-0109"</f>
        <v>832-265-0109</v>
      </c>
      <c r="E3136" s="2" t="s">
        <v>14813</v>
      </c>
      <c r="F3136" s="2" t="s">
        <v>14814</v>
      </c>
      <c r="G3136" s="2" t="str">
        <f>"SR-4257"</f>
        <v>SR-4257</v>
      </c>
      <c r="H3136" s="2" t="s">
        <v>14815</v>
      </c>
      <c r="I3136" s="2" t="s">
        <v>14816</v>
      </c>
      <c r="K3136" s="2" t="s">
        <v>444</v>
      </c>
      <c r="L3136" s="2" t="s">
        <v>172</v>
      </c>
      <c r="M3136" s="2">
        <v>77084.0</v>
      </c>
      <c r="N3136" s="2" t="s">
        <v>21</v>
      </c>
    </row>
    <row r="3137" ht="15.75" customHeight="1">
      <c r="A3137" s="2">
        <v>2014.0</v>
      </c>
      <c r="B3137" s="2" t="s">
        <v>14817</v>
      </c>
      <c r="C3137" s="2" t="s">
        <v>14818</v>
      </c>
      <c r="D3137" s="2" t="str">
        <f>"9025209220"</f>
        <v>9025209220</v>
      </c>
      <c r="E3137" s="2" t="s">
        <v>6121</v>
      </c>
      <c r="F3137" s="2" t="s">
        <v>14819</v>
      </c>
      <c r="G3137" s="2" t="str">
        <f>"SR-4156"</f>
        <v>SR-4156</v>
      </c>
      <c r="H3137" s="2" t="s">
        <v>14820</v>
      </c>
      <c r="I3137" s="2" t="s">
        <v>14821</v>
      </c>
      <c r="K3137" s="2" t="s">
        <v>14822</v>
      </c>
      <c r="L3137" s="2" t="s">
        <v>172</v>
      </c>
      <c r="M3137" s="2">
        <v>75771.0</v>
      </c>
      <c r="N3137" s="2" t="s">
        <v>21</v>
      </c>
    </row>
    <row r="3138" ht="15.75" customHeight="1">
      <c r="A3138" s="2">
        <v>2014.0</v>
      </c>
      <c r="B3138" s="2" t="s">
        <v>14823</v>
      </c>
      <c r="D3138" s="2" t="str">
        <f>"480 892-4564"</f>
        <v>480 892-4564</v>
      </c>
      <c r="E3138" s="2" t="s">
        <v>14824</v>
      </c>
      <c r="F3138" s="2" t="s">
        <v>4171</v>
      </c>
      <c r="G3138" s="2" t="str">
        <f>"SR-4242"</f>
        <v>SR-4242</v>
      </c>
      <c r="H3138" s="2" t="s">
        <v>14825</v>
      </c>
      <c r="I3138" s="2" t="s">
        <v>14826</v>
      </c>
      <c r="K3138" s="2" t="s">
        <v>2841</v>
      </c>
      <c r="L3138" s="2" t="s">
        <v>422</v>
      </c>
      <c r="N3138" s="2" t="s">
        <v>21</v>
      </c>
    </row>
    <row r="3139" ht="15.75" customHeight="1">
      <c r="A3139" s="2">
        <v>2014.0</v>
      </c>
      <c r="B3139" s="2" t="s">
        <v>14827</v>
      </c>
      <c r="C3139" s="2" t="s">
        <v>14827</v>
      </c>
      <c r="D3139" s="2" t="str">
        <f>"717-823-7029"</f>
        <v>717-823-7029</v>
      </c>
      <c r="E3139" s="2" t="s">
        <v>1664</v>
      </c>
      <c r="F3139" s="2" t="s">
        <v>1636</v>
      </c>
      <c r="G3139" s="2" t="str">
        <f>"SR-4341"</f>
        <v>SR-4341</v>
      </c>
      <c r="H3139" s="2" t="s">
        <v>14828</v>
      </c>
      <c r="I3139" s="2" t="s">
        <v>14829</v>
      </c>
      <c r="K3139" s="2" t="s">
        <v>14830</v>
      </c>
      <c r="L3139" s="2" t="s">
        <v>179</v>
      </c>
      <c r="M3139" s="2">
        <v>17501.0</v>
      </c>
      <c r="N3139" s="2" t="s">
        <v>21</v>
      </c>
    </row>
    <row r="3140" ht="15.75" customHeight="1">
      <c r="A3140" s="2">
        <v>2014.0</v>
      </c>
      <c r="B3140" s="2" t="s">
        <v>14831</v>
      </c>
      <c r="C3140" s="2" t="s">
        <v>14832</v>
      </c>
      <c r="D3140" s="2" t="str">
        <f>"5755454775"</f>
        <v>5755454775</v>
      </c>
      <c r="E3140" s="2" t="s">
        <v>14833</v>
      </c>
      <c r="F3140" s="2" t="s">
        <v>2231</v>
      </c>
      <c r="G3140" s="2" t="str">
        <f>"SR-4344"</f>
        <v>SR-4344</v>
      </c>
      <c r="H3140" s="2" t="s">
        <v>14834</v>
      </c>
      <c r="I3140" s="2" t="s">
        <v>14835</v>
      </c>
      <c r="K3140" s="2" t="s">
        <v>7900</v>
      </c>
      <c r="L3140" s="2" t="s">
        <v>789</v>
      </c>
      <c r="M3140" s="2">
        <v>88030.0</v>
      </c>
      <c r="N3140" s="2" t="s">
        <v>21</v>
      </c>
    </row>
    <row r="3141" ht="15.75" customHeight="1">
      <c r="A3141" s="2">
        <v>2014.0</v>
      </c>
      <c r="B3141" s="2" t="s">
        <v>14836</v>
      </c>
      <c r="C3141" s="2" t="s">
        <v>14837</v>
      </c>
      <c r="D3141" s="2" t="str">
        <f>"6263751225"</f>
        <v>6263751225</v>
      </c>
      <c r="E3141" s="2" t="s">
        <v>339</v>
      </c>
      <c r="F3141" s="2" t="s">
        <v>7523</v>
      </c>
      <c r="G3141" s="2" t="str">
        <f>"SR-4349"</f>
        <v>SR-4349</v>
      </c>
      <c r="H3141" s="2" t="s">
        <v>14838</v>
      </c>
      <c r="I3141" s="2" t="s">
        <v>14839</v>
      </c>
      <c r="K3141" s="2" t="s">
        <v>8558</v>
      </c>
      <c r="L3141" s="2" t="s">
        <v>222</v>
      </c>
      <c r="M3141" s="2">
        <v>91006.0</v>
      </c>
      <c r="N3141" s="2" t="s">
        <v>21</v>
      </c>
    </row>
    <row r="3142" ht="15.75" customHeight="1">
      <c r="A3142" s="2">
        <v>2014.0</v>
      </c>
      <c r="B3142" s="2" t="s">
        <v>14840</v>
      </c>
      <c r="C3142" s="2" t="s">
        <v>14841</v>
      </c>
      <c r="D3142" s="2" t="str">
        <f>"714-458-8863"</f>
        <v>714-458-8863</v>
      </c>
      <c r="E3142" s="2" t="s">
        <v>2851</v>
      </c>
      <c r="F3142" s="2" t="s">
        <v>7940</v>
      </c>
      <c r="G3142" s="2" t="str">
        <f>"SR-4238"</f>
        <v>SR-4238</v>
      </c>
      <c r="H3142" s="2" t="s">
        <v>14842</v>
      </c>
      <c r="I3142" s="2" t="s">
        <v>14843</v>
      </c>
      <c r="K3142" s="2" t="s">
        <v>12334</v>
      </c>
      <c r="L3142" s="2" t="s">
        <v>222</v>
      </c>
      <c r="M3142" s="2">
        <v>92886.0</v>
      </c>
      <c r="N3142" s="2" t="s">
        <v>21</v>
      </c>
    </row>
    <row r="3143" ht="15.75" customHeight="1">
      <c r="A3143" s="2">
        <v>2014.0</v>
      </c>
      <c r="B3143" s="2" t="s">
        <v>14844</v>
      </c>
      <c r="C3143" s="2" t="s">
        <v>14845</v>
      </c>
      <c r="D3143" s="2" t="str">
        <f>"9704754218"</f>
        <v>9704754218</v>
      </c>
      <c r="E3143" s="2" t="s">
        <v>167</v>
      </c>
      <c r="F3143" s="2" t="s">
        <v>3283</v>
      </c>
      <c r="G3143" s="2" t="str">
        <f>"SR-4360"</f>
        <v>SR-4360</v>
      </c>
      <c r="H3143" s="2" t="s">
        <v>14846</v>
      </c>
      <c r="I3143" s="2" t="s">
        <v>14847</v>
      </c>
      <c r="K3143" s="2" t="s">
        <v>1558</v>
      </c>
      <c r="L3143" s="2" t="s">
        <v>157</v>
      </c>
      <c r="M3143" s="2">
        <v>80631.0</v>
      </c>
      <c r="N3143" s="2" t="s">
        <v>21</v>
      </c>
    </row>
    <row r="3144" ht="15.75" customHeight="1">
      <c r="A3144" s="2">
        <v>2014.0</v>
      </c>
      <c r="B3144" s="2" t="s">
        <v>14848</v>
      </c>
      <c r="C3144" s="2" t="s">
        <v>14848</v>
      </c>
      <c r="D3144" s="2" t="str">
        <f>"6168031123"</f>
        <v>6168031123</v>
      </c>
      <c r="E3144" s="2" t="s">
        <v>456</v>
      </c>
      <c r="F3144" s="2" t="s">
        <v>14849</v>
      </c>
      <c r="G3144" s="2" t="str">
        <f>"SR-3930"</f>
        <v>SR-3930</v>
      </c>
      <c r="H3144" s="2" t="s">
        <v>14850</v>
      </c>
      <c r="I3144" s="2" t="s">
        <v>14851</v>
      </c>
      <c r="K3144" s="2" t="s">
        <v>7204</v>
      </c>
      <c r="L3144" s="2" t="s">
        <v>29</v>
      </c>
      <c r="M3144" s="2">
        <v>49316.0</v>
      </c>
      <c r="N3144" s="2" t="s">
        <v>21</v>
      </c>
    </row>
    <row r="3145" ht="15.75" customHeight="1">
      <c r="A3145" s="2">
        <v>2014.0</v>
      </c>
      <c r="B3145" s="2" t="s">
        <v>14852</v>
      </c>
      <c r="C3145" s="2" t="s">
        <v>14853</v>
      </c>
      <c r="D3145" s="2" t="str">
        <f>"347-291-6501"</f>
        <v>347-291-6501</v>
      </c>
      <c r="E3145" s="2" t="s">
        <v>14854</v>
      </c>
      <c r="F3145" s="2" t="s">
        <v>14855</v>
      </c>
      <c r="G3145" s="2" t="str">
        <f>"SR-4250"</f>
        <v>SR-4250</v>
      </c>
      <c r="H3145" s="2" t="s">
        <v>14856</v>
      </c>
      <c r="I3145" s="2" t="s">
        <v>14857</v>
      </c>
      <c r="J3145" s="2" t="s">
        <v>14858</v>
      </c>
      <c r="K3145" s="2" t="s">
        <v>11731</v>
      </c>
      <c r="L3145" s="2" t="s">
        <v>149</v>
      </c>
      <c r="M3145" s="2">
        <v>46989.0</v>
      </c>
      <c r="N3145" s="2" t="s">
        <v>21</v>
      </c>
    </row>
    <row r="3146" ht="15.75" customHeight="1">
      <c r="A3146" s="2">
        <v>2014.0</v>
      </c>
      <c r="B3146" s="2" t="s">
        <v>14859</v>
      </c>
      <c r="C3146" s="2" t="s">
        <v>14859</v>
      </c>
      <c r="D3146" s="2" t="str">
        <f>"3177602463"</f>
        <v>3177602463</v>
      </c>
      <c r="E3146" s="2" t="s">
        <v>14860</v>
      </c>
      <c r="F3146" s="2" t="s">
        <v>14861</v>
      </c>
      <c r="G3146" s="2" t="str">
        <f>"SR-4361"</f>
        <v>SR-4361</v>
      </c>
      <c r="H3146" s="2" t="s">
        <v>14862</v>
      </c>
      <c r="I3146" s="2" t="s">
        <v>14863</v>
      </c>
      <c r="J3146" s="2" t="s">
        <v>14864</v>
      </c>
      <c r="K3146" s="2" t="s">
        <v>14865</v>
      </c>
      <c r="N3146" s="2" t="s">
        <v>1626</v>
      </c>
    </row>
    <row r="3147" ht="15.75" customHeight="1">
      <c r="A3147" s="2">
        <v>2014.0</v>
      </c>
      <c r="B3147" s="2" t="s">
        <v>14866</v>
      </c>
      <c r="C3147" s="2" t="s">
        <v>14866</v>
      </c>
      <c r="D3147" s="2" t="str">
        <f>"816-903-0603"</f>
        <v>816-903-0603</v>
      </c>
      <c r="E3147" s="2" t="s">
        <v>2752</v>
      </c>
      <c r="F3147" s="2" t="s">
        <v>14867</v>
      </c>
      <c r="G3147" s="2" t="str">
        <f>"SR-4193"</f>
        <v>SR-4193</v>
      </c>
      <c r="H3147" s="2" t="s">
        <v>14868</v>
      </c>
      <c r="I3147" s="2" t="s">
        <v>14869</v>
      </c>
      <c r="K3147" s="2" t="s">
        <v>14870</v>
      </c>
      <c r="L3147" s="2" t="s">
        <v>214</v>
      </c>
      <c r="M3147" s="2">
        <v>64060.0</v>
      </c>
      <c r="N3147" s="2" t="s">
        <v>21</v>
      </c>
    </row>
    <row r="3148" ht="15.75" customHeight="1">
      <c r="A3148" s="2">
        <v>2014.0</v>
      </c>
      <c r="B3148" s="2" t="s">
        <v>14871</v>
      </c>
      <c r="C3148" s="2" t="s">
        <v>14871</v>
      </c>
      <c r="D3148" s="2" t="str">
        <f>"903-746-4004"</f>
        <v>903-746-4004</v>
      </c>
      <c r="E3148" s="2" t="s">
        <v>1400</v>
      </c>
      <c r="F3148" s="2" t="s">
        <v>14872</v>
      </c>
      <c r="G3148" s="2" t="str">
        <f>"SR-4219"</f>
        <v>SR-4219</v>
      </c>
      <c r="H3148" s="2" t="s">
        <v>14873</v>
      </c>
      <c r="I3148" s="2" t="s">
        <v>14874</v>
      </c>
      <c r="K3148" s="2" t="s">
        <v>14875</v>
      </c>
      <c r="L3148" s="2" t="s">
        <v>172</v>
      </c>
      <c r="M3148" s="2">
        <v>75693.0</v>
      </c>
      <c r="N3148" s="2" t="s">
        <v>21</v>
      </c>
    </row>
    <row r="3149" ht="15.75" customHeight="1">
      <c r="A3149" s="2">
        <v>2014.0</v>
      </c>
      <c r="B3149" s="2" t="s">
        <v>14876</v>
      </c>
      <c r="C3149" s="2" t="s">
        <v>14877</v>
      </c>
      <c r="D3149" s="2" t="str">
        <f>"214676-7660"</f>
        <v>214676-7660</v>
      </c>
      <c r="E3149" s="2" t="s">
        <v>14878</v>
      </c>
      <c r="F3149" s="2" t="s">
        <v>14879</v>
      </c>
      <c r="G3149" s="2" t="str">
        <f>"SR-4366"</f>
        <v>SR-4366</v>
      </c>
      <c r="H3149" s="2" t="s">
        <v>14880</v>
      </c>
      <c r="I3149" s="2" t="s">
        <v>14881</v>
      </c>
      <c r="K3149" s="2" t="s">
        <v>1255</v>
      </c>
      <c r="L3149" s="2" t="s">
        <v>172</v>
      </c>
      <c r="M3149" s="2">
        <v>75238.0</v>
      </c>
      <c r="N3149" s="2" t="s">
        <v>21</v>
      </c>
    </row>
    <row r="3150" ht="15.75" customHeight="1">
      <c r="A3150" s="2">
        <v>2014.0</v>
      </c>
      <c r="B3150" s="2" t="s">
        <v>14882</v>
      </c>
      <c r="C3150" s="2" t="s">
        <v>14883</v>
      </c>
      <c r="D3150" s="2" t="str">
        <f>"214 676 9886"</f>
        <v>214 676 9886</v>
      </c>
      <c r="E3150" s="2" t="s">
        <v>1362</v>
      </c>
      <c r="F3150" s="2" t="s">
        <v>14884</v>
      </c>
      <c r="G3150" s="2" t="str">
        <f>"SR-4368"</f>
        <v>SR-4368</v>
      </c>
      <c r="H3150" s="2" t="s">
        <v>14885</v>
      </c>
      <c r="I3150" s="2" t="s">
        <v>14881</v>
      </c>
      <c r="K3150" s="2" t="s">
        <v>1255</v>
      </c>
      <c r="L3150" s="2" t="s">
        <v>172</v>
      </c>
      <c r="M3150" s="2">
        <v>75238.0</v>
      </c>
      <c r="N3150" s="2" t="s">
        <v>21</v>
      </c>
    </row>
    <row r="3151" ht="15.75" customHeight="1">
      <c r="A3151" s="2">
        <v>2014.0</v>
      </c>
      <c r="B3151" s="2" t="s">
        <v>14642</v>
      </c>
      <c r="C3151" s="2" t="s">
        <v>14642</v>
      </c>
      <c r="D3151" s="2" t="str">
        <f t="shared" ref="D3151:D3152" si="52">"1-(970)-259-1602"</f>
        <v>1-(970)-259-1602</v>
      </c>
      <c r="E3151" s="2" t="s">
        <v>931</v>
      </c>
      <c r="F3151" s="2" t="s">
        <v>1151</v>
      </c>
      <c r="G3151" s="2" t="str">
        <f>"SR-4369"</f>
        <v>SR-4369</v>
      </c>
      <c r="H3151" s="2" t="s">
        <v>14886</v>
      </c>
      <c r="I3151" s="2" t="s">
        <v>14644</v>
      </c>
      <c r="K3151" s="2" t="s">
        <v>14645</v>
      </c>
      <c r="L3151" s="2" t="s">
        <v>157</v>
      </c>
      <c r="M3151" s="2">
        <v>81301.0</v>
      </c>
      <c r="N3151" s="2" t="s">
        <v>21</v>
      </c>
    </row>
    <row r="3152" ht="15.75" customHeight="1">
      <c r="A3152" s="2">
        <v>2014.0</v>
      </c>
      <c r="B3152" s="2" t="s">
        <v>14642</v>
      </c>
      <c r="C3152" s="2" t="s">
        <v>14642</v>
      </c>
      <c r="D3152" s="2" t="str">
        <f t="shared" si="52"/>
        <v>1-(970)-259-1602</v>
      </c>
      <c r="E3152" s="2" t="s">
        <v>5760</v>
      </c>
      <c r="F3152" s="2" t="s">
        <v>1151</v>
      </c>
      <c r="G3152" s="2" t="str">
        <f>"SR-4370"</f>
        <v>SR-4370</v>
      </c>
      <c r="H3152" s="2" t="s">
        <v>14887</v>
      </c>
      <c r="I3152" s="2" t="s">
        <v>14644</v>
      </c>
      <c r="K3152" s="2" t="s">
        <v>14645</v>
      </c>
      <c r="L3152" s="2" t="s">
        <v>157</v>
      </c>
      <c r="M3152" s="2">
        <v>81301.0</v>
      </c>
      <c r="N3152" s="2" t="s">
        <v>21</v>
      </c>
    </row>
    <row r="3153" ht="15.75" customHeight="1">
      <c r="A3153" s="2">
        <v>2014.0</v>
      </c>
      <c r="B3153" s="2" t="s">
        <v>14888</v>
      </c>
      <c r="C3153" s="2" t="s">
        <v>14889</v>
      </c>
      <c r="D3153" s="2" t="str">
        <f>"605-254-7220"</f>
        <v>605-254-7220</v>
      </c>
      <c r="E3153" s="2" t="s">
        <v>14890</v>
      </c>
      <c r="F3153" s="2" t="s">
        <v>14891</v>
      </c>
      <c r="G3153" s="2" t="str">
        <f>"SR-4355"</f>
        <v>SR-4355</v>
      </c>
      <c r="H3153" s="2" t="s">
        <v>14892</v>
      </c>
      <c r="I3153" s="2" t="s">
        <v>14893</v>
      </c>
      <c r="K3153" s="2" t="s">
        <v>6954</v>
      </c>
      <c r="L3153" s="2" t="s">
        <v>920</v>
      </c>
      <c r="M3153" s="2">
        <v>57003.0</v>
      </c>
      <c r="N3153" s="2" t="s">
        <v>21</v>
      </c>
    </row>
    <row r="3154" ht="15.75" customHeight="1">
      <c r="A3154" s="2">
        <v>2014.0</v>
      </c>
      <c r="B3154" s="2" t="s">
        <v>14894</v>
      </c>
      <c r="C3154" s="2" t="s">
        <v>14895</v>
      </c>
      <c r="D3154" s="2" t="str">
        <f>"4157132483"</f>
        <v>4157132483</v>
      </c>
      <c r="E3154" s="2" t="s">
        <v>14896</v>
      </c>
      <c r="F3154" s="2" t="s">
        <v>3782</v>
      </c>
      <c r="G3154" s="2" t="str">
        <f>"SR-4287"</f>
        <v>SR-4287</v>
      </c>
      <c r="H3154" s="2" t="s">
        <v>14897</v>
      </c>
      <c r="I3154" s="2" t="s">
        <v>14898</v>
      </c>
      <c r="K3154" s="2" t="s">
        <v>14899</v>
      </c>
      <c r="L3154" s="2" t="s">
        <v>222</v>
      </c>
      <c r="M3154" s="2">
        <v>94134.0</v>
      </c>
      <c r="N3154" s="2" t="s">
        <v>21</v>
      </c>
    </row>
    <row r="3155" ht="15.75" customHeight="1">
      <c r="A3155" s="2">
        <v>2014.0</v>
      </c>
      <c r="B3155" s="2" t="s">
        <v>14900</v>
      </c>
      <c r="C3155" s="2" t="s">
        <v>6893</v>
      </c>
      <c r="D3155" s="2" t="str">
        <f>"404-457-7458"</f>
        <v>404-457-7458</v>
      </c>
      <c r="E3155" s="2" t="s">
        <v>15</v>
      </c>
      <c r="F3155" s="2" t="s">
        <v>984</v>
      </c>
      <c r="G3155" s="2" t="str">
        <f>"SR-4356"</f>
        <v>SR-4356</v>
      </c>
      <c r="H3155" s="2" t="s">
        <v>6156</v>
      </c>
      <c r="I3155" s="2" t="s">
        <v>6894</v>
      </c>
      <c r="K3155" s="2" t="s">
        <v>6895</v>
      </c>
      <c r="L3155" s="2" t="s">
        <v>200</v>
      </c>
      <c r="M3155" s="2">
        <v>30281.0</v>
      </c>
      <c r="N3155" s="2" t="s">
        <v>21</v>
      </c>
    </row>
    <row r="3156" ht="15.75" customHeight="1">
      <c r="A3156" s="2">
        <v>2014.0</v>
      </c>
      <c r="B3156" s="2" t="s">
        <v>14901</v>
      </c>
      <c r="C3156" s="2" t="s">
        <v>14902</v>
      </c>
      <c r="D3156" s="2" t="str">
        <f>"214 912 9807"</f>
        <v>214 912 9807</v>
      </c>
      <c r="E3156" s="2" t="s">
        <v>9865</v>
      </c>
      <c r="F3156" s="2" t="s">
        <v>1151</v>
      </c>
      <c r="G3156" s="2" t="str">
        <f>"SR-4372"</f>
        <v>SR-4372</v>
      </c>
      <c r="H3156" s="2" t="s">
        <v>14903</v>
      </c>
      <c r="I3156" s="2" t="s">
        <v>14904</v>
      </c>
      <c r="K3156" s="2" t="s">
        <v>1255</v>
      </c>
      <c r="L3156" s="2" t="s">
        <v>172</v>
      </c>
      <c r="M3156" s="2">
        <v>75225.0</v>
      </c>
      <c r="N3156" s="2" t="s">
        <v>21</v>
      </c>
    </row>
    <row r="3157" ht="15.75" customHeight="1">
      <c r="A3157" s="2">
        <v>2014.0</v>
      </c>
      <c r="B3157" s="2" t="s">
        <v>14905</v>
      </c>
      <c r="C3157" s="2" t="s">
        <v>14906</v>
      </c>
      <c r="D3157" s="2" t="str">
        <f>"214-2645601"</f>
        <v>214-2645601</v>
      </c>
      <c r="E3157" s="2" t="s">
        <v>167</v>
      </c>
      <c r="F3157" s="2" t="s">
        <v>14907</v>
      </c>
      <c r="G3157" s="2" t="str">
        <f>"SR-4376"</f>
        <v>SR-4376</v>
      </c>
      <c r="H3157" s="2" t="s">
        <v>14908</v>
      </c>
      <c r="I3157" s="2" t="s">
        <v>14909</v>
      </c>
      <c r="K3157" s="2" t="s">
        <v>1255</v>
      </c>
      <c r="L3157" s="2" t="s">
        <v>172</v>
      </c>
      <c r="M3157" s="2">
        <v>75230.0</v>
      </c>
      <c r="N3157" s="2" t="s">
        <v>21</v>
      </c>
    </row>
    <row r="3158" ht="15.75" customHeight="1">
      <c r="A3158" s="2">
        <v>2014.0</v>
      </c>
      <c r="B3158" s="2" t="s">
        <v>14910</v>
      </c>
      <c r="C3158" s="2" t="s">
        <v>14911</v>
      </c>
      <c r="D3158" s="2" t="str">
        <f>"949-614-3204"</f>
        <v>949-614-3204</v>
      </c>
      <c r="E3158" s="2" t="s">
        <v>385</v>
      </c>
      <c r="F3158" s="2" t="s">
        <v>701</v>
      </c>
      <c r="G3158" s="2" t="str">
        <f>"SR-4371"</f>
        <v>SR-4371</v>
      </c>
      <c r="H3158" s="2" t="s">
        <v>14912</v>
      </c>
      <c r="I3158" s="2" t="s">
        <v>14913</v>
      </c>
      <c r="K3158" s="2" t="s">
        <v>10926</v>
      </c>
      <c r="L3158" s="2" t="s">
        <v>222</v>
      </c>
      <c r="M3158" s="2">
        <v>92692.0</v>
      </c>
      <c r="N3158" s="2" t="s">
        <v>21</v>
      </c>
    </row>
    <row r="3159" ht="15.75" customHeight="1">
      <c r="A3159" s="2">
        <v>2014.0</v>
      </c>
      <c r="B3159" s="2" t="s">
        <v>14914</v>
      </c>
      <c r="C3159" s="2" t="s">
        <v>14915</v>
      </c>
      <c r="D3159" s="2" t="str">
        <f>"336.448.0320"</f>
        <v>336.448.0320</v>
      </c>
      <c r="E3159" s="2" t="s">
        <v>485</v>
      </c>
      <c r="F3159" s="2" t="s">
        <v>14916</v>
      </c>
      <c r="G3159" s="2" t="str">
        <f>"SR-4365"</f>
        <v>SR-4365</v>
      </c>
      <c r="H3159" s="2" t="s">
        <v>14917</v>
      </c>
      <c r="I3159" s="2" t="s">
        <v>14918</v>
      </c>
      <c r="K3159" s="2" t="s">
        <v>14919</v>
      </c>
      <c r="L3159" s="2" t="s">
        <v>20</v>
      </c>
      <c r="M3159" s="2">
        <v>27106.0</v>
      </c>
      <c r="N3159" s="2" t="s">
        <v>21</v>
      </c>
    </row>
    <row r="3160" ht="15.75" customHeight="1">
      <c r="A3160" s="2">
        <v>2014.0</v>
      </c>
      <c r="B3160" s="2" t="s">
        <v>14920</v>
      </c>
      <c r="C3160" s="2" t="s">
        <v>14920</v>
      </c>
      <c r="D3160" s="2" t="str">
        <f>"505 5733199"</f>
        <v>505 5733199</v>
      </c>
      <c r="E3160" s="2" t="s">
        <v>14921</v>
      </c>
      <c r="F3160" s="2" t="s">
        <v>14101</v>
      </c>
      <c r="G3160" s="2" t="str">
        <f>"SR-3966"</f>
        <v>SR-3966</v>
      </c>
      <c r="H3160" s="2" t="s">
        <v>14922</v>
      </c>
      <c r="I3160" s="2" t="s">
        <v>14923</v>
      </c>
      <c r="K3160" s="2" t="s">
        <v>3705</v>
      </c>
      <c r="L3160" s="2" t="s">
        <v>789</v>
      </c>
      <c r="M3160" s="2">
        <v>87108.0</v>
      </c>
      <c r="N3160" s="2" t="s">
        <v>21</v>
      </c>
    </row>
    <row r="3161" ht="15.75" customHeight="1">
      <c r="A3161" s="2">
        <v>2014.0</v>
      </c>
      <c r="B3161" s="2" t="s">
        <v>14924</v>
      </c>
      <c r="C3161" s="2" t="s">
        <v>14925</v>
      </c>
      <c r="D3161" s="2" t="str">
        <f>"513-578-8637"</f>
        <v>513-578-8637</v>
      </c>
      <c r="E3161" s="2" t="s">
        <v>7864</v>
      </c>
      <c r="F3161" s="2" t="s">
        <v>14926</v>
      </c>
      <c r="G3161" s="2" t="str">
        <f>"SR-4226"</f>
        <v>SR-4226</v>
      </c>
      <c r="H3161" s="2" t="s">
        <v>14927</v>
      </c>
      <c r="I3161" s="2" t="s">
        <v>14928</v>
      </c>
      <c r="K3161" s="2" t="s">
        <v>14929</v>
      </c>
      <c r="L3161" s="2" t="s">
        <v>344</v>
      </c>
      <c r="M3161" s="2">
        <v>45069.0</v>
      </c>
      <c r="N3161" s="2" t="s">
        <v>21</v>
      </c>
    </row>
    <row r="3162" ht="15.75" customHeight="1">
      <c r="A3162" s="2">
        <v>2014.0</v>
      </c>
      <c r="B3162" s="2" t="s">
        <v>14930</v>
      </c>
      <c r="C3162" s="2" t="s">
        <v>14930</v>
      </c>
      <c r="D3162" s="2" t="str">
        <f>"719-696-0344"</f>
        <v>719-696-0344</v>
      </c>
      <c r="E3162" s="2" t="s">
        <v>456</v>
      </c>
      <c r="F3162" s="2" t="s">
        <v>14931</v>
      </c>
      <c r="G3162" s="2" t="str">
        <f>"SR-253"</f>
        <v>SR-253</v>
      </c>
      <c r="H3162" s="2" t="s">
        <v>14932</v>
      </c>
      <c r="I3162" s="2" t="s">
        <v>14933</v>
      </c>
      <c r="J3162" s="2" t="s">
        <v>14934</v>
      </c>
      <c r="K3162" s="2" t="s">
        <v>10856</v>
      </c>
      <c r="L3162" s="2" t="s">
        <v>157</v>
      </c>
      <c r="M3162" s="2">
        <v>81025.0</v>
      </c>
      <c r="N3162" s="2" t="s">
        <v>21</v>
      </c>
    </row>
    <row r="3163" ht="15.75" customHeight="1">
      <c r="A3163" s="2">
        <v>2014.0</v>
      </c>
      <c r="B3163" s="2" t="s">
        <v>14935</v>
      </c>
      <c r="C3163" s="2" t="s">
        <v>14935</v>
      </c>
      <c r="D3163" s="2" t="str">
        <f>"716-361-3588"</f>
        <v>716-361-3588</v>
      </c>
      <c r="E3163" s="2" t="s">
        <v>2162</v>
      </c>
      <c r="F3163" s="2" t="s">
        <v>6165</v>
      </c>
      <c r="G3163" s="2" t="str">
        <f>"SR-4296"</f>
        <v>SR-4296</v>
      </c>
      <c r="H3163" s="2" t="s">
        <v>14936</v>
      </c>
      <c r="I3163" s="2" t="s">
        <v>14937</v>
      </c>
      <c r="K3163" s="2" t="s">
        <v>6363</v>
      </c>
      <c r="L3163" s="2" t="s">
        <v>142</v>
      </c>
      <c r="M3163" s="2">
        <v>14006.0</v>
      </c>
      <c r="N3163" s="2" t="s">
        <v>21</v>
      </c>
    </row>
    <row r="3164" ht="15.75" customHeight="1">
      <c r="A3164" s="2">
        <v>2014.0</v>
      </c>
      <c r="B3164" s="2" t="s">
        <v>14938</v>
      </c>
      <c r="C3164" s="2" t="s">
        <v>14938</v>
      </c>
      <c r="D3164" s="2" t="str">
        <f>"3178584998"</f>
        <v>3178584998</v>
      </c>
      <c r="E3164" s="2" t="s">
        <v>1263</v>
      </c>
      <c r="F3164" s="2" t="s">
        <v>14939</v>
      </c>
      <c r="G3164" s="2" t="str">
        <f>"SR-4388"</f>
        <v>SR-4388</v>
      </c>
      <c r="H3164" s="2" t="s">
        <v>14940</v>
      </c>
      <c r="I3164" s="2" t="s">
        <v>14941</v>
      </c>
      <c r="K3164" s="2" t="s">
        <v>389</v>
      </c>
      <c r="L3164" s="2" t="s">
        <v>149</v>
      </c>
      <c r="M3164" s="2">
        <v>46112.0</v>
      </c>
      <c r="N3164" s="2" t="s">
        <v>21</v>
      </c>
    </row>
    <row r="3165" ht="15.75" customHeight="1">
      <c r="A3165" s="2">
        <v>2014.0</v>
      </c>
      <c r="B3165" s="2" t="s">
        <v>14942</v>
      </c>
      <c r="C3165" s="2" t="s">
        <v>14943</v>
      </c>
      <c r="D3165" s="2" t="str">
        <f t="shared" ref="D3165:D3166" si="53">"605-371-3505"</f>
        <v>605-371-3505</v>
      </c>
      <c r="E3165" s="2" t="s">
        <v>267</v>
      </c>
      <c r="F3165" s="2" t="s">
        <v>89</v>
      </c>
      <c r="G3165" s="2" t="str">
        <f>"SR-4386"</f>
        <v>SR-4386</v>
      </c>
      <c r="H3165" s="2" t="s">
        <v>14944</v>
      </c>
      <c r="I3165" s="2" t="s">
        <v>14945</v>
      </c>
      <c r="K3165" s="2" t="s">
        <v>919</v>
      </c>
      <c r="L3165" s="2" t="s">
        <v>920</v>
      </c>
      <c r="M3165" s="2">
        <v>57103.0</v>
      </c>
      <c r="N3165" s="2" t="s">
        <v>21</v>
      </c>
    </row>
    <row r="3166" ht="15.75" customHeight="1">
      <c r="A3166" s="2">
        <v>2014.0</v>
      </c>
      <c r="B3166" s="2" t="s">
        <v>14942</v>
      </c>
      <c r="C3166" s="2" t="s">
        <v>14946</v>
      </c>
      <c r="D3166" s="2" t="str">
        <f t="shared" si="53"/>
        <v>605-371-3505</v>
      </c>
      <c r="E3166" s="2" t="s">
        <v>1141</v>
      </c>
      <c r="F3166" s="2" t="s">
        <v>89</v>
      </c>
      <c r="G3166" s="2" t="str">
        <f>"SR-4385"</f>
        <v>SR-4385</v>
      </c>
      <c r="H3166" s="2" t="s">
        <v>14947</v>
      </c>
      <c r="I3166" s="2" t="s">
        <v>14945</v>
      </c>
      <c r="K3166" s="2" t="s">
        <v>919</v>
      </c>
      <c r="L3166" s="2" t="s">
        <v>920</v>
      </c>
      <c r="M3166" s="2">
        <v>57103.0</v>
      </c>
      <c r="N3166" s="2" t="s">
        <v>21</v>
      </c>
    </row>
    <row r="3167" ht="15.75" customHeight="1">
      <c r="A3167" s="2">
        <v>2014.0</v>
      </c>
      <c r="B3167" s="2" t="s">
        <v>14948</v>
      </c>
      <c r="C3167" s="2" t="s">
        <v>14949</v>
      </c>
      <c r="D3167" s="2" t="str">
        <f>"605-371-1469"</f>
        <v>605-371-1469</v>
      </c>
      <c r="E3167" s="2" t="s">
        <v>5667</v>
      </c>
      <c r="F3167" s="2" t="s">
        <v>6655</v>
      </c>
      <c r="G3167" s="2" t="str">
        <f>"SR-4354"</f>
        <v>SR-4354</v>
      </c>
      <c r="H3167" s="2" t="s">
        <v>14950</v>
      </c>
      <c r="I3167" s="2" t="s">
        <v>14951</v>
      </c>
      <c r="K3167" s="2" t="s">
        <v>919</v>
      </c>
      <c r="L3167" s="2" t="s">
        <v>920</v>
      </c>
      <c r="M3167" s="2">
        <v>57103.0</v>
      </c>
      <c r="N3167" s="2" t="s">
        <v>21</v>
      </c>
    </row>
    <row r="3168" ht="15.75" customHeight="1">
      <c r="A3168" s="2">
        <v>2014.0</v>
      </c>
      <c r="B3168" s="2" t="s">
        <v>14952</v>
      </c>
      <c r="C3168" s="2" t="s">
        <v>14952</v>
      </c>
      <c r="D3168" s="2" t="str">
        <f>"262-309-2637"</f>
        <v>262-309-2637</v>
      </c>
      <c r="E3168" s="2" t="s">
        <v>3555</v>
      </c>
      <c r="F3168" s="2" t="s">
        <v>14953</v>
      </c>
      <c r="G3168" s="2" t="str">
        <f>"SR-4392"</f>
        <v>SR-4392</v>
      </c>
      <c r="H3168" s="2" t="s">
        <v>14954</v>
      </c>
      <c r="I3168" s="2" t="s">
        <v>14955</v>
      </c>
      <c r="K3168" s="2" t="s">
        <v>14956</v>
      </c>
      <c r="L3168" s="2" t="s">
        <v>193</v>
      </c>
      <c r="M3168" s="2">
        <v>53029.0</v>
      </c>
      <c r="N3168" s="2" t="s">
        <v>21</v>
      </c>
    </row>
    <row r="3169" ht="15.75" customHeight="1">
      <c r="A3169" s="2">
        <v>2014.0</v>
      </c>
      <c r="B3169" s="2" t="s">
        <v>14957</v>
      </c>
      <c r="C3169" s="2" t="s">
        <v>14957</v>
      </c>
      <c r="D3169" s="2" t="str">
        <f>"573-442-7399"</f>
        <v>573-442-7399</v>
      </c>
      <c r="E3169" s="2" t="s">
        <v>5760</v>
      </c>
      <c r="F3169" s="2" t="s">
        <v>14958</v>
      </c>
      <c r="G3169" s="2" t="str">
        <f>"SR-3932"</f>
        <v>SR-3932</v>
      </c>
      <c r="H3169" s="2" t="s">
        <v>14959</v>
      </c>
      <c r="I3169" s="2" t="s">
        <v>14960</v>
      </c>
      <c r="K3169" s="2" t="s">
        <v>14961</v>
      </c>
      <c r="L3169" s="2" t="s">
        <v>214</v>
      </c>
      <c r="M3169" s="2">
        <v>65201.0</v>
      </c>
      <c r="N3169" s="2" t="s">
        <v>21</v>
      </c>
    </row>
    <row r="3170" ht="15.75" customHeight="1">
      <c r="A3170" s="2">
        <v>2014.0</v>
      </c>
      <c r="B3170" s="2" t="s">
        <v>14962</v>
      </c>
      <c r="C3170" s="2" t="s">
        <v>14963</v>
      </c>
      <c r="D3170" s="2" t="str">
        <f>"3215147541"</f>
        <v>3215147541</v>
      </c>
      <c r="E3170" s="2" t="s">
        <v>81</v>
      </c>
      <c r="F3170" s="2" t="s">
        <v>14964</v>
      </c>
      <c r="G3170" s="2" t="str">
        <f>"SR-4337"</f>
        <v>SR-4337</v>
      </c>
      <c r="H3170" s="2" t="s">
        <v>14965</v>
      </c>
      <c r="I3170" s="2" t="s">
        <v>14966</v>
      </c>
      <c r="K3170" s="2" t="s">
        <v>14967</v>
      </c>
      <c r="L3170" s="2" t="s">
        <v>208</v>
      </c>
      <c r="M3170" s="2">
        <v>32937.0</v>
      </c>
      <c r="N3170" s="2" t="s">
        <v>21</v>
      </c>
    </row>
    <row r="3171" ht="15.75" customHeight="1">
      <c r="A3171" s="2">
        <v>2014.0</v>
      </c>
      <c r="B3171" s="2" t="s">
        <v>14122</v>
      </c>
      <c r="C3171" s="2" t="s">
        <v>14968</v>
      </c>
      <c r="D3171" s="2" t="str">
        <f>"5178989486"</f>
        <v>5178989486</v>
      </c>
      <c r="E3171" s="2" t="s">
        <v>1015</v>
      </c>
      <c r="F3171" s="2" t="s">
        <v>14124</v>
      </c>
      <c r="G3171" s="2" t="str">
        <f>"SR-3077"</f>
        <v>SR-3077</v>
      </c>
      <c r="H3171" s="2" t="s">
        <v>14969</v>
      </c>
      <c r="I3171" s="2" t="s">
        <v>14126</v>
      </c>
      <c r="K3171" s="2" t="s">
        <v>5335</v>
      </c>
      <c r="L3171" s="2" t="s">
        <v>29</v>
      </c>
      <c r="M3171" s="2">
        <v>48854.0</v>
      </c>
      <c r="N3171" s="2" t="s">
        <v>21</v>
      </c>
    </row>
    <row r="3172" ht="15.75" customHeight="1">
      <c r="A3172" s="2">
        <v>2014.0</v>
      </c>
      <c r="B3172" s="2" t="s">
        <v>14970</v>
      </c>
      <c r="C3172" s="2" t="s">
        <v>14970</v>
      </c>
      <c r="D3172" s="2" t="str">
        <f>"616 566-7446"</f>
        <v>616 566-7446</v>
      </c>
      <c r="E3172" s="2" t="s">
        <v>824</v>
      </c>
      <c r="F3172" s="2" t="s">
        <v>10424</v>
      </c>
      <c r="G3172" s="2" t="str">
        <f>"SR-4373"</f>
        <v>SR-4373</v>
      </c>
      <c r="H3172" s="2" t="s">
        <v>14971</v>
      </c>
      <c r="I3172" s="2" t="s">
        <v>14972</v>
      </c>
      <c r="K3172" s="2" t="s">
        <v>2985</v>
      </c>
      <c r="L3172" s="2" t="s">
        <v>29</v>
      </c>
      <c r="M3172" s="2">
        <v>49423.0</v>
      </c>
      <c r="N3172" s="2" t="s">
        <v>21</v>
      </c>
    </row>
    <row r="3173" ht="15.75" customHeight="1">
      <c r="A3173" s="2">
        <v>2014.0</v>
      </c>
      <c r="B3173" s="2" t="s">
        <v>14973</v>
      </c>
      <c r="C3173" s="2" t="s">
        <v>14974</v>
      </c>
      <c r="D3173" s="2" t="str">
        <f>"806-317-0565"</f>
        <v>806-317-0565</v>
      </c>
      <c r="E3173" s="2" t="s">
        <v>538</v>
      </c>
      <c r="F3173" s="2" t="s">
        <v>89</v>
      </c>
      <c r="G3173" s="2" t="str">
        <f>"SR-3788"</f>
        <v>SR-3788</v>
      </c>
      <c r="H3173" s="2" t="s">
        <v>14975</v>
      </c>
      <c r="I3173" s="2" t="s">
        <v>14976</v>
      </c>
      <c r="K3173" s="2" t="s">
        <v>1121</v>
      </c>
      <c r="L3173" s="2" t="s">
        <v>172</v>
      </c>
      <c r="M3173" s="2">
        <v>79424.0</v>
      </c>
      <c r="N3173" s="2" t="s">
        <v>21</v>
      </c>
    </row>
    <row r="3174" ht="15.75" customHeight="1">
      <c r="A3174" s="2">
        <v>2014.0</v>
      </c>
      <c r="B3174" s="2" t="s">
        <v>14977</v>
      </c>
      <c r="C3174" s="2" t="s">
        <v>14978</v>
      </c>
      <c r="D3174" s="2" t="str">
        <f>"7607037902"</f>
        <v>7607037902</v>
      </c>
      <c r="E3174" s="2" t="s">
        <v>718</v>
      </c>
      <c r="F3174" s="2" t="s">
        <v>1151</v>
      </c>
      <c r="G3174" s="2" t="str">
        <f>"SR-4214"</f>
        <v>SR-4214</v>
      </c>
      <c r="H3174" s="2" t="s">
        <v>14979</v>
      </c>
      <c r="I3174" s="2" t="s">
        <v>14980</v>
      </c>
      <c r="K3174" s="2" t="s">
        <v>14981</v>
      </c>
      <c r="L3174" s="2" t="s">
        <v>222</v>
      </c>
      <c r="M3174" s="2">
        <v>92084.0</v>
      </c>
      <c r="N3174" s="2" t="s">
        <v>21</v>
      </c>
    </row>
    <row r="3175" ht="15.75" customHeight="1">
      <c r="A3175" s="2">
        <v>2014.0</v>
      </c>
      <c r="B3175" s="2" t="s">
        <v>14982</v>
      </c>
      <c r="C3175" s="2" t="s">
        <v>14982</v>
      </c>
      <c r="D3175" s="2" t="str">
        <f>"8063193755"</f>
        <v>8063193755</v>
      </c>
      <c r="E3175" s="2" t="s">
        <v>678</v>
      </c>
      <c r="F3175" s="2" t="s">
        <v>14983</v>
      </c>
      <c r="G3175" s="2" t="str">
        <f>"SR-3856"</f>
        <v>SR-3856</v>
      </c>
      <c r="H3175" s="2" t="s">
        <v>14984</v>
      </c>
      <c r="I3175" s="2" t="s">
        <v>14985</v>
      </c>
      <c r="K3175" s="2" t="s">
        <v>1121</v>
      </c>
      <c r="L3175" s="2" t="s">
        <v>172</v>
      </c>
      <c r="M3175" s="2">
        <v>79424.0</v>
      </c>
      <c r="N3175" s="2" t="s">
        <v>21</v>
      </c>
    </row>
    <row r="3176" ht="15.75" customHeight="1">
      <c r="A3176" s="2">
        <v>2014.0</v>
      </c>
      <c r="B3176" s="2" t="s">
        <v>14986</v>
      </c>
      <c r="C3176" s="2" t="s">
        <v>14987</v>
      </c>
      <c r="D3176" s="2" t="str">
        <f>"8062203318"</f>
        <v>8062203318</v>
      </c>
      <c r="E3176" s="2" t="s">
        <v>14988</v>
      </c>
      <c r="F3176" s="2" t="s">
        <v>14989</v>
      </c>
      <c r="G3176" s="2" t="str">
        <f>"SR-4294"</f>
        <v>SR-4294</v>
      </c>
      <c r="H3176" s="2" t="s">
        <v>14990</v>
      </c>
      <c r="I3176" s="2" t="s">
        <v>14991</v>
      </c>
      <c r="K3176" s="2" t="s">
        <v>14992</v>
      </c>
      <c r="L3176" s="2" t="s">
        <v>172</v>
      </c>
      <c r="M3176" s="2">
        <v>79109.0</v>
      </c>
      <c r="N3176" s="2" t="s">
        <v>21</v>
      </c>
    </row>
    <row r="3177" ht="15.75" customHeight="1">
      <c r="A3177" s="2">
        <v>2014.0</v>
      </c>
      <c r="B3177" s="2" t="s">
        <v>14993</v>
      </c>
      <c r="C3177" s="2" t="s">
        <v>14993</v>
      </c>
      <c r="D3177" s="2" t="str">
        <f>"7068198522"</f>
        <v>7068198522</v>
      </c>
      <c r="E3177" s="2" t="s">
        <v>100</v>
      </c>
      <c r="F3177" s="2" t="s">
        <v>14994</v>
      </c>
      <c r="G3177" s="2" t="str">
        <f>"SR-4400"</f>
        <v>SR-4400</v>
      </c>
      <c r="H3177" s="2" t="s">
        <v>14995</v>
      </c>
      <c r="I3177" s="2" t="s">
        <v>14996</v>
      </c>
      <c r="K3177" s="2" t="s">
        <v>5373</v>
      </c>
      <c r="L3177" s="2" t="s">
        <v>200</v>
      </c>
      <c r="M3177" s="2">
        <v>31064.0</v>
      </c>
      <c r="N3177" s="2" t="s">
        <v>21</v>
      </c>
    </row>
    <row r="3178" ht="15.75" customHeight="1">
      <c r="A3178" s="2">
        <v>2014.0</v>
      </c>
      <c r="B3178" s="2" t="s">
        <v>14997</v>
      </c>
      <c r="C3178" s="2" t="s">
        <v>14998</v>
      </c>
      <c r="D3178" s="2" t="str">
        <f>"765-430-6109"</f>
        <v>765-430-6109</v>
      </c>
      <c r="E3178" s="2" t="s">
        <v>2433</v>
      </c>
      <c r="F3178" s="2" t="s">
        <v>14999</v>
      </c>
      <c r="G3178" s="2" t="str">
        <f>"SR-4399"</f>
        <v>SR-4399</v>
      </c>
      <c r="H3178" s="2" t="s">
        <v>15000</v>
      </c>
      <c r="I3178" s="2" t="s">
        <v>15001</v>
      </c>
      <c r="K3178" s="2" t="s">
        <v>1178</v>
      </c>
      <c r="L3178" s="2" t="s">
        <v>149</v>
      </c>
      <c r="M3178" s="2">
        <v>47905.0</v>
      </c>
      <c r="N3178" s="2" t="s">
        <v>21</v>
      </c>
    </row>
    <row r="3179" ht="15.75" customHeight="1">
      <c r="A3179" s="2">
        <v>2014.0</v>
      </c>
      <c r="B3179" s="2" t="s">
        <v>15002</v>
      </c>
      <c r="C3179" s="2" t="s">
        <v>15002</v>
      </c>
      <c r="D3179" s="2" t="str">
        <f>"080-3210-8128"</f>
        <v>080-3210-8128</v>
      </c>
      <c r="E3179" s="2" t="s">
        <v>15003</v>
      </c>
      <c r="F3179" s="2" t="s">
        <v>15004</v>
      </c>
      <c r="G3179" s="2" t="str">
        <f>"SR-4106"</f>
        <v>SR-4106</v>
      </c>
      <c r="H3179" s="2" t="s">
        <v>15005</v>
      </c>
      <c r="I3179" s="2" t="s">
        <v>15006</v>
      </c>
      <c r="J3179" s="2" t="s">
        <v>15007</v>
      </c>
      <c r="K3179" s="2" t="s">
        <v>15008</v>
      </c>
      <c r="L3179" s="2" t="s">
        <v>15008</v>
      </c>
      <c r="M3179" s="2" t="s">
        <v>15009</v>
      </c>
      <c r="N3179" s="2" t="s">
        <v>14622</v>
      </c>
    </row>
    <row r="3180" ht="15.75" customHeight="1">
      <c r="A3180" s="2">
        <v>2014.0</v>
      </c>
      <c r="B3180" s="2" t="s">
        <v>15010</v>
      </c>
      <c r="C3180" s="2" t="s">
        <v>15011</v>
      </c>
      <c r="D3180" s="2" t="str">
        <f>"2819048378"</f>
        <v>2819048378</v>
      </c>
      <c r="E3180" s="2" t="s">
        <v>938</v>
      </c>
      <c r="F3180" s="2" t="s">
        <v>2063</v>
      </c>
      <c r="G3180" s="2" t="str">
        <f>"SR-4407"</f>
        <v>SR-4407</v>
      </c>
      <c r="H3180" s="2" t="s">
        <v>15012</v>
      </c>
      <c r="I3180" s="2" t="s">
        <v>15013</v>
      </c>
      <c r="K3180" s="2" t="s">
        <v>444</v>
      </c>
      <c r="L3180" s="2" t="s">
        <v>172</v>
      </c>
      <c r="M3180" s="2">
        <v>77070.0</v>
      </c>
      <c r="N3180" s="2" t="s">
        <v>21</v>
      </c>
    </row>
    <row r="3181" ht="15.75" customHeight="1">
      <c r="A3181" s="2">
        <v>2014.0</v>
      </c>
      <c r="B3181" s="2" t="s">
        <v>15014</v>
      </c>
      <c r="C3181" s="2" t="s">
        <v>15015</v>
      </c>
      <c r="D3181" s="2" t="str">
        <f>"6053711140"</f>
        <v>6053711140</v>
      </c>
      <c r="E3181" s="2" t="s">
        <v>6526</v>
      </c>
      <c r="F3181" s="2" t="s">
        <v>15016</v>
      </c>
      <c r="G3181" s="2" t="str">
        <f>"SR-4389"</f>
        <v>SR-4389</v>
      </c>
      <c r="H3181" s="2" t="s">
        <v>15017</v>
      </c>
      <c r="I3181" s="2" t="s">
        <v>15018</v>
      </c>
      <c r="K3181" s="2" t="s">
        <v>919</v>
      </c>
      <c r="L3181" s="2" t="s">
        <v>920</v>
      </c>
      <c r="M3181" s="2">
        <v>57103.0</v>
      </c>
      <c r="N3181" s="2" t="s">
        <v>21</v>
      </c>
    </row>
    <row r="3182" ht="15.75" customHeight="1">
      <c r="A3182" s="2">
        <v>2014.0</v>
      </c>
      <c r="B3182" s="2" t="s">
        <v>15019</v>
      </c>
      <c r="C3182" s="2" t="s">
        <v>15020</v>
      </c>
      <c r="D3182" s="2" t="str">
        <f>"7193750774"</f>
        <v>7193750774</v>
      </c>
      <c r="E3182" s="2" t="s">
        <v>15021</v>
      </c>
      <c r="F3182" s="2" t="s">
        <v>2424</v>
      </c>
      <c r="G3182" s="2" t="str">
        <f>"SR-3982"</f>
        <v>SR-3982</v>
      </c>
      <c r="H3182" s="2" t="s">
        <v>15022</v>
      </c>
      <c r="I3182" s="2" t="s">
        <v>15023</v>
      </c>
      <c r="K3182" s="2" t="s">
        <v>507</v>
      </c>
      <c r="L3182" s="2" t="s">
        <v>157</v>
      </c>
      <c r="M3182" s="2">
        <v>80132.0</v>
      </c>
      <c r="N3182" s="2" t="s">
        <v>21</v>
      </c>
    </row>
    <row r="3183" ht="15.75" customHeight="1">
      <c r="A3183" s="2">
        <v>2014.0</v>
      </c>
      <c r="B3183" s="2" t="s">
        <v>15024</v>
      </c>
      <c r="C3183" s="2" t="s">
        <v>15024</v>
      </c>
      <c r="D3183" s="2" t="str">
        <f>"205-336-0509"</f>
        <v>205-336-0509</v>
      </c>
      <c r="E3183" s="2" t="s">
        <v>6019</v>
      </c>
      <c r="F3183" s="2" t="s">
        <v>2296</v>
      </c>
      <c r="G3183" s="2" t="str">
        <f>"SR-4417"</f>
        <v>SR-4417</v>
      </c>
      <c r="H3183" s="2" t="s">
        <v>15025</v>
      </c>
      <c r="I3183" s="2" t="s">
        <v>15026</v>
      </c>
      <c r="K3183" s="2" t="s">
        <v>15027</v>
      </c>
      <c r="L3183" s="2" t="s">
        <v>539</v>
      </c>
      <c r="M3183" s="2">
        <v>35172.0</v>
      </c>
      <c r="N3183" s="2" t="s">
        <v>21</v>
      </c>
    </row>
    <row r="3184" ht="15.75" customHeight="1">
      <c r="A3184" s="2">
        <v>2014.0</v>
      </c>
      <c r="B3184" s="2" t="s">
        <v>15028</v>
      </c>
      <c r="C3184" s="2" t="s">
        <v>15028</v>
      </c>
      <c r="D3184" s="2" t="str">
        <f>"856-273-2704"</f>
        <v>856-273-2704</v>
      </c>
      <c r="E3184" s="2" t="s">
        <v>5732</v>
      </c>
      <c r="F3184" s="2" t="s">
        <v>15029</v>
      </c>
      <c r="G3184" s="2" t="str">
        <f>"SR-4418"</f>
        <v>SR-4418</v>
      </c>
      <c r="H3184" s="2" t="s">
        <v>15030</v>
      </c>
      <c r="I3184" s="2" t="s">
        <v>15031</v>
      </c>
      <c r="K3184" s="2" t="s">
        <v>15032</v>
      </c>
      <c r="L3184" s="2" t="s">
        <v>3618</v>
      </c>
      <c r="M3184" s="2">
        <v>8054.0</v>
      </c>
      <c r="N3184" s="2" t="s">
        <v>21</v>
      </c>
    </row>
    <row r="3185" ht="15.75" customHeight="1">
      <c r="A3185" s="2">
        <v>2014.0</v>
      </c>
      <c r="B3185" s="2" t="s">
        <v>15033</v>
      </c>
      <c r="C3185" s="2" t="s">
        <v>15034</v>
      </c>
      <c r="D3185" s="2" t="str">
        <f>"720-272-3749"</f>
        <v>720-272-3749</v>
      </c>
      <c r="E3185" s="2" t="s">
        <v>718</v>
      </c>
      <c r="F3185" s="2" t="s">
        <v>15035</v>
      </c>
      <c r="G3185" s="2" t="str">
        <f>"SR-4412"</f>
        <v>SR-4412</v>
      </c>
      <c r="H3185" s="2" t="s">
        <v>15036</v>
      </c>
      <c r="I3185" s="2" t="s">
        <v>15037</v>
      </c>
      <c r="J3185" s="2" t="s">
        <v>15038</v>
      </c>
      <c r="K3185" s="2" t="s">
        <v>1889</v>
      </c>
      <c r="L3185" s="2" t="s">
        <v>157</v>
      </c>
      <c r="M3185" s="2">
        <v>80120.0</v>
      </c>
      <c r="N3185" s="2" t="s">
        <v>21</v>
      </c>
    </row>
    <row r="3186" ht="15.75" customHeight="1">
      <c r="A3186" s="2">
        <v>2014.0</v>
      </c>
      <c r="B3186" s="2" t="s">
        <v>4694</v>
      </c>
      <c r="C3186" s="2" t="s">
        <v>4694</v>
      </c>
      <c r="D3186" s="2" t="str">
        <f>"847-854-9459"</f>
        <v>847-854-9459</v>
      </c>
      <c r="E3186" s="2" t="s">
        <v>4695</v>
      </c>
      <c r="F3186" s="2" t="s">
        <v>4696</v>
      </c>
      <c r="G3186" s="2" t="str">
        <f>"SR-1372"</f>
        <v>SR-1372</v>
      </c>
      <c r="H3186" s="2" t="s">
        <v>4697</v>
      </c>
      <c r="I3186" s="2" t="s">
        <v>4698</v>
      </c>
      <c r="K3186" s="2" t="s">
        <v>3279</v>
      </c>
      <c r="L3186" s="2" t="s">
        <v>105</v>
      </c>
      <c r="M3186" s="2">
        <v>60102.0</v>
      </c>
      <c r="N3186" s="2" t="s">
        <v>21</v>
      </c>
    </row>
    <row r="3187" ht="15.75" customHeight="1">
      <c r="A3187" s="2">
        <v>2014.0</v>
      </c>
      <c r="B3187" s="2" t="s">
        <v>15039</v>
      </c>
      <c r="C3187" s="2" t="s">
        <v>15040</v>
      </c>
      <c r="D3187" s="2" t="str">
        <f>"209-631-9639"</f>
        <v>209-631-9639</v>
      </c>
      <c r="E3187" s="2" t="s">
        <v>15041</v>
      </c>
      <c r="F3187" s="2" t="s">
        <v>15042</v>
      </c>
      <c r="G3187" s="2" t="str">
        <f>"SR-4157"</f>
        <v>SR-4157</v>
      </c>
      <c r="H3187" s="2" t="s">
        <v>15043</v>
      </c>
      <c r="I3187" s="2" t="s">
        <v>15044</v>
      </c>
      <c r="K3187" s="2" t="s">
        <v>15045</v>
      </c>
      <c r="L3187" s="2" t="s">
        <v>222</v>
      </c>
      <c r="M3187" s="2">
        <v>95333.0</v>
      </c>
      <c r="N3187" s="2" t="s">
        <v>21</v>
      </c>
    </row>
    <row r="3188" ht="15.75" customHeight="1">
      <c r="A3188" s="2">
        <v>2014.0</v>
      </c>
      <c r="B3188" s="2" t="s">
        <v>15046</v>
      </c>
      <c r="C3188" s="2" t="s">
        <v>15047</v>
      </c>
      <c r="D3188" s="2" t="str">
        <f>"8179918038"</f>
        <v>8179918038</v>
      </c>
      <c r="E3188" s="2" t="s">
        <v>15048</v>
      </c>
      <c r="F3188" s="2" t="s">
        <v>6030</v>
      </c>
      <c r="G3188" s="2" t="str">
        <f>"SR-4051"</f>
        <v>SR-4051</v>
      </c>
      <c r="H3188" s="2" t="s">
        <v>15049</v>
      </c>
      <c r="I3188" s="2" t="s">
        <v>15050</v>
      </c>
      <c r="K3188" s="2" t="s">
        <v>1260</v>
      </c>
      <c r="L3188" s="2" t="s">
        <v>172</v>
      </c>
      <c r="M3188" s="2">
        <v>76132.0</v>
      </c>
      <c r="N3188" s="2" t="s">
        <v>21</v>
      </c>
    </row>
    <row r="3189" ht="15.75" customHeight="1">
      <c r="A3189" s="2">
        <v>2014.0</v>
      </c>
      <c r="B3189" s="2" t="s">
        <v>6096</v>
      </c>
      <c r="C3189" s="2" t="s">
        <v>15051</v>
      </c>
      <c r="D3189" s="2" t="str">
        <f>"5403360325"</f>
        <v>5403360325</v>
      </c>
      <c r="E3189" s="2" t="s">
        <v>1150</v>
      </c>
      <c r="F3189" s="2" t="s">
        <v>6099</v>
      </c>
      <c r="G3189" s="2" t="str">
        <f>"SR-3799"</f>
        <v>SR-3799</v>
      </c>
      <c r="H3189" s="2" t="s">
        <v>15052</v>
      </c>
      <c r="I3189" s="2" t="s">
        <v>6101</v>
      </c>
      <c r="K3189" s="2" t="s">
        <v>594</v>
      </c>
      <c r="L3189" s="2" t="s">
        <v>165</v>
      </c>
      <c r="M3189" s="2">
        <v>22601.0</v>
      </c>
      <c r="N3189" s="2" t="s">
        <v>21</v>
      </c>
    </row>
    <row r="3190" ht="15.75" customHeight="1">
      <c r="A3190" s="2">
        <v>2014.0</v>
      </c>
      <c r="B3190" s="2" t="s">
        <v>15053</v>
      </c>
      <c r="C3190" s="2" t="s">
        <v>15054</v>
      </c>
      <c r="D3190" s="2" t="str">
        <f>"717-816-9908"</f>
        <v>717-816-9908</v>
      </c>
      <c r="E3190" s="2" t="s">
        <v>15055</v>
      </c>
      <c r="F3190" s="2" t="s">
        <v>15056</v>
      </c>
      <c r="G3190" s="2" t="str">
        <f>"SR-4426"</f>
        <v>SR-4426</v>
      </c>
      <c r="H3190" s="2" t="s">
        <v>15057</v>
      </c>
      <c r="I3190" s="2" t="s">
        <v>15058</v>
      </c>
      <c r="K3190" s="2" t="s">
        <v>15059</v>
      </c>
      <c r="L3190" s="2" t="s">
        <v>179</v>
      </c>
      <c r="M3190" s="2">
        <v>17225.0</v>
      </c>
      <c r="N3190" s="2" t="s">
        <v>21</v>
      </c>
    </row>
    <row r="3191" ht="15.75" customHeight="1">
      <c r="A3191" s="2">
        <v>2014.0</v>
      </c>
      <c r="B3191" s="2" t="s">
        <v>15060</v>
      </c>
      <c r="C3191" s="2" t="s">
        <v>15061</v>
      </c>
      <c r="D3191" s="2" t="str">
        <f>"513-604-5278"</f>
        <v>513-604-5278</v>
      </c>
      <c r="E3191" s="2" t="s">
        <v>428</v>
      </c>
      <c r="F3191" s="2" t="s">
        <v>15062</v>
      </c>
      <c r="G3191" s="2" t="str">
        <f>"SR-4415"</f>
        <v>SR-4415</v>
      </c>
      <c r="H3191" s="2" t="s">
        <v>15063</v>
      </c>
      <c r="I3191" s="2" t="s">
        <v>15064</v>
      </c>
      <c r="K3191" s="2" t="s">
        <v>10119</v>
      </c>
      <c r="L3191" s="2" t="s">
        <v>344</v>
      </c>
      <c r="M3191" s="2">
        <v>45244.0</v>
      </c>
      <c r="N3191" s="2" t="s">
        <v>21</v>
      </c>
    </row>
    <row r="3192" ht="15.75" customHeight="1">
      <c r="A3192" s="2">
        <v>2014.0</v>
      </c>
      <c r="B3192" s="2" t="s">
        <v>15065</v>
      </c>
      <c r="C3192" s="2" t="s">
        <v>15066</v>
      </c>
      <c r="D3192" s="2" t="str">
        <f>"901-737-8361"</f>
        <v>901-737-8361</v>
      </c>
      <c r="E3192" s="2" t="s">
        <v>10949</v>
      </c>
      <c r="F3192" s="2" t="s">
        <v>15067</v>
      </c>
      <c r="G3192" s="2" t="str">
        <f>"SR-4377"</f>
        <v>SR-4377</v>
      </c>
      <c r="H3192" s="2" t="s">
        <v>15068</v>
      </c>
      <c r="I3192" s="2" t="s">
        <v>15069</v>
      </c>
      <c r="K3192" s="2" t="s">
        <v>9257</v>
      </c>
      <c r="L3192" s="2" t="s">
        <v>279</v>
      </c>
      <c r="M3192" s="2">
        <v>38139.0</v>
      </c>
      <c r="N3192" s="2" t="s">
        <v>21</v>
      </c>
    </row>
    <row r="3193" ht="15.75" customHeight="1">
      <c r="A3193" s="2">
        <v>2014.0</v>
      </c>
      <c r="B3193" s="2" t="s">
        <v>15070</v>
      </c>
      <c r="D3193" s="2" t="str">
        <f>""</f>
        <v/>
      </c>
      <c r="E3193" s="2" t="s">
        <v>1257</v>
      </c>
      <c r="F3193" s="2" t="s">
        <v>15071</v>
      </c>
      <c r="G3193" s="2" t="str">
        <f>"SR-4429"</f>
        <v>SR-4429</v>
      </c>
      <c r="H3193" s="2" t="s">
        <v>15072</v>
      </c>
    </row>
    <row r="3194" ht="15.75" customHeight="1">
      <c r="A3194" s="2">
        <v>2014.0</v>
      </c>
      <c r="B3194" s="2" t="s">
        <v>15073</v>
      </c>
      <c r="C3194" s="2" t="s">
        <v>15074</v>
      </c>
      <c r="D3194" s="2" t="str">
        <f>"805-231-1978"</f>
        <v>805-231-1978</v>
      </c>
      <c r="E3194" s="2" t="s">
        <v>485</v>
      </c>
      <c r="F3194" s="2" t="s">
        <v>10561</v>
      </c>
      <c r="G3194" s="2" t="str">
        <f>"SR-4401"</f>
        <v>SR-4401</v>
      </c>
      <c r="H3194" s="2" t="s">
        <v>15075</v>
      </c>
      <c r="I3194" s="2" t="s">
        <v>15076</v>
      </c>
      <c r="K3194" s="2" t="s">
        <v>15077</v>
      </c>
      <c r="L3194" s="2" t="s">
        <v>222</v>
      </c>
      <c r="M3194" s="2">
        <v>91361.0</v>
      </c>
      <c r="N3194" s="2" t="s">
        <v>21</v>
      </c>
    </row>
    <row r="3195" ht="15.75" customHeight="1">
      <c r="A3195" s="2">
        <v>2014.0</v>
      </c>
      <c r="B3195" s="2" t="s">
        <v>15078</v>
      </c>
      <c r="C3195" s="2" t="s">
        <v>15079</v>
      </c>
      <c r="D3195" s="2" t="str">
        <f t="shared" ref="D3195:D3196" si="54">"7054244683"</f>
        <v>7054244683</v>
      </c>
      <c r="E3195" s="2" t="s">
        <v>4665</v>
      </c>
      <c r="F3195" s="2" t="s">
        <v>15080</v>
      </c>
      <c r="G3195" s="2" t="str">
        <f>"SR-4430"</f>
        <v>SR-4430</v>
      </c>
      <c r="H3195" s="2" t="s">
        <v>15081</v>
      </c>
      <c r="I3195" s="2" t="s">
        <v>15082</v>
      </c>
      <c r="J3195" s="2" t="s">
        <v>15083</v>
      </c>
      <c r="K3195" s="2" t="s">
        <v>15084</v>
      </c>
      <c r="L3195" s="2" t="s">
        <v>15085</v>
      </c>
      <c r="M3195" s="2" t="s">
        <v>15086</v>
      </c>
      <c r="N3195" s="2" t="s">
        <v>1602</v>
      </c>
    </row>
    <row r="3196" ht="15.75" customHeight="1">
      <c r="A3196" s="2">
        <v>2014.0</v>
      </c>
      <c r="B3196" s="2" t="s">
        <v>15078</v>
      </c>
      <c r="C3196" s="2" t="s">
        <v>15087</v>
      </c>
      <c r="D3196" s="2" t="str">
        <f t="shared" si="54"/>
        <v>7054244683</v>
      </c>
      <c r="E3196" s="2" t="s">
        <v>2089</v>
      </c>
      <c r="F3196" s="2" t="s">
        <v>15080</v>
      </c>
      <c r="G3196" s="2" t="str">
        <f>"SR-4431"</f>
        <v>SR-4431</v>
      </c>
      <c r="H3196" s="2" t="s">
        <v>15088</v>
      </c>
      <c r="I3196" s="2" t="s">
        <v>15089</v>
      </c>
      <c r="K3196" s="2" t="s">
        <v>15090</v>
      </c>
      <c r="L3196" s="2" t="s">
        <v>15091</v>
      </c>
      <c r="M3196" s="2" t="s">
        <v>15086</v>
      </c>
      <c r="N3196" s="2" t="s">
        <v>1602</v>
      </c>
    </row>
    <row r="3197" ht="15.75" customHeight="1">
      <c r="A3197" s="2">
        <v>2014.0</v>
      </c>
      <c r="B3197" s="2" t="s">
        <v>15092</v>
      </c>
      <c r="C3197" s="2" t="s">
        <v>15093</v>
      </c>
      <c r="D3197" s="2" t="str">
        <f>"480 917 7952"</f>
        <v>480 917 7952</v>
      </c>
      <c r="E3197" s="2" t="s">
        <v>4224</v>
      </c>
      <c r="F3197" s="2" t="s">
        <v>15094</v>
      </c>
      <c r="G3197" s="2" t="str">
        <f>"SR-4437"</f>
        <v>SR-4437</v>
      </c>
      <c r="H3197" s="2" t="s">
        <v>15095</v>
      </c>
      <c r="I3197" s="2" t="s">
        <v>15096</v>
      </c>
      <c r="K3197" s="2" t="s">
        <v>2841</v>
      </c>
      <c r="L3197" s="2" t="s">
        <v>422</v>
      </c>
      <c r="M3197" s="2">
        <v>85224.0</v>
      </c>
      <c r="N3197" s="2" t="s">
        <v>21</v>
      </c>
    </row>
    <row r="3198" ht="15.75" customHeight="1">
      <c r="A3198" s="2">
        <v>2014.0</v>
      </c>
      <c r="B3198" s="2" t="s">
        <v>15097</v>
      </c>
      <c r="C3198" s="2" t="s">
        <v>15097</v>
      </c>
      <c r="D3198" s="2" t="str">
        <f>"630 379 2115"</f>
        <v>630 379 2115</v>
      </c>
      <c r="E3198" s="2" t="s">
        <v>386</v>
      </c>
      <c r="F3198" s="2" t="s">
        <v>15098</v>
      </c>
      <c r="G3198" s="2" t="str">
        <f>"SR-4303"</f>
        <v>SR-4303</v>
      </c>
      <c r="H3198" s="2" t="s">
        <v>15099</v>
      </c>
      <c r="I3198" s="2" t="s">
        <v>15100</v>
      </c>
      <c r="K3198" s="2" t="s">
        <v>12559</v>
      </c>
      <c r="L3198" s="2" t="s">
        <v>105</v>
      </c>
      <c r="M3198" s="2">
        <v>60148.0</v>
      </c>
      <c r="N3198" s="2" t="s">
        <v>21</v>
      </c>
    </row>
    <row r="3199" ht="15.75" customHeight="1">
      <c r="A3199" s="2">
        <v>2014.0</v>
      </c>
      <c r="B3199" s="2" t="s">
        <v>15101</v>
      </c>
      <c r="C3199" s="2" t="s">
        <v>15101</v>
      </c>
      <c r="D3199" s="2" t="str">
        <f>"010-2702-8228"</f>
        <v>010-2702-8228</v>
      </c>
      <c r="E3199" s="2" t="s">
        <v>15102</v>
      </c>
      <c r="F3199" s="2" t="s">
        <v>15004</v>
      </c>
      <c r="G3199" s="2" t="str">
        <f>"SR-3933"</f>
        <v>SR-3933</v>
      </c>
      <c r="H3199" s="2" t="s">
        <v>15103</v>
      </c>
      <c r="I3199" s="2" t="s">
        <v>15104</v>
      </c>
      <c r="K3199" s="2" t="s">
        <v>15105</v>
      </c>
      <c r="N3199" s="2" t="s">
        <v>15106</v>
      </c>
    </row>
    <row r="3200" ht="15.75" customHeight="1">
      <c r="A3200" s="2">
        <v>2014.0</v>
      </c>
      <c r="B3200" s="2" t="s">
        <v>15107</v>
      </c>
      <c r="C3200" s="2" t="s">
        <v>15107</v>
      </c>
      <c r="D3200" s="2" t="str">
        <f>"402.463.5720"</f>
        <v>402.463.5720</v>
      </c>
      <c r="E3200" s="2" t="s">
        <v>465</v>
      </c>
      <c r="F3200" s="2" t="s">
        <v>15108</v>
      </c>
      <c r="G3200" s="2" t="str">
        <f>"SR-4425"</f>
        <v>SR-4425</v>
      </c>
      <c r="H3200" s="2" t="s">
        <v>15109</v>
      </c>
      <c r="I3200" s="2" t="s">
        <v>15110</v>
      </c>
      <c r="K3200" s="2" t="s">
        <v>8175</v>
      </c>
      <c r="L3200" s="2" t="s">
        <v>757</v>
      </c>
      <c r="M3200" s="2">
        <v>68901.0</v>
      </c>
      <c r="N3200" s="2" t="s">
        <v>21</v>
      </c>
    </row>
    <row r="3201" ht="15.75" customHeight="1">
      <c r="A3201" s="2">
        <v>2014.0</v>
      </c>
      <c r="B3201" s="2" t="s">
        <v>15111</v>
      </c>
      <c r="C3201" s="2" t="s">
        <v>15111</v>
      </c>
      <c r="D3201" s="2" t="str">
        <f>"507-626-0701"</f>
        <v>507-626-0701</v>
      </c>
      <c r="E3201" s="2" t="s">
        <v>15112</v>
      </c>
      <c r="F3201" s="2" t="s">
        <v>3394</v>
      </c>
      <c r="G3201" s="2" t="str">
        <f>"SR-4441"</f>
        <v>SR-4441</v>
      </c>
      <c r="H3201" s="2" t="s">
        <v>15113</v>
      </c>
      <c r="I3201" s="2" t="s">
        <v>15114</v>
      </c>
      <c r="K3201" s="2" t="s">
        <v>133</v>
      </c>
      <c r="L3201" s="2" t="s">
        <v>62</v>
      </c>
      <c r="M3201" s="2">
        <v>56175.0</v>
      </c>
      <c r="N3201" s="2" t="s">
        <v>21</v>
      </c>
    </row>
    <row r="3202" ht="15.75" customHeight="1">
      <c r="A3202" s="2">
        <v>2014.0</v>
      </c>
      <c r="B3202" s="2" t="s">
        <v>4414</v>
      </c>
      <c r="C3202" s="2" t="s">
        <v>15115</v>
      </c>
      <c r="D3202" s="2" t="str">
        <f>"928-674-2962"</f>
        <v>928-674-2962</v>
      </c>
      <c r="E3202" s="2" t="s">
        <v>651</v>
      </c>
      <c r="F3202" s="2" t="s">
        <v>4417</v>
      </c>
      <c r="G3202" s="2" t="str">
        <f>"SR-3482"</f>
        <v>SR-3482</v>
      </c>
      <c r="H3202" s="2" t="s">
        <v>15116</v>
      </c>
      <c r="I3202" s="2" t="s">
        <v>4419</v>
      </c>
      <c r="K3202" s="2" t="s">
        <v>4420</v>
      </c>
      <c r="L3202" s="2" t="s">
        <v>422</v>
      </c>
      <c r="M3202" s="2">
        <v>86503.0</v>
      </c>
      <c r="N3202" s="2" t="s">
        <v>21</v>
      </c>
    </row>
    <row r="3203" ht="15.75" customHeight="1">
      <c r="A3203" s="2">
        <v>2014.0</v>
      </c>
      <c r="B3203" s="2" t="s">
        <v>15117</v>
      </c>
      <c r="C3203" s="2" t="s">
        <v>15117</v>
      </c>
      <c r="D3203" s="2" t="str">
        <f>"815-274-0978"</f>
        <v>815-274-0978</v>
      </c>
      <c r="E3203" s="2" t="s">
        <v>1946</v>
      </c>
      <c r="F3203" s="2" t="s">
        <v>8310</v>
      </c>
      <c r="G3203" s="2" t="str">
        <f>"SR-3859"</f>
        <v>SR-3859</v>
      </c>
      <c r="H3203" s="2" t="s">
        <v>15118</v>
      </c>
      <c r="I3203" s="2" t="s">
        <v>15119</v>
      </c>
      <c r="K3203" s="2" t="s">
        <v>15120</v>
      </c>
      <c r="L3203" s="2" t="s">
        <v>105</v>
      </c>
      <c r="M3203" s="2">
        <v>60410.0</v>
      </c>
      <c r="N3203" s="2" t="s">
        <v>21</v>
      </c>
    </row>
    <row r="3204" ht="15.75" customHeight="1">
      <c r="A3204" s="2">
        <v>2014.0</v>
      </c>
      <c r="B3204" s="2" t="s">
        <v>15121</v>
      </c>
      <c r="C3204" s="2" t="s">
        <v>15122</v>
      </c>
      <c r="D3204" s="2" t="str">
        <f>"503-632-3760"</f>
        <v>503-632-3760</v>
      </c>
      <c r="E3204" s="2" t="s">
        <v>485</v>
      </c>
      <c r="F3204" s="2" t="s">
        <v>7366</v>
      </c>
      <c r="G3204" s="2" t="str">
        <f>"SR-4444"</f>
        <v>SR-4444</v>
      </c>
      <c r="H3204" s="2" t="s">
        <v>15123</v>
      </c>
      <c r="I3204" s="2">
        <v>15055.0</v>
      </c>
      <c r="K3204" s="2" t="s">
        <v>7370</v>
      </c>
      <c r="L3204" s="2" t="s">
        <v>2389</v>
      </c>
      <c r="M3204" s="2">
        <v>97045.0</v>
      </c>
      <c r="N3204" s="2" t="s">
        <v>21</v>
      </c>
    </row>
    <row r="3205" ht="15.75" customHeight="1">
      <c r="A3205" s="2">
        <v>2014.0</v>
      </c>
      <c r="B3205" s="2" t="s">
        <v>15124</v>
      </c>
      <c r="C3205" s="2" t="s">
        <v>15124</v>
      </c>
      <c r="D3205" s="2" t="str">
        <f>"505-414-6428"</f>
        <v>505-414-6428</v>
      </c>
      <c r="E3205" s="2" t="s">
        <v>15125</v>
      </c>
      <c r="F3205" s="2" t="s">
        <v>3702</v>
      </c>
      <c r="G3205" s="2" t="str">
        <f>"SR-4185"</f>
        <v>SR-4185</v>
      </c>
      <c r="H3205" s="2" t="s">
        <v>15126</v>
      </c>
      <c r="I3205" s="2" t="s">
        <v>15127</v>
      </c>
      <c r="K3205" s="2" t="s">
        <v>3705</v>
      </c>
      <c r="L3205" s="2" t="s">
        <v>789</v>
      </c>
      <c r="M3205" s="2">
        <v>87104.0</v>
      </c>
      <c r="N3205" s="2" t="s">
        <v>21</v>
      </c>
    </row>
    <row r="3206" ht="15.75" customHeight="1">
      <c r="A3206" s="2">
        <v>2014.0</v>
      </c>
      <c r="B3206" s="2" t="s">
        <v>15128</v>
      </c>
      <c r="C3206" s="2" t="s">
        <v>15129</v>
      </c>
      <c r="D3206" s="2" t="str">
        <f>"9528140123"</f>
        <v>9528140123</v>
      </c>
      <c r="E3206" s="2" t="s">
        <v>1015</v>
      </c>
      <c r="F3206" s="2" t="s">
        <v>15130</v>
      </c>
      <c r="G3206" s="2" t="str">
        <f>"SR-4395"</f>
        <v>SR-4395</v>
      </c>
      <c r="H3206" s="2" t="s">
        <v>15131</v>
      </c>
      <c r="I3206" s="2" t="s">
        <v>15132</v>
      </c>
      <c r="K3206" s="2" t="s">
        <v>15133</v>
      </c>
      <c r="L3206" s="2" t="s">
        <v>62</v>
      </c>
      <c r="M3206" s="2">
        <v>55379.0</v>
      </c>
      <c r="N3206" s="2" t="s">
        <v>21</v>
      </c>
    </row>
    <row r="3207" ht="15.75" customHeight="1">
      <c r="A3207" s="2">
        <v>2014.0</v>
      </c>
      <c r="B3207" s="2" t="s">
        <v>15134</v>
      </c>
      <c r="C3207" s="2" t="s">
        <v>15135</v>
      </c>
      <c r="D3207" s="2" t="str">
        <f>"6567872906"</f>
        <v>6567872906</v>
      </c>
      <c r="E3207" s="2" t="s">
        <v>5314</v>
      </c>
      <c r="F3207" s="2" t="s">
        <v>15136</v>
      </c>
      <c r="G3207" s="2" t="str">
        <f>"SR-4455"</f>
        <v>SR-4455</v>
      </c>
      <c r="H3207" s="2" t="s">
        <v>15137</v>
      </c>
      <c r="I3207" s="2" t="s">
        <v>15138</v>
      </c>
      <c r="J3207" s="2" t="s">
        <v>15139</v>
      </c>
      <c r="K3207" s="2" t="s">
        <v>8433</v>
      </c>
      <c r="L3207" s="2" t="s">
        <v>8433</v>
      </c>
      <c r="M3207" s="2">
        <v>522496.0</v>
      </c>
      <c r="N3207" s="2" t="s">
        <v>8433</v>
      </c>
    </row>
    <row r="3208" ht="15.75" customHeight="1">
      <c r="A3208" s="2">
        <v>2014.0</v>
      </c>
      <c r="B3208" s="2" t="s">
        <v>15140</v>
      </c>
      <c r="C3208" s="2" t="s">
        <v>15141</v>
      </c>
      <c r="D3208" s="2" t="str">
        <f>"5409740373"</f>
        <v>5409740373</v>
      </c>
      <c r="E3208" s="2" t="s">
        <v>2162</v>
      </c>
      <c r="F3208" s="2" t="s">
        <v>1151</v>
      </c>
      <c r="G3208" s="2" t="str">
        <f>"SR-4359"</f>
        <v>SR-4359</v>
      </c>
      <c r="H3208" s="2" t="s">
        <v>2163</v>
      </c>
      <c r="I3208" s="2" t="s">
        <v>15142</v>
      </c>
      <c r="K3208" s="2" t="s">
        <v>594</v>
      </c>
      <c r="L3208" s="2" t="s">
        <v>165</v>
      </c>
      <c r="M3208" s="2">
        <v>22602.0</v>
      </c>
      <c r="N3208" s="2" t="s">
        <v>21</v>
      </c>
    </row>
    <row r="3209" ht="15.75" customHeight="1">
      <c r="A3209" s="2">
        <v>2014.0</v>
      </c>
      <c r="B3209" s="2" t="s">
        <v>15143</v>
      </c>
      <c r="C3209" s="2" t="s">
        <v>15144</v>
      </c>
      <c r="D3209" s="2" t="str">
        <f>"423-775-6911"</f>
        <v>423-775-6911</v>
      </c>
      <c r="E3209" s="2" t="s">
        <v>167</v>
      </c>
      <c r="F3209" s="2" t="s">
        <v>1008</v>
      </c>
      <c r="G3209" s="2" t="str">
        <f>"SR-4144"</f>
        <v>SR-4144</v>
      </c>
      <c r="H3209" s="2" t="s">
        <v>15145</v>
      </c>
      <c r="I3209" s="2" t="s">
        <v>15146</v>
      </c>
      <c r="K3209" s="2" t="s">
        <v>4310</v>
      </c>
      <c r="L3209" s="2" t="s">
        <v>279</v>
      </c>
      <c r="M3209" s="2">
        <v>37321.0</v>
      </c>
      <c r="N3209" s="2" t="s">
        <v>21</v>
      </c>
    </row>
    <row r="3210" ht="15.75" customHeight="1">
      <c r="A3210" s="2">
        <v>2014.0</v>
      </c>
      <c r="B3210" s="2" t="s">
        <v>15147</v>
      </c>
      <c r="C3210" s="2" t="s">
        <v>15147</v>
      </c>
      <c r="D3210" s="2" t="str">
        <f>"864-567-5061"</f>
        <v>864-567-5061</v>
      </c>
      <c r="E3210" s="2" t="s">
        <v>1001</v>
      </c>
      <c r="F3210" s="2" t="s">
        <v>15148</v>
      </c>
      <c r="G3210" s="2" t="str">
        <f>"SR-4439"</f>
        <v>SR-4439</v>
      </c>
      <c r="H3210" s="2" t="s">
        <v>15149</v>
      </c>
      <c r="I3210" s="2" t="s">
        <v>15150</v>
      </c>
      <c r="K3210" s="2" t="s">
        <v>15151</v>
      </c>
      <c r="L3210" s="2" t="s">
        <v>55</v>
      </c>
      <c r="M3210" s="2">
        <v>29687.0</v>
      </c>
      <c r="N3210" s="2" t="s">
        <v>21</v>
      </c>
    </row>
    <row r="3211" ht="15.75" customHeight="1">
      <c r="A3211" s="2">
        <v>2014.0</v>
      </c>
      <c r="B3211" s="2" t="s">
        <v>15152</v>
      </c>
      <c r="C3211" s="2" t="s">
        <v>15153</v>
      </c>
      <c r="D3211" s="2" t="str">
        <f>"3172015913"</f>
        <v>3172015913</v>
      </c>
      <c r="E3211" s="2" t="s">
        <v>5489</v>
      </c>
      <c r="F3211" s="2" t="s">
        <v>5035</v>
      </c>
      <c r="G3211" s="2" t="str">
        <f>"SR-4435"</f>
        <v>SR-4435</v>
      </c>
      <c r="H3211" s="2" t="s">
        <v>15154</v>
      </c>
      <c r="I3211" s="2" t="s">
        <v>15155</v>
      </c>
      <c r="K3211" s="2" t="s">
        <v>15156</v>
      </c>
      <c r="L3211" s="2" t="s">
        <v>149</v>
      </c>
      <c r="M3211" s="2">
        <v>46167.0</v>
      </c>
      <c r="N3211" s="2" t="s">
        <v>21</v>
      </c>
    </row>
    <row r="3212" ht="15.75" customHeight="1">
      <c r="A3212" s="2">
        <v>2014.0</v>
      </c>
      <c r="B3212" s="2" t="s">
        <v>12595</v>
      </c>
      <c r="C3212" s="2" t="s">
        <v>15157</v>
      </c>
      <c r="D3212" s="2" t="str">
        <f>"310-469-8792"</f>
        <v>310-469-8792</v>
      </c>
      <c r="E3212" s="2" t="s">
        <v>5667</v>
      </c>
      <c r="F3212" s="2" t="s">
        <v>1822</v>
      </c>
      <c r="G3212" s="2" t="str">
        <f>"SR-4460"</f>
        <v>SR-4460</v>
      </c>
      <c r="H3212" s="2" t="s">
        <v>15158</v>
      </c>
      <c r="I3212" s="2" t="s">
        <v>15159</v>
      </c>
      <c r="K3212" s="2" t="s">
        <v>15160</v>
      </c>
      <c r="L3212" s="2" t="s">
        <v>222</v>
      </c>
      <c r="M3212" s="2">
        <v>90710.0</v>
      </c>
      <c r="N3212" s="2" t="s">
        <v>21</v>
      </c>
    </row>
    <row r="3213" ht="15.75" customHeight="1">
      <c r="A3213" s="2">
        <v>2014.0</v>
      </c>
      <c r="B3213" s="2" t="s">
        <v>15161</v>
      </c>
      <c r="C3213" s="2" t="s">
        <v>15162</v>
      </c>
      <c r="D3213" s="2" t="str">
        <f>"561.626.4602"</f>
        <v>561.626.4602</v>
      </c>
      <c r="E3213" s="2" t="s">
        <v>1548</v>
      </c>
      <c r="F3213" s="2" t="s">
        <v>31</v>
      </c>
      <c r="G3213" s="2" t="str">
        <f>"SR-4442"</f>
        <v>SR-4442</v>
      </c>
      <c r="H3213" s="2" t="s">
        <v>15163</v>
      </c>
      <c r="I3213" s="2" t="s">
        <v>15164</v>
      </c>
      <c r="K3213" s="2" t="s">
        <v>15165</v>
      </c>
      <c r="L3213" s="2" t="s">
        <v>208</v>
      </c>
      <c r="M3213" s="2">
        <v>33418.0</v>
      </c>
      <c r="N3213" s="2" t="s">
        <v>21</v>
      </c>
    </row>
    <row r="3214" ht="15.75" customHeight="1">
      <c r="A3214" s="2">
        <v>2014.0</v>
      </c>
      <c r="B3214" s="2" t="s">
        <v>15166</v>
      </c>
      <c r="C3214" s="2" t="s">
        <v>15167</v>
      </c>
      <c r="D3214" s="2" t="str">
        <f>"404-219-4040"</f>
        <v>404-219-4040</v>
      </c>
      <c r="E3214" s="2" t="s">
        <v>4968</v>
      </c>
      <c r="F3214" s="2" t="s">
        <v>15168</v>
      </c>
      <c r="G3214" s="2" t="str">
        <f>"SR-4268"</f>
        <v>SR-4268</v>
      </c>
      <c r="H3214" s="2" t="s">
        <v>15169</v>
      </c>
      <c r="I3214" s="2" t="s">
        <v>15170</v>
      </c>
      <c r="K3214" s="2" t="s">
        <v>15171</v>
      </c>
      <c r="L3214" s="2" t="s">
        <v>200</v>
      </c>
      <c r="M3214" s="2">
        <v>30305.0</v>
      </c>
      <c r="N3214" s="2" t="s">
        <v>21</v>
      </c>
    </row>
    <row r="3215" ht="15.75" customHeight="1">
      <c r="A3215" s="2">
        <v>2014.0</v>
      </c>
      <c r="B3215" s="2" t="s">
        <v>15172</v>
      </c>
      <c r="C3215" s="2" t="s">
        <v>15173</v>
      </c>
      <c r="D3215" s="2" t="str">
        <f>"16307683951"</f>
        <v>16307683951</v>
      </c>
      <c r="E3215" s="2" t="s">
        <v>596</v>
      </c>
      <c r="F3215" s="2" t="s">
        <v>15174</v>
      </c>
      <c r="G3215" s="2" t="str">
        <f>"SR-4419"</f>
        <v>SR-4419</v>
      </c>
      <c r="H3215" s="2" t="s">
        <v>15175</v>
      </c>
      <c r="I3215" s="2" t="s">
        <v>15176</v>
      </c>
      <c r="K3215" s="2" t="s">
        <v>15177</v>
      </c>
      <c r="L3215" s="2" t="s">
        <v>105</v>
      </c>
      <c r="M3215" s="2">
        <v>60139.0</v>
      </c>
      <c r="N3215" s="2" t="s">
        <v>21</v>
      </c>
    </row>
    <row r="3216" ht="15.75" customHeight="1">
      <c r="A3216" s="2">
        <v>2014.0</v>
      </c>
      <c r="B3216" s="2" t="s">
        <v>15178</v>
      </c>
      <c r="C3216" s="2" t="s">
        <v>15179</v>
      </c>
      <c r="D3216" s="2" t="str">
        <f>"919-663-1633"</f>
        <v>919-663-1633</v>
      </c>
      <c r="E3216" s="2" t="s">
        <v>15180</v>
      </c>
      <c r="F3216" s="2" t="s">
        <v>15181</v>
      </c>
      <c r="G3216" s="2" t="str">
        <f>"SR-4450"</f>
        <v>SR-4450</v>
      </c>
      <c r="H3216" s="2" t="s">
        <v>15182</v>
      </c>
      <c r="I3216" s="2" t="s">
        <v>15183</v>
      </c>
      <c r="K3216" s="2" t="s">
        <v>15184</v>
      </c>
      <c r="L3216" s="2" t="s">
        <v>20</v>
      </c>
      <c r="M3216" s="2">
        <v>27344.0</v>
      </c>
      <c r="N3216" s="2" t="s">
        <v>21</v>
      </c>
    </row>
    <row r="3217" ht="15.75" customHeight="1">
      <c r="A3217" s="2">
        <v>2014.0</v>
      </c>
      <c r="B3217" s="2" t="s">
        <v>15185</v>
      </c>
      <c r="C3217" s="2" t="s">
        <v>15186</v>
      </c>
      <c r="D3217" s="2" t="str">
        <f>"9038066340"</f>
        <v>9038066340</v>
      </c>
      <c r="E3217" s="2" t="s">
        <v>15187</v>
      </c>
      <c r="F3217" s="2" t="s">
        <v>15188</v>
      </c>
      <c r="G3217" s="2" t="str">
        <f>"SR-4465"</f>
        <v>SR-4465</v>
      </c>
      <c r="H3217" s="2" t="s">
        <v>15189</v>
      </c>
      <c r="I3217" s="2" t="s">
        <v>15190</v>
      </c>
      <c r="K3217" s="2" t="s">
        <v>14875</v>
      </c>
      <c r="L3217" s="2" t="s">
        <v>172</v>
      </c>
      <c r="M3217" s="2">
        <v>75693.0</v>
      </c>
      <c r="N3217" s="2" t="s">
        <v>21</v>
      </c>
    </row>
    <row r="3218" ht="15.75" customHeight="1">
      <c r="A3218" s="2">
        <v>2014.0</v>
      </c>
      <c r="B3218" s="2" t="s">
        <v>15191</v>
      </c>
      <c r="C3218" s="2" t="s">
        <v>15192</v>
      </c>
      <c r="D3218" s="2" t="str">
        <f>"2082671990"</f>
        <v>2082671990</v>
      </c>
      <c r="E3218" s="2" t="s">
        <v>4224</v>
      </c>
      <c r="F3218" s="2" t="s">
        <v>15193</v>
      </c>
      <c r="G3218" s="2" t="str">
        <f>"SR-4469"</f>
        <v>SR-4469</v>
      </c>
      <c r="H3218" s="2" t="s">
        <v>15194</v>
      </c>
      <c r="I3218" s="2" t="s">
        <v>15195</v>
      </c>
      <c r="K3218" s="2" t="s">
        <v>5046</v>
      </c>
      <c r="L3218" s="2" t="s">
        <v>2613</v>
      </c>
      <c r="M3218" s="2">
        <v>83847.0</v>
      </c>
      <c r="N3218" s="2" t="s">
        <v>21</v>
      </c>
    </row>
    <row r="3219" ht="15.75" customHeight="1">
      <c r="A3219" s="2">
        <v>2014.0</v>
      </c>
      <c r="B3219" s="2" t="s">
        <v>15196</v>
      </c>
      <c r="C3219" s="2" t="s">
        <v>15196</v>
      </c>
      <c r="D3219" s="2" t="str">
        <f>"757-482-5154"</f>
        <v>757-482-5154</v>
      </c>
      <c r="E3219" s="2" t="s">
        <v>15197</v>
      </c>
      <c r="F3219" s="2" t="s">
        <v>529</v>
      </c>
      <c r="G3219" s="2" t="str">
        <f>"SR-4471"</f>
        <v>SR-4471</v>
      </c>
      <c r="H3219" s="2" t="s">
        <v>15198</v>
      </c>
      <c r="I3219" s="2" t="s">
        <v>15199</v>
      </c>
      <c r="K3219" s="2" t="s">
        <v>9576</v>
      </c>
      <c r="L3219" s="2" t="s">
        <v>165</v>
      </c>
      <c r="M3219" s="2">
        <v>23322.0</v>
      </c>
      <c r="N3219" s="2" t="s">
        <v>21</v>
      </c>
    </row>
    <row r="3220" ht="15.75" customHeight="1">
      <c r="A3220" s="2">
        <v>2014.0</v>
      </c>
      <c r="B3220" s="2" t="s">
        <v>15200</v>
      </c>
      <c r="C3220" s="2" t="s">
        <v>15201</v>
      </c>
      <c r="D3220" s="2" t="str">
        <f>"760-522-8238"</f>
        <v>760-522-8238</v>
      </c>
      <c r="E3220" s="2" t="s">
        <v>2384</v>
      </c>
      <c r="F3220" s="2" t="s">
        <v>15202</v>
      </c>
      <c r="G3220" s="2" t="str">
        <f>"SR-4451"</f>
        <v>SR-4451</v>
      </c>
      <c r="H3220" s="2" t="s">
        <v>15203</v>
      </c>
      <c r="I3220" s="2" t="s">
        <v>15204</v>
      </c>
      <c r="K3220" s="2" t="s">
        <v>15205</v>
      </c>
      <c r="L3220" s="2" t="s">
        <v>222</v>
      </c>
      <c r="M3220" s="2">
        <v>92029.0</v>
      </c>
      <c r="N3220" s="2" t="s">
        <v>21</v>
      </c>
    </row>
    <row r="3221" ht="15.75" customHeight="1">
      <c r="A3221" s="2">
        <v>2014.0</v>
      </c>
      <c r="B3221" s="2" t="s">
        <v>15206</v>
      </c>
      <c r="C3221" s="2" t="s">
        <v>15207</v>
      </c>
      <c r="D3221" s="2" t="str">
        <f>"540-303-5744"</f>
        <v>540-303-5744</v>
      </c>
      <c r="E3221" s="2" t="s">
        <v>453</v>
      </c>
      <c r="F3221" s="2" t="s">
        <v>15208</v>
      </c>
      <c r="G3221" s="2" t="str">
        <f>"SR-4448"</f>
        <v>SR-4448</v>
      </c>
      <c r="H3221" s="2" t="s">
        <v>15209</v>
      </c>
      <c r="I3221" s="2" t="s">
        <v>15210</v>
      </c>
      <c r="K3221" s="2" t="s">
        <v>7647</v>
      </c>
      <c r="L3221" s="2" t="s">
        <v>165</v>
      </c>
      <c r="M3221" s="2">
        <v>22655.0</v>
      </c>
      <c r="N3221" s="2" t="s">
        <v>21</v>
      </c>
    </row>
    <row r="3222" ht="15.75" customHeight="1">
      <c r="A3222" s="2">
        <v>2014.0</v>
      </c>
      <c r="B3222" s="2" t="s">
        <v>8309</v>
      </c>
      <c r="C3222" s="2" t="s">
        <v>8309</v>
      </c>
      <c r="D3222" s="2" t="str">
        <f>"7792252994"</f>
        <v>7792252994</v>
      </c>
      <c r="E3222" s="2" t="s">
        <v>261</v>
      </c>
      <c r="F3222" s="2" t="s">
        <v>8310</v>
      </c>
      <c r="G3222" s="2" t="str">
        <f>"SR-2274"</f>
        <v>SR-2274</v>
      </c>
      <c r="H3222" s="2" t="s">
        <v>8311</v>
      </c>
      <c r="I3222" s="2" t="s">
        <v>8312</v>
      </c>
      <c r="K3222" s="2" t="s">
        <v>8313</v>
      </c>
      <c r="L3222" s="2" t="s">
        <v>105</v>
      </c>
      <c r="M3222" s="2">
        <v>60410.0</v>
      </c>
      <c r="N3222" s="2" t="s">
        <v>21</v>
      </c>
    </row>
    <row r="3223" ht="15.75" customHeight="1">
      <c r="A3223" s="2">
        <v>2014.0</v>
      </c>
      <c r="B3223" s="2" t="s">
        <v>15211</v>
      </c>
      <c r="C3223" s="2" t="s">
        <v>15212</v>
      </c>
      <c r="D3223" s="2" t="str">
        <f>"2108249319"</f>
        <v>2108249319</v>
      </c>
      <c r="E3223" s="2" t="s">
        <v>678</v>
      </c>
      <c r="F3223" s="2" t="s">
        <v>2598</v>
      </c>
      <c r="G3223" s="2" t="str">
        <f>"SR-4470"</f>
        <v>SR-4470</v>
      </c>
      <c r="H3223" s="2" t="s">
        <v>15213</v>
      </c>
      <c r="I3223" s="2" t="s">
        <v>15214</v>
      </c>
      <c r="K3223" s="2" t="s">
        <v>632</v>
      </c>
      <c r="L3223" s="2" t="s">
        <v>172</v>
      </c>
      <c r="M3223" s="2">
        <v>78209.0</v>
      </c>
      <c r="N3223" s="2" t="s">
        <v>21</v>
      </c>
    </row>
    <row r="3224" ht="15.75" customHeight="1">
      <c r="A3224" s="2">
        <v>2014.0</v>
      </c>
      <c r="B3224" s="2" t="s">
        <v>15215</v>
      </c>
      <c r="C3224" s="2" t="s">
        <v>15216</v>
      </c>
      <c r="D3224" s="2" t="str">
        <f>"618-806-6754"</f>
        <v>618-806-6754</v>
      </c>
      <c r="E3224" s="2" t="s">
        <v>2825</v>
      </c>
      <c r="F3224" s="2" t="s">
        <v>15217</v>
      </c>
      <c r="G3224" s="2" t="str">
        <f>"SR-4383"</f>
        <v>SR-4383</v>
      </c>
      <c r="H3224" s="2" t="s">
        <v>15218</v>
      </c>
      <c r="I3224" s="2" t="s">
        <v>15219</v>
      </c>
      <c r="K3224" s="2" t="s">
        <v>15220</v>
      </c>
      <c r="L3224" s="2" t="s">
        <v>214</v>
      </c>
      <c r="M3224" s="2">
        <v>63129.0</v>
      </c>
      <c r="N3224" s="2" t="s">
        <v>21</v>
      </c>
    </row>
    <row r="3225" ht="15.75" customHeight="1">
      <c r="A3225" s="2">
        <v>2014.0</v>
      </c>
      <c r="B3225" s="2" t="s">
        <v>15221</v>
      </c>
      <c r="C3225" s="2" t="s">
        <v>15221</v>
      </c>
      <c r="D3225" s="2" t="str">
        <f>"402-408-6321"</f>
        <v>402-408-6321</v>
      </c>
      <c r="E3225" s="2" t="s">
        <v>705</v>
      </c>
      <c r="F3225" s="2" t="s">
        <v>15222</v>
      </c>
      <c r="G3225" s="2" t="str">
        <f>"SR-3695"</f>
        <v>SR-3695</v>
      </c>
      <c r="H3225" s="2" t="s">
        <v>15223</v>
      </c>
      <c r="I3225" s="2" t="s">
        <v>15224</v>
      </c>
      <c r="K3225" s="2" t="s">
        <v>1470</v>
      </c>
      <c r="L3225" s="2" t="s">
        <v>757</v>
      </c>
      <c r="M3225" s="2">
        <v>68134.0</v>
      </c>
      <c r="N3225" s="2" t="s">
        <v>21</v>
      </c>
    </row>
    <row r="3226" ht="15.75" customHeight="1">
      <c r="A3226" s="2">
        <v>2014.0</v>
      </c>
      <c r="B3226" s="2" t="s">
        <v>15225</v>
      </c>
      <c r="C3226" s="2" t="s">
        <v>15226</v>
      </c>
      <c r="D3226" s="2" t="str">
        <f>"925-998-9689"</f>
        <v>925-998-9689</v>
      </c>
      <c r="E3226" s="2" t="s">
        <v>167</v>
      </c>
      <c r="F3226" s="2" t="s">
        <v>15227</v>
      </c>
      <c r="G3226" s="2" t="str">
        <f>"SR-4479"</f>
        <v>SR-4479</v>
      </c>
      <c r="H3226" s="2" t="s">
        <v>15228</v>
      </c>
      <c r="I3226" s="2">
        <v>1301.0</v>
      </c>
      <c r="J3226" s="2" t="s">
        <v>15229</v>
      </c>
      <c r="K3226" s="2" t="s">
        <v>15230</v>
      </c>
      <c r="L3226" s="2" t="s">
        <v>222</v>
      </c>
      <c r="M3226" s="2">
        <v>94566.0</v>
      </c>
      <c r="N3226" s="2" t="s">
        <v>21</v>
      </c>
    </row>
    <row r="3227" ht="15.75" customHeight="1">
      <c r="A3227" s="2">
        <v>2014.0</v>
      </c>
      <c r="B3227" s="2" t="s">
        <v>15231</v>
      </c>
      <c r="C3227" s="2" t="s">
        <v>15232</v>
      </c>
      <c r="D3227" s="2" t="str">
        <f>"936-569-1181"</f>
        <v>936-569-1181</v>
      </c>
      <c r="E3227" s="2" t="s">
        <v>651</v>
      </c>
      <c r="F3227" s="2" t="s">
        <v>639</v>
      </c>
      <c r="G3227" s="2" t="str">
        <f>"SR-4476"</f>
        <v>SR-4476</v>
      </c>
      <c r="H3227" s="2" t="s">
        <v>15233</v>
      </c>
      <c r="I3227" s="2" t="s">
        <v>15234</v>
      </c>
      <c r="K3227" s="2" t="s">
        <v>15235</v>
      </c>
      <c r="L3227" s="2" t="s">
        <v>172</v>
      </c>
      <c r="M3227" s="2">
        <v>75963.0</v>
      </c>
      <c r="N3227" s="2" t="s">
        <v>21</v>
      </c>
    </row>
    <row r="3228" ht="15.75" customHeight="1">
      <c r="A3228" s="2">
        <v>2014.0</v>
      </c>
      <c r="B3228" s="2" t="s">
        <v>15236</v>
      </c>
      <c r="C3228" s="2" t="s">
        <v>15236</v>
      </c>
      <c r="D3228" s="2" t="str">
        <f>"931-444-0341"</f>
        <v>931-444-0341</v>
      </c>
      <c r="E3228" s="2" t="s">
        <v>1803</v>
      </c>
      <c r="F3228" s="2" t="s">
        <v>15237</v>
      </c>
      <c r="G3228" s="2" t="str">
        <f>"SR-4258"</f>
        <v>SR-4258</v>
      </c>
      <c r="H3228" s="2" t="s">
        <v>15238</v>
      </c>
      <c r="I3228" s="2" t="s">
        <v>15239</v>
      </c>
      <c r="K3228" s="2" t="s">
        <v>3671</v>
      </c>
      <c r="L3228" s="2" t="s">
        <v>279</v>
      </c>
      <c r="M3228" s="2">
        <v>37043.0</v>
      </c>
      <c r="N3228" s="2" t="s">
        <v>21</v>
      </c>
    </row>
    <row r="3229" ht="15.75" customHeight="1">
      <c r="A3229" s="2">
        <v>2014.0</v>
      </c>
      <c r="B3229" s="2" t="s">
        <v>15240</v>
      </c>
      <c r="C3229" s="2" t="s">
        <v>15241</v>
      </c>
      <c r="D3229" s="2" t="str">
        <f>"619-579-0346"</f>
        <v>619-579-0346</v>
      </c>
      <c r="E3229" s="2" t="s">
        <v>2162</v>
      </c>
      <c r="F3229" s="2" t="s">
        <v>15242</v>
      </c>
      <c r="G3229" s="2" t="str">
        <f>"SR-4485"</f>
        <v>SR-4485</v>
      </c>
      <c r="H3229" s="2" t="s">
        <v>15243</v>
      </c>
      <c r="I3229" s="2" t="s">
        <v>15244</v>
      </c>
      <c r="K3229" s="2" t="s">
        <v>8444</v>
      </c>
      <c r="L3229" s="2" t="s">
        <v>222</v>
      </c>
      <c r="M3229" s="2">
        <v>92019.0</v>
      </c>
      <c r="N3229" s="2" t="s">
        <v>21</v>
      </c>
    </row>
    <row r="3230" ht="15.75" customHeight="1">
      <c r="A3230" s="2">
        <v>2014.0</v>
      </c>
      <c r="B3230" s="2" t="s">
        <v>15245</v>
      </c>
      <c r="C3230" s="2" t="s">
        <v>15246</v>
      </c>
      <c r="D3230" s="2" t="str">
        <f>"805-906-1044"</f>
        <v>805-906-1044</v>
      </c>
      <c r="E3230" s="2" t="s">
        <v>15247</v>
      </c>
      <c r="F3230" s="2" t="s">
        <v>15248</v>
      </c>
      <c r="G3230" s="2" t="str">
        <f>"SR-4397"</f>
        <v>SR-4397</v>
      </c>
      <c r="H3230" s="2" t="s">
        <v>15249</v>
      </c>
      <c r="I3230" s="2" t="s">
        <v>15250</v>
      </c>
      <c r="K3230" s="2" t="s">
        <v>15077</v>
      </c>
      <c r="L3230" s="2" t="s">
        <v>222</v>
      </c>
      <c r="M3230" s="2">
        <v>91361.0</v>
      </c>
      <c r="N3230" s="2" t="s">
        <v>21</v>
      </c>
    </row>
    <row r="3231" ht="15.75" customHeight="1">
      <c r="A3231" s="2">
        <v>2014.0</v>
      </c>
      <c r="B3231" s="2" t="s">
        <v>15251</v>
      </c>
      <c r="C3231" s="2" t="s">
        <v>15252</v>
      </c>
      <c r="D3231" s="2" t="str">
        <f>"919-779-6751"</f>
        <v>919-779-6751</v>
      </c>
      <c r="E3231" s="2" t="s">
        <v>1263</v>
      </c>
      <c r="F3231" s="2" t="s">
        <v>15253</v>
      </c>
      <c r="G3231" s="2" t="str">
        <f>"SR-4427"</f>
        <v>SR-4427</v>
      </c>
      <c r="H3231" s="2" t="s">
        <v>15254</v>
      </c>
      <c r="I3231" s="2" t="s">
        <v>15255</v>
      </c>
      <c r="K3231" s="2" t="s">
        <v>7993</v>
      </c>
      <c r="L3231" s="2" t="s">
        <v>20</v>
      </c>
      <c r="M3231" s="2">
        <v>27606.0</v>
      </c>
      <c r="N3231" s="2" t="s">
        <v>21</v>
      </c>
    </row>
    <row r="3232" ht="15.75" customHeight="1">
      <c r="A3232" s="2">
        <v>2014.0</v>
      </c>
      <c r="B3232" s="2" t="s">
        <v>15256</v>
      </c>
      <c r="C3232" s="2" t="s">
        <v>15256</v>
      </c>
      <c r="D3232" s="2" t="str">
        <f>"310-993-2113"</f>
        <v>310-993-2113</v>
      </c>
      <c r="E3232" s="2" t="s">
        <v>534</v>
      </c>
      <c r="F3232" s="2" t="s">
        <v>94</v>
      </c>
      <c r="G3232" s="2" t="str">
        <f>"SR-4454"</f>
        <v>SR-4454</v>
      </c>
      <c r="H3232" s="2" t="s">
        <v>15257</v>
      </c>
      <c r="I3232" s="2" t="s">
        <v>15258</v>
      </c>
      <c r="K3232" s="2" t="s">
        <v>2015</v>
      </c>
      <c r="L3232" s="2" t="s">
        <v>222</v>
      </c>
      <c r="M3232" s="2">
        <v>91762.0</v>
      </c>
      <c r="N3232" s="2" t="s">
        <v>21</v>
      </c>
    </row>
    <row r="3233" ht="15.75" customHeight="1">
      <c r="A3233" s="2">
        <v>2014.0</v>
      </c>
      <c r="B3233" s="2" t="s">
        <v>15259</v>
      </c>
      <c r="C3233" s="2" t="s">
        <v>15260</v>
      </c>
      <c r="D3233" s="2" t="str">
        <f>"616-828-0650"</f>
        <v>616-828-0650</v>
      </c>
      <c r="E3233" s="2" t="s">
        <v>2433</v>
      </c>
      <c r="F3233" s="2" t="s">
        <v>15261</v>
      </c>
      <c r="G3233" s="2" t="str">
        <f>"SR-4379"</f>
        <v>SR-4379</v>
      </c>
      <c r="H3233" s="2" t="s">
        <v>15262</v>
      </c>
      <c r="I3233" s="2" t="s">
        <v>15263</v>
      </c>
      <c r="J3233" s="2" t="s">
        <v>15264</v>
      </c>
      <c r="K3233" s="2" t="s">
        <v>15265</v>
      </c>
      <c r="L3233" s="2" t="s">
        <v>15265</v>
      </c>
      <c r="N3233" s="2" t="s">
        <v>15265</v>
      </c>
    </row>
    <row r="3234" ht="15.75" customHeight="1">
      <c r="A3234" s="2">
        <v>2014.0</v>
      </c>
      <c r="B3234" s="2" t="s">
        <v>15266</v>
      </c>
      <c r="C3234" s="2" t="s">
        <v>15267</v>
      </c>
      <c r="D3234" s="2" t="str">
        <f>"2532232569"</f>
        <v>2532232569</v>
      </c>
      <c r="E3234" s="2" t="s">
        <v>1664</v>
      </c>
      <c r="F3234" s="2" t="s">
        <v>15268</v>
      </c>
      <c r="G3234" s="2" t="str">
        <f>"SR-4484"</f>
        <v>SR-4484</v>
      </c>
      <c r="H3234" s="2" t="s">
        <v>15269</v>
      </c>
      <c r="I3234" s="2" t="s">
        <v>15270</v>
      </c>
      <c r="K3234" s="2" t="s">
        <v>15271</v>
      </c>
      <c r="L3234" s="2" t="s">
        <v>86</v>
      </c>
      <c r="M3234" s="2">
        <v>98321.0</v>
      </c>
      <c r="N3234" s="2" t="s">
        <v>21</v>
      </c>
    </row>
    <row r="3235" ht="15.75" customHeight="1">
      <c r="A3235" s="2">
        <v>2014.0</v>
      </c>
      <c r="B3235" s="2" t="s">
        <v>15272</v>
      </c>
      <c r="C3235" s="2" t="s">
        <v>15273</v>
      </c>
      <c r="D3235" s="2" t="str">
        <f>"828-524-7828"</f>
        <v>828-524-7828</v>
      </c>
      <c r="E3235" s="2" t="s">
        <v>15274</v>
      </c>
      <c r="F3235" s="2" t="s">
        <v>15275</v>
      </c>
      <c r="G3235" s="2" t="str">
        <f>"SR-4176"</f>
        <v>SR-4176</v>
      </c>
      <c r="H3235" s="2" t="s">
        <v>15276</v>
      </c>
      <c r="I3235" s="2" t="s">
        <v>15277</v>
      </c>
      <c r="K3235" s="2" t="s">
        <v>278</v>
      </c>
      <c r="L3235" s="2" t="s">
        <v>20</v>
      </c>
      <c r="M3235" s="2">
        <v>28734.0</v>
      </c>
      <c r="N3235" s="2" t="s">
        <v>21</v>
      </c>
    </row>
    <row r="3236" ht="15.75" customHeight="1">
      <c r="A3236" s="2">
        <v>2014.0</v>
      </c>
      <c r="B3236" s="2" t="s">
        <v>15278</v>
      </c>
      <c r="C3236" s="2" t="s">
        <v>15279</v>
      </c>
      <c r="D3236" s="2" t="str">
        <f>"949-429-8967"</f>
        <v>949-429-8967</v>
      </c>
      <c r="E3236" s="2" t="s">
        <v>14000</v>
      </c>
      <c r="F3236" s="2" t="s">
        <v>711</v>
      </c>
      <c r="G3236" s="2" t="str">
        <f>"SR-4490"</f>
        <v>SR-4490</v>
      </c>
      <c r="H3236" s="2" t="s">
        <v>15280</v>
      </c>
      <c r="I3236" s="2" t="s">
        <v>15281</v>
      </c>
      <c r="K3236" s="2" t="s">
        <v>9670</v>
      </c>
      <c r="L3236" s="2" t="s">
        <v>222</v>
      </c>
      <c r="M3236" s="2">
        <v>92673.0</v>
      </c>
      <c r="N3236" s="2" t="s">
        <v>21</v>
      </c>
    </row>
    <row r="3237" ht="15.75" customHeight="1">
      <c r="A3237" s="2">
        <v>2014.0</v>
      </c>
      <c r="B3237" s="2" t="s">
        <v>15282</v>
      </c>
      <c r="C3237" s="2" t="s">
        <v>15282</v>
      </c>
      <c r="D3237" s="2" t="str">
        <f>"760-953-7473"</f>
        <v>760-953-7473</v>
      </c>
      <c r="E3237" s="2" t="s">
        <v>250</v>
      </c>
      <c r="F3237" s="2" t="s">
        <v>701</v>
      </c>
      <c r="G3237" s="2" t="str">
        <f>"SR-4492"</f>
        <v>SR-4492</v>
      </c>
      <c r="H3237" s="2" t="s">
        <v>15283</v>
      </c>
      <c r="I3237" s="2" t="s">
        <v>15284</v>
      </c>
      <c r="K3237" s="2" t="s">
        <v>15285</v>
      </c>
      <c r="L3237" s="2" t="s">
        <v>222</v>
      </c>
      <c r="M3237" s="2">
        <v>92308.0</v>
      </c>
      <c r="N3237" s="2" t="s">
        <v>21</v>
      </c>
    </row>
    <row r="3238" ht="15.75" customHeight="1">
      <c r="A3238" s="2">
        <v>2014.0</v>
      </c>
      <c r="B3238" s="2" t="s">
        <v>15286</v>
      </c>
      <c r="C3238" s="2" t="s">
        <v>15287</v>
      </c>
      <c r="D3238" s="2" t="str">
        <f>"817-354-4947"</f>
        <v>817-354-4947</v>
      </c>
      <c r="E3238" s="2" t="s">
        <v>15</v>
      </c>
      <c r="F3238" s="2" t="s">
        <v>15288</v>
      </c>
      <c r="G3238" s="2" t="str">
        <f>"SR-4478"</f>
        <v>SR-4478</v>
      </c>
      <c r="H3238" s="2" t="s">
        <v>15289</v>
      </c>
      <c r="I3238" s="2" t="s">
        <v>15290</v>
      </c>
      <c r="K3238" s="2" t="s">
        <v>15291</v>
      </c>
      <c r="L3238" s="2" t="s">
        <v>172</v>
      </c>
      <c r="M3238" s="2">
        <v>76039.0</v>
      </c>
      <c r="N3238" s="2" t="s">
        <v>21</v>
      </c>
    </row>
    <row r="3239" ht="15.75" customHeight="1">
      <c r="A3239" s="2">
        <v>2014.0</v>
      </c>
      <c r="B3239" s="2" t="s">
        <v>15292</v>
      </c>
      <c r="C3239" s="2" t="s">
        <v>15292</v>
      </c>
      <c r="D3239" s="2" t="str">
        <f>"8283710480"</f>
        <v>8283710480</v>
      </c>
      <c r="E3239" s="2" t="s">
        <v>10949</v>
      </c>
      <c r="F3239" s="2" t="s">
        <v>15293</v>
      </c>
      <c r="G3239" s="2" t="str">
        <f>"SR-4495"</f>
        <v>SR-4495</v>
      </c>
      <c r="H3239" s="2" t="s">
        <v>15294</v>
      </c>
      <c r="I3239" s="2" t="s">
        <v>15295</v>
      </c>
      <c r="K3239" s="2" t="s">
        <v>278</v>
      </c>
      <c r="L3239" s="2" t="s">
        <v>20</v>
      </c>
      <c r="M3239" s="2">
        <v>28734.0</v>
      </c>
      <c r="N3239" s="2" t="s">
        <v>21</v>
      </c>
    </row>
    <row r="3240" ht="15.75" customHeight="1">
      <c r="A3240" s="2">
        <v>2014.0</v>
      </c>
      <c r="B3240" s="2" t="s">
        <v>15296</v>
      </c>
      <c r="C3240" s="2" t="s">
        <v>15297</v>
      </c>
      <c r="D3240" s="2" t="str">
        <f>"828-371-3877"</f>
        <v>828-371-3877</v>
      </c>
      <c r="E3240" s="2" t="s">
        <v>15298</v>
      </c>
      <c r="F3240" s="2" t="s">
        <v>6686</v>
      </c>
      <c r="G3240" s="2" t="str">
        <f>"SR-4499"</f>
        <v>SR-4499</v>
      </c>
      <c r="H3240" s="2" t="s">
        <v>15299</v>
      </c>
      <c r="I3240" s="2" t="s">
        <v>6688</v>
      </c>
      <c r="K3240" s="2" t="s">
        <v>278</v>
      </c>
      <c r="L3240" s="2" t="s">
        <v>20</v>
      </c>
      <c r="M3240" s="2">
        <v>28734.0</v>
      </c>
      <c r="N3240" s="2" t="s">
        <v>21</v>
      </c>
    </row>
    <row r="3241" ht="15.75" customHeight="1">
      <c r="A3241" s="2">
        <v>2014.0</v>
      </c>
      <c r="B3241" s="2" t="s">
        <v>15300</v>
      </c>
      <c r="C3241" s="2" t="s">
        <v>15301</v>
      </c>
      <c r="D3241" s="2" t="str">
        <f>"402-345-9304"</f>
        <v>402-345-9304</v>
      </c>
      <c r="E3241" s="2" t="s">
        <v>7517</v>
      </c>
      <c r="F3241" s="2" t="s">
        <v>15302</v>
      </c>
      <c r="G3241" s="2" t="str">
        <f>"SR-3082"</f>
        <v>SR-3082</v>
      </c>
      <c r="H3241" s="2" t="s">
        <v>15303</v>
      </c>
      <c r="I3241" s="2" t="s">
        <v>15304</v>
      </c>
      <c r="K3241" s="2" t="s">
        <v>1470</v>
      </c>
      <c r="L3241" s="2" t="s">
        <v>757</v>
      </c>
      <c r="M3241" s="2">
        <v>68137.0</v>
      </c>
      <c r="N3241" s="2" t="s">
        <v>21</v>
      </c>
    </row>
    <row r="3242" ht="15.75" customHeight="1">
      <c r="A3242" s="2">
        <v>2014.0</v>
      </c>
      <c r="B3242" s="2" t="s">
        <v>15305</v>
      </c>
      <c r="C3242" s="2" t="s">
        <v>15305</v>
      </c>
      <c r="D3242" s="2" t="str">
        <f>"3203544688"</f>
        <v>3203544688</v>
      </c>
      <c r="E3242" s="2" t="s">
        <v>160</v>
      </c>
      <c r="F3242" s="2" t="s">
        <v>15306</v>
      </c>
      <c r="G3242" s="2" t="str">
        <f>"SR-2713"</f>
        <v>SR-2713</v>
      </c>
      <c r="H3242" s="2" t="s">
        <v>15307</v>
      </c>
      <c r="I3242" s="2" t="s">
        <v>15308</v>
      </c>
      <c r="K3242" s="2" t="s">
        <v>9895</v>
      </c>
      <c r="L3242" s="2" t="s">
        <v>62</v>
      </c>
      <c r="M3242" s="2">
        <v>56288.0</v>
      </c>
      <c r="N3242" s="2" t="s">
        <v>21</v>
      </c>
    </row>
    <row r="3243" ht="15.75" customHeight="1">
      <c r="A3243" s="2">
        <v>2014.0</v>
      </c>
      <c r="B3243" s="2" t="s">
        <v>15309</v>
      </c>
      <c r="C3243" s="2" t="s">
        <v>15310</v>
      </c>
      <c r="D3243" s="2" t="str">
        <f>"480-242-9003"</f>
        <v>480-242-9003</v>
      </c>
      <c r="E3243" s="2" t="s">
        <v>1164</v>
      </c>
      <c r="F3243" s="2" t="s">
        <v>10257</v>
      </c>
      <c r="G3243" s="2" t="str">
        <f>"SR-3656"</f>
        <v>SR-3656</v>
      </c>
      <c r="H3243" s="2" t="s">
        <v>15311</v>
      </c>
      <c r="I3243" s="2" t="s">
        <v>15312</v>
      </c>
      <c r="K3243" s="2" t="s">
        <v>9390</v>
      </c>
      <c r="L3243" s="2" t="s">
        <v>222</v>
      </c>
      <c r="M3243" s="2">
        <v>85282.0</v>
      </c>
      <c r="N3243" s="2" t="s">
        <v>21</v>
      </c>
    </row>
    <row r="3244" ht="15.75" customHeight="1">
      <c r="A3244" s="2">
        <v>2014.0</v>
      </c>
      <c r="B3244" s="2" t="s">
        <v>15313</v>
      </c>
      <c r="C3244" s="2" t="s">
        <v>15314</v>
      </c>
      <c r="D3244" s="2" t="str">
        <f>"970-362-4215"</f>
        <v>970-362-4215</v>
      </c>
      <c r="E3244" s="2" t="s">
        <v>15315</v>
      </c>
      <c r="F3244" s="2" t="s">
        <v>15316</v>
      </c>
      <c r="G3244" s="2" t="str">
        <f>"SR-4474"</f>
        <v>SR-4474</v>
      </c>
      <c r="H3244" s="2" t="s">
        <v>15317</v>
      </c>
      <c r="I3244" s="2" t="s">
        <v>15318</v>
      </c>
      <c r="K3244" s="2" t="s">
        <v>12419</v>
      </c>
      <c r="L3244" s="2" t="s">
        <v>157</v>
      </c>
      <c r="M3244" s="2">
        <v>80824.0</v>
      </c>
      <c r="N3244" s="2" t="s">
        <v>21</v>
      </c>
    </row>
    <row r="3245" ht="15.75" customHeight="1">
      <c r="A3245" s="2">
        <v>2014.0</v>
      </c>
      <c r="B3245" s="2" t="s">
        <v>15319</v>
      </c>
      <c r="C3245" s="2" t="s">
        <v>15320</v>
      </c>
      <c r="D3245" s="2" t="str">
        <f>"205-681-6377"</f>
        <v>205-681-6377</v>
      </c>
      <c r="E3245" s="2" t="s">
        <v>167</v>
      </c>
      <c r="F3245" s="2" t="s">
        <v>2667</v>
      </c>
      <c r="G3245" s="2" t="str">
        <f>"SR-4477"</f>
        <v>SR-4477</v>
      </c>
      <c r="H3245" s="2" t="s">
        <v>15321</v>
      </c>
      <c r="I3245" s="2" t="s">
        <v>15322</v>
      </c>
      <c r="K3245" s="2" t="s">
        <v>15323</v>
      </c>
      <c r="L3245" s="2" t="s">
        <v>539</v>
      </c>
      <c r="M3245" s="2">
        <v>35133.0</v>
      </c>
      <c r="N3245" s="2" t="s">
        <v>21</v>
      </c>
    </row>
    <row r="3246" ht="15.75" customHeight="1">
      <c r="A3246" s="2">
        <v>2014.0</v>
      </c>
      <c r="B3246" s="2" t="s">
        <v>15324</v>
      </c>
      <c r="C3246" s="2" t="s">
        <v>15324</v>
      </c>
      <c r="D3246" s="2" t="str">
        <f>"402.934.5562"</f>
        <v>402.934.5562</v>
      </c>
      <c r="E3246" s="2" t="s">
        <v>2412</v>
      </c>
      <c r="F3246" s="2" t="s">
        <v>15325</v>
      </c>
      <c r="G3246" s="2" t="str">
        <f>"SR-3206"</f>
        <v>SR-3206</v>
      </c>
      <c r="H3246" s="2" t="s">
        <v>15326</v>
      </c>
      <c r="I3246" s="2" t="s">
        <v>15327</v>
      </c>
      <c r="K3246" s="2" t="s">
        <v>1470</v>
      </c>
      <c r="L3246" s="2" t="s">
        <v>757</v>
      </c>
      <c r="M3246" s="2">
        <v>68134.0</v>
      </c>
      <c r="N3246" s="2" t="s">
        <v>21</v>
      </c>
    </row>
    <row r="3247" ht="15.75" customHeight="1">
      <c r="A3247" s="2">
        <v>2014.0</v>
      </c>
      <c r="B3247" s="2" t="s">
        <v>15328</v>
      </c>
      <c r="C3247" s="2" t="s">
        <v>15328</v>
      </c>
      <c r="D3247" s="2" t="str">
        <f>"3183079632"</f>
        <v>3183079632</v>
      </c>
      <c r="E3247" s="2" t="s">
        <v>453</v>
      </c>
      <c r="F3247" s="2" t="s">
        <v>15329</v>
      </c>
      <c r="G3247" s="2" t="str">
        <f>"SR-4504"</f>
        <v>SR-4504</v>
      </c>
      <c r="H3247" s="2" t="s">
        <v>15330</v>
      </c>
      <c r="I3247" s="2" t="s">
        <v>15331</v>
      </c>
      <c r="K3247" s="2" t="s">
        <v>15332</v>
      </c>
      <c r="L3247" s="2" t="s">
        <v>715</v>
      </c>
      <c r="M3247" s="2">
        <v>71291.0</v>
      </c>
      <c r="N3247" s="2" t="s">
        <v>21</v>
      </c>
    </row>
    <row r="3248" ht="15.75" customHeight="1">
      <c r="A3248" s="2">
        <v>2014.0</v>
      </c>
      <c r="B3248" s="2" t="s">
        <v>15333</v>
      </c>
      <c r="C3248" s="2" t="s">
        <v>15333</v>
      </c>
      <c r="D3248" s="2" t="str">
        <f>"719 287 6193"</f>
        <v>719 287 6193</v>
      </c>
      <c r="E3248" s="2" t="s">
        <v>908</v>
      </c>
      <c r="F3248" s="2" t="s">
        <v>1648</v>
      </c>
      <c r="G3248" s="2" t="str">
        <f>"SR-4491"</f>
        <v>SR-4491</v>
      </c>
      <c r="H3248" s="2" t="s">
        <v>15334</v>
      </c>
      <c r="I3248" s="2" t="s">
        <v>15335</v>
      </c>
      <c r="K3248" s="2" t="s">
        <v>809</v>
      </c>
      <c r="L3248" s="2" t="s">
        <v>157</v>
      </c>
      <c r="M3248" s="2">
        <v>80904.0</v>
      </c>
      <c r="N3248" s="2" t="s">
        <v>21</v>
      </c>
    </row>
    <row r="3249" ht="15.75" customHeight="1">
      <c r="A3249" s="2">
        <v>2014.0</v>
      </c>
      <c r="B3249" s="2" t="s">
        <v>15336</v>
      </c>
      <c r="C3249" s="2" t="s">
        <v>15337</v>
      </c>
      <c r="D3249" s="2" t="str">
        <f>"214 5586837"</f>
        <v>214 5586837</v>
      </c>
      <c r="E3249" s="2" t="s">
        <v>1001</v>
      </c>
      <c r="F3249" s="2" t="s">
        <v>6612</v>
      </c>
      <c r="G3249" s="2" t="str">
        <f>"SR-4493"</f>
        <v>SR-4493</v>
      </c>
      <c r="H3249" s="2" t="s">
        <v>15338</v>
      </c>
      <c r="I3249" s="2">
        <v>7908.0</v>
      </c>
      <c r="J3249" s="2" t="s">
        <v>15339</v>
      </c>
      <c r="K3249" s="2" t="s">
        <v>1255</v>
      </c>
      <c r="L3249" s="2" t="s">
        <v>172</v>
      </c>
      <c r="M3249" s="2">
        <v>75225.0</v>
      </c>
      <c r="N3249" s="2" t="s">
        <v>21</v>
      </c>
    </row>
    <row r="3250" ht="15.75" customHeight="1">
      <c r="A3250" s="2">
        <v>2014.0</v>
      </c>
      <c r="B3250" s="2" t="s">
        <v>15340</v>
      </c>
      <c r="C3250" s="2" t="s">
        <v>15340</v>
      </c>
      <c r="D3250" s="2" t="str">
        <f>"7147180247"</f>
        <v>7147180247</v>
      </c>
      <c r="E3250" s="2" t="s">
        <v>1529</v>
      </c>
      <c r="F3250" s="2" t="s">
        <v>15341</v>
      </c>
      <c r="G3250" s="2" t="str">
        <f>"SR-4264"</f>
        <v>SR-4264</v>
      </c>
      <c r="H3250" s="2" t="s">
        <v>15342</v>
      </c>
      <c r="I3250" s="2" t="s">
        <v>15343</v>
      </c>
      <c r="K3250" s="2" t="s">
        <v>15344</v>
      </c>
      <c r="L3250" s="2" t="s">
        <v>222</v>
      </c>
      <c r="M3250" s="2">
        <v>92627.0</v>
      </c>
      <c r="N3250" s="2" t="s">
        <v>21</v>
      </c>
    </row>
    <row r="3251" ht="15.75" customHeight="1">
      <c r="A3251" s="2">
        <v>2014.0</v>
      </c>
      <c r="B3251" s="2" t="s">
        <v>15345</v>
      </c>
      <c r="C3251" s="2" t="s">
        <v>15346</v>
      </c>
      <c r="D3251" s="2" t="str">
        <f>"7142692621"</f>
        <v>7142692621</v>
      </c>
      <c r="E3251" s="2" t="s">
        <v>15347</v>
      </c>
      <c r="F3251" s="2" t="s">
        <v>15348</v>
      </c>
      <c r="G3251" s="2" t="str">
        <f>"SR-4314"</f>
        <v>SR-4314</v>
      </c>
      <c r="H3251" s="2" t="s">
        <v>15349</v>
      </c>
      <c r="I3251" s="2" t="s">
        <v>15350</v>
      </c>
      <c r="K3251" s="2" t="s">
        <v>15351</v>
      </c>
      <c r="L3251" s="2" t="s">
        <v>222</v>
      </c>
      <c r="M3251" s="2">
        <v>92844.0</v>
      </c>
      <c r="N3251" s="2" t="s">
        <v>21</v>
      </c>
    </row>
    <row r="3252" ht="15.75" customHeight="1">
      <c r="A3252" s="2">
        <v>2014.0</v>
      </c>
      <c r="B3252" s="2" t="s">
        <v>15352</v>
      </c>
      <c r="C3252" s="2" t="s">
        <v>15353</v>
      </c>
      <c r="D3252" s="2" t="str">
        <f>"714-552-7974"</f>
        <v>714-552-7974</v>
      </c>
      <c r="E3252" s="2" t="s">
        <v>15354</v>
      </c>
      <c r="F3252" s="2" t="s">
        <v>15355</v>
      </c>
      <c r="G3252" s="2" t="str">
        <f>"SR-4260"</f>
        <v>SR-4260</v>
      </c>
      <c r="H3252" s="2" t="s">
        <v>15356</v>
      </c>
      <c r="I3252" s="2" t="s">
        <v>15357</v>
      </c>
      <c r="K3252" s="2" t="s">
        <v>15358</v>
      </c>
      <c r="L3252" s="2" t="s">
        <v>222</v>
      </c>
      <c r="M3252" s="2">
        <v>92646.0</v>
      </c>
      <c r="N3252" s="2" t="s">
        <v>21</v>
      </c>
    </row>
    <row r="3253" ht="15.75" customHeight="1">
      <c r="A3253" s="2">
        <v>2014.0</v>
      </c>
      <c r="B3253" s="2" t="s">
        <v>15359</v>
      </c>
      <c r="C3253" s="2" t="s">
        <v>15359</v>
      </c>
      <c r="D3253" s="2" t="str">
        <f>"7142034469"</f>
        <v>7142034469</v>
      </c>
      <c r="E3253" s="2" t="s">
        <v>15360</v>
      </c>
      <c r="F3253" s="2" t="s">
        <v>15341</v>
      </c>
      <c r="G3253" s="2" t="str">
        <f>"SR-4440"</f>
        <v>SR-4440</v>
      </c>
      <c r="H3253" s="2" t="s">
        <v>15361</v>
      </c>
      <c r="I3253" s="2" t="s">
        <v>15343</v>
      </c>
      <c r="K3253" s="2" t="s">
        <v>15344</v>
      </c>
      <c r="L3253" s="2" t="s">
        <v>222</v>
      </c>
      <c r="M3253" s="2">
        <v>92627.0</v>
      </c>
      <c r="N3253" s="2" t="s">
        <v>21</v>
      </c>
    </row>
    <row r="3254" ht="15.75" customHeight="1">
      <c r="A3254" s="2">
        <v>2014.0</v>
      </c>
      <c r="B3254" s="2" t="s">
        <v>15362</v>
      </c>
      <c r="C3254" s="2" t="s">
        <v>15362</v>
      </c>
      <c r="D3254" s="2" t="str">
        <f>"(405) 778-0364"</f>
        <v>(405) 778-0364</v>
      </c>
      <c r="E3254" s="2" t="s">
        <v>4111</v>
      </c>
      <c r="F3254" s="2" t="s">
        <v>15363</v>
      </c>
      <c r="G3254" s="2" t="str">
        <f>"SR-4506"</f>
        <v>SR-4506</v>
      </c>
      <c r="H3254" s="2" t="s">
        <v>15364</v>
      </c>
      <c r="I3254" s="2" t="s">
        <v>15365</v>
      </c>
      <c r="K3254" s="2" t="s">
        <v>6622</v>
      </c>
      <c r="L3254" s="2" t="s">
        <v>840</v>
      </c>
      <c r="M3254" s="2">
        <v>73165.0</v>
      </c>
      <c r="N3254" s="2" t="s">
        <v>21</v>
      </c>
    </row>
    <row r="3255" ht="15.75" customHeight="1">
      <c r="A3255" s="2">
        <v>2014.0</v>
      </c>
      <c r="B3255" s="2" t="s">
        <v>15366</v>
      </c>
      <c r="C3255" s="2" t="s">
        <v>15367</v>
      </c>
      <c r="D3255" s="2" t="str">
        <f>"774-573-4658"</f>
        <v>774-573-4658</v>
      </c>
      <c r="E3255" s="2" t="s">
        <v>1450</v>
      </c>
      <c r="F3255" s="2" t="s">
        <v>15368</v>
      </c>
      <c r="G3255" s="2" t="str">
        <f>"SR-4154"</f>
        <v>SR-4154</v>
      </c>
      <c r="H3255" s="2" t="s">
        <v>15369</v>
      </c>
      <c r="I3255" s="2" t="s">
        <v>15370</v>
      </c>
      <c r="K3255" s="2" t="s">
        <v>15371</v>
      </c>
      <c r="L3255" s="2" t="s">
        <v>4108</v>
      </c>
      <c r="M3255" s="2">
        <v>1747.0</v>
      </c>
      <c r="N3255" s="2" t="s">
        <v>21</v>
      </c>
    </row>
    <row r="3256" ht="15.75" customHeight="1">
      <c r="A3256" s="2">
        <v>2014.0</v>
      </c>
      <c r="B3256" s="2" t="s">
        <v>15372</v>
      </c>
      <c r="C3256" s="2" t="s">
        <v>15373</v>
      </c>
      <c r="D3256" s="2" t="str">
        <f>"419 875-5603"</f>
        <v>419 875-5603</v>
      </c>
      <c r="E3256" s="2" t="s">
        <v>167</v>
      </c>
      <c r="F3256" s="2" t="s">
        <v>15374</v>
      </c>
      <c r="G3256" s="2" t="str">
        <f>"SR-4500"</f>
        <v>SR-4500</v>
      </c>
      <c r="H3256" s="2" t="s">
        <v>15375</v>
      </c>
      <c r="I3256" s="2" t="s">
        <v>15376</v>
      </c>
      <c r="K3256" s="2" t="s">
        <v>5275</v>
      </c>
      <c r="L3256" s="2" t="s">
        <v>344</v>
      </c>
      <c r="M3256" s="2">
        <v>43558.0</v>
      </c>
      <c r="N3256" s="2" t="s">
        <v>21</v>
      </c>
    </row>
    <row r="3257" ht="15.75" customHeight="1">
      <c r="A3257" s="2">
        <v>2014.0</v>
      </c>
      <c r="B3257" s="2" t="s">
        <v>15377</v>
      </c>
      <c r="C3257" s="2" t="s">
        <v>15378</v>
      </c>
      <c r="D3257" s="2" t="str">
        <f>"626-676-3564"</f>
        <v>626-676-3564</v>
      </c>
      <c r="E3257" s="2" t="s">
        <v>15379</v>
      </c>
      <c r="F3257" s="2" t="s">
        <v>15380</v>
      </c>
      <c r="G3257" s="2" t="str">
        <f>"SR-4375"</f>
        <v>SR-4375</v>
      </c>
      <c r="H3257" s="2" t="s">
        <v>15381</v>
      </c>
      <c r="I3257" s="2" t="s">
        <v>15382</v>
      </c>
      <c r="K3257" s="2" t="s">
        <v>4435</v>
      </c>
      <c r="L3257" s="2" t="s">
        <v>222</v>
      </c>
      <c r="M3257" s="2">
        <v>91001.0</v>
      </c>
      <c r="N3257" s="2" t="s">
        <v>21</v>
      </c>
    </row>
    <row r="3258" ht="15.75" customHeight="1">
      <c r="A3258" s="2">
        <v>2014.0</v>
      </c>
      <c r="B3258" s="2" t="s">
        <v>15383</v>
      </c>
      <c r="C3258" s="2" t="s">
        <v>15384</v>
      </c>
      <c r="D3258" s="2" t="str">
        <f>"307-742-3455"</f>
        <v>307-742-3455</v>
      </c>
      <c r="E3258" s="2" t="s">
        <v>15385</v>
      </c>
      <c r="F3258" s="2" t="s">
        <v>15386</v>
      </c>
      <c r="G3258" s="2" t="str">
        <f>"SR-4515"</f>
        <v>SR-4515</v>
      </c>
      <c r="H3258" s="2" t="s">
        <v>15387</v>
      </c>
      <c r="I3258" s="2" t="s">
        <v>15388</v>
      </c>
      <c r="K3258" s="2" t="s">
        <v>14036</v>
      </c>
      <c r="L3258" s="2" t="s">
        <v>1540</v>
      </c>
      <c r="M3258" s="2">
        <v>82070.0</v>
      </c>
      <c r="N3258" s="2" t="s">
        <v>21</v>
      </c>
    </row>
    <row r="3259" ht="15.75" customHeight="1">
      <c r="A3259" s="2">
        <v>2014.0</v>
      </c>
      <c r="B3259" s="2" t="s">
        <v>15389</v>
      </c>
      <c r="C3259" s="2" t="s">
        <v>15390</v>
      </c>
      <c r="D3259" s="2" t="str">
        <f>"(707) 4281432"</f>
        <v>(707) 4281432</v>
      </c>
      <c r="E3259" s="2" t="s">
        <v>955</v>
      </c>
      <c r="F3259" s="2" t="s">
        <v>14745</v>
      </c>
      <c r="G3259" s="2" t="str">
        <f>"SR-4518"</f>
        <v>SR-4518</v>
      </c>
      <c r="H3259" s="2" t="s">
        <v>15391</v>
      </c>
      <c r="I3259" s="2" t="s">
        <v>15392</v>
      </c>
      <c r="K3259" s="2" t="s">
        <v>3823</v>
      </c>
      <c r="L3259" s="2" t="s">
        <v>222</v>
      </c>
      <c r="M3259" s="2">
        <v>94534.0</v>
      </c>
      <c r="N3259" s="2" t="s">
        <v>21</v>
      </c>
    </row>
    <row r="3260" ht="15.75" customHeight="1">
      <c r="A3260" s="2">
        <v>2014.0</v>
      </c>
      <c r="B3260" s="2" t="s">
        <v>15393</v>
      </c>
      <c r="C3260" s="2" t="s">
        <v>15394</v>
      </c>
      <c r="D3260" s="2" t="str">
        <f>"336-447-8618"</f>
        <v>336-447-8618</v>
      </c>
      <c r="E3260" s="2" t="s">
        <v>15395</v>
      </c>
      <c r="F3260" s="2" t="s">
        <v>15396</v>
      </c>
      <c r="G3260" s="2" t="str">
        <f>"SR-4516"</f>
        <v>SR-4516</v>
      </c>
      <c r="H3260" s="2" t="s">
        <v>15397</v>
      </c>
      <c r="I3260" s="2" t="s">
        <v>15398</v>
      </c>
      <c r="K3260" s="2" t="s">
        <v>15399</v>
      </c>
      <c r="L3260" s="2" t="s">
        <v>20</v>
      </c>
      <c r="M3260" s="2">
        <v>27249.0</v>
      </c>
      <c r="N3260" s="2" t="s">
        <v>21</v>
      </c>
    </row>
    <row r="3261" ht="15.75" customHeight="1">
      <c r="A3261" s="2">
        <v>2014.0</v>
      </c>
      <c r="B3261" s="2" t="s">
        <v>15400</v>
      </c>
      <c r="C3261" s="2" t="s">
        <v>15401</v>
      </c>
      <c r="D3261" s="2" t="str">
        <f>"813-454-8421"</f>
        <v>813-454-8421</v>
      </c>
      <c r="E3261" s="2" t="s">
        <v>1946</v>
      </c>
      <c r="F3261" s="2" t="s">
        <v>15402</v>
      </c>
      <c r="G3261" s="2" t="str">
        <f>"SR-4466"</f>
        <v>SR-4466</v>
      </c>
      <c r="H3261" s="2" t="s">
        <v>15403</v>
      </c>
      <c r="I3261" s="2" t="s">
        <v>15404</v>
      </c>
      <c r="K3261" s="2" t="s">
        <v>5683</v>
      </c>
      <c r="L3261" s="2" t="s">
        <v>208</v>
      </c>
      <c r="M3261" s="2">
        <v>33596.0</v>
      </c>
      <c r="N3261" s="2" t="s">
        <v>21</v>
      </c>
    </row>
    <row r="3262" ht="15.75" customHeight="1">
      <c r="A3262" s="2">
        <v>2014.0</v>
      </c>
      <c r="B3262" s="2" t="s">
        <v>15405</v>
      </c>
      <c r="C3262" s="2" t="s">
        <v>15405</v>
      </c>
      <c r="D3262" s="2" t="str">
        <f>"5735646147"</f>
        <v>5735646147</v>
      </c>
      <c r="E3262" s="2" t="s">
        <v>718</v>
      </c>
      <c r="F3262" s="2" t="s">
        <v>15406</v>
      </c>
      <c r="G3262" s="2" t="str">
        <f>"SR-4514"</f>
        <v>SR-4514</v>
      </c>
      <c r="H3262" s="2" t="s">
        <v>15407</v>
      </c>
      <c r="I3262" s="2" t="s">
        <v>15408</v>
      </c>
      <c r="K3262" s="2" t="s">
        <v>15409</v>
      </c>
      <c r="L3262" s="2" t="s">
        <v>214</v>
      </c>
      <c r="M3262" s="2">
        <v>63361.0</v>
      </c>
      <c r="N3262" s="2" t="s">
        <v>21</v>
      </c>
    </row>
    <row r="3263" ht="15.75" customHeight="1">
      <c r="A3263" s="2">
        <v>2014.0</v>
      </c>
      <c r="B3263" s="2" t="s">
        <v>15410</v>
      </c>
      <c r="C3263" s="2" t="s">
        <v>15410</v>
      </c>
      <c r="D3263" s="2" t="str">
        <f>"318-381-7431"</f>
        <v>318-381-7431</v>
      </c>
      <c r="E3263" s="2" t="s">
        <v>15411</v>
      </c>
      <c r="F3263" s="2" t="s">
        <v>1151</v>
      </c>
      <c r="G3263" s="2" t="str">
        <f>"SR-4522"</f>
        <v>SR-4522</v>
      </c>
      <c r="H3263" s="2" t="s">
        <v>15412</v>
      </c>
      <c r="I3263" s="2" t="s">
        <v>15413</v>
      </c>
      <c r="K3263" s="2" t="s">
        <v>15332</v>
      </c>
      <c r="L3263" s="2" t="s">
        <v>715</v>
      </c>
      <c r="M3263" s="2">
        <v>71292.0</v>
      </c>
      <c r="N3263" s="2" t="s">
        <v>21</v>
      </c>
    </row>
    <row r="3264" ht="15.75" customHeight="1">
      <c r="A3264" s="2">
        <v>2014.0</v>
      </c>
      <c r="B3264" s="2" t="s">
        <v>15414</v>
      </c>
      <c r="C3264" s="2" t="s">
        <v>15414</v>
      </c>
      <c r="D3264" s="2" t="str">
        <f>"318-267-7007"</f>
        <v>318-267-7007</v>
      </c>
      <c r="E3264" s="2" t="s">
        <v>15415</v>
      </c>
      <c r="F3264" s="2" t="s">
        <v>15416</v>
      </c>
      <c r="G3264" s="2" t="str">
        <f>"SR-4523"</f>
        <v>SR-4523</v>
      </c>
      <c r="H3264" s="2" t="s">
        <v>15417</v>
      </c>
      <c r="I3264" s="2" t="s">
        <v>15418</v>
      </c>
      <c r="K3264" s="2" t="s">
        <v>4519</v>
      </c>
      <c r="L3264" s="2" t="s">
        <v>715</v>
      </c>
      <c r="M3264" s="2">
        <v>71203.0</v>
      </c>
      <c r="N3264" s="2" t="s">
        <v>21</v>
      </c>
    </row>
    <row r="3265" ht="15.75" customHeight="1">
      <c r="A3265" s="2">
        <v>2014.0</v>
      </c>
      <c r="B3265" s="2" t="s">
        <v>15419</v>
      </c>
      <c r="C3265" s="2" t="s">
        <v>15419</v>
      </c>
      <c r="D3265" s="2" t="str">
        <f>"318-372-1403"</f>
        <v>318-372-1403</v>
      </c>
      <c r="E3265" s="2" t="s">
        <v>1190</v>
      </c>
      <c r="F3265" s="2" t="s">
        <v>9802</v>
      </c>
      <c r="G3265" s="2" t="str">
        <f>"SR-4525"</f>
        <v>SR-4525</v>
      </c>
      <c r="H3265" s="2" t="s">
        <v>15420</v>
      </c>
      <c r="I3265" s="2" t="s">
        <v>15421</v>
      </c>
      <c r="K3265" s="2" t="s">
        <v>15332</v>
      </c>
      <c r="L3265" s="2" t="s">
        <v>715</v>
      </c>
      <c r="M3265" s="2">
        <v>71291.0</v>
      </c>
      <c r="N3265" s="2" t="s">
        <v>21</v>
      </c>
    </row>
    <row r="3266" ht="15.75" customHeight="1">
      <c r="A3266" s="2">
        <v>2014.0</v>
      </c>
      <c r="B3266" s="2" t="s">
        <v>13573</v>
      </c>
      <c r="C3266" s="2" t="s">
        <v>15422</v>
      </c>
      <c r="D3266" s="2" t="str">
        <f>"805 526-2172"</f>
        <v>805 526-2172</v>
      </c>
      <c r="E3266" s="2" t="s">
        <v>1141</v>
      </c>
      <c r="F3266" s="2" t="s">
        <v>13575</v>
      </c>
      <c r="G3266" s="2" t="str">
        <f>"SR-3907"</f>
        <v>SR-3907</v>
      </c>
      <c r="H3266" s="2" t="s">
        <v>15423</v>
      </c>
      <c r="I3266" s="2" t="s">
        <v>13659</v>
      </c>
      <c r="K3266" s="2" t="s">
        <v>1194</v>
      </c>
      <c r="L3266" s="2" t="s">
        <v>222</v>
      </c>
      <c r="M3266" s="2">
        <v>93065.0</v>
      </c>
      <c r="N3266" s="2" t="s">
        <v>21</v>
      </c>
    </row>
    <row r="3267" ht="15.75" customHeight="1">
      <c r="A3267" s="2">
        <v>2014.0</v>
      </c>
      <c r="B3267" s="2" t="s">
        <v>15424</v>
      </c>
      <c r="C3267" s="2" t="s">
        <v>15424</v>
      </c>
      <c r="D3267" s="2" t="str">
        <f>"701-661-2010"</f>
        <v>701-661-2010</v>
      </c>
      <c r="E3267" s="2" t="s">
        <v>181</v>
      </c>
      <c r="F3267" s="2" t="s">
        <v>15425</v>
      </c>
      <c r="G3267" s="2" t="str">
        <f>"SR-4529"</f>
        <v>SR-4529</v>
      </c>
      <c r="H3267" s="2" t="s">
        <v>15426</v>
      </c>
      <c r="I3267" s="2" t="s">
        <v>15427</v>
      </c>
      <c r="K3267" s="2" t="s">
        <v>15428</v>
      </c>
      <c r="L3267" s="2" t="s">
        <v>2534</v>
      </c>
      <c r="M3267" s="2">
        <v>58540.0</v>
      </c>
      <c r="N3267" s="2" t="s">
        <v>21</v>
      </c>
    </row>
    <row r="3268" ht="15.75" customHeight="1">
      <c r="A3268" s="2">
        <v>2014.0</v>
      </c>
      <c r="B3268" s="2" t="s">
        <v>15429</v>
      </c>
      <c r="C3268" s="2" t="s">
        <v>15430</v>
      </c>
      <c r="D3268" s="2" t="str">
        <f>"863 648 1801"</f>
        <v>863 648 1801</v>
      </c>
      <c r="E3268" s="2" t="s">
        <v>282</v>
      </c>
      <c r="F3268" s="2" t="s">
        <v>15431</v>
      </c>
      <c r="G3268" s="2" t="str">
        <f>"SR-4531"</f>
        <v>SR-4531</v>
      </c>
      <c r="H3268" s="2" t="s">
        <v>15432</v>
      </c>
      <c r="I3268" s="2" t="s">
        <v>15433</v>
      </c>
      <c r="K3268" s="2" t="s">
        <v>1570</v>
      </c>
      <c r="L3268" s="2" t="s">
        <v>208</v>
      </c>
      <c r="M3268" s="2">
        <v>33813.0</v>
      </c>
      <c r="N3268" s="2" t="s">
        <v>21</v>
      </c>
    </row>
    <row r="3269" ht="15.75" customHeight="1">
      <c r="A3269" s="2">
        <v>2014.0</v>
      </c>
      <c r="B3269" s="2" t="s">
        <v>15434</v>
      </c>
      <c r="C3269" s="2" t="s">
        <v>15435</v>
      </c>
      <c r="D3269" s="2" t="str">
        <f>"208-570-3878"</f>
        <v>208-570-3878</v>
      </c>
      <c r="E3269" s="2" t="s">
        <v>137</v>
      </c>
      <c r="F3269" s="2" t="s">
        <v>1325</v>
      </c>
      <c r="G3269" s="2" t="str">
        <f>"SR-4166"</f>
        <v>SR-4166</v>
      </c>
      <c r="H3269" s="2" t="s">
        <v>15436</v>
      </c>
      <c r="I3269" s="2" t="s">
        <v>15437</v>
      </c>
      <c r="K3269" s="2" t="s">
        <v>10823</v>
      </c>
      <c r="L3269" s="2" t="s">
        <v>2613</v>
      </c>
      <c r="M3269" s="2">
        <v>83704.0</v>
      </c>
      <c r="N3269" s="2" t="s">
        <v>21</v>
      </c>
    </row>
    <row r="3270" ht="15.75" customHeight="1">
      <c r="A3270" s="2">
        <v>2014.0</v>
      </c>
      <c r="B3270" s="2" t="s">
        <v>15245</v>
      </c>
      <c r="C3270" s="2" t="s">
        <v>15438</v>
      </c>
      <c r="D3270" s="2" t="str">
        <f>"8184252917"</f>
        <v>8184252917</v>
      </c>
      <c r="E3270" s="2" t="s">
        <v>6244</v>
      </c>
      <c r="F3270" s="2" t="s">
        <v>15439</v>
      </c>
      <c r="G3270" s="2" t="str">
        <f>"SR-4532"</f>
        <v>SR-4532</v>
      </c>
      <c r="H3270" s="2" t="s">
        <v>15440</v>
      </c>
      <c r="I3270" s="2" t="s">
        <v>15441</v>
      </c>
      <c r="K3270" s="2" t="s">
        <v>15077</v>
      </c>
      <c r="L3270" s="2" t="s">
        <v>222</v>
      </c>
      <c r="M3270" s="2">
        <v>91362.0</v>
      </c>
      <c r="N3270" s="2" t="s">
        <v>21</v>
      </c>
    </row>
    <row r="3271" ht="15.75" customHeight="1">
      <c r="A3271" s="2">
        <v>2014.0</v>
      </c>
      <c r="B3271" s="2" t="s">
        <v>15442</v>
      </c>
      <c r="C3271" s="2" t="s">
        <v>15443</v>
      </c>
      <c r="D3271" s="2" t="str">
        <f>"(510) 508-6802"</f>
        <v>(510) 508-6802</v>
      </c>
      <c r="E3271" s="2" t="s">
        <v>14100</v>
      </c>
      <c r="F3271" s="2" t="s">
        <v>15444</v>
      </c>
      <c r="G3271" s="2" t="str">
        <f>"SR-4533"</f>
        <v>SR-4533</v>
      </c>
      <c r="H3271" s="2" t="s">
        <v>15445</v>
      </c>
      <c r="I3271" s="2" t="s">
        <v>15446</v>
      </c>
      <c r="K3271" s="2" t="s">
        <v>6649</v>
      </c>
      <c r="L3271" s="2" t="s">
        <v>222</v>
      </c>
      <c r="M3271" s="2">
        <v>94538.0</v>
      </c>
      <c r="N3271" s="2" t="s">
        <v>21</v>
      </c>
    </row>
    <row r="3272" ht="15.75" customHeight="1">
      <c r="A3272" s="2">
        <v>2014.0</v>
      </c>
      <c r="B3272" s="2" t="s">
        <v>15447</v>
      </c>
      <c r="C3272" s="2" t="s">
        <v>15448</v>
      </c>
      <c r="D3272" s="2" t="str">
        <f>"605-388-8539"</f>
        <v>605-388-8539</v>
      </c>
      <c r="E3272" s="2" t="s">
        <v>72</v>
      </c>
      <c r="F3272" s="2" t="s">
        <v>15449</v>
      </c>
      <c r="G3272" s="2" t="str">
        <f>"SR-4213"</f>
        <v>SR-4213</v>
      </c>
      <c r="H3272" s="2" t="s">
        <v>15450</v>
      </c>
      <c r="I3272" s="2" t="s">
        <v>15451</v>
      </c>
      <c r="K3272" s="2" t="s">
        <v>11510</v>
      </c>
      <c r="L3272" s="2" t="s">
        <v>920</v>
      </c>
      <c r="M3272" s="2">
        <v>57702.0</v>
      </c>
      <c r="N3272" s="2" t="s">
        <v>21</v>
      </c>
    </row>
    <row r="3273" ht="15.75" customHeight="1">
      <c r="A3273" s="2">
        <v>2014.0</v>
      </c>
      <c r="B3273" s="2" t="s">
        <v>15452</v>
      </c>
      <c r="C3273" s="2" t="s">
        <v>15453</v>
      </c>
      <c r="D3273" s="2" t="str">
        <f>"316-882-2421"</f>
        <v>316-882-2421</v>
      </c>
      <c r="E3273" s="2" t="s">
        <v>3305</v>
      </c>
      <c r="F3273" s="2" t="s">
        <v>2738</v>
      </c>
      <c r="G3273" s="2" t="str">
        <f>"SR-4458"</f>
        <v>SR-4458</v>
      </c>
      <c r="H3273" s="2" t="s">
        <v>15454</v>
      </c>
      <c r="I3273" s="2" t="s">
        <v>15455</v>
      </c>
      <c r="K3273" s="2" t="s">
        <v>606</v>
      </c>
      <c r="L3273" s="2" t="s">
        <v>272</v>
      </c>
      <c r="M3273" s="2">
        <v>67203.0</v>
      </c>
      <c r="N3273" s="2" t="s">
        <v>21</v>
      </c>
    </row>
    <row r="3274" ht="15.75" customHeight="1">
      <c r="A3274" s="2">
        <v>2014.0</v>
      </c>
      <c r="B3274" s="2" t="s">
        <v>15456</v>
      </c>
      <c r="C3274" s="2" t="s">
        <v>15456</v>
      </c>
      <c r="D3274" s="2" t="str">
        <f>"813-690-1252"</f>
        <v>813-690-1252</v>
      </c>
      <c r="E3274" s="2" t="s">
        <v>15457</v>
      </c>
      <c r="F3274" s="2" t="s">
        <v>15458</v>
      </c>
      <c r="G3274" s="2" t="str">
        <f>"SR-4101"</f>
        <v>SR-4101</v>
      </c>
      <c r="H3274" s="2" t="s">
        <v>15459</v>
      </c>
      <c r="I3274" s="2" t="s">
        <v>15460</v>
      </c>
      <c r="K3274" s="2" t="s">
        <v>15461</v>
      </c>
      <c r="L3274" s="2" t="s">
        <v>208</v>
      </c>
      <c r="M3274" s="2">
        <v>33548.0</v>
      </c>
      <c r="N3274" s="2" t="s">
        <v>21</v>
      </c>
    </row>
    <row r="3275" ht="15.75" customHeight="1">
      <c r="A3275" s="2">
        <v>2014.0</v>
      </c>
      <c r="B3275" s="2" t="s">
        <v>13529</v>
      </c>
      <c r="C3275" s="2" t="s">
        <v>15462</v>
      </c>
      <c r="D3275" s="2" t="str">
        <f>"573-442-1004"</f>
        <v>573-442-1004</v>
      </c>
      <c r="E3275" s="2" t="s">
        <v>2173</v>
      </c>
      <c r="F3275" s="2" t="s">
        <v>13531</v>
      </c>
      <c r="G3275" s="2" t="str">
        <f>"SR-3711"</f>
        <v>SR-3711</v>
      </c>
      <c r="H3275" s="2" t="s">
        <v>15463</v>
      </c>
      <c r="I3275" s="2" t="s">
        <v>13533</v>
      </c>
      <c r="K3275" s="2" t="s">
        <v>2750</v>
      </c>
      <c r="L3275" s="2" t="s">
        <v>214</v>
      </c>
      <c r="M3275" s="2">
        <v>65203.0</v>
      </c>
      <c r="N3275" s="2" t="s">
        <v>21</v>
      </c>
    </row>
    <row r="3276" ht="15.75" customHeight="1">
      <c r="A3276" s="2">
        <v>2014.0</v>
      </c>
      <c r="B3276" s="2" t="s">
        <v>15464</v>
      </c>
      <c r="C3276" s="2" t="s">
        <v>15465</v>
      </c>
      <c r="D3276" s="2" t="str">
        <f>"404-375-3379"</f>
        <v>404-375-3379</v>
      </c>
      <c r="E3276" s="2" t="s">
        <v>3750</v>
      </c>
      <c r="F3276" s="2" t="s">
        <v>2648</v>
      </c>
      <c r="G3276" s="2" t="str">
        <f>"SR-4527"</f>
        <v>SR-4527</v>
      </c>
      <c r="H3276" s="2" t="s">
        <v>15466</v>
      </c>
      <c r="I3276" s="2" t="s">
        <v>15467</v>
      </c>
      <c r="K3276" s="2" t="s">
        <v>7012</v>
      </c>
      <c r="L3276" s="2" t="s">
        <v>200</v>
      </c>
      <c r="M3276" s="2">
        <v>30022.0</v>
      </c>
      <c r="N3276" s="2" t="s">
        <v>21</v>
      </c>
    </row>
    <row r="3277" ht="15.75" customHeight="1">
      <c r="A3277" s="2">
        <v>2014.0</v>
      </c>
      <c r="B3277" s="2" t="s">
        <v>15468</v>
      </c>
      <c r="C3277" s="2" t="s">
        <v>15469</v>
      </c>
      <c r="D3277" s="2" t="str">
        <f>"208-699-9976"</f>
        <v>208-699-9976</v>
      </c>
      <c r="E3277" s="2" t="s">
        <v>778</v>
      </c>
      <c r="F3277" s="2" t="s">
        <v>15470</v>
      </c>
      <c r="G3277" s="2" t="str">
        <f>"SR-4539"</f>
        <v>SR-4539</v>
      </c>
      <c r="H3277" s="2" t="s">
        <v>15471</v>
      </c>
      <c r="I3277" s="2" t="s">
        <v>15472</v>
      </c>
      <c r="K3277" s="2" t="s">
        <v>15473</v>
      </c>
      <c r="L3277" s="2" t="s">
        <v>2613</v>
      </c>
      <c r="M3277" s="2">
        <v>83854.0</v>
      </c>
      <c r="N3277" s="2" t="s">
        <v>21</v>
      </c>
    </row>
    <row r="3278" ht="15.75" customHeight="1">
      <c r="A3278" s="2">
        <v>2014.0</v>
      </c>
      <c r="B3278" s="2" t="s">
        <v>15474</v>
      </c>
      <c r="C3278" s="2" t="s">
        <v>15475</v>
      </c>
      <c r="D3278" s="2" t="str">
        <f>"763-717-1243"</f>
        <v>763-717-1243</v>
      </c>
      <c r="E3278" s="2" t="s">
        <v>2250</v>
      </c>
      <c r="F3278" s="2" t="s">
        <v>15476</v>
      </c>
      <c r="G3278" s="2" t="str">
        <f>"SR-4384"</f>
        <v>SR-4384</v>
      </c>
      <c r="H3278" s="2" t="s">
        <v>15477</v>
      </c>
      <c r="I3278" s="2" t="s">
        <v>15478</v>
      </c>
      <c r="K3278" s="2" t="s">
        <v>7574</v>
      </c>
      <c r="L3278" s="2" t="s">
        <v>62</v>
      </c>
      <c r="M3278" s="2">
        <v>55449.0</v>
      </c>
      <c r="N3278" s="2" t="s">
        <v>21</v>
      </c>
    </row>
    <row r="3279" ht="15.75" customHeight="1">
      <c r="A3279" s="2">
        <v>2014.0</v>
      </c>
      <c r="B3279" s="2" t="s">
        <v>6812</v>
      </c>
      <c r="C3279" s="2" t="s">
        <v>6812</v>
      </c>
      <c r="D3279" s="2" t="str">
        <f>"9125377237"</f>
        <v>9125377237</v>
      </c>
      <c r="E3279" s="2" t="s">
        <v>160</v>
      </c>
      <c r="F3279" s="2" t="s">
        <v>15479</v>
      </c>
      <c r="G3279" s="2" t="str">
        <f>"SR-4541"</f>
        <v>SR-4541</v>
      </c>
      <c r="H3279" s="2" t="s">
        <v>15480</v>
      </c>
      <c r="I3279" s="2" t="s">
        <v>6815</v>
      </c>
      <c r="J3279" s="2" t="s">
        <v>6816</v>
      </c>
      <c r="K3279" s="2" t="s">
        <v>6817</v>
      </c>
      <c r="L3279" s="2" t="s">
        <v>200</v>
      </c>
      <c r="M3279" s="2">
        <v>30475.0</v>
      </c>
      <c r="N3279" s="2" t="s">
        <v>21</v>
      </c>
    </row>
    <row r="3280" ht="15.75" customHeight="1">
      <c r="A3280" s="2">
        <v>2014.0</v>
      </c>
      <c r="B3280" s="2" t="s">
        <v>15481</v>
      </c>
      <c r="C3280" s="2" t="s">
        <v>15482</v>
      </c>
      <c r="D3280" s="2" t="str">
        <f>"2398609915"</f>
        <v>2398609915</v>
      </c>
      <c r="E3280" s="2" t="s">
        <v>100</v>
      </c>
      <c r="F3280" s="2" t="s">
        <v>15483</v>
      </c>
      <c r="G3280" s="2" t="str">
        <f>"SR-4534"</f>
        <v>SR-4534</v>
      </c>
      <c r="H3280" s="2" t="s">
        <v>15484</v>
      </c>
      <c r="I3280" s="2" t="s">
        <v>15485</v>
      </c>
      <c r="K3280" s="2" t="s">
        <v>5046</v>
      </c>
      <c r="L3280" s="2" t="s">
        <v>208</v>
      </c>
      <c r="M3280" s="2">
        <v>34109.0</v>
      </c>
      <c r="N3280" s="2" t="s">
        <v>21</v>
      </c>
    </row>
    <row r="3281" ht="15.75" customHeight="1">
      <c r="A3281" s="2">
        <v>2014.0</v>
      </c>
      <c r="B3281" s="2" t="s">
        <v>15486</v>
      </c>
      <c r="C3281" s="2" t="s">
        <v>15487</v>
      </c>
      <c r="D3281" s="2" t="str">
        <f>"3076314272"</f>
        <v>3076314272</v>
      </c>
      <c r="E3281" s="2" t="s">
        <v>57</v>
      </c>
      <c r="F3281" s="2" t="s">
        <v>15488</v>
      </c>
      <c r="G3281" s="2" t="str">
        <f>"SR-4501"</f>
        <v>SR-4501</v>
      </c>
      <c r="H3281" s="2" t="s">
        <v>15489</v>
      </c>
      <c r="I3281" s="2" t="s">
        <v>15490</v>
      </c>
      <c r="K3281" s="2" t="s">
        <v>10638</v>
      </c>
      <c r="L3281" s="2" t="s">
        <v>1540</v>
      </c>
      <c r="M3281" s="2">
        <v>82009.0</v>
      </c>
      <c r="N3281" s="2" t="s">
        <v>21</v>
      </c>
    </row>
    <row r="3282" ht="15.75" customHeight="1">
      <c r="A3282" s="2">
        <v>2014.0</v>
      </c>
      <c r="B3282" s="2" t="s">
        <v>15491</v>
      </c>
      <c r="C3282" s="2" t="s">
        <v>15491</v>
      </c>
      <c r="D3282" s="2" t="str">
        <f>"321-693-4325"</f>
        <v>321-693-4325</v>
      </c>
      <c r="E3282" s="2" t="s">
        <v>167</v>
      </c>
      <c r="F3282" s="2" t="s">
        <v>15492</v>
      </c>
      <c r="G3282" s="2" t="str">
        <f>"SR-4524"</f>
        <v>SR-4524</v>
      </c>
      <c r="H3282" s="2" t="s">
        <v>15493</v>
      </c>
      <c r="I3282" s="2" t="s">
        <v>15494</v>
      </c>
      <c r="K3282" s="2" t="s">
        <v>11963</v>
      </c>
      <c r="L3282" s="2" t="s">
        <v>200</v>
      </c>
      <c r="M3282" s="2">
        <v>30114.0</v>
      </c>
      <c r="N3282" s="2" t="s">
        <v>21</v>
      </c>
    </row>
    <row r="3283" ht="15.75" customHeight="1">
      <c r="A3283" s="2">
        <v>2014.0</v>
      </c>
      <c r="B3283" s="2" t="s">
        <v>14316</v>
      </c>
      <c r="C3283" s="2" t="s">
        <v>15495</v>
      </c>
      <c r="D3283" s="2" t="str">
        <f>"(347) 593-4441"</f>
        <v>(347) 593-4441</v>
      </c>
      <c r="E3283" s="2" t="s">
        <v>6897</v>
      </c>
      <c r="F3283" s="2" t="s">
        <v>128</v>
      </c>
      <c r="G3283" s="2" t="str">
        <f>"SR-4488"</f>
        <v>SR-4488</v>
      </c>
      <c r="H3283" s="2" t="s">
        <v>15496</v>
      </c>
      <c r="I3283" s="2" t="s">
        <v>15497</v>
      </c>
      <c r="K3283" s="2" t="s">
        <v>15498</v>
      </c>
      <c r="L3283" s="2" t="s">
        <v>142</v>
      </c>
      <c r="M3283" s="2">
        <v>11220.0</v>
      </c>
      <c r="N3283" s="2" t="s">
        <v>21</v>
      </c>
    </row>
    <row r="3284" ht="15.75" customHeight="1">
      <c r="A3284" s="2">
        <v>2014.0</v>
      </c>
      <c r="B3284" s="2" t="s">
        <v>15499</v>
      </c>
      <c r="C3284" s="2" t="s">
        <v>15500</v>
      </c>
      <c r="D3284" s="2" t="str">
        <f>"225-200-8483"</f>
        <v>225-200-8483</v>
      </c>
      <c r="E3284" s="2" t="s">
        <v>1548</v>
      </c>
      <c r="F3284" s="2" t="s">
        <v>15501</v>
      </c>
      <c r="G3284" s="2" t="str">
        <f>"SR-3800"</f>
        <v>SR-3800</v>
      </c>
      <c r="H3284" s="2" t="s">
        <v>15502</v>
      </c>
      <c r="I3284" s="2" t="s">
        <v>15503</v>
      </c>
      <c r="K3284" s="2" t="s">
        <v>3654</v>
      </c>
      <c r="L3284" s="2" t="s">
        <v>715</v>
      </c>
      <c r="M3284" s="2">
        <v>70808.0</v>
      </c>
      <c r="N3284" s="2" t="s">
        <v>21</v>
      </c>
    </row>
    <row r="3285" ht="15.75" customHeight="1">
      <c r="A3285" s="2">
        <v>2014.0</v>
      </c>
      <c r="B3285" s="2" t="s">
        <v>15504</v>
      </c>
      <c r="C3285" s="2" t="s">
        <v>15505</v>
      </c>
      <c r="D3285" s="2" t="str">
        <f>"562-776-9063"</f>
        <v>562-776-9063</v>
      </c>
      <c r="E3285" s="2" t="s">
        <v>4300</v>
      </c>
      <c r="F3285" s="2" t="s">
        <v>15506</v>
      </c>
      <c r="G3285" s="2" t="str">
        <f>"SR-4548"</f>
        <v>SR-4548</v>
      </c>
      <c r="H3285" s="2" t="s">
        <v>15507</v>
      </c>
      <c r="I3285" s="2">
        <v>10240.0</v>
      </c>
      <c r="K3285" s="2" t="s">
        <v>3319</v>
      </c>
      <c r="L3285" s="2" t="s">
        <v>222</v>
      </c>
      <c r="M3285" s="2">
        <v>90241.0</v>
      </c>
      <c r="N3285" s="2" t="s">
        <v>21</v>
      </c>
    </row>
    <row r="3286" ht="15.75" customHeight="1">
      <c r="A3286" s="2">
        <v>2014.0</v>
      </c>
      <c r="B3286" s="2" t="s">
        <v>15508</v>
      </c>
      <c r="C3286" s="2" t="s">
        <v>15508</v>
      </c>
      <c r="D3286" s="2" t="str">
        <f>"+638822740073"</f>
        <v>+638822740073</v>
      </c>
      <c r="E3286" s="2" t="s">
        <v>15509</v>
      </c>
      <c r="F3286" s="2" t="s">
        <v>15510</v>
      </c>
      <c r="G3286" s="2" t="str">
        <f>"SR-4503"</f>
        <v>SR-4503</v>
      </c>
      <c r="H3286" s="2" t="s">
        <v>15511</v>
      </c>
      <c r="I3286" s="2" t="s">
        <v>15512</v>
      </c>
      <c r="J3286" s="2" t="s">
        <v>15513</v>
      </c>
      <c r="K3286" s="2" t="s">
        <v>15514</v>
      </c>
      <c r="L3286" s="2" t="s">
        <v>15515</v>
      </c>
      <c r="M3286" s="2">
        <v>9000.0</v>
      </c>
      <c r="N3286" s="2" t="s">
        <v>15515</v>
      </c>
    </row>
    <row r="3287" ht="15.75" customHeight="1">
      <c r="A3287" s="2">
        <v>2014.0</v>
      </c>
      <c r="B3287" s="2" t="s">
        <v>15516</v>
      </c>
      <c r="C3287" s="2" t="s">
        <v>15517</v>
      </c>
      <c r="D3287" s="2" t="str">
        <f t="shared" ref="D3287:D3288" si="55">"9099732265"</f>
        <v>9099732265</v>
      </c>
      <c r="E3287" s="2" t="s">
        <v>15518</v>
      </c>
      <c r="F3287" s="2" t="s">
        <v>15519</v>
      </c>
      <c r="G3287" s="2" t="str">
        <f>"SR-4345"</f>
        <v>SR-4345</v>
      </c>
      <c r="H3287" s="2" t="s">
        <v>15520</v>
      </c>
      <c r="I3287" s="2" t="s">
        <v>15521</v>
      </c>
      <c r="K3287" s="2" t="s">
        <v>15522</v>
      </c>
      <c r="L3287" s="2" t="s">
        <v>222</v>
      </c>
      <c r="M3287" s="2">
        <v>91710.0</v>
      </c>
      <c r="N3287" s="2" t="s">
        <v>21</v>
      </c>
    </row>
    <row r="3288" ht="15.75" customHeight="1">
      <c r="A3288" s="2">
        <v>2014.0</v>
      </c>
      <c r="B3288" s="2" t="s">
        <v>15516</v>
      </c>
      <c r="C3288" s="2" t="s">
        <v>15523</v>
      </c>
      <c r="D3288" s="2" t="str">
        <f t="shared" si="55"/>
        <v>9099732265</v>
      </c>
      <c r="E3288" s="2" t="s">
        <v>15524</v>
      </c>
      <c r="F3288" s="2" t="s">
        <v>15519</v>
      </c>
      <c r="G3288" s="2" t="str">
        <f>"SR-4346"</f>
        <v>SR-4346</v>
      </c>
      <c r="H3288" s="2" t="s">
        <v>15525</v>
      </c>
      <c r="I3288" s="2" t="s">
        <v>15521</v>
      </c>
      <c r="K3288" s="2" t="s">
        <v>15522</v>
      </c>
      <c r="L3288" s="2" t="s">
        <v>222</v>
      </c>
      <c r="M3288" s="2">
        <v>91710.0</v>
      </c>
      <c r="N3288" s="2" t="s">
        <v>21</v>
      </c>
    </row>
    <row r="3289" ht="15.75" customHeight="1">
      <c r="A3289" s="2">
        <v>2014.0</v>
      </c>
      <c r="B3289" s="2" t="s">
        <v>15526</v>
      </c>
      <c r="C3289" s="2" t="s">
        <v>15527</v>
      </c>
      <c r="D3289" s="2" t="str">
        <f>"8177333837"</f>
        <v>8177333837</v>
      </c>
      <c r="E3289" s="2" t="s">
        <v>862</v>
      </c>
      <c r="F3289" s="2" t="s">
        <v>51</v>
      </c>
      <c r="G3289" s="2" t="str">
        <f>"SR-4423"</f>
        <v>SR-4423</v>
      </c>
      <c r="H3289" s="2" t="s">
        <v>15528</v>
      </c>
      <c r="I3289" s="2" t="s">
        <v>15529</v>
      </c>
      <c r="K3289" s="2" t="s">
        <v>1260</v>
      </c>
      <c r="L3289" s="2" t="s">
        <v>172</v>
      </c>
      <c r="M3289" s="2">
        <v>76137.0</v>
      </c>
      <c r="N3289" s="2" t="s">
        <v>21</v>
      </c>
    </row>
    <row r="3290" ht="15.75" customHeight="1">
      <c r="A3290" s="2">
        <v>2014.0</v>
      </c>
      <c r="B3290" s="2" t="s">
        <v>15530</v>
      </c>
      <c r="C3290" s="2" t="s">
        <v>15531</v>
      </c>
      <c r="D3290" s="2" t="str">
        <f>"740-998-5648"</f>
        <v>740-998-5648</v>
      </c>
      <c r="E3290" s="2" t="s">
        <v>15532</v>
      </c>
      <c r="F3290" s="2" t="s">
        <v>15533</v>
      </c>
      <c r="G3290" s="2" t="str">
        <f>"SR-4554"</f>
        <v>SR-4554</v>
      </c>
      <c r="H3290" s="2" t="s">
        <v>15534</v>
      </c>
      <c r="I3290" s="2" t="s">
        <v>15535</v>
      </c>
      <c r="K3290" s="2" t="s">
        <v>3845</v>
      </c>
      <c r="L3290" s="2" t="s">
        <v>344</v>
      </c>
      <c r="M3290" s="2">
        <v>45628.0</v>
      </c>
      <c r="N3290" s="2" t="s">
        <v>21</v>
      </c>
    </row>
    <row r="3291" ht="15.75" customHeight="1">
      <c r="A3291" s="2">
        <v>2014.0</v>
      </c>
      <c r="B3291" s="2" t="s">
        <v>15536</v>
      </c>
      <c r="C3291" s="2" t="s">
        <v>15536</v>
      </c>
      <c r="D3291" s="2" t="str">
        <f>"7193381870"</f>
        <v>7193381870</v>
      </c>
      <c r="E3291" s="2" t="s">
        <v>15537</v>
      </c>
      <c r="F3291" s="2" t="s">
        <v>3576</v>
      </c>
      <c r="G3291" s="2" t="str">
        <f>"SR-4556"</f>
        <v>SR-4556</v>
      </c>
      <c r="H3291" s="2" t="s">
        <v>15538</v>
      </c>
      <c r="I3291" s="2" t="s">
        <v>15539</v>
      </c>
      <c r="K3291" s="2" t="s">
        <v>975</v>
      </c>
      <c r="L3291" s="2" t="s">
        <v>157</v>
      </c>
      <c r="M3291" s="2">
        <v>80831.0</v>
      </c>
      <c r="N3291" s="2" t="s">
        <v>21</v>
      </c>
    </row>
    <row r="3292" ht="15.75" customHeight="1">
      <c r="A3292" s="2">
        <v>2014.0</v>
      </c>
      <c r="B3292" s="2" t="s">
        <v>15540</v>
      </c>
      <c r="C3292" s="2" t="s">
        <v>15540</v>
      </c>
      <c r="D3292" s="2" t="str">
        <f>"5135603040"</f>
        <v>5135603040</v>
      </c>
      <c r="E3292" s="2" t="s">
        <v>225</v>
      </c>
      <c r="F3292" s="2" t="s">
        <v>5476</v>
      </c>
      <c r="G3292" s="2" t="str">
        <f>"SR-2579"</f>
        <v>SR-2579</v>
      </c>
      <c r="H3292" s="2" t="s">
        <v>15541</v>
      </c>
      <c r="I3292" s="2" t="s">
        <v>15542</v>
      </c>
      <c r="K3292" s="2" t="s">
        <v>15543</v>
      </c>
      <c r="L3292" s="2" t="s">
        <v>344</v>
      </c>
      <c r="M3292" s="2">
        <v>45039.0</v>
      </c>
      <c r="N3292" s="2" t="s">
        <v>21</v>
      </c>
    </row>
    <row r="3293" ht="15.75" customHeight="1">
      <c r="A3293" s="2">
        <v>2014.0</v>
      </c>
      <c r="B3293" s="2" t="s">
        <v>15544</v>
      </c>
      <c r="C3293" s="2" t="s">
        <v>15544</v>
      </c>
      <c r="D3293" s="2" t="str">
        <f>"5155566832"</f>
        <v>5155566832</v>
      </c>
      <c r="E3293" s="2" t="s">
        <v>908</v>
      </c>
      <c r="F3293" s="2" t="s">
        <v>15545</v>
      </c>
      <c r="G3293" s="2" t="str">
        <f>"SR-4558"</f>
        <v>SR-4558</v>
      </c>
      <c r="H3293" s="2" t="s">
        <v>15546</v>
      </c>
      <c r="I3293" s="2" t="s">
        <v>15547</v>
      </c>
      <c r="K3293" s="2" t="s">
        <v>3984</v>
      </c>
      <c r="L3293" s="2" t="s">
        <v>560</v>
      </c>
      <c r="M3293" s="2">
        <v>50131.0</v>
      </c>
      <c r="N3293" s="2" t="s">
        <v>21</v>
      </c>
    </row>
    <row r="3294" ht="15.75" customHeight="1">
      <c r="A3294" s="2">
        <v>2014.0</v>
      </c>
      <c r="B3294" s="2" t="s">
        <v>15548</v>
      </c>
      <c r="C3294" s="2" t="s">
        <v>15548</v>
      </c>
      <c r="D3294" s="2" t="str">
        <f>"318-614-4185"</f>
        <v>318-614-4185</v>
      </c>
      <c r="E3294" s="2" t="s">
        <v>10566</v>
      </c>
      <c r="F3294" s="2" t="s">
        <v>15549</v>
      </c>
      <c r="G3294" s="2" t="str">
        <f>"SR-4509"</f>
        <v>SR-4509</v>
      </c>
      <c r="H3294" s="2" t="s">
        <v>15550</v>
      </c>
      <c r="I3294" s="2" t="s">
        <v>15551</v>
      </c>
      <c r="K3294" s="2" t="s">
        <v>15332</v>
      </c>
      <c r="L3294" s="2" t="s">
        <v>715</v>
      </c>
      <c r="M3294" s="2">
        <v>71292.0</v>
      </c>
      <c r="N3294" s="2" t="s">
        <v>21</v>
      </c>
    </row>
    <row r="3295" ht="15.75" customHeight="1">
      <c r="A3295" s="2">
        <v>2014.0</v>
      </c>
      <c r="B3295" s="2" t="s">
        <v>15552</v>
      </c>
      <c r="C3295" s="2" t="s">
        <v>15552</v>
      </c>
      <c r="D3295" s="2" t="str">
        <f>"318-614-2096"</f>
        <v>318-614-2096</v>
      </c>
      <c r="E3295" s="2" t="s">
        <v>471</v>
      </c>
      <c r="F3295" s="2" t="s">
        <v>15549</v>
      </c>
      <c r="G3295" s="2" t="str">
        <f>"SR-4561"</f>
        <v>SR-4561</v>
      </c>
      <c r="H3295" s="2" t="s">
        <v>15553</v>
      </c>
      <c r="I3295" s="2" t="s">
        <v>15554</v>
      </c>
      <c r="K3295" s="2" t="s">
        <v>15332</v>
      </c>
      <c r="L3295" s="2" t="s">
        <v>715</v>
      </c>
      <c r="M3295" s="2">
        <v>71292.0</v>
      </c>
      <c r="N3295" s="2" t="s">
        <v>21</v>
      </c>
    </row>
    <row r="3296" ht="15.75" customHeight="1">
      <c r="A3296" s="2">
        <v>2014.0</v>
      </c>
      <c r="B3296" s="2" t="s">
        <v>15555</v>
      </c>
      <c r="C3296" s="2" t="s">
        <v>15555</v>
      </c>
      <c r="D3296" s="2" t="str">
        <f>"13182677380"</f>
        <v>13182677380</v>
      </c>
      <c r="E3296" s="2" t="s">
        <v>15556</v>
      </c>
      <c r="F3296" s="2" t="s">
        <v>15557</v>
      </c>
      <c r="G3296" s="2" t="str">
        <f>"SR-4510"</f>
        <v>SR-4510</v>
      </c>
      <c r="H3296" s="2" t="s">
        <v>15558</v>
      </c>
      <c r="I3296" s="2" t="s">
        <v>15559</v>
      </c>
      <c r="K3296" s="2" t="s">
        <v>15332</v>
      </c>
      <c r="L3296" s="2" t="s">
        <v>715</v>
      </c>
      <c r="M3296" s="2">
        <v>71291.0</v>
      </c>
      <c r="N3296" s="2" t="s">
        <v>21</v>
      </c>
    </row>
    <row r="3297" ht="15.75" customHeight="1">
      <c r="A3297" s="2">
        <v>2014.0</v>
      </c>
      <c r="B3297" s="2" t="s">
        <v>15560</v>
      </c>
      <c r="C3297" s="2" t="s">
        <v>15560</v>
      </c>
      <c r="D3297" s="2" t="str">
        <f>"626 441 0470"</f>
        <v>626 441 0470</v>
      </c>
      <c r="E3297" s="2" t="s">
        <v>534</v>
      </c>
      <c r="F3297" s="2" t="s">
        <v>15561</v>
      </c>
      <c r="G3297" s="2" t="str">
        <f>"SR-4560"</f>
        <v>SR-4560</v>
      </c>
      <c r="H3297" s="2" t="s">
        <v>15562</v>
      </c>
      <c r="I3297" s="2" t="s">
        <v>15563</v>
      </c>
      <c r="K3297" s="2" t="s">
        <v>15564</v>
      </c>
      <c r="L3297" s="2" t="s">
        <v>222</v>
      </c>
      <c r="M3297" s="2">
        <v>91030.0</v>
      </c>
      <c r="N3297" s="2" t="s">
        <v>21</v>
      </c>
    </row>
    <row r="3298" ht="15.75" customHeight="1">
      <c r="A3298" s="2">
        <v>2014.0</v>
      </c>
      <c r="B3298" s="2" t="s">
        <v>15565</v>
      </c>
      <c r="C3298" s="2" t="s">
        <v>15566</v>
      </c>
      <c r="D3298" s="2" t="str">
        <f>"2102740629"</f>
        <v>2102740629</v>
      </c>
      <c r="E3298" s="2" t="s">
        <v>3888</v>
      </c>
      <c r="F3298" s="2" t="s">
        <v>15567</v>
      </c>
      <c r="G3298" s="2" t="str">
        <f>"SR-4564"</f>
        <v>SR-4564</v>
      </c>
      <c r="H3298" s="2" t="s">
        <v>15568</v>
      </c>
      <c r="I3298" s="2" t="s">
        <v>15569</v>
      </c>
      <c r="K3298" s="2" t="s">
        <v>632</v>
      </c>
      <c r="L3298" s="2" t="s">
        <v>172</v>
      </c>
      <c r="M3298" s="2">
        <v>78232.0</v>
      </c>
      <c r="N3298" s="2" t="s">
        <v>21</v>
      </c>
    </row>
    <row r="3299" ht="15.75" customHeight="1">
      <c r="A3299" s="2">
        <v>2014.0</v>
      </c>
      <c r="B3299" s="2" t="s">
        <v>15570</v>
      </c>
      <c r="C3299" s="2" t="s">
        <v>15570</v>
      </c>
      <c r="D3299" s="2" t="str">
        <f>"719-328-9606"</f>
        <v>719-328-9606</v>
      </c>
      <c r="E3299" s="2" t="s">
        <v>282</v>
      </c>
      <c r="F3299" s="2" t="s">
        <v>1648</v>
      </c>
      <c r="G3299" s="2" t="str">
        <f>"SR-4498"</f>
        <v>SR-4498</v>
      </c>
      <c r="H3299" s="2" t="s">
        <v>1649</v>
      </c>
      <c r="I3299" s="2" t="s">
        <v>15571</v>
      </c>
      <c r="K3299" s="2" t="s">
        <v>809</v>
      </c>
      <c r="L3299" s="2" t="s">
        <v>157</v>
      </c>
      <c r="M3299" s="2">
        <v>80904.0</v>
      </c>
      <c r="N3299" s="2" t="s">
        <v>21</v>
      </c>
    </row>
    <row r="3300" ht="15.75" customHeight="1">
      <c r="A3300" s="2">
        <v>2014.0</v>
      </c>
      <c r="B3300" s="2" t="s">
        <v>15572</v>
      </c>
      <c r="C3300" s="2" t="s">
        <v>15572</v>
      </c>
      <c r="D3300" s="2" t="str">
        <f>"5593017413"</f>
        <v>5593017413</v>
      </c>
      <c r="E3300" s="2" t="s">
        <v>14788</v>
      </c>
      <c r="F3300" s="2" t="s">
        <v>15573</v>
      </c>
      <c r="G3300" s="2" t="str">
        <f>"SR-3561"</f>
        <v>SR-3561</v>
      </c>
      <c r="H3300" s="2" t="s">
        <v>15574</v>
      </c>
      <c r="I3300" s="2" t="s">
        <v>15575</v>
      </c>
      <c r="K3300" s="2" t="s">
        <v>15576</v>
      </c>
      <c r="L3300" s="2" t="s">
        <v>222</v>
      </c>
      <c r="M3300" s="2">
        <v>93711.0</v>
      </c>
      <c r="N3300" s="2" t="s">
        <v>21</v>
      </c>
    </row>
    <row r="3301" ht="15.75" customHeight="1">
      <c r="A3301" s="2">
        <v>2014.0</v>
      </c>
      <c r="B3301" s="2" t="s">
        <v>15577</v>
      </c>
      <c r="C3301" s="2" t="s">
        <v>15578</v>
      </c>
      <c r="D3301" s="2" t="str">
        <f>"9198441791"</f>
        <v>9198441791</v>
      </c>
      <c r="E3301" s="2" t="s">
        <v>15579</v>
      </c>
      <c r="F3301" s="2" t="s">
        <v>3551</v>
      </c>
      <c r="G3301" s="2" t="str">
        <f>"SR-4486"</f>
        <v>SR-4486</v>
      </c>
      <c r="H3301" s="2" t="s">
        <v>15580</v>
      </c>
      <c r="I3301" s="2" t="s">
        <v>15581</v>
      </c>
      <c r="K3301" s="2" t="s">
        <v>7993</v>
      </c>
      <c r="L3301" s="2" t="s">
        <v>20</v>
      </c>
      <c r="M3301" s="2">
        <v>27615.0</v>
      </c>
      <c r="N3301" s="2" t="s">
        <v>21</v>
      </c>
    </row>
    <row r="3302" ht="15.75" customHeight="1">
      <c r="A3302" s="2">
        <v>2014.0</v>
      </c>
      <c r="B3302" s="2" t="s">
        <v>15582</v>
      </c>
      <c r="C3302" s="2" t="s">
        <v>15583</v>
      </c>
      <c r="D3302" s="2" t="str">
        <f>"18284218314"</f>
        <v>18284218314</v>
      </c>
      <c r="E3302" s="2" t="s">
        <v>6244</v>
      </c>
      <c r="F3302" s="2" t="s">
        <v>15584</v>
      </c>
      <c r="G3302" s="2" t="str">
        <f>"SR-4496"</f>
        <v>SR-4496</v>
      </c>
      <c r="H3302" s="2" t="s">
        <v>15585</v>
      </c>
      <c r="I3302" s="2" t="s">
        <v>15586</v>
      </c>
      <c r="K3302" s="2" t="s">
        <v>13666</v>
      </c>
      <c r="L3302" s="2" t="s">
        <v>20</v>
      </c>
      <c r="M3302" s="2">
        <v>28763.0</v>
      </c>
      <c r="N3302" s="2" t="s">
        <v>21</v>
      </c>
    </row>
    <row r="3303" ht="15.75" customHeight="1">
      <c r="A3303" s="2">
        <v>2014.0</v>
      </c>
      <c r="B3303" s="2" t="s">
        <v>15587</v>
      </c>
      <c r="C3303" s="2" t="s">
        <v>15588</v>
      </c>
      <c r="D3303" s="2" t="str">
        <f>"651-430-0727"</f>
        <v>651-430-0727</v>
      </c>
      <c r="E3303" s="2" t="s">
        <v>2167</v>
      </c>
      <c r="F3303" s="2" t="s">
        <v>15589</v>
      </c>
      <c r="G3303" s="2" t="str">
        <f>"SR-3963"</f>
        <v>SR-3963</v>
      </c>
      <c r="H3303" s="2" t="s">
        <v>15590</v>
      </c>
      <c r="I3303" s="2" t="s">
        <v>15591</v>
      </c>
      <c r="K3303" s="2" t="s">
        <v>11711</v>
      </c>
      <c r="L3303" s="2" t="s">
        <v>62</v>
      </c>
      <c r="M3303" s="2">
        <v>55082.0</v>
      </c>
      <c r="N3303" s="2" t="s">
        <v>21</v>
      </c>
    </row>
    <row r="3304" ht="15.75" customHeight="1">
      <c r="A3304" s="2">
        <v>2014.0</v>
      </c>
      <c r="B3304" s="2" t="s">
        <v>15592</v>
      </c>
      <c r="C3304" s="2" t="s">
        <v>15593</v>
      </c>
      <c r="D3304" s="2" t="str">
        <f>"812-786-6444"</f>
        <v>812-786-6444</v>
      </c>
      <c r="E3304" s="2" t="s">
        <v>580</v>
      </c>
      <c r="F3304" s="2" t="s">
        <v>15594</v>
      </c>
      <c r="G3304" s="2" t="str">
        <f>"SR-4058"</f>
        <v>SR-4058</v>
      </c>
      <c r="H3304" s="2" t="s">
        <v>15595</v>
      </c>
      <c r="I3304" s="2" t="s">
        <v>15596</v>
      </c>
      <c r="K3304" s="2" t="s">
        <v>15597</v>
      </c>
      <c r="L3304" s="2" t="s">
        <v>149</v>
      </c>
      <c r="M3304" s="2">
        <v>47150.0</v>
      </c>
      <c r="N3304" s="2" t="s">
        <v>21</v>
      </c>
    </row>
    <row r="3305" ht="15.75" customHeight="1">
      <c r="A3305" s="2">
        <v>2014.0</v>
      </c>
      <c r="B3305" s="2" t="s">
        <v>15598</v>
      </c>
      <c r="C3305" s="2" t="s">
        <v>15598</v>
      </c>
      <c r="D3305" s="2" t="str">
        <f>"7346256445"</f>
        <v>7346256445</v>
      </c>
      <c r="E3305" s="2" t="s">
        <v>100</v>
      </c>
      <c r="F3305" s="2" t="s">
        <v>5326</v>
      </c>
      <c r="G3305" s="2" t="str">
        <f>"SR-4473"</f>
        <v>SR-4473</v>
      </c>
      <c r="H3305" s="2" t="s">
        <v>15599</v>
      </c>
      <c r="I3305" s="2" t="s">
        <v>15600</v>
      </c>
      <c r="K3305" s="2" t="s">
        <v>3707</v>
      </c>
      <c r="L3305" s="2" t="s">
        <v>29</v>
      </c>
      <c r="M3305" s="2">
        <v>48117.0</v>
      </c>
      <c r="N3305" s="2" t="s">
        <v>21</v>
      </c>
    </row>
    <row r="3306" ht="15.75" customHeight="1">
      <c r="A3306" s="2">
        <v>2014.0</v>
      </c>
      <c r="B3306" s="2" t="s">
        <v>15601</v>
      </c>
      <c r="C3306" s="2" t="s">
        <v>15601</v>
      </c>
      <c r="D3306" s="2" t="str">
        <f>"7346250129"</f>
        <v>7346250129</v>
      </c>
      <c r="E3306" s="2" t="s">
        <v>3196</v>
      </c>
      <c r="F3306" s="2" t="s">
        <v>5326</v>
      </c>
      <c r="G3306" s="2" t="str">
        <f>"SR-4569"</f>
        <v>SR-4569</v>
      </c>
      <c r="H3306" s="2" t="s">
        <v>15602</v>
      </c>
      <c r="I3306" s="2" t="s">
        <v>15603</v>
      </c>
      <c r="K3306" s="2" t="s">
        <v>3707</v>
      </c>
      <c r="L3306" s="2" t="s">
        <v>29</v>
      </c>
      <c r="M3306" s="2">
        <v>48117.0</v>
      </c>
      <c r="N3306" s="2" t="s">
        <v>21</v>
      </c>
    </row>
    <row r="3307" ht="15.75" customHeight="1">
      <c r="A3307" s="2">
        <v>2014.0</v>
      </c>
      <c r="B3307" s="2" t="s">
        <v>15604</v>
      </c>
      <c r="C3307" s="2" t="s">
        <v>15604</v>
      </c>
      <c r="D3307" s="2" t="str">
        <f>"6059514032"</f>
        <v>6059514032</v>
      </c>
      <c r="E3307" s="2" t="s">
        <v>6526</v>
      </c>
      <c r="F3307" s="2" t="s">
        <v>15605</v>
      </c>
      <c r="G3307" s="2" t="str">
        <f>"SR-4571"</f>
        <v>SR-4571</v>
      </c>
      <c r="H3307" s="2" t="s">
        <v>15606</v>
      </c>
      <c r="I3307" s="2" t="s">
        <v>15607</v>
      </c>
      <c r="K3307" s="2" t="s">
        <v>15608</v>
      </c>
      <c r="L3307" s="2" t="s">
        <v>560</v>
      </c>
      <c r="M3307" s="2">
        <v>51241.0</v>
      </c>
      <c r="N3307" s="2" t="s">
        <v>21</v>
      </c>
    </row>
    <row r="3308" ht="15.75" customHeight="1">
      <c r="A3308" s="2">
        <v>2014.0</v>
      </c>
      <c r="B3308" s="2" t="s">
        <v>15609</v>
      </c>
      <c r="C3308" s="2" t="s">
        <v>15609</v>
      </c>
      <c r="D3308" s="2" t="str">
        <f>"904-272-6982"</f>
        <v>904-272-6982</v>
      </c>
      <c r="E3308" s="2" t="s">
        <v>15610</v>
      </c>
      <c r="F3308" s="2" t="s">
        <v>1151</v>
      </c>
      <c r="G3308" s="2" t="str">
        <f>"SR-4572"</f>
        <v>SR-4572</v>
      </c>
      <c r="H3308" s="2" t="s">
        <v>15611</v>
      </c>
      <c r="I3308" s="2" t="s">
        <v>15612</v>
      </c>
      <c r="K3308" s="2" t="s">
        <v>13593</v>
      </c>
      <c r="L3308" s="2" t="s">
        <v>208</v>
      </c>
      <c r="M3308" s="2">
        <v>32073.0</v>
      </c>
      <c r="N3308" s="2" t="s">
        <v>21</v>
      </c>
    </row>
    <row r="3309" ht="15.75" customHeight="1">
      <c r="A3309" s="2">
        <v>2014.0</v>
      </c>
      <c r="B3309" s="2" t="s">
        <v>15613</v>
      </c>
      <c r="C3309" s="2" t="s">
        <v>15613</v>
      </c>
      <c r="D3309" s="2" t="str">
        <f>"3202533942"</f>
        <v>3202533942</v>
      </c>
      <c r="E3309" s="2" t="s">
        <v>580</v>
      </c>
      <c r="F3309" s="2" t="s">
        <v>339</v>
      </c>
      <c r="G3309" s="2" t="str">
        <f>"SR-4567"</f>
        <v>SR-4567</v>
      </c>
      <c r="H3309" s="2" t="s">
        <v>15614</v>
      </c>
      <c r="I3309" s="2" t="s">
        <v>15615</v>
      </c>
      <c r="K3309" s="2" t="s">
        <v>15616</v>
      </c>
      <c r="L3309" s="2" t="s">
        <v>62</v>
      </c>
      <c r="M3309" s="2">
        <v>56377.0</v>
      </c>
      <c r="N3309" s="2" t="s">
        <v>21</v>
      </c>
    </row>
    <row r="3310" ht="15.75" customHeight="1">
      <c r="A3310" s="2">
        <v>2014.0</v>
      </c>
      <c r="B3310" s="2" t="s">
        <v>15617</v>
      </c>
      <c r="C3310" s="2" t="s">
        <v>15617</v>
      </c>
      <c r="D3310" s="2" t="str">
        <f>"(850) 576-1674"</f>
        <v>(850) 576-1674</v>
      </c>
      <c r="E3310" s="2" t="s">
        <v>15618</v>
      </c>
      <c r="F3310" s="2" t="s">
        <v>15619</v>
      </c>
      <c r="G3310" s="2" t="str">
        <f>"SR-4573"</f>
        <v>SR-4573</v>
      </c>
      <c r="H3310" s="2" t="s">
        <v>15620</v>
      </c>
      <c r="I3310" s="2" t="s">
        <v>15621</v>
      </c>
      <c r="K3310" s="2" t="s">
        <v>2007</v>
      </c>
      <c r="L3310" s="2" t="s">
        <v>208</v>
      </c>
      <c r="M3310" s="2">
        <v>32310.0</v>
      </c>
      <c r="N3310" s="2" t="s">
        <v>21</v>
      </c>
    </row>
    <row r="3311" ht="15.75" customHeight="1">
      <c r="A3311" s="2">
        <v>2014.0</v>
      </c>
      <c r="B3311" s="2" t="s">
        <v>15622</v>
      </c>
      <c r="C3311" s="2" t="s">
        <v>15622</v>
      </c>
      <c r="D3311" s="2" t="str">
        <f>"937-452-9967"</f>
        <v>937-452-9967</v>
      </c>
      <c r="E3311" s="2" t="s">
        <v>5310</v>
      </c>
      <c r="F3311" s="2" t="s">
        <v>15623</v>
      </c>
      <c r="G3311" s="2" t="str">
        <f>"SR-4580"</f>
        <v>SR-4580</v>
      </c>
      <c r="H3311" s="2" t="s">
        <v>15624</v>
      </c>
      <c r="I3311" s="2" t="s">
        <v>15625</v>
      </c>
      <c r="K3311" s="2" t="s">
        <v>15626</v>
      </c>
      <c r="L3311" s="2" t="s">
        <v>344</v>
      </c>
      <c r="M3311" s="2">
        <v>45311.0</v>
      </c>
      <c r="N3311" s="2" t="s">
        <v>21</v>
      </c>
    </row>
    <row r="3312" ht="15.75" customHeight="1">
      <c r="A3312" s="2">
        <v>2014.0</v>
      </c>
      <c r="B3312" s="2" t="s">
        <v>8222</v>
      </c>
      <c r="C3312" s="2" t="s">
        <v>8222</v>
      </c>
      <c r="D3312" s="2" t="str">
        <f>"205-612-7949"</f>
        <v>205-612-7949</v>
      </c>
      <c r="E3312" s="2" t="s">
        <v>167</v>
      </c>
      <c r="F3312" s="2" t="s">
        <v>529</v>
      </c>
      <c r="G3312" s="2" t="str">
        <f>"SR-4183"</f>
        <v>SR-4183</v>
      </c>
      <c r="H3312" s="2" t="s">
        <v>8223</v>
      </c>
      <c r="I3312" s="2" t="s">
        <v>15627</v>
      </c>
      <c r="K3312" s="2" t="s">
        <v>8225</v>
      </c>
      <c r="L3312" s="2" t="s">
        <v>539</v>
      </c>
      <c r="M3312" s="2">
        <v>35097.0</v>
      </c>
      <c r="N3312" s="2" t="s">
        <v>21</v>
      </c>
    </row>
    <row r="3313" ht="15.75" customHeight="1">
      <c r="A3313" s="2">
        <v>2014.0</v>
      </c>
      <c r="B3313" s="2" t="s">
        <v>15628</v>
      </c>
      <c r="C3313" s="2" t="s">
        <v>15629</v>
      </c>
      <c r="D3313" s="2" t="str">
        <f>"915 843 3565"</f>
        <v>915 843 3565</v>
      </c>
      <c r="E3313" s="2" t="s">
        <v>15630</v>
      </c>
      <c r="F3313" s="2" t="s">
        <v>15631</v>
      </c>
      <c r="G3313" s="2" t="str">
        <f>"SR-4575"</f>
        <v>SR-4575</v>
      </c>
      <c r="H3313" s="2" t="s">
        <v>15632</v>
      </c>
      <c r="I3313" s="2" t="s">
        <v>15633</v>
      </c>
      <c r="K3313" s="2" t="s">
        <v>15634</v>
      </c>
      <c r="L3313" s="2" t="s">
        <v>172</v>
      </c>
      <c r="M3313" s="2">
        <v>79836.0</v>
      </c>
      <c r="N3313" s="2" t="s">
        <v>21</v>
      </c>
    </row>
    <row r="3314" ht="15.75" customHeight="1">
      <c r="A3314" s="2">
        <v>2014.0</v>
      </c>
      <c r="B3314" s="2" t="s">
        <v>15635</v>
      </c>
      <c r="C3314" s="2" t="s">
        <v>15636</v>
      </c>
      <c r="D3314" s="2" t="str">
        <f>"626-437-5314"</f>
        <v>626-437-5314</v>
      </c>
      <c r="E3314" s="2" t="s">
        <v>261</v>
      </c>
      <c r="F3314" s="2" t="s">
        <v>15637</v>
      </c>
      <c r="G3314" s="2" t="str">
        <f>"SR-4576"</f>
        <v>SR-4576</v>
      </c>
      <c r="H3314" s="2" t="s">
        <v>15638</v>
      </c>
      <c r="I3314" s="2" t="s">
        <v>15639</v>
      </c>
      <c r="J3314" s="2" t="s">
        <v>15640</v>
      </c>
      <c r="K3314" s="2" t="s">
        <v>8558</v>
      </c>
      <c r="L3314" s="2" t="s">
        <v>222</v>
      </c>
      <c r="M3314" s="2">
        <v>91006.0</v>
      </c>
      <c r="N3314" s="2" t="s">
        <v>21</v>
      </c>
    </row>
    <row r="3315" ht="15.75" customHeight="1">
      <c r="A3315" s="2">
        <v>2014.0</v>
      </c>
      <c r="B3315" s="2" t="s">
        <v>15641</v>
      </c>
      <c r="C3315" s="2" t="s">
        <v>15642</v>
      </c>
      <c r="D3315" s="2" t="str">
        <f>"260-710-2324"</f>
        <v>260-710-2324</v>
      </c>
      <c r="E3315" s="2" t="s">
        <v>485</v>
      </c>
      <c r="F3315" s="2" t="s">
        <v>2753</v>
      </c>
      <c r="G3315" s="2" t="str">
        <f>"SR-4550"</f>
        <v>SR-4550</v>
      </c>
      <c r="H3315" s="2" t="s">
        <v>15643</v>
      </c>
      <c r="I3315" s="2" t="s">
        <v>15644</v>
      </c>
      <c r="K3315" s="2" t="s">
        <v>6312</v>
      </c>
      <c r="L3315" s="2" t="s">
        <v>149</v>
      </c>
      <c r="M3315" s="2">
        <v>46706.0</v>
      </c>
      <c r="N3315" s="2" t="s">
        <v>21</v>
      </c>
    </row>
    <row r="3316" ht="15.75" customHeight="1">
      <c r="A3316" s="2">
        <v>2014.0</v>
      </c>
      <c r="B3316" s="2" t="s">
        <v>13400</v>
      </c>
      <c r="C3316" s="2" t="s">
        <v>13400</v>
      </c>
      <c r="D3316" s="2" t="str">
        <f>"901-373-8894"</f>
        <v>901-373-8894</v>
      </c>
      <c r="E3316" s="2" t="s">
        <v>282</v>
      </c>
      <c r="F3316" s="2" t="s">
        <v>5516</v>
      </c>
      <c r="G3316" s="2" t="str">
        <f>"SR-3760"</f>
        <v>SR-3760</v>
      </c>
      <c r="H3316" s="2" t="s">
        <v>5517</v>
      </c>
      <c r="I3316" s="2" t="s">
        <v>13403</v>
      </c>
      <c r="K3316" s="2" t="s">
        <v>5519</v>
      </c>
      <c r="L3316" s="2" t="s">
        <v>279</v>
      </c>
      <c r="M3316" s="2">
        <v>38134.0</v>
      </c>
      <c r="N3316" s="2" t="s">
        <v>21</v>
      </c>
    </row>
    <row r="3317" ht="15.75" customHeight="1">
      <c r="A3317" s="2">
        <v>2014.0</v>
      </c>
      <c r="B3317" s="2" t="s">
        <v>15645</v>
      </c>
      <c r="C3317" s="2" t="s">
        <v>15646</v>
      </c>
      <c r="D3317" s="2" t="str">
        <f>"323-313-9783"</f>
        <v>323-313-9783</v>
      </c>
      <c r="E3317" s="2" t="s">
        <v>2361</v>
      </c>
      <c r="F3317" s="2" t="s">
        <v>2753</v>
      </c>
      <c r="G3317" s="2" t="str">
        <f>"SR-4568"</f>
        <v>SR-4568</v>
      </c>
      <c r="H3317" s="2" t="s">
        <v>15647</v>
      </c>
      <c r="I3317" s="2" t="s">
        <v>15648</v>
      </c>
      <c r="K3317" s="2" t="s">
        <v>15564</v>
      </c>
      <c r="L3317" s="2" t="s">
        <v>222</v>
      </c>
      <c r="M3317" s="2">
        <v>91030.0</v>
      </c>
      <c r="N3317" s="2" t="s">
        <v>21</v>
      </c>
    </row>
    <row r="3318" ht="15.75" customHeight="1">
      <c r="A3318" s="2">
        <v>2014.0</v>
      </c>
      <c r="B3318" s="2" t="s">
        <v>15649</v>
      </c>
      <c r="C3318" s="2" t="s">
        <v>15650</v>
      </c>
      <c r="D3318" s="2" t="str">
        <f>"949 212-6204"</f>
        <v>949 212-6204</v>
      </c>
      <c r="E3318" s="2" t="s">
        <v>15651</v>
      </c>
      <c r="F3318" s="2" t="s">
        <v>15652</v>
      </c>
      <c r="G3318" s="2" t="str">
        <f>"SR-4583"</f>
        <v>SR-4583</v>
      </c>
      <c r="H3318" s="2" t="s">
        <v>15653</v>
      </c>
      <c r="I3318" s="2" t="s">
        <v>15654</v>
      </c>
      <c r="K3318" s="2" t="s">
        <v>9670</v>
      </c>
      <c r="L3318" s="2" t="s">
        <v>222</v>
      </c>
      <c r="M3318" s="2">
        <v>92673.0</v>
      </c>
      <c r="N3318" s="2" t="s">
        <v>21</v>
      </c>
    </row>
    <row r="3319" ht="15.75" customHeight="1">
      <c r="A3319" s="2">
        <v>2014.0</v>
      </c>
      <c r="B3319" s="2" t="s">
        <v>15655</v>
      </c>
      <c r="C3319" s="2" t="s">
        <v>15656</v>
      </c>
      <c r="D3319" s="2" t="str">
        <f>"8183663512"</f>
        <v>8183663512</v>
      </c>
      <c r="E3319" s="2" t="s">
        <v>2870</v>
      </c>
      <c r="F3319" s="2" t="s">
        <v>15657</v>
      </c>
      <c r="G3319" s="2" t="str">
        <f>"SR-4562"</f>
        <v>SR-4562</v>
      </c>
      <c r="H3319" s="2" t="s">
        <v>15658</v>
      </c>
      <c r="I3319" s="2" t="s">
        <v>15659</v>
      </c>
      <c r="K3319" s="2" t="s">
        <v>15660</v>
      </c>
      <c r="L3319" s="2" t="s">
        <v>222</v>
      </c>
      <c r="M3319" s="2">
        <v>91344.0</v>
      </c>
      <c r="N3319" s="2" t="s">
        <v>21</v>
      </c>
    </row>
    <row r="3320" ht="15.75" customHeight="1">
      <c r="A3320" s="2">
        <v>2014.0</v>
      </c>
      <c r="B3320" s="2" t="s">
        <v>15661</v>
      </c>
      <c r="C3320" s="2" t="s">
        <v>15662</v>
      </c>
      <c r="D3320" s="2" t="str">
        <f>"270-789-7967"</f>
        <v>270-789-7967</v>
      </c>
      <c r="E3320" s="2" t="s">
        <v>15663</v>
      </c>
      <c r="F3320" s="2" t="s">
        <v>8390</v>
      </c>
      <c r="G3320" s="2" t="str">
        <f>"SR-4570"</f>
        <v>SR-4570</v>
      </c>
      <c r="H3320" s="2" t="s">
        <v>15664</v>
      </c>
      <c r="I3320" s="2" t="s">
        <v>15665</v>
      </c>
      <c r="K3320" s="2" t="s">
        <v>15666</v>
      </c>
      <c r="L3320" s="2" t="s">
        <v>1236</v>
      </c>
      <c r="M3320" s="2">
        <v>42743.0</v>
      </c>
      <c r="N3320" s="2" t="s">
        <v>21</v>
      </c>
    </row>
    <row r="3321" ht="15.75" customHeight="1">
      <c r="A3321" s="2">
        <v>2014.0</v>
      </c>
      <c r="B3321" s="2" t="s">
        <v>15667</v>
      </c>
      <c r="C3321" s="2" t="s">
        <v>15667</v>
      </c>
      <c r="D3321" s="2" t="str">
        <f>"626-488-0112"</f>
        <v>626-488-0112</v>
      </c>
      <c r="E3321" s="2" t="s">
        <v>596</v>
      </c>
      <c r="F3321" s="2" t="s">
        <v>15668</v>
      </c>
      <c r="G3321" s="2" t="str">
        <f>"SR-4582"</f>
        <v>SR-4582</v>
      </c>
      <c r="H3321" s="2" t="s">
        <v>15669</v>
      </c>
      <c r="I3321" s="2" t="s">
        <v>15670</v>
      </c>
      <c r="K3321" s="2" t="s">
        <v>15671</v>
      </c>
      <c r="L3321" s="2" t="s">
        <v>222</v>
      </c>
      <c r="M3321" s="2">
        <v>91767.0</v>
      </c>
      <c r="N3321" s="2" t="s">
        <v>21</v>
      </c>
    </row>
    <row r="3322" ht="15.75" customHeight="1">
      <c r="A3322" s="2">
        <v>2014.0</v>
      </c>
      <c r="B3322" s="2" t="s">
        <v>15672</v>
      </c>
      <c r="C3322" s="2" t="s">
        <v>15673</v>
      </c>
      <c r="D3322" s="2" t="str">
        <f>"612-655-3963"</f>
        <v>612-655-3963</v>
      </c>
      <c r="E3322" s="2" t="s">
        <v>15674</v>
      </c>
      <c r="F3322" s="2" t="s">
        <v>15675</v>
      </c>
      <c r="G3322" s="2" t="str">
        <f>"SR-4557"</f>
        <v>SR-4557</v>
      </c>
      <c r="H3322" s="2" t="s">
        <v>15676</v>
      </c>
      <c r="I3322" s="2" t="s">
        <v>15677</v>
      </c>
      <c r="K3322" s="2" t="s">
        <v>3109</v>
      </c>
      <c r="L3322" s="2" t="s">
        <v>62</v>
      </c>
      <c r="M3322" s="2">
        <v>55436.0</v>
      </c>
      <c r="N3322" s="2" t="s">
        <v>21</v>
      </c>
    </row>
    <row r="3323" ht="15.75" customHeight="1">
      <c r="A3323" s="2">
        <v>2014.0</v>
      </c>
      <c r="B3323" s="2" t="s">
        <v>15678</v>
      </c>
      <c r="C3323" s="2" t="s">
        <v>15679</v>
      </c>
      <c r="D3323" s="2" t="str">
        <f>"919 303 6220"</f>
        <v>919 303 6220</v>
      </c>
      <c r="E3323" s="2" t="s">
        <v>2361</v>
      </c>
      <c r="F3323" s="2" t="s">
        <v>847</v>
      </c>
      <c r="G3323" s="2" t="str">
        <f>"SR-4590"</f>
        <v>SR-4590</v>
      </c>
      <c r="H3323" s="2" t="s">
        <v>15680</v>
      </c>
      <c r="I3323" s="2" t="s">
        <v>15681</v>
      </c>
      <c r="K3323" s="2" t="s">
        <v>14454</v>
      </c>
      <c r="L3323" s="2" t="s">
        <v>20</v>
      </c>
      <c r="M3323" s="2">
        <v>27523.0</v>
      </c>
      <c r="N3323" s="2" t="s">
        <v>21</v>
      </c>
    </row>
    <row r="3324" ht="15.75" customHeight="1">
      <c r="A3324" s="2">
        <v>2014.0</v>
      </c>
      <c r="B3324" s="2" t="s">
        <v>15682</v>
      </c>
      <c r="C3324" s="2" t="s">
        <v>15683</v>
      </c>
      <c r="D3324" s="2" t="str">
        <f>"817-771-4077"</f>
        <v>817-771-4077</v>
      </c>
      <c r="E3324" s="2" t="s">
        <v>288</v>
      </c>
      <c r="F3324" s="2" t="s">
        <v>15684</v>
      </c>
      <c r="G3324" s="2" t="str">
        <f>"SR-4507"</f>
        <v>SR-4507</v>
      </c>
      <c r="H3324" s="2" t="s">
        <v>15685</v>
      </c>
      <c r="I3324" s="2" t="s">
        <v>15686</v>
      </c>
      <c r="K3324" s="2" t="s">
        <v>15687</v>
      </c>
      <c r="L3324" s="2" t="s">
        <v>1722</v>
      </c>
      <c r="M3324" s="2">
        <v>38610.0</v>
      </c>
      <c r="N3324" s="2" t="s">
        <v>21</v>
      </c>
    </row>
    <row r="3325" ht="15.75" customHeight="1">
      <c r="A3325" s="2">
        <v>2014.0</v>
      </c>
      <c r="B3325" s="2" t="s">
        <v>15688</v>
      </c>
      <c r="C3325" s="2" t="s">
        <v>15688</v>
      </c>
      <c r="D3325" s="2" t="str">
        <f>"2024276558"</f>
        <v>2024276558</v>
      </c>
      <c r="E3325" s="2" t="s">
        <v>3037</v>
      </c>
      <c r="F3325" s="2" t="s">
        <v>15689</v>
      </c>
      <c r="G3325" s="2" t="str">
        <f>"SR-4591"</f>
        <v>SR-4591</v>
      </c>
      <c r="H3325" s="2" t="s">
        <v>15690</v>
      </c>
      <c r="I3325" s="2" t="s">
        <v>15691</v>
      </c>
      <c r="K3325" s="2" t="s">
        <v>12253</v>
      </c>
      <c r="L3325" s="2" t="s">
        <v>165</v>
      </c>
      <c r="M3325" s="2">
        <v>22181.0</v>
      </c>
      <c r="N3325" s="2" t="s">
        <v>21</v>
      </c>
    </row>
    <row r="3326" ht="15.75" customHeight="1">
      <c r="A3326" s="2">
        <v>2014.0</v>
      </c>
      <c r="B3326" s="2" t="s">
        <v>6600</v>
      </c>
      <c r="C3326" s="2" t="s">
        <v>6601</v>
      </c>
      <c r="D3326" s="2" t="str">
        <f>"813-752-2377"</f>
        <v>813-752-2377</v>
      </c>
      <c r="E3326" s="2" t="s">
        <v>160</v>
      </c>
      <c r="F3326" s="2" t="s">
        <v>2053</v>
      </c>
      <c r="G3326" s="2" t="str">
        <f>"SR-1749"</f>
        <v>SR-1749</v>
      </c>
      <c r="H3326" s="2" t="s">
        <v>6602</v>
      </c>
      <c r="I3326" s="2" t="s">
        <v>6603</v>
      </c>
      <c r="K3326" s="2" t="s">
        <v>1576</v>
      </c>
      <c r="L3326" s="2" t="s">
        <v>208</v>
      </c>
      <c r="M3326" s="2">
        <v>33566.0</v>
      </c>
      <c r="N3326" s="2" t="s">
        <v>21</v>
      </c>
    </row>
    <row r="3327" ht="15.75" customHeight="1">
      <c r="A3327" s="2">
        <v>2014.0</v>
      </c>
      <c r="B3327" s="2" t="s">
        <v>15692</v>
      </c>
      <c r="C3327" s="2" t="s">
        <v>15692</v>
      </c>
      <c r="D3327" s="2" t="str">
        <f>"3096787651"</f>
        <v>3096787651</v>
      </c>
      <c r="E3327" s="2" t="s">
        <v>453</v>
      </c>
      <c r="F3327" s="2" t="s">
        <v>15693</v>
      </c>
      <c r="G3327" s="2" t="str">
        <f>"SR-4553"</f>
        <v>SR-4553</v>
      </c>
      <c r="H3327" s="2" t="s">
        <v>15694</v>
      </c>
      <c r="I3327" s="2" t="s">
        <v>15695</v>
      </c>
      <c r="K3327" s="2" t="s">
        <v>15696</v>
      </c>
      <c r="L3327" s="2" t="s">
        <v>105</v>
      </c>
      <c r="M3327" s="2">
        <v>61570.0</v>
      </c>
      <c r="N3327" s="2" t="s">
        <v>21</v>
      </c>
    </row>
    <row r="3328" ht="15.75" customHeight="1">
      <c r="A3328" s="2">
        <v>2014.0</v>
      </c>
      <c r="B3328" s="2" t="s">
        <v>15697</v>
      </c>
      <c r="C3328" s="2" t="s">
        <v>15697</v>
      </c>
      <c r="D3328" s="2" t="str">
        <f>"5139198212"</f>
        <v>5139198212</v>
      </c>
      <c r="E3328" s="2" t="s">
        <v>15</v>
      </c>
      <c r="F3328" s="2" t="s">
        <v>711</v>
      </c>
      <c r="G3328" s="2" t="str">
        <f>"SR-4593"</f>
        <v>SR-4593</v>
      </c>
      <c r="H3328" s="2" t="s">
        <v>15698</v>
      </c>
      <c r="I3328" s="2" t="s">
        <v>15699</v>
      </c>
      <c r="K3328" s="2" t="s">
        <v>14929</v>
      </c>
      <c r="L3328" s="2" t="s">
        <v>344</v>
      </c>
      <c r="M3328" s="2">
        <v>45069.0</v>
      </c>
      <c r="N3328" s="2" t="s">
        <v>21</v>
      </c>
    </row>
    <row r="3329" ht="15.75" customHeight="1">
      <c r="A3329" s="2">
        <v>2014.0</v>
      </c>
      <c r="B3329" s="2" t="s">
        <v>15700</v>
      </c>
      <c r="C3329" s="2" t="s">
        <v>15701</v>
      </c>
      <c r="D3329" s="2" t="str">
        <f>"757-255-4088"</f>
        <v>757-255-4088</v>
      </c>
      <c r="E3329" s="2" t="s">
        <v>1782</v>
      </c>
      <c r="F3329" s="2" t="s">
        <v>1744</v>
      </c>
      <c r="G3329" s="2" t="str">
        <f>"SR-4537"</f>
        <v>SR-4537</v>
      </c>
      <c r="H3329" s="2" t="s">
        <v>15702</v>
      </c>
      <c r="I3329" s="2" t="s">
        <v>15703</v>
      </c>
      <c r="K3329" s="2" t="s">
        <v>1632</v>
      </c>
      <c r="L3329" s="2" t="s">
        <v>165</v>
      </c>
      <c r="M3329" s="2">
        <v>23487.0</v>
      </c>
      <c r="N3329" s="2" t="s">
        <v>21</v>
      </c>
    </row>
    <row r="3330" ht="15.75" customHeight="1">
      <c r="A3330" s="2">
        <v>2014.0</v>
      </c>
      <c r="B3330" s="2" t="s">
        <v>15704</v>
      </c>
      <c r="C3330" s="2" t="s">
        <v>15704</v>
      </c>
      <c r="D3330" s="2" t="str">
        <f>"405 249 8669"</f>
        <v>405 249 8669</v>
      </c>
      <c r="E3330" s="2" t="s">
        <v>1324</v>
      </c>
      <c r="F3330" s="2" t="s">
        <v>962</v>
      </c>
      <c r="G3330" s="2" t="str">
        <f>"SR-3846"</f>
        <v>SR-3846</v>
      </c>
      <c r="H3330" s="2" t="s">
        <v>15705</v>
      </c>
      <c r="I3330" s="2" t="s">
        <v>15706</v>
      </c>
      <c r="K3330" s="2" t="s">
        <v>2870</v>
      </c>
      <c r="L3330" s="2" t="s">
        <v>840</v>
      </c>
      <c r="M3330" s="2">
        <v>73026.0</v>
      </c>
      <c r="N3330" s="2" t="s">
        <v>21</v>
      </c>
    </row>
    <row r="3331" ht="15.75" customHeight="1">
      <c r="A3331" s="2">
        <v>2014.0</v>
      </c>
      <c r="B3331" s="2" t="s">
        <v>15707</v>
      </c>
      <c r="C3331" s="2" t="s">
        <v>15708</v>
      </c>
      <c r="D3331" s="2" t="str">
        <f>"503-710-7612"</f>
        <v>503-710-7612</v>
      </c>
      <c r="E3331" s="2" t="s">
        <v>2644</v>
      </c>
      <c r="F3331" s="2" t="s">
        <v>15709</v>
      </c>
      <c r="G3331" s="2" t="str">
        <f>"SR-4597"</f>
        <v>SR-4597</v>
      </c>
      <c r="H3331" s="2" t="s">
        <v>15710</v>
      </c>
      <c r="I3331" s="2" t="s">
        <v>15711</v>
      </c>
      <c r="K3331" s="2" t="s">
        <v>1520</v>
      </c>
      <c r="L3331" s="2" t="s">
        <v>2389</v>
      </c>
      <c r="M3331" s="2">
        <v>97002.0</v>
      </c>
      <c r="N3331" s="2" t="s">
        <v>21</v>
      </c>
    </row>
    <row r="3332" ht="15.75" customHeight="1">
      <c r="A3332" s="2">
        <v>2014.0</v>
      </c>
      <c r="B3332" s="2" t="s">
        <v>15712</v>
      </c>
      <c r="C3332" s="2" t="s">
        <v>15713</v>
      </c>
      <c r="D3332" s="2" t="str">
        <f>"510-205-3432"</f>
        <v>510-205-3432</v>
      </c>
      <c r="E3332" s="2" t="s">
        <v>843</v>
      </c>
      <c r="F3332" s="2" t="s">
        <v>15714</v>
      </c>
      <c r="G3332" s="2" t="str">
        <f>"SR-4511"</f>
        <v>SR-4511</v>
      </c>
      <c r="H3332" s="2" t="s">
        <v>15715</v>
      </c>
      <c r="I3332" s="2" t="s">
        <v>15716</v>
      </c>
      <c r="K3332" s="2" t="s">
        <v>15717</v>
      </c>
      <c r="L3332" s="2" t="s">
        <v>222</v>
      </c>
      <c r="M3332" s="2">
        <v>94578.0</v>
      </c>
      <c r="N3332" s="2" t="s">
        <v>21</v>
      </c>
    </row>
    <row r="3333" ht="15.75" customHeight="1">
      <c r="A3333" s="2">
        <v>2014.0</v>
      </c>
      <c r="B3333" s="2" t="s">
        <v>15718</v>
      </c>
      <c r="C3333" s="2" t="s">
        <v>15718</v>
      </c>
      <c r="D3333" s="2" t="str">
        <f>"503-710-0761"</f>
        <v>503-710-0761</v>
      </c>
      <c r="E3333" s="2" t="s">
        <v>15719</v>
      </c>
      <c r="F3333" s="2" t="s">
        <v>15709</v>
      </c>
      <c r="G3333" s="2" t="str">
        <f>"SR-4598"</f>
        <v>SR-4598</v>
      </c>
      <c r="H3333" s="2" t="s">
        <v>15720</v>
      </c>
      <c r="I3333" s="2" t="s">
        <v>15721</v>
      </c>
      <c r="K3333" s="2" t="s">
        <v>1520</v>
      </c>
      <c r="L3333" s="2" t="s">
        <v>2389</v>
      </c>
      <c r="M3333" s="2">
        <v>97002.0</v>
      </c>
      <c r="N3333" s="2" t="s">
        <v>21</v>
      </c>
    </row>
    <row r="3334" ht="15.75" customHeight="1">
      <c r="A3334" s="2">
        <v>2014.0</v>
      </c>
      <c r="B3334" s="2" t="s">
        <v>15722</v>
      </c>
      <c r="C3334" s="2" t="s">
        <v>15723</v>
      </c>
      <c r="D3334" s="2" t="str">
        <f>"630-730-2348"</f>
        <v>630-730-2348</v>
      </c>
      <c r="E3334" s="2" t="s">
        <v>1263</v>
      </c>
      <c r="F3334" s="2" t="s">
        <v>15724</v>
      </c>
      <c r="G3334" s="2" t="str">
        <f>"SR-4246"</f>
        <v>SR-4246</v>
      </c>
      <c r="H3334" s="2" t="s">
        <v>15725</v>
      </c>
      <c r="I3334" s="2" t="s">
        <v>15726</v>
      </c>
      <c r="K3334" s="2" t="s">
        <v>15727</v>
      </c>
      <c r="L3334" s="2" t="s">
        <v>105</v>
      </c>
      <c r="M3334" s="2">
        <v>60188.0</v>
      </c>
      <c r="N3334" s="2" t="s">
        <v>21</v>
      </c>
    </row>
    <row r="3335" ht="15.75" customHeight="1">
      <c r="A3335" s="2">
        <v>2014.0</v>
      </c>
      <c r="B3335" s="2" t="s">
        <v>15728</v>
      </c>
      <c r="C3335" s="2" t="s">
        <v>15729</v>
      </c>
      <c r="D3335" s="2" t="str">
        <f>"7193145134"</f>
        <v>7193145134</v>
      </c>
      <c r="E3335" s="2" t="s">
        <v>373</v>
      </c>
      <c r="F3335" s="2" t="s">
        <v>15730</v>
      </c>
      <c r="G3335" s="2" t="str">
        <f>"SR-2947"</f>
        <v>SR-2947</v>
      </c>
      <c r="H3335" s="2" t="s">
        <v>15731</v>
      </c>
      <c r="I3335" s="2" t="s">
        <v>15732</v>
      </c>
      <c r="K3335" s="2" t="s">
        <v>809</v>
      </c>
      <c r="L3335" s="2" t="s">
        <v>157</v>
      </c>
      <c r="M3335" s="2">
        <v>80923.0</v>
      </c>
      <c r="N3335" s="2" t="s">
        <v>21</v>
      </c>
    </row>
    <row r="3336" ht="15.75" customHeight="1">
      <c r="A3336" s="2">
        <v>2014.0</v>
      </c>
      <c r="B3336" s="2" t="s">
        <v>15733</v>
      </c>
      <c r="C3336" s="2" t="s">
        <v>15734</v>
      </c>
      <c r="D3336" s="2" t="str">
        <f>"303-656-7652"</f>
        <v>303-656-7652</v>
      </c>
      <c r="E3336" s="2" t="s">
        <v>2361</v>
      </c>
      <c r="F3336" s="2" t="s">
        <v>2474</v>
      </c>
      <c r="G3336" s="2" t="str">
        <f>"SR-4601"</f>
        <v>SR-4601</v>
      </c>
      <c r="H3336" s="2" t="s">
        <v>15735</v>
      </c>
      <c r="I3336" s="2" t="s">
        <v>15736</v>
      </c>
      <c r="K3336" s="2" t="s">
        <v>992</v>
      </c>
      <c r="L3336" s="2" t="s">
        <v>157</v>
      </c>
      <c r="M3336" s="2">
        <v>80015.0</v>
      </c>
      <c r="N3336" s="2" t="s">
        <v>21</v>
      </c>
    </row>
    <row r="3337" ht="15.75" customHeight="1">
      <c r="A3337" s="2">
        <v>2014.0</v>
      </c>
      <c r="B3337" s="2" t="s">
        <v>15737</v>
      </c>
      <c r="C3337" s="2" t="s">
        <v>15737</v>
      </c>
      <c r="D3337" s="2" t="str">
        <f>"605-388-9755"</f>
        <v>605-388-9755</v>
      </c>
      <c r="E3337" s="2" t="s">
        <v>3750</v>
      </c>
      <c r="F3337" s="2" t="s">
        <v>962</v>
      </c>
      <c r="G3337" s="2" t="str">
        <f>"SR-4605"</f>
        <v>SR-4605</v>
      </c>
      <c r="H3337" s="2" t="s">
        <v>15738</v>
      </c>
      <c r="I3337" s="2" t="s">
        <v>15739</v>
      </c>
      <c r="K3337" s="2" t="s">
        <v>11510</v>
      </c>
      <c r="L3337" s="2" t="s">
        <v>920</v>
      </c>
      <c r="M3337" s="2">
        <v>57702.0</v>
      </c>
      <c r="N3337" s="2" t="s">
        <v>21</v>
      </c>
    </row>
    <row r="3338" ht="15.75" customHeight="1">
      <c r="A3338" s="2">
        <v>2014.0</v>
      </c>
      <c r="B3338" s="2" t="s">
        <v>15740</v>
      </c>
      <c r="C3338" s="2" t="s">
        <v>15741</v>
      </c>
      <c r="D3338" s="2" t="str">
        <f>"970-876-5671"</f>
        <v>970-876-5671</v>
      </c>
      <c r="E3338" s="2" t="s">
        <v>705</v>
      </c>
      <c r="F3338" s="2" t="s">
        <v>11388</v>
      </c>
      <c r="G3338" s="2" t="str">
        <f>"SR-4609"</f>
        <v>SR-4609</v>
      </c>
      <c r="H3338" s="2" t="s">
        <v>15742</v>
      </c>
      <c r="I3338" s="2" t="s">
        <v>15743</v>
      </c>
      <c r="K3338" s="2" t="s">
        <v>15744</v>
      </c>
      <c r="L3338" s="2" t="s">
        <v>157</v>
      </c>
      <c r="M3338" s="2">
        <v>81652.0</v>
      </c>
      <c r="N3338" s="2" t="s">
        <v>21</v>
      </c>
    </row>
    <row r="3339" ht="15.75" customHeight="1">
      <c r="A3339" s="2">
        <v>2014.0</v>
      </c>
      <c r="B3339" s="2" t="s">
        <v>15745</v>
      </c>
      <c r="C3339" s="2" t="s">
        <v>15745</v>
      </c>
      <c r="D3339" s="2" t="str">
        <f>"7655702080"</f>
        <v>7655702080</v>
      </c>
      <c r="E3339" s="2" t="s">
        <v>2433</v>
      </c>
      <c r="F3339" s="2" t="s">
        <v>8134</v>
      </c>
      <c r="G3339" s="2" t="str">
        <f>"SR-4409"</f>
        <v>SR-4409</v>
      </c>
      <c r="H3339" s="2" t="s">
        <v>8135</v>
      </c>
      <c r="I3339" s="2" t="s">
        <v>15746</v>
      </c>
      <c r="K3339" s="2" t="s">
        <v>8137</v>
      </c>
      <c r="L3339" s="2" t="s">
        <v>149</v>
      </c>
      <c r="M3339" s="2">
        <v>46173.0</v>
      </c>
      <c r="N3339" s="2" t="s">
        <v>21</v>
      </c>
    </row>
    <row r="3340" ht="15.75" customHeight="1">
      <c r="A3340" s="2">
        <v>2014.0</v>
      </c>
      <c r="B3340" s="2" t="s">
        <v>15745</v>
      </c>
      <c r="C3340" s="2" t="s">
        <v>15747</v>
      </c>
      <c r="D3340" s="2" t="str">
        <f>"7655708726"</f>
        <v>7655708726</v>
      </c>
      <c r="E3340" s="2" t="s">
        <v>1022</v>
      </c>
      <c r="F3340" s="2" t="s">
        <v>8134</v>
      </c>
      <c r="G3340" s="2" t="str">
        <f>"SR-4416"</f>
        <v>SR-4416</v>
      </c>
      <c r="H3340" s="2" t="s">
        <v>15748</v>
      </c>
      <c r="I3340" s="2" t="s">
        <v>15749</v>
      </c>
      <c r="K3340" s="2" t="s">
        <v>8137</v>
      </c>
      <c r="L3340" s="2" t="s">
        <v>149</v>
      </c>
      <c r="M3340" s="2">
        <v>46173.0</v>
      </c>
      <c r="N3340" s="2" t="s">
        <v>21</v>
      </c>
    </row>
    <row r="3341" ht="15.75" customHeight="1">
      <c r="A3341" s="2">
        <v>2014.0</v>
      </c>
      <c r="B3341" s="2" t="s">
        <v>15750</v>
      </c>
      <c r="C3341" s="2" t="s">
        <v>15751</v>
      </c>
      <c r="D3341" s="2" t="str">
        <f>"2814750382"</f>
        <v>2814750382</v>
      </c>
      <c r="E3341" s="2" t="s">
        <v>15752</v>
      </c>
      <c r="F3341" s="2" t="s">
        <v>15753</v>
      </c>
      <c r="G3341" s="2" t="str">
        <f>"SR-4612"</f>
        <v>SR-4612</v>
      </c>
      <c r="H3341" s="2" t="s">
        <v>15754</v>
      </c>
      <c r="I3341" s="2" t="s">
        <v>15755</v>
      </c>
      <c r="K3341" s="2" t="s">
        <v>15756</v>
      </c>
      <c r="L3341" s="2" t="s">
        <v>172</v>
      </c>
      <c r="M3341" s="2">
        <v>77316.0</v>
      </c>
      <c r="N3341" s="2" t="s">
        <v>21</v>
      </c>
    </row>
    <row r="3342" ht="15.75" customHeight="1">
      <c r="A3342" s="2">
        <v>2014.0</v>
      </c>
      <c r="B3342" s="2" t="s">
        <v>15757</v>
      </c>
      <c r="C3342" s="2" t="s">
        <v>15758</v>
      </c>
      <c r="D3342" s="2" t="str">
        <f>"9493787772"</f>
        <v>9493787772</v>
      </c>
      <c r="E3342" s="2" t="s">
        <v>1239</v>
      </c>
      <c r="F3342" s="2" t="s">
        <v>15759</v>
      </c>
      <c r="G3342" s="2" t="str">
        <f>"SR-4595"</f>
        <v>SR-4595</v>
      </c>
      <c r="H3342" s="2" t="s">
        <v>15760</v>
      </c>
      <c r="I3342" s="2" t="s">
        <v>15761</v>
      </c>
      <c r="K3342" s="2" t="s">
        <v>9670</v>
      </c>
      <c r="L3342" s="2" t="s">
        <v>222</v>
      </c>
      <c r="M3342" s="2">
        <v>92673.0</v>
      </c>
      <c r="N3342" s="2" t="s">
        <v>21</v>
      </c>
    </row>
    <row r="3343" ht="15.75" customHeight="1">
      <c r="A3343" s="2">
        <v>2014.0</v>
      </c>
      <c r="B3343" s="2" t="s">
        <v>15762</v>
      </c>
      <c r="C3343" s="2" t="s">
        <v>15762</v>
      </c>
      <c r="D3343" s="2" t="str">
        <f t="shared" ref="D3343:D3344" si="56">"719 351-9969"</f>
        <v>719 351-9969</v>
      </c>
      <c r="E3343" s="2" t="s">
        <v>1263</v>
      </c>
      <c r="F3343" s="2" t="s">
        <v>15763</v>
      </c>
      <c r="G3343" s="2" t="str">
        <f>"SR-4607"</f>
        <v>SR-4607</v>
      </c>
      <c r="H3343" s="2" t="s">
        <v>15764</v>
      </c>
      <c r="I3343" s="2" t="s">
        <v>15765</v>
      </c>
      <c r="K3343" s="2" t="s">
        <v>1862</v>
      </c>
      <c r="L3343" s="2" t="s">
        <v>157</v>
      </c>
      <c r="M3343" s="2">
        <v>80921.0</v>
      </c>
      <c r="N3343" s="2" t="s">
        <v>21</v>
      </c>
    </row>
    <row r="3344" ht="15.75" customHeight="1">
      <c r="A3344" s="2">
        <v>2014.0</v>
      </c>
      <c r="B3344" s="2" t="s">
        <v>15762</v>
      </c>
      <c r="C3344" s="2" t="s">
        <v>15762</v>
      </c>
      <c r="D3344" s="2" t="str">
        <f t="shared" si="56"/>
        <v>719 351-9969</v>
      </c>
      <c r="E3344" s="2" t="s">
        <v>1946</v>
      </c>
      <c r="F3344" s="2" t="s">
        <v>15763</v>
      </c>
      <c r="G3344" s="2" t="str">
        <f>"SR-4608"</f>
        <v>SR-4608</v>
      </c>
      <c r="H3344" s="2" t="s">
        <v>15766</v>
      </c>
      <c r="I3344" s="2" t="s">
        <v>15765</v>
      </c>
      <c r="K3344" s="2" t="s">
        <v>1862</v>
      </c>
      <c r="L3344" s="2" t="s">
        <v>157</v>
      </c>
      <c r="M3344" s="2">
        <v>80921.0</v>
      </c>
      <c r="N3344" s="2" t="s">
        <v>21</v>
      </c>
    </row>
    <row r="3345" ht="15.75" customHeight="1">
      <c r="A3345" s="2">
        <v>2014.0</v>
      </c>
      <c r="B3345" s="2" t="s">
        <v>6515</v>
      </c>
      <c r="C3345" s="2" t="s">
        <v>15767</v>
      </c>
      <c r="D3345" s="2" t="str">
        <f>"423-775-1410"</f>
        <v>423-775-1410</v>
      </c>
      <c r="E3345" s="2" t="s">
        <v>2361</v>
      </c>
      <c r="F3345" s="2" t="s">
        <v>3978</v>
      </c>
      <c r="G3345" s="2" t="str">
        <f>"SR-4588"</f>
        <v>SR-4588</v>
      </c>
      <c r="H3345" s="2" t="s">
        <v>15768</v>
      </c>
      <c r="I3345" s="2" t="s">
        <v>15769</v>
      </c>
      <c r="K3345" s="2" t="s">
        <v>4310</v>
      </c>
      <c r="L3345" s="2" t="s">
        <v>279</v>
      </c>
      <c r="M3345" s="2">
        <v>37321.0</v>
      </c>
      <c r="N3345" s="2" t="s">
        <v>21</v>
      </c>
    </row>
    <row r="3346" ht="15.75" customHeight="1">
      <c r="A3346" s="2">
        <v>2014.0</v>
      </c>
      <c r="B3346" s="2" t="s">
        <v>15770</v>
      </c>
      <c r="C3346" s="2" t="s">
        <v>15771</v>
      </c>
      <c r="D3346" s="2" t="str">
        <f>"330 650 0331"</f>
        <v>330 650 0331</v>
      </c>
      <c r="E3346" s="2" t="s">
        <v>5760</v>
      </c>
      <c r="F3346" s="2" t="s">
        <v>10571</v>
      </c>
      <c r="G3346" s="2" t="str">
        <f>"SR-4617"</f>
        <v>SR-4617</v>
      </c>
      <c r="H3346" s="2" t="s">
        <v>15772</v>
      </c>
      <c r="I3346" s="2" t="s">
        <v>15773</v>
      </c>
      <c r="K3346" s="2" t="s">
        <v>3978</v>
      </c>
      <c r="L3346" s="2" t="s">
        <v>344</v>
      </c>
      <c r="M3346" s="2">
        <v>44236.0</v>
      </c>
      <c r="N3346" s="2" t="s">
        <v>21</v>
      </c>
    </row>
    <row r="3347" ht="15.75" customHeight="1">
      <c r="A3347" s="2">
        <v>2014.0</v>
      </c>
      <c r="B3347" s="2" t="s">
        <v>15774</v>
      </c>
      <c r="C3347" s="2" t="s">
        <v>15775</v>
      </c>
      <c r="D3347" s="2" t="str">
        <f t="shared" ref="D3347:D3348" si="57">"612-321-6159"</f>
        <v>612-321-6159</v>
      </c>
      <c r="E3347" s="2" t="s">
        <v>1251</v>
      </c>
      <c r="F3347" s="2" t="s">
        <v>15776</v>
      </c>
      <c r="G3347" s="2" t="str">
        <f>"SR-4614"</f>
        <v>SR-4614</v>
      </c>
      <c r="H3347" s="2" t="s">
        <v>15777</v>
      </c>
      <c r="I3347" s="2" t="s">
        <v>15778</v>
      </c>
      <c r="K3347" s="2" t="s">
        <v>2909</v>
      </c>
      <c r="L3347" s="2" t="s">
        <v>62</v>
      </c>
      <c r="M3347" s="2">
        <v>55441.0</v>
      </c>
      <c r="N3347" s="2" t="s">
        <v>21</v>
      </c>
    </row>
    <row r="3348" ht="15.75" customHeight="1">
      <c r="A3348" s="2">
        <v>2014.0</v>
      </c>
      <c r="B3348" s="2" t="s">
        <v>15774</v>
      </c>
      <c r="C3348" s="2" t="s">
        <v>15779</v>
      </c>
      <c r="D3348" s="2" t="str">
        <f t="shared" si="57"/>
        <v>612-321-6159</v>
      </c>
      <c r="E3348" s="2" t="s">
        <v>15780</v>
      </c>
      <c r="F3348" s="2" t="s">
        <v>15776</v>
      </c>
      <c r="G3348" s="2" t="str">
        <f>"SR-4615"</f>
        <v>SR-4615</v>
      </c>
      <c r="H3348" s="2" t="s">
        <v>15781</v>
      </c>
      <c r="I3348" s="2" t="s">
        <v>15778</v>
      </c>
      <c r="K3348" s="2" t="s">
        <v>2909</v>
      </c>
      <c r="L3348" s="2" t="s">
        <v>62</v>
      </c>
      <c r="M3348" s="2">
        <v>55441.0</v>
      </c>
      <c r="N3348" s="2" t="s">
        <v>21</v>
      </c>
    </row>
    <row r="3349" ht="15.75" customHeight="1">
      <c r="A3349" s="2">
        <v>2014.0</v>
      </c>
      <c r="B3349" s="2" t="s">
        <v>15782</v>
      </c>
      <c r="C3349" s="2" t="s">
        <v>15782</v>
      </c>
      <c r="D3349" s="2" t="str">
        <f>"7656069017"</f>
        <v>7656069017</v>
      </c>
      <c r="E3349" s="2" t="s">
        <v>160</v>
      </c>
      <c r="F3349" s="2" t="s">
        <v>15783</v>
      </c>
      <c r="G3349" s="2" t="str">
        <f>"SR-4619"</f>
        <v>SR-4619</v>
      </c>
      <c r="H3349" s="2" t="s">
        <v>15784</v>
      </c>
      <c r="I3349" s="2" t="s">
        <v>15785</v>
      </c>
      <c r="K3349" s="2" t="s">
        <v>15786</v>
      </c>
      <c r="L3349" s="2" t="s">
        <v>149</v>
      </c>
      <c r="M3349" s="2">
        <v>46064.0</v>
      </c>
      <c r="N3349" s="2" t="s">
        <v>21</v>
      </c>
    </row>
    <row r="3350" ht="15.75" customHeight="1">
      <c r="A3350" s="2">
        <v>2014.0</v>
      </c>
      <c r="B3350" s="2" t="s">
        <v>15787</v>
      </c>
      <c r="C3350" s="2" t="s">
        <v>15788</v>
      </c>
      <c r="D3350" s="2" t="str">
        <f>"850-5595495"</f>
        <v>850-5595495</v>
      </c>
      <c r="E3350" s="2" t="s">
        <v>6561</v>
      </c>
      <c r="F3350" s="2" t="s">
        <v>1101</v>
      </c>
      <c r="G3350" s="2" t="str">
        <f>"SR-3901"</f>
        <v>SR-3901</v>
      </c>
      <c r="H3350" s="2" t="s">
        <v>15789</v>
      </c>
      <c r="I3350" s="2" t="s">
        <v>15790</v>
      </c>
      <c r="K3350" s="2" t="s">
        <v>2007</v>
      </c>
      <c r="L3350" s="2" t="s">
        <v>208</v>
      </c>
      <c r="M3350" s="2">
        <v>32309.0</v>
      </c>
      <c r="N3350" s="2" t="s">
        <v>21</v>
      </c>
    </row>
    <row r="3351" ht="15.75" customHeight="1">
      <c r="A3351" s="2">
        <v>2014.0</v>
      </c>
      <c r="B3351" s="2" t="s">
        <v>15791</v>
      </c>
      <c r="C3351" s="2" t="s">
        <v>15791</v>
      </c>
      <c r="D3351" s="2" t="str">
        <f>"2528148622"</f>
        <v>2528148622</v>
      </c>
      <c r="E3351" s="2" t="s">
        <v>824</v>
      </c>
      <c r="F3351" s="2" t="s">
        <v>15792</v>
      </c>
      <c r="G3351" s="2" t="str">
        <f>"SR-4596"</f>
        <v>SR-4596</v>
      </c>
      <c r="H3351" s="2" t="s">
        <v>15793</v>
      </c>
      <c r="I3351" s="2" t="s">
        <v>15794</v>
      </c>
      <c r="K3351" s="2" t="s">
        <v>15795</v>
      </c>
      <c r="L3351" s="2" t="s">
        <v>20</v>
      </c>
      <c r="M3351" s="2">
        <v>28590.0</v>
      </c>
      <c r="N3351" s="2" t="s">
        <v>21</v>
      </c>
    </row>
    <row r="3352" ht="15.75" customHeight="1">
      <c r="A3352" s="2">
        <v>2014.0</v>
      </c>
      <c r="B3352" s="2" t="s">
        <v>15796</v>
      </c>
      <c r="C3352" s="2" t="s">
        <v>15796</v>
      </c>
      <c r="D3352" s="2" t="str">
        <f>"954-226-7033"</f>
        <v>954-226-7033</v>
      </c>
      <c r="E3352" s="2" t="s">
        <v>57</v>
      </c>
      <c r="F3352" s="2" t="s">
        <v>15797</v>
      </c>
      <c r="G3352" s="2" t="str">
        <f>"SR-4622"</f>
        <v>SR-4622</v>
      </c>
      <c r="H3352" s="2" t="s">
        <v>15798</v>
      </c>
      <c r="I3352" s="2" t="s">
        <v>15799</v>
      </c>
      <c r="K3352" s="2" t="s">
        <v>15800</v>
      </c>
      <c r="L3352" s="2" t="s">
        <v>208</v>
      </c>
      <c r="M3352" s="2">
        <v>33029.0</v>
      </c>
      <c r="N3352" s="2" t="s">
        <v>21</v>
      </c>
    </row>
    <row r="3353" ht="15.75" customHeight="1">
      <c r="A3353" s="2">
        <v>2014.0</v>
      </c>
      <c r="B3353" s="2" t="s">
        <v>15801</v>
      </c>
      <c r="C3353" s="2" t="s">
        <v>15802</v>
      </c>
      <c r="D3353" s="2" t="str">
        <f t="shared" ref="D3353:D3354" si="58">"402-761-2259"</f>
        <v>402-761-2259</v>
      </c>
      <c r="E3353" s="2" t="s">
        <v>282</v>
      </c>
      <c r="F3353" s="2" t="s">
        <v>1040</v>
      </c>
      <c r="G3353" s="2" t="str">
        <f>"SR-4630"</f>
        <v>SR-4630</v>
      </c>
      <c r="H3353" s="2" t="s">
        <v>15803</v>
      </c>
      <c r="I3353" s="2" t="s">
        <v>15804</v>
      </c>
      <c r="K3353" s="2" t="s">
        <v>3141</v>
      </c>
      <c r="L3353" s="2" t="s">
        <v>757</v>
      </c>
      <c r="M3353" s="2">
        <v>68405.0</v>
      </c>
      <c r="N3353" s="2" t="s">
        <v>21</v>
      </c>
    </row>
    <row r="3354" ht="15.75" customHeight="1">
      <c r="A3354" s="2">
        <v>2014.0</v>
      </c>
      <c r="B3354" s="2" t="s">
        <v>15805</v>
      </c>
      <c r="C3354" s="2" t="s">
        <v>15805</v>
      </c>
      <c r="D3354" s="2" t="str">
        <f t="shared" si="58"/>
        <v>402-761-2259</v>
      </c>
      <c r="E3354" s="2" t="s">
        <v>6606</v>
      </c>
      <c r="F3354" s="2" t="s">
        <v>1040</v>
      </c>
      <c r="G3354" s="2" t="str">
        <f>"SR-4632"</f>
        <v>SR-4632</v>
      </c>
      <c r="H3354" s="2" t="s">
        <v>15806</v>
      </c>
      <c r="I3354" s="2" t="s">
        <v>15807</v>
      </c>
      <c r="K3354" s="2" t="s">
        <v>3141</v>
      </c>
      <c r="L3354" s="2" t="s">
        <v>757</v>
      </c>
      <c r="M3354" s="2">
        <v>68405.0</v>
      </c>
      <c r="N3354" s="2" t="s">
        <v>21</v>
      </c>
    </row>
    <row r="3355" ht="15.75" customHeight="1">
      <c r="A3355" s="2">
        <v>2014.0</v>
      </c>
      <c r="B3355" s="2" t="s">
        <v>15808</v>
      </c>
      <c r="C3355" s="2" t="s">
        <v>15809</v>
      </c>
      <c r="D3355" s="2" t="str">
        <f>"5127553304"</f>
        <v>5127553304</v>
      </c>
      <c r="E3355" s="2" t="s">
        <v>678</v>
      </c>
      <c r="F3355" s="2" t="s">
        <v>89</v>
      </c>
      <c r="G3355" s="2" t="str">
        <f>"SR-4621"</f>
        <v>SR-4621</v>
      </c>
      <c r="H3355" s="2" t="s">
        <v>10714</v>
      </c>
      <c r="I3355" s="2" t="s">
        <v>15810</v>
      </c>
      <c r="K3355" s="2" t="s">
        <v>10222</v>
      </c>
      <c r="L3355" s="2" t="s">
        <v>172</v>
      </c>
      <c r="M3355" s="2">
        <v>78654.0</v>
      </c>
      <c r="N3355" s="2" t="s">
        <v>21</v>
      </c>
    </row>
    <row r="3356" ht="15.75" customHeight="1">
      <c r="A3356" s="2">
        <v>2014.0</v>
      </c>
      <c r="B3356" s="2" t="s">
        <v>15808</v>
      </c>
      <c r="C3356" s="2" t="s">
        <v>15811</v>
      </c>
      <c r="D3356" s="2" t="str">
        <f>"5127553470"</f>
        <v>5127553470</v>
      </c>
      <c r="E3356" s="2" t="s">
        <v>4300</v>
      </c>
      <c r="F3356" s="2" t="s">
        <v>89</v>
      </c>
      <c r="G3356" s="2" t="str">
        <f>"SR-4627"</f>
        <v>SR-4627</v>
      </c>
      <c r="H3356" s="2" t="s">
        <v>15812</v>
      </c>
      <c r="I3356" s="2" t="s">
        <v>15813</v>
      </c>
      <c r="K3356" s="2" t="s">
        <v>10222</v>
      </c>
      <c r="L3356" s="2" t="s">
        <v>172</v>
      </c>
      <c r="M3356" s="2">
        <v>78654.0</v>
      </c>
      <c r="N3356" s="2" t="s">
        <v>21</v>
      </c>
    </row>
    <row r="3357" ht="15.75" customHeight="1">
      <c r="A3357" s="2">
        <v>2014.0</v>
      </c>
      <c r="B3357" s="2" t="s">
        <v>15814</v>
      </c>
      <c r="C3357" s="2" t="s">
        <v>15814</v>
      </c>
      <c r="D3357" s="2" t="str">
        <f>"719-313-0511"</f>
        <v>719-313-0511</v>
      </c>
      <c r="E3357" s="2" t="s">
        <v>15815</v>
      </c>
      <c r="F3357" s="2" t="s">
        <v>12419</v>
      </c>
      <c r="G3357" s="2" t="str">
        <f>"SR-4629"</f>
        <v>SR-4629</v>
      </c>
      <c r="H3357" s="2" t="s">
        <v>15816</v>
      </c>
      <c r="I3357" s="2" t="s">
        <v>15817</v>
      </c>
      <c r="K3357" s="2" t="s">
        <v>15818</v>
      </c>
      <c r="L3357" s="2" t="s">
        <v>157</v>
      </c>
      <c r="M3357" s="2">
        <v>80922.0</v>
      </c>
      <c r="N3357" s="2" t="s">
        <v>21</v>
      </c>
    </row>
    <row r="3358" ht="15.75" customHeight="1">
      <c r="A3358" s="2">
        <v>2014.0</v>
      </c>
      <c r="B3358" s="2" t="s">
        <v>15819</v>
      </c>
      <c r="C3358" s="2" t="s">
        <v>15820</v>
      </c>
      <c r="D3358" s="2" t="str">
        <f>"5308788950"</f>
        <v>5308788950</v>
      </c>
      <c r="E3358" s="2" t="s">
        <v>72</v>
      </c>
      <c r="F3358" s="2" t="s">
        <v>12683</v>
      </c>
      <c r="G3358" s="2" t="str">
        <f>"SR-4635"</f>
        <v>SR-4635</v>
      </c>
      <c r="H3358" s="2" t="s">
        <v>15821</v>
      </c>
      <c r="I3358" s="2" t="s">
        <v>15822</v>
      </c>
      <c r="K3358" s="2" t="s">
        <v>15823</v>
      </c>
      <c r="L3358" s="2" t="s">
        <v>222</v>
      </c>
      <c r="M3358" s="2">
        <v>95722.0</v>
      </c>
      <c r="N3358" s="2" t="s">
        <v>21</v>
      </c>
    </row>
    <row r="3359" ht="15.75" customHeight="1">
      <c r="A3359" s="2">
        <v>2014.0</v>
      </c>
      <c r="B3359" s="2" t="s">
        <v>15824</v>
      </c>
      <c r="D3359" s="2" t="str">
        <f>""</f>
        <v/>
      </c>
      <c r="E3359" s="2" t="s">
        <v>1810</v>
      </c>
      <c r="F3359" s="2" t="s">
        <v>15825</v>
      </c>
      <c r="G3359" s="2" t="str">
        <f>"SR-4618"</f>
        <v>SR-4618</v>
      </c>
      <c r="H3359" s="2" t="s">
        <v>15826</v>
      </c>
    </row>
    <row r="3360" ht="15.75" customHeight="1">
      <c r="A3360" s="2">
        <v>2014.0</v>
      </c>
      <c r="B3360" s="2" t="s">
        <v>15827</v>
      </c>
      <c r="C3360" s="2" t="s">
        <v>15827</v>
      </c>
      <c r="D3360" s="2" t="str">
        <f>"336-693-4511"</f>
        <v>336-693-4511</v>
      </c>
      <c r="E3360" s="2" t="s">
        <v>5244</v>
      </c>
      <c r="F3360" s="2" t="s">
        <v>4941</v>
      </c>
      <c r="G3360" s="2" t="str">
        <f>"SR-4592"</f>
        <v>SR-4592</v>
      </c>
      <c r="H3360" s="2" t="s">
        <v>15828</v>
      </c>
      <c r="I3360" s="2" t="s">
        <v>15829</v>
      </c>
      <c r="K3360" s="2" t="s">
        <v>15830</v>
      </c>
      <c r="L3360" s="2" t="s">
        <v>20</v>
      </c>
      <c r="M3360" s="2">
        <v>27201.0</v>
      </c>
      <c r="N3360" s="2" t="s">
        <v>21</v>
      </c>
    </row>
    <row r="3361" ht="15.75" customHeight="1">
      <c r="A3361" s="2">
        <v>2014.0</v>
      </c>
      <c r="B3361" s="2" t="s">
        <v>15831</v>
      </c>
      <c r="C3361" s="2" t="s">
        <v>15832</v>
      </c>
      <c r="D3361" s="2" t="str">
        <f>"571-271-5767"</f>
        <v>571-271-5767</v>
      </c>
      <c r="E3361" s="2" t="s">
        <v>1001</v>
      </c>
      <c r="F3361" s="2" t="s">
        <v>15833</v>
      </c>
      <c r="G3361" s="2" t="str">
        <f>"SR-4637"</f>
        <v>SR-4637</v>
      </c>
      <c r="H3361" s="2" t="s">
        <v>15834</v>
      </c>
      <c r="I3361" s="2" t="s">
        <v>15835</v>
      </c>
      <c r="K3361" s="2" t="s">
        <v>6860</v>
      </c>
      <c r="L3361" s="2" t="s">
        <v>165</v>
      </c>
      <c r="M3361" s="2">
        <v>20132.0</v>
      </c>
      <c r="N3361" s="2" t="s">
        <v>21</v>
      </c>
    </row>
    <row r="3362" ht="15.75" customHeight="1">
      <c r="A3362" s="2">
        <v>2014.0</v>
      </c>
      <c r="B3362" s="2" t="s">
        <v>15836</v>
      </c>
      <c r="C3362" s="2" t="s">
        <v>15836</v>
      </c>
      <c r="D3362" s="2" t="str">
        <f>"512-756-1966"</f>
        <v>512-756-1966</v>
      </c>
      <c r="E3362" s="2" t="s">
        <v>6499</v>
      </c>
      <c r="F3362" s="2" t="s">
        <v>15837</v>
      </c>
      <c r="G3362" s="2" t="str">
        <f>"SR-4631"</f>
        <v>SR-4631</v>
      </c>
      <c r="H3362" s="2" t="s">
        <v>15838</v>
      </c>
      <c r="I3362" s="2" t="s">
        <v>15839</v>
      </c>
      <c r="K3362" s="2" t="s">
        <v>15840</v>
      </c>
      <c r="L3362" s="2" t="s">
        <v>172</v>
      </c>
      <c r="M3362" s="2">
        <v>78611.0</v>
      </c>
      <c r="N3362" s="2" t="s">
        <v>21</v>
      </c>
    </row>
    <row r="3363" ht="15.75" customHeight="1">
      <c r="A3363" s="2">
        <v>2014.0</v>
      </c>
      <c r="B3363" s="2" t="s">
        <v>15841</v>
      </c>
      <c r="C3363" s="2" t="s">
        <v>5015</v>
      </c>
      <c r="D3363" s="2" t="str">
        <f>"1-205-594-4942"</f>
        <v>1-205-594-4942</v>
      </c>
      <c r="E3363" s="2" t="s">
        <v>5016</v>
      </c>
      <c r="F3363" s="2" t="s">
        <v>3028</v>
      </c>
      <c r="G3363" s="2" t="str">
        <f>"SR-4639"</f>
        <v>SR-4639</v>
      </c>
      <c r="H3363" s="2" t="s">
        <v>5017</v>
      </c>
      <c r="I3363" s="2" t="s">
        <v>5018</v>
      </c>
      <c r="K3363" s="2" t="s">
        <v>5019</v>
      </c>
      <c r="L3363" s="2" t="s">
        <v>539</v>
      </c>
      <c r="M3363" s="2">
        <v>35953.0</v>
      </c>
      <c r="N3363" s="2" t="s">
        <v>21</v>
      </c>
    </row>
    <row r="3364" ht="15.75" customHeight="1">
      <c r="A3364" s="2">
        <v>2014.0</v>
      </c>
      <c r="B3364" s="2" t="s">
        <v>15842</v>
      </c>
      <c r="C3364" s="2" t="s">
        <v>15842</v>
      </c>
      <c r="D3364" s="2" t="str">
        <f>"843 852 9431"</f>
        <v>843 852 9431</v>
      </c>
      <c r="E3364" s="2" t="s">
        <v>1015</v>
      </c>
      <c r="F3364" s="2" t="s">
        <v>15843</v>
      </c>
      <c r="G3364" s="2" t="str">
        <f>"SR-4641"</f>
        <v>SR-4641</v>
      </c>
      <c r="H3364" s="2" t="s">
        <v>15844</v>
      </c>
      <c r="I3364" s="2" t="s">
        <v>15845</v>
      </c>
      <c r="K3364" s="2" t="s">
        <v>15846</v>
      </c>
      <c r="L3364" s="2" t="s">
        <v>55</v>
      </c>
      <c r="M3364" s="2">
        <v>29470.0</v>
      </c>
      <c r="N3364" s="2" t="s">
        <v>21</v>
      </c>
    </row>
    <row r="3365" ht="15.75" customHeight="1">
      <c r="A3365" s="2">
        <v>2014.0</v>
      </c>
      <c r="B3365" s="2" t="s">
        <v>15847</v>
      </c>
      <c r="C3365" s="2" t="s">
        <v>15848</v>
      </c>
      <c r="D3365" s="2" t="str">
        <f>"2693030172"</f>
        <v>2693030172</v>
      </c>
      <c r="E3365" s="2" t="s">
        <v>2361</v>
      </c>
      <c r="F3365" s="2" t="s">
        <v>1849</v>
      </c>
      <c r="G3365" s="2" t="str">
        <f>"SR-4640"</f>
        <v>SR-4640</v>
      </c>
      <c r="H3365" s="2" t="s">
        <v>15849</v>
      </c>
      <c r="I3365" s="2" t="s">
        <v>15850</v>
      </c>
      <c r="K3365" s="2" t="s">
        <v>15851</v>
      </c>
      <c r="L3365" s="2" t="s">
        <v>29</v>
      </c>
      <c r="M3365" s="2">
        <v>49010.0</v>
      </c>
      <c r="N3365" s="2" t="s">
        <v>21</v>
      </c>
    </row>
    <row r="3366" ht="15.75" customHeight="1">
      <c r="A3366" s="2">
        <v>2014.0</v>
      </c>
      <c r="B3366" s="2" t="s">
        <v>727</v>
      </c>
      <c r="C3366" s="2" t="s">
        <v>727</v>
      </c>
      <c r="D3366" s="2" t="str">
        <f>"8129299576"</f>
        <v>8129299576</v>
      </c>
      <c r="E3366" s="2" t="s">
        <v>718</v>
      </c>
      <c r="F3366" s="2" t="s">
        <v>728</v>
      </c>
      <c r="G3366" s="2" t="str">
        <f>"SR-196"</f>
        <v>SR-196</v>
      </c>
      <c r="H3366" s="2" t="s">
        <v>729</v>
      </c>
      <c r="I3366" s="2" t="s">
        <v>730</v>
      </c>
      <c r="K3366" s="2" t="s">
        <v>731</v>
      </c>
      <c r="L3366" s="2" t="s">
        <v>149</v>
      </c>
      <c r="M3366" s="2">
        <v>47448.0</v>
      </c>
      <c r="N3366" s="2" t="s">
        <v>21</v>
      </c>
    </row>
    <row r="3367" ht="15.75" customHeight="1">
      <c r="A3367" s="2">
        <v>2014.0</v>
      </c>
      <c r="B3367" s="2" t="s">
        <v>15808</v>
      </c>
      <c r="C3367" s="2" t="s">
        <v>15852</v>
      </c>
      <c r="D3367" s="2" t="str">
        <f>"830-220-3556"</f>
        <v>830-220-3556</v>
      </c>
      <c r="E3367" s="2" t="s">
        <v>15853</v>
      </c>
      <c r="F3367" s="2" t="s">
        <v>89</v>
      </c>
      <c r="G3367" s="2" t="str">
        <f>"SR-4638"</f>
        <v>SR-4638</v>
      </c>
      <c r="H3367" s="2" t="s">
        <v>15854</v>
      </c>
      <c r="I3367" s="2" t="s">
        <v>15813</v>
      </c>
      <c r="K3367" s="2" t="s">
        <v>10222</v>
      </c>
      <c r="L3367" s="2" t="s">
        <v>172</v>
      </c>
      <c r="M3367" s="2">
        <v>78654.0</v>
      </c>
      <c r="N3367" s="2" t="s">
        <v>21</v>
      </c>
    </row>
    <row r="3368" ht="15.75" customHeight="1">
      <c r="A3368" s="2">
        <v>2014.0</v>
      </c>
      <c r="B3368" s="2" t="s">
        <v>15855</v>
      </c>
      <c r="C3368" s="2" t="s">
        <v>15856</v>
      </c>
      <c r="D3368" s="2" t="str">
        <f t="shared" ref="D3368:D3369" si="59">"803 782 1776"</f>
        <v>803 782 1776</v>
      </c>
      <c r="E3368" s="2" t="s">
        <v>485</v>
      </c>
      <c r="F3368" s="2" t="s">
        <v>14694</v>
      </c>
      <c r="G3368" s="2" t="str">
        <f>"SR-4645"</f>
        <v>SR-4645</v>
      </c>
      <c r="H3368" s="2" t="s">
        <v>15857</v>
      </c>
      <c r="I3368" s="2" t="s">
        <v>15858</v>
      </c>
      <c r="K3368" s="2" t="s">
        <v>2750</v>
      </c>
      <c r="L3368" s="2" t="s">
        <v>55</v>
      </c>
      <c r="M3368" s="2">
        <v>29204.0</v>
      </c>
      <c r="N3368" s="2" t="s">
        <v>21</v>
      </c>
    </row>
    <row r="3369" ht="15.75" customHeight="1">
      <c r="A3369" s="2">
        <v>2014.0</v>
      </c>
      <c r="B3369" s="2" t="s">
        <v>15855</v>
      </c>
      <c r="C3369" s="2" t="s">
        <v>15859</v>
      </c>
      <c r="D3369" s="2" t="str">
        <f t="shared" si="59"/>
        <v>803 782 1776</v>
      </c>
      <c r="E3369" s="2" t="s">
        <v>50</v>
      </c>
      <c r="F3369" s="2" t="s">
        <v>14694</v>
      </c>
      <c r="G3369" s="2" t="str">
        <f>"SR-4646"</f>
        <v>SR-4646</v>
      </c>
      <c r="H3369" s="2" t="s">
        <v>15860</v>
      </c>
      <c r="I3369" s="2" t="s">
        <v>15858</v>
      </c>
      <c r="K3369" s="2" t="s">
        <v>2750</v>
      </c>
      <c r="L3369" s="2" t="s">
        <v>55</v>
      </c>
      <c r="M3369" s="2">
        <v>29204.0</v>
      </c>
      <c r="N3369" s="2" t="s">
        <v>21</v>
      </c>
    </row>
    <row r="3370" ht="15.75" customHeight="1">
      <c r="A3370" s="2">
        <v>2014.0</v>
      </c>
      <c r="B3370" s="2" t="s">
        <v>15861</v>
      </c>
      <c r="C3370" s="2" t="s">
        <v>15862</v>
      </c>
      <c r="D3370" s="2" t="str">
        <f>"256-479-3020"</f>
        <v>256-479-3020</v>
      </c>
      <c r="E3370" s="2" t="s">
        <v>4071</v>
      </c>
      <c r="F3370" s="2" t="s">
        <v>15863</v>
      </c>
      <c r="G3370" s="2" t="str">
        <f>"SR-4653"</f>
        <v>SR-4653</v>
      </c>
      <c r="H3370" s="2" t="s">
        <v>15864</v>
      </c>
      <c r="I3370" s="2" t="s">
        <v>15865</v>
      </c>
      <c r="K3370" s="2" t="s">
        <v>13842</v>
      </c>
      <c r="L3370" s="2" t="s">
        <v>539</v>
      </c>
      <c r="M3370" s="2">
        <v>35756.0</v>
      </c>
      <c r="N3370" s="2" t="s">
        <v>21</v>
      </c>
    </row>
    <row r="3371" ht="15.75" customHeight="1">
      <c r="A3371" s="2">
        <v>2014.0</v>
      </c>
      <c r="B3371" s="2" t="s">
        <v>8198</v>
      </c>
      <c r="C3371" s="2" t="s">
        <v>8199</v>
      </c>
      <c r="D3371" s="2" t="str">
        <f>"770-598-1812"</f>
        <v>770-598-1812</v>
      </c>
      <c r="E3371" s="2" t="s">
        <v>1257</v>
      </c>
      <c r="F3371" s="2" t="s">
        <v>472</v>
      </c>
      <c r="G3371" s="2" t="str">
        <f>"SR-2247"</f>
        <v>SR-2247</v>
      </c>
      <c r="H3371" s="2" t="s">
        <v>8200</v>
      </c>
      <c r="I3371" s="2" t="s">
        <v>8201</v>
      </c>
      <c r="K3371" s="2" t="s">
        <v>7938</v>
      </c>
      <c r="L3371" s="2" t="s">
        <v>200</v>
      </c>
      <c r="M3371" s="2">
        <v>30101.0</v>
      </c>
      <c r="N3371" s="2" t="s">
        <v>21</v>
      </c>
    </row>
    <row r="3372" ht="15.75" customHeight="1">
      <c r="A3372" s="2">
        <v>2014.0</v>
      </c>
      <c r="B3372" s="2" t="s">
        <v>15866</v>
      </c>
      <c r="C3372" s="2" t="s">
        <v>15867</v>
      </c>
      <c r="D3372" s="2" t="str">
        <f>"2568376551"</f>
        <v>2568376551</v>
      </c>
      <c r="E3372" s="2" t="s">
        <v>651</v>
      </c>
      <c r="F3372" s="2" t="s">
        <v>15868</v>
      </c>
      <c r="G3372" s="2" t="str">
        <f>"SR-4655"</f>
        <v>SR-4655</v>
      </c>
      <c r="H3372" s="2" t="s">
        <v>15869</v>
      </c>
      <c r="I3372" s="2" t="s">
        <v>15870</v>
      </c>
      <c r="K3372" s="2" t="s">
        <v>1953</v>
      </c>
      <c r="L3372" s="2" t="s">
        <v>539</v>
      </c>
      <c r="M3372" s="2">
        <v>35806.0</v>
      </c>
      <c r="N3372" s="2" t="s">
        <v>21</v>
      </c>
    </row>
    <row r="3373" ht="15.75" customHeight="1">
      <c r="A3373" s="2">
        <v>2014.0</v>
      </c>
      <c r="B3373" s="2" t="s">
        <v>15871</v>
      </c>
      <c r="C3373" s="2" t="s">
        <v>15871</v>
      </c>
      <c r="D3373" s="2" t="str">
        <f>"17015166497"</f>
        <v>17015166497</v>
      </c>
      <c r="E3373" s="2" t="s">
        <v>15872</v>
      </c>
      <c r="F3373" s="2" t="s">
        <v>15873</v>
      </c>
      <c r="G3373" s="2" t="str">
        <f>"SR-4649"</f>
        <v>SR-4649</v>
      </c>
      <c r="H3373" s="2" t="s">
        <v>15874</v>
      </c>
      <c r="I3373" s="2" t="s">
        <v>15875</v>
      </c>
      <c r="K3373" s="2" t="s">
        <v>4495</v>
      </c>
      <c r="L3373" s="2" t="s">
        <v>2534</v>
      </c>
      <c r="M3373" s="2">
        <v>58554.0</v>
      </c>
      <c r="N3373" s="2" t="s">
        <v>21</v>
      </c>
    </row>
    <row r="3374" ht="15.75" customHeight="1">
      <c r="A3374" s="2">
        <v>2014.0</v>
      </c>
      <c r="B3374" s="2" t="s">
        <v>13435</v>
      </c>
      <c r="C3374" s="2" t="s">
        <v>15876</v>
      </c>
      <c r="D3374" s="2" t="str">
        <f>"(704) 243-2511"</f>
        <v>(704) 243-2511</v>
      </c>
      <c r="E3374" s="2" t="s">
        <v>1548</v>
      </c>
      <c r="F3374" s="2" t="s">
        <v>13437</v>
      </c>
      <c r="G3374" s="2" t="str">
        <f>"SR-4604"</f>
        <v>SR-4604</v>
      </c>
      <c r="H3374" s="2" t="s">
        <v>15877</v>
      </c>
      <c r="I3374" s="2" t="s">
        <v>13439</v>
      </c>
      <c r="K3374" s="2" t="s">
        <v>4304</v>
      </c>
      <c r="L3374" s="2" t="s">
        <v>20</v>
      </c>
      <c r="M3374" s="2">
        <v>28173.0</v>
      </c>
      <c r="N3374" s="2" t="s">
        <v>21</v>
      </c>
    </row>
    <row r="3375" ht="15.75" customHeight="1">
      <c r="A3375" s="2">
        <v>2014.0</v>
      </c>
      <c r="B3375" s="2" t="s">
        <v>15878</v>
      </c>
      <c r="C3375" s="2" t="s">
        <v>15878</v>
      </c>
      <c r="D3375" s="2" t="str">
        <f>"12192754922"</f>
        <v>12192754922</v>
      </c>
      <c r="E3375" s="2" t="s">
        <v>1810</v>
      </c>
      <c r="F3375" s="2" t="s">
        <v>12676</v>
      </c>
      <c r="G3375" s="2" t="str">
        <f>"SR-4652"</f>
        <v>SR-4652</v>
      </c>
      <c r="H3375" s="2" t="s">
        <v>15879</v>
      </c>
      <c r="I3375" s="2" t="s">
        <v>15880</v>
      </c>
      <c r="K3375" s="2" t="s">
        <v>2110</v>
      </c>
      <c r="L3375" s="2" t="s">
        <v>149</v>
      </c>
      <c r="M3375" s="2">
        <v>47922.0</v>
      </c>
      <c r="N3375" s="2" t="s">
        <v>21</v>
      </c>
    </row>
    <row r="3376" ht="15.75" customHeight="1">
      <c r="A3376" s="2">
        <v>2014.0</v>
      </c>
      <c r="B3376" s="2" t="s">
        <v>15881</v>
      </c>
      <c r="C3376" s="2" t="s">
        <v>15882</v>
      </c>
      <c r="D3376" s="2" t="str">
        <f>"2147938191"</f>
        <v>2147938191</v>
      </c>
      <c r="E3376" s="2" t="s">
        <v>5858</v>
      </c>
      <c r="F3376" s="2" t="s">
        <v>15883</v>
      </c>
      <c r="G3376" s="2" t="str">
        <f>"SR-3927"</f>
        <v>SR-3927</v>
      </c>
      <c r="H3376" s="2" t="s">
        <v>15884</v>
      </c>
      <c r="I3376" s="2" t="s">
        <v>15885</v>
      </c>
      <c r="K3376" s="2" t="s">
        <v>1255</v>
      </c>
      <c r="L3376" s="2" t="s">
        <v>172</v>
      </c>
      <c r="M3376" s="2">
        <v>75243.0</v>
      </c>
      <c r="N3376" s="2" t="s">
        <v>21</v>
      </c>
    </row>
    <row r="3377" ht="15.75" customHeight="1">
      <c r="A3377" s="2">
        <v>2014.0</v>
      </c>
      <c r="B3377" s="2" t="s">
        <v>15886</v>
      </c>
      <c r="C3377" s="2" t="s">
        <v>15887</v>
      </c>
      <c r="D3377" s="2" t="str">
        <f>"0115218110506826"</f>
        <v>0115218110506826</v>
      </c>
      <c r="E3377" s="2" t="s">
        <v>15888</v>
      </c>
      <c r="F3377" s="2" t="s">
        <v>15889</v>
      </c>
      <c r="G3377" s="2" t="str">
        <f>"SR-4232"</f>
        <v>SR-4232</v>
      </c>
      <c r="H3377" s="2" t="s">
        <v>15890</v>
      </c>
      <c r="I3377" s="2" t="s">
        <v>15891</v>
      </c>
      <c r="J3377" s="2" t="s">
        <v>15892</v>
      </c>
      <c r="K3377" s="2" t="s">
        <v>15893</v>
      </c>
      <c r="L3377" s="2" t="s">
        <v>15894</v>
      </c>
      <c r="M3377" s="2">
        <v>66240.0</v>
      </c>
      <c r="N3377" s="2" t="s">
        <v>7784</v>
      </c>
    </row>
    <row r="3378" ht="15.75" customHeight="1">
      <c r="A3378" s="2">
        <v>2014.0</v>
      </c>
      <c r="B3378" s="2" t="s">
        <v>15895</v>
      </c>
      <c r="C3378" s="2" t="s">
        <v>15895</v>
      </c>
      <c r="D3378" s="2" t="str">
        <f>"530.878.0308"</f>
        <v>530.878.0308</v>
      </c>
      <c r="E3378" s="2" t="s">
        <v>1585</v>
      </c>
      <c r="F3378" s="2" t="s">
        <v>2852</v>
      </c>
      <c r="G3378" s="2" t="str">
        <f>"SR-4081"</f>
        <v>SR-4081</v>
      </c>
      <c r="H3378" s="2" t="s">
        <v>6310</v>
      </c>
      <c r="I3378" s="2" t="s">
        <v>15896</v>
      </c>
      <c r="K3378" s="2" t="s">
        <v>6312</v>
      </c>
      <c r="L3378" s="2" t="s">
        <v>222</v>
      </c>
      <c r="M3378" s="2">
        <v>95602.0</v>
      </c>
      <c r="N3378" s="2" t="s">
        <v>21</v>
      </c>
    </row>
    <row r="3379" ht="15.75" customHeight="1">
      <c r="A3379" s="2">
        <v>2014.0</v>
      </c>
      <c r="B3379" s="2" t="s">
        <v>15897</v>
      </c>
      <c r="C3379" s="2" t="s">
        <v>15897</v>
      </c>
      <c r="D3379" s="2" t="str">
        <f>"5303055572"</f>
        <v>5303055572</v>
      </c>
      <c r="E3379" s="2" t="s">
        <v>659</v>
      </c>
      <c r="F3379" s="2" t="s">
        <v>2852</v>
      </c>
      <c r="G3379" s="2" t="str">
        <f>"SR-4079"</f>
        <v>SR-4079</v>
      </c>
      <c r="H3379" s="2" t="s">
        <v>15898</v>
      </c>
      <c r="I3379" s="2" t="s">
        <v>15899</v>
      </c>
      <c r="K3379" s="2" t="s">
        <v>6312</v>
      </c>
      <c r="L3379" s="2" t="s">
        <v>222</v>
      </c>
      <c r="M3379" s="2">
        <v>95602.0</v>
      </c>
      <c r="N3379" s="2" t="s">
        <v>21</v>
      </c>
    </row>
    <row r="3380" ht="15.75" customHeight="1">
      <c r="A3380" s="2">
        <v>2014.0</v>
      </c>
      <c r="B3380" s="2" t="s">
        <v>15900</v>
      </c>
      <c r="C3380" s="2" t="s">
        <v>15901</v>
      </c>
      <c r="D3380" s="2" t="str">
        <f>"2693303900"</f>
        <v>2693303900</v>
      </c>
      <c r="E3380" s="2" t="s">
        <v>15902</v>
      </c>
      <c r="F3380" s="2" t="s">
        <v>15903</v>
      </c>
      <c r="G3380" s="2" t="str">
        <f>"SR-4671"</f>
        <v>SR-4671</v>
      </c>
      <c r="H3380" s="2" t="s">
        <v>15904</v>
      </c>
      <c r="I3380" s="2" t="s">
        <v>15905</v>
      </c>
      <c r="K3380" s="2" t="s">
        <v>15906</v>
      </c>
      <c r="L3380" s="2" t="s">
        <v>29</v>
      </c>
      <c r="M3380" s="2">
        <v>49348.0</v>
      </c>
      <c r="N3380" s="2" t="s">
        <v>21</v>
      </c>
    </row>
    <row r="3381" ht="15.75" customHeight="1">
      <c r="A3381" s="2">
        <v>2014.0</v>
      </c>
      <c r="B3381" s="2" t="s">
        <v>15907</v>
      </c>
      <c r="C3381" s="2" t="s">
        <v>15907</v>
      </c>
      <c r="D3381" s="2" t="str">
        <f>"219-275-4922"</f>
        <v>219-275-4922</v>
      </c>
      <c r="E3381" s="2" t="s">
        <v>15908</v>
      </c>
      <c r="F3381" s="2" t="s">
        <v>12676</v>
      </c>
      <c r="G3381" s="2" t="str">
        <f>"SR-4545"</f>
        <v>SR-4545</v>
      </c>
      <c r="H3381" s="2" t="s">
        <v>15909</v>
      </c>
      <c r="I3381" s="2" t="s">
        <v>15910</v>
      </c>
      <c r="K3381" s="2" t="s">
        <v>2110</v>
      </c>
      <c r="L3381" s="2" t="s">
        <v>149</v>
      </c>
      <c r="M3381" s="2">
        <v>47922.0</v>
      </c>
      <c r="N3381" s="2" t="s">
        <v>21</v>
      </c>
    </row>
    <row r="3382" ht="15.75" customHeight="1">
      <c r="A3382" s="2">
        <v>2014.0</v>
      </c>
      <c r="B3382" s="2" t="s">
        <v>15911</v>
      </c>
      <c r="C3382" s="2" t="s">
        <v>15912</v>
      </c>
      <c r="D3382" s="2" t="str">
        <f>"208 765 1111  102"</f>
        <v>208 765 1111  102</v>
      </c>
      <c r="E3382" s="2" t="s">
        <v>14483</v>
      </c>
      <c r="F3382" s="2" t="s">
        <v>15913</v>
      </c>
      <c r="G3382" s="2" t="str">
        <f>"SR-4666"</f>
        <v>SR-4666</v>
      </c>
      <c r="H3382" s="2" t="s">
        <v>15914</v>
      </c>
      <c r="I3382" s="2" t="s">
        <v>15915</v>
      </c>
      <c r="J3382" s="2" t="s">
        <v>15916</v>
      </c>
      <c r="K3382" s="2" t="s">
        <v>15917</v>
      </c>
      <c r="L3382" s="2" t="s">
        <v>2613</v>
      </c>
      <c r="M3382" s="2">
        <v>83814.0</v>
      </c>
      <c r="N3382" s="2" t="s">
        <v>21</v>
      </c>
    </row>
    <row r="3383" ht="15.75" customHeight="1">
      <c r="A3383" s="2">
        <v>2014.0</v>
      </c>
      <c r="B3383" s="2" t="s">
        <v>15918</v>
      </c>
      <c r="D3383" s="2" t="str">
        <f>""</f>
        <v/>
      </c>
      <c r="E3383" s="2" t="s">
        <v>15919</v>
      </c>
      <c r="F3383" s="2" t="s">
        <v>8565</v>
      </c>
      <c r="G3383" s="2" t="str">
        <f>"SR-4670"</f>
        <v>SR-4670</v>
      </c>
      <c r="H3383" s="2" t="s">
        <v>15920</v>
      </c>
      <c r="N3383" s="2" t="s">
        <v>21</v>
      </c>
    </row>
    <row r="3384" ht="15.75" customHeight="1">
      <c r="A3384" s="2">
        <v>2014.0</v>
      </c>
      <c r="B3384" s="2" t="s">
        <v>15921</v>
      </c>
      <c r="C3384" s="2" t="s">
        <v>15922</v>
      </c>
      <c r="D3384" s="2" t="str">
        <f>"720-937-6722"</f>
        <v>720-937-6722</v>
      </c>
      <c r="E3384" s="2" t="s">
        <v>2912</v>
      </c>
      <c r="F3384" s="2" t="s">
        <v>15923</v>
      </c>
      <c r="G3384" s="2" t="str">
        <f>"SR-4350"</f>
        <v>SR-4350</v>
      </c>
      <c r="H3384" s="2" t="s">
        <v>15924</v>
      </c>
      <c r="I3384" s="2" t="s">
        <v>15925</v>
      </c>
      <c r="K3384" s="2" t="s">
        <v>992</v>
      </c>
      <c r="L3384" s="2" t="s">
        <v>157</v>
      </c>
      <c r="M3384" s="2">
        <v>80112.0</v>
      </c>
      <c r="N3384" s="2" t="s">
        <v>21</v>
      </c>
    </row>
    <row r="3385" ht="15.75" customHeight="1">
      <c r="A3385" s="2">
        <v>2014.0</v>
      </c>
      <c r="B3385" s="2" t="s">
        <v>15926</v>
      </c>
      <c r="C3385" s="2" t="s">
        <v>15927</v>
      </c>
      <c r="D3385" s="2" t="str">
        <f>"8478589841"</f>
        <v>8478589841</v>
      </c>
      <c r="E3385" s="2" t="s">
        <v>1803</v>
      </c>
      <c r="F3385" s="2" t="s">
        <v>15928</v>
      </c>
      <c r="G3385" s="2" t="str">
        <f>"SR-1634"</f>
        <v>SR-1634</v>
      </c>
      <c r="H3385" s="2" t="s">
        <v>15929</v>
      </c>
      <c r="I3385" s="2" t="s">
        <v>15930</v>
      </c>
      <c r="K3385" s="2" t="s">
        <v>15931</v>
      </c>
      <c r="L3385" s="2" t="s">
        <v>105</v>
      </c>
      <c r="M3385" s="2">
        <v>60142.0</v>
      </c>
      <c r="N3385" s="2" t="s">
        <v>21</v>
      </c>
    </row>
    <row r="3386" ht="15.75" customHeight="1">
      <c r="A3386" s="2">
        <v>2014.0</v>
      </c>
      <c r="B3386" s="2" t="s">
        <v>15932</v>
      </c>
      <c r="C3386" s="2" t="s">
        <v>15932</v>
      </c>
      <c r="D3386" s="2" t="str">
        <f>"4058634576"</f>
        <v>4058634576</v>
      </c>
      <c r="E3386" s="2" t="s">
        <v>15933</v>
      </c>
      <c r="F3386" s="2" t="s">
        <v>15934</v>
      </c>
      <c r="G3386" s="2" t="str">
        <f>"SR-2510"</f>
        <v>SR-2510</v>
      </c>
      <c r="H3386" s="2" t="s">
        <v>15935</v>
      </c>
      <c r="I3386" s="2" t="s">
        <v>15936</v>
      </c>
      <c r="K3386" s="2" t="s">
        <v>15937</v>
      </c>
      <c r="L3386" s="2" t="s">
        <v>840</v>
      </c>
      <c r="M3386" s="2">
        <v>73122.0</v>
      </c>
      <c r="N3386" s="2" t="s">
        <v>21</v>
      </c>
    </row>
    <row r="3387" ht="15.75" customHeight="1">
      <c r="A3387" s="2">
        <v>2014.0</v>
      </c>
      <c r="B3387" s="2" t="s">
        <v>15938</v>
      </c>
      <c r="C3387" s="2" t="s">
        <v>15938</v>
      </c>
      <c r="D3387" s="2" t="str">
        <f>"219-275-7792"</f>
        <v>219-275-7792</v>
      </c>
      <c r="E3387" s="2" t="s">
        <v>2259</v>
      </c>
      <c r="F3387" s="2" t="s">
        <v>12676</v>
      </c>
      <c r="G3387" s="2" t="str">
        <f>"SR-4676"</f>
        <v>SR-4676</v>
      </c>
      <c r="H3387" s="2" t="s">
        <v>15939</v>
      </c>
      <c r="I3387" s="2" t="s">
        <v>15910</v>
      </c>
      <c r="K3387" s="2" t="s">
        <v>2110</v>
      </c>
      <c r="L3387" s="2" t="s">
        <v>149</v>
      </c>
      <c r="M3387" s="2">
        <v>47922.0</v>
      </c>
      <c r="N3387" s="2" t="s">
        <v>21</v>
      </c>
    </row>
    <row r="3388" ht="15.75" customHeight="1">
      <c r="A3388" s="2">
        <v>2014.0</v>
      </c>
      <c r="B3388" s="2" t="s">
        <v>15940</v>
      </c>
      <c r="C3388" s="2" t="s">
        <v>15941</v>
      </c>
      <c r="D3388" s="2" t="str">
        <f>"336-596-9793"</f>
        <v>336-596-9793</v>
      </c>
      <c r="E3388" s="2" t="s">
        <v>4318</v>
      </c>
      <c r="F3388" s="2" t="s">
        <v>15942</v>
      </c>
      <c r="G3388" s="2" t="str">
        <f>"SR-4679"</f>
        <v>SR-4679</v>
      </c>
      <c r="H3388" s="2" t="s">
        <v>15943</v>
      </c>
      <c r="I3388" s="2" t="s">
        <v>15944</v>
      </c>
      <c r="K3388" s="2" t="s">
        <v>254</v>
      </c>
      <c r="L3388" s="2" t="s">
        <v>20</v>
      </c>
      <c r="M3388" s="2">
        <v>27292.0</v>
      </c>
      <c r="N3388" s="2" t="s">
        <v>21</v>
      </c>
    </row>
    <row r="3389" ht="15.75" customHeight="1">
      <c r="A3389" s="2">
        <v>2014.0</v>
      </c>
      <c r="B3389" s="2" t="s">
        <v>15945</v>
      </c>
      <c r="C3389" s="2" t="s">
        <v>15946</v>
      </c>
      <c r="D3389" s="2" t="str">
        <f>"281-970-8535"</f>
        <v>281-970-8535</v>
      </c>
      <c r="E3389" s="2" t="s">
        <v>1362</v>
      </c>
      <c r="F3389" s="2" t="s">
        <v>15947</v>
      </c>
      <c r="G3389" s="2" t="str">
        <f>"SR-4680"</f>
        <v>SR-4680</v>
      </c>
      <c r="H3389" s="2" t="s">
        <v>15948</v>
      </c>
      <c r="I3389" s="2" t="s">
        <v>15949</v>
      </c>
      <c r="K3389" s="2" t="s">
        <v>12522</v>
      </c>
      <c r="L3389" s="2" t="s">
        <v>172</v>
      </c>
      <c r="M3389" s="2">
        <v>77429.0</v>
      </c>
      <c r="N3389" s="2" t="s">
        <v>21</v>
      </c>
    </row>
    <row r="3390" ht="15.75" customHeight="1">
      <c r="A3390" s="2">
        <v>2014.0</v>
      </c>
      <c r="B3390" s="2" t="s">
        <v>15950</v>
      </c>
      <c r="C3390" s="2" t="s">
        <v>15950</v>
      </c>
      <c r="D3390" s="2" t="str">
        <f>"303-646-5525"</f>
        <v>303-646-5525</v>
      </c>
      <c r="E3390" s="2" t="s">
        <v>2147</v>
      </c>
      <c r="F3390" s="2" t="s">
        <v>3366</v>
      </c>
      <c r="G3390" s="2" t="str">
        <f>"SR-4682"</f>
        <v>SR-4682</v>
      </c>
      <c r="H3390" s="2" t="s">
        <v>15951</v>
      </c>
      <c r="I3390" s="2" t="s">
        <v>15952</v>
      </c>
      <c r="K3390" s="2" t="s">
        <v>15953</v>
      </c>
      <c r="L3390" s="2" t="s">
        <v>157</v>
      </c>
      <c r="M3390" s="2">
        <v>80117.0</v>
      </c>
      <c r="N3390" s="2" t="s">
        <v>21</v>
      </c>
    </row>
    <row r="3391" ht="15.75" customHeight="1">
      <c r="A3391" s="2">
        <v>2014.0</v>
      </c>
      <c r="B3391" s="2" t="s">
        <v>15945</v>
      </c>
      <c r="C3391" s="2" t="s">
        <v>15954</v>
      </c>
      <c r="D3391" s="2" t="str">
        <f>"281-970-8535"</f>
        <v>281-970-8535</v>
      </c>
      <c r="E3391" s="2" t="s">
        <v>1135</v>
      </c>
      <c r="F3391" s="2" t="s">
        <v>15947</v>
      </c>
      <c r="G3391" s="2" t="str">
        <f>"SR-4683"</f>
        <v>SR-4683</v>
      </c>
      <c r="H3391" s="2" t="s">
        <v>15955</v>
      </c>
      <c r="I3391" s="2" t="s">
        <v>15949</v>
      </c>
      <c r="K3391" s="2" t="s">
        <v>15956</v>
      </c>
      <c r="L3391" s="2" t="s">
        <v>172</v>
      </c>
      <c r="M3391" s="2">
        <v>77429.0</v>
      </c>
      <c r="N3391" s="2" t="s">
        <v>21</v>
      </c>
    </row>
    <row r="3392" ht="15.75" customHeight="1">
      <c r="A3392" s="2">
        <v>2014.0</v>
      </c>
      <c r="B3392" s="2" t="s">
        <v>15950</v>
      </c>
      <c r="C3392" s="2" t="s">
        <v>15950</v>
      </c>
      <c r="D3392" s="2" t="str">
        <f>"303-646-5525"</f>
        <v>303-646-5525</v>
      </c>
      <c r="E3392" s="2" t="s">
        <v>11981</v>
      </c>
      <c r="F3392" s="2" t="s">
        <v>3366</v>
      </c>
      <c r="G3392" s="2" t="str">
        <f>"SR-4681"</f>
        <v>SR-4681</v>
      </c>
      <c r="H3392" s="2" t="s">
        <v>15957</v>
      </c>
      <c r="I3392" s="2" t="s">
        <v>15952</v>
      </c>
      <c r="K3392" s="2" t="s">
        <v>15953</v>
      </c>
      <c r="L3392" s="2" t="s">
        <v>157</v>
      </c>
      <c r="M3392" s="2">
        <v>80117.0</v>
      </c>
      <c r="N3392" s="2" t="s">
        <v>21</v>
      </c>
    </row>
    <row r="3393" ht="15.75" customHeight="1">
      <c r="A3393" s="2">
        <v>2014.0</v>
      </c>
      <c r="B3393" s="2" t="s">
        <v>15958</v>
      </c>
      <c r="C3393" s="2" t="s">
        <v>15959</v>
      </c>
      <c r="D3393" s="2" t="str">
        <f>"615-495-8004"</f>
        <v>615-495-8004</v>
      </c>
      <c r="E3393" s="2" t="s">
        <v>843</v>
      </c>
      <c r="F3393" s="2" t="s">
        <v>1054</v>
      </c>
      <c r="G3393" s="2" t="str">
        <f>"SR-3107"</f>
        <v>SR-3107</v>
      </c>
      <c r="H3393" s="2" t="s">
        <v>15960</v>
      </c>
      <c r="I3393" s="2" t="s">
        <v>15961</v>
      </c>
      <c r="K3393" s="2" t="s">
        <v>1398</v>
      </c>
      <c r="L3393" s="2" t="s">
        <v>157</v>
      </c>
      <c r="M3393" s="2">
        <v>80109.0</v>
      </c>
      <c r="N3393" s="2" t="s">
        <v>21</v>
      </c>
    </row>
    <row r="3394" ht="15.75" customHeight="1">
      <c r="A3394" s="2">
        <v>2014.0</v>
      </c>
      <c r="B3394" s="2" t="s">
        <v>15962</v>
      </c>
      <c r="C3394" s="2" t="s">
        <v>15962</v>
      </c>
      <c r="D3394" s="2" t="str">
        <f>"617-818-6393"</f>
        <v>617-818-6393</v>
      </c>
      <c r="E3394" s="2" t="s">
        <v>6759</v>
      </c>
      <c r="F3394" s="2" t="s">
        <v>15963</v>
      </c>
      <c r="G3394" s="2" t="str">
        <f>"SR-4688"</f>
        <v>SR-4688</v>
      </c>
      <c r="H3394" s="2" t="s">
        <v>15964</v>
      </c>
      <c r="I3394" s="2" t="s">
        <v>15965</v>
      </c>
      <c r="J3394" s="2" t="s">
        <v>15966</v>
      </c>
      <c r="K3394" s="2" t="s">
        <v>5358</v>
      </c>
      <c r="L3394" s="2" t="s">
        <v>4108</v>
      </c>
      <c r="M3394" s="2">
        <v>2215.0</v>
      </c>
      <c r="N3394" s="2" t="s">
        <v>21</v>
      </c>
    </row>
    <row r="3395" ht="15.75" customHeight="1">
      <c r="A3395" s="2">
        <v>2014.0</v>
      </c>
      <c r="B3395" s="2" t="s">
        <v>8420</v>
      </c>
      <c r="C3395" s="2" t="s">
        <v>8420</v>
      </c>
      <c r="D3395" s="2" t="str">
        <f>"8325497926"</f>
        <v>8325497926</v>
      </c>
      <c r="E3395" s="2" t="s">
        <v>132</v>
      </c>
      <c r="F3395" s="2" t="s">
        <v>1209</v>
      </c>
      <c r="G3395" s="2" t="str">
        <f>"SR-2319"</f>
        <v>SR-2319</v>
      </c>
      <c r="H3395" s="2" t="s">
        <v>8421</v>
      </c>
      <c r="I3395" s="2" t="s">
        <v>8422</v>
      </c>
      <c r="K3395" s="2" t="s">
        <v>5855</v>
      </c>
      <c r="L3395" s="2" t="s">
        <v>172</v>
      </c>
      <c r="M3395" s="2">
        <v>77389.0</v>
      </c>
      <c r="N3395" s="2" t="s">
        <v>21</v>
      </c>
    </row>
    <row r="3396" ht="15.75" customHeight="1">
      <c r="A3396" s="2">
        <v>2014.0</v>
      </c>
      <c r="B3396" s="2" t="s">
        <v>15967</v>
      </c>
      <c r="C3396" s="2" t="s">
        <v>15967</v>
      </c>
      <c r="D3396" s="2" t="str">
        <f>"(719) 258-0364"</f>
        <v>(719) 258-0364</v>
      </c>
      <c r="E3396" s="2" t="s">
        <v>15968</v>
      </c>
      <c r="F3396" s="2" t="s">
        <v>15969</v>
      </c>
      <c r="G3396" s="2" t="str">
        <f>"SR-4687"</f>
        <v>SR-4687</v>
      </c>
      <c r="H3396" s="2" t="s">
        <v>15970</v>
      </c>
      <c r="I3396" s="2" t="s">
        <v>15971</v>
      </c>
      <c r="K3396" s="2" t="s">
        <v>15972</v>
      </c>
      <c r="L3396" s="2" t="s">
        <v>157</v>
      </c>
      <c r="M3396" s="2">
        <v>80919.0</v>
      </c>
      <c r="N3396" s="2" t="s">
        <v>21</v>
      </c>
    </row>
    <row r="3397" ht="15.75" customHeight="1">
      <c r="A3397" s="2">
        <v>2014.0</v>
      </c>
      <c r="B3397" s="2" t="s">
        <v>15973</v>
      </c>
      <c r="C3397" s="2" t="s">
        <v>15974</v>
      </c>
      <c r="D3397" s="2" t="str">
        <f>"727 674 0111"</f>
        <v>727 674 0111</v>
      </c>
      <c r="E3397" s="2" t="s">
        <v>1928</v>
      </c>
      <c r="F3397" s="2" t="s">
        <v>6970</v>
      </c>
      <c r="G3397" s="2" t="str">
        <f>"SR-4669"</f>
        <v>SR-4669</v>
      </c>
      <c r="H3397" s="2" t="s">
        <v>15975</v>
      </c>
      <c r="I3397" s="2" t="s">
        <v>15976</v>
      </c>
      <c r="K3397" s="2" t="s">
        <v>1570</v>
      </c>
      <c r="L3397" s="2" t="s">
        <v>208</v>
      </c>
      <c r="M3397" s="2">
        <v>33803.0</v>
      </c>
      <c r="N3397" s="2" t="s">
        <v>21</v>
      </c>
    </row>
    <row r="3398" ht="15.75" customHeight="1">
      <c r="A3398" s="2">
        <v>2014.0</v>
      </c>
      <c r="B3398" s="2" t="s">
        <v>15977</v>
      </c>
      <c r="C3398" s="2" t="s">
        <v>15978</v>
      </c>
      <c r="D3398" s="2" t="str">
        <f>"519-268-2596"</f>
        <v>519-268-2596</v>
      </c>
      <c r="E3398" s="2" t="s">
        <v>15979</v>
      </c>
      <c r="F3398" s="2" t="s">
        <v>15980</v>
      </c>
      <c r="G3398" s="2" t="str">
        <f>"SR-4684"</f>
        <v>SR-4684</v>
      </c>
      <c r="H3398" s="2" t="s">
        <v>15981</v>
      </c>
      <c r="I3398" s="2" t="s">
        <v>15982</v>
      </c>
      <c r="K3398" s="2" t="s">
        <v>15983</v>
      </c>
      <c r="L3398" s="2" t="s">
        <v>2022</v>
      </c>
      <c r="M3398" s="2" t="s">
        <v>15984</v>
      </c>
      <c r="N3398" s="2" t="s">
        <v>1602</v>
      </c>
    </row>
    <row r="3399" ht="15.75" customHeight="1">
      <c r="A3399" s="2">
        <v>2014.0</v>
      </c>
      <c r="B3399" s="2" t="s">
        <v>15985</v>
      </c>
      <c r="C3399" s="2" t="s">
        <v>15986</v>
      </c>
      <c r="D3399" s="2" t="str">
        <f>"7192168847"</f>
        <v>7192168847</v>
      </c>
      <c r="E3399" s="2" t="s">
        <v>15987</v>
      </c>
      <c r="F3399" s="2" t="s">
        <v>15988</v>
      </c>
      <c r="G3399" s="2" t="str">
        <f>"SR-4693"</f>
        <v>SR-4693</v>
      </c>
      <c r="H3399" s="2" t="s">
        <v>15989</v>
      </c>
      <c r="I3399" s="2" t="s">
        <v>15990</v>
      </c>
      <c r="K3399" s="2" t="s">
        <v>809</v>
      </c>
      <c r="L3399" s="2" t="s">
        <v>157</v>
      </c>
      <c r="M3399" s="2">
        <v>80903.0</v>
      </c>
      <c r="N3399" s="2" t="s">
        <v>21</v>
      </c>
    </row>
    <row r="3400" ht="15.75" customHeight="1">
      <c r="A3400" s="2">
        <v>2014.0</v>
      </c>
      <c r="B3400" s="2" t="s">
        <v>3688</v>
      </c>
      <c r="C3400" s="2" t="s">
        <v>3688</v>
      </c>
      <c r="D3400" s="2" t="str">
        <f>"719-349-0817"</f>
        <v>719-349-0817</v>
      </c>
      <c r="E3400" s="2" t="s">
        <v>3689</v>
      </c>
      <c r="F3400" s="2" t="s">
        <v>3683</v>
      </c>
      <c r="G3400" s="2" t="str">
        <f>"SR-1084"</f>
        <v>SR-1084</v>
      </c>
      <c r="H3400" s="2" t="s">
        <v>3690</v>
      </c>
      <c r="I3400" s="2" t="s">
        <v>3691</v>
      </c>
      <c r="K3400" s="2" t="s">
        <v>3687</v>
      </c>
      <c r="L3400" s="2" t="s">
        <v>157</v>
      </c>
      <c r="M3400" s="2">
        <v>80815.0</v>
      </c>
      <c r="N3400" s="2" t="s">
        <v>21</v>
      </c>
    </row>
    <row r="3401" ht="15.75" customHeight="1">
      <c r="A3401" s="2">
        <v>2014.0</v>
      </c>
      <c r="B3401" s="2" t="s">
        <v>15991</v>
      </c>
      <c r="C3401" s="2" t="s">
        <v>15992</v>
      </c>
      <c r="D3401" s="2" t="str">
        <f>"786-543-0343"</f>
        <v>786-543-0343</v>
      </c>
      <c r="E3401" s="2" t="s">
        <v>15993</v>
      </c>
      <c r="F3401" s="2" t="s">
        <v>15994</v>
      </c>
      <c r="G3401" s="2" t="str">
        <f>"SR-4695"</f>
        <v>SR-4695</v>
      </c>
      <c r="H3401" s="2" t="s">
        <v>15995</v>
      </c>
      <c r="I3401" s="2">
        <v>340.0</v>
      </c>
      <c r="J3401" s="2" t="s">
        <v>15996</v>
      </c>
      <c r="K3401" s="2" t="s">
        <v>809</v>
      </c>
      <c r="L3401" s="2" t="s">
        <v>157</v>
      </c>
      <c r="M3401" s="2">
        <v>80919.0</v>
      </c>
      <c r="N3401" s="2" t="s">
        <v>21</v>
      </c>
    </row>
    <row r="3402" ht="15.75" customHeight="1">
      <c r="A3402" s="2">
        <v>2014.0</v>
      </c>
      <c r="B3402" s="2" t="s">
        <v>15991</v>
      </c>
      <c r="C3402" s="2" t="s">
        <v>15997</v>
      </c>
      <c r="D3402" s="2" t="str">
        <f>"796-543-0343"</f>
        <v>796-543-0343</v>
      </c>
      <c r="E3402" s="2" t="s">
        <v>88</v>
      </c>
      <c r="F3402" s="2" t="s">
        <v>15994</v>
      </c>
      <c r="G3402" s="2" t="str">
        <f>"SR-4696"</f>
        <v>SR-4696</v>
      </c>
      <c r="H3402" s="2" t="s">
        <v>15998</v>
      </c>
      <c r="I3402" s="2" t="s">
        <v>15999</v>
      </c>
      <c r="K3402" s="2" t="s">
        <v>809</v>
      </c>
      <c r="L3402" s="2" t="s">
        <v>157</v>
      </c>
      <c r="M3402" s="2">
        <v>80919.0</v>
      </c>
      <c r="N3402" s="2" t="s">
        <v>21</v>
      </c>
    </row>
    <row r="3403" ht="15.75" customHeight="1">
      <c r="A3403" s="2">
        <v>2014.0</v>
      </c>
      <c r="B3403" s="2" t="s">
        <v>16000</v>
      </c>
      <c r="C3403" s="2" t="s">
        <v>16001</v>
      </c>
      <c r="D3403" s="2" t="str">
        <f>"3036189386"</f>
        <v>3036189386</v>
      </c>
      <c r="E3403" s="2" t="s">
        <v>1094</v>
      </c>
      <c r="F3403" s="2" t="s">
        <v>16002</v>
      </c>
      <c r="G3403" s="2" t="str">
        <f>"SR-4691"</f>
        <v>SR-4691</v>
      </c>
      <c r="H3403" s="2" t="s">
        <v>16003</v>
      </c>
      <c r="I3403" s="2" t="s">
        <v>16004</v>
      </c>
      <c r="K3403" s="2" t="s">
        <v>1398</v>
      </c>
      <c r="L3403" s="2" t="s">
        <v>157</v>
      </c>
      <c r="M3403" s="2">
        <v>80109.0</v>
      </c>
      <c r="N3403" s="2" t="s">
        <v>21</v>
      </c>
    </row>
    <row r="3404" ht="15.75" customHeight="1">
      <c r="A3404" s="2">
        <v>2014.0</v>
      </c>
      <c r="B3404" s="2" t="s">
        <v>16005</v>
      </c>
      <c r="C3404" s="2" t="s">
        <v>16005</v>
      </c>
      <c r="D3404" s="2" t="str">
        <f>"320-393-3388"</f>
        <v>320-393-3388</v>
      </c>
      <c r="E3404" s="2" t="s">
        <v>6266</v>
      </c>
      <c r="F3404" s="2" t="s">
        <v>14349</v>
      </c>
      <c r="G3404" s="2" t="str">
        <f>"SR-4701"</f>
        <v>SR-4701</v>
      </c>
      <c r="H3404" s="2" t="s">
        <v>16006</v>
      </c>
      <c r="I3404" s="2" t="s">
        <v>14351</v>
      </c>
      <c r="K3404" s="2" t="s">
        <v>14352</v>
      </c>
      <c r="L3404" s="2" t="s">
        <v>62</v>
      </c>
      <c r="M3404" s="2">
        <v>56367.0</v>
      </c>
      <c r="N3404" s="2" t="s">
        <v>21</v>
      </c>
    </row>
    <row r="3405" ht="15.75" customHeight="1">
      <c r="A3405" s="2">
        <v>2014.0</v>
      </c>
      <c r="B3405" s="2" t="s">
        <v>16007</v>
      </c>
      <c r="C3405" s="2" t="s">
        <v>16008</v>
      </c>
      <c r="D3405" s="2" t="str">
        <f>"7155010926"</f>
        <v>7155010926</v>
      </c>
      <c r="E3405" s="2" t="s">
        <v>1725</v>
      </c>
      <c r="F3405" s="2" t="s">
        <v>16009</v>
      </c>
      <c r="G3405" s="2" t="str">
        <f>"SR-4703"</f>
        <v>SR-4703</v>
      </c>
      <c r="H3405" s="2" t="s">
        <v>16010</v>
      </c>
      <c r="I3405" s="2" t="s">
        <v>16011</v>
      </c>
      <c r="K3405" s="2" t="s">
        <v>16012</v>
      </c>
      <c r="L3405" s="2" t="s">
        <v>193</v>
      </c>
      <c r="M3405" s="2">
        <v>54009.0</v>
      </c>
      <c r="N3405" s="2" t="s">
        <v>21</v>
      </c>
    </row>
    <row r="3406" ht="15.75" customHeight="1">
      <c r="A3406" s="2">
        <v>2014.0</v>
      </c>
      <c r="B3406" s="2" t="s">
        <v>16013</v>
      </c>
      <c r="C3406" s="2" t="s">
        <v>16014</v>
      </c>
      <c r="D3406" s="2" t="str">
        <f>"6788806613"</f>
        <v>6788806613</v>
      </c>
      <c r="E3406" s="2" t="s">
        <v>428</v>
      </c>
      <c r="F3406" s="2" t="s">
        <v>13073</v>
      </c>
      <c r="G3406" s="2" t="str">
        <f>"SR-4700"</f>
        <v>SR-4700</v>
      </c>
      <c r="H3406" s="2" t="s">
        <v>16015</v>
      </c>
      <c r="I3406" s="2" t="s">
        <v>16016</v>
      </c>
      <c r="K3406" s="2" t="s">
        <v>16017</v>
      </c>
      <c r="L3406" s="2" t="s">
        <v>200</v>
      </c>
      <c r="M3406" s="2">
        <v>30114.0</v>
      </c>
      <c r="N3406" s="2" t="s">
        <v>21</v>
      </c>
    </row>
    <row r="3407" ht="15.75" customHeight="1">
      <c r="A3407" s="2">
        <v>2014.0</v>
      </c>
      <c r="B3407" s="2" t="s">
        <v>16018</v>
      </c>
      <c r="C3407" s="2" t="s">
        <v>16018</v>
      </c>
      <c r="D3407" s="2" t="str">
        <f>"435-723-1269"</f>
        <v>435-723-1269</v>
      </c>
      <c r="E3407" s="2" t="s">
        <v>666</v>
      </c>
      <c r="F3407" s="2" t="s">
        <v>16019</v>
      </c>
      <c r="G3407" s="2" t="str">
        <f>"SR-4704"</f>
        <v>SR-4704</v>
      </c>
      <c r="H3407" s="2" t="s">
        <v>16020</v>
      </c>
      <c r="I3407" s="2" t="s">
        <v>16021</v>
      </c>
      <c r="J3407" s="2" t="s">
        <v>16022</v>
      </c>
      <c r="K3407" s="2" t="s">
        <v>16023</v>
      </c>
      <c r="L3407" s="2" t="s">
        <v>763</v>
      </c>
      <c r="M3407" s="2">
        <v>84302.0</v>
      </c>
      <c r="N3407" s="2" t="s">
        <v>21</v>
      </c>
    </row>
    <row r="3408" ht="15.75" customHeight="1">
      <c r="A3408" s="2">
        <v>2014.0</v>
      </c>
      <c r="B3408" s="2" t="s">
        <v>16024</v>
      </c>
      <c r="C3408" s="2" t="s">
        <v>16025</v>
      </c>
      <c r="D3408" s="2" t="str">
        <f>"704-597-9552"</f>
        <v>704-597-9552</v>
      </c>
      <c r="E3408" s="2" t="s">
        <v>3903</v>
      </c>
      <c r="F3408" s="2" t="s">
        <v>1151</v>
      </c>
      <c r="G3408" s="2" t="str">
        <f>"SR-4699"</f>
        <v>SR-4699</v>
      </c>
      <c r="H3408" s="2" t="s">
        <v>16026</v>
      </c>
      <c r="I3408" s="2" t="s">
        <v>16027</v>
      </c>
      <c r="K3408" s="2" t="s">
        <v>19</v>
      </c>
      <c r="L3408" s="2" t="s">
        <v>20</v>
      </c>
      <c r="M3408" s="2">
        <v>28269.0</v>
      </c>
      <c r="N3408" s="2" t="s">
        <v>21</v>
      </c>
    </row>
    <row r="3409" ht="15.75" customHeight="1">
      <c r="A3409" s="2">
        <v>2014.0</v>
      </c>
      <c r="B3409" s="2" t="s">
        <v>16028</v>
      </c>
      <c r="C3409" s="2" t="s">
        <v>16028</v>
      </c>
      <c r="D3409" s="2" t="str">
        <f>"512-577-2074"</f>
        <v>512-577-2074</v>
      </c>
      <c r="E3409" s="2" t="s">
        <v>1946</v>
      </c>
      <c r="F3409" s="2" t="s">
        <v>16029</v>
      </c>
      <c r="G3409" s="2" t="str">
        <f>"SR-4707"</f>
        <v>SR-4707</v>
      </c>
      <c r="H3409" s="2" t="s">
        <v>16030</v>
      </c>
      <c r="I3409" s="2" t="s">
        <v>16031</v>
      </c>
      <c r="K3409" s="2" t="s">
        <v>1141</v>
      </c>
      <c r="L3409" s="2" t="s">
        <v>172</v>
      </c>
      <c r="M3409" s="2">
        <v>78737.0</v>
      </c>
      <c r="N3409" s="2" t="s">
        <v>21</v>
      </c>
    </row>
    <row r="3410" ht="15.75" customHeight="1">
      <c r="A3410" s="2">
        <v>2014.0</v>
      </c>
      <c r="B3410" s="2" t="s">
        <v>13473</v>
      </c>
      <c r="C3410" s="2" t="s">
        <v>16032</v>
      </c>
      <c r="D3410" s="2" t="str">
        <f>"479-684-1809"</f>
        <v>479-684-1809</v>
      </c>
      <c r="E3410" s="2" t="s">
        <v>4065</v>
      </c>
      <c r="F3410" s="2" t="s">
        <v>13475</v>
      </c>
      <c r="G3410" s="2" t="str">
        <f>"SR-4712"</f>
        <v>SR-4712</v>
      </c>
      <c r="H3410" s="2" t="s">
        <v>16033</v>
      </c>
      <c r="I3410" s="2" t="s">
        <v>13477</v>
      </c>
      <c r="K3410" s="2" t="s">
        <v>3164</v>
      </c>
      <c r="L3410" s="2" t="s">
        <v>1012</v>
      </c>
      <c r="M3410" s="2">
        <v>72704.0</v>
      </c>
      <c r="N3410" s="2" t="s">
        <v>21</v>
      </c>
    </row>
    <row r="3411" ht="15.75" customHeight="1">
      <c r="A3411" s="2">
        <v>2014.0</v>
      </c>
      <c r="B3411" s="2" t="s">
        <v>16034</v>
      </c>
      <c r="C3411" s="2" t="s">
        <v>16034</v>
      </c>
      <c r="D3411" s="2" t="str">
        <f>"8067772390"</f>
        <v>8067772390</v>
      </c>
      <c r="E3411" s="2" t="s">
        <v>2941</v>
      </c>
      <c r="F3411" s="2" t="s">
        <v>16035</v>
      </c>
      <c r="G3411" s="2" t="str">
        <f>"SR-4713"</f>
        <v>SR-4713</v>
      </c>
      <c r="H3411" s="2" t="s">
        <v>16036</v>
      </c>
      <c r="I3411" s="2" t="s">
        <v>16037</v>
      </c>
      <c r="K3411" s="2" t="s">
        <v>1121</v>
      </c>
      <c r="L3411" s="2" t="s">
        <v>172</v>
      </c>
      <c r="M3411" s="2">
        <v>79423.0</v>
      </c>
      <c r="N3411" s="2" t="s">
        <v>21</v>
      </c>
    </row>
    <row r="3412" ht="15.75" customHeight="1">
      <c r="A3412" s="2">
        <v>2014.0</v>
      </c>
      <c r="B3412" s="2" t="s">
        <v>16038</v>
      </c>
      <c r="C3412" s="2" t="s">
        <v>16039</v>
      </c>
      <c r="D3412" s="2" t="str">
        <f>"402-215-1994"</f>
        <v>402-215-1994</v>
      </c>
      <c r="E3412" s="2" t="s">
        <v>16040</v>
      </c>
      <c r="F3412" s="2" t="s">
        <v>5985</v>
      </c>
      <c r="G3412" s="2" t="str">
        <f>"SR-4718"</f>
        <v>SR-4718</v>
      </c>
      <c r="H3412" s="2" t="s">
        <v>16041</v>
      </c>
      <c r="I3412" s="2" t="s">
        <v>16042</v>
      </c>
      <c r="K3412" s="2" t="s">
        <v>1470</v>
      </c>
      <c r="L3412" s="2" t="s">
        <v>757</v>
      </c>
      <c r="M3412" s="2">
        <v>68138.0</v>
      </c>
      <c r="N3412" s="2" t="s">
        <v>21</v>
      </c>
    </row>
    <row r="3413" ht="15.75" customHeight="1">
      <c r="A3413" s="2">
        <v>2014.0</v>
      </c>
      <c r="B3413" s="2" t="s">
        <v>16043</v>
      </c>
      <c r="C3413" s="2" t="s">
        <v>16044</v>
      </c>
      <c r="D3413" s="2" t="str">
        <f>"719-339-5731"</f>
        <v>719-339-5731</v>
      </c>
      <c r="E3413" s="2" t="s">
        <v>1306</v>
      </c>
      <c r="F3413" s="2" t="s">
        <v>1243</v>
      </c>
      <c r="G3413" s="2" t="str">
        <f>"SR-4714"</f>
        <v>SR-4714</v>
      </c>
      <c r="H3413" s="2" t="s">
        <v>16045</v>
      </c>
      <c r="I3413" s="2" t="s">
        <v>16046</v>
      </c>
      <c r="K3413" s="2" t="s">
        <v>809</v>
      </c>
      <c r="L3413" s="2" t="s">
        <v>157</v>
      </c>
      <c r="M3413" s="2">
        <v>80918.0</v>
      </c>
      <c r="N3413" s="2" t="s">
        <v>21</v>
      </c>
    </row>
    <row r="3414" ht="15.75" customHeight="1">
      <c r="A3414" s="2">
        <v>2014.0</v>
      </c>
      <c r="B3414" s="2" t="s">
        <v>16047</v>
      </c>
      <c r="C3414" s="2" t="s">
        <v>16048</v>
      </c>
      <c r="D3414" s="2" t="str">
        <f>"903-363-4849"</f>
        <v>903-363-4849</v>
      </c>
      <c r="E3414" s="2" t="s">
        <v>15048</v>
      </c>
      <c r="F3414" s="2" t="s">
        <v>16049</v>
      </c>
      <c r="G3414" s="2" t="str">
        <f>"SR-4721"</f>
        <v>SR-4721</v>
      </c>
      <c r="H3414" s="2" t="s">
        <v>16050</v>
      </c>
      <c r="I3414" s="2" t="s">
        <v>16051</v>
      </c>
      <c r="K3414" s="2" t="s">
        <v>16052</v>
      </c>
      <c r="L3414" s="2" t="s">
        <v>172</v>
      </c>
      <c r="M3414" s="2">
        <v>75494.0</v>
      </c>
      <c r="N3414" s="2" t="s">
        <v>21</v>
      </c>
    </row>
    <row r="3415" ht="15.75" customHeight="1">
      <c r="A3415" s="2">
        <v>2014.0</v>
      </c>
      <c r="B3415" s="2" t="s">
        <v>16053</v>
      </c>
      <c r="C3415" s="2" t="s">
        <v>16053</v>
      </c>
      <c r="D3415" s="2" t="str">
        <f>"(337)540-7476"</f>
        <v>(337)540-7476</v>
      </c>
      <c r="E3415" s="2" t="s">
        <v>4935</v>
      </c>
      <c r="F3415" s="2" t="s">
        <v>8766</v>
      </c>
      <c r="G3415" s="2" t="str">
        <f>"SR-4727"</f>
        <v>SR-4727</v>
      </c>
      <c r="H3415" s="2" t="s">
        <v>16054</v>
      </c>
      <c r="I3415" s="2" t="s">
        <v>16055</v>
      </c>
      <c r="K3415" s="2" t="s">
        <v>11600</v>
      </c>
      <c r="L3415" s="2" t="s">
        <v>715</v>
      </c>
      <c r="M3415" s="2">
        <v>70611.0</v>
      </c>
      <c r="N3415" s="2" t="s">
        <v>21</v>
      </c>
    </row>
    <row r="3416" ht="15.75" customHeight="1">
      <c r="A3416" s="2">
        <v>2014.0</v>
      </c>
      <c r="B3416" s="2" t="s">
        <v>16056</v>
      </c>
      <c r="C3416" s="2" t="s">
        <v>16057</v>
      </c>
      <c r="D3416" s="2" t="str">
        <f>"281-773-5650"</f>
        <v>281-773-5650</v>
      </c>
      <c r="E3416" s="2" t="s">
        <v>16058</v>
      </c>
      <c r="F3416" s="2" t="s">
        <v>16059</v>
      </c>
      <c r="G3416" s="2" t="str">
        <f>"SR-4729"</f>
        <v>SR-4729</v>
      </c>
      <c r="H3416" s="2" t="s">
        <v>16060</v>
      </c>
      <c r="I3416" s="2" t="s">
        <v>16061</v>
      </c>
      <c r="K3416" s="2" t="s">
        <v>16062</v>
      </c>
      <c r="L3416" s="2" t="s">
        <v>172</v>
      </c>
      <c r="M3416" s="2">
        <v>77521.0</v>
      </c>
      <c r="N3416" s="2" t="s">
        <v>21</v>
      </c>
    </row>
    <row r="3417" ht="15.75" customHeight="1">
      <c r="A3417" s="2">
        <v>2014.0</v>
      </c>
      <c r="B3417" s="2" t="s">
        <v>16063</v>
      </c>
      <c r="C3417" s="2" t="s">
        <v>16063</v>
      </c>
      <c r="D3417" s="2" t="str">
        <f>"3605461723"</f>
        <v>3605461723</v>
      </c>
      <c r="E3417" s="2" t="s">
        <v>167</v>
      </c>
      <c r="F3417" s="2" t="s">
        <v>16064</v>
      </c>
      <c r="G3417" s="2" t="str">
        <f>"SR-4722"</f>
        <v>SR-4722</v>
      </c>
      <c r="H3417" s="2" t="s">
        <v>16065</v>
      </c>
      <c r="I3417" s="2" t="s">
        <v>16066</v>
      </c>
      <c r="K3417" s="2" t="s">
        <v>13145</v>
      </c>
      <c r="L3417" s="2" t="s">
        <v>86</v>
      </c>
      <c r="M3417" s="2">
        <v>98664.0</v>
      </c>
      <c r="N3417" s="2" t="s">
        <v>21</v>
      </c>
    </row>
    <row r="3418" ht="15.75" customHeight="1">
      <c r="A3418" s="2">
        <v>2014.0</v>
      </c>
      <c r="B3418" s="2" t="s">
        <v>16067</v>
      </c>
      <c r="C3418" s="2" t="s">
        <v>16068</v>
      </c>
      <c r="D3418" s="2" t="str">
        <f>"719-629-6131"</f>
        <v>719-629-6131</v>
      </c>
      <c r="E3418" s="2" t="s">
        <v>16069</v>
      </c>
      <c r="F3418" s="2" t="s">
        <v>16070</v>
      </c>
      <c r="G3418" s="2" t="str">
        <f>"SR-4717"</f>
        <v>SR-4717</v>
      </c>
      <c r="H3418" s="2" t="s">
        <v>16071</v>
      </c>
      <c r="I3418" s="2" t="s">
        <v>16072</v>
      </c>
      <c r="K3418" s="2" t="s">
        <v>809</v>
      </c>
      <c r="L3418" s="2" t="s">
        <v>157</v>
      </c>
      <c r="M3418" s="2">
        <v>80910.0</v>
      </c>
      <c r="N3418" s="2" t="s">
        <v>21</v>
      </c>
    </row>
    <row r="3419" ht="15.75" customHeight="1">
      <c r="A3419" s="2">
        <v>2014.0</v>
      </c>
      <c r="B3419" s="2" t="s">
        <v>16073</v>
      </c>
      <c r="C3419" s="2" t="s">
        <v>16074</v>
      </c>
      <c r="D3419" s="2" t="str">
        <f>"402-727-5159"</f>
        <v>402-727-5159</v>
      </c>
      <c r="E3419" s="2" t="s">
        <v>16075</v>
      </c>
      <c r="F3419" s="2" t="s">
        <v>16076</v>
      </c>
      <c r="G3419" s="2" t="str">
        <f>"SR-4735"</f>
        <v>SR-4735</v>
      </c>
      <c r="H3419" s="2" t="s">
        <v>16077</v>
      </c>
      <c r="I3419" s="2" t="s">
        <v>16078</v>
      </c>
      <c r="K3419" s="2" t="s">
        <v>16079</v>
      </c>
      <c r="L3419" s="2" t="s">
        <v>757</v>
      </c>
      <c r="M3419" s="2">
        <v>68025.0</v>
      </c>
      <c r="N3419" s="2" t="s">
        <v>21</v>
      </c>
    </row>
    <row r="3420" ht="15.75" customHeight="1">
      <c r="A3420" s="2">
        <v>2014.0</v>
      </c>
      <c r="B3420" s="2" t="s">
        <v>16080</v>
      </c>
      <c r="C3420" s="2" t="s">
        <v>16080</v>
      </c>
      <c r="D3420" s="2" t="str">
        <f>"4066973701"</f>
        <v>4066973701</v>
      </c>
      <c r="E3420" s="2" t="s">
        <v>16081</v>
      </c>
      <c r="F3420" s="2" t="s">
        <v>8941</v>
      </c>
      <c r="G3420" s="2" t="str">
        <f>"SR-4737"</f>
        <v>SR-4737</v>
      </c>
      <c r="H3420" s="2" t="s">
        <v>16082</v>
      </c>
      <c r="I3420" s="2" t="s">
        <v>16083</v>
      </c>
      <c r="K3420" s="2" t="s">
        <v>3548</v>
      </c>
      <c r="L3420" s="2" t="s">
        <v>2696</v>
      </c>
      <c r="M3420" s="2">
        <v>59102.0</v>
      </c>
      <c r="N3420" s="2" t="s">
        <v>21</v>
      </c>
    </row>
    <row r="3421" ht="15.75" customHeight="1">
      <c r="A3421" s="2">
        <v>2014.0</v>
      </c>
      <c r="B3421" s="2" t="s">
        <v>16084</v>
      </c>
      <c r="C3421" s="2" t="s">
        <v>16085</v>
      </c>
      <c r="D3421" s="2" t="str">
        <f>"7863270181"</f>
        <v>7863270181</v>
      </c>
      <c r="E3421" s="2" t="s">
        <v>1114</v>
      </c>
      <c r="F3421" s="2" t="s">
        <v>16086</v>
      </c>
      <c r="G3421" s="2" t="str">
        <f>"SR-4644"</f>
        <v>SR-4644</v>
      </c>
      <c r="H3421" s="2" t="s">
        <v>16087</v>
      </c>
      <c r="I3421" s="2" t="s">
        <v>16088</v>
      </c>
      <c r="J3421" s="2" t="s">
        <v>16089</v>
      </c>
      <c r="K3421" s="2" t="s">
        <v>16090</v>
      </c>
      <c r="L3421" s="2" t="s">
        <v>222</v>
      </c>
      <c r="M3421" s="2">
        <v>92663.0</v>
      </c>
      <c r="N3421" s="2" t="s">
        <v>21</v>
      </c>
    </row>
    <row r="3422" ht="15.75" customHeight="1">
      <c r="A3422" s="2">
        <v>2015.0</v>
      </c>
      <c r="B3422" s="2" t="s">
        <v>2326</v>
      </c>
      <c r="C3422" s="2" t="s">
        <v>16091</v>
      </c>
      <c r="D3422" s="2" t="str">
        <f>"952-949-1212"</f>
        <v>952-949-1212</v>
      </c>
      <c r="E3422" s="2" t="s">
        <v>5858</v>
      </c>
      <c r="F3422" s="2" t="s">
        <v>2328</v>
      </c>
      <c r="G3422" s="2" t="str">
        <f>"SR-4048"</f>
        <v>SR-4048</v>
      </c>
      <c r="H3422" s="2" t="s">
        <v>16092</v>
      </c>
      <c r="I3422" s="2" t="s">
        <v>2330</v>
      </c>
      <c r="K3422" s="2" t="s">
        <v>16093</v>
      </c>
      <c r="L3422" s="2" t="s">
        <v>62</v>
      </c>
      <c r="M3422" s="2">
        <v>55347.0</v>
      </c>
      <c r="N3422" s="2" t="s">
        <v>21</v>
      </c>
    </row>
    <row r="3423" ht="15.75" customHeight="1">
      <c r="A3423" s="2">
        <v>2015.0</v>
      </c>
      <c r="B3423" s="2" t="s">
        <v>16094</v>
      </c>
      <c r="C3423" s="2" t="s">
        <v>16094</v>
      </c>
      <c r="D3423" s="2" t="str">
        <f>"214-435-7667"</f>
        <v>214-435-7667</v>
      </c>
      <c r="E3423" s="2" t="s">
        <v>9605</v>
      </c>
      <c r="F3423" s="2" t="s">
        <v>2083</v>
      </c>
      <c r="G3423" s="2" t="str">
        <f>"SR-4780"</f>
        <v>SR-4780</v>
      </c>
      <c r="H3423" s="2" t="s">
        <v>16095</v>
      </c>
      <c r="I3423" s="2">
        <v>3321.0</v>
      </c>
      <c r="J3423" s="2" t="s">
        <v>16096</v>
      </c>
      <c r="K3423" s="2" t="s">
        <v>1255</v>
      </c>
      <c r="L3423" s="2" t="s">
        <v>172</v>
      </c>
      <c r="M3423" s="2">
        <v>75225.0</v>
      </c>
      <c r="N3423" s="2" t="s">
        <v>21</v>
      </c>
    </row>
    <row r="3424" ht="15.75" customHeight="1">
      <c r="A3424" s="2">
        <v>2015.0</v>
      </c>
      <c r="B3424" s="2" t="s">
        <v>16097</v>
      </c>
      <c r="C3424" s="2" t="s">
        <v>16098</v>
      </c>
      <c r="D3424" s="2" t="str">
        <f>"713-468-4449"</f>
        <v>713-468-4449</v>
      </c>
      <c r="E3424" s="2" t="s">
        <v>2361</v>
      </c>
      <c r="F3424" s="2" t="s">
        <v>16099</v>
      </c>
      <c r="G3424" s="2" t="str">
        <f>"SR-4774"</f>
        <v>SR-4774</v>
      </c>
      <c r="H3424" s="2" t="s">
        <v>16100</v>
      </c>
      <c r="I3424" s="2" t="s">
        <v>16101</v>
      </c>
      <c r="K3424" s="2" t="s">
        <v>444</v>
      </c>
      <c r="L3424" s="2" t="s">
        <v>172</v>
      </c>
      <c r="M3424" s="2">
        <v>77079.0</v>
      </c>
      <c r="N3424" s="2" t="s">
        <v>21</v>
      </c>
    </row>
    <row r="3425" ht="15.75" customHeight="1">
      <c r="A3425" s="2">
        <v>2015.0</v>
      </c>
      <c r="B3425" s="2" t="s">
        <v>6066</v>
      </c>
      <c r="C3425" s="2" t="s">
        <v>6066</v>
      </c>
      <c r="D3425" s="2" t="str">
        <f>"808-652-0233"</f>
        <v>808-652-0233</v>
      </c>
      <c r="E3425" s="2" t="s">
        <v>465</v>
      </c>
      <c r="F3425" s="2" t="s">
        <v>3481</v>
      </c>
      <c r="G3425" s="2" t="str">
        <f>"SR-4776"</f>
        <v>SR-4776</v>
      </c>
      <c r="H3425" s="2" t="s">
        <v>6067</v>
      </c>
      <c r="I3425" s="2" t="s">
        <v>16102</v>
      </c>
      <c r="K3425" s="2" t="s">
        <v>16103</v>
      </c>
      <c r="L3425" s="2" t="s">
        <v>770</v>
      </c>
      <c r="M3425" s="2">
        <v>96722.0</v>
      </c>
      <c r="N3425" s="2" t="s">
        <v>21</v>
      </c>
    </row>
    <row r="3426" ht="15.75" customHeight="1">
      <c r="A3426" s="2">
        <v>2015.0</v>
      </c>
      <c r="B3426" s="2" t="s">
        <v>804</v>
      </c>
      <c r="C3426" s="2" t="s">
        <v>16104</v>
      </c>
      <c r="D3426" s="2" t="str">
        <f>"719-331-3311"</f>
        <v>719-331-3311</v>
      </c>
      <c r="E3426" s="2" t="s">
        <v>456</v>
      </c>
      <c r="F3426" s="2" t="s">
        <v>806</v>
      </c>
      <c r="G3426" s="2" t="str">
        <f>"SR-4792"</f>
        <v>SR-4792</v>
      </c>
      <c r="H3426" s="2" t="s">
        <v>16105</v>
      </c>
      <c r="I3426" s="2" t="s">
        <v>16106</v>
      </c>
      <c r="K3426" s="2" t="s">
        <v>809</v>
      </c>
      <c r="L3426" s="2" t="s">
        <v>157</v>
      </c>
      <c r="M3426" s="2">
        <v>80921.0</v>
      </c>
      <c r="N3426" s="2" t="s">
        <v>21</v>
      </c>
    </row>
    <row r="3427" ht="15.75" customHeight="1">
      <c r="A3427" s="2">
        <v>2015.0</v>
      </c>
      <c r="B3427" s="2" t="s">
        <v>8531</v>
      </c>
      <c r="C3427" s="2" t="s">
        <v>16107</v>
      </c>
      <c r="D3427" s="2" t="str">
        <f>"1231231234"</f>
        <v>1231231234</v>
      </c>
      <c r="E3427" s="2" t="s">
        <v>16108</v>
      </c>
      <c r="F3427" s="2" t="s">
        <v>8534</v>
      </c>
      <c r="G3427" s="2" t="str">
        <f>"SR-1"</f>
        <v>SR-1</v>
      </c>
      <c r="H3427" s="2" t="s">
        <v>16109</v>
      </c>
      <c r="I3427" s="2" t="s">
        <v>8536</v>
      </c>
      <c r="K3427" s="2" t="s">
        <v>8537</v>
      </c>
      <c r="L3427" s="2" t="s">
        <v>157</v>
      </c>
      <c r="M3427" s="2">
        <v>12345.0</v>
      </c>
      <c r="N3427" s="2" t="s">
        <v>21</v>
      </c>
    </row>
    <row r="3428" ht="15.75" customHeight="1">
      <c r="A3428" s="2">
        <v>2015.0</v>
      </c>
      <c r="B3428" s="2" t="s">
        <v>16110</v>
      </c>
      <c r="C3428" s="2" t="s">
        <v>16111</v>
      </c>
      <c r="D3428" s="2" t="str">
        <f>"949 859-4472"</f>
        <v>949 859-4472</v>
      </c>
      <c r="E3428" s="2" t="s">
        <v>16112</v>
      </c>
      <c r="F3428" s="2" t="s">
        <v>16113</v>
      </c>
      <c r="G3428" s="2" t="str">
        <f>"SR-4779"</f>
        <v>SR-4779</v>
      </c>
      <c r="H3428" s="2" t="s">
        <v>16114</v>
      </c>
      <c r="I3428" s="2" t="s">
        <v>16115</v>
      </c>
      <c r="K3428" s="2" t="s">
        <v>16116</v>
      </c>
      <c r="L3428" s="2" t="s">
        <v>222</v>
      </c>
      <c r="M3428" s="2">
        <v>92630.0</v>
      </c>
      <c r="N3428" s="2" t="s">
        <v>21</v>
      </c>
    </row>
    <row r="3429" ht="15.75" customHeight="1">
      <c r="A3429" s="2">
        <v>2015.0</v>
      </c>
      <c r="B3429" s="2" t="s">
        <v>16117</v>
      </c>
      <c r="C3429" s="2" t="s">
        <v>16118</v>
      </c>
      <c r="D3429" s="2" t="str">
        <f>"2059037976"</f>
        <v>2059037976</v>
      </c>
      <c r="E3429" s="2" t="s">
        <v>16119</v>
      </c>
      <c r="F3429" s="2" t="s">
        <v>16120</v>
      </c>
      <c r="G3429" s="2" t="str">
        <f>"SR-4794"</f>
        <v>SR-4794</v>
      </c>
      <c r="H3429" s="2" t="s">
        <v>16121</v>
      </c>
      <c r="I3429" s="2" t="s">
        <v>16122</v>
      </c>
      <c r="K3429" s="2" t="s">
        <v>1173</v>
      </c>
      <c r="L3429" s="2" t="s">
        <v>539</v>
      </c>
      <c r="M3429" s="2">
        <v>35243.0</v>
      </c>
      <c r="N3429" s="2" t="s">
        <v>21</v>
      </c>
    </row>
    <row r="3430" ht="15.75" customHeight="1">
      <c r="A3430" s="2">
        <v>2015.0</v>
      </c>
      <c r="B3430" s="2" t="s">
        <v>16123</v>
      </c>
      <c r="C3430" s="2" t="s">
        <v>16124</v>
      </c>
      <c r="D3430" s="2" t="str">
        <f>"817-691-7582"</f>
        <v>817-691-7582</v>
      </c>
      <c r="E3430" s="2" t="s">
        <v>2384</v>
      </c>
      <c r="F3430" s="2" t="s">
        <v>16125</v>
      </c>
      <c r="G3430" s="2" t="str">
        <f>"SR-4797"</f>
        <v>SR-4797</v>
      </c>
      <c r="H3430" s="2" t="s">
        <v>16126</v>
      </c>
      <c r="I3430" s="2" t="s">
        <v>16127</v>
      </c>
      <c r="K3430" s="2" t="s">
        <v>2046</v>
      </c>
      <c r="L3430" s="2" t="s">
        <v>172</v>
      </c>
      <c r="M3430" s="2">
        <v>76049.0</v>
      </c>
      <c r="N3430" s="2" t="s">
        <v>21</v>
      </c>
    </row>
    <row r="3431" ht="15.75" customHeight="1">
      <c r="A3431" s="2">
        <v>2015.0</v>
      </c>
      <c r="B3431" s="2" t="s">
        <v>16128</v>
      </c>
      <c r="C3431" s="2" t="s">
        <v>16128</v>
      </c>
      <c r="D3431" s="2" t="str">
        <f>"4323863315"</f>
        <v>4323863315</v>
      </c>
      <c r="E3431" s="2" t="s">
        <v>16129</v>
      </c>
      <c r="F3431" s="2" t="s">
        <v>16130</v>
      </c>
      <c r="G3431" s="2" t="str">
        <f>"SR-4767"</f>
        <v>SR-4767</v>
      </c>
      <c r="H3431" s="2" t="s">
        <v>16131</v>
      </c>
      <c r="I3431" s="2" t="s">
        <v>16132</v>
      </c>
      <c r="K3431" s="2" t="s">
        <v>16133</v>
      </c>
      <c r="L3431" s="2" t="s">
        <v>172</v>
      </c>
      <c r="M3431" s="2">
        <v>79843.0</v>
      </c>
      <c r="N3431" s="2" t="s">
        <v>21</v>
      </c>
    </row>
    <row r="3432" ht="15.75" customHeight="1">
      <c r="A3432" s="2">
        <v>2015.0</v>
      </c>
      <c r="B3432" s="2" t="s">
        <v>16134</v>
      </c>
      <c r="C3432" s="2" t="s">
        <v>16135</v>
      </c>
      <c r="D3432" s="2" t="str">
        <f>"703-888-0199"</f>
        <v>703-888-0199</v>
      </c>
      <c r="E3432" s="2" t="s">
        <v>12851</v>
      </c>
      <c r="F3432" s="2" t="s">
        <v>16136</v>
      </c>
      <c r="G3432" s="2" t="str">
        <f>"SR-4791"</f>
        <v>SR-4791</v>
      </c>
      <c r="H3432" s="2" t="s">
        <v>16137</v>
      </c>
      <c r="I3432" s="2" t="s">
        <v>16138</v>
      </c>
      <c r="K3432" s="2" t="s">
        <v>404</v>
      </c>
      <c r="L3432" s="2" t="s">
        <v>165</v>
      </c>
      <c r="M3432" s="2">
        <v>22302.0</v>
      </c>
      <c r="N3432" s="2" t="s">
        <v>21</v>
      </c>
    </row>
    <row r="3433" ht="15.75" customHeight="1">
      <c r="A3433" s="2">
        <v>2015.0</v>
      </c>
      <c r="B3433" s="2" t="s">
        <v>16139</v>
      </c>
      <c r="C3433" s="2" t="s">
        <v>16140</v>
      </c>
      <c r="D3433" s="2" t="str">
        <f t="shared" ref="D3433:D3434" si="60">"402-874-9551"</f>
        <v>402-874-9551</v>
      </c>
      <c r="E3433" s="2" t="s">
        <v>1891</v>
      </c>
      <c r="F3433" s="2" t="s">
        <v>16141</v>
      </c>
      <c r="G3433" s="2" t="str">
        <f>"SR-4805"</f>
        <v>SR-4805</v>
      </c>
      <c r="H3433" s="2" t="s">
        <v>16142</v>
      </c>
      <c r="I3433" s="2" t="s">
        <v>16143</v>
      </c>
      <c r="K3433" s="2" t="s">
        <v>16144</v>
      </c>
      <c r="L3433" s="2" t="s">
        <v>757</v>
      </c>
      <c r="M3433" s="2">
        <v>68410.0</v>
      </c>
      <c r="N3433" s="2" t="s">
        <v>21</v>
      </c>
    </row>
    <row r="3434" ht="15.75" customHeight="1">
      <c r="A3434" s="2">
        <v>2015.0</v>
      </c>
      <c r="B3434" s="2" t="s">
        <v>16139</v>
      </c>
      <c r="C3434" s="2" t="s">
        <v>16145</v>
      </c>
      <c r="D3434" s="2" t="str">
        <f t="shared" si="60"/>
        <v>402-874-9551</v>
      </c>
      <c r="E3434" s="2" t="s">
        <v>16146</v>
      </c>
      <c r="F3434" s="2" t="s">
        <v>16141</v>
      </c>
      <c r="G3434" s="2" t="str">
        <f>"SR-4806"</f>
        <v>SR-4806</v>
      </c>
      <c r="H3434" s="2" t="s">
        <v>16147</v>
      </c>
      <c r="I3434" s="2" t="s">
        <v>16143</v>
      </c>
      <c r="K3434" s="2" t="s">
        <v>16144</v>
      </c>
      <c r="L3434" s="2" t="s">
        <v>757</v>
      </c>
      <c r="M3434" s="2">
        <v>68410.0</v>
      </c>
      <c r="N3434" s="2" t="s">
        <v>21</v>
      </c>
    </row>
    <row r="3435" ht="15.75" customHeight="1">
      <c r="A3435" s="2">
        <v>2015.0</v>
      </c>
      <c r="B3435" s="2" t="s">
        <v>16148</v>
      </c>
      <c r="C3435" s="2" t="s">
        <v>16149</v>
      </c>
      <c r="D3435" s="2" t="str">
        <f>"972-757-7843"</f>
        <v>972-757-7843</v>
      </c>
      <c r="E3435" s="2" t="s">
        <v>1251</v>
      </c>
      <c r="F3435" s="2" t="s">
        <v>2753</v>
      </c>
      <c r="G3435" s="2" t="str">
        <f>"SR-4799"</f>
        <v>SR-4799</v>
      </c>
      <c r="H3435" s="2" t="s">
        <v>16150</v>
      </c>
      <c r="I3435" s="2" t="s">
        <v>16151</v>
      </c>
      <c r="K3435" s="2" t="s">
        <v>1255</v>
      </c>
      <c r="L3435" s="2" t="s">
        <v>172</v>
      </c>
      <c r="M3435" s="2">
        <v>75287.0</v>
      </c>
      <c r="N3435" s="2" t="s">
        <v>21</v>
      </c>
    </row>
    <row r="3436" ht="15.75" customHeight="1">
      <c r="A3436" s="2">
        <v>2015.0</v>
      </c>
      <c r="B3436" s="2" t="s">
        <v>16152</v>
      </c>
      <c r="C3436" s="2" t="s">
        <v>16153</v>
      </c>
      <c r="D3436" s="2" t="str">
        <f>"940-781-1919"</f>
        <v>940-781-1919</v>
      </c>
      <c r="E3436" s="2" t="s">
        <v>2988</v>
      </c>
      <c r="F3436" s="2" t="s">
        <v>5105</v>
      </c>
      <c r="G3436" s="2" t="str">
        <f>"SR-2248"</f>
        <v>SR-2248</v>
      </c>
      <c r="H3436" s="2" t="s">
        <v>16154</v>
      </c>
      <c r="I3436" s="2" t="s">
        <v>16155</v>
      </c>
      <c r="K3436" s="2" t="s">
        <v>6539</v>
      </c>
      <c r="L3436" s="2" t="s">
        <v>172</v>
      </c>
      <c r="M3436" s="2">
        <v>76208.0</v>
      </c>
      <c r="N3436" s="2" t="s">
        <v>21</v>
      </c>
    </row>
    <row r="3437" ht="15.75" customHeight="1">
      <c r="A3437" s="2">
        <v>2015.0</v>
      </c>
      <c r="B3437" s="2" t="s">
        <v>16156</v>
      </c>
      <c r="C3437" s="2" t="s">
        <v>16157</v>
      </c>
      <c r="D3437" s="2" t="str">
        <f>"865-748-9231"</f>
        <v>865-748-9231</v>
      </c>
      <c r="E3437" s="2" t="s">
        <v>645</v>
      </c>
      <c r="F3437" s="2" t="s">
        <v>5962</v>
      </c>
      <c r="G3437" s="2" t="str">
        <f>"SR-4811"</f>
        <v>SR-4811</v>
      </c>
      <c r="H3437" s="2" t="s">
        <v>16158</v>
      </c>
      <c r="I3437" s="2" t="s">
        <v>16159</v>
      </c>
      <c r="K3437" s="2" t="s">
        <v>16160</v>
      </c>
      <c r="L3437" s="2" t="s">
        <v>279</v>
      </c>
      <c r="M3437" s="2">
        <v>37779.0</v>
      </c>
      <c r="N3437" s="2" t="s">
        <v>21</v>
      </c>
    </row>
    <row r="3438" ht="15.75" customHeight="1">
      <c r="A3438" s="2">
        <v>2015.0</v>
      </c>
      <c r="B3438" s="2" t="s">
        <v>16161</v>
      </c>
      <c r="C3438" s="2" t="s">
        <v>16162</v>
      </c>
      <c r="D3438" s="2" t="str">
        <f>"214-796-1013"</f>
        <v>214-796-1013</v>
      </c>
      <c r="E3438" s="2" t="s">
        <v>478</v>
      </c>
      <c r="F3438" s="2" t="s">
        <v>962</v>
      </c>
      <c r="G3438" s="2" t="str">
        <f>"SR-4803"</f>
        <v>SR-4803</v>
      </c>
      <c r="H3438" s="2" t="s">
        <v>16163</v>
      </c>
      <c r="I3438" s="2" t="s">
        <v>16164</v>
      </c>
      <c r="K3438" s="2" t="s">
        <v>357</v>
      </c>
      <c r="L3438" s="2" t="s">
        <v>172</v>
      </c>
      <c r="M3438" s="2">
        <v>75024.0</v>
      </c>
      <c r="N3438" s="2" t="s">
        <v>21</v>
      </c>
    </row>
    <row r="3439" ht="15.75" customHeight="1">
      <c r="A3439" s="2">
        <v>2015.0</v>
      </c>
      <c r="B3439" s="2" t="s">
        <v>16165</v>
      </c>
      <c r="C3439" s="2" t="s">
        <v>16165</v>
      </c>
      <c r="D3439" s="2" t="str">
        <f>"5078315121"</f>
        <v>5078315121</v>
      </c>
      <c r="E3439" s="2" t="s">
        <v>144</v>
      </c>
      <c r="F3439" s="2" t="s">
        <v>1799</v>
      </c>
      <c r="G3439" s="2" t="str">
        <f>"SR-2739"</f>
        <v>SR-2739</v>
      </c>
      <c r="H3439" s="2" t="s">
        <v>16166</v>
      </c>
      <c r="I3439" s="2" t="s">
        <v>16167</v>
      </c>
      <c r="K3439" s="2" t="s">
        <v>8530</v>
      </c>
      <c r="L3439" s="2" t="s">
        <v>62</v>
      </c>
      <c r="M3439" s="2">
        <v>56101.0</v>
      </c>
      <c r="N3439" s="2" t="s">
        <v>21</v>
      </c>
    </row>
    <row r="3440" ht="15.75" customHeight="1">
      <c r="A3440" s="2">
        <v>2015.0</v>
      </c>
      <c r="B3440" s="2" t="s">
        <v>16168</v>
      </c>
      <c r="C3440" s="2" t="s">
        <v>16169</v>
      </c>
      <c r="D3440" s="2" t="str">
        <f>"616-724-7615"</f>
        <v>616-724-7615</v>
      </c>
      <c r="E3440" s="2" t="s">
        <v>922</v>
      </c>
      <c r="F3440" s="2" t="s">
        <v>778</v>
      </c>
      <c r="G3440" s="2" t="str">
        <f>"SR-4831"</f>
        <v>SR-4831</v>
      </c>
      <c r="H3440" s="2" t="s">
        <v>16170</v>
      </c>
      <c r="I3440" s="2" t="s">
        <v>16171</v>
      </c>
      <c r="K3440" s="2" t="s">
        <v>16172</v>
      </c>
      <c r="L3440" s="2" t="s">
        <v>29</v>
      </c>
      <c r="M3440" s="2">
        <v>49509.0</v>
      </c>
      <c r="N3440" s="2" t="s">
        <v>21</v>
      </c>
    </row>
    <row r="3441" ht="15.75" customHeight="1">
      <c r="A3441" s="2">
        <v>2015.0</v>
      </c>
      <c r="B3441" s="2" t="s">
        <v>16173</v>
      </c>
      <c r="C3441" s="2" t="s">
        <v>16174</v>
      </c>
      <c r="D3441" s="2" t="str">
        <f>"(712) 578-9323"</f>
        <v>(712) 578-9323</v>
      </c>
      <c r="E3441" s="2" t="s">
        <v>528</v>
      </c>
      <c r="F3441" s="2" t="s">
        <v>9163</v>
      </c>
      <c r="G3441" s="2" t="str">
        <f>"SR-4830"</f>
        <v>SR-4830</v>
      </c>
      <c r="H3441" s="2" t="s">
        <v>16175</v>
      </c>
      <c r="I3441" s="2" t="s">
        <v>9165</v>
      </c>
      <c r="K3441" s="2" t="s">
        <v>2779</v>
      </c>
      <c r="L3441" s="2" t="s">
        <v>560</v>
      </c>
      <c r="M3441" s="2">
        <v>51250.0</v>
      </c>
      <c r="N3441" s="2" t="s">
        <v>21</v>
      </c>
    </row>
    <row r="3442" ht="15.75" customHeight="1">
      <c r="A3442" s="2">
        <v>2015.0</v>
      </c>
      <c r="B3442" s="2" t="s">
        <v>11795</v>
      </c>
      <c r="C3442" s="2" t="s">
        <v>11795</v>
      </c>
      <c r="D3442" s="2" t="str">
        <f>"402-802-0790"</f>
        <v>402-802-0790</v>
      </c>
      <c r="E3442" s="2" t="s">
        <v>580</v>
      </c>
      <c r="F3442" s="2" t="s">
        <v>89</v>
      </c>
      <c r="G3442" s="2" t="str">
        <f>"SR-4832"</f>
        <v>SR-4832</v>
      </c>
      <c r="H3442" s="2" t="s">
        <v>11796</v>
      </c>
      <c r="I3442" s="2" t="s">
        <v>16176</v>
      </c>
      <c r="K3442" s="2" t="s">
        <v>11726</v>
      </c>
      <c r="L3442" s="2" t="s">
        <v>757</v>
      </c>
      <c r="M3442" s="2">
        <v>68701.0</v>
      </c>
      <c r="N3442" s="2" t="s">
        <v>21</v>
      </c>
    </row>
    <row r="3443" ht="15.75" customHeight="1">
      <c r="A3443" s="2">
        <v>2015.0</v>
      </c>
      <c r="B3443" s="2" t="s">
        <v>16173</v>
      </c>
      <c r="C3443" s="2" t="s">
        <v>16177</v>
      </c>
      <c r="D3443" s="2" t="str">
        <f>"1-712-578-9025"</f>
        <v>1-712-578-9025</v>
      </c>
      <c r="E3443" s="2" t="s">
        <v>8416</v>
      </c>
      <c r="F3443" s="2" t="s">
        <v>9163</v>
      </c>
      <c r="G3443" s="2" t="str">
        <f>"SR-4833"</f>
        <v>SR-4833</v>
      </c>
      <c r="H3443" s="2" t="s">
        <v>16178</v>
      </c>
      <c r="I3443" s="2" t="s">
        <v>9165</v>
      </c>
      <c r="K3443" s="2" t="s">
        <v>2779</v>
      </c>
      <c r="L3443" s="2" t="s">
        <v>560</v>
      </c>
      <c r="M3443" s="2">
        <v>51250.0</v>
      </c>
      <c r="N3443" s="2" t="s">
        <v>21</v>
      </c>
    </row>
    <row r="3444" ht="15.75" customHeight="1">
      <c r="A3444" s="2">
        <v>2015.0</v>
      </c>
      <c r="B3444" s="2" t="s">
        <v>16179</v>
      </c>
      <c r="C3444" s="2" t="s">
        <v>16180</v>
      </c>
      <c r="D3444" s="2" t="str">
        <f>"3043007837"</f>
        <v>3043007837</v>
      </c>
      <c r="E3444" s="2" t="s">
        <v>11981</v>
      </c>
      <c r="F3444" s="2" t="s">
        <v>16181</v>
      </c>
      <c r="G3444" s="2" t="str">
        <f>"SR-4834"</f>
        <v>SR-4834</v>
      </c>
      <c r="H3444" s="2" t="s">
        <v>16182</v>
      </c>
      <c r="I3444" s="2" t="s">
        <v>16183</v>
      </c>
      <c r="K3444" s="2" t="s">
        <v>16184</v>
      </c>
      <c r="L3444" s="2" t="s">
        <v>142</v>
      </c>
      <c r="M3444" s="2">
        <v>9705.0</v>
      </c>
      <c r="N3444" s="2" t="s">
        <v>21</v>
      </c>
    </row>
    <row r="3445" ht="15.75" customHeight="1">
      <c r="A3445" s="2">
        <v>2015.0</v>
      </c>
      <c r="B3445" s="2" t="s">
        <v>16185</v>
      </c>
      <c r="C3445" s="2" t="s">
        <v>16186</v>
      </c>
      <c r="D3445" s="2" t="str">
        <f>"719-265-5764"</f>
        <v>719-265-5764</v>
      </c>
      <c r="E3445" s="2" t="s">
        <v>16187</v>
      </c>
      <c r="F3445" s="2" t="s">
        <v>16188</v>
      </c>
      <c r="G3445" s="2" t="str">
        <f>"SR-4826"</f>
        <v>SR-4826</v>
      </c>
      <c r="H3445" s="2" t="s">
        <v>16189</v>
      </c>
      <c r="I3445" s="2" t="s">
        <v>16190</v>
      </c>
      <c r="K3445" s="2" t="s">
        <v>809</v>
      </c>
      <c r="L3445" s="2" t="s">
        <v>157</v>
      </c>
      <c r="M3445" s="2">
        <v>80920.0</v>
      </c>
      <c r="N3445" s="2" t="s">
        <v>21</v>
      </c>
    </row>
    <row r="3446" ht="15.75" customHeight="1">
      <c r="A3446" s="2">
        <v>2015.0</v>
      </c>
      <c r="B3446" s="2" t="s">
        <v>16191</v>
      </c>
      <c r="C3446" s="2" t="s">
        <v>16191</v>
      </c>
      <c r="D3446" s="2" t="str">
        <f>"14055840052"</f>
        <v>14055840052</v>
      </c>
      <c r="E3446" s="2" t="s">
        <v>16192</v>
      </c>
      <c r="F3446" s="2" t="s">
        <v>16193</v>
      </c>
      <c r="G3446" s="2" t="str">
        <f>"SR-4769"</f>
        <v>SR-4769</v>
      </c>
      <c r="H3446" s="2" t="s">
        <v>16194</v>
      </c>
      <c r="I3446" s="2" t="s">
        <v>16195</v>
      </c>
      <c r="K3446" s="2" t="s">
        <v>16196</v>
      </c>
      <c r="L3446" s="2" t="s">
        <v>840</v>
      </c>
      <c r="M3446" s="2">
        <v>74880.0</v>
      </c>
      <c r="N3446" s="2" t="s">
        <v>21</v>
      </c>
    </row>
    <row r="3447" ht="15.75" customHeight="1">
      <c r="A3447" s="2">
        <v>2015.0</v>
      </c>
      <c r="B3447" s="2" t="s">
        <v>16197</v>
      </c>
      <c r="C3447" s="2" t="s">
        <v>16198</v>
      </c>
      <c r="D3447" s="2" t="str">
        <f>"870-761-4339"</f>
        <v>870-761-4339</v>
      </c>
      <c r="E3447" s="2" t="s">
        <v>339</v>
      </c>
      <c r="F3447" s="2" t="s">
        <v>3144</v>
      </c>
      <c r="G3447" s="2" t="str">
        <f>"SR-4840"</f>
        <v>SR-4840</v>
      </c>
      <c r="H3447" s="2" t="s">
        <v>16199</v>
      </c>
      <c r="I3447" s="2" t="s">
        <v>16200</v>
      </c>
      <c r="K3447" s="2" t="s">
        <v>4250</v>
      </c>
      <c r="L3447" s="2" t="s">
        <v>1012</v>
      </c>
      <c r="M3447" s="2">
        <v>72401.0</v>
      </c>
      <c r="N3447" s="2" t="s">
        <v>21</v>
      </c>
    </row>
    <row r="3448" ht="15.75" customHeight="1">
      <c r="A3448" s="2">
        <v>2015.0</v>
      </c>
      <c r="B3448" s="2" t="s">
        <v>9818</v>
      </c>
      <c r="C3448" s="2" t="s">
        <v>9819</v>
      </c>
      <c r="D3448" s="2" t="str">
        <f>"7192661092"</f>
        <v>7192661092</v>
      </c>
      <c r="E3448" s="2" t="s">
        <v>6294</v>
      </c>
      <c r="F3448" s="2" t="s">
        <v>9820</v>
      </c>
      <c r="G3448" s="2" t="str">
        <f>"SR-2898"</f>
        <v>SR-2898</v>
      </c>
      <c r="H3448" s="2" t="s">
        <v>9821</v>
      </c>
      <c r="I3448" s="2" t="s">
        <v>9822</v>
      </c>
      <c r="K3448" s="2" t="s">
        <v>809</v>
      </c>
      <c r="L3448" s="2" t="s">
        <v>157</v>
      </c>
      <c r="M3448" s="2">
        <v>80920.0</v>
      </c>
      <c r="N3448" s="2" t="s">
        <v>21</v>
      </c>
    </row>
    <row r="3449" ht="15.75" customHeight="1">
      <c r="A3449" s="2">
        <v>2015.0</v>
      </c>
      <c r="B3449" s="2" t="s">
        <v>13798</v>
      </c>
      <c r="C3449" s="2" t="s">
        <v>13799</v>
      </c>
      <c r="D3449" s="2" t="str">
        <f>"404-433-1873"</f>
        <v>404-433-1873</v>
      </c>
      <c r="E3449" s="2" t="s">
        <v>10825</v>
      </c>
      <c r="F3449" s="2" t="s">
        <v>3651</v>
      </c>
      <c r="G3449" s="2" t="str">
        <f>"SR-3941"</f>
        <v>SR-3941</v>
      </c>
      <c r="H3449" s="2" t="s">
        <v>13800</v>
      </c>
      <c r="I3449" s="2" t="s">
        <v>13801</v>
      </c>
      <c r="K3449" s="2" t="s">
        <v>10683</v>
      </c>
      <c r="L3449" s="2" t="s">
        <v>200</v>
      </c>
      <c r="M3449" s="2">
        <v>30327.0</v>
      </c>
      <c r="N3449" s="2" t="s">
        <v>21</v>
      </c>
    </row>
    <row r="3450" ht="15.75" customHeight="1">
      <c r="A3450" s="2">
        <v>2015.0</v>
      </c>
      <c r="B3450" s="2" t="s">
        <v>13798</v>
      </c>
      <c r="C3450" s="2" t="s">
        <v>16201</v>
      </c>
      <c r="D3450" s="2" t="str">
        <f>"404-375-9558"</f>
        <v>404-375-9558</v>
      </c>
      <c r="E3450" s="2" t="s">
        <v>181</v>
      </c>
      <c r="F3450" s="2" t="s">
        <v>3651</v>
      </c>
      <c r="G3450" s="2" t="str">
        <f>"SR-4847"</f>
        <v>SR-4847</v>
      </c>
      <c r="H3450" s="2" t="s">
        <v>16202</v>
      </c>
      <c r="I3450" s="2" t="s">
        <v>13801</v>
      </c>
      <c r="K3450" s="2" t="s">
        <v>10683</v>
      </c>
      <c r="L3450" s="2" t="s">
        <v>200</v>
      </c>
      <c r="M3450" s="2">
        <v>30327.0</v>
      </c>
      <c r="N3450" s="2" t="s">
        <v>21</v>
      </c>
    </row>
    <row r="3451" ht="15.75" customHeight="1">
      <c r="A3451" s="2">
        <v>2015.0</v>
      </c>
      <c r="B3451" s="2" t="s">
        <v>16203</v>
      </c>
      <c r="C3451" s="2" t="s">
        <v>16203</v>
      </c>
      <c r="D3451" s="2" t="str">
        <f>"9045219873"</f>
        <v>9045219873</v>
      </c>
      <c r="E3451" s="2" t="s">
        <v>1015</v>
      </c>
      <c r="F3451" s="2" t="s">
        <v>543</v>
      </c>
      <c r="G3451" s="2" t="str">
        <f>"SR-4758"</f>
        <v>SR-4758</v>
      </c>
      <c r="H3451" s="2" t="s">
        <v>16204</v>
      </c>
      <c r="I3451" s="2" t="s">
        <v>16205</v>
      </c>
      <c r="K3451" s="2" t="s">
        <v>5124</v>
      </c>
      <c r="L3451" s="2" t="s">
        <v>208</v>
      </c>
      <c r="M3451" s="2">
        <v>32656.0</v>
      </c>
      <c r="N3451" s="2" t="s">
        <v>21</v>
      </c>
    </row>
    <row r="3452" ht="15.75" customHeight="1">
      <c r="A3452" s="2">
        <v>2015.0</v>
      </c>
      <c r="B3452" s="2" t="s">
        <v>1755</v>
      </c>
      <c r="C3452" s="2" t="s">
        <v>16206</v>
      </c>
      <c r="D3452" s="2" t="str">
        <f>"5016812177"</f>
        <v>5016812177</v>
      </c>
      <c r="E3452" s="2" t="s">
        <v>4164</v>
      </c>
      <c r="F3452" s="2" t="s">
        <v>1756</v>
      </c>
      <c r="G3452" s="2" t="str">
        <f>"SR-4849"</f>
        <v>SR-4849</v>
      </c>
      <c r="H3452" s="2" t="s">
        <v>16207</v>
      </c>
      <c r="I3452" s="2" t="s">
        <v>16208</v>
      </c>
      <c r="K3452" s="2" t="s">
        <v>1759</v>
      </c>
      <c r="L3452" s="2" t="s">
        <v>1012</v>
      </c>
      <c r="M3452" s="2">
        <v>72212.0</v>
      </c>
      <c r="N3452" s="2" t="s">
        <v>21</v>
      </c>
    </row>
    <row r="3453" ht="15.75" customHeight="1">
      <c r="A3453" s="2">
        <v>2015.0</v>
      </c>
      <c r="B3453" s="2" t="s">
        <v>16209</v>
      </c>
      <c r="C3453" s="2" t="s">
        <v>16210</v>
      </c>
      <c r="D3453" s="2" t="str">
        <f>"501-831-5368"</f>
        <v>501-831-5368</v>
      </c>
      <c r="E3453" s="2" t="s">
        <v>5583</v>
      </c>
      <c r="F3453" s="2" t="s">
        <v>16211</v>
      </c>
      <c r="G3453" s="2" t="str">
        <f>"SR-4858"</f>
        <v>SR-4858</v>
      </c>
      <c r="H3453" s="2" t="s">
        <v>16212</v>
      </c>
      <c r="I3453" s="2" t="s">
        <v>16213</v>
      </c>
      <c r="K3453" s="2" t="s">
        <v>1759</v>
      </c>
      <c r="L3453" s="2" t="s">
        <v>1012</v>
      </c>
      <c r="M3453" s="2">
        <v>72223.0</v>
      </c>
      <c r="N3453" s="2" t="s">
        <v>21</v>
      </c>
    </row>
    <row r="3454" ht="15.75" customHeight="1">
      <c r="A3454" s="2">
        <v>2015.0</v>
      </c>
      <c r="B3454" s="2" t="s">
        <v>16214</v>
      </c>
      <c r="C3454" s="2" t="s">
        <v>16215</v>
      </c>
      <c r="D3454" s="2" t="str">
        <f>"414-915-6027"</f>
        <v>414-915-6027</v>
      </c>
      <c r="E3454" s="2" t="s">
        <v>2632</v>
      </c>
      <c r="F3454" s="2" t="s">
        <v>16216</v>
      </c>
      <c r="G3454" s="2" t="str">
        <f>"SR-4793"</f>
        <v>SR-4793</v>
      </c>
      <c r="H3454" s="2" t="s">
        <v>16217</v>
      </c>
      <c r="I3454" s="2" t="s">
        <v>16218</v>
      </c>
      <c r="K3454" s="2" t="s">
        <v>16219</v>
      </c>
      <c r="L3454" s="2" t="s">
        <v>193</v>
      </c>
      <c r="M3454" s="2">
        <v>53213.0</v>
      </c>
      <c r="N3454" s="2" t="s">
        <v>21</v>
      </c>
    </row>
    <row r="3455" ht="15.75" customHeight="1">
      <c r="A3455" s="2">
        <v>2015.0</v>
      </c>
      <c r="B3455" s="2" t="s">
        <v>16220</v>
      </c>
      <c r="C3455" s="2" t="s">
        <v>16220</v>
      </c>
      <c r="D3455" s="2" t="str">
        <f>"(507) 831-2031"</f>
        <v>(507) 831-2031</v>
      </c>
      <c r="E3455" s="2" t="s">
        <v>16221</v>
      </c>
      <c r="F3455" s="2" t="s">
        <v>16222</v>
      </c>
      <c r="G3455" s="2" t="str">
        <f>"SR-4820"</f>
        <v>SR-4820</v>
      </c>
      <c r="H3455" s="2" t="s">
        <v>16223</v>
      </c>
      <c r="I3455" s="2" t="s">
        <v>16224</v>
      </c>
      <c r="K3455" s="2" t="s">
        <v>16225</v>
      </c>
      <c r="L3455" s="2" t="s">
        <v>62</v>
      </c>
      <c r="M3455" s="2">
        <v>56101.0</v>
      </c>
      <c r="N3455" s="2" t="s">
        <v>21</v>
      </c>
    </row>
    <row r="3456" ht="15.75" customHeight="1">
      <c r="A3456" s="2">
        <v>2015.0</v>
      </c>
      <c r="B3456" s="2" t="s">
        <v>16226</v>
      </c>
      <c r="C3456" s="2" t="s">
        <v>16227</v>
      </c>
      <c r="D3456" s="2" t="str">
        <f>"205-447-0452"</f>
        <v>205-447-0452</v>
      </c>
      <c r="E3456" s="2" t="s">
        <v>16228</v>
      </c>
      <c r="F3456" s="2" t="s">
        <v>1533</v>
      </c>
      <c r="G3456" s="2" t="str">
        <f>"SR-4286"</f>
        <v>SR-4286</v>
      </c>
      <c r="H3456" s="2" t="s">
        <v>16229</v>
      </c>
      <c r="I3456" s="2" t="s">
        <v>16230</v>
      </c>
      <c r="K3456" s="2" t="s">
        <v>1173</v>
      </c>
      <c r="L3456" s="2" t="s">
        <v>539</v>
      </c>
      <c r="M3456" s="2">
        <v>35223.0</v>
      </c>
      <c r="N3456" s="2" t="s">
        <v>21</v>
      </c>
    </row>
    <row r="3457" ht="15.75" customHeight="1">
      <c r="A3457" s="2">
        <v>2015.0</v>
      </c>
      <c r="B3457" s="2" t="s">
        <v>14663</v>
      </c>
      <c r="C3457" s="2" t="s">
        <v>14663</v>
      </c>
      <c r="D3457" s="2" t="str">
        <f>"859-652-2846"</f>
        <v>859-652-2846</v>
      </c>
      <c r="E3457" s="2" t="s">
        <v>188</v>
      </c>
      <c r="F3457" s="2" t="s">
        <v>14664</v>
      </c>
      <c r="G3457" s="2" t="str">
        <f>"SR-4247"</f>
        <v>SR-4247</v>
      </c>
      <c r="H3457" s="2" t="s">
        <v>14665</v>
      </c>
      <c r="I3457" s="2" t="s">
        <v>14666</v>
      </c>
      <c r="K3457" s="2" t="s">
        <v>14667</v>
      </c>
      <c r="L3457" s="2" t="s">
        <v>1236</v>
      </c>
      <c r="M3457" s="2">
        <v>41091.0</v>
      </c>
      <c r="N3457" s="2" t="s">
        <v>21</v>
      </c>
    </row>
    <row r="3458" ht="15.75" customHeight="1">
      <c r="A3458" s="2">
        <v>2015.0</v>
      </c>
      <c r="B3458" s="2" t="s">
        <v>16231</v>
      </c>
      <c r="C3458" s="2" t="s">
        <v>14660</v>
      </c>
      <c r="D3458" s="2" t="str">
        <f>"8592402954"</f>
        <v>8592402954</v>
      </c>
      <c r="E3458" s="2" t="s">
        <v>14661</v>
      </c>
      <c r="F3458" s="2" t="s">
        <v>2598</v>
      </c>
      <c r="G3458" s="2" t="str">
        <f>"SR-4252"</f>
        <v>SR-4252</v>
      </c>
      <c r="H3458" s="2" t="s">
        <v>14662</v>
      </c>
      <c r="I3458" s="2" t="s">
        <v>16232</v>
      </c>
      <c r="K3458" s="2" t="s">
        <v>14667</v>
      </c>
      <c r="L3458" s="2" t="s">
        <v>1236</v>
      </c>
      <c r="M3458" s="2">
        <v>41091.0</v>
      </c>
      <c r="N3458" s="2" t="s">
        <v>21</v>
      </c>
    </row>
    <row r="3459" ht="15.75" customHeight="1">
      <c r="A3459" s="2">
        <v>2015.0</v>
      </c>
      <c r="B3459" s="2" t="s">
        <v>14186</v>
      </c>
      <c r="C3459" s="2" t="s">
        <v>14187</v>
      </c>
      <c r="D3459" s="2" t="str">
        <f>"2817615446"</f>
        <v>2817615446</v>
      </c>
      <c r="E3459" s="2" t="s">
        <v>14188</v>
      </c>
      <c r="F3459" s="2" t="s">
        <v>14189</v>
      </c>
      <c r="G3459" s="2" t="str">
        <f>"SR-4104"</f>
        <v>SR-4104</v>
      </c>
      <c r="H3459" s="2" t="s">
        <v>14190</v>
      </c>
      <c r="I3459" s="2" t="s">
        <v>14191</v>
      </c>
      <c r="K3459" s="2" t="s">
        <v>4350</v>
      </c>
      <c r="L3459" s="2" t="s">
        <v>172</v>
      </c>
      <c r="M3459" s="2">
        <v>77375.0</v>
      </c>
      <c r="N3459" s="2" t="s">
        <v>21</v>
      </c>
    </row>
    <row r="3460" ht="15.75" customHeight="1">
      <c r="A3460" s="2">
        <v>2015.0</v>
      </c>
      <c r="B3460" s="2" t="s">
        <v>16233</v>
      </c>
      <c r="C3460" s="2" t="s">
        <v>16234</v>
      </c>
      <c r="D3460" s="2" t="str">
        <f>"5673425873"</f>
        <v>5673425873</v>
      </c>
      <c r="E3460" s="2" t="s">
        <v>16235</v>
      </c>
      <c r="F3460" s="2" t="s">
        <v>591</v>
      </c>
      <c r="G3460" s="2" t="str">
        <f>"SR-3021"</f>
        <v>SR-3021</v>
      </c>
      <c r="H3460" s="2" t="s">
        <v>16236</v>
      </c>
      <c r="I3460" s="2" t="s">
        <v>16237</v>
      </c>
      <c r="K3460" s="2" t="s">
        <v>16238</v>
      </c>
      <c r="L3460" s="2" t="s">
        <v>16239</v>
      </c>
      <c r="M3460" s="2">
        <v>0.0</v>
      </c>
      <c r="N3460" s="2" t="s">
        <v>16240</v>
      </c>
    </row>
    <row r="3461" ht="15.75" customHeight="1">
      <c r="A3461" s="2">
        <v>2015.0</v>
      </c>
      <c r="B3461" s="2" t="s">
        <v>16241</v>
      </c>
      <c r="C3461" s="2" t="s">
        <v>16241</v>
      </c>
      <c r="D3461" s="2" t="str">
        <f>"(719) 331-5185"</f>
        <v>(719) 331-5185</v>
      </c>
      <c r="E3461" s="2" t="s">
        <v>16242</v>
      </c>
      <c r="F3461" s="2" t="s">
        <v>3533</v>
      </c>
      <c r="G3461" s="2" t="str">
        <f>"SR-4869"</f>
        <v>SR-4869</v>
      </c>
      <c r="H3461" s="2" t="s">
        <v>16243</v>
      </c>
      <c r="I3461" s="2" t="s">
        <v>16244</v>
      </c>
      <c r="K3461" s="2" t="s">
        <v>975</v>
      </c>
      <c r="L3461" s="2" t="s">
        <v>157</v>
      </c>
      <c r="M3461" s="2">
        <v>80831.0</v>
      </c>
      <c r="N3461" s="2" t="s">
        <v>21</v>
      </c>
    </row>
    <row r="3462" ht="15.75" customHeight="1">
      <c r="A3462" s="2">
        <v>2015.0</v>
      </c>
      <c r="B3462" s="2" t="s">
        <v>16245</v>
      </c>
      <c r="C3462" s="2" t="s">
        <v>16245</v>
      </c>
      <c r="D3462" s="2" t="str">
        <f>"530-878-6845"</f>
        <v>530-878-6845</v>
      </c>
      <c r="E3462" s="2" t="s">
        <v>16246</v>
      </c>
      <c r="F3462" s="2" t="s">
        <v>16247</v>
      </c>
      <c r="G3462" s="2" t="str">
        <f>"SR-4866"</f>
        <v>SR-4866</v>
      </c>
      <c r="H3462" s="2" t="s">
        <v>16248</v>
      </c>
      <c r="I3462" s="2" t="s">
        <v>16249</v>
      </c>
      <c r="K3462" s="2" t="s">
        <v>6312</v>
      </c>
      <c r="L3462" s="2" t="s">
        <v>222</v>
      </c>
      <c r="M3462" s="2">
        <v>95602.0</v>
      </c>
      <c r="N3462" s="2" t="s">
        <v>21</v>
      </c>
    </row>
    <row r="3463" ht="15.75" customHeight="1">
      <c r="A3463" s="2">
        <v>2015.0</v>
      </c>
      <c r="B3463" s="2" t="s">
        <v>16250</v>
      </c>
      <c r="C3463" s="2" t="s">
        <v>16250</v>
      </c>
      <c r="D3463" s="2" t="str">
        <f>"7194826948"</f>
        <v>7194826948</v>
      </c>
      <c r="E3463" s="2" t="s">
        <v>1725</v>
      </c>
      <c r="F3463" s="2" t="s">
        <v>16251</v>
      </c>
      <c r="G3463" s="2" t="str">
        <f>"SR-4868"</f>
        <v>SR-4868</v>
      </c>
      <c r="H3463" s="2" t="s">
        <v>16252</v>
      </c>
      <c r="I3463" s="2" t="s">
        <v>16253</v>
      </c>
      <c r="K3463" s="2" t="s">
        <v>5531</v>
      </c>
      <c r="L3463" s="2" t="s">
        <v>422</v>
      </c>
      <c r="M3463" s="2">
        <v>85207.0</v>
      </c>
      <c r="N3463" s="2" t="s">
        <v>21</v>
      </c>
    </row>
    <row r="3464" ht="15.75" customHeight="1">
      <c r="A3464" s="2">
        <v>2015.0</v>
      </c>
      <c r="B3464" s="2" t="s">
        <v>16254</v>
      </c>
      <c r="C3464" s="2" t="s">
        <v>16255</v>
      </c>
      <c r="D3464" s="2" t="str">
        <f>"214-906-2411"</f>
        <v>214-906-2411</v>
      </c>
      <c r="E3464" s="2" t="s">
        <v>16256</v>
      </c>
      <c r="F3464" s="2" t="s">
        <v>168</v>
      </c>
      <c r="G3464" s="2" t="str">
        <f>"SR-4872"</f>
        <v>SR-4872</v>
      </c>
      <c r="H3464" s="2" t="s">
        <v>16257</v>
      </c>
      <c r="I3464" s="2" t="s">
        <v>170</v>
      </c>
      <c r="K3464" s="2" t="s">
        <v>171</v>
      </c>
      <c r="L3464" s="2" t="s">
        <v>172</v>
      </c>
      <c r="M3464" s="2">
        <v>75007.0</v>
      </c>
      <c r="N3464" s="2" t="s">
        <v>21</v>
      </c>
    </row>
    <row r="3465" ht="15.75" customHeight="1">
      <c r="A3465" s="2">
        <v>2015.0</v>
      </c>
      <c r="B3465" s="2" t="s">
        <v>16258</v>
      </c>
      <c r="C3465" s="2" t="s">
        <v>16259</v>
      </c>
      <c r="D3465" s="2" t="str">
        <f>"956-566-6039"</f>
        <v>956-566-6039</v>
      </c>
      <c r="E3465" s="2" t="s">
        <v>50</v>
      </c>
      <c r="F3465" s="2" t="s">
        <v>16260</v>
      </c>
      <c r="G3465" s="2" t="str">
        <f>"SR-230"</f>
        <v>SR-230</v>
      </c>
      <c r="H3465" s="2" t="s">
        <v>16261</v>
      </c>
      <c r="I3465" s="2" t="s">
        <v>16262</v>
      </c>
      <c r="K3465" s="2" t="s">
        <v>16263</v>
      </c>
      <c r="L3465" s="2" t="s">
        <v>172</v>
      </c>
      <c r="M3465" s="2">
        <v>78574.0</v>
      </c>
      <c r="N3465" s="2" t="s">
        <v>21</v>
      </c>
    </row>
    <row r="3466" ht="15.75" customHeight="1">
      <c r="A3466" s="2">
        <v>2015.0</v>
      </c>
      <c r="B3466" s="2" t="s">
        <v>16264</v>
      </c>
      <c r="C3466" s="2" t="s">
        <v>16264</v>
      </c>
      <c r="D3466" s="2" t="str">
        <f>"309-673-3841"</f>
        <v>309-673-3841</v>
      </c>
      <c r="E3466" s="2" t="s">
        <v>301</v>
      </c>
      <c r="F3466" s="2" t="s">
        <v>16265</v>
      </c>
      <c r="G3466" s="2" t="str">
        <f>"SR-4879"</f>
        <v>SR-4879</v>
      </c>
      <c r="H3466" s="2" t="s">
        <v>16266</v>
      </c>
      <c r="I3466" s="2" t="s">
        <v>16267</v>
      </c>
      <c r="K3466" s="2" t="s">
        <v>104</v>
      </c>
      <c r="L3466" s="2" t="s">
        <v>105</v>
      </c>
      <c r="M3466" s="2">
        <v>61606.0</v>
      </c>
      <c r="N3466" s="2" t="s">
        <v>21</v>
      </c>
    </row>
    <row r="3467" ht="15.75" customHeight="1">
      <c r="A3467" s="2">
        <v>2015.0</v>
      </c>
      <c r="B3467" s="2" t="s">
        <v>16268</v>
      </c>
      <c r="C3467" s="2" t="s">
        <v>16268</v>
      </c>
      <c r="D3467" s="2" t="str">
        <f>"7865711320"</f>
        <v>7865711320</v>
      </c>
      <c r="E3467" s="2" t="s">
        <v>977</v>
      </c>
      <c r="F3467" s="2" t="s">
        <v>7707</v>
      </c>
      <c r="G3467" s="2" t="str">
        <f>"SR-4880"</f>
        <v>SR-4880</v>
      </c>
      <c r="H3467" s="2" t="s">
        <v>16269</v>
      </c>
      <c r="I3467" s="2" t="s">
        <v>16270</v>
      </c>
      <c r="K3467" s="2" t="s">
        <v>2211</v>
      </c>
      <c r="L3467" s="2" t="s">
        <v>208</v>
      </c>
      <c r="M3467" s="2">
        <v>33186.0</v>
      </c>
      <c r="N3467" s="2" t="s">
        <v>21</v>
      </c>
    </row>
    <row r="3468" ht="15.75" customHeight="1">
      <c r="A3468" s="2">
        <v>2015.0</v>
      </c>
      <c r="B3468" s="2" t="s">
        <v>16271</v>
      </c>
      <c r="C3468" s="2" t="s">
        <v>16272</v>
      </c>
      <c r="D3468" s="2" t="str">
        <f>"(954) 614-5004"</f>
        <v>(954) 614-5004</v>
      </c>
      <c r="E3468" s="2" t="s">
        <v>3743</v>
      </c>
      <c r="F3468" s="2" t="s">
        <v>16273</v>
      </c>
      <c r="G3468" s="2" t="str">
        <f>"SR-4824"</f>
        <v>SR-4824</v>
      </c>
      <c r="H3468" s="2" t="s">
        <v>16274</v>
      </c>
      <c r="I3468" s="2" t="s">
        <v>16275</v>
      </c>
      <c r="K3468" s="2" t="s">
        <v>10586</v>
      </c>
      <c r="L3468" s="2" t="s">
        <v>208</v>
      </c>
      <c r="M3468" s="2">
        <v>33304.0</v>
      </c>
      <c r="N3468" s="2" t="s">
        <v>21</v>
      </c>
    </row>
    <row r="3469" ht="15.75" customHeight="1">
      <c r="A3469" s="2">
        <v>2015.0</v>
      </c>
      <c r="B3469" s="2" t="s">
        <v>10562</v>
      </c>
      <c r="D3469" s="2" t="str">
        <f>""</f>
        <v/>
      </c>
      <c r="E3469" s="2" t="s">
        <v>5991</v>
      </c>
      <c r="F3469" s="2" t="s">
        <v>1151</v>
      </c>
      <c r="G3469" s="2" t="str">
        <f>"SR-3097"</f>
        <v>SR-3097</v>
      </c>
      <c r="H3469" s="2" t="s">
        <v>10563</v>
      </c>
      <c r="N3469" s="2" t="s">
        <v>21</v>
      </c>
    </row>
    <row r="3470" ht="15.75" customHeight="1">
      <c r="A3470" s="2">
        <v>2015.0</v>
      </c>
      <c r="B3470" s="2" t="s">
        <v>16276</v>
      </c>
      <c r="C3470" s="2" t="s">
        <v>16277</v>
      </c>
      <c r="D3470" s="2" t="str">
        <f>"309-691-2836"</f>
        <v>309-691-2836</v>
      </c>
      <c r="E3470" s="2" t="s">
        <v>2412</v>
      </c>
      <c r="F3470" s="2" t="s">
        <v>15888</v>
      </c>
      <c r="G3470" s="2" t="str">
        <f>"SR-4889"</f>
        <v>SR-4889</v>
      </c>
      <c r="H3470" s="2" t="s">
        <v>16278</v>
      </c>
      <c r="I3470" s="2" t="s">
        <v>16279</v>
      </c>
      <c r="K3470" s="2" t="s">
        <v>104</v>
      </c>
      <c r="L3470" s="2" t="s">
        <v>105</v>
      </c>
      <c r="M3470" s="2">
        <v>61614.0</v>
      </c>
      <c r="N3470" s="2" t="s">
        <v>21</v>
      </c>
    </row>
    <row r="3471" ht="15.75" customHeight="1">
      <c r="A3471" s="2">
        <v>2015.0</v>
      </c>
      <c r="B3471" s="2" t="s">
        <v>16280</v>
      </c>
      <c r="C3471" s="2" t="s">
        <v>16280</v>
      </c>
      <c r="D3471" s="2" t="str">
        <f>"274-4737"</f>
        <v>274-4737</v>
      </c>
      <c r="E3471" s="2" t="s">
        <v>3269</v>
      </c>
      <c r="F3471" s="2" t="s">
        <v>2333</v>
      </c>
      <c r="G3471" s="2" t="str">
        <f>"SR-4886"</f>
        <v>SR-4886</v>
      </c>
      <c r="H3471" s="2" t="s">
        <v>16281</v>
      </c>
      <c r="I3471" s="2" t="s">
        <v>16282</v>
      </c>
      <c r="K3471" s="2" t="s">
        <v>9209</v>
      </c>
      <c r="L3471" s="2" t="s">
        <v>105</v>
      </c>
      <c r="M3471" s="2">
        <v>61526.0</v>
      </c>
      <c r="N3471" s="2" t="s">
        <v>21</v>
      </c>
    </row>
    <row r="3472" ht="15.75" customHeight="1">
      <c r="A3472" s="2">
        <v>2015.0</v>
      </c>
      <c r="B3472" s="2" t="s">
        <v>16283</v>
      </c>
      <c r="C3472" s="2" t="s">
        <v>16284</v>
      </c>
      <c r="D3472" s="2" t="str">
        <f t="shared" ref="D3472:D3473" si="61">"423-284-5886"</f>
        <v>423-284-5886</v>
      </c>
      <c r="E3472" s="2" t="s">
        <v>2401</v>
      </c>
      <c r="F3472" s="2" t="s">
        <v>16285</v>
      </c>
      <c r="G3472" s="2" t="str">
        <f>"SR-4814"</f>
        <v>SR-4814</v>
      </c>
      <c r="H3472" s="2" t="s">
        <v>16286</v>
      </c>
      <c r="I3472" s="2" t="s">
        <v>16287</v>
      </c>
      <c r="K3472" s="2" t="s">
        <v>1408</v>
      </c>
      <c r="L3472" s="2" t="s">
        <v>279</v>
      </c>
      <c r="M3472" s="2">
        <v>37320.0</v>
      </c>
      <c r="N3472" s="2" t="s">
        <v>21</v>
      </c>
    </row>
    <row r="3473" ht="15.75" customHeight="1">
      <c r="A3473" s="2">
        <v>2015.0</v>
      </c>
      <c r="B3473" s="2" t="s">
        <v>16283</v>
      </c>
      <c r="C3473" s="2" t="s">
        <v>16288</v>
      </c>
      <c r="D3473" s="2" t="str">
        <f t="shared" si="61"/>
        <v>423-284-5886</v>
      </c>
      <c r="E3473" s="2" t="s">
        <v>181</v>
      </c>
      <c r="F3473" s="2" t="s">
        <v>16285</v>
      </c>
      <c r="G3473" s="2" t="str">
        <f>"SR-4815"</f>
        <v>SR-4815</v>
      </c>
      <c r="H3473" s="2" t="s">
        <v>16289</v>
      </c>
      <c r="I3473" s="2" t="s">
        <v>16287</v>
      </c>
      <c r="K3473" s="2" t="s">
        <v>1408</v>
      </c>
      <c r="L3473" s="2" t="s">
        <v>279</v>
      </c>
      <c r="M3473" s="2">
        <v>37320.0</v>
      </c>
      <c r="N3473" s="2" t="s">
        <v>21</v>
      </c>
    </row>
    <row r="3474" ht="15.75" customHeight="1">
      <c r="A3474" s="2">
        <v>2015.0</v>
      </c>
      <c r="B3474" s="2" t="s">
        <v>16290</v>
      </c>
      <c r="C3474" s="2" t="s">
        <v>16290</v>
      </c>
      <c r="D3474" s="2" t="str">
        <f>"(309) 685-1217"</f>
        <v>(309) 685-1217</v>
      </c>
      <c r="E3474" s="2" t="s">
        <v>2314</v>
      </c>
      <c r="F3474" s="2" t="s">
        <v>16291</v>
      </c>
      <c r="G3474" s="2" t="str">
        <f>"SR-4895"</f>
        <v>SR-4895</v>
      </c>
      <c r="H3474" s="2" t="s">
        <v>16292</v>
      </c>
      <c r="I3474" s="2" t="s">
        <v>16293</v>
      </c>
      <c r="K3474" s="2" t="s">
        <v>104</v>
      </c>
      <c r="L3474" s="2" t="s">
        <v>105</v>
      </c>
      <c r="M3474" s="2">
        <v>61603.0</v>
      </c>
      <c r="N3474" s="2" t="s">
        <v>21</v>
      </c>
    </row>
    <row r="3475" ht="15.75" customHeight="1">
      <c r="A3475" s="2">
        <v>2015.0</v>
      </c>
      <c r="B3475" s="2" t="s">
        <v>16294</v>
      </c>
      <c r="C3475" s="2" t="s">
        <v>16294</v>
      </c>
      <c r="D3475" s="2" t="str">
        <f>"701 989 1111"</f>
        <v>701 989 1111</v>
      </c>
      <c r="E3475" s="2" t="s">
        <v>2162</v>
      </c>
      <c r="F3475" s="2" t="s">
        <v>16295</v>
      </c>
      <c r="G3475" s="2" t="str">
        <f>"SR-4894"</f>
        <v>SR-4894</v>
      </c>
      <c r="H3475" s="2" t="s">
        <v>16296</v>
      </c>
      <c r="I3475" s="2" t="s">
        <v>16297</v>
      </c>
      <c r="K3475" s="2" t="s">
        <v>16298</v>
      </c>
      <c r="L3475" s="2" t="s">
        <v>105</v>
      </c>
      <c r="M3475" s="2">
        <v>61517.0</v>
      </c>
      <c r="N3475" s="2" t="s">
        <v>21</v>
      </c>
    </row>
    <row r="3476" ht="15.75" customHeight="1">
      <c r="A3476" s="2">
        <v>2015.0</v>
      </c>
      <c r="B3476" s="2" t="s">
        <v>16299</v>
      </c>
      <c r="C3476" s="2" t="s">
        <v>16300</v>
      </c>
      <c r="D3476" s="2" t="str">
        <f>"757-636-9701"</f>
        <v>757-636-9701</v>
      </c>
      <c r="E3476" s="2" t="s">
        <v>684</v>
      </c>
      <c r="F3476" s="2" t="s">
        <v>2231</v>
      </c>
      <c r="G3476" s="2" t="str">
        <f>"SR-4907"</f>
        <v>SR-4907</v>
      </c>
      <c r="H3476" s="2" t="s">
        <v>16301</v>
      </c>
      <c r="I3476" s="2" t="s">
        <v>16302</v>
      </c>
      <c r="K3476" s="2" t="s">
        <v>6988</v>
      </c>
      <c r="L3476" s="2" t="s">
        <v>208</v>
      </c>
      <c r="M3476" s="2">
        <v>23464.0</v>
      </c>
      <c r="N3476" s="2" t="s">
        <v>21</v>
      </c>
    </row>
    <row r="3477" ht="15.75" customHeight="1">
      <c r="A3477" s="2">
        <v>2015.0</v>
      </c>
      <c r="B3477" s="2" t="s">
        <v>16303</v>
      </c>
      <c r="C3477" s="2" t="s">
        <v>16303</v>
      </c>
      <c r="D3477" s="2" t="str">
        <f>"309-620-3867"</f>
        <v>309-620-3867</v>
      </c>
      <c r="E3477" s="2" t="s">
        <v>6170</v>
      </c>
      <c r="F3477" s="2" t="s">
        <v>6008</v>
      </c>
      <c r="G3477" s="2" t="str">
        <f>"SR-4877"</f>
        <v>SR-4877</v>
      </c>
      <c r="H3477" s="2" t="s">
        <v>16304</v>
      </c>
      <c r="I3477" s="2" t="s">
        <v>16305</v>
      </c>
      <c r="K3477" s="2" t="s">
        <v>16306</v>
      </c>
      <c r="L3477" s="2" t="s">
        <v>105</v>
      </c>
      <c r="M3477" s="2">
        <v>61554.0</v>
      </c>
      <c r="N3477" s="2" t="s">
        <v>21</v>
      </c>
    </row>
    <row r="3478" ht="15.75" customHeight="1">
      <c r="A3478" s="2">
        <v>2015.0</v>
      </c>
      <c r="B3478" s="2" t="s">
        <v>16307</v>
      </c>
      <c r="D3478" s="2" t="str">
        <f>"309-397-8295"</f>
        <v>309-397-8295</v>
      </c>
      <c r="E3478" s="2" t="s">
        <v>12973</v>
      </c>
      <c r="F3478" s="2" t="s">
        <v>16308</v>
      </c>
      <c r="G3478" s="2" t="str">
        <f>"SR-4897"</f>
        <v>SR-4897</v>
      </c>
      <c r="H3478" s="2" t="s">
        <v>16309</v>
      </c>
      <c r="I3478" s="2" t="s">
        <v>16310</v>
      </c>
      <c r="K3478" s="2" t="s">
        <v>104</v>
      </c>
      <c r="L3478" s="2" t="s">
        <v>105</v>
      </c>
      <c r="M3478" s="2">
        <v>61614.0</v>
      </c>
      <c r="N3478" s="2" t="s">
        <v>21</v>
      </c>
    </row>
    <row r="3479" ht="15.75" customHeight="1">
      <c r="A3479" s="2">
        <v>2015.0</v>
      </c>
      <c r="B3479" s="2" t="s">
        <v>16311</v>
      </c>
      <c r="C3479" s="2" t="s">
        <v>16312</v>
      </c>
      <c r="D3479" s="2" t="str">
        <f>"870-273-8131"</f>
        <v>870-273-8131</v>
      </c>
      <c r="E3479" s="2" t="s">
        <v>1034</v>
      </c>
      <c r="F3479" s="2" t="s">
        <v>16313</v>
      </c>
      <c r="G3479" s="2" t="str">
        <f>"SR-4835"</f>
        <v>SR-4835</v>
      </c>
      <c r="H3479" s="2" t="s">
        <v>16314</v>
      </c>
      <c r="I3479" s="2" t="s">
        <v>16315</v>
      </c>
      <c r="K3479" s="2" t="s">
        <v>4250</v>
      </c>
      <c r="L3479" s="2" t="s">
        <v>1012</v>
      </c>
      <c r="M3479" s="2">
        <v>72401.0</v>
      </c>
      <c r="N3479" s="2" t="s">
        <v>21</v>
      </c>
    </row>
    <row r="3480" ht="15.75" customHeight="1">
      <c r="A3480" s="2">
        <v>2015.0</v>
      </c>
      <c r="B3480" s="2" t="s">
        <v>16316</v>
      </c>
      <c r="C3480" s="2" t="s">
        <v>16316</v>
      </c>
      <c r="D3480" s="2" t="str">
        <f>"309 6453837"</f>
        <v>309 6453837</v>
      </c>
      <c r="E3480" s="2" t="s">
        <v>843</v>
      </c>
      <c r="F3480" s="2" t="s">
        <v>333</v>
      </c>
      <c r="G3480" s="2" t="str">
        <f>"SR-4898"</f>
        <v>SR-4898</v>
      </c>
      <c r="H3480" s="2" t="s">
        <v>16317</v>
      </c>
      <c r="I3480" s="2" t="s">
        <v>16318</v>
      </c>
      <c r="K3480" s="2" t="s">
        <v>16319</v>
      </c>
      <c r="L3480" s="2" t="s">
        <v>105</v>
      </c>
      <c r="M3480" s="2">
        <v>61616.0</v>
      </c>
      <c r="N3480" s="2" t="s">
        <v>21</v>
      </c>
    </row>
    <row r="3481" ht="15.75" customHeight="1">
      <c r="A3481" s="2">
        <v>2015.0</v>
      </c>
      <c r="B3481" s="2" t="s">
        <v>16320</v>
      </c>
      <c r="C3481" s="2" t="s">
        <v>16321</v>
      </c>
      <c r="D3481" s="2" t="str">
        <f>"5754203149"</f>
        <v>5754203149</v>
      </c>
      <c r="E3481" s="2" t="s">
        <v>428</v>
      </c>
      <c r="F3481" s="2" t="s">
        <v>16322</v>
      </c>
      <c r="G3481" s="2" t="str">
        <f>"SR-4910"</f>
        <v>SR-4910</v>
      </c>
      <c r="H3481" s="2" t="s">
        <v>16323</v>
      </c>
      <c r="I3481" s="2" t="s">
        <v>16324</v>
      </c>
      <c r="K3481" s="2" t="s">
        <v>7218</v>
      </c>
      <c r="L3481" s="2" t="s">
        <v>789</v>
      </c>
      <c r="M3481" s="2">
        <v>88201.0</v>
      </c>
      <c r="N3481" s="2" t="s">
        <v>21</v>
      </c>
    </row>
    <row r="3482" ht="15.75" customHeight="1">
      <c r="A3482" s="2">
        <v>2015.0</v>
      </c>
      <c r="B3482" s="2" t="s">
        <v>16325</v>
      </c>
      <c r="C3482" s="2" t="s">
        <v>16325</v>
      </c>
      <c r="D3482" s="2" t="str">
        <f t="shared" ref="D3482:D3483" si="62">"9137681140"</f>
        <v>9137681140</v>
      </c>
      <c r="E3482" s="2" t="s">
        <v>1440</v>
      </c>
      <c r="F3482" s="2" t="s">
        <v>16326</v>
      </c>
      <c r="G3482" s="2" t="str">
        <f>"SR-4911"</f>
        <v>SR-4911</v>
      </c>
      <c r="H3482" s="2" t="s">
        <v>16327</v>
      </c>
      <c r="I3482" s="2" t="s">
        <v>16328</v>
      </c>
      <c r="K3482" s="2" t="s">
        <v>1067</v>
      </c>
      <c r="L3482" s="2" t="s">
        <v>272</v>
      </c>
      <c r="M3482" s="2">
        <v>66062.0</v>
      </c>
      <c r="N3482" s="2" t="s">
        <v>21</v>
      </c>
    </row>
    <row r="3483" ht="15.75" customHeight="1">
      <c r="A3483" s="2">
        <v>2015.0</v>
      </c>
      <c r="B3483" s="2" t="s">
        <v>16325</v>
      </c>
      <c r="C3483" s="2" t="s">
        <v>16325</v>
      </c>
      <c r="D3483" s="2" t="str">
        <f t="shared" si="62"/>
        <v>9137681140</v>
      </c>
      <c r="E3483" s="2" t="s">
        <v>2158</v>
      </c>
      <c r="F3483" s="2" t="s">
        <v>16326</v>
      </c>
      <c r="G3483" s="2" t="str">
        <f>"SR-4912"</f>
        <v>SR-4912</v>
      </c>
      <c r="H3483" s="2" t="s">
        <v>16329</v>
      </c>
      <c r="I3483" s="2" t="s">
        <v>16328</v>
      </c>
      <c r="K3483" s="2" t="s">
        <v>1067</v>
      </c>
      <c r="L3483" s="2" t="s">
        <v>272</v>
      </c>
      <c r="M3483" s="2">
        <v>66602.0</v>
      </c>
      <c r="N3483" s="2" t="s">
        <v>21</v>
      </c>
    </row>
    <row r="3484" ht="15.75" customHeight="1">
      <c r="A3484" s="2">
        <v>2015.0</v>
      </c>
      <c r="B3484" s="2" t="s">
        <v>16330</v>
      </c>
      <c r="C3484" s="2" t="s">
        <v>16331</v>
      </c>
      <c r="D3484" s="2" t="str">
        <f>"501 288 2171"</f>
        <v>501 288 2171</v>
      </c>
      <c r="E3484" s="2" t="s">
        <v>167</v>
      </c>
      <c r="F3484" s="2" t="s">
        <v>16332</v>
      </c>
      <c r="G3484" s="2" t="str">
        <f>"SR-4836"</f>
        <v>SR-4836</v>
      </c>
      <c r="H3484" s="2" t="s">
        <v>16333</v>
      </c>
      <c r="I3484" s="2" t="s">
        <v>16334</v>
      </c>
      <c r="K3484" s="2" t="s">
        <v>11976</v>
      </c>
      <c r="L3484" s="2" t="s">
        <v>1012</v>
      </c>
      <c r="M3484" s="2">
        <v>72012.0</v>
      </c>
      <c r="N3484" s="2" t="s">
        <v>21</v>
      </c>
    </row>
    <row r="3485" ht="15.75" customHeight="1">
      <c r="A3485" s="2">
        <v>2015.0</v>
      </c>
      <c r="B3485" s="2" t="s">
        <v>16335</v>
      </c>
      <c r="C3485" s="2" t="s">
        <v>16336</v>
      </c>
      <c r="D3485" s="2" t="str">
        <f>"320-214-0379"</f>
        <v>320-214-0379</v>
      </c>
      <c r="E3485" s="2" t="s">
        <v>16337</v>
      </c>
      <c r="F3485" s="2" t="s">
        <v>5632</v>
      </c>
      <c r="G3485" s="2" t="str">
        <f>"SR-4845"</f>
        <v>SR-4845</v>
      </c>
      <c r="H3485" s="2" t="s">
        <v>16338</v>
      </c>
      <c r="I3485" s="2" t="s">
        <v>16339</v>
      </c>
      <c r="K3485" s="2" t="s">
        <v>61</v>
      </c>
      <c r="L3485" s="2" t="s">
        <v>62</v>
      </c>
      <c r="M3485" s="2">
        <v>56201.0</v>
      </c>
      <c r="N3485" s="2" t="s">
        <v>21</v>
      </c>
    </row>
    <row r="3486" ht="15.75" customHeight="1">
      <c r="A3486" s="2">
        <v>2015.0</v>
      </c>
      <c r="B3486" s="2" t="s">
        <v>16340</v>
      </c>
      <c r="C3486" s="2" t="s">
        <v>16341</v>
      </c>
      <c r="D3486" s="2" t="str">
        <f>"3202124497"</f>
        <v>3202124497</v>
      </c>
      <c r="E3486" s="2" t="s">
        <v>16342</v>
      </c>
      <c r="F3486" s="2" t="s">
        <v>16343</v>
      </c>
      <c r="G3486" s="2" t="str">
        <f>"SR-4841"</f>
        <v>SR-4841</v>
      </c>
      <c r="H3486" s="2" t="s">
        <v>16344</v>
      </c>
      <c r="I3486" s="2" t="s">
        <v>16345</v>
      </c>
      <c r="K3486" s="2" t="s">
        <v>61</v>
      </c>
      <c r="L3486" s="2" t="s">
        <v>62</v>
      </c>
      <c r="M3486" s="2">
        <v>56201.0</v>
      </c>
      <c r="N3486" s="2" t="s">
        <v>21</v>
      </c>
    </row>
    <row r="3487" ht="15.75" customHeight="1">
      <c r="A3487" s="2">
        <v>2015.0</v>
      </c>
      <c r="B3487" s="2" t="s">
        <v>16346</v>
      </c>
      <c r="C3487" s="2" t="s">
        <v>16346</v>
      </c>
      <c r="D3487" s="2" t="str">
        <f>"320-231-0514"</f>
        <v>320-231-0514</v>
      </c>
      <c r="E3487" s="2" t="s">
        <v>2147</v>
      </c>
      <c r="F3487" s="2" t="s">
        <v>16347</v>
      </c>
      <c r="G3487" s="2" t="str">
        <f>"SR-4856"</f>
        <v>SR-4856</v>
      </c>
      <c r="H3487" s="2" t="s">
        <v>16348</v>
      </c>
      <c r="I3487" s="2" t="s">
        <v>16349</v>
      </c>
      <c r="J3487" s="2" t="s">
        <v>16350</v>
      </c>
      <c r="K3487" s="2" t="s">
        <v>61</v>
      </c>
      <c r="L3487" s="2" t="s">
        <v>62</v>
      </c>
      <c r="M3487" s="2">
        <v>56201.0</v>
      </c>
      <c r="N3487" s="2" t="s">
        <v>21</v>
      </c>
    </row>
    <row r="3488" ht="15.75" customHeight="1">
      <c r="A3488" s="2">
        <v>2015.0</v>
      </c>
      <c r="B3488" s="2" t="s">
        <v>16351</v>
      </c>
      <c r="C3488" s="2" t="s">
        <v>16351</v>
      </c>
      <c r="D3488" s="2" t="str">
        <f>"320-262-1872"</f>
        <v>320-262-1872</v>
      </c>
      <c r="E3488" s="2" t="s">
        <v>4604</v>
      </c>
      <c r="F3488" s="2" t="s">
        <v>424</v>
      </c>
      <c r="G3488" s="2" t="str">
        <f>"SR-4854"</f>
        <v>SR-4854</v>
      </c>
      <c r="H3488" s="2" t="s">
        <v>16352</v>
      </c>
      <c r="I3488" s="2" t="s">
        <v>16353</v>
      </c>
      <c r="K3488" s="2" t="s">
        <v>97</v>
      </c>
      <c r="L3488" s="2" t="s">
        <v>62</v>
      </c>
      <c r="M3488" s="2">
        <v>56362.0</v>
      </c>
      <c r="N3488" s="2" t="s">
        <v>21</v>
      </c>
    </row>
    <row r="3489" ht="15.75" customHeight="1">
      <c r="A3489" s="2">
        <v>2015.0</v>
      </c>
      <c r="B3489" s="2" t="s">
        <v>16354</v>
      </c>
      <c r="C3489" s="2" t="s">
        <v>16355</v>
      </c>
      <c r="D3489" s="2" t="str">
        <f>"320-295-1768"</f>
        <v>320-295-1768</v>
      </c>
      <c r="E3489" s="2" t="s">
        <v>1032</v>
      </c>
      <c r="F3489" s="2" t="s">
        <v>16356</v>
      </c>
      <c r="G3489" s="2" t="str">
        <f>"SR-4850"</f>
        <v>SR-4850</v>
      </c>
      <c r="H3489" s="2" t="s">
        <v>16357</v>
      </c>
      <c r="I3489" s="2" t="s">
        <v>16358</v>
      </c>
      <c r="K3489" s="2" t="s">
        <v>61</v>
      </c>
      <c r="L3489" s="2" t="s">
        <v>62</v>
      </c>
      <c r="M3489" s="2">
        <v>56201.0</v>
      </c>
      <c r="N3489" s="2" t="s">
        <v>21</v>
      </c>
    </row>
    <row r="3490" ht="15.75" customHeight="1">
      <c r="A3490" s="2">
        <v>2015.0</v>
      </c>
      <c r="B3490" s="2" t="s">
        <v>16359</v>
      </c>
      <c r="C3490" s="2" t="s">
        <v>16360</v>
      </c>
      <c r="D3490" s="2" t="str">
        <f>"3202351609"</f>
        <v>3202351609</v>
      </c>
      <c r="E3490" s="2" t="s">
        <v>5760</v>
      </c>
      <c r="F3490" s="2" t="s">
        <v>262</v>
      </c>
      <c r="G3490" s="2" t="str">
        <f>"SR-4855"</f>
        <v>SR-4855</v>
      </c>
      <c r="H3490" s="2" t="s">
        <v>16361</v>
      </c>
      <c r="I3490" s="2" t="s">
        <v>16362</v>
      </c>
      <c r="K3490" s="2" t="s">
        <v>61</v>
      </c>
      <c r="L3490" s="2" t="s">
        <v>62</v>
      </c>
      <c r="M3490" s="2">
        <v>56201.0</v>
      </c>
      <c r="N3490" s="2" t="s">
        <v>21</v>
      </c>
    </row>
    <row r="3491" ht="15.75" customHeight="1">
      <c r="A3491" s="2">
        <v>2015.0</v>
      </c>
      <c r="B3491" s="2" t="s">
        <v>16363</v>
      </c>
      <c r="C3491" s="2" t="s">
        <v>16364</v>
      </c>
      <c r="D3491" s="2" t="str">
        <f>"3203330100"</f>
        <v>3203330100</v>
      </c>
      <c r="E3491" s="2" t="s">
        <v>167</v>
      </c>
      <c r="F3491" s="2" t="s">
        <v>2667</v>
      </c>
      <c r="G3491" s="2" t="str">
        <f>"SR-4842"</f>
        <v>SR-4842</v>
      </c>
      <c r="H3491" s="2" t="s">
        <v>15321</v>
      </c>
      <c r="I3491" s="2" t="s">
        <v>16365</v>
      </c>
      <c r="K3491" s="2" t="s">
        <v>9895</v>
      </c>
      <c r="L3491" s="2" t="s">
        <v>62</v>
      </c>
      <c r="M3491" s="2">
        <v>56288.0</v>
      </c>
      <c r="N3491" s="2" t="s">
        <v>21</v>
      </c>
    </row>
    <row r="3492" ht="15.75" customHeight="1">
      <c r="A3492" s="2">
        <v>2015.0</v>
      </c>
      <c r="B3492" s="2" t="s">
        <v>16366</v>
      </c>
      <c r="C3492" s="2" t="s">
        <v>16367</v>
      </c>
      <c r="D3492" s="2" t="str">
        <f>"740-726-1002"</f>
        <v>740-726-1002</v>
      </c>
      <c r="E3492" s="2" t="s">
        <v>16368</v>
      </c>
      <c r="F3492" s="2" t="s">
        <v>16369</v>
      </c>
      <c r="G3492" s="2" t="str">
        <f>"SR-4918"</f>
        <v>SR-4918</v>
      </c>
      <c r="H3492" s="2" t="s">
        <v>16370</v>
      </c>
      <c r="I3492" s="2" t="s">
        <v>16371</v>
      </c>
      <c r="J3492" s="2" t="s">
        <v>16372</v>
      </c>
      <c r="K3492" s="2" t="s">
        <v>3359</v>
      </c>
      <c r="L3492" s="2" t="s">
        <v>344</v>
      </c>
      <c r="M3492" s="2">
        <v>43356.0</v>
      </c>
      <c r="N3492" s="2" t="s">
        <v>21</v>
      </c>
    </row>
    <row r="3493" ht="15.75" customHeight="1">
      <c r="A3493" s="2">
        <v>2015.0</v>
      </c>
      <c r="B3493" s="2" t="s">
        <v>16373</v>
      </c>
      <c r="C3493" s="2" t="s">
        <v>16374</v>
      </c>
      <c r="D3493" s="2" t="str">
        <f>"318 278-0586"</f>
        <v>318 278-0586</v>
      </c>
      <c r="E3493" s="2" t="s">
        <v>16375</v>
      </c>
      <c r="F3493" s="2" t="s">
        <v>16376</v>
      </c>
      <c r="G3493" s="2" t="str">
        <f>"SR-4801"</f>
        <v>SR-4801</v>
      </c>
      <c r="H3493" s="2" t="s">
        <v>16377</v>
      </c>
      <c r="I3493" s="2" t="s">
        <v>16378</v>
      </c>
      <c r="K3493" s="2" t="s">
        <v>714</v>
      </c>
      <c r="L3493" s="2" t="s">
        <v>715</v>
      </c>
      <c r="M3493" s="2">
        <v>71273.0</v>
      </c>
      <c r="N3493" s="2" t="s">
        <v>21</v>
      </c>
    </row>
    <row r="3494" ht="15.75" customHeight="1">
      <c r="A3494" s="2">
        <v>2015.0</v>
      </c>
      <c r="B3494" s="2" t="s">
        <v>16379</v>
      </c>
      <c r="C3494" s="2" t="s">
        <v>16380</v>
      </c>
      <c r="D3494" s="2" t="str">
        <f>"678-333-9860"</f>
        <v>678-333-9860</v>
      </c>
      <c r="E3494" s="2" t="s">
        <v>678</v>
      </c>
      <c r="F3494" s="2" t="s">
        <v>16291</v>
      </c>
      <c r="G3494" s="2" t="str">
        <f>"SR-4930"</f>
        <v>SR-4930</v>
      </c>
      <c r="H3494" s="2" t="s">
        <v>16381</v>
      </c>
      <c r="I3494" s="2" t="s">
        <v>16382</v>
      </c>
      <c r="K3494" s="2" t="s">
        <v>3164</v>
      </c>
      <c r="L3494" s="2" t="s">
        <v>200</v>
      </c>
      <c r="M3494" s="2">
        <v>30214.0</v>
      </c>
      <c r="N3494" s="2" t="s">
        <v>21</v>
      </c>
    </row>
    <row r="3495" ht="15.75" customHeight="1">
      <c r="A3495" s="2">
        <v>2015.0</v>
      </c>
      <c r="B3495" s="2" t="s">
        <v>16383</v>
      </c>
      <c r="C3495" s="2" t="s">
        <v>16384</v>
      </c>
      <c r="D3495" s="2" t="str">
        <f>"2292460051"</f>
        <v>2292460051</v>
      </c>
      <c r="E3495" s="2" t="s">
        <v>100</v>
      </c>
      <c r="F3495" s="2" t="s">
        <v>529</v>
      </c>
      <c r="G3495" s="2" t="str">
        <f>"SR-4893"</f>
        <v>SR-4893</v>
      </c>
      <c r="H3495" s="2" t="s">
        <v>16385</v>
      </c>
      <c r="I3495" s="2" t="s">
        <v>16386</v>
      </c>
      <c r="K3495" s="2" t="s">
        <v>7513</v>
      </c>
      <c r="L3495" s="2" t="s">
        <v>200</v>
      </c>
      <c r="M3495" s="2">
        <v>39819.0</v>
      </c>
      <c r="N3495" s="2" t="s">
        <v>21</v>
      </c>
    </row>
    <row r="3496" ht="15.75" customHeight="1">
      <c r="A3496" s="2">
        <v>2015.0</v>
      </c>
      <c r="B3496" s="2" t="s">
        <v>15565</v>
      </c>
      <c r="C3496" s="2" t="s">
        <v>15566</v>
      </c>
      <c r="D3496" s="2" t="str">
        <f>"2102740629"</f>
        <v>2102740629</v>
      </c>
      <c r="E3496" s="2" t="s">
        <v>3888</v>
      </c>
      <c r="F3496" s="2" t="s">
        <v>15567</v>
      </c>
      <c r="G3496" s="2" t="str">
        <f>"SR-4564"</f>
        <v>SR-4564</v>
      </c>
      <c r="H3496" s="2" t="s">
        <v>15568</v>
      </c>
      <c r="I3496" s="2" t="s">
        <v>15569</v>
      </c>
      <c r="K3496" s="2" t="s">
        <v>632</v>
      </c>
      <c r="L3496" s="2" t="s">
        <v>172</v>
      </c>
      <c r="M3496" s="2">
        <v>78232.0</v>
      </c>
      <c r="N3496" s="2" t="s">
        <v>21</v>
      </c>
    </row>
    <row r="3497" ht="15.75" customHeight="1">
      <c r="A3497" s="2">
        <v>2015.0</v>
      </c>
      <c r="B3497" s="2" t="s">
        <v>16387</v>
      </c>
      <c r="C3497" s="2" t="s">
        <v>16388</v>
      </c>
      <c r="D3497" s="2" t="str">
        <f>"701-838-7258"</f>
        <v>701-838-7258</v>
      </c>
      <c r="E3497" s="2" t="s">
        <v>1094</v>
      </c>
      <c r="F3497" s="2" t="s">
        <v>16389</v>
      </c>
      <c r="G3497" s="2" t="str">
        <f>"SR-4933"</f>
        <v>SR-4933</v>
      </c>
      <c r="H3497" s="2" t="s">
        <v>16390</v>
      </c>
      <c r="I3497" s="2" t="s">
        <v>16391</v>
      </c>
      <c r="K3497" s="2" t="s">
        <v>5965</v>
      </c>
      <c r="L3497" s="2" t="s">
        <v>2534</v>
      </c>
      <c r="M3497" s="2">
        <v>58701.0</v>
      </c>
      <c r="N3497" s="2" t="s">
        <v>21</v>
      </c>
    </row>
    <row r="3498" ht="15.75" customHeight="1">
      <c r="A3498" s="2">
        <v>2015.0</v>
      </c>
      <c r="B3498" s="2" t="s">
        <v>2818</v>
      </c>
      <c r="C3498" s="2" t="s">
        <v>16392</v>
      </c>
      <c r="D3498" s="2" t="str">
        <f>"303-840-8422"</f>
        <v>303-840-8422</v>
      </c>
      <c r="E3498" s="2" t="s">
        <v>385</v>
      </c>
      <c r="F3498" s="2" t="s">
        <v>2820</v>
      </c>
      <c r="G3498" s="2" t="str">
        <f>"SR-4939"</f>
        <v>SR-4939</v>
      </c>
      <c r="H3498" s="2" t="s">
        <v>16393</v>
      </c>
      <c r="I3498" s="2" t="s">
        <v>16394</v>
      </c>
      <c r="K3498" s="2" t="s">
        <v>1054</v>
      </c>
      <c r="L3498" s="2" t="s">
        <v>157</v>
      </c>
      <c r="M3498" s="2">
        <v>80138.0</v>
      </c>
      <c r="N3498" s="2" t="s">
        <v>21</v>
      </c>
    </row>
    <row r="3499" ht="15.75" customHeight="1">
      <c r="A3499" s="2">
        <v>2015.0</v>
      </c>
      <c r="B3499" s="2" t="s">
        <v>16395</v>
      </c>
      <c r="C3499" s="2" t="s">
        <v>16396</v>
      </c>
      <c r="D3499" s="2" t="str">
        <f>"941-445-7376"</f>
        <v>941-445-7376</v>
      </c>
      <c r="E3499" s="2" t="s">
        <v>1548</v>
      </c>
      <c r="F3499" s="2" t="s">
        <v>447</v>
      </c>
      <c r="G3499" s="2" t="str">
        <f>"SR-4781"</f>
        <v>SR-4781</v>
      </c>
      <c r="H3499" s="2" t="s">
        <v>16397</v>
      </c>
      <c r="I3499" s="2" t="s">
        <v>16398</v>
      </c>
      <c r="K3499" s="2" t="s">
        <v>330</v>
      </c>
      <c r="L3499" s="2" t="s">
        <v>208</v>
      </c>
      <c r="M3499" s="2">
        <v>34293.0</v>
      </c>
      <c r="N3499" s="2" t="s">
        <v>21</v>
      </c>
    </row>
    <row r="3500" ht="15.75" customHeight="1">
      <c r="A3500" s="2">
        <v>2015.0</v>
      </c>
      <c r="B3500" s="2" t="s">
        <v>16399</v>
      </c>
      <c r="C3500" s="2" t="s">
        <v>16400</v>
      </c>
      <c r="D3500" s="2" t="str">
        <f>"3177579038"</f>
        <v>3177579038</v>
      </c>
      <c r="E3500" s="2" t="s">
        <v>1263</v>
      </c>
      <c r="F3500" s="2" t="s">
        <v>16401</v>
      </c>
      <c r="G3500" s="2" t="str">
        <f>"SR-4943"</f>
        <v>SR-4943</v>
      </c>
      <c r="H3500" s="2" t="s">
        <v>16402</v>
      </c>
      <c r="I3500" s="2" t="s">
        <v>16403</v>
      </c>
      <c r="K3500" s="2" t="s">
        <v>10407</v>
      </c>
      <c r="L3500" s="2" t="s">
        <v>149</v>
      </c>
      <c r="M3500" s="2">
        <v>46033.0</v>
      </c>
      <c r="N3500" s="2" t="s">
        <v>21</v>
      </c>
    </row>
    <row r="3501" ht="15.75" customHeight="1">
      <c r="A3501" s="2">
        <v>2015.0</v>
      </c>
      <c r="B3501" s="2" t="s">
        <v>13442</v>
      </c>
      <c r="C3501" s="2" t="s">
        <v>13443</v>
      </c>
      <c r="D3501" s="2" t="str">
        <f>"308-224-1437"</f>
        <v>308-224-1437</v>
      </c>
      <c r="E3501" s="2" t="s">
        <v>7754</v>
      </c>
      <c r="F3501" s="2" t="s">
        <v>9036</v>
      </c>
      <c r="G3501" s="2" t="str">
        <f>"SR-3140"</f>
        <v>SR-3140</v>
      </c>
      <c r="H3501" s="2" t="s">
        <v>13444</v>
      </c>
      <c r="I3501" s="2" t="s">
        <v>13445</v>
      </c>
      <c r="K3501" s="2" t="s">
        <v>13446</v>
      </c>
      <c r="L3501" s="2" t="s">
        <v>757</v>
      </c>
      <c r="M3501" s="2">
        <v>68845.0</v>
      </c>
      <c r="N3501" s="2" t="s">
        <v>21</v>
      </c>
    </row>
    <row r="3502" ht="15.75" customHeight="1">
      <c r="A3502" s="2">
        <v>2015.0</v>
      </c>
      <c r="B3502" s="2" t="s">
        <v>16404</v>
      </c>
      <c r="C3502" s="2" t="s">
        <v>16404</v>
      </c>
      <c r="D3502" s="2" t="str">
        <f>"941-484-5904"</f>
        <v>941-484-5904</v>
      </c>
      <c r="E3502" s="2" t="s">
        <v>580</v>
      </c>
      <c r="F3502" s="2" t="s">
        <v>16405</v>
      </c>
      <c r="G3502" s="2" t="str">
        <f>"SR-4782"</f>
        <v>SR-4782</v>
      </c>
      <c r="H3502" s="2" t="s">
        <v>16406</v>
      </c>
      <c r="I3502" s="2" t="s">
        <v>16407</v>
      </c>
      <c r="K3502" s="2" t="s">
        <v>16408</v>
      </c>
      <c r="L3502" s="2" t="s">
        <v>208</v>
      </c>
      <c r="M3502" s="2">
        <v>34275.0</v>
      </c>
      <c r="N3502" s="2" t="s">
        <v>21</v>
      </c>
    </row>
    <row r="3503" ht="15.75" customHeight="1">
      <c r="A3503" s="2">
        <v>2015.0</v>
      </c>
      <c r="B3503" s="2" t="s">
        <v>16409</v>
      </c>
      <c r="C3503" s="2" t="s">
        <v>16410</v>
      </c>
      <c r="D3503" s="2" t="str">
        <f>"970-225-1719"</f>
        <v>970-225-1719</v>
      </c>
      <c r="E3503" s="2" t="s">
        <v>16411</v>
      </c>
      <c r="F3503" s="2" t="s">
        <v>16412</v>
      </c>
      <c r="G3503" s="2" t="str">
        <f>"SR-4689"</f>
        <v>SR-4689</v>
      </c>
      <c r="H3503" s="2" t="s">
        <v>16413</v>
      </c>
      <c r="I3503" s="2" t="s">
        <v>16414</v>
      </c>
      <c r="K3503" s="2" t="s">
        <v>656</v>
      </c>
      <c r="L3503" s="2" t="s">
        <v>157</v>
      </c>
      <c r="M3503" s="2">
        <v>80528.0</v>
      </c>
      <c r="N3503" s="2" t="s">
        <v>21</v>
      </c>
    </row>
    <row r="3504" ht="15.75" customHeight="1">
      <c r="A3504" s="2">
        <v>2015.0</v>
      </c>
      <c r="B3504" s="2" t="s">
        <v>16415</v>
      </c>
      <c r="C3504" s="2" t="s">
        <v>16416</v>
      </c>
      <c r="D3504" s="2" t="str">
        <f>"970-381-5325"</f>
        <v>970-381-5325</v>
      </c>
      <c r="E3504" s="2" t="s">
        <v>1094</v>
      </c>
      <c r="F3504" s="2" t="s">
        <v>16417</v>
      </c>
      <c r="G3504" s="2" t="str">
        <f>"SR-4909"</f>
        <v>SR-4909</v>
      </c>
      <c r="H3504" s="2" t="s">
        <v>16418</v>
      </c>
      <c r="I3504" s="2" t="s">
        <v>16419</v>
      </c>
      <c r="K3504" s="2" t="s">
        <v>498</v>
      </c>
      <c r="L3504" s="2" t="s">
        <v>157</v>
      </c>
      <c r="M3504" s="2">
        <v>80615.0</v>
      </c>
      <c r="N3504" s="2" t="s">
        <v>21</v>
      </c>
    </row>
    <row r="3505" ht="15.75" customHeight="1">
      <c r="A3505" s="2">
        <v>2015.0</v>
      </c>
      <c r="B3505" s="2" t="s">
        <v>1286</v>
      </c>
      <c r="C3505" s="2" t="s">
        <v>16420</v>
      </c>
      <c r="D3505" s="2" t="str">
        <f>"210-602-9929"</f>
        <v>210-602-9929</v>
      </c>
      <c r="E3505" s="2" t="s">
        <v>4300</v>
      </c>
      <c r="F3505" s="2" t="s">
        <v>1289</v>
      </c>
      <c r="G3505" s="2" t="str">
        <f>"SR-4938"</f>
        <v>SR-4938</v>
      </c>
      <c r="H3505" s="2" t="s">
        <v>16421</v>
      </c>
      <c r="I3505" s="2" t="s">
        <v>1291</v>
      </c>
      <c r="K3505" s="2" t="s">
        <v>1292</v>
      </c>
      <c r="L3505" s="2" t="s">
        <v>172</v>
      </c>
      <c r="M3505" s="2">
        <v>78006.0</v>
      </c>
      <c r="N3505" s="2" t="s">
        <v>21</v>
      </c>
    </row>
    <row r="3506" ht="15.75" customHeight="1">
      <c r="A3506" s="2">
        <v>2015.0</v>
      </c>
      <c r="B3506" s="2" t="s">
        <v>3672</v>
      </c>
      <c r="C3506" s="2" t="s">
        <v>16422</v>
      </c>
      <c r="D3506" s="2" t="str">
        <f>"972-268-3744"</f>
        <v>972-268-3744</v>
      </c>
      <c r="E3506" s="2" t="s">
        <v>6081</v>
      </c>
      <c r="F3506" s="2" t="s">
        <v>3674</v>
      </c>
      <c r="G3506" s="2" t="str">
        <f>"SR-4948"</f>
        <v>SR-4948</v>
      </c>
      <c r="H3506" s="2" t="s">
        <v>16423</v>
      </c>
      <c r="I3506" s="2" t="s">
        <v>3676</v>
      </c>
      <c r="K3506" s="2" t="s">
        <v>3677</v>
      </c>
      <c r="L3506" s="2" t="s">
        <v>172</v>
      </c>
      <c r="M3506" s="2">
        <v>75165.0</v>
      </c>
      <c r="N3506" s="2" t="s">
        <v>21</v>
      </c>
    </row>
    <row r="3507" ht="15.75" customHeight="1">
      <c r="A3507" s="2">
        <v>2015.0</v>
      </c>
      <c r="B3507" s="2" t="s">
        <v>16424</v>
      </c>
      <c r="C3507" s="2" t="s">
        <v>16424</v>
      </c>
      <c r="D3507" s="2" t="str">
        <f>"616-875-6026"</f>
        <v>616-875-6026</v>
      </c>
      <c r="E3507" s="2" t="s">
        <v>12012</v>
      </c>
      <c r="F3507" s="2" t="s">
        <v>16425</v>
      </c>
      <c r="G3507" s="2" t="str">
        <f>"SR-4951"</f>
        <v>SR-4951</v>
      </c>
      <c r="H3507" s="2" t="s">
        <v>16426</v>
      </c>
      <c r="I3507" s="2" t="s">
        <v>16427</v>
      </c>
      <c r="K3507" s="2" t="s">
        <v>16428</v>
      </c>
      <c r="L3507" s="2" t="s">
        <v>29</v>
      </c>
      <c r="M3507" s="2">
        <v>49426.0</v>
      </c>
      <c r="N3507" s="2" t="s">
        <v>21</v>
      </c>
    </row>
    <row r="3508" ht="15.75" customHeight="1">
      <c r="A3508" s="2">
        <v>2015.0</v>
      </c>
      <c r="B3508" s="2" t="s">
        <v>16429</v>
      </c>
      <c r="C3508" s="2" t="s">
        <v>16430</v>
      </c>
      <c r="D3508" s="2" t="str">
        <f>"765-212-2432"</f>
        <v>765-212-2432</v>
      </c>
      <c r="E3508" s="2" t="s">
        <v>160</v>
      </c>
      <c r="F3508" s="2" t="s">
        <v>16431</v>
      </c>
      <c r="G3508" s="2" t="str">
        <f>"SR-4953"</f>
        <v>SR-4953</v>
      </c>
      <c r="H3508" s="2" t="s">
        <v>16432</v>
      </c>
      <c r="I3508" s="2" t="s">
        <v>16433</v>
      </c>
      <c r="K3508" s="2" t="s">
        <v>16434</v>
      </c>
      <c r="L3508" s="2" t="s">
        <v>149</v>
      </c>
      <c r="M3508" s="2">
        <v>47304.0</v>
      </c>
      <c r="N3508" s="2" t="s">
        <v>21</v>
      </c>
    </row>
    <row r="3509" ht="15.75" customHeight="1">
      <c r="A3509" s="2">
        <v>2015.0</v>
      </c>
      <c r="B3509" s="2" t="s">
        <v>16387</v>
      </c>
      <c r="C3509" s="2" t="s">
        <v>16435</v>
      </c>
      <c r="D3509" s="2" t="str">
        <f>"701-838-7258"</f>
        <v>701-838-7258</v>
      </c>
      <c r="E3509" s="2" t="s">
        <v>1263</v>
      </c>
      <c r="F3509" s="2" t="s">
        <v>16389</v>
      </c>
      <c r="G3509" s="2" t="str">
        <f>"SR-4932"</f>
        <v>SR-4932</v>
      </c>
      <c r="H3509" s="2" t="s">
        <v>16436</v>
      </c>
      <c r="I3509" s="2" t="s">
        <v>16391</v>
      </c>
      <c r="K3509" s="2" t="s">
        <v>5965</v>
      </c>
      <c r="L3509" s="2" t="s">
        <v>2534</v>
      </c>
      <c r="M3509" s="2">
        <v>58701.0</v>
      </c>
      <c r="N3509" s="2" t="s">
        <v>21</v>
      </c>
    </row>
    <row r="3510" ht="15.75" customHeight="1">
      <c r="A3510" s="2">
        <v>2015.0</v>
      </c>
      <c r="B3510" s="2" t="s">
        <v>16320</v>
      </c>
      <c r="C3510" s="2" t="s">
        <v>16437</v>
      </c>
      <c r="D3510" s="2" t="str">
        <f>"(575)420-3149"</f>
        <v>(575)420-3149</v>
      </c>
      <c r="E3510" s="2" t="s">
        <v>1803</v>
      </c>
      <c r="F3510" s="2" t="s">
        <v>16322</v>
      </c>
      <c r="G3510" s="2" t="str">
        <f>"SR-2803"</f>
        <v>SR-2803</v>
      </c>
      <c r="H3510" s="2" t="s">
        <v>16438</v>
      </c>
      <c r="I3510" s="2" t="s">
        <v>16324</v>
      </c>
      <c r="K3510" s="2" t="s">
        <v>7218</v>
      </c>
      <c r="L3510" s="2" t="s">
        <v>789</v>
      </c>
      <c r="M3510" s="2">
        <v>88201.0</v>
      </c>
      <c r="N3510" s="2" t="s">
        <v>21</v>
      </c>
    </row>
    <row r="3511" ht="15.75" customHeight="1">
      <c r="A3511" s="2">
        <v>2015.0</v>
      </c>
      <c r="B3511" s="2" t="s">
        <v>16439</v>
      </c>
      <c r="C3511" s="2" t="s">
        <v>16440</v>
      </c>
      <c r="D3511" s="2" t="str">
        <f>"626-961-8584"</f>
        <v>626-961-8584</v>
      </c>
      <c r="E3511" s="2" t="s">
        <v>977</v>
      </c>
      <c r="F3511" s="2" t="s">
        <v>11102</v>
      </c>
      <c r="G3511" s="2" t="str">
        <f>"SR-4959"</f>
        <v>SR-4959</v>
      </c>
      <c r="H3511" s="2" t="s">
        <v>16441</v>
      </c>
      <c r="I3511" s="2" t="s">
        <v>11104</v>
      </c>
      <c r="K3511" s="2" t="s">
        <v>11105</v>
      </c>
      <c r="L3511" s="2" t="s">
        <v>222</v>
      </c>
      <c r="M3511" s="2">
        <v>91745.0</v>
      </c>
      <c r="N3511" s="2" t="s">
        <v>21</v>
      </c>
    </row>
    <row r="3512" ht="15.75" customHeight="1">
      <c r="A3512" s="2">
        <v>2015.0</v>
      </c>
      <c r="B3512" s="2" t="s">
        <v>16442</v>
      </c>
      <c r="C3512" s="2" t="s">
        <v>16443</v>
      </c>
      <c r="D3512" s="2" t="str">
        <f>"352-473-7495"</f>
        <v>352-473-7495</v>
      </c>
      <c r="E3512" s="2" t="s">
        <v>2814</v>
      </c>
      <c r="F3512" s="2" t="s">
        <v>327</v>
      </c>
      <c r="G3512" s="2" t="str">
        <f>"SR-4915"</f>
        <v>SR-4915</v>
      </c>
      <c r="H3512" s="2" t="s">
        <v>16444</v>
      </c>
      <c r="I3512" s="2" t="s">
        <v>16445</v>
      </c>
      <c r="K3512" s="2" t="s">
        <v>16446</v>
      </c>
      <c r="L3512" s="2" t="s">
        <v>208</v>
      </c>
      <c r="M3512" s="2">
        <v>32666.0</v>
      </c>
      <c r="N3512" s="2" t="s">
        <v>21</v>
      </c>
    </row>
    <row r="3513" ht="15.75" customHeight="1">
      <c r="A3513" s="2">
        <v>2015.0</v>
      </c>
      <c r="B3513" s="2" t="s">
        <v>16447</v>
      </c>
      <c r="C3513" s="2" t="s">
        <v>16448</v>
      </c>
      <c r="D3513" s="2" t="str">
        <f>"214-499-2742"</f>
        <v>214-499-2742</v>
      </c>
      <c r="E3513" s="2" t="s">
        <v>1664</v>
      </c>
      <c r="F3513" s="2" t="s">
        <v>4652</v>
      </c>
      <c r="G3513" s="2" t="str">
        <f>"SR-4969"</f>
        <v>SR-4969</v>
      </c>
      <c r="H3513" s="2" t="s">
        <v>16449</v>
      </c>
      <c r="I3513" s="2" t="s">
        <v>4654</v>
      </c>
      <c r="K3513" s="2" t="s">
        <v>2358</v>
      </c>
      <c r="L3513" s="2" t="s">
        <v>172</v>
      </c>
      <c r="M3513" s="2">
        <v>75154.0</v>
      </c>
      <c r="N3513" s="2" t="s">
        <v>21</v>
      </c>
    </row>
    <row r="3514" ht="15.75" customHeight="1">
      <c r="A3514" s="2">
        <v>2015.0</v>
      </c>
      <c r="B3514" s="2" t="s">
        <v>16450</v>
      </c>
      <c r="C3514" s="2" t="s">
        <v>16451</v>
      </c>
      <c r="D3514" s="2" t="str">
        <f>"352-445-8492"</f>
        <v>352-445-8492</v>
      </c>
      <c r="E3514" s="2" t="s">
        <v>1713</v>
      </c>
      <c r="F3514" s="2" t="s">
        <v>2870</v>
      </c>
      <c r="G3514" s="2" t="str">
        <f>"SR-4963"</f>
        <v>SR-4963</v>
      </c>
      <c r="H3514" s="2" t="s">
        <v>16452</v>
      </c>
      <c r="I3514" s="2" t="s">
        <v>16453</v>
      </c>
      <c r="K3514" s="2" t="s">
        <v>16454</v>
      </c>
      <c r="L3514" s="2" t="s">
        <v>208</v>
      </c>
      <c r="M3514" s="2">
        <v>34434.0</v>
      </c>
      <c r="N3514" s="2" t="s">
        <v>21</v>
      </c>
    </row>
    <row r="3515" ht="15.75" customHeight="1">
      <c r="A3515" s="2">
        <v>2015.0</v>
      </c>
      <c r="B3515" s="2" t="s">
        <v>16455</v>
      </c>
      <c r="C3515" s="2" t="s">
        <v>16456</v>
      </c>
      <c r="D3515" s="2" t="str">
        <f>"2102415289"</f>
        <v>2102415289</v>
      </c>
      <c r="E3515" s="2" t="s">
        <v>448</v>
      </c>
      <c r="F3515" s="2" t="s">
        <v>16457</v>
      </c>
      <c r="G3515" s="2" t="str">
        <f>"SR-4974"</f>
        <v>SR-4974</v>
      </c>
      <c r="H3515" s="2" t="s">
        <v>16458</v>
      </c>
      <c r="I3515" s="2" t="s">
        <v>16459</v>
      </c>
      <c r="K3515" s="2" t="s">
        <v>16460</v>
      </c>
      <c r="L3515" s="2" t="s">
        <v>172</v>
      </c>
      <c r="M3515" s="2">
        <v>78023.0</v>
      </c>
      <c r="N3515" s="2" t="s">
        <v>21</v>
      </c>
    </row>
    <row r="3516" ht="15.75" customHeight="1">
      <c r="A3516" s="2">
        <v>2015.0</v>
      </c>
      <c r="B3516" s="2" t="s">
        <v>16461</v>
      </c>
      <c r="C3516" s="2" t="s">
        <v>16461</v>
      </c>
      <c r="D3516" s="2" t="str">
        <f>"(309)966-2172"</f>
        <v>(309)966-2172</v>
      </c>
      <c r="E3516" s="2" t="s">
        <v>988</v>
      </c>
      <c r="F3516" s="2" t="s">
        <v>16462</v>
      </c>
      <c r="G3516" s="2" t="str">
        <f>"SR-4920"</f>
        <v>SR-4920</v>
      </c>
      <c r="H3516" s="2" t="s">
        <v>16463</v>
      </c>
      <c r="I3516" s="2" t="s">
        <v>16464</v>
      </c>
      <c r="K3516" s="2" t="s">
        <v>111</v>
      </c>
      <c r="L3516" s="2" t="s">
        <v>105</v>
      </c>
      <c r="M3516" s="2">
        <v>61571.0</v>
      </c>
      <c r="N3516" s="2" t="s">
        <v>21</v>
      </c>
    </row>
    <row r="3517" ht="15.75" customHeight="1">
      <c r="A3517" s="2">
        <v>2015.0</v>
      </c>
      <c r="B3517" s="2" t="s">
        <v>16465</v>
      </c>
      <c r="C3517" s="2" t="s">
        <v>16465</v>
      </c>
      <c r="D3517" s="2" t="str">
        <f>"6204090095"</f>
        <v>6204090095</v>
      </c>
      <c r="E3517" s="2" t="s">
        <v>16466</v>
      </c>
      <c r="F3517" s="2" t="s">
        <v>16467</v>
      </c>
      <c r="G3517" s="2" t="str">
        <f>"SR-4965"</f>
        <v>SR-4965</v>
      </c>
      <c r="H3517" s="2" t="s">
        <v>16468</v>
      </c>
      <c r="I3517" s="2" t="s">
        <v>16469</v>
      </c>
      <c r="K3517" s="2" t="s">
        <v>15953</v>
      </c>
      <c r="L3517" s="2" t="s">
        <v>272</v>
      </c>
      <c r="M3517" s="2">
        <v>67070.0</v>
      </c>
      <c r="N3517" s="2" t="s">
        <v>21</v>
      </c>
    </row>
    <row r="3518" ht="15.75" customHeight="1">
      <c r="A3518" s="2">
        <v>2015.0</v>
      </c>
      <c r="B3518" s="2" t="s">
        <v>16470</v>
      </c>
      <c r="C3518" s="2" t="s">
        <v>16470</v>
      </c>
      <c r="D3518" s="2" t="str">
        <f>"518-637-2681"</f>
        <v>518-637-2681</v>
      </c>
      <c r="E3518" s="2" t="s">
        <v>8427</v>
      </c>
      <c r="F3518" s="2" t="s">
        <v>16471</v>
      </c>
      <c r="G3518" s="2" t="str">
        <f>"SR-4892"</f>
        <v>SR-4892</v>
      </c>
      <c r="H3518" s="2" t="s">
        <v>16472</v>
      </c>
      <c r="I3518" s="2" t="s">
        <v>16473</v>
      </c>
      <c r="K3518" s="2" t="s">
        <v>16474</v>
      </c>
      <c r="L3518" s="2" t="s">
        <v>142</v>
      </c>
      <c r="M3518" s="2">
        <v>12870.0</v>
      </c>
      <c r="N3518" s="2" t="s">
        <v>21</v>
      </c>
    </row>
    <row r="3519" ht="15.75" customHeight="1">
      <c r="A3519" s="2">
        <v>2015.0</v>
      </c>
      <c r="B3519" s="2" t="s">
        <v>16475</v>
      </c>
      <c r="C3519" s="2" t="s">
        <v>16475</v>
      </c>
      <c r="D3519" s="2" t="str">
        <f>"262-790-1589"</f>
        <v>262-790-1589</v>
      </c>
      <c r="E3519" s="2" t="s">
        <v>50</v>
      </c>
      <c r="F3519" s="2" t="s">
        <v>16476</v>
      </c>
      <c r="G3519" s="2" t="str">
        <f>"SR-4754"</f>
        <v>SR-4754</v>
      </c>
      <c r="H3519" s="2" t="s">
        <v>16477</v>
      </c>
      <c r="I3519" s="2" t="s">
        <v>16478</v>
      </c>
      <c r="K3519" s="2" t="s">
        <v>16479</v>
      </c>
      <c r="L3519" s="2" t="s">
        <v>193</v>
      </c>
      <c r="M3519" s="2">
        <v>53051.0</v>
      </c>
      <c r="N3519" s="2" t="s">
        <v>21</v>
      </c>
    </row>
    <row r="3520" ht="15.75" customHeight="1">
      <c r="A3520" s="2">
        <v>2015.0</v>
      </c>
      <c r="B3520" s="2" t="s">
        <v>16480</v>
      </c>
      <c r="C3520" s="2" t="s">
        <v>16481</v>
      </c>
      <c r="D3520" s="2" t="str">
        <f>"320-309-2899"</f>
        <v>320-309-2899</v>
      </c>
      <c r="E3520" s="2" t="s">
        <v>585</v>
      </c>
      <c r="F3520" s="2" t="s">
        <v>16482</v>
      </c>
      <c r="G3520" s="2" t="str">
        <f>"SR-4928"</f>
        <v>SR-4928</v>
      </c>
      <c r="H3520" s="2" t="s">
        <v>16483</v>
      </c>
      <c r="I3520" s="2" t="s">
        <v>16484</v>
      </c>
      <c r="K3520" s="2" t="s">
        <v>97</v>
      </c>
      <c r="L3520" s="2" t="s">
        <v>62</v>
      </c>
      <c r="M3520" s="2">
        <v>56362.0</v>
      </c>
      <c r="N3520" s="2" t="s">
        <v>21</v>
      </c>
    </row>
    <row r="3521" ht="15.75" customHeight="1">
      <c r="A3521" s="2">
        <v>2015.0</v>
      </c>
      <c r="B3521" s="2" t="s">
        <v>16485</v>
      </c>
      <c r="C3521" s="2" t="s">
        <v>16486</v>
      </c>
      <c r="D3521" s="2" t="str">
        <f>"805-543-4530"</f>
        <v>805-543-4530</v>
      </c>
      <c r="E3521" s="2" t="s">
        <v>167</v>
      </c>
      <c r="F3521" s="2" t="s">
        <v>16487</v>
      </c>
      <c r="G3521" s="2" t="str">
        <f>"SR-4789"</f>
        <v>SR-4789</v>
      </c>
      <c r="H3521" s="2" t="s">
        <v>16488</v>
      </c>
      <c r="I3521" s="2" t="s">
        <v>16489</v>
      </c>
      <c r="K3521" s="2" t="s">
        <v>13810</v>
      </c>
      <c r="L3521" s="2" t="s">
        <v>222</v>
      </c>
      <c r="M3521" s="2">
        <v>93401.0</v>
      </c>
      <c r="N3521" s="2" t="s">
        <v>21</v>
      </c>
    </row>
    <row r="3522" ht="15.75" customHeight="1">
      <c r="A3522" s="2">
        <v>2015.0</v>
      </c>
      <c r="B3522" s="2" t="s">
        <v>16490</v>
      </c>
      <c r="C3522" s="2" t="s">
        <v>16490</v>
      </c>
      <c r="D3522" s="2" t="str">
        <f>"515-782-1415"</f>
        <v>515-782-1415</v>
      </c>
      <c r="E3522" s="2" t="s">
        <v>6244</v>
      </c>
      <c r="F3522" s="2" t="s">
        <v>6095</v>
      </c>
      <c r="G3522" s="2" t="str">
        <f>"SR-4890"</f>
        <v>SR-4890</v>
      </c>
      <c r="H3522" s="2" t="s">
        <v>16491</v>
      </c>
      <c r="I3522" s="2" t="s">
        <v>16492</v>
      </c>
      <c r="K3522" s="2" t="s">
        <v>2066</v>
      </c>
      <c r="L3522" s="2" t="s">
        <v>560</v>
      </c>
      <c r="M3522" s="2">
        <v>50265.0</v>
      </c>
      <c r="N3522" s="2" t="s">
        <v>21</v>
      </c>
    </row>
    <row r="3523" ht="15.75" customHeight="1">
      <c r="A3523" s="2">
        <v>2015.0</v>
      </c>
      <c r="B3523" s="2" t="s">
        <v>16493</v>
      </c>
      <c r="C3523" s="2" t="s">
        <v>16493</v>
      </c>
      <c r="D3523" s="2" t="str">
        <f>"4257787957"</f>
        <v>4257787957</v>
      </c>
      <c r="E3523" s="2" t="s">
        <v>1022</v>
      </c>
      <c r="F3523" s="2" t="s">
        <v>962</v>
      </c>
      <c r="G3523" s="2" t="str">
        <f>"SR-4983"</f>
        <v>SR-4983</v>
      </c>
      <c r="H3523" s="2" t="s">
        <v>16494</v>
      </c>
      <c r="I3523" s="2" t="s">
        <v>16495</v>
      </c>
      <c r="K3523" s="2" t="s">
        <v>965</v>
      </c>
      <c r="L3523" s="2" t="s">
        <v>86</v>
      </c>
      <c r="M3523" s="2">
        <v>98036.0</v>
      </c>
      <c r="N3523" s="2" t="s">
        <v>21</v>
      </c>
    </row>
    <row r="3524" ht="15.75" customHeight="1">
      <c r="A3524" s="2">
        <v>2015.0</v>
      </c>
      <c r="B3524" s="2" t="s">
        <v>16496</v>
      </c>
      <c r="C3524" s="2" t="s">
        <v>16496</v>
      </c>
      <c r="D3524" s="2" t="str">
        <f>"8644008262"</f>
        <v>8644008262</v>
      </c>
      <c r="E3524" s="2" t="s">
        <v>2954</v>
      </c>
      <c r="F3524" s="2" t="s">
        <v>16497</v>
      </c>
      <c r="G3524" s="2" t="str">
        <f>"SR-4989"</f>
        <v>SR-4989</v>
      </c>
      <c r="H3524" s="2" t="s">
        <v>16498</v>
      </c>
      <c r="I3524" s="2" t="s">
        <v>16499</v>
      </c>
      <c r="K3524" s="2" t="s">
        <v>16500</v>
      </c>
      <c r="M3524" s="2" t="s">
        <v>16501</v>
      </c>
      <c r="N3524" s="2" t="s">
        <v>16502</v>
      </c>
    </row>
    <row r="3525" ht="15.75" customHeight="1">
      <c r="A3525" s="2">
        <v>2015.0</v>
      </c>
      <c r="B3525" s="2" t="s">
        <v>16503</v>
      </c>
      <c r="C3525" s="2" t="s">
        <v>16504</v>
      </c>
      <c r="D3525" s="2" t="str">
        <f>"540-476-2085"</f>
        <v>540-476-2085</v>
      </c>
      <c r="E3525" s="2" t="s">
        <v>16505</v>
      </c>
      <c r="F3525" s="2" t="s">
        <v>16506</v>
      </c>
      <c r="G3525" s="2" t="str">
        <f>"SR-4844"</f>
        <v>SR-4844</v>
      </c>
      <c r="H3525" s="2" t="s">
        <v>16507</v>
      </c>
      <c r="I3525" s="2" t="s">
        <v>16508</v>
      </c>
      <c r="K3525" s="2" t="s">
        <v>8093</v>
      </c>
      <c r="L3525" s="2" t="s">
        <v>165</v>
      </c>
      <c r="M3525" s="2">
        <v>22815.0</v>
      </c>
      <c r="N3525" s="2" t="s">
        <v>21</v>
      </c>
    </row>
    <row r="3526" ht="15.75" customHeight="1">
      <c r="A3526" s="2">
        <v>2015.0</v>
      </c>
      <c r="B3526" s="2" t="s">
        <v>16503</v>
      </c>
      <c r="C3526" s="2" t="s">
        <v>16509</v>
      </c>
      <c r="D3526" s="2" t="str">
        <f>"540-705-6478"</f>
        <v>540-705-6478</v>
      </c>
      <c r="E3526" s="2" t="s">
        <v>16510</v>
      </c>
      <c r="F3526" s="2" t="s">
        <v>16506</v>
      </c>
      <c r="G3526" s="2" t="str">
        <f>"SR-4843"</f>
        <v>SR-4843</v>
      </c>
      <c r="H3526" s="2" t="s">
        <v>16511</v>
      </c>
      <c r="I3526" s="2" t="s">
        <v>16508</v>
      </c>
      <c r="K3526" s="2" t="s">
        <v>8093</v>
      </c>
      <c r="L3526" s="2" t="s">
        <v>165</v>
      </c>
      <c r="M3526" s="2">
        <v>22815.0</v>
      </c>
      <c r="N3526" s="2" t="s">
        <v>21</v>
      </c>
    </row>
    <row r="3527" ht="15.75" customHeight="1">
      <c r="A3527" s="2">
        <v>2015.0</v>
      </c>
      <c r="B3527" s="2" t="s">
        <v>2878</v>
      </c>
      <c r="C3527" s="2" t="s">
        <v>16512</v>
      </c>
      <c r="D3527" s="2" t="str">
        <f>"763 504 9434"</f>
        <v>763 504 9434</v>
      </c>
      <c r="E3527" s="2" t="s">
        <v>1529</v>
      </c>
      <c r="F3527" s="2" t="s">
        <v>2880</v>
      </c>
      <c r="G3527" s="2" t="str">
        <f>"SR-4986"</f>
        <v>SR-4986</v>
      </c>
      <c r="H3527" s="2" t="s">
        <v>16513</v>
      </c>
      <c r="I3527" s="2" t="s">
        <v>16514</v>
      </c>
      <c r="K3527" s="2" t="s">
        <v>2883</v>
      </c>
      <c r="L3527" s="2" t="s">
        <v>62</v>
      </c>
      <c r="M3527" s="2">
        <v>55422.0</v>
      </c>
      <c r="N3527" s="2" t="s">
        <v>21</v>
      </c>
    </row>
    <row r="3528" ht="15.75" customHeight="1">
      <c r="A3528" s="2">
        <v>2015.0</v>
      </c>
      <c r="B3528" s="2" t="s">
        <v>16515</v>
      </c>
      <c r="C3528" s="2" t="s">
        <v>16516</v>
      </c>
      <c r="D3528" s="2" t="str">
        <f>"6024715495"</f>
        <v>6024715495</v>
      </c>
      <c r="E3528" s="2" t="s">
        <v>160</v>
      </c>
      <c r="F3528" s="2" t="s">
        <v>16517</v>
      </c>
      <c r="G3528" s="2" t="str">
        <f>"SR-4838"</f>
        <v>SR-4838</v>
      </c>
      <c r="H3528" s="2" t="s">
        <v>16518</v>
      </c>
      <c r="I3528" s="2" t="s">
        <v>16519</v>
      </c>
      <c r="K3528" s="2" t="s">
        <v>421</v>
      </c>
      <c r="L3528" s="2" t="s">
        <v>422</v>
      </c>
      <c r="M3528" s="2">
        <v>85032.0</v>
      </c>
      <c r="N3528" s="2" t="s">
        <v>21</v>
      </c>
    </row>
    <row r="3529" ht="15.75" customHeight="1">
      <c r="A3529" s="2">
        <v>2015.0</v>
      </c>
      <c r="B3529" s="2" t="s">
        <v>16447</v>
      </c>
      <c r="C3529" s="2" t="s">
        <v>16447</v>
      </c>
      <c r="D3529" s="2" t="str">
        <f>"214-914-9803"</f>
        <v>214-914-9803</v>
      </c>
      <c r="E3529" s="2" t="s">
        <v>2309</v>
      </c>
      <c r="F3529" s="2" t="s">
        <v>4652</v>
      </c>
      <c r="G3529" s="2" t="str">
        <f>"SR-4967"</f>
        <v>SR-4967</v>
      </c>
      <c r="H3529" s="2" t="s">
        <v>4653</v>
      </c>
      <c r="I3529" s="2" t="s">
        <v>4654</v>
      </c>
      <c r="K3529" s="2" t="s">
        <v>2358</v>
      </c>
      <c r="L3529" s="2" t="s">
        <v>172</v>
      </c>
      <c r="M3529" s="2">
        <v>75154.0</v>
      </c>
      <c r="N3529" s="2" t="s">
        <v>21</v>
      </c>
    </row>
    <row r="3530" ht="15.75" customHeight="1">
      <c r="A3530" s="2">
        <v>2015.0</v>
      </c>
      <c r="B3530" s="2" t="s">
        <v>16520</v>
      </c>
      <c r="C3530" s="2" t="s">
        <v>16520</v>
      </c>
      <c r="D3530" s="2" t="str">
        <f>"12085730936"</f>
        <v>12085730936</v>
      </c>
      <c r="E3530" s="2" t="s">
        <v>1239</v>
      </c>
      <c r="F3530" s="2" t="s">
        <v>6873</v>
      </c>
      <c r="G3530" s="2" t="str">
        <f>"SR-3269"</f>
        <v>SR-3269</v>
      </c>
      <c r="H3530" s="2" t="s">
        <v>16521</v>
      </c>
      <c r="I3530" s="2" t="s">
        <v>16522</v>
      </c>
      <c r="K3530" s="2" t="s">
        <v>6876</v>
      </c>
      <c r="L3530" s="2" t="s">
        <v>2613</v>
      </c>
      <c r="M3530" s="2">
        <v>83616.0</v>
      </c>
      <c r="N3530" s="2" t="s">
        <v>21</v>
      </c>
    </row>
    <row r="3531" ht="15.75" customHeight="1">
      <c r="A3531" s="2">
        <v>2015.0</v>
      </c>
      <c r="B3531" s="2" t="s">
        <v>16523</v>
      </c>
      <c r="C3531" s="2" t="s">
        <v>16523</v>
      </c>
      <c r="D3531" s="2" t="str">
        <f>"7047858828"</f>
        <v>7047858828</v>
      </c>
      <c r="E3531" s="2" t="s">
        <v>528</v>
      </c>
      <c r="F3531" s="2" t="s">
        <v>6902</v>
      </c>
      <c r="G3531" s="2" t="str">
        <f>"SR-4991"</f>
        <v>SR-4991</v>
      </c>
      <c r="H3531" s="2" t="s">
        <v>6903</v>
      </c>
      <c r="I3531" s="2" t="s">
        <v>6904</v>
      </c>
      <c r="K3531" s="2" t="s">
        <v>6658</v>
      </c>
      <c r="L3531" s="2" t="s">
        <v>20</v>
      </c>
      <c r="M3531" s="2">
        <v>28027.0</v>
      </c>
      <c r="N3531" s="2" t="s">
        <v>21</v>
      </c>
    </row>
    <row r="3532" ht="15.75" customHeight="1">
      <c r="A3532" s="2">
        <v>2015.0</v>
      </c>
      <c r="B3532" s="2" t="s">
        <v>16524</v>
      </c>
      <c r="C3532" s="2" t="s">
        <v>16525</v>
      </c>
      <c r="D3532" s="2" t="str">
        <f>"919-538-0409"</f>
        <v>919-538-0409</v>
      </c>
      <c r="E3532" s="2" t="s">
        <v>1946</v>
      </c>
      <c r="F3532" s="2" t="s">
        <v>16526</v>
      </c>
      <c r="G3532" s="2" t="str">
        <f>"SR-4997"</f>
        <v>SR-4997</v>
      </c>
      <c r="H3532" s="2" t="s">
        <v>16527</v>
      </c>
      <c r="I3532" s="2" t="s">
        <v>16528</v>
      </c>
      <c r="K3532" s="2" t="s">
        <v>16529</v>
      </c>
      <c r="L3532" s="2" t="s">
        <v>105</v>
      </c>
      <c r="M3532" s="2">
        <v>62301.0</v>
      </c>
      <c r="N3532" s="2" t="s">
        <v>21</v>
      </c>
    </row>
    <row r="3533" ht="15.75" customHeight="1">
      <c r="A3533" s="2">
        <v>2015.0</v>
      </c>
      <c r="B3533" s="2" t="s">
        <v>16530</v>
      </c>
      <c r="C3533" s="2" t="s">
        <v>16531</v>
      </c>
      <c r="D3533" s="2" t="str">
        <f>"615-788-6607"</f>
        <v>615-788-6607</v>
      </c>
      <c r="E3533" s="2" t="s">
        <v>12434</v>
      </c>
      <c r="F3533" s="2" t="s">
        <v>3144</v>
      </c>
      <c r="G3533" s="2" t="str">
        <f>"SR-4936"</f>
        <v>SR-4936</v>
      </c>
      <c r="H3533" s="2" t="s">
        <v>16532</v>
      </c>
      <c r="I3533" s="2" t="s">
        <v>16533</v>
      </c>
      <c r="K3533" s="2" t="s">
        <v>9868</v>
      </c>
      <c r="L3533" s="2" t="s">
        <v>279</v>
      </c>
      <c r="M3533" s="2">
        <v>37027.0</v>
      </c>
      <c r="N3533" s="2" t="s">
        <v>21</v>
      </c>
    </row>
    <row r="3534" ht="15.75" customHeight="1">
      <c r="A3534" s="2">
        <v>2015.0</v>
      </c>
      <c r="B3534" s="2" t="s">
        <v>16534</v>
      </c>
      <c r="D3534" s="2" t="str">
        <f>""</f>
        <v/>
      </c>
      <c r="E3534" s="2" t="s">
        <v>1782</v>
      </c>
      <c r="F3534" s="2" t="s">
        <v>16535</v>
      </c>
      <c r="G3534" s="2" t="str">
        <f>"SR-4994"</f>
        <v>SR-4994</v>
      </c>
      <c r="H3534" s="2" t="s">
        <v>16536</v>
      </c>
    </row>
    <row r="3535" ht="15.75" customHeight="1">
      <c r="A3535" s="2">
        <v>2015.0</v>
      </c>
      <c r="B3535" s="2" t="s">
        <v>16537</v>
      </c>
      <c r="C3535" s="2" t="s">
        <v>16537</v>
      </c>
      <c r="D3535" s="2" t="str">
        <f>"717-681-5558"</f>
        <v>717-681-5558</v>
      </c>
      <c r="E3535" s="2" t="s">
        <v>261</v>
      </c>
      <c r="F3535" s="2" t="s">
        <v>16538</v>
      </c>
      <c r="G3535" s="2" t="str">
        <f>"SR-4950"</f>
        <v>SR-4950</v>
      </c>
      <c r="H3535" s="2" t="s">
        <v>16539</v>
      </c>
      <c r="I3535" s="2" t="s">
        <v>16540</v>
      </c>
      <c r="K3535" s="2" t="s">
        <v>16541</v>
      </c>
      <c r="L3535" s="2" t="s">
        <v>179</v>
      </c>
      <c r="M3535" s="2">
        <v>17403.0</v>
      </c>
      <c r="N3535" s="2" t="s">
        <v>21</v>
      </c>
    </row>
    <row r="3536" ht="15.75" customHeight="1">
      <c r="A3536" s="2">
        <v>2015.0</v>
      </c>
      <c r="B3536" s="2" t="s">
        <v>16542</v>
      </c>
      <c r="C3536" s="2" t="s">
        <v>16542</v>
      </c>
      <c r="D3536" s="2" t="str">
        <f>"7066696041"</f>
        <v>7066696041</v>
      </c>
      <c r="E3536" s="2" t="s">
        <v>1032</v>
      </c>
      <c r="F3536" s="2" t="s">
        <v>2174</v>
      </c>
      <c r="G3536" s="2" t="str">
        <f>"SR-5006"</f>
        <v>SR-5006</v>
      </c>
      <c r="H3536" s="2" t="s">
        <v>16543</v>
      </c>
      <c r="I3536" s="2" t="s">
        <v>16544</v>
      </c>
      <c r="J3536" s="2" t="s">
        <v>16545</v>
      </c>
      <c r="K3536" s="2" t="s">
        <v>8769</v>
      </c>
      <c r="L3536" s="2" t="s">
        <v>200</v>
      </c>
      <c r="M3536" s="2">
        <v>30143.0</v>
      </c>
      <c r="N3536" s="2" t="s">
        <v>21</v>
      </c>
    </row>
    <row r="3537" ht="15.75" customHeight="1">
      <c r="A3537" s="2">
        <v>2015.0</v>
      </c>
      <c r="B3537" s="2" t="s">
        <v>15918</v>
      </c>
      <c r="D3537" s="2" t="str">
        <f>""</f>
        <v/>
      </c>
      <c r="E3537" s="2" t="s">
        <v>15919</v>
      </c>
      <c r="F3537" s="2" t="s">
        <v>8565</v>
      </c>
      <c r="G3537" s="2" t="str">
        <f>"SR-4670"</f>
        <v>SR-4670</v>
      </c>
      <c r="H3537" s="2" t="s">
        <v>15920</v>
      </c>
      <c r="N3537" s="2" t="s">
        <v>21</v>
      </c>
    </row>
    <row r="3538" ht="15.75" customHeight="1">
      <c r="A3538" s="2">
        <v>2015.0</v>
      </c>
      <c r="B3538" s="2" t="s">
        <v>14455</v>
      </c>
      <c r="C3538" s="2" t="s">
        <v>14461</v>
      </c>
      <c r="D3538" s="2" t="str">
        <f>"925-567-7201"</f>
        <v>925-567-7201</v>
      </c>
      <c r="E3538" s="2" t="s">
        <v>2891</v>
      </c>
      <c r="F3538" s="2" t="s">
        <v>14462</v>
      </c>
      <c r="G3538" s="2" t="str">
        <f>"SR-4187"</f>
        <v>SR-4187</v>
      </c>
      <c r="H3538" s="2" t="s">
        <v>14463</v>
      </c>
      <c r="I3538" s="2" t="s">
        <v>14464</v>
      </c>
      <c r="K3538" s="2" t="s">
        <v>9721</v>
      </c>
      <c r="L3538" s="2" t="s">
        <v>222</v>
      </c>
      <c r="M3538" s="2">
        <v>94550.0</v>
      </c>
      <c r="N3538" s="2" t="s">
        <v>21</v>
      </c>
    </row>
    <row r="3539" ht="15.75" customHeight="1">
      <c r="A3539" s="2">
        <v>2015.0</v>
      </c>
      <c r="B3539" s="2" t="s">
        <v>14455</v>
      </c>
      <c r="C3539" s="2" t="s">
        <v>14456</v>
      </c>
      <c r="D3539" s="2" t="str">
        <f>"925-337-6942"</f>
        <v>925-337-6942</v>
      </c>
      <c r="E3539" s="2" t="s">
        <v>4782</v>
      </c>
      <c r="F3539" s="2" t="s">
        <v>14457</v>
      </c>
      <c r="G3539" s="2" t="str">
        <f>"SR-4182"</f>
        <v>SR-4182</v>
      </c>
      <c r="H3539" s="2" t="s">
        <v>14458</v>
      </c>
      <c r="I3539" s="2" t="s">
        <v>14459</v>
      </c>
      <c r="J3539" s="2" t="s">
        <v>14460</v>
      </c>
      <c r="K3539" s="2" t="s">
        <v>9721</v>
      </c>
      <c r="L3539" s="2" t="s">
        <v>222</v>
      </c>
      <c r="M3539" s="2">
        <v>94550.0</v>
      </c>
      <c r="N3539" s="2" t="s">
        <v>21</v>
      </c>
    </row>
    <row r="3540" ht="15.75" customHeight="1">
      <c r="A3540" s="2">
        <v>2015.0</v>
      </c>
      <c r="B3540" s="2" t="s">
        <v>16546</v>
      </c>
      <c r="C3540" s="2" t="s">
        <v>16546</v>
      </c>
      <c r="D3540" s="2" t="str">
        <f>"804-740-2480"</f>
        <v>804-740-2480</v>
      </c>
      <c r="E3540" s="2" t="s">
        <v>282</v>
      </c>
      <c r="F3540" s="2" t="s">
        <v>13216</v>
      </c>
      <c r="G3540" s="2" t="str">
        <f>"SR-4992"</f>
        <v>SR-4992</v>
      </c>
      <c r="H3540" s="2" t="s">
        <v>16547</v>
      </c>
      <c r="I3540" s="2" t="s">
        <v>16548</v>
      </c>
      <c r="K3540" s="2" t="s">
        <v>688</v>
      </c>
      <c r="L3540" s="2" t="s">
        <v>165</v>
      </c>
      <c r="M3540" s="2">
        <v>23238.0</v>
      </c>
      <c r="N3540" s="2" t="s">
        <v>21</v>
      </c>
    </row>
    <row r="3541" ht="15.75" customHeight="1">
      <c r="A3541" s="2">
        <v>2015.0</v>
      </c>
      <c r="B3541" s="2" t="s">
        <v>16549</v>
      </c>
      <c r="C3541" s="2" t="s">
        <v>16549</v>
      </c>
      <c r="D3541" s="2" t="str">
        <f>"6052908549"</f>
        <v>6052908549</v>
      </c>
      <c r="E3541" s="2" t="s">
        <v>2412</v>
      </c>
      <c r="F3541" s="2" t="s">
        <v>457</v>
      </c>
      <c r="G3541" s="2" t="str">
        <f>"SR-4851"</f>
        <v>SR-4851</v>
      </c>
      <c r="H3541" s="2" t="s">
        <v>16550</v>
      </c>
      <c r="I3541" s="2" t="s">
        <v>16551</v>
      </c>
      <c r="K3541" s="2" t="s">
        <v>16552</v>
      </c>
      <c r="L3541" s="2" t="s">
        <v>920</v>
      </c>
      <c r="M3541" s="2">
        <v>57401.0</v>
      </c>
      <c r="N3541" s="2" t="s">
        <v>21</v>
      </c>
    </row>
    <row r="3542" ht="15.75" customHeight="1">
      <c r="A3542" s="2">
        <v>2015.0</v>
      </c>
      <c r="B3542" s="2" t="s">
        <v>16553</v>
      </c>
      <c r="C3542" s="2" t="s">
        <v>16554</v>
      </c>
      <c r="D3542" s="2" t="str">
        <f>"573-543-2931"</f>
        <v>573-543-2931</v>
      </c>
      <c r="E3542" s="2" t="s">
        <v>7492</v>
      </c>
      <c r="F3542" s="2" t="s">
        <v>16555</v>
      </c>
      <c r="G3542" s="2" t="str">
        <f>"SR-5019"</f>
        <v>SR-5019</v>
      </c>
      <c r="H3542" s="2" t="s">
        <v>16556</v>
      </c>
      <c r="I3542" s="2" t="s">
        <v>16557</v>
      </c>
      <c r="K3542" s="2" t="s">
        <v>16558</v>
      </c>
      <c r="L3542" s="2" t="s">
        <v>214</v>
      </c>
      <c r="M3542" s="2">
        <v>63673.0</v>
      </c>
      <c r="N3542" s="2" t="s">
        <v>21</v>
      </c>
    </row>
    <row r="3543" ht="15.75" customHeight="1">
      <c r="A3543" s="2">
        <v>2015.0</v>
      </c>
      <c r="B3543" s="2" t="s">
        <v>1896</v>
      </c>
      <c r="C3543" s="2" t="s">
        <v>1897</v>
      </c>
      <c r="D3543" s="2" t="str">
        <f>"6627695111"</f>
        <v>6627695111</v>
      </c>
      <c r="E3543" s="2" t="s">
        <v>678</v>
      </c>
      <c r="F3543" s="2" t="s">
        <v>1898</v>
      </c>
      <c r="G3543" s="2" t="str">
        <f>"SR-246"</f>
        <v>SR-246</v>
      </c>
      <c r="H3543" s="2" t="s">
        <v>1899</v>
      </c>
      <c r="I3543" s="2" t="s">
        <v>1900</v>
      </c>
      <c r="K3543" s="2" t="s">
        <v>1901</v>
      </c>
      <c r="L3543" s="2" t="s">
        <v>1722</v>
      </c>
      <c r="M3543" s="2">
        <v>39759.0</v>
      </c>
      <c r="N3543" s="2" t="s">
        <v>21</v>
      </c>
    </row>
    <row r="3544" ht="15.75" customHeight="1">
      <c r="A3544" s="2">
        <v>2015.0</v>
      </c>
      <c r="B3544" s="2" t="s">
        <v>16559</v>
      </c>
      <c r="C3544" s="2" t="s">
        <v>16560</v>
      </c>
      <c r="D3544" s="2" t="str">
        <f>"832.497.7950"</f>
        <v>832.497.7950</v>
      </c>
      <c r="E3544" s="2" t="s">
        <v>448</v>
      </c>
      <c r="F3544" s="2" t="s">
        <v>16561</v>
      </c>
      <c r="G3544" s="2" t="str">
        <f>"SR-5024"</f>
        <v>SR-5024</v>
      </c>
      <c r="H3544" s="2" t="s">
        <v>16562</v>
      </c>
      <c r="I3544" s="2" t="s">
        <v>16563</v>
      </c>
      <c r="K3544" s="2" t="s">
        <v>12522</v>
      </c>
      <c r="L3544" s="2" t="s">
        <v>172</v>
      </c>
      <c r="M3544" s="2">
        <v>77433.0</v>
      </c>
      <c r="N3544" s="2" t="s">
        <v>21</v>
      </c>
    </row>
    <row r="3545" ht="15.75" customHeight="1">
      <c r="A3545" s="2">
        <v>2015.0</v>
      </c>
      <c r="B3545" s="2" t="s">
        <v>16564</v>
      </c>
      <c r="C3545" s="2" t="s">
        <v>16564</v>
      </c>
      <c r="D3545" s="2" t="str">
        <f>"9184865851"</f>
        <v>9184865851</v>
      </c>
      <c r="E3545" s="2" t="s">
        <v>1974</v>
      </c>
      <c r="F3545" s="2" t="s">
        <v>5414</v>
      </c>
      <c r="G3545" s="2" t="str">
        <f>"SR-5025"</f>
        <v>SR-5025</v>
      </c>
      <c r="H3545" s="2" t="s">
        <v>16565</v>
      </c>
      <c r="I3545" s="2" t="s">
        <v>5416</v>
      </c>
      <c r="K3545" s="2" t="s">
        <v>5417</v>
      </c>
      <c r="L3545" s="2" t="s">
        <v>840</v>
      </c>
      <c r="M3545" s="2">
        <v>74429.0</v>
      </c>
      <c r="N3545" s="2" t="s">
        <v>21</v>
      </c>
    </row>
    <row r="3546" ht="15.75" customHeight="1">
      <c r="A3546" s="2">
        <v>2015.0</v>
      </c>
      <c r="B3546" s="2" t="s">
        <v>16566</v>
      </c>
      <c r="C3546" s="2" t="s">
        <v>16566</v>
      </c>
      <c r="D3546" s="2" t="str">
        <f>"828-409-4449"</f>
        <v>828-409-4449</v>
      </c>
      <c r="E3546" s="2" t="s">
        <v>15</v>
      </c>
      <c r="F3546" s="2" t="s">
        <v>6321</v>
      </c>
      <c r="G3546" s="2" t="str">
        <f>"SR-5027"</f>
        <v>SR-5027</v>
      </c>
      <c r="H3546" s="2" t="s">
        <v>6322</v>
      </c>
      <c r="I3546" s="2" t="s">
        <v>6327</v>
      </c>
      <c r="K3546" s="2" t="s">
        <v>821</v>
      </c>
      <c r="L3546" s="2" t="s">
        <v>20</v>
      </c>
      <c r="M3546" s="2">
        <v>28601.0</v>
      </c>
      <c r="N3546" s="2" t="s">
        <v>21</v>
      </c>
    </row>
    <row r="3547" ht="15.75" customHeight="1">
      <c r="A3547" s="2">
        <v>2015.0</v>
      </c>
      <c r="B3547" s="2" t="s">
        <v>16567</v>
      </c>
      <c r="C3547" s="2" t="s">
        <v>16568</v>
      </c>
      <c r="D3547" s="2" t="str">
        <f t="shared" ref="D3547:D3548" si="63">"3869568076"</f>
        <v>3869568076</v>
      </c>
      <c r="E3547" s="2" t="s">
        <v>1263</v>
      </c>
      <c r="F3547" s="2" t="s">
        <v>6030</v>
      </c>
      <c r="G3547" s="2" t="str">
        <f>"SR-4973"</f>
        <v>SR-4973</v>
      </c>
      <c r="H3547" s="2" t="s">
        <v>16569</v>
      </c>
      <c r="I3547" s="2" t="s">
        <v>16570</v>
      </c>
      <c r="K3547" s="2" t="s">
        <v>16571</v>
      </c>
      <c r="L3547" s="2" t="s">
        <v>208</v>
      </c>
      <c r="M3547" s="2">
        <v>32725.0</v>
      </c>
      <c r="N3547" s="2" t="s">
        <v>21</v>
      </c>
    </row>
    <row r="3548" ht="15.75" customHeight="1">
      <c r="A3548" s="2">
        <v>2015.0</v>
      </c>
      <c r="B3548" s="2" t="s">
        <v>16567</v>
      </c>
      <c r="C3548" s="2" t="s">
        <v>16572</v>
      </c>
      <c r="D3548" s="2" t="str">
        <f t="shared" si="63"/>
        <v>3869568076</v>
      </c>
      <c r="E3548" s="2" t="s">
        <v>1810</v>
      </c>
      <c r="F3548" s="2" t="s">
        <v>6030</v>
      </c>
      <c r="G3548" s="2" t="str">
        <f>"SR-5031"</f>
        <v>SR-5031</v>
      </c>
      <c r="H3548" s="2" t="s">
        <v>16573</v>
      </c>
      <c r="I3548" s="2" t="s">
        <v>16574</v>
      </c>
      <c r="K3548" s="2" t="s">
        <v>16571</v>
      </c>
      <c r="L3548" s="2" t="s">
        <v>208</v>
      </c>
      <c r="M3548" s="2">
        <v>32725.0</v>
      </c>
      <c r="N3548" s="2" t="s">
        <v>21</v>
      </c>
    </row>
    <row r="3549" ht="15.75" customHeight="1">
      <c r="A3549" s="2">
        <v>2015.0</v>
      </c>
      <c r="B3549" s="2" t="s">
        <v>16575</v>
      </c>
      <c r="C3549" s="2" t="s">
        <v>16575</v>
      </c>
      <c r="D3549" s="2" t="str">
        <f>"303-805-9367"</f>
        <v>303-805-9367</v>
      </c>
      <c r="E3549" s="2" t="s">
        <v>1311</v>
      </c>
      <c r="F3549" s="2" t="s">
        <v>16576</v>
      </c>
      <c r="G3549" s="2" t="str">
        <f>"SR-4937"</f>
        <v>SR-4937</v>
      </c>
      <c r="H3549" s="2" t="s">
        <v>16577</v>
      </c>
      <c r="I3549" s="2" t="s">
        <v>16578</v>
      </c>
      <c r="K3549" s="2" t="s">
        <v>1054</v>
      </c>
      <c r="L3549" s="2" t="s">
        <v>157</v>
      </c>
      <c r="M3549" s="2">
        <v>80138.0</v>
      </c>
      <c r="N3549" s="2" t="s">
        <v>21</v>
      </c>
    </row>
    <row r="3550" ht="15.75" customHeight="1">
      <c r="A3550" s="2">
        <v>2015.0</v>
      </c>
      <c r="B3550" s="2" t="s">
        <v>16579</v>
      </c>
      <c r="C3550" s="2" t="s">
        <v>16580</v>
      </c>
      <c r="D3550" s="2" t="str">
        <f>"9529140736"</f>
        <v>9529140736</v>
      </c>
      <c r="E3550" s="2" t="s">
        <v>5632</v>
      </c>
      <c r="F3550" s="2" t="s">
        <v>16581</v>
      </c>
      <c r="G3550" s="2" t="str">
        <f>"SR-5042"</f>
        <v>SR-5042</v>
      </c>
      <c r="H3550" s="2" t="s">
        <v>16582</v>
      </c>
      <c r="I3550" s="2">
        <v>8727.0</v>
      </c>
      <c r="J3550" s="2" t="s">
        <v>16583</v>
      </c>
      <c r="K3550" s="2" t="s">
        <v>1019</v>
      </c>
      <c r="L3550" s="2" t="s">
        <v>62</v>
      </c>
      <c r="M3550" s="2">
        <v>55438.0</v>
      </c>
      <c r="N3550" s="2" t="s">
        <v>21</v>
      </c>
    </row>
    <row r="3551" ht="15.75" customHeight="1">
      <c r="A3551" s="2">
        <v>2015.0</v>
      </c>
      <c r="B3551" s="2" t="s">
        <v>16584</v>
      </c>
      <c r="C3551" s="2" t="s">
        <v>16585</v>
      </c>
      <c r="D3551" s="2" t="str">
        <f>"9528205340"</f>
        <v>9528205340</v>
      </c>
      <c r="E3551" s="2" t="s">
        <v>5548</v>
      </c>
      <c r="F3551" s="2" t="s">
        <v>8102</v>
      </c>
      <c r="G3551" s="2" t="str">
        <f>"SR-5041"</f>
        <v>SR-5041</v>
      </c>
      <c r="H3551" s="2" t="s">
        <v>16586</v>
      </c>
      <c r="I3551" s="2" t="s">
        <v>16587</v>
      </c>
      <c r="K3551" s="2" t="s">
        <v>10147</v>
      </c>
      <c r="L3551" s="2" t="s">
        <v>62</v>
      </c>
      <c r="M3551" s="2">
        <v>55088.0</v>
      </c>
      <c r="N3551" s="2" t="s">
        <v>21</v>
      </c>
    </row>
    <row r="3552" ht="15.75" customHeight="1">
      <c r="A3552" s="2">
        <v>2015.0</v>
      </c>
      <c r="B3552" s="2" t="s">
        <v>16588</v>
      </c>
      <c r="C3552" s="2" t="s">
        <v>16589</v>
      </c>
      <c r="D3552" s="2" t="str">
        <f>"626-446-5512"</f>
        <v>626-446-5512</v>
      </c>
      <c r="E3552" s="2" t="s">
        <v>453</v>
      </c>
      <c r="F3552" s="2" t="s">
        <v>16590</v>
      </c>
      <c r="G3552" s="2" t="str">
        <f>"SR-5012"</f>
        <v>SR-5012</v>
      </c>
      <c r="H3552" s="2" t="s">
        <v>16591</v>
      </c>
      <c r="I3552" s="2" t="s">
        <v>16592</v>
      </c>
      <c r="K3552" s="2" t="s">
        <v>8558</v>
      </c>
      <c r="L3552" s="2" t="s">
        <v>222</v>
      </c>
      <c r="M3552" s="2">
        <v>91007.0</v>
      </c>
      <c r="N3552" s="2" t="s">
        <v>21</v>
      </c>
    </row>
    <row r="3553" ht="15.75" customHeight="1">
      <c r="A3553" s="2">
        <v>2015.0</v>
      </c>
      <c r="B3553" s="2" t="s">
        <v>1212</v>
      </c>
      <c r="C3553" s="2" t="s">
        <v>1213</v>
      </c>
      <c r="D3553" s="2" t="str">
        <f>"316-516-3858"</f>
        <v>316-516-3858</v>
      </c>
      <c r="E3553" s="2" t="s">
        <v>651</v>
      </c>
      <c r="F3553" s="2" t="s">
        <v>1214</v>
      </c>
      <c r="G3553" s="2" t="str">
        <f>"SR-475"</f>
        <v>SR-475</v>
      </c>
      <c r="H3553" s="2" t="s">
        <v>1215</v>
      </c>
      <c r="I3553" s="2" t="s">
        <v>1216</v>
      </c>
      <c r="K3553" s="2" t="s">
        <v>1217</v>
      </c>
      <c r="L3553" s="2" t="s">
        <v>272</v>
      </c>
      <c r="M3553" s="2">
        <v>67154.0</v>
      </c>
      <c r="N3553" s="2" t="s">
        <v>21</v>
      </c>
    </row>
    <row r="3554" ht="15.75" customHeight="1">
      <c r="A3554" s="2">
        <v>2015.0</v>
      </c>
      <c r="B3554" s="2" t="s">
        <v>16593</v>
      </c>
      <c r="C3554" s="2" t="s">
        <v>16593</v>
      </c>
      <c r="D3554" s="2" t="str">
        <f>"8598357197"</f>
        <v>8598357197</v>
      </c>
      <c r="E3554" s="2" t="s">
        <v>938</v>
      </c>
      <c r="F3554" s="2" t="s">
        <v>16594</v>
      </c>
      <c r="G3554" s="2" t="str">
        <f>"SR-4871"</f>
        <v>SR-4871</v>
      </c>
      <c r="H3554" s="2" t="s">
        <v>16595</v>
      </c>
      <c r="I3554" s="2" t="s">
        <v>16596</v>
      </c>
      <c r="K3554" s="2" t="s">
        <v>16597</v>
      </c>
      <c r="L3554" s="2" t="s">
        <v>1236</v>
      </c>
      <c r="M3554" s="2">
        <v>41017.0</v>
      </c>
      <c r="N3554" s="2" t="s">
        <v>21</v>
      </c>
    </row>
    <row r="3555" ht="15.75" customHeight="1">
      <c r="A3555" s="2">
        <v>2015.0</v>
      </c>
      <c r="B3555" s="2" t="s">
        <v>12532</v>
      </c>
      <c r="C3555" s="2" t="s">
        <v>16598</v>
      </c>
      <c r="D3555" s="2" t="str">
        <f>"281-507-9583"</f>
        <v>281-507-9583</v>
      </c>
      <c r="E3555" s="2" t="s">
        <v>339</v>
      </c>
      <c r="F3555" s="2" t="s">
        <v>4347</v>
      </c>
      <c r="G3555" s="2" t="str">
        <f>"SR-5061"</f>
        <v>SR-5061</v>
      </c>
      <c r="H3555" s="2" t="s">
        <v>16599</v>
      </c>
      <c r="I3555" s="2" t="s">
        <v>12534</v>
      </c>
      <c r="K3555" s="2" t="s">
        <v>4350</v>
      </c>
      <c r="L3555" s="2" t="s">
        <v>172</v>
      </c>
      <c r="M3555" s="2">
        <v>77377.0</v>
      </c>
      <c r="N3555" s="2" t="s">
        <v>21</v>
      </c>
    </row>
    <row r="3556" ht="15.75" customHeight="1">
      <c r="A3556" s="2">
        <v>2015.0</v>
      </c>
      <c r="B3556" s="2" t="s">
        <v>16600</v>
      </c>
      <c r="C3556" s="2" t="s">
        <v>16601</v>
      </c>
      <c r="D3556" s="2" t="str">
        <f>"952-997-6254"</f>
        <v>952-997-6254</v>
      </c>
      <c r="E3556" s="2" t="s">
        <v>12590</v>
      </c>
      <c r="F3556" s="2" t="s">
        <v>1473</v>
      </c>
      <c r="G3556" s="2" t="str">
        <f>"SR-5039"</f>
        <v>SR-5039</v>
      </c>
      <c r="H3556" s="2" t="s">
        <v>16602</v>
      </c>
      <c r="I3556" s="2" t="s">
        <v>16603</v>
      </c>
      <c r="K3556" s="2" t="s">
        <v>1019</v>
      </c>
      <c r="L3556" s="2" t="s">
        <v>62</v>
      </c>
      <c r="M3556" s="2">
        <v>55438.0</v>
      </c>
      <c r="N3556" s="2" t="s">
        <v>21</v>
      </c>
    </row>
    <row r="3557" ht="15.75" customHeight="1">
      <c r="A3557" s="2">
        <v>2015.0</v>
      </c>
      <c r="B3557" s="2" t="s">
        <v>16604</v>
      </c>
      <c r="C3557" s="2" t="s">
        <v>16605</v>
      </c>
      <c r="D3557" s="2" t="str">
        <f>"734-846-7599"</f>
        <v>734-846-7599</v>
      </c>
      <c r="E3557" s="2" t="s">
        <v>4637</v>
      </c>
      <c r="F3557" s="2" t="s">
        <v>16606</v>
      </c>
      <c r="G3557" s="2" t="str">
        <f>"SR-4984"</f>
        <v>SR-4984</v>
      </c>
      <c r="H3557" s="2" t="s">
        <v>16607</v>
      </c>
      <c r="I3557" s="2" t="s">
        <v>16608</v>
      </c>
      <c r="K3557" s="2" t="s">
        <v>3141</v>
      </c>
      <c r="L3557" s="2" t="s">
        <v>29</v>
      </c>
      <c r="M3557" s="2">
        <v>48381.0</v>
      </c>
      <c r="N3557" s="2" t="s">
        <v>21</v>
      </c>
    </row>
    <row r="3558" ht="15.75" customHeight="1">
      <c r="A3558" s="2">
        <v>2015.0</v>
      </c>
      <c r="B3558" s="2" t="s">
        <v>16609</v>
      </c>
      <c r="C3558" s="2" t="s">
        <v>16609</v>
      </c>
      <c r="D3558" s="2" t="str">
        <f>"4103266829"</f>
        <v>4103266829</v>
      </c>
      <c r="E3558" s="2" t="s">
        <v>301</v>
      </c>
      <c r="F3558" s="2" t="s">
        <v>16610</v>
      </c>
      <c r="G3558" s="2" t="str">
        <f>"SR-4972"</f>
        <v>SR-4972</v>
      </c>
      <c r="H3558" s="2" t="s">
        <v>16611</v>
      </c>
      <c r="I3558" s="2" t="s">
        <v>16612</v>
      </c>
      <c r="K3558" s="2" t="s">
        <v>16613</v>
      </c>
      <c r="L3558" s="2" t="s">
        <v>1868</v>
      </c>
      <c r="M3558" s="2">
        <v>20657.0</v>
      </c>
      <c r="N3558" s="2" t="s">
        <v>21</v>
      </c>
    </row>
    <row r="3559" ht="15.75" customHeight="1">
      <c r="A3559" s="2">
        <v>2015.0</v>
      </c>
      <c r="B3559" s="2" t="s">
        <v>16614</v>
      </c>
      <c r="C3559" s="2" t="s">
        <v>16614</v>
      </c>
      <c r="D3559" s="2" t="str">
        <f>"6623126906"</f>
        <v>6623126906</v>
      </c>
      <c r="E3559" s="2" t="s">
        <v>16615</v>
      </c>
      <c r="F3559" s="2" t="s">
        <v>16616</v>
      </c>
      <c r="G3559" s="2" t="str">
        <f>"SR-5005"</f>
        <v>SR-5005</v>
      </c>
      <c r="H3559" s="2" t="s">
        <v>16617</v>
      </c>
      <c r="I3559" s="2" t="s">
        <v>16618</v>
      </c>
      <c r="K3559" s="2" t="s">
        <v>2421</v>
      </c>
      <c r="L3559" s="2" t="s">
        <v>1722</v>
      </c>
      <c r="M3559" s="2">
        <v>39705.0</v>
      </c>
      <c r="N3559" s="2" t="s">
        <v>21</v>
      </c>
    </row>
    <row r="3560" ht="15.75" customHeight="1">
      <c r="A3560" s="2">
        <v>2015.0</v>
      </c>
      <c r="B3560" s="2" t="s">
        <v>16619</v>
      </c>
      <c r="C3560" s="2" t="s">
        <v>16620</v>
      </c>
      <c r="D3560" s="2" t="str">
        <f>"6123234056"</f>
        <v>6123234056</v>
      </c>
      <c r="E3560" s="2" t="s">
        <v>2314</v>
      </c>
      <c r="F3560" s="2" t="s">
        <v>16621</v>
      </c>
      <c r="G3560" s="2" t="str">
        <f>"SR-5069"</f>
        <v>SR-5069</v>
      </c>
      <c r="H3560" s="2" t="s">
        <v>16622</v>
      </c>
      <c r="I3560" s="2" t="s">
        <v>16623</v>
      </c>
      <c r="K3560" s="2" t="s">
        <v>16624</v>
      </c>
      <c r="L3560" s="2" t="s">
        <v>62</v>
      </c>
      <c r="M3560" s="2">
        <v>55112.0</v>
      </c>
      <c r="N3560" s="2" t="s">
        <v>21</v>
      </c>
    </row>
    <row r="3561" ht="15.75" customHeight="1">
      <c r="A3561" s="2">
        <v>2015.0</v>
      </c>
      <c r="B3561" s="2" t="s">
        <v>16625</v>
      </c>
      <c r="C3561" s="2" t="s">
        <v>16626</v>
      </c>
      <c r="D3561" s="2" t="str">
        <f>"612.490.2347"</f>
        <v>612.490.2347</v>
      </c>
      <c r="E3561" s="2" t="s">
        <v>465</v>
      </c>
      <c r="F3561" s="2" t="s">
        <v>16627</v>
      </c>
      <c r="G3561" s="2" t="str">
        <f>"SR-5040"</f>
        <v>SR-5040</v>
      </c>
      <c r="H3561" s="2" t="s">
        <v>16628</v>
      </c>
      <c r="I3561" s="2" t="s">
        <v>16629</v>
      </c>
      <c r="K3561" s="2" t="s">
        <v>1019</v>
      </c>
      <c r="L3561" s="2" t="s">
        <v>62</v>
      </c>
      <c r="M3561" s="2">
        <v>55425.0</v>
      </c>
      <c r="N3561" s="2" t="s">
        <v>21</v>
      </c>
    </row>
    <row r="3562" ht="15.75" customHeight="1">
      <c r="A3562" s="2">
        <v>2015.0</v>
      </c>
      <c r="B3562" s="2" t="s">
        <v>16630</v>
      </c>
      <c r="C3562" s="2" t="s">
        <v>16630</v>
      </c>
      <c r="D3562" s="2" t="str">
        <f>"(804) 335-4548"</f>
        <v>(804) 335-4548</v>
      </c>
      <c r="E3562" s="2" t="s">
        <v>4584</v>
      </c>
      <c r="F3562" s="2" t="s">
        <v>16631</v>
      </c>
      <c r="G3562" s="2" t="str">
        <f>"SR-5021"</f>
        <v>SR-5021</v>
      </c>
      <c r="H3562" s="2" t="s">
        <v>16632</v>
      </c>
      <c r="I3562" s="2" t="s">
        <v>16633</v>
      </c>
      <c r="K3562" s="2" t="s">
        <v>8122</v>
      </c>
      <c r="L3562" s="2" t="s">
        <v>165</v>
      </c>
      <c r="M3562" s="2">
        <v>23838.0</v>
      </c>
      <c r="N3562" s="2" t="s">
        <v>21</v>
      </c>
    </row>
    <row r="3563" ht="15.75" customHeight="1">
      <c r="A3563" s="2">
        <v>2015.0</v>
      </c>
      <c r="B3563" s="2" t="s">
        <v>2959</v>
      </c>
      <c r="C3563" s="2" t="s">
        <v>16634</v>
      </c>
      <c r="D3563" s="2" t="str">
        <f>"205-657-9841"</f>
        <v>205-657-9841</v>
      </c>
      <c r="E3563" s="2" t="s">
        <v>1928</v>
      </c>
      <c r="F3563" s="2" t="s">
        <v>2725</v>
      </c>
      <c r="G3563" s="2" t="str">
        <f>"SR-5064"</f>
        <v>SR-5064</v>
      </c>
      <c r="H3563" s="2" t="s">
        <v>16635</v>
      </c>
      <c r="I3563" s="2" t="s">
        <v>16636</v>
      </c>
      <c r="K3563" s="2" t="s">
        <v>2963</v>
      </c>
      <c r="L3563" s="2" t="s">
        <v>539</v>
      </c>
      <c r="M3563" s="2">
        <v>35466.0</v>
      </c>
      <c r="N3563" s="2" t="s">
        <v>21</v>
      </c>
    </row>
    <row r="3564" ht="15.75" customHeight="1">
      <c r="A3564" s="2">
        <v>2015.0</v>
      </c>
      <c r="B3564" s="2" t="s">
        <v>16637</v>
      </c>
      <c r="C3564" s="2" t="s">
        <v>16638</v>
      </c>
      <c r="D3564" s="2" t="str">
        <f>"818-675-5340"</f>
        <v>818-675-5340</v>
      </c>
      <c r="E3564" s="2" t="s">
        <v>471</v>
      </c>
      <c r="F3564" s="2" t="s">
        <v>16639</v>
      </c>
      <c r="G3564" s="2" t="str">
        <f>"SR-4960"</f>
        <v>SR-4960</v>
      </c>
      <c r="H3564" s="2" t="s">
        <v>16640</v>
      </c>
      <c r="I3564" s="2" t="s">
        <v>16641</v>
      </c>
      <c r="K3564" s="2" t="s">
        <v>16642</v>
      </c>
      <c r="L3564" s="2" t="s">
        <v>222</v>
      </c>
      <c r="M3564" s="2">
        <v>91326.0</v>
      </c>
      <c r="N3564" s="2" t="s">
        <v>21</v>
      </c>
    </row>
    <row r="3565" ht="15.75" customHeight="1">
      <c r="A3565" s="2">
        <v>2015.0</v>
      </c>
      <c r="B3565" s="2" t="s">
        <v>16643</v>
      </c>
      <c r="C3565" s="2" t="s">
        <v>16643</v>
      </c>
      <c r="D3565" s="2" t="str">
        <f>"219-279-2222"</f>
        <v>219-279-2222</v>
      </c>
      <c r="E3565" s="2" t="s">
        <v>16644</v>
      </c>
      <c r="F3565" s="2" t="s">
        <v>4941</v>
      </c>
      <c r="G3565" s="2" t="str">
        <f>"SR-4795"</f>
        <v>SR-4795</v>
      </c>
      <c r="H3565" s="2" t="s">
        <v>16645</v>
      </c>
      <c r="I3565" s="2" t="s">
        <v>16646</v>
      </c>
      <c r="K3565" s="2" t="s">
        <v>16647</v>
      </c>
      <c r="L3565" s="2" t="s">
        <v>149</v>
      </c>
      <c r="M3565" s="2">
        <v>47995.0</v>
      </c>
      <c r="N3565" s="2" t="s">
        <v>21</v>
      </c>
    </row>
    <row r="3566" ht="15.75" customHeight="1">
      <c r="A3566" s="2">
        <v>2015.0</v>
      </c>
      <c r="B3566" s="2" t="s">
        <v>16648</v>
      </c>
      <c r="C3566" s="2" t="s">
        <v>16649</v>
      </c>
      <c r="D3566" s="2" t="str">
        <f>"3036639222"</f>
        <v>3036639222</v>
      </c>
      <c r="E3566" s="2" t="s">
        <v>16650</v>
      </c>
      <c r="F3566" s="2" t="s">
        <v>2350</v>
      </c>
      <c r="G3566" s="2" t="str">
        <f>"SR-5050"</f>
        <v>SR-5050</v>
      </c>
      <c r="H3566" s="2" t="s">
        <v>16651</v>
      </c>
      <c r="I3566" s="2" t="s">
        <v>16652</v>
      </c>
      <c r="K3566" s="2" t="s">
        <v>1398</v>
      </c>
      <c r="L3566" s="2" t="s">
        <v>157</v>
      </c>
      <c r="M3566" s="2">
        <v>80108.0</v>
      </c>
      <c r="N3566" s="2" t="s">
        <v>21</v>
      </c>
    </row>
    <row r="3567" ht="15.75" customHeight="1">
      <c r="A3567" s="2">
        <v>2015.0</v>
      </c>
      <c r="B3567" s="2" t="s">
        <v>16653</v>
      </c>
      <c r="C3567" s="2" t="s">
        <v>16654</v>
      </c>
      <c r="D3567" s="2" t="str">
        <f>"805-807-8842"</f>
        <v>805-807-8842</v>
      </c>
      <c r="E3567" s="2" t="s">
        <v>3743</v>
      </c>
      <c r="F3567" s="2" t="s">
        <v>16655</v>
      </c>
      <c r="G3567" s="2" t="str">
        <f>"SR-4957"</f>
        <v>SR-4957</v>
      </c>
      <c r="H3567" s="2" t="s">
        <v>16656</v>
      </c>
      <c r="I3567" s="2" t="s">
        <v>16657</v>
      </c>
      <c r="K3567" s="2" t="s">
        <v>15077</v>
      </c>
      <c r="L3567" s="2" t="s">
        <v>222</v>
      </c>
      <c r="M3567" s="2">
        <v>91361.0</v>
      </c>
      <c r="N3567" s="2" t="s">
        <v>21</v>
      </c>
    </row>
    <row r="3568" ht="15.75" customHeight="1">
      <c r="A3568" s="2">
        <v>2015.0</v>
      </c>
      <c r="B3568" s="2" t="s">
        <v>11117</v>
      </c>
      <c r="C3568" s="2" t="s">
        <v>11118</v>
      </c>
      <c r="D3568" s="2" t="str">
        <f t="shared" ref="D3568:D3569" si="64">"330-933-1349"</f>
        <v>330-933-1349</v>
      </c>
      <c r="E3568" s="2" t="s">
        <v>11119</v>
      </c>
      <c r="F3568" s="2" t="s">
        <v>11065</v>
      </c>
      <c r="G3568" s="2" t="str">
        <f>"SR-3272"</f>
        <v>SR-3272</v>
      </c>
      <c r="H3568" s="2" t="s">
        <v>11120</v>
      </c>
      <c r="I3568" s="2" t="s">
        <v>11067</v>
      </c>
      <c r="K3568" s="2" t="s">
        <v>11068</v>
      </c>
      <c r="L3568" s="2" t="s">
        <v>344</v>
      </c>
      <c r="M3568" s="2">
        <v>44720.0</v>
      </c>
      <c r="N3568" s="2" t="s">
        <v>21</v>
      </c>
    </row>
    <row r="3569" ht="15.75" customHeight="1">
      <c r="A3569" s="2">
        <v>2015.0</v>
      </c>
      <c r="B3569" s="2" t="s">
        <v>11117</v>
      </c>
      <c r="C3569" s="2" t="s">
        <v>11064</v>
      </c>
      <c r="D3569" s="2" t="str">
        <f t="shared" si="64"/>
        <v>330-933-1349</v>
      </c>
      <c r="E3569" s="2" t="s">
        <v>4129</v>
      </c>
      <c r="F3569" s="2" t="s">
        <v>11065</v>
      </c>
      <c r="G3569" s="2" t="str">
        <f>"SR-5083"</f>
        <v>SR-5083</v>
      </c>
      <c r="H3569" s="2" t="s">
        <v>11066</v>
      </c>
      <c r="I3569" s="2" t="s">
        <v>11067</v>
      </c>
      <c r="K3569" s="2" t="s">
        <v>11068</v>
      </c>
      <c r="L3569" s="2" t="s">
        <v>344</v>
      </c>
      <c r="M3569" s="2">
        <v>44720.0</v>
      </c>
      <c r="N3569" s="2" t="s">
        <v>21</v>
      </c>
    </row>
    <row r="3570" ht="15.75" customHeight="1">
      <c r="A3570" s="2">
        <v>2015.0</v>
      </c>
      <c r="B3570" s="2" t="s">
        <v>16658</v>
      </c>
      <c r="C3570" s="2" t="s">
        <v>16659</v>
      </c>
      <c r="D3570" s="2" t="str">
        <f>"6623128898"</f>
        <v>6623128898</v>
      </c>
      <c r="E3570" s="2" t="s">
        <v>16660</v>
      </c>
      <c r="F3570" s="2" t="s">
        <v>16661</v>
      </c>
      <c r="G3570" s="2" t="str">
        <f>"SR-5084"</f>
        <v>SR-5084</v>
      </c>
      <c r="H3570" s="2" t="s">
        <v>16662</v>
      </c>
      <c r="I3570" s="2" t="s">
        <v>16663</v>
      </c>
      <c r="K3570" s="2" t="s">
        <v>1901</v>
      </c>
      <c r="L3570" s="2" t="s">
        <v>1722</v>
      </c>
      <c r="M3570" s="2">
        <v>39759.0</v>
      </c>
      <c r="N3570" s="2" t="s">
        <v>21</v>
      </c>
    </row>
    <row r="3571" ht="15.75" customHeight="1">
      <c r="A3571" s="2">
        <v>2015.0</v>
      </c>
      <c r="B3571" s="2" t="s">
        <v>6421</v>
      </c>
      <c r="C3571" s="2" t="s">
        <v>16664</v>
      </c>
      <c r="D3571" s="2" t="str">
        <f>"2143418827"</f>
        <v>2143418827</v>
      </c>
      <c r="E3571" s="2" t="s">
        <v>843</v>
      </c>
      <c r="F3571" s="2" t="s">
        <v>457</v>
      </c>
      <c r="G3571" s="2" t="str">
        <f>"SR-2867"</f>
        <v>SR-2867</v>
      </c>
      <c r="H3571" s="2" t="s">
        <v>16665</v>
      </c>
      <c r="I3571" s="2" t="s">
        <v>6424</v>
      </c>
      <c r="K3571" s="2" t="s">
        <v>1255</v>
      </c>
      <c r="L3571" s="2" t="s">
        <v>172</v>
      </c>
      <c r="M3571" s="2">
        <v>75243.0</v>
      </c>
      <c r="N3571" s="2" t="s">
        <v>21</v>
      </c>
    </row>
    <row r="3572" ht="15.75" customHeight="1">
      <c r="A3572" s="2">
        <v>2015.0</v>
      </c>
      <c r="B3572" s="2" t="s">
        <v>16666</v>
      </c>
      <c r="C3572" s="2" t="s">
        <v>16666</v>
      </c>
      <c r="D3572" s="2" t="str">
        <f>"9314840628"</f>
        <v>9314840628</v>
      </c>
      <c r="E3572" s="2" t="s">
        <v>16667</v>
      </c>
      <c r="F3572" s="2" t="s">
        <v>16668</v>
      </c>
      <c r="G3572" s="2" t="str">
        <f>"SR-5085"</f>
        <v>SR-5085</v>
      </c>
      <c r="H3572" s="2" t="s">
        <v>16669</v>
      </c>
      <c r="I3572" s="2">
        <v>2028.0</v>
      </c>
      <c r="K3572" s="2" t="s">
        <v>16670</v>
      </c>
      <c r="L3572" s="2" t="s">
        <v>279</v>
      </c>
      <c r="M3572" s="2">
        <v>38555.0</v>
      </c>
      <c r="N3572" s="2" t="s">
        <v>21</v>
      </c>
    </row>
    <row r="3573" ht="15.75" customHeight="1">
      <c r="A3573" s="2">
        <v>2015.0</v>
      </c>
      <c r="B3573" s="2" t="s">
        <v>12709</v>
      </c>
      <c r="C3573" s="2" t="s">
        <v>12709</v>
      </c>
      <c r="D3573" s="2" t="str">
        <f>"850-656-4715"</f>
        <v>850-656-4715</v>
      </c>
      <c r="E3573" s="2" t="s">
        <v>282</v>
      </c>
      <c r="F3573" s="2" t="s">
        <v>12710</v>
      </c>
      <c r="G3573" s="2" t="str">
        <f>"SR-3706"</f>
        <v>SR-3706</v>
      </c>
      <c r="H3573" s="2" t="s">
        <v>12711</v>
      </c>
      <c r="I3573" s="2" t="s">
        <v>12712</v>
      </c>
      <c r="K3573" s="2" t="s">
        <v>2007</v>
      </c>
      <c r="L3573" s="2" t="s">
        <v>208</v>
      </c>
      <c r="M3573" s="2">
        <v>32311.0</v>
      </c>
      <c r="N3573" s="2" t="s">
        <v>21</v>
      </c>
    </row>
    <row r="3574" ht="15.75" customHeight="1">
      <c r="A3574" s="2">
        <v>2015.0</v>
      </c>
      <c r="B3574" s="2" t="s">
        <v>5604</v>
      </c>
      <c r="C3574" s="2" t="s">
        <v>16671</v>
      </c>
      <c r="D3574" s="2" t="str">
        <f>"919-600-4068"</f>
        <v>919-600-4068</v>
      </c>
      <c r="E3574" s="2" t="s">
        <v>160</v>
      </c>
      <c r="F3574" s="2" t="s">
        <v>3561</v>
      </c>
      <c r="G3574" s="2" t="str">
        <f>"SR-5088"</f>
        <v>SR-5088</v>
      </c>
      <c r="H3574" s="2" t="s">
        <v>16672</v>
      </c>
      <c r="I3574" s="2" t="s">
        <v>5607</v>
      </c>
      <c r="K3574" s="2" t="s">
        <v>13569</v>
      </c>
      <c r="L3574" s="2" t="s">
        <v>20</v>
      </c>
      <c r="M3574" s="2">
        <v>27526.0</v>
      </c>
      <c r="N3574" s="2" t="s">
        <v>21</v>
      </c>
    </row>
    <row r="3575" ht="15.75" customHeight="1">
      <c r="A3575" s="2">
        <v>2015.0</v>
      </c>
      <c r="B3575" s="2" t="s">
        <v>16673</v>
      </c>
      <c r="C3575" s="2" t="s">
        <v>16674</v>
      </c>
      <c r="D3575" s="2" t="str">
        <f>"805705176"</f>
        <v>805705176</v>
      </c>
      <c r="E3575" s="2" t="s">
        <v>16675</v>
      </c>
      <c r="F3575" s="2" t="s">
        <v>16676</v>
      </c>
      <c r="G3575" s="2" t="str">
        <f>"SR-2903"</f>
        <v>SR-2903</v>
      </c>
      <c r="H3575" s="2" t="s">
        <v>16677</v>
      </c>
      <c r="I3575" s="2" t="s">
        <v>16678</v>
      </c>
      <c r="K3575" s="2" t="s">
        <v>16679</v>
      </c>
      <c r="L3575" s="2" t="s">
        <v>222</v>
      </c>
      <c r="M3575" s="2">
        <v>93013.0</v>
      </c>
      <c r="N3575" s="2" t="s">
        <v>21</v>
      </c>
    </row>
    <row r="3576" ht="15.75" customHeight="1">
      <c r="A3576" s="2">
        <v>2015.0</v>
      </c>
      <c r="B3576" s="2" t="s">
        <v>16680</v>
      </c>
      <c r="C3576" s="2" t="s">
        <v>16681</v>
      </c>
      <c r="D3576" s="2" t="str">
        <f t="shared" ref="D3576:D3577" si="65">"3039956332"</f>
        <v>3039956332</v>
      </c>
      <c r="E3576" s="2" t="s">
        <v>4787</v>
      </c>
      <c r="F3576" s="2" t="s">
        <v>16682</v>
      </c>
      <c r="G3576" s="2" t="str">
        <f>"SR-5091"</f>
        <v>SR-5091</v>
      </c>
      <c r="H3576" s="2" t="s">
        <v>16683</v>
      </c>
      <c r="I3576" s="2" t="s">
        <v>16684</v>
      </c>
      <c r="K3576" s="2" t="s">
        <v>682</v>
      </c>
      <c r="L3576" s="2" t="s">
        <v>157</v>
      </c>
      <c r="M3576" s="2">
        <v>80126.0</v>
      </c>
      <c r="N3576" s="2" t="s">
        <v>21</v>
      </c>
    </row>
    <row r="3577" ht="15.75" customHeight="1">
      <c r="A3577" s="2">
        <v>2015.0</v>
      </c>
      <c r="B3577" s="2" t="s">
        <v>16680</v>
      </c>
      <c r="C3577" s="2" t="s">
        <v>16685</v>
      </c>
      <c r="D3577" s="2" t="str">
        <f t="shared" si="65"/>
        <v>3039956332</v>
      </c>
      <c r="E3577" s="2" t="s">
        <v>1918</v>
      </c>
      <c r="F3577" s="2" t="s">
        <v>16682</v>
      </c>
      <c r="G3577" s="2" t="str">
        <f>"SR-5089"</f>
        <v>SR-5089</v>
      </c>
      <c r="H3577" s="2" t="s">
        <v>16686</v>
      </c>
      <c r="I3577" s="2" t="s">
        <v>16684</v>
      </c>
      <c r="K3577" s="2" t="s">
        <v>682</v>
      </c>
      <c r="L3577" s="2" t="s">
        <v>157</v>
      </c>
      <c r="M3577" s="2">
        <v>80126.0</v>
      </c>
      <c r="N3577" s="2" t="s">
        <v>21</v>
      </c>
    </row>
    <row r="3578" ht="15.75" customHeight="1">
      <c r="A3578" s="2">
        <v>2015.0</v>
      </c>
      <c r="B3578" s="2" t="s">
        <v>10679</v>
      </c>
      <c r="C3578" s="2" t="s">
        <v>10680</v>
      </c>
      <c r="D3578" s="2" t="str">
        <f>"706-844-3502"</f>
        <v>706-844-3502</v>
      </c>
      <c r="E3578" s="2" t="s">
        <v>2988</v>
      </c>
      <c r="F3578" s="2" t="s">
        <v>1151</v>
      </c>
      <c r="G3578" s="2" t="str">
        <f>"SR-3057"</f>
        <v>SR-3057</v>
      </c>
      <c r="H3578" s="2" t="s">
        <v>10681</v>
      </c>
      <c r="I3578" s="2" t="s">
        <v>10682</v>
      </c>
      <c r="K3578" s="2" t="s">
        <v>10683</v>
      </c>
      <c r="L3578" s="2" t="s">
        <v>200</v>
      </c>
      <c r="M3578" s="2">
        <v>30339.0</v>
      </c>
      <c r="N3578" s="2" t="s">
        <v>21</v>
      </c>
    </row>
    <row r="3579" ht="15.75" customHeight="1">
      <c r="A3579" s="2">
        <v>2015.0</v>
      </c>
      <c r="B3579" s="2" t="s">
        <v>16687</v>
      </c>
      <c r="C3579" s="2" t="s">
        <v>16688</v>
      </c>
      <c r="D3579" s="2" t="str">
        <f>"3178850161"</f>
        <v>3178850161</v>
      </c>
      <c r="E3579" s="2" t="s">
        <v>16689</v>
      </c>
      <c r="F3579" s="2" t="s">
        <v>9139</v>
      </c>
      <c r="G3579" s="2" t="str">
        <f>"SR-5081"</f>
        <v>SR-5081</v>
      </c>
      <c r="H3579" s="2" t="s">
        <v>16690</v>
      </c>
      <c r="I3579" s="2" t="s">
        <v>16691</v>
      </c>
      <c r="K3579" s="2" t="s">
        <v>2674</v>
      </c>
      <c r="L3579" s="2" t="s">
        <v>149</v>
      </c>
      <c r="M3579" s="2">
        <v>46142.0</v>
      </c>
      <c r="N3579" s="2" t="s">
        <v>21</v>
      </c>
    </row>
    <row r="3580" ht="15.75" customHeight="1">
      <c r="A3580" s="2">
        <v>2015.0</v>
      </c>
      <c r="B3580" s="2" t="s">
        <v>16692</v>
      </c>
      <c r="C3580" s="2" t="s">
        <v>16693</v>
      </c>
      <c r="D3580" s="2" t="str">
        <f>"828-781-6441"</f>
        <v>828-781-6441</v>
      </c>
      <c r="E3580" s="2" t="s">
        <v>15</v>
      </c>
      <c r="F3580" s="2" t="s">
        <v>133</v>
      </c>
      <c r="G3580" s="2" t="str">
        <f>"SR-5056"</f>
        <v>SR-5056</v>
      </c>
      <c r="H3580" s="2" t="s">
        <v>16694</v>
      </c>
      <c r="I3580" s="2" t="s">
        <v>11452</v>
      </c>
      <c r="K3580" s="2" t="s">
        <v>821</v>
      </c>
      <c r="L3580" s="2" t="s">
        <v>20</v>
      </c>
      <c r="M3580" s="2">
        <v>28601.0</v>
      </c>
      <c r="N3580" s="2" t="s">
        <v>21</v>
      </c>
    </row>
    <row r="3581" ht="15.75" customHeight="1">
      <c r="A3581" s="2">
        <v>2015.0</v>
      </c>
      <c r="B3581" s="2" t="s">
        <v>14608</v>
      </c>
      <c r="C3581" s="2" t="s">
        <v>14609</v>
      </c>
      <c r="D3581" s="2" t="str">
        <f>"251-937-1012"</f>
        <v>251-937-1012</v>
      </c>
      <c r="E3581" s="2" t="s">
        <v>15</v>
      </c>
      <c r="F3581" s="2" t="s">
        <v>14610</v>
      </c>
      <c r="G3581" s="2" t="str">
        <f>"SR-3352"</f>
        <v>SR-3352</v>
      </c>
      <c r="H3581" s="2" t="s">
        <v>14611</v>
      </c>
      <c r="I3581" s="2" t="s">
        <v>14612</v>
      </c>
      <c r="K3581" s="2" t="s">
        <v>14613</v>
      </c>
      <c r="L3581" s="2" t="s">
        <v>539</v>
      </c>
      <c r="M3581" s="2">
        <v>36507.0</v>
      </c>
      <c r="N3581" s="2" t="s">
        <v>21</v>
      </c>
    </row>
    <row r="3582" ht="15.75" customHeight="1">
      <c r="A3582" s="2">
        <v>2015.0</v>
      </c>
      <c r="B3582" s="2" t="s">
        <v>16695</v>
      </c>
      <c r="C3582" s="2" t="s">
        <v>16696</v>
      </c>
      <c r="D3582" s="2" t="str">
        <f>"(716)-785-5553"</f>
        <v>(716)-785-5553</v>
      </c>
      <c r="E3582" s="2" t="s">
        <v>16697</v>
      </c>
      <c r="F3582" s="2" t="s">
        <v>138</v>
      </c>
      <c r="G3582" s="2" t="str">
        <f>"SR-5076"</f>
        <v>SR-5076</v>
      </c>
      <c r="H3582" s="2" t="s">
        <v>16698</v>
      </c>
      <c r="I3582" s="2" t="s">
        <v>16699</v>
      </c>
      <c r="K3582" s="2" t="s">
        <v>16700</v>
      </c>
      <c r="L3582" s="2" t="s">
        <v>142</v>
      </c>
      <c r="M3582" s="2">
        <v>14063.0</v>
      </c>
      <c r="N3582" s="2" t="s">
        <v>21</v>
      </c>
    </row>
    <row r="3583" ht="15.75" customHeight="1">
      <c r="A3583" s="2">
        <v>2015.0</v>
      </c>
      <c r="B3583" s="2" t="s">
        <v>16701</v>
      </c>
      <c r="C3583" s="2" t="s">
        <v>16702</v>
      </c>
      <c r="D3583" s="2" t="str">
        <f>"9084056509"</f>
        <v>9084056509</v>
      </c>
      <c r="E3583" s="2" t="s">
        <v>2031</v>
      </c>
      <c r="F3583" s="2" t="s">
        <v>16703</v>
      </c>
      <c r="G3583" s="2" t="str">
        <f>"SR-4903"</f>
        <v>SR-4903</v>
      </c>
      <c r="H3583" s="2" t="s">
        <v>16704</v>
      </c>
      <c r="I3583" s="2">
        <v>1025.0</v>
      </c>
      <c r="K3583" s="2" t="s">
        <v>16705</v>
      </c>
      <c r="L3583" s="2" t="s">
        <v>3618</v>
      </c>
      <c r="M3583" s="2">
        <v>7063.0</v>
      </c>
      <c r="N3583" s="2" t="s">
        <v>21</v>
      </c>
    </row>
    <row r="3584" ht="15.75" customHeight="1">
      <c r="A3584" s="2">
        <v>2015.0</v>
      </c>
      <c r="B3584" s="2" t="s">
        <v>16706</v>
      </c>
      <c r="C3584" s="2" t="s">
        <v>16707</v>
      </c>
      <c r="D3584" s="2" t="str">
        <f>"952-758-2600"</f>
        <v>952-758-2600</v>
      </c>
      <c r="E3584" s="2" t="s">
        <v>584</v>
      </c>
      <c r="F3584" s="2" t="s">
        <v>89</v>
      </c>
      <c r="G3584" s="2" t="str">
        <f>"SR-5035"</f>
        <v>SR-5035</v>
      </c>
      <c r="H3584" s="2" t="s">
        <v>16708</v>
      </c>
      <c r="I3584" s="2" t="s">
        <v>16709</v>
      </c>
      <c r="K3584" s="2" t="s">
        <v>5356</v>
      </c>
      <c r="L3584" s="2" t="s">
        <v>62</v>
      </c>
      <c r="M3584" s="2">
        <v>56071.0</v>
      </c>
      <c r="N3584" s="2" t="s">
        <v>21</v>
      </c>
    </row>
    <row r="3585" ht="15.75" customHeight="1">
      <c r="A3585" s="2">
        <v>2015.0</v>
      </c>
      <c r="B3585" s="2" t="s">
        <v>16710</v>
      </c>
      <c r="C3585" s="2" t="s">
        <v>16710</v>
      </c>
      <c r="D3585" s="2" t="str">
        <f>"9202845636"</f>
        <v>9202845636</v>
      </c>
      <c r="E3585" s="2" t="s">
        <v>1001</v>
      </c>
      <c r="F3585" s="2" t="s">
        <v>94</v>
      </c>
      <c r="G3585" s="2" t="str">
        <f>"SR-4975"</f>
        <v>SR-4975</v>
      </c>
      <c r="H3585" s="2" t="s">
        <v>16711</v>
      </c>
      <c r="I3585" s="2" t="s">
        <v>16712</v>
      </c>
      <c r="K3585" s="2" t="s">
        <v>7667</v>
      </c>
      <c r="L3585" s="2" t="s">
        <v>193</v>
      </c>
      <c r="M3585" s="2">
        <v>54913.0</v>
      </c>
      <c r="N3585" s="2" t="s">
        <v>21</v>
      </c>
    </row>
    <row r="3586" ht="15.75" customHeight="1">
      <c r="A3586" s="2">
        <v>2015.0</v>
      </c>
      <c r="B3586" s="2" t="s">
        <v>16713</v>
      </c>
      <c r="C3586" s="2" t="s">
        <v>16713</v>
      </c>
      <c r="D3586" s="2" t="str">
        <f>"8634477350"</f>
        <v>8634477350</v>
      </c>
      <c r="E3586" s="2" t="s">
        <v>440</v>
      </c>
      <c r="F3586" s="2" t="s">
        <v>16714</v>
      </c>
      <c r="G3586" s="2" t="str">
        <f>"SR-5106"</f>
        <v>SR-5106</v>
      </c>
      <c r="H3586" s="2" t="s">
        <v>16715</v>
      </c>
      <c r="I3586" s="2" t="s">
        <v>16716</v>
      </c>
      <c r="K3586" s="2" t="s">
        <v>16717</v>
      </c>
      <c r="L3586" s="2" t="s">
        <v>208</v>
      </c>
      <c r="M3586" s="2">
        <v>34974.0</v>
      </c>
      <c r="N3586" s="2" t="s">
        <v>21</v>
      </c>
    </row>
    <row r="3587" ht="15.75" customHeight="1">
      <c r="A3587" s="2">
        <v>2015.0</v>
      </c>
      <c r="B3587" s="2" t="s">
        <v>16718</v>
      </c>
      <c r="C3587" s="2" t="s">
        <v>16719</v>
      </c>
      <c r="D3587" s="2" t="str">
        <f>"(716) 432 0710"</f>
        <v>(716) 432 0710</v>
      </c>
      <c r="E3587" s="2" t="s">
        <v>456</v>
      </c>
      <c r="F3587" s="2" t="s">
        <v>138</v>
      </c>
      <c r="G3587" s="2" t="str">
        <f>"SR-5077"</f>
        <v>SR-5077</v>
      </c>
      <c r="H3587" s="2" t="s">
        <v>16720</v>
      </c>
      <c r="I3587" s="2" t="s">
        <v>16721</v>
      </c>
      <c r="K3587" s="2" t="s">
        <v>16722</v>
      </c>
      <c r="L3587" s="2" t="s">
        <v>142</v>
      </c>
      <c r="M3587" s="2">
        <v>14070.0</v>
      </c>
      <c r="N3587" s="2" t="s">
        <v>21</v>
      </c>
    </row>
    <row r="3588" ht="15.75" customHeight="1">
      <c r="A3588" s="2">
        <v>2015.0</v>
      </c>
      <c r="B3588" s="2" t="s">
        <v>16723</v>
      </c>
      <c r="C3588" s="2" t="s">
        <v>16724</v>
      </c>
      <c r="D3588" s="2" t="str">
        <f>"4692477784"</f>
        <v>4692477784</v>
      </c>
      <c r="E3588" s="2" t="s">
        <v>250</v>
      </c>
      <c r="F3588" s="2" t="s">
        <v>16725</v>
      </c>
      <c r="G3588" s="2" t="str">
        <f>"SR-5109"</f>
        <v>SR-5109</v>
      </c>
      <c r="H3588" s="2" t="s">
        <v>16726</v>
      </c>
      <c r="I3588" s="2" t="s">
        <v>16727</v>
      </c>
      <c r="K3588" s="2" t="s">
        <v>3144</v>
      </c>
      <c r="L3588" s="2" t="s">
        <v>172</v>
      </c>
      <c r="M3588" s="2">
        <v>75002.0</v>
      </c>
      <c r="N3588" s="2" t="s">
        <v>21</v>
      </c>
    </row>
    <row r="3589" ht="15.75" customHeight="1">
      <c r="A3589" s="2">
        <v>2015.0</v>
      </c>
      <c r="B3589" s="2" t="s">
        <v>10674</v>
      </c>
      <c r="C3589" s="2" t="s">
        <v>10675</v>
      </c>
      <c r="D3589" s="2" t="str">
        <f>"6123253028"</f>
        <v>6123253028</v>
      </c>
      <c r="E3589" s="2" t="s">
        <v>4322</v>
      </c>
      <c r="F3589" s="2" t="s">
        <v>1169</v>
      </c>
      <c r="G3589" s="2" t="str">
        <f>"SR-3089"</f>
        <v>SR-3089</v>
      </c>
      <c r="H3589" s="2" t="s">
        <v>10676</v>
      </c>
      <c r="I3589" s="2" t="s">
        <v>10677</v>
      </c>
      <c r="K3589" s="2" t="s">
        <v>10678</v>
      </c>
      <c r="L3589" s="2" t="s">
        <v>62</v>
      </c>
      <c r="M3589" s="2">
        <v>55364.0</v>
      </c>
      <c r="N3589" s="2" t="s">
        <v>21</v>
      </c>
    </row>
    <row r="3590" ht="15.75" customHeight="1">
      <c r="A3590" s="2">
        <v>2015.0</v>
      </c>
      <c r="B3590" s="2" t="s">
        <v>383</v>
      </c>
      <c r="C3590" s="2" t="s">
        <v>16728</v>
      </c>
      <c r="D3590" s="2" t="str">
        <f>"317-209-4587"</f>
        <v>317-209-4587</v>
      </c>
      <c r="E3590" s="2" t="s">
        <v>580</v>
      </c>
      <c r="F3590" s="2" t="s">
        <v>386</v>
      </c>
      <c r="G3590" s="2" t="str">
        <f>"SR-5120"</f>
        <v>SR-5120</v>
      </c>
      <c r="H3590" s="2" t="s">
        <v>16729</v>
      </c>
      <c r="I3590" s="2" t="s">
        <v>16730</v>
      </c>
      <c r="K3590" s="2" t="s">
        <v>389</v>
      </c>
      <c r="L3590" s="2" t="s">
        <v>149</v>
      </c>
      <c r="M3590" s="2">
        <v>46112.0</v>
      </c>
      <c r="N3590" s="2" t="s">
        <v>21</v>
      </c>
    </row>
    <row r="3591" ht="15.75" customHeight="1">
      <c r="A3591" s="2">
        <v>2015.0</v>
      </c>
      <c r="B3591" s="2" t="s">
        <v>16731</v>
      </c>
      <c r="C3591" s="2" t="s">
        <v>16731</v>
      </c>
      <c r="D3591" s="2" t="str">
        <f>"2489967335"</f>
        <v>2489967335</v>
      </c>
      <c r="E3591" s="2" t="s">
        <v>16732</v>
      </c>
      <c r="F3591" s="2" t="s">
        <v>16733</v>
      </c>
      <c r="G3591" s="2" t="str">
        <f>"SR-5015"</f>
        <v>SR-5015</v>
      </c>
      <c r="H3591" s="2" t="s">
        <v>16734</v>
      </c>
      <c r="I3591" s="2" t="s">
        <v>16735</v>
      </c>
      <c r="K3591" s="2" t="s">
        <v>16736</v>
      </c>
      <c r="L3591" s="2" t="s">
        <v>105</v>
      </c>
      <c r="M3591" s="2">
        <v>61525.0</v>
      </c>
      <c r="N3591" s="2" t="s">
        <v>21</v>
      </c>
    </row>
    <row r="3592" ht="15.75" customHeight="1">
      <c r="A3592" s="2">
        <v>2015.0</v>
      </c>
      <c r="B3592" s="2" t="s">
        <v>16737</v>
      </c>
      <c r="C3592" s="2" t="s">
        <v>16738</v>
      </c>
      <c r="D3592" s="2" t="str">
        <f>"770-887-9683"</f>
        <v>770-887-9683</v>
      </c>
      <c r="E3592" s="2" t="s">
        <v>16739</v>
      </c>
      <c r="F3592" s="2" t="s">
        <v>16740</v>
      </c>
      <c r="G3592" s="2" t="str">
        <f>"SR-5122"</f>
        <v>SR-5122</v>
      </c>
      <c r="H3592" s="2" t="s">
        <v>16741</v>
      </c>
      <c r="I3592" s="2" t="s">
        <v>16742</v>
      </c>
      <c r="K3592" s="2" t="s">
        <v>16743</v>
      </c>
      <c r="L3592" s="2" t="s">
        <v>200</v>
      </c>
      <c r="M3592" s="2">
        <v>30041.0</v>
      </c>
      <c r="N3592" s="2" t="s">
        <v>21</v>
      </c>
    </row>
    <row r="3593" ht="15.75" customHeight="1">
      <c r="A3593" s="2">
        <v>2015.0</v>
      </c>
      <c r="B3593" s="2" t="s">
        <v>16744</v>
      </c>
      <c r="C3593" s="2" t="s">
        <v>16744</v>
      </c>
      <c r="D3593" s="2" t="str">
        <f>"303-656-1616"</f>
        <v>303-656-1616</v>
      </c>
      <c r="E3593" s="2" t="s">
        <v>16745</v>
      </c>
      <c r="F3593" s="2" t="s">
        <v>1965</v>
      </c>
      <c r="G3593" s="2" t="str">
        <f>"SR-5124"</f>
        <v>SR-5124</v>
      </c>
      <c r="H3593" s="2" t="s">
        <v>16746</v>
      </c>
      <c r="I3593" s="2" t="s">
        <v>16747</v>
      </c>
      <c r="K3593" s="2" t="s">
        <v>1054</v>
      </c>
      <c r="L3593" s="2" t="s">
        <v>157</v>
      </c>
      <c r="M3593" s="2">
        <v>80138.0</v>
      </c>
      <c r="N3593" s="2" t="s">
        <v>21</v>
      </c>
    </row>
    <row r="3594" ht="15.75" customHeight="1">
      <c r="A3594" s="2">
        <v>2015.0</v>
      </c>
      <c r="B3594" s="2" t="s">
        <v>16748</v>
      </c>
      <c r="C3594" s="2" t="s">
        <v>16748</v>
      </c>
      <c r="D3594" s="2" t="str">
        <f>"5152213354"</f>
        <v>5152213354</v>
      </c>
      <c r="E3594" s="2" t="s">
        <v>144</v>
      </c>
      <c r="F3594" s="2" t="s">
        <v>16749</v>
      </c>
      <c r="G3594" s="2" t="str">
        <f>"SR-5034"</f>
        <v>SR-5034</v>
      </c>
      <c r="H3594" s="2" t="s">
        <v>16750</v>
      </c>
      <c r="I3594" s="2" t="s">
        <v>16751</v>
      </c>
      <c r="K3594" s="2" t="s">
        <v>2066</v>
      </c>
      <c r="L3594" s="2" t="s">
        <v>560</v>
      </c>
      <c r="M3594" s="2">
        <v>50266.0</v>
      </c>
      <c r="N3594" s="2" t="s">
        <v>21</v>
      </c>
    </row>
    <row r="3595" ht="15.75" customHeight="1">
      <c r="A3595" s="2">
        <v>2015.0</v>
      </c>
      <c r="B3595" s="2" t="s">
        <v>16752</v>
      </c>
      <c r="C3595" s="2" t="s">
        <v>16753</v>
      </c>
      <c r="D3595" s="2" t="str">
        <f>"484-919-6638"</f>
        <v>484-919-6638</v>
      </c>
      <c r="E3595" s="2" t="s">
        <v>5548</v>
      </c>
      <c r="F3595" s="2" t="s">
        <v>472</v>
      </c>
      <c r="G3595" s="2" t="str">
        <f>"SR-5111"</f>
        <v>SR-5111</v>
      </c>
      <c r="H3595" s="2" t="s">
        <v>16754</v>
      </c>
      <c r="I3595" s="2" t="s">
        <v>16755</v>
      </c>
      <c r="K3595" s="2" t="s">
        <v>16756</v>
      </c>
      <c r="L3595" s="2" t="s">
        <v>172</v>
      </c>
      <c r="M3595" s="2">
        <v>75098.0</v>
      </c>
      <c r="N3595" s="2" t="s">
        <v>21</v>
      </c>
    </row>
    <row r="3596" ht="15.75" customHeight="1">
      <c r="A3596" s="2">
        <v>2015.0</v>
      </c>
      <c r="B3596" s="2" t="s">
        <v>16757</v>
      </c>
      <c r="C3596" s="2" t="s">
        <v>16758</v>
      </c>
      <c r="D3596" s="2" t="str">
        <f>"281-357-5016"</f>
        <v>281-357-5016</v>
      </c>
      <c r="E3596" s="2" t="s">
        <v>847</v>
      </c>
      <c r="F3596" s="2" t="s">
        <v>6494</v>
      </c>
      <c r="G3596" s="2" t="str">
        <f>"SR-5068"</f>
        <v>SR-5068</v>
      </c>
      <c r="H3596" s="2" t="s">
        <v>16759</v>
      </c>
      <c r="I3596" s="2" t="s">
        <v>16760</v>
      </c>
      <c r="K3596" s="2" t="s">
        <v>4350</v>
      </c>
      <c r="L3596" s="2" t="s">
        <v>172</v>
      </c>
      <c r="M3596" s="2">
        <v>77377.0</v>
      </c>
      <c r="N3596" s="2" t="s">
        <v>21</v>
      </c>
    </row>
    <row r="3597" ht="15.75" customHeight="1">
      <c r="A3597" s="2">
        <v>2015.0</v>
      </c>
      <c r="B3597" s="2" t="s">
        <v>16761</v>
      </c>
      <c r="C3597" s="2" t="s">
        <v>16762</v>
      </c>
      <c r="D3597" s="2" t="str">
        <f>"952-934-3488"</f>
        <v>952-934-3488</v>
      </c>
      <c r="E3597" s="2" t="s">
        <v>1015</v>
      </c>
      <c r="F3597" s="2" t="s">
        <v>16763</v>
      </c>
      <c r="G3597" s="2" t="str">
        <f>"SR-5014"</f>
        <v>SR-5014</v>
      </c>
      <c r="H3597" s="2" t="s">
        <v>16764</v>
      </c>
      <c r="I3597" s="2" t="s">
        <v>16765</v>
      </c>
      <c r="K3597" s="2" t="s">
        <v>1490</v>
      </c>
      <c r="L3597" s="2" t="s">
        <v>62</v>
      </c>
      <c r="M3597" s="2">
        <v>55346.0</v>
      </c>
      <c r="N3597" s="2" t="s">
        <v>21</v>
      </c>
    </row>
    <row r="3598" ht="15.75" customHeight="1">
      <c r="A3598" s="2">
        <v>2015.0</v>
      </c>
      <c r="B3598" s="2" t="s">
        <v>16766</v>
      </c>
      <c r="C3598" s="2" t="s">
        <v>16767</v>
      </c>
      <c r="D3598" s="2" t="str">
        <f>"727 939 8869"</f>
        <v>727 939 8869</v>
      </c>
      <c r="E3598" s="2" t="s">
        <v>2988</v>
      </c>
      <c r="F3598" s="2" t="s">
        <v>16768</v>
      </c>
      <c r="G3598" s="2" t="str">
        <f>"SR-5099"</f>
        <v>SR-5099</v>
      </c>
      <c r="H3598" s="2" t="s">
        <v>16769</v>
      </c>
      <c r="I3598" s="2" t="s">
        <v>16770</v>
      </c>
      <c r="K3598" s="2" t="s">
        <v>16771</v>
      </c>
      <c r="L3598" s="2" t="s">
        <v>208</v>
      </c>
      <c r="M3598" s="2">
        <v>34688.0</v>
      </c>
      <c r="N3598" s="2" t="s">
        <v>21</v>
      </c>
    </row>
    <row r="3599" ht="15.75" customHeight="1">
      <c r="A3599" s="2">
        <v>2015.0</v>
      </c>
      <c r="B3599" s="2" t="s">
        <v>16772</v>
      </c>
      <c r="C3599" s="2" t="s">
        <v>16773</v>
      </c>
      <c r="D3599" s="2" t="str">
        <f>"406-967-6606"</f>
        <v>406-967-6606</v>
      </c>
      <c r="E3599" s="2" t="s">
        <v>16529</v>
      </c>
      <c r="F3599" s="2" t="s">
        <v>16774</v>
      </c>
      <c r="G3599" s="2" t="str">
        <f>"SR-5133"</f>
        <v>SR-5133</v>
      </c>
      <c r="H3599" s="2" t="s">
        <v>16775</v>
      </c>
      <c r="I3599" s="2" t="s">
        <v>16776</v>
      </c>
      <c r="K3599" s="2" t="s">
        <v>16777</v>
      </c>
      <c r="L3599" s="2" t="s">
        <v>2696</v>
      </c>
      <c r="M3599" s="2">
        <v>59088.0</v>
      </c>
      <c r="N3599" s="2" t="s">
        <v>21</v>
      </c>
    </row>
    <row r="3600" ht="15.75" customHeight="1">
      <c r="A3600" s="2">
        <v>2015.0</v>
      </c>
      <c r="B3600" s="2" t="s">
        <v>16778</v>
      </c>
      <c r="C3600" s="2" t="s">
        <v>16779</v>
      </c>
      <c r="D3600" s="2" t="str">
        <f>"901-237-6639"</f>
        <v>901-237-6639</v>
      </c>
      <c r="E3600" s="2" t="s">
        <v>385</v>
      </c>
      <c r="F3600" s="2" t="s">
        <v>16780</v>
      </c>
      <c r="G3600" s="2" t="str">
        <f>"SR-5132"</f>
        <v>SR-5132</v>
      </c>
      <c r="H3600" s="2" t="s">
        <v>16781</v>
      </c>
      <c r="I3600" s="2" t="s">
        <v>16782</v>
      </c>
      <c r="K3600" s="2" t="s">
        <v>11503</v>
      </c>
      <c r="L3600" s="2" t="s">
        <v>1012</v>
      </c>
      <c r="M3600" s="2">
        <v>72348.0</v>
      </c>
      <c r="N3600" s="2" t="s">
        <v>21</v>
      </c>
    </row>
    <row r="3601" ht="15.75" customHeight="1">
      <c r="A3601" s="2">
        <v>2015.0</v>
      </c>
      <c r="B3601" s="2" t="s">
        <v>16783</v>
      </c>
      <c r="C3601" s="2" t="s">
        <v>16784</v>
      </c>
      <c r="D3601" s="2" t="str">
        <f>"678-481-7576"</f>
        <v>678-481-7576</v>
      </c>
      <c r="E3601" s="2" t="s">
        <v>386</v>
      </c>
      <c r="F3601" s="2" t="s">
        <v>2548</v>
      </c>
      <c r="G3601" s="2" t="str">
        <f>"SR-4926"</f>
        <v>SR-4926</v>
      </c>
      <c r="H3601" s="2" t="s">
        <v>16785</v>
      </c>
      <c r="I3601" s="2" t="s">
        <v>16786</v>
      </c>
      <c r="K3601" s="2" t="s">
        <v>16743</v>
      </c>
      <c r="L3601" s="2" t="s">
        <v>200</v>
      </c>
      <c r="M3601" s="2">
        <v>30041.0</v>
      </c>
      <c r="N3601" s="2" t="s">
        <v>21</v>
      </c>
    </row>
    <row r="3602" ht="15.75" customHeight="1">
      <c r="A3602" s="2">
        <v>2015.0</v>
      </c>
      <c r="B3602" s="2" t="s">
        <v>16787</v>
      </c>
      <c r="C3602" s="2" t="s">
        <v>16788</v>
      </c>
      <c r="D3602" s="2" t="str">
        <f>"620-221-2480"</f>
        <v>620-221-2480</v>
      </c>
      <c r="E3602" s="2" t="s">
        <v>2243</v>
      </c>
      <c r="F3602" s="2" t="s">
        <v>13828</v>
      </c>
      <c r="G3602" s="2" t="str">
        <f>"SR-5113"</f>
        <v>SR-5113</v>
      </c>
      <c r="H3602" s="2" t="s">
        <v>16789</v>
      </c>
      <c r="I3602" s="2" t="s">
        <v>13830</v>
      </c>
      <c r="K3602" s="2" t="s">
        <v>3530</v>
      </c>
      <c r="L3602" s="2" t="s">
        <v>272</v>
      </c>
      <c r="M3602" s="2">
        <v>67156.0</v>
      </c>
      <c r="N3602" s="2" t="s">
        <v>21</v>
      </c>
    </row>
    <row r="3603" ht="15.75" customHeight="1">
      <c r="A3603" s="2">
        <v>2015.0</v>
      </c>
      <c r="B3603" s="2" t="s">
        <v>16790</v>
      </c>
      <c r="C3603" s="2" t="s">
        <v>16791</v>
      </c>
      <c r="D3603" s="2" t="str">
        <f>"3058158176"</f>
        <v>3058158176</v>
      </c>
      <c r="E3603" s="2" t="s">
        <v>9513</v>
      </c>
      <c r="F3603" s="2" t="s">
        <v>6254</v>
      </c>
      <c r="G3603" s="2" t="str">
        <f>"SR-5001"</f>
        <v>SR-5001</v>
      </c>
      <c r="H3603" s="2" t="s">
        <v>16792</v>
      </c>
      <c r="I3603" s="2" t="s">
        <v>16793</v>
      </c>
      <c r="K3603" s="2" t="s">
        <v>2211</v>
      </c>
      <c r="L3603" s="2" t="s">
        <v>208</v>
      </c>
      <c r="M3603" s="2">
        <v>33173.0</v>
      </c>
      <c r="N3603" s="2" t="s">
        <v>21</v>
      </c>
    </row>
    <row r="3604" ht="15.75" customHeight="1">
      <c r="A3604" s="2">
        <v>2015.0</v>
      </c>
      <c r="B3604" s="2" t="s">
        <v>16794</v>
      </c>
      <c r="C3604" s="2" t="s">
        <v>16794</v>
      </c>
      <c r="D3604" s="2" t="str">
        <f>"319-431-4616"</f>
        <v>319-431-4616</v>
      </c>
      <c r="E3604" s="2" t="s">
        <v>955</v>
      </c>
      <c r="F3604" s="2" t="s">
        <v>16795</v>
      </c>
      <c r="G3604" s="2" t="str">
        <f>"SR-5148"</f>
        <v>SR-5148</v>
      </c>
      <c r="H3604" s="2" t="s">
        <v>16796</v>
      </c>
      <c r="I3604" s="2" t="s">
        <v>16797</v>
      </c>
      <c r="K3604" s="2" t="s">
        <v>8938</v>
      </c>
      <c r="L3604" s="2" t="s">
        <v>560</v>
      </c>
      <c r="M3604" s="2">
        <v>52214.0</v>
      </c>
      <c r="N3604" s="2" t="s">
        <v>21</v>
      </c>
    </row>
    <row r="3605" ht="15.75" customHeight="1">
      <c r="A3605" s="2">
        <v>2015.0</v>
      </c>
      <c r="B3605" s="2" t="s">
        <v>16794</v>
      </c>
      <c r="C3605" s="2" t="s">
        <v>16798</v>
      </c>
      <c r="D3605" s="2" t="str">
        <f>"319-651-6201"</f>
        <v>319-651-6201</v>
      </c>
      <c r="E3605" s="2" t="s">
        <v>3750</v>
      </c>
      <c r="F3605" s="2" t="s">
        <v>16795</v>
      </c>
      <c r="G3605" s="2" t="str">
        <f>"SR-5149"</f>
        <v>SR-5149</v>
      </c>
      <c r="H3605" s="2" t="s">
        <v>16799</v>
      </c>
      <c r="I3605" s="2" t="s">
        <v>16797</v>
      </c>
      <c r="K3605" s="2" t="s">
        <v>8938</v>
      </c>
      <c r="L3605" s="2" t="s">
        <v>560</v>
      </c>
      <c r="M3605" s="2">
        <v>52214.0</v>
      </c>
      <c r="N3605" s="2" t="s">
        <v>21</v>
      </c>
    </row>
    <row r="3606" ht="15.75" customHeight="1">
      <c r="A3606" s="2">
        <v>2015.0</v>
      </c>
      <c r="B3606" s="2" t="s">
        <v>16800</v>
      </c>
      <c r="C3606" s="2" t="s">
        <v>16801</v>
      </c>
      <c r="D3606" s="2" t="str">
        <f>"828-736-5120"</f>
        <v>828-736-5120</v>
      </c>
      <c r="E3606" s="2" t="s">
        <v>2314</v>
      </c>
      <c r="F3606" s="2" t="s">
        <v>2101</v>
      </c>
      <c r="G3606" s="2" t="str">
        <f>"SR-5123"</f>
        <v>SR-5123</v>
      </c>
      <c r="H3606" s="2" t="s">
        <v>16802</v>
      </c>
      <c r="I3606" s="2" t="s">
        <v>16803</v>
      </c>
      <c r="K3606" s="2" t="s">
        <v>16804</v>
      </c>
      <c r="L3606" s="2" t="s">
        <v>20</v>
      </c>
      <c r="M3606" s="2">
        <v>28723.0</v>
      </c>
      <c r="N3606" s="2" t="s">
        <v>21</v>
      </c>
    </row>
    <row r="3607" ht="15.75" customHeight="1">
      <c r="A3607" s="2">
        <v>2015.0</v>
      </c>
      <c r="B3607" s="2" t="s">
        <v>16805</v>
      </c>
      <c r="C3607" s="2" t="s">
        <v>16806</v>
      </c>
      <c r="D3607" s="2" t="str">
        <f>"303-688-1870"</f>
        <v>303-688-1870</v>
      </c>
      <c r="E3607" s="2" t="s">
        <v>1664</v>
      </c>
      <c r="F3607" s="2" t="s">
        <v>16807</v>
      </c>
      <c r="G3607" s="2" t="str">
        <f>"SR-5100"</f>
        <v>SR-5100</v>
      </c>
      <c r="H3607" s="2" t="s">
        <v>16808</v>
      </c>
      <c r="I3607" s="2" t="s">
        <v>16809</v>
      </c>
      <c r="K3607" s="2" t="s">
        <v>5412</v>
      </c>
      <c r="L3607" s="2" t="s">
        <v>157</v>
      </c>
      <c r="M3607" s="2">
        <v>80135.0</v>
      </c>
      <c r="N3607" s="2" t="s">
        <v>21</v>
      </c>
    </row>
    <row r="3608" ht="15.75" customHeight="1">
      <c r="A3608" s="2">
        <v>2015.0</v>
      </c>
      <c r="B3608" s="2" t="s">
        <v>16810</v>
      </c>
      <c r="C3608" s="2" t="s">
        <v>16811</v>
      </c>
      <c r="D3608" s="2" t="str">
        <f>"2055356982"</f>
        <v>2055356982</v>
      </c>
      <c r="E3608" s="2" t="s">
        <v>2401</v>
      </c>
      <c r="F3608" s="2" t="s">
        <v>2771</v>
      </c>
      <c r="G3608" s="2" t="str">
        <f>"SR-5127"</f>
        <v>SR-5127</v>
      </c>
      <c r="H3608" s="2" t="s">
        <v>16812</v>
      </c>
      <c r="I3608" s="2" t="s">
        <v>16813</v>
      </c>
      <c r="K3608" s="2" t="s">
        <v>5003</v>
      </c>
      <c r="L3608" s="2" t="s">
        <v>539</v>
      </c>
      <c r="M3608" s="2">
        <v>35473.0</v>
      </c>
      <c r="N3608" s="2" t="s">
        <v>21</v>
      </c>
    </row>
    <row r="3609" ht="15.75" customHeight="1">
      <c r="A3609" s="2">
        <v>2015.0</v>
      </c>
      <c r="B3609" s="2" t="s">
        <v>16814</v>
      </c>
      <c r="C3609" s="2" t="s">
        <v>16814</v>
      </c>
      <c r="D3609" s="2" t="str">
        <f t="shared" ref="D3609:D3610" si="66">"5083366467"</f>
        <v>5083366467</v>
      </c>
      <c r="E3609" s="2" t="s">
        <v>16815</v>
      </c>
      <c r="F3609" s="2" t="s">
        <v>16816</v>
      </c>
      <c r="G3609" s="2" t="str">
        <f>"SR-5145"</f>
        <v>SR-5145</v>
      </c>
      <c r="H3609" s="2" t="s">
        <v>16817</v>
      </c>
      <c r="I3609" s="2" t="s">
        <v>16818</v>
      </c>
      <c r="K3609" s="2" t="s">
        <v>16819</v>
      </c>
      <c r="L3609" s="2" t="s">
        <v>4108</v>
      </c>
      <c r="M3609" s="2">
        <v>2771.0</v>
      </c>
      <c r="N3609" s="2" t="s">
        <v>21</v>
      </c>
    </row>
    <row r="3610" ht="15.75" customHeight="1">
      <c r="A3610" s="2">
        <v>2015.0</v>
      </c>
      <c r="B3610" s="2" t="s">
        <v>16814</v>
      </c>
      <c r="C3610" s="2" t="s">
        <v>16814</v>
      </c>
      <c r="D3610" s="2" t="str">
        <f t="shared" si="66"/>
        <v>5083366467</v>
      </c>
      <c r="E3610" s="2" t="s">
        <v>16820</v>
      </c>
      <c r="F3610" s="2" t="s">
        <v>16816</v>
      </c>
      <c r="G3610" s="2" t="str">
        <f>"SR-5146"</f>
        <v>SR-5146</v>
      </c>
      <c r="H3610" s="2" t="s">
        <v>16821</v>
      </c>
      <c r="I3610" s="2" t="s">
        <v>16818</v>
      </c>
      <c r="K3610" s="2" t="s">
        <v>16819</v>
      </c>
      <c r="L3610" s="2" t="s">
        <v>4108</v>
      </c>
      <c r="M3610" s="2">
        <v>2771.0</v>
      </c>
      <c r="N3610" s="2" t="s">
        <v>21</v>
      </c>
    </row>
    <row r="3611" ht="15.75" customHeight="1">
      <c r="A3611" s="2">
        <v>2015.0</v>
      </c>
      <c r="B3611" s="2" t="s">
        <v>9662</v>
      </c>
      <c r="C3611" s="2" t="s">
        <v>9663</v>
      </c>
      <c r="D3611" s="2" t="str">
        <f>"317-513-3984"</f>
        <v>317-513-3984</v>
      </c>
      <c r="E3611" s="2" t="s">
        <v>1529</v>
      </c>
      <c r="F3611" s="2" t="s">
        <v>6365</v>
      </c>
      <c r="G3611" s="2" t="str">
        <f>"SR-2856"</f>
        <v>SR-2856</v>
      </c>
      <c r="H3611" s="2" t="s">
        <v>9664</v>
      </c>
      <c r="I3611" s="2" t="s">
        <v>9665</v>
      </c>
      <c r="K3611" s="2" t="s">
        <v>278</v>
      </c>
      <c r="L3611" s="2" t="s">
        <v>149</v>
      </c>
      <c r="M3611" s="2">
        <v>46131.0</v>
      </c>
      <c r="N3611" s="2" t="s">
        <v>21</v>
      </c>
    </row>
    <row r="3612" ht="15.75" customHeight="1">
      <c r="A3612" s="2">
        <v>2015.0</v>
      </c>
      <c r="B3612" s="2" t="s">
        <v>16814</v>
      </c>
      <c r="C3612" s="2" t="s">
        <v>16814</v>
      </c>
      <c r="D3612" s="2" t="str">
        <f>"5083366467"</f>
        <v>5083366467</v>
      </c>
      <c r="E3612" s="2" t="s">
        <v>16822</v>
      </c>
      <c r="F3612" s="2" t="s">
        <v>16816</v>
      </c>
      <c r="G3612" s="2" t="str">
        <f>"SR-5147"</f>
        <v>SR-5147</v>
      </c>
      <c r="H3612" s="2" t="s">
        <v>16823</v>
      </c>
      <c r="I3612" s="2" t="s">
        <v>16818</v>
      </c>
      <c r="K3612" s="2" t="s">
        <v>16819</v>
      </c>
      <c r="L3612" s="2" t="s">
        <v>4108</v>
      </c>
      <c r="M3612" s="2">
        <v>2771.0</v>
      </c>
      <c r="N3612" s="2" t="s">
        <v>21</v>
      </c>
    </row>
    <row r="3613" ht="15.75" customHeight="1">
      <c r="A3613" s="2">
        <v>2015.0</v>
      </c>
      <c r="B3613" s="2" t="s">
        <v>16824</v>
      </c>
      <c r="C3613" s="2" t="s">
        <v>16825</v>
      </c>
      <c r="D3613" s="2" t="str">
        <f>"6022908313"</f>
        <v>6022908313</v>
      </c>
      <c r="E3613" s="2" t="s">
        <v>453</v>
      </c>
      <c r="F3613" s="2" t="s">
        <v>16826</v>
      </c>
      <c r="G3613" s="2" t="str">
        <f>"SR-5129"</f>
        <v>SR-5129</v>
      </c>
      <c r="H3613" s="2" t="s">
        <v>16827</v>
      </c>
      <c r="I3613" s="2" t="s">
        <v>16828</v>
      </c>
      <c r="K3613" s="2" t="s">
        <v>104</v>
      </c>
      <c r="L3613" s="2" t="s">
        <v>422</v>
      </c>
      <c r="M3613" s="2">
        <v>85381.0</v>
      </c>
      <c r="N3613" s="2" t="s">
        <v>21</v>
      </c>
    </row>
    <row r="3614" ht="15.75" customHeight="1">
      <c r="A3614" s="2">
        <v>2015.0</v>
      </c>
      <c r="B3614" s="2" t="s">
        <v>16829</v>
      </c>
      <c r="C3614" s="2" t="s">
        <v>16830</v>
      </c>
      <c r="D3614" s="2" t="str">
        <f>"360-320-2402"</f>
        <v>360-320-2402</v>
      </c>
      <c r="E3614" s="2" t="s">
        <v>705</v>
      </c>
      <c r="F3614" s="2" t="s">
        <v>94</v>
      </c>
      <c r="G3614" s="2" t="str">
        <f>"SR-5118"</f>
        <v>SR-5118</v>
      </c>
      <c r="H3614" s="2" t="s">
        <v>16831</v>
      </c>
      <c r="I3614" s="2" t="s">
        <v>16832</v>
      </c>
      <c r="K3614" s="2" t="s">
        <v>1398</v>
      </c>
      <c r="L3614" s="2" t="s">
        <v>157</v>
      </c>
      <c r="M3614" s="2">
        <v>80104.0</v>
      </c>
      <c r="N3614" s="2" t="s">
        <v>21</v>
      </c>
    </row>
    <row r="3615" ht="15.75" customHeight="1">
      <c r="A3615" s="2">
        <v>2015.0</v>
      </c>
      <c r="B3615" s="2" t="s">
        <v>16833</v>
      </c>
      <c r="C3615" s="2" t="s">
        <v>16834</v>
      </c>
      <c r="D3615" s="2" t="str">
        <f>"805-490-3722"</f>
        <v>805-490-3722</v>
      </c>
      <c r="E3615" s="2" t="s">
        <v>3196</v>
      </c>
      <c r="F3615" s="2" t="s">
        <v>5105</v>
      </c>
      <c r="G3615" s="2" t="str">
        <f>"SR-5137"</f>
        <v>SR-5137</v>
      </c>
      <c r="H3615" s="2" t="s">
        <v>16835</v>
      </c>
      <c r="I3615" s="2" t="s">
        <v>11285</v>
      </c>
      <c r="K3615" s="2" t="s">
        <v>3245</v>
      </c>
      <c r="L3615" s="2" t="s">
        <v>222</v>
      </c>
      <c r="M3615" s="2">
        <v>91320.0</v>
      </c>
      <c r="N3615" s="2" t="s">
        <v>21</v>
      </c>
    </row>
    <row r="3616" ht="15.75" customHeight="1">
      <c r="A3616" s="2">
        <v>2015.0</v>
      </c>
      <c r="B3616" s="2" t="s">
        <v>16836</v>
      </c>
      <c r="C3616" s="2" t="s">
        <v>16837</v>
      </c>
      <c r="D3616" s="2" t="str">
        <f>"952-842-7409"</f>
        <v>952-842-7409</v>
      </c>
      <c r="E3616" s="2" t="s">
        <v>261</v>
      </c>
      <c r="F3616" s="2" t="s">
        <v>16838</v>
      </c>
      <c r="G3616" s="2" t="str">
        <f>"SR-5033"</f>
        <v>SR-5033</v>
      </c>
      <c r="H3616" s="2" t="s">
        <v>16839</v>
      </c>
      <c r="I3616" s="2" t="s">
        <v>16840</v>
      </c>
      <c r="K3616" s="2" t="s">
        <v>1019</v>
      </c>
      <c r="L3616" s="2" t="s">
        <v>62</v>
      </c>
      <c r="M3616" s="2">
        <v>55437.0</v>
      </c>
      <c r="N3616" s="2" t="s">
        <v>21</v>
      </c>
    </row>
    <row r="3617" ht="15.75" customHeight="1">
      <c r="A3617" s="2">
        <v>2015.0</v>
      </c>
      <c r="B3617" s="2" t="s">
        <v>16841</v>
      </c>
      <c r="C3617" s="2" t="s">
        <v>16842</v>
      </c>
      <c r="D3617" s="2" t="str">
        <f>"419-606-6985"</f>
        <v>419-606-6985</v>
      </c>
      <c r="E3617" s="2" t="s">
        <v>5280</v>
      </c>
      <c r="F3617" s="2" t="s">
        <v>16843</v>
      </c>
      <c r="G3617" s="2" t="str">
        <f>"SR-5158"</f>
        <v>SR-5158</v>
      </c>
      <c r="H3617" s="2" t="s">
        <v>16844</v>
      </c>
      <c r="I3617" s="2" t="s">
        <v>16845</v>
      </c>
      <c r="K3617" s="2" t="s">
        <v>1154</v>
      </c>
      <c r="L3617" s="2" t="s">
        <v>344</v>
      </c>
      <c r="M3617" s="2">
        <v>44805.0</v>
      </c>
      <c r="N3617" s="2" t="s">
        <v>21</v>
      </c>
    </row>
    <row r="3618" ht="15.75" customHeight="1">
      <c r="A3618" s="2">
        <v>2015.0</v>
      </c>
      <c r="B3618" s="2" t="s">
        <v>16846</v>
      </c>
      <c r="C3618" s="2" t="s">
        <v>16846</v>
      </c>
      <c r="D3618" s="2" t="str">
        <f>"(719) 439-3101"</f>
        <v>(719) 439-3101</v>
      </c>
      <c r="E3618" s="2" t="s">
        <v>485</v>
      </c>
      <c r="F3618" s="2" t="s">
        <v>7759</v>
      </c>
      <c r="G3618" s="2" t="str">
        <f>"SR-2951"</f>
        <v>SR-2951</v>
      </c>
      <c r="H3618" s="2" t="s">
        <v>16847</v>
      </c>
      <c r="I3618" s="2" t="s">
        <v>7761</v>
      </c>
      <c r="K3618" s="2" t="s">
        <v>809</v>
      </c>
      <c r="L3618" s="2" t="s">
        <v>157</v>
      </c>
      <c r="M3618" s="2">
        <v>80920.0</v>
      </c>
      <c r="N3618" s="2" t="s">
        <v>21</v>
      </c>
    </row>
    <row r="3619" ht="15.75" customHeight="1">
      <c r="A3619" s="2">
        <v>2015.0</v>
      </c>
      <c r="B3619" s="2" t="s">
        <v>16848</v>
      </c>
      <c r="C3619" s="2" t="s">
        <v>16848</v>
      </c>
      <c r="D3619" s="2" t="str">
        <f>"7707372412"</f>
        <v>7707372412</v>
      </c>
      <c r="E3619" s="2" t="s">
        <v>1810</v>
      </c>
      <c r="F3619" s="2" t="s">
        <v>8766</v>
      </c>
      <c r="G3619" s="2" t="str">
        <f>"SR-5161"</f>
        <v>SR-5161</v>
      </c>
      <c r="H3619" s="2" t="s">
        <v>8775</v>
      </c>
      <c r="I3619" s="2" t="s">
        <v>16849</v>
      </c>
      <c r="K3619" s="2" t="s">
        <v>1915</v>
      </c>
      <c r="L3619" s="2" t="s">
        <v>200</v>
      </c>
      <c r="M3619" s="2">
        <v>30143.0</v>
      </c>
      <c r="N3619" s="2" t="s">
        <v>21</v>
      </c>
    </row>
    <row r="3620" ht="15.75" customHeight="1">
      <c r="A3620" s="2">
        <v>2015.0</v>
      </c>
      <c r="B3620" s="2" t="s">
        <v>16850</v>
      </c>
      <c r="C3620" s="2" t="s">
        <v>16851</v>
      </c>
      <c r="D3620" s="2" t="str">
        <f>"719-495-8076"</f>
        <v>719-495-8076</v>
      </c>
      <c r="E3620" s="2" t="s">
        <v>16852</v>
      </c>
      <c r="F3620" s="2" t="s">
        <v>16853</v>
      </c>
      <c r="G3620" s="2" t="str">
        <f>"SR-5125"</f>
        <v>SR-5125</v>
      </c>
      <c r="H3620" s="2" t="s">
        <v>16854</v>
      </c>
      <c r="I3620" s="2" t="s">
        <v>16855</v>
      </c>
      <c r="K3620" s="2" t="s">
        <v>16856</v>
      </c>
      <c r="L3620" s="2" t="s">
        <v>157</v>
      </c>
      <c r="M3620" s="2">
        <v>80908.0</v>
      </c>
      <c r="N3620" s="2" t="s">
        <v>21</v>
      </c>
    </row>
    <row r="3621" ht="15.75" customHeight="1">
      <c r="A3621" s="2">
        <v>2015.0</v>
      </c>
      <c r="B3621" s="2" t="s">
        <v>16857</v>
      </c>
      <c r="C3621" s="2" t="s">
        <v>16858</v>
      </c>
      <c r="D3621" s="2" t="str">
        <f>"5056723097"</f>
        <v>5056723097</v>
      </c>
      <c r="E3621" s="2" t="s">
        <v>2158</v>
      </c>
      <c r="F3621" s="2" t="s">
        <v>9856</v>
      </c>
      <c r="G3621" s="2" t="str">
        <f>"SR-5162"</f>
        <v>SR-5162</v>
      </c>
      <c r="H3621" s="2" t="s">
        <v>16859</v>
      </c>
      <c r="I3621" s="2" t="s">
        <v>16860</v>
      </c>
      <c r="K3621" s="2" t="s">
        <v>16861</v>
      </c>
      <c r="L3621" s="2" t="s">
        <v>789</v>
      </c>
      <c r="M3621" s="2">
        <v>87544.0</v>
      </c>
      <c r="N3621" s="2" t="s">
        <v>21</v>
      </c>
    </row>
    <row r="3622" ht="15.75" customHeight="1">
      <c r="A3622" s="2">
        <v>2015.0</v>
      </c>
      <c r="B3622" s="2" t="s">
        <v>16862</v>
      </c>
      <c r="C3622" s="2" t="s">
        <v>16863</v>
      </c>
      <c r="D3622" s="2" t="str">
        <f>"4052908675"</f>
        <v>4052908675</v>
      </c>
      <c r="E3622" s="2" t="s">
        <v>124</v>
      </c>
      <c r="F3622" s="2" t="s">
        <v>3301</v>
      </c>
      <c r="G3622" s="2" t="str">
        <f>"SR-5164"</f>
        <v>SR-5164</v>
      </c>
      <c r="H3622" s="2" t="s">
        <v>16864</v>
      </c>
      <c r="I3622" s="2" t="s">
        <v>9505</v>
      </c>
      <c r="K3622" s="2" t="s">
        <v>357</v>
      </c>
      <c r="L3622" s="2" t="s">
        <v>172</v>
      </c>
      <c r="M3622" s="2">
        <v>75093.0</v>
      </c>
      <c r="N3622" s="2" t="s">
        <v>21</v>
      </c>
    </row>
    <row r="3623" ht="15.75" customHeight="1">
      <c r="A3623" s="2">
        <v>2015.0</v>
      </c>
      <c r="B3623" s="2" t="s">
        <v>16865</v>
      </c>
      <c r="C3623" s="2" t="s">
        <v>16866</v>
      </c>
      <c r="D3623" s="2" t="str">
        <f>"3098463985"</f>
        <v>3098463985</v>
      </c>
      <c r="E3623" s="2" t="s">
        <v>137</v>
      </c>
      <c r="F3623" s="2" t="s">
        <v>16867</v>
      </c>
      <c r="G3623" s="2" t="str">
        <f>"SR-4952"</f>
        <v>SR-4952</v>
      </c>
      <c r="H3623" s="2" t="s">
        <v>16868</v>
      </c>
      <c r="I3623" s="2" t="s">
        <v>16869</v>
      </c>
      <c r="K3623" s="2" t="s">
        <v>1019</v>
      </c>
      <c r="L3623" s="2" t="s">
        <v>105</v>
      </c>
      <c r="M3623" s="2">
        <v>61705.0</v>
      </c>
      <c r="N3623" s="2" t="s">
        <v>21</v>
      </c>
    </row>
    <row r="3624" ht="15.75" customHeight="1">
      <c r="A3624" s="2">
        <v>2015.0</v>
      </c>
      <c r="B3624" s="2" t="s">
        <v>16870</v>
      </c>
      <c r="C3624" s="2" t="s">
        <v>16870</v>
      </c>
      <c r="D3624" s="2" t="str">
        <f>"440-935-9235"</f>
        <v>440-935-9235</v>
      </c>
      <c r="E3624" s="2" t="s">
        <v>11107</v>
      </c>
      <c r="F3624" s="2" t="s">
        <v>1648</v>
      </c>
      <c r="G3624" s="2" t="str">
        <f>"SR-5165"</f>
        <v>SR-5165</v>
      </c>
      <c r="H3624" s="2" t="s">
        <v>16871</v>
      </c>
      <c r="I3624" s="2" t="s">
        <v>16872</v>
      </c>
      <c r="K3624" s="2" t="s">
        <v>8565</v>
      </c>
      <c r="L3624" s="2" t="s">
        <v>344</v>
      </c>
      <c r="M3624" s="2">
        <v>44880.0</v>
      </c>
      <c r="N3624" s="2" t="s">
        <v>21</v>
      </c>
    </row>
    <row r="3625" ht="15.75" customHeight="1">
      <c r="A3625" s="2">
        <v>2015.0</v>
      </c>
      <c r="B3625" s="2" t="s">
        <v>16873</v>
      </c>
      <c r="C3625" s="2" t="s">
        <v>16874</v>
      </c>
      <c r="D3625" s="2" t="str">
        <f>"620-229-4351"</f>
        <v>620-229-4351</v>
      </c>
      <c r="E3625" s="2" t="s">
        <v>16875</v>
      </c>
      <c r="F3625" s="2" t="s">
        <v>16876</v>
      </c>
      <c r="G3625" s="2" t="str">
        <f>"SR-5156"</f>
        <v>SR-5156</v>
      </c>
      <c r="H3625" s="2" t="s">
        <v>16877</v>
      </c>
      <c r="I3625" s="2" t="s">
        <v>16878</v>
      </c>
      <c r="K3625" s="2" t="s">
        <v>3530</v>
      </c>
      <c r="L3625" s="2" t="s">
        <v>272</v>
      </c>
      <c r="M3625" s="2">
        <v>67156.0</v>
      </c>
      <c r="N3625" s="2" t="s">
        <v>21</v>
      </c>
    </row>
    <row r="3626" ht="15.75" customHeight="1">
      <c r="A3626" s="2">
        <v>2015.0</v>
      </c>
      <c r="B3626" s="2" t="s">
        <v>16879</v>
      </c>
      <c r="C3626" s="2" t="s">
        <v>16880</v>
      </c>
      <c r="D3626" s="2" t="str">
        <f>"9522707133"</f>
        <v>9522707133</v>
      </c>
      <c r="E3626" s="2" t="s">
        <v>1761</v>
      </c>
      <c r="F3626" s="2" t="s">
        <v>6227</v>
      </c>
      <c r="G3626" s="2" t="str">
        <f>"SR-5045"</f>
        <v>SR-5045</v>
      </c>
      <c r="H3626" s="2" t="s">
        <v>16881</v>
      </c>
      <c r="I3626" s="2">
        <v>9225.0</v>
      </c>
      <c r="J3626" s="2" t="s">
        <v>16882</v>
      </c>
      <c r="K3626" s="2" t="s">
        <v>1019</v>
      </c>
      <c r="L3626" s="2" t="s">
        <v>62</v>
      </c>
      <c r="M3626" s="2">
        <v>55437.0</v>
      </c>
      <c r="N3626" s="2" t="s">
        <v>21</v>
      </c>
    </row>
    <row r="3627" ht="15.75" customHeight="1">
      <c r="A3627" s="2">
        <v>2015.0</v>
      </c>
      <c r="B3627" s="2" t="s">
        <v>16883</v>
      </c>
      <c r="C3627" s="2" t="s">
        <v>16883</v>
      </c>
      <c r="D3627" s="2" t="str">
        <f>"731.431.2168"</f>
        <v>731.431.2168</v>
      </c>
      <c r="E3627" s="2" t="s">
        <v>705</v>
      </c>
      <c r="F3627" s="2" t="s">
        <v>591</v>
      </c>
      <c r="G3627" s="2" t="str">
        <f>"SR-5135"</f>
        <v>SR-5135</v>
      </c>
      <c r="H3627" s="2" t="s">
        <v>5386</v>
      </c>
      <c r="I3627" s="2" t="s">
        <v>16884</v>
      </c>
      <c r="K3627" s="2" t="s">
        <v>1257</v>
      </c>
      <c r="L3627" s="2" t="s">
        <v>279</v>
      </c>
      <c r="M3627" s="2">
        <v>38305.0</v>
      </c>
      <c r="N3627" s="2" t="s">
        <v>21</v>
      </c>
    </row>
    <row r="3628" ht="15.75" customHeight="1">
      <c r="A3628" s="2">
        <v>2015.0</v>
      </c>
      <c r="B3628" s="2" t="s">
        <v>11069</v>
      </c>
      <c r="C3628" s="2" t="s">
        <v>11069</v>
      </c>
      <c r="D3628" s="2" t="str">
        <f>"330-933-1349"</f>
        <v>330-933-1349</v>
      </c>
      <c r="E3628" s="2" t="s">
        <v>5548</v>
      </c>
      <c r="F3628" s="2" t="s">
        <v>11065</v>
      </c>
      <c r="G3628" s="2" t="str">
        <f>"SR-3276"</f>
        <v>SR-3276</v>
      </c>
      <c r="H3628" s="2" t="s">
        <v>11070</v>
      </c>
      <c r="I3628" s="2" t="s">
        <v>11067</v>
      </c>
      <c r="K3628" s="2" t="s">
        <v>11068</v>
      </c>
      <c r="L3628" s="2" t="s">
        <v>344</v>
      </c>
      <c r="M3628" s="2">
        <v>44720.0</v>
      </c>
      <c r="N3628" s="2" t="s">
        <v>21</v>
      </c>
    </row>
    <row r="3629" ht="15.75" customHeight="1">
      <c r="A3629" s="2">
        <v>2015.0</v>
      </c>
      <c r="B3629" s="2" t="s">
        <v>15211</v>
      </c>
      <c r="C3629" s="2" t="s">
        <v>15212</v>
      </c>
      <c r="D3629" s="2" t="str">
        <f>"2108249319"</f>
        <v>2108249319</v>
      </c>
      <c r="E3629" s="2" t="s">
        <v>678</v>
      </c>
      <c r="F3629" s="2" t="s">
        <v>2598</v>
      </c>
      <c r="G3629" s="2" t="str">
        <f>"SR-4470"</f>
        <v>SR-4470</v>
      </c>
      <c r="H3629" s="2" t="s">
        <v>15213</v>
      </c>
      <c r="I3629" s="2" t="s">
        <v>15214</v>
      </c>
      <c r="K3629" s="2" t="s">
        <v>632</v>
      </c>
      <c r="L3629" s="2" t="s">
        <v>172</v>
      </c>
      <c r="M3629" s="2">
        <v>78209.0</v>
      </c>
      <c r="N3629" s="2" t="s">
        <v>21</v>
      </c>
    </row>
    <row r="3630" ht="15.75" customHeight="1">
      <c r="A3630" s="2">
        <v>2015.0</v>
      </c>
      <c r="B3630" s="2" t="s">
        <v>5713</v>
      </c>
      <c r="C3630" s="2" t="s">
        <v>16885</v>
      </c>
      <c r="D3630" s="2" t="str">
        <f>"608-786-1193"</f>
        <v>608-786-1193</v>
      </c>
      <c r="E3630" s="2" t="s">
        <v>16886</v>
      </c>
      <c r="F3630" s="2" t="s">
        <v>5715</v>
      </c>
      <c r="G3630" s="2" t="str">
        <f>"SR-5172"</f>
        <v>SR-5172</v>
      </c>
      <c r="H3630" s="2" t="s">
        <v>16887</v>
      </c>
      <c r="I3630" s="2" t="s">
        <v>5717</v>
      </c>
      <c r="K3630" s="2" t="s">
        <v>5718</v>
      </c>
      <c r="L3630" s="2" t="s">
        <v>193</v>
      </c>
      <c r="M3630" s="2">
        <v>54669.0</v>
      </c>
      <c r="N3630" s="2" t="s">
        <v>21</v>
      </c>
    </row>
    <row r="3631" ht="15.75" customHeight="1">
      <c r="A3631" s="2">
        <v>2015.0</v>
      </c>
      <c r="B3631" s="2" t="s">
        <v>1760</v>
      </c>
      <c r="C3631" s="2" t="s">
        <v>16888</v>
      </c>
      <c r="D3631" s="2" t="str">
        <f>"612-209-6548"</f>
        <v>612-209-6548</v>
      </c>
      <c r="E3631" s="2" t="s">
        <v>301</v>
      </c>
      <c r="F3631" s="2" t="s">
        <v>1762</v>
      </c>
      <c r="G3631" s="2" t="str">
        <f>"SR-5043"</f>
        <v>SR-5043</v>
      </c>
      <c r="H3631" s="2" t="s">
        <v>16889</v>
      </c>
      <c r="I3631" s="2" t="s">
        <v>16890</v>
      </c>
      <c r="K3631" s="2" t="s">
        <v>1765</v>
      </c>
      <c r="L3631" s="2" t="s">
        <v>62</v>
      </c>
      <c r="M3631" s="2">
        <v>55378.0</v>
      </c>
      <c r="N3631" s="2" t="s">
        <v>21</v>
      </c>
    </row>
    <row r="3632" ht="15.75" customHeight="1">
      <c r="A3632" s="2">
        <v>2015.0</v>
      </c>
      <c r="B3632" s="2" t="s">
        <v>16891</v>
      </c>
      <c r="C3632" s="2" t="s">
        <v>16891</v>
      </c>
      <c r="D3632" s="2" t="str">
        <f>"2705270882"</f>
        <v>2705270882</v>
      </c>
      <c r="E3632" s="2" t="s">
        <v>13309</v>
      </c>
      <c r="F3632" s="2" t="s">
        <v>4497</v>
      </c>
      <c r="G3632" s="2" t="str">
        <f>"SR-5174"</f>
        <v>SR-5174</v>
      </c>
      <c r="H3632" s="2" t="s">
        <v>16892</v>
      </c>
      <c r="I3632" s="2" t="s">
        <v>16893</v>
      </c>
      <c r="K3632" s="2" t="s">
        <v>16894</v>
      </c>
      <c r="L3632" s="2" t="s">
        <v>1236</v>
      </c>
      <c r="M3632" s="2">
        <v>42025.0</v>
      </c>
      <c r="N3632" s="2" t="s">
        <v>21</v>
      </c>
    </row>
    <row r="3633" ht="15.75" customHeight="1">
      <c r="A3633" s="2">
        <v>2015.0</v>
      </c>
      <c r="B3633" s="2" t="s">
        <v>16895</v>
      </c>
      <c r="C3633" s="2" t="s">
        <v>16895</v>
      </c>
      <c r="D3633" s="2" t="str">
        <f>"(320)220-2519"</f>
        <v>(320)220-2519</v>
      </c>
      <c r="E3633" s="2" t="s">
        <v>13386</v>
      </c>
      <c r="F3633" s="2" t="s">
        <v>4011</v>
      </c>
      <c r="G3633" s="2" t="str">
        <f>"SR-4857"</f>
        <v>SR-4857</v>
      </c>
      <c r="H3633" s="2" t="s">
        <v>16896</v>
      </c>
      <c r="I3633" s="2" t="s">
        <v>16897</v>
      </c>
      <c r="K3633" s="2" t="s">
        <v>7237</v>
      </c>
      <c r="L3633" s="2" t="s">
        <v>62</v>
      </c>
      <c r="M3633" s="2">
        <v>56201.0</v>
      </c>
      <c r="N3633" s="2" t="s">
        <v>21</v>
      </c>
    </row>
    <row r="3634" ht="15.75" customHeight="1">
      <c r="A3634" s="2">
        <v>2015.0</v>
      </c>
      <c r="B3634" s="2" t="s">
        <v>16898</v>
      </c>
      <c r="C3634" s="2" t="s">
        <v>16899</v>
      </c>
      <c r="D3634" s="2" t="str">
        <f>"419-606-7694"</f>
        <v>419-606-7694</v>
      </c>
      <c r="E3634" s="2" t="s">
        <v>485</v>
      </c>
      <c r="F3634" s="2" t="s">
        <v>3879</v>
      </c>
      <c r="G3634" s="2" t="str">
        <f>"SR-5187"</f>
        <v>SR-5187</v>
      </c>
      <c r="H3634" s="2" t="s">
        <v>16900</v>
      </c>
      <c r="I3634" s="2" t="s">
        <v>16901</v>
      </c>
      <c r="K3634" s="2" t="s">
        <v>1154</v>
      </c>
      <c r="L3634" s="2" t="s">
        <v>344</v>
      </c>
      <c r="M3634" s="2">
        <v>44805.0</v>
      </c>
      <c r="N3634" s="2" t="s">
        <v>21</v>
      </c>
    </row>
    <row r="3635" ht="15.75" customHeight="1">
      <c r="A3635" s="2">
        <v>2015.0</v>
      </c>
      <c r="B3635" s="2" t="s">
        <v>16902</v>
      </c>
      <c r="C3635" s="2" t="s">
        <v>16903</v>
      </c>
      <c r="D3635" s="2" t="str">
        <f>"419-496-2648"</f>
        <v>419-496-2648</v>
      </c>
      <c r="E3635" s="2" t="s">
        <v>705</v>
      </c>
      <c r="F3635" s="2" t="s">
        <v>16904</v>
      </c>
      <c r="G3635" s="2" t="str">
        <f>"SR-5190"</f>
        <v>SR-5190</v>
      </c>
      <c r="H3635" s="2" t="s">
        <v>16905</v>
      </c>
      <c r="I3635" s="2" t="s">
        <v>16906</v>
      </c>
      <c r="K3635" s="2" t="s">
        <v>1154</v>
      </c>
      <c r="L3635" s="2" t="s">
        <v>344</v>
      </c>
      <c r="M3635" s="2">
        <v>44805.0</v>
      </c>
      <c r="N3635" s="2" t="s">
        <v>21</v>
      </c>
    </row>
    <row r="3636" ht="15.75" customHeight="1">
      <c r="A3636" s="2">
        <v>2015.0</v>
      </c>
      <c r="B3636" s="2" t="s">
        <v>16907</v>
      </c>
      <c r="C3636" s="2" t="s">
        <v>16907</v>
      </c>
      <c r="D3636" s="2" t="str">
        <f>"719-229-5500"</f>
        <v>719-229-5500</v>
      </c>
      <c r="E3636" s="2" t="s">
        <v>1263</v>
      </c>
      <c r="F3636" s="2" t="s">
        <v>3215</v>
      </c>
      <c r="G3636" s="2" t="str">
        <f>"SR-5026"</f>
        <v>SR-5026</v>
      </c>
      <c r="H3636" s="2" t="s">
        <v>16908</v>
      </c>
      <c r="I3636" s="2" t="s">
        <v>16909</v>
      </c>
      <c r="K3636" s="2" t="s">
        <v>16910</v>
      </c>
      <c r="L3636" s="2" t="s">
        <v>157</v>
      </c>
      <c r="M3636" s="2">
        <v>8091.0</v>
      </c>
      <c r="N3636" s="2" t="s">
        <v>21</v>
      </c>
    </row>
    <row r="3637" ht="15.75" customHeight="1">
      <c r="A3637" s="2">
        <v>2015.0</v>
      </c>
      <c r="B3637" s="2" t="s">
        <v>4682</v>
      </c>
      <c r="C3637" s="2" t="s">
        <v>16911</v>
      </c>
      <c r="D3637" s="2" t="str">
        <f>"512-375-4338"</f>
        <v>512-375-4338</v>
      </c>
      <c r="E3637" s="2" t="s">
        <v>261</v>
      </c>
      <c r="F3637" s="2" t="s">
        <v>4684</v>
      </c>
      <c r="G3637" s="2" t="str">
        <f>"SR-5167"</f>
        <v>SR-5167</v>
      </c>
      <c r="H3637" s="2" t="s">
        <v>16912</v>
      </c>
      <c r="I3637" s="2" t="s">
        <v>16913</v>
      </c>
      <c r="K3637" s="2" t="s">
        <v>4482</v>
      </c>
      <c r="L3637" s="2" t="s">
        <v>172</v>
      </c>
      <c r="M3637" s="2">
        <v>78628.0</v>
      </c>
      <c r="N3637" s="2" t="s">
        <v>21</v>
      </c>
    </row>
    <row r="3638" ht="15.75" customHeight="1">
      <c r="A3638" s="2">
        <v>2015.0</v>
      </c>
      <c r="B3638" s="2" t="s">
        <v>1847</v>
      </c>
      <c r="C3638" s="2" t="s">
        <v>16914</v>
      </c>
      <c r="D3638" s="2" t="str">
        <f>"952 890-5325"</f>
        <v>952 890-5325</v>
      </c>
      <c r="E3638" s="2" t="s">
        <v>137</v>
      </c>
      <c r="F3638" s="2" t="s">
        <v>1849</v>
      </c>
      <c r="G3638" s="2" t="str">
        <f>"SR-5036"</f>
        <v>SR-5036</v>
      </c>
      <c r="H3638" s="2" t="s">
        <v>16915</v>
      </c>
      <c r="I3638" s="2" t="s">
        <v>16916</v>
      </c>
      <c r="K3638" s="2" t="s">
        <v>1765</v>
      </c>
      <c r="L3638" s="2" t="s">
        <v>62</v>
      </c>
      <c r="M3638" s="2">
        <v>55378.0</v>
      </c>
      <c r="N3638" s="2" t="s">
        <v>21</v>
      </c>
    </row>
    <row r="3639" ht="15.75" customHeight="1">
      <c r="A3639" s="2">
        <v>2015.0</v>
      </c>
      <c r="B3639" s="2" t="s">
        <v>8800</v>
      </c>
      <c r="C3639" s="2" t="s">
        <v>8800</v>
      </c>
      <c r="D3639" s="2" t="str">
        <f>"319-383-8838"</f>
        <v>319-383-8838</v>
      </c>
      <c r="E3639" s="2" t="s">
        <v>843</v>
      </c>
      <c r="F3639" s="2" t="s">
        <v>8796</v>
      </c>
      <c r="G3639" s="2" t="str">
        <f>"SR-2566"</f>
        <v>SR-2566</v>
      </c>
      <c r="H3639" s="2" t="s">
        <v>8801</v>
      </c>
      <c r="I3639" s="2" t="s">
        <v>8798</v>
      </c>
      <c r="K3639" s="2" t="s">
        <v>8799</v>
      </c>
      <c r="L3639" s="2" t="s">
        <v>560</v>
      </c>
      <c r="M3639" s="2">
        <v>52333.0</v>
      </c>
      <c r="N3639" s="2" t="s">
        <v>21</v>
      </c>
    </row>
    <row r="3640" ht="15.75" customHeight="1">
      <c r="A3640" s="2">
        <v>2015.0</v>
      </c>
      <c r="B3640" s="2" t="s">
        <v>16917</v>
      </c>
      <c r="C3640" s="2" t="s">
        <v>16918</v>
      </c>
      <c r="D3640" s="2" t="str">
        <f>"8176564153"</f>
        <v>8176564153</v>
      </c>
      <c r="E3640" s="2" t="s">
        <v>16919</v>
      </c>
      <c r="F3640" s="2" t="s">
        <v>16920</v>
      </c>
      <c r="G3640" s="2" t="str">
        <f>"SR-5188"</f>
        <v>SR-5188</v>
      </c>
      <c r="H3640" s="2" t="s">
        <v>16921</v>
      </c>
      <c r="I3640" s="2" t="s">
        <v>16922</v>
      </c>
      <c r="K3640" s="2" t="s">
        <v>16923</v>
      </c>
      <c r="L3640" s="2" t="s">
        <v>172</v>
      </c>
      <c r="M3640" s="2">
        <v>76137.0</v>
      </c>
      <c r="N3640" s="2" t="s">
        <v>21</v>
      </c>
    </row>
    <row r="3641" ht="15.75" customHeight="1">
      <c r="A3641" s="2">
        <v>2015.0</v>
      </c>
      <c r="B3641" s="2" t="s">
        <v>16924</v>
      </c>
      <c r="C3641" s="2" t="s">
        <v>16925</v>
      </c>
      <c r="D3641" s="2" t="str">
        <f>"952-892-6958"</f>
        <v>952-892-6958</v>
      </c>
      <c r="E3641" s="2" t="s">
        <v>678</v>
      </c>
      <c r="F3641" s="2" t="s">
        <v>16926</v>
      </c>
      <c r="G3641" s="2" t="str">
        <f>"SR-5037"</f>
        <v>SR-5037</v>
      </c>
      <c r="H3641" s="2" t="s">
        <v>16927</v>
      </c>
      <c r="I3641" s="2" t="s">
        <v>16928</v>
      </c>
      <c r="K3641" s="2" t="s">
        <v>2267</v>
      </c>
      <c r="L3641" s="2" t="s">
        <v>62</v>
      </c>
      <c r="M3641" s="2">
        <v>55044.0</v>
      </c>
      <c r="N3641" s="2" t="s">
        <v>21</v>
      </c>
    </row>
    <row r="3642" ht="15.75" customHeight="1">
      <c r="A3642" s="2">
        <v>2015.0</v>
      </c>
      <c r="B3642" s="2" t="s">
        <v>9572</v>
      </c>
      <c r="C3642" s="2" t="s">
        <v>16929</v>
      </c>
      <c r="D3642" s="2" t="str">
        <f t="shared" ref="D3642:D3643" si="67">"757-449-0677"</f>
        <v>757-449-0677</v>
      </c>
      <c r="E3642" s="2" t="s">
        <v>1278</v>
      </c>
      <c r="F3642" s="2" t="s">
        <v>189</v>
      </c>
      <c r="G3642" s="2" t="str">
        <f>"SR-5197"</f>
        <v>SR-5197</v>
      </c>
      <c r="H3642" s="2" t="s">
        <v>16930</v>
      </c>
      <c r="I3642" s="2" t="s">
        <v>9575</v>
      </c>
      <c r="K3642" s="2" t="s">
        <v>9576</v>
      </c>
      <c r="L3642" s="2" t="s">
        <v>165</v>
      </c>
      <c r="M3642" s="2">
        <v>23322.0</v>
      </c>
      <c r="N3642" s="2" t="s">
        <v>21</v>
      </c>
    </row>
    <row r="3643" ht="15.75" customHeight="1">
      <c r="A3643" s="2">
        <v>2015.0</v>
      </c>
      <c r="B3643" s="2" t="s">
        <v>9572</v>
      </c>
      <c r="C3643" s="2" t="s">
        <v>9573</v>
      </c>
      <c r="D3643" s="2" t="str">
        <f t="shared" si="67"/>
        <v>757-449-0677</v>
      </c>
      <c r="E3643" s="2" t="s">
        <v>24</v>
      </c>
      <c r="F3643" s="2" t="s">
        <v>189</v>
      </c>
      <c r="G3643" s="2" t="str">
        <f>"SR-2815"</f>
        <v>SR-2815</v>
      </c>
      <c r="H3643" s="2" t="s">
        <v>9574</v>
      </c>
      <c r="I3643" s="2" t="s">
        <v>9575</v>
      </c>
      <c r="K3643" s="2" t="s">
        <v>9576</v>
      </c>
      <c r="L3643" s="2" t="s">
        <v>165</v>
      </c>
      <c r="M3643" s="2">
        <v>23322.0</v>
      </c>
      <c r="N3643" s="2" t="s">
        <v>21</v>
      </c>
    </row>
    <row r="3644" ht="15.75" customHeight="1">
      <c r="A3644" s="2">
        <v>2015.0</v>
      </c>
      <c r="B3644" s="2" t="s">
        <v>16931</v>
      </c>
      <c r="C3644" s="2" t="s">
        <v>16931</v>
      </c>
      <c r="D3644" s="2" t="str">
        <f>"(309)-363-8691"</f>
        <v>(309)-363-8691</v>
      </c>
      <c r="E3644" s="2" t="s">
        <v>144</v>
      </c>
      <c r="F3644" s="2" t="s">
        <v>11586</v>
      </c>
      <c r="G3644" s="2" t="str">
        <f>"SR-4882"</f>
        <v>SR-4882</v>
      </c>
      <c r="H3644" s="2" t="s">
        <v>16932</v>
      </c>
      <c r="I3644" s="2" t="s">
        <v>16933</v>
      </c>
      <c r="K3644" s="2" t="s">
        <v>104</v>
      </c>
      <c r="L3644" s="2" t="s">
        <v>105</v>
      </c>
      <c r="M3644" s="2">
        <v>61604.0</v>
      </c>
      <c r="N3644" s="2" t="s">
        <v>21</v>
      </c>
    </row>
    <row r="3645" ht="15.75" customHeight="1">
      <c r="A3645" s="2">
        <v>2015.0</v>
      </c>
      <c r="B3645" s="2" t="s">
        <v>8314</v>
      </c>
      <c r="C3645" s="2" t="s">
        <v>16934</v>
      </c>
      <c r="D3645" s="2" t="str">
        <f>"6622922276"</f>
        <v>6622922276</v>
      </c>
      <c r="E3645" s="2" t="s">
        <v>485</v>
      </c>
      <c r="F3645" s="2" t="s">
        <v>8317</v>
      </c>
      <c r="G3645" s="2" t="str">
        <f>"SR-4980"</f>
        <v>SR-4980</v>
      </c>
      <c r="H3645" s="2" t="s">
        <v>16935</v>
      </c>
      <c r="I3645" s="2" t="s">
        <v>16936</v>
      </c>
      <c r="K3645" s="2" t="s">
        <v>16937</v>
      </c>
      <c r="L3645" s="2" t="s">
        <v>172</v>
      </c>
      <c r="M3645" s="2">
        <v>76542.0</v>
      </c>
      <c r="N3645" s="2" t="s">
        <v>21</v>
      </c>
    </row>
    <row r="3646" ht="15.75" customHeight="1">
      <c r="A3646" s="2">
        <v>2015.0</v>
      </c>
      <c r="B3646" s="2" t="s">
        <v>9811</v>
      </c>
      <c r="C3646" s="2" t="s">
        <v>9811</v>
      </c>
      <c r="D3646" s="2" t="str">
        <f>"7862394939"</f>
        <v>7862394939</v>
      </c>
      <c r="E3646" s="2" t="s">
        <v>1190</v>
      </c>
      <c r="F3646" s="2" t="s">
        <v>645</v>
      </c>
      <c r="G3646" s="2" t="str">
        <f>"SR-5204"</f>
        <v>SR-5204</v>
      </c>
      <c r="H3646" s="2" t="s">
        <v>9812</v>
      </c>
      <c r="I3646" s="2" t="s">
        <v>9813</v>
      </c>
      <c r="K3646" s="2" t="s">
        <v>1272</v>
      </c>
      <c r="L3646" s="2" t="s">
        <v>208</v>
      </c>
      <c r="M3646" s="2">
        <v>33157.0</v>
      </c>
      <c r="N3646" s="2" t="s">
        <v>21</v>
      </c>
    </row>
    <row r="3647" ht="15.75" customHeight="1">
      <c r="A3647" s="2">
        <v>2015.0</v>
      </c>
      <c r="B3647" s="2" t="s">
        <v>9035</v>
      </c>
      <c r="C3647" s="2" t="s">
        <v>9035</v>
      </c>
      <c r="D3647" s="2" t="str">
        <f>"319-981-2596"</f>
        <v>319-981-2596</v>
      </c>
      <c r="E3647" s="2" t="s">
        <v>3196</v>
      </c>
      <c r="F3647" s="2" t="s">
        <v>9036</v>
      </c>
      <c r="G3647" s="2" t="str">
        <f>"SR-2570"</f>
        <v>SR-2570</v>
      </c>
      <c r="H3647" s="2" t="s">
        <v>9037</v>
      </c>
      <c r="I3647" s="2" t="s">
        <v>9038</v>
      </c>
      <c r="K3647" s="2" t="s">
        <v>3273</v>
      </c>
      <c r="L3647" s="2" t="s">
        <v>560</v>
      </c>
      <c r="M3647" s="2">
        <v>52405.0</v>
      </c>
      <c r="N3647" s="2" t="s">
        <v>21</v>
      </c>
    </row>
    <row r="3648" ht="15.75" customHeight="1">
      <c r="A3648" s="2">
        <v>2015.0</v>
      </c>
      <c r="B3648" s="2" t="s">
        <v>16938</v>
      </c>
      <c r="C3648" s="2" t="s">
        <v>16939</v>
      </c>
      <c r="D3648" s="2" t="str">
        <f>"941-914-0510"</f>
        <v>941-914-0510</v>
      </c>
      <c r="E3648" s="2" t="s">
        <v>16940</v>
      </c>
      <c r="F3648" s="2" t="s">
        <v>16941</v>
      </c>
      <c r="G3648" s="2" t="str">
        <f>"SR-4846"</f>
        <v>SR-4846</v>
      </c>
      <c r="H3648" s="2" t="s">
        <v>16942</v>
      </c>
      <c r="I3648" s="2" t="s">
        <v>16943</v>
      </c>
      <c r="K3648" s="2" t="s">
        <v>207</v>
      </c>
      <c r="L3648" s="2" t="s">
        <v>208</v>
      </c>
      <c r="M3648" s="2">
        <v>34232.0</v>
      </c>
      <c r="N3648" s="2" t="s">
        <v>21</v>
      </c>
    </row>
    <row r="3649" ht="15.75" customHeight="1">
      <c r="A3649" s="2">
        <v>2015.0</v>
      </c>
      <c r="B3649" s="2" t="s">
        <v>13312</v>
      </c>
      <c r="C3649" s="2" t="s">
        <v>13313</v>
      </c>
      <c r="D3649" s="2" t="str">
        <f>"7203848984"</f>
        <v>7203848984</v>
      </c>
      <c r="E3649" s="2" t="s">
        <v>13314</v>
      </c>
      <c r="F3649" s="2" t="s">
        <v>13315</v>
      </c>
      <c r="G3649" s="2" t="str">
        <f>"SR-367"</f>
        <v>SR-367</v>
      </c>
      <c r="H3649" s="2" t="s">
        <v>13316</v>
      </c>
      <c r="I3649" s="2" t="s">
        <v>13317</v>
      </c>
      <c r="K3649" s="2" t="s">
        <v>13318</v>
      </c>
      <c r="L3649" s="2" t="s">
        <v>157</v>
      </c>
      <c r="M3649" s="2">
        <v>80134.0</v>
      </c>
      <c r="N3649" s="2" t="s">
        <v>21</v>
      </c>
    </row>
    <row r="3650" ht="15.75" customHeight="1">
      <c r="A3650" s="2">
        <v>2015.0</v>
      </c>
      <c r="B3650" s="2" t="s">
        <v>16944</v>
      </c>
      <c r="D3650" s="2" t="str">
        <f>""</f>
        <v/>
      </c>
      <c r="E3650" s="2" t="s">
        <v>72</v>
      </c>
      <c r="F3650" s="2" t="s">
        <v>16945</v>
      </c>
      <c r="G3650" s="2" t="str">
        <f>"SR-284"</f>
        <v>SR-284</v>
      </c>
      <c r="H3650" s="2" t="s">
        <v>16946</v>
      </c>
      <c r="N3650" s="2" t="s">
        <v>21</v>
      </c>
    </row>
    <row r="3651" ht="15.75" customHeight="1">
      <c r="A3651" s="2">
        <v>2015.0</v>
      </c>
      <c r="B3651" s="2" t="s">
        <v>16947</v>
      </c>
      <c r="C3651" s="2" t="s">
        <v>16947</v>
      </c>
      <c r="D3651" s="2" t="str">
        <f>"5672749890"</f>
        <v>5672749890</v>
      </c>
      <c r="E3651" s="2" t="s">
        <v>261</v>
      </c>
      <c r="F3651" s="2" t="s">
        <v>16948</v>
      </c>
      <c r="G3651" s="2" t="str">
        <f>"SR-5192"</f>
        <v>SR-5192</v>
      </c>
      <c r="H3651" s="2" t="s">
        <v>16949</v>
      </c>
      <c r="I3651" s="2" t="s">
        <v>16950</v>
      </c>
      <c r="K3651" s="2" t="s">
        <v>1154</v>
      </c>
      <c r="L3651" s="2" t="s">
        <v>344</v>
      </c>
      <c r="M3651" s="2">
        <v>44805.0</v>
      </c>
      <c r="N3651" s="2" t="s">
        <v>21</v>
      </c>
    </row>
    <row r="3652" ht="15.75" customHeight="1">
      <c r="A3652" s="2">
        <v>2015.0</v>
      </c>
      <c r="B3652" s="2" t="s">
        <v>16951</v>
      </c>
      <c r="C3652" s="2" t="s">
        <v>16952</v>
      </c>
      <c r="D3652" s="2" t="str">
        <f>"910-352-2614"</f>
        <v>910-352-2614</v>
      </c>
      <c r="E3652" s="2" t="s">
        <v>2173</v>
      </c>
      <c r="F3652" s="2" t="s">
        <v>3269</v>
      </c>
      <c r="G3652" s="2" t="str">
        <f>"SR-4848"</f>
        <v>SR-4848</v>
      </c>
      <c r="H3652" s="2" t="s">
        <v>16953</v>
      </c>
      <c r="I3652" s="2" t="s">
        <v>16954</v>
      </c>
      <c r="K3652" s="2" t="s">
        <v>11784</v>
      </c>
      <c r="L3652" s="2" t="s">
        <v>20</v>
      </c>
      <c r="M3652" s="2">
        <v>28405.0</v>
      </c>
      <c r="N3652" s="2" t="s">
        <v>21</v>
      </c>
    </row>
    <row r="3653" ht="15.75" customHeight="1">
      <c r="A3653" s="2">
        <v>2015.0</v>
      </c>
      <c r="B3653" s="2" t="s">
        <v>16951</v>
      </c>
      <c r="C3653" s="2" t="s">
        <v>16955</v>
      </c>
      <c r="D3653" s="2" t="str">
        <f>"703-569-2150"</f>
        <v>703-569-2150</v>
      </c>
      <c r="E3653" s="2" t="s">
        <v>225</v>
      </c>
      <c r="F3653" s="2" t="s">
        <v>15668</v>
      </c>
      <c r="G3653" s="2" t="str">
        <f>"SR-4995"</f>
        <v>SR-4995</v>
      </c>
      <c r="H3653" s="2" t="s">
        <v>16956</v>
      </c>
      <c r="I3653" s="2" t="s">
        <v>16957</v>
      </c>
      <c r="K3653" s="2" t="s">
        <v>3239</v>
      </c>
      <c r="L3653" s="2" t="s">
        <v>165</v>
      </c>
      <c r="M3653" s="2">
        <v>22152.0</v>
      </c>
      <c r="N3653" s="2" t="s">
        <v>21</v>
      </c>
    </row>
    <row r="3654" ht="15.75" customHeight="1">
      <c r="A3654" s="2">
        <v>2015.0</v>
      </c>
      <c r="B3654" s="2" t="s">
        <v>16938</v>
      </c>
      <c r="C3654" s="2" t="s">
        <v>16958</v>
      </c>
      <c r="D3654" s="2" t="str">
        <f>"941-914-0510"</f>
        <v>941-914-0510</v>
      </c>
      <c r="E3654" s="2" t="s">
        <v>5906</v>
      </c>
      <c r="F3654" s="2" t="s">
        <v>16941</v>
      </c>
      <c r="G3654" s="2" t="str">
        <f>"SR-4931"</f>
        <v>SR-4931</v>
      </c>
      <c r="H3654" s="2" t="s">
        <v>16959</v>
      </c>
      <c r="I3654" s="2" t="s">
        <v>16943</v>
      </c>
      <c r="K3654" s="2" t="s">
        <v>207</v>
      </c>
      <c r="L3654" s="2" t="s">
        <v>208</v>
      </c>
      <c r="M3654" s="2">
        <v>34232.0</v>
      </c>
      <c r="N3654" s="2" t="s">
        <v>21</v>
      </c>
    </row>
    <row r="3655" ht="15.75" customHeight="1">
      <c r="A3655" s="2">
        <v>2015.0</v>
      </c>
      <c r="B3655" s="2" t="s">
        <v>16960</v>
      </c>
      <c r="C3655" s="2" t="s">
        <v>16961</v>
      </c>
      <c r="D3655" s="2" t="str">
        <f>"214-384-9444"</f>
        <v>214-384-9444</v>
      </c>
      <c r="E3655" s="2" t="s">
        <v>3878</v>
      </c>
      <c r="F3655" s="2" t="s">
        <v>16962</v>
      </c>
      <c r="G3655" s="2" t="str">
        <f>"SR-5206"</f>
        <v>SR-5206</v>
      </c>
      <c r="H3655" s="2" t="s">
        <v>16963</v>
      </c>
      <c r="I3655" s="2" t="s">
        <v>16964</v>
      </c>
      <c r="K3655" s="2" t="s">
        <v>2643</v>
      </c>
      <c r="L3655" s="2" t="s">
        <v>172</v>
      </c>
      <c r="M3655" s="2">
        <v>75028.0</v>
      </c>
      <c r="N3655" s="2" t="s">
        <v>21</v>
      </c>
    </row>
    <row r="3656" ht="15.75" customHeight="1">
      <c r="A3656" s="2">
        <v>2015.0</v>
      </c>
      <c r="B3656" s="2" t="s">
        <v>7446</v>
      </c>
      <c r="C3656" s="2" t="s">
        <v>11702</v>
      </c>
      <c r="D3656" s="2" t="str">
        <f>"4788673166"</f>
        <v>4788673166</v>
      </c>
      <c r="E3656" s="2" t="s">
        <v>2941</v>
      </c>
      <c r="F3656" s="2" t="s">
        <v>3144</v>
      </c>
      <c r="G3656" s="2" t="str">
        <f>"SR-2515"</f>
        <v>SR-2515</v>
      </c>
      <c r="H3656" s="2" t="s">
        <v>11703</v>
      </c>
      <c r="I3656" s="2" t="s">
        <v>11704</v>
      </c>
      <c r="K3656" s="2" t="s">
        <v>11705</v>
      </c>
      <c r="L3656" s="2" t="s">
        <v>200</v>
      </c>
      <c r="M3656" s="2">
        <v>31036.0</v>
      </c>
      <c r="N3656" s="2" t="s">
        <v>21</v>
      </c>
    </row>
    <row r="3657" ht="15.75" customHeight="1">
      <c r="A3657" s="2">
        <v>2015.0</v>
      </c>
      <c r="B3657" s="2" t="s">
        <v>16965</v>
      </c>
      <c r="C3657" s="2" t="s">
        <v>16965</v>
      </c>
      <c r="D3657" s="2" t="str">
        <f>"952-953-2035"</f>
        <v>952-953-2035</v>
      </c>
      <c r="E3657" s="2" t="s">
        <v>2965</v>
      </c>
      <c r="F3657" s="2" t="s">
        <v>16966</v>
      </c>
      <c r="G3657" s="2" t="str">
        <f>"SR-5214"</f>
        <v>SR-5214</v>
      </c>
      <c r="H3657" s="2" t="s">
        <v>16967</v>
      </c>
      <c r="I3657" s="2" t="s">
        <v>16968</v>
      </c>
      <c r="K3657" s="2" t="s">
        <v>2267</v>
      </c>
      <c r="L3657" s="2" t="s">
        <v>62</v>
      </c>
      <c r="M3657" s="2">
        <v>55044.0</v>
      </c>
      <c r="N3657" s="2" t="s">
        <v>21</v>
      </c>
    </row>
    <row r="3658" ht="15.75" customHeight="1">
      <c r="A3658" s="2">
        <v>2015.0</v>
      </c>
      <c r="B3658" s="2" t="s">
        <v>16969</v>
      </c>
      <c r="C3658" s="2" t="s">
        <v>16970</v>
      </c>
      <c r="D3658" s="2" t="str">
        <f t="shared" ref="D3658:D3659" si="68">"2188394812"</f>
        <v>2188394812</v>
      </c>
      <c r="E3658" s="2" t="s">
        <v>16971</v>
      </c>
      <c r="F3658" s="2" t="s">
        <v>16972</v>
      </c>
      <c r="G3658" s="2" t="str">
        <f>"SR-4924"</f>
        <v>SR-4924</v>
      </c>
      <c r="H3658" s="2" t="s">
        <v>16973</v>
      </c>
      <c r="I3658" s="2" t="s">
        <v>16974</v>
      </c>
      <c r="K3658" s="2" t="s">
        <v>16975</v>
      </c>
      <c r="L3658" s="2" t="s">
        <v>62</v>
      </c>
      <c r="M3658" s="2">
        <v>56466.0</v>
      </c>
      <c r="N3658" s="2" t="s">
        <v>21</v>
      </c>
    </row>
    <row r="3659" ht="15.75" customHeight="1">
      <c r="A3659" s="2">
        <v>2015.0</v>
      </c>
      <c r="B3659" s="2" t="s">
        <v>16969</v>
      </c>
      <c r="C3659" s="2" t="s">
        <v>16976</v>
      </c>
      <c r="D3659" s="2" t="str">
        <f t="shared" si="68"/>
        <v>2188394812</v>
      </c>
      <c r="E3659" s="2" t="s">
        <v>225</v>
      </c>
      <c r="F3659" s="2" t="s">
        <v>16972</v>
      </c>
      <c r="G3659" s="2" t="str">
        <f>"SR-4942"</f>
        <v>SR-4942</v>
      </c>
      <c r="H3659" s="2" t="s">
        <v>16977</v>
      </c>
      <c r="I3659" s="2" t="s">
        <v>16974</v>
      </c>
      <c r="K3659" s="2" t="s">
        <v>16975</v>
      </c>
      <c r="L3659" s="2" t="s">
        <v>62</v>
      </c>
      <c r="M3659" s="2">
        <v>56466.0</v>
      </c>
      <c r="N3659" s="2" t="s">
        <v>21</v>
      </c>
    </row>
    <row r="3660" ht="15.75" customHeight="1">
      <c r="A3660" s="2">
        <v>2015.0</v>
      </c>
      <c r="B3660" s="2" t="s">
        <v>6358</v>
      </c>
      <c r="C3660" s="2" t="s">
        <v>16978</v>
      </c>
      <c r="D3660" s="2" t="str">
        <f>"260 624 3208"</f>
        <v>260 624 3208</v>
      </c>
      <c r="E3660" s="2" t="s">
        <v>843</v>
      </c>
      <c r="F3660" s="2" t="s">
        <v>6360</v>
      </c>
      <c r="G3660" s="2" t="str">
        <f>"SR-5082"</f>
        <v>SR-5082</v>
      </c>
      <c r="H3660" s="2" t="s">
        <v>16979</v>
      </c>
      <c r="I3660" s="2" t="s">
        <v>16980</v>
      </c>
      <c r="K3660" s="2" t="s">
        <v>6363</v>
      </c>
      <c r="L3660" s="2" t="s">
        <v>149</v>
      </c>
      <c r="M3660" s="2">
        <v>46703.0</v>
      </c>
      <c r="N3660" s="2" t="s">
        <v>21</v>
      </c>
    </row>
    <row r="3661" ht="15.75" customHeight="1">
      <c r="A3661" s="2">
        <v>2015.0</v>
      </c>
      <c r="B3661" s="2" t="s">
        <v>10788</v>
      </c>
      <c r="C3661" s="2" t="s">
        <v>10789</v>
      </c>
      <c r="D3661" s="2" t="str">
        <f>"214-516-2618"</f>
        <v>214-516-2618</v>
      </c>
      <c r="E3661" s="2" t="s">
        <v>4206</v>
      </c>
      <c r="F3661" s="2" t="s">
        <v>10790</v>
      </c>
      <c r="G3661" s="2" t="str">
        <f>"SR-3146"</f>
        <v>SR-3146</v>
      </c>
      <c r="H3661" s="2" t="s">
        <v>10791</v>
      </c>
      <c r="I3661" s="2" t="s">
        <v>10792</v>
      </c>
      <c r="K3661" s="2" t="s">
        <v>4174</v>
      </c>
      <c r="L3661" s="2" t="s">
        <v>172</v>
      </c>
      <c r="M3661" s="2">
        <v>75056.0</v>
      </c>
      <c r="N3661" s="2" t="s">
        <v>21</v>
      </c>
    </row>
    <row r="3662" ht="15.75" customHeight="1">
      <c r="A3662" s="2">
        <v>2015.0</v>
      </c>
      <c r="B3662" s="2" t="s">
        <v>10788</v>
      </c>
      <c r="C3662" s="2" t="s">
        <v>16981</v>
      </c>
      <c r="D3662" s="2" t="str">
        <f>"(214) 636-3015"</f>
        <v>(214) 636-3015</v>
      </c>
      <c r="E3662" s="2" t="s">
        <v>8752</v>
      </c>
      <c r="F3662" s="2" t="s">
        <v>10790</v>
      </c>
      <c r="G3662" s="2" t="str">
        <f>"SR-5219"</f>
        <v>SR-5219</v>
      </c>
      <c r="H3662" s="2" t="s">
        <v>16982</v>
      </c>
      <c r="I3662" s="2" t="s">
        <v>10792</v>
      </c>
      <c r="K3662" s="2" t="s">
        <v>4174</v>
      </c>
      <c r="L3662" s="2" t="s">
        <v>172</v>
      </c>
      <c r="M3662" s="2">
        <v>75056.0</v>
      </c>
      <c r="N3662" s="2" t="s">
        <v>21</v>
      </c>
    </row>
    <row r="3663" ht="15.75" customHeight="1">
      <c r="A3663" s="2">
        <v>2015.0</v>
      </c>
      <c r="B3663" s="2" t="s">
        <v>16983</v>
      </c>
      <c r="C3663" s="2" t="s">
        <v>16983</v>
      </c>
      <c r="D3663" s="2" t="str">
        <f>"3175276250"</f>
        <v>3175276250</v>
      </c>
      <c r="E3663" s="2" t="s">
        <v>2309</v>
      </c>
      <c r="F3663" s="2" t="s">
        <v>1057</v>
      </c>
      <c r="G3663" s="2" t="str">
        <f>"SR-5055"</f>
        <v>SR-5055</v>
      </c>
      <c r="H3663" s="2" t="s">
        <v>16984</v>
      </c>
      <c r="I3663" s="2" t="s">
        <v>16985</v>
      </c>
      <c r="K3663" s="2" t="s">
        <v>1188</v>
      </c>
      <c r="L3663" s="2" t="s">
        <v>149</v>
      </c>
      <c r="M3663" s="2">
        <v>46239.0</v>
      </c>
      <c r="N3663" s="2" t="s">
        <v>21</v>
      </c>
    </row>
    <row r="3664" ht="15.75" customHeight="1">
      <c r="A3664" s="2">
        <v>2015.0</v>
      </c>
      <c r="B3664" s="2" t="s">
        <v>16986</v>
      </c>
      <c r="C3664" s="2" t="s">
        <v>16987</v>
      </c>
      <c r="D3664" s="2" t="str">
        <f>"309-692-8780"</f>
        <v>309-692-8780</v>
      </c>
      <c r="E3664" s="2" t="s">
        <v>16988</v>
      </c>
      <c r="F3664" s="2" t="s">
        <v>1859</v>
      </c>
      <c r="G3664" s="2" t="str">
        <f>"SR-4881"</f>
        <v>SR-4881</v>
      </c>
      <c r="H3664" s="2" t="s">
        <v>16989</v>
      </c>
      <c r="I3664" s="2" t="s">
        <v>16990</v>
      </c>
      <c r="K3664" s="2" t="s">
        <v>104</v>
      </c>
      <c r="L3664" s="2" t="s">
        <v>105</v>
      </c>
      <c r="M3664" s="2">
        <v>61614.0</v>
      </c>
      <c r="N3664" s="2" t="s">
        <v>21</v>
      </c>
    </row>
    <row r="3665" ht="15.75" customHeight="1">
      <c r="A3665" s="2">
        <v>2015.0</v>
      </c>
      <c r="B3665" s="2" t="s">
        <v>16991</v>
      </c>
      <c r="C3665" s="2" t="s">
        <v>16992</v>
      </c>
      <c r="D3665" s="2" t="str">
        <f>"309-696-2152"</f>
        <v>309-696-2152</v>
      </c>
      <c r="E3665" s="2" t="s">
        <v>4322</v>
      </c>
      <c r="F3665" s="2" t="s">
        <v>16993</v>
      </c>
      <c r="G3665" s="2" t="str">
        <f>"SR-4875"</f>
        <v>SR-4875</v>
      </c>
      <c r="H3665" s="2" t="s">
        <v>16994</v>
      </c>
      <c r="I3665" s="2" t="s">
        <v>16995</v>
      </c>
      <c r="K3665" s="2" t="s">
        <v>16996</v>
      </c>
      <c r="L3665" s="2" t="s">
        <v>105</v>
      </c>
      <c r="M3665" s="2">
        <v>61483.0</v>
      </c>
      <c r="N3665" s="2" t="s">
        <v>21</v>
      </c>
    </row>
    <row r="3666" ht="15.75" customHeight="1">
      <c r="A3666" s="2">
        <v>2015.0</v>
      </c>
      <c r="B3666" s="2" t="s">
        <v>16997</v>
      </c>
      <c r="C3666" s="2" t="s">
        <v>16997</v>
      </c>
      <c r="D3666" s="2" t="str">
        <f>"3096936112"</f>
        <v>3096936112</v>
      </c>
      <c r="E3666" s="2" t="s">
        <v>2089</v>
      </c>
      <c r="F3666" s="2" t="s">
        <v>962</v>
      </c>
      <c r="G3666" s="2" t="str">
        <f>"SR-5023"</f>
        <v>SR-5023</v>
      </c>
      <c r="H3666" s="2" t="s">
        <v>16998</v>
      </c>
      <c r="I3666" s="2" t="s">
        <v>16999</v>
      </c>
      <c r="K3666" s="2" t="s">
        <v>104</v>
      </c>
      <c r="L3666" s="2" t="s">
        <v>105</v>
      </c>
      <c r="M3666" s="2">
        <v>61614.0</v>
      </c>
      <c r="N3666" s="2" t="s">
        <v>21</v>
      </c>
    </row>
    <row r="3667" ht="15.75" customHeight="1">
      <c r="A3667" s="2">
        <v>2015.0</v>
      </c>
      <c r="B3667" s="2" t="s">
        <v>17000</v>
      </c>
      <c r="C3667" s="2" t="s">
        <v>17000</v>
      </c>
      <c r="D3667" s="2" t="str">
        <f>"309-992-8822"</f>
        <v>309-992-8822</v>
      </c>
      <c r="E3667" s="2" t="s">
        <v>203</v>
      </c>
      <c r="F3667" s="2" t="s">
        <v>17001</v>
      </c>
      <c r="G3667" s="2" t="str">
        <f>"SR-2491"</f>
        <v>SR-2491</v>
      </c>
      <c r="H3667" s="2" t="s">
        <v>17002</v>
      </c>
      <c r="I3667" s="2" t="s">
        <v>17003</v>
      </c>
      <c r="K3667" s="2" t="s">
        <v>104</v>
      </c>
      <c r="L3667" s="2" t="s">
        <v>105</v>
      </c>
      <c r="M3667" s="2">
        <v>61603.0</v>
      </c>
      <c r="N3667" s="2" t="s">
        <v>21</v>
      </c>
    </row>
    <row r="3668" ht="15.75" customHeight="1">
      <c r="A3668" s="2">
        <v>2015.0</v>
      </c>
      <c r="B3668" s="2" t="s">
        <v>17004</v>
      </c>
      <c r="C3668" s="2" t="s">
        <v>17005</v>
      </c>
      <c r="D3668" s="2" t="str">
        <f>"8136812981"</f>
        <v>8136812981</v>
      </c>
      <c r="E3668" s="2" t="s">
        <v>15048</v>
      </c>
      <c r="F3668" s="2" t="s">
        <v>17006</v>
      </c>
      <c r="G3668" s="2" t="str">
        <f>"SR-5017"</f>
        <v>SR-5017</v>
      </c>
      <c r="H3668" s="2" t="s">
        <v>17007</v>
      </c>
      <c r="I3668" s="2" t="s">
        <v>17008</v>
      </c>
      <c r="K3668" s="2" t="s">
        <v>2147</v>
      </c>
      <c r="L3668" s="2" t="s">
        <v>208</v>
      </c>
      <c r="M3668" s="2">
        <v>33510.0</v>
      </c>
      <c r="N3668" s="2" t="s">
        <v>21</v>
      </c>
    </row>
    <row r="3669" ht="15.75" customHeight="1">
      <c r="A3669" s="2">
        <v>2015.0</v>
      </c>
      <c r="B3669" s="2" t="s">
        <v>17009</v>
      </c>
      <c r="C3669" s="2" t="s">
        <v>17010</v>
      </c>
      <c r="D3669" s="2" t="str">
        <f>"717 495-4096"</f>
        <v>717 495-4096</v>
      </c>
      <c r="E3669" s="2" t="s">
        <v>17011</v>
      </c>
      <c r="F3669" s="2" t="s">
        <v>5528</v>
      </c>
      <c r="G3669" s="2" t="str">
        <f>"SR-5176"</f>
        <v>SR-5176</v>
      </c>
      <c r="H3669" s="2" t="s">
        <v>17012</v>
      </c>
      <c r="I3669" s="2" t="s">
        <v>17013</v>
      </c>
      <c r="K3669" s="2" t="s">
        <v>16541</v>
      </c>
      <c r="L3669" s="2" t="s">
        <v>179</v>
      </c>
      <c r="M3669" s="2">
        <v>17403.0</v>
      </c>
      <c r="N3669" s="2" t="s">
        <v>21</v>
      </c>
    </row>
    <row r="3670" ht="15.75" customHeight="1">
      <c r="A3670" s="2">
        <v>2015.0</v>
      </c>
      <c r="B3670" s="2" t="s">
        <v>3824</v>
      </c>
      <c r="C3670" s="2" t="s">
        <v>17014</v>
      </c>
      <c r="D3670" s="2" t="str">
        <f>"806-787-2031"</f>
        <v>806-787-2031</v>
      </c>
      <c r="E3670" s="2" t="s">
        <v>160</v>
      </c>
      <c r="F3670" s="2" t="s">
        <v>3826</v>
      </c>
      <c r="G3670" s="2" t="str">
        <f>"SR-5202"</f>
        <v>SR-5202</v>
      </c>
      <c r="H3670" s="2" t="s">
        <v>17015</v>
      </c>
      <c r="I3670" s="2" t="s">
        <v>3828</v>
      </c>
      <c r="K3670" s="2" t="s">
        <v>1121</v>
      </c>
      <c r="L3670" s="2" t="s">
        <v>172</v>
      </c>
      <c r="M3670" s="2">
        <v>79416.0</v>
      </c>
      <c r="N3670" s="2" t="s">
        <v>21</v>
      </c>
    </row>
    <row r="3671" ht="15.75" customHeight="1">
      <c r="A3671" s="2">
        <v>2015.0</v>
      </c>
      <c r="B3671" s="2" t="s">
        <v>17016</v>
      </c>
      <c r="C3671" s="2" t="s">
        <v>17017</v>
      </c>
      <c r="D3671" s="2" t="str">
        <f>"913-634-3509"</f>
        <v>913-634-3509</v>
      </c>
      <c r="E3671" s="2" t="s">
        <v>4555</v>
      </c>
      <c r="F3671" s="2" t="s">
        <v>17018</v>
      </c>
      <c r="G3671" s="2" t="str">
        <f>"SR-5217"</f>
        <v>SR-5217</v>
      </c>
      <c r="H3671" s="2" t="s">
        <v>17019</v>
      </c>
      <c r="I3671" s="2" t="s">
        <v>17020</v>
      </c>
      <c r="K3671" s="2" t="s">
        <v>3103</v>
      </c>
      <c r="L3671" s="2" t="s">
        <v>272</v>
      </c>
      <c r="M3671" s="2">
        <v>66210.0</v>
      </c>
      <c r="N3671" s="2" t="s">
        <v>21</v>
      </c>
    </row>
    <row r="3672" ht="15.75" customHeight="1">
      <c r="A3672" s="2">
        <v>2015.0</v>
      </c>
      <c r="B3672" s="2" t="s">
        <v>17021</v>
      </c>
      <c r="C3672" s="2" t="s">
        <v>17021</v>
      </c>
      <c r="D3672" s="2" t="str">
        <f>"3176907549"</f>
        <v>3176907549</v>
      </c>
      <c r="E3672" s="2" t="s">
        <v>1810</v>
      </c>
      <c r="F3672" s="2" t="s">
        <v>405</v>
      </c>
      <c r="G3672" s="2" t="str">
        <f>"SR-5105"</f>
        <v>SR-5105</v>
      </c>
      <c r="H3672" s="2" t="s">
        <v>17022</v>
      </c>
      <c r="I3672" s="2" t="s">
        <v>17023</v>
      </c>
      <c r="K3672" s="2" t="s">
        <v>408</v>
      </c>
      <c r="L3672" s="2" t="s">
        <v>149</v>
      </c>
      <c r="M3672" s="2">
        <v>46077.0</v>
      </c>
      <c r="N3672" s="2" t="s">
        <v>21</v>
      </c>
    </row>
    <row r="3673" ht="15.75" customHeight="1">
      <c r="A3673" s="2">
        <v>2015.0</v>
      </c>
      <c r="B3673" s="2" t="s">
        <v>17024</v>
      </c>
      <c r="C3673" s="2" t="s">
        <v>17025</v>
      </c>
      <c r="D3673" s="2" t="str">
        <f t="shared" ref="D3673:D3674" si="69">"4052509959"</f>
        <v>4052509959</v>
      </c>
      <c r="E3673" s="2" t="s">
        <v>17026</v>
      </c>
      <c r="F3673" s="2" t="s">
        <v>283</v>
      </c>
      <c r="G3673" s="2" t="str">
        <f>"SR-5186"</f>
        <v>SR-5186</v>
      </c>
      <c r="H3673" s="2" t="s">
        <v>17027</v>
      </c>
      <c r="I3673" s="2" t="s">
        <v>17028</v>
      </c>
      <c r="K3673" s="2" t="s">
        <v>1546</v>
      </c>
      <c r="L3673" s="2" t="s">
        <v>840</v>
      </c>
      <c r="M3673" s="2">
        <v>73034.0</v>
      </c>
      <c r="N3673" s="2" t="s">
        <v>21</v>
      </c>
    </row>
    <row r="3674" ht="15.75" customHeight="1">
      <c r="A3674" s="2">
        <v>2015.0</v>
      </c>
      <c r="B3674" s="2" t="s">
        <v>17024</v>
      </c>
      <c r="C3674" s="2" t="s">
        <v>17029</v>
      </c>
      <c r="D3674" s="2" t="str">
        <f t="shared" si="69"/>
        <v>4052509959</v>
      </c>
      <c r="E3674" s="2" t="s">
        <v>778</v>
      </c>
      <c r="F3674" s="2" t="s">
        <v>283</v>
      </c>
      <c r="G3674" s="2" t="str">
        <f>"SR-5183"</f>
        <v>SR-5183</v>
      </c>
      <c r="H3674" s="2" t="s">
        <v>17030</v>
      </c>
      <c r="I3674" s="2" t="s">
        <v>17028</v>
      </c>
      <c r="K3674" s="2" t="s">
        <v>1546</v>
      </c>
      <c r="L3674" s="2" t="s">
        <v>840</v>
      </c>
      <c r="M3674" s="2">
        <v>73034.0</v>
      </c>
      <c r="N3674" s="2" t="s">
        <v>21</v>
      </c>
    </row>
    <row r="3675" ht="15.75" customHeight="1">
      <c r="A3675" s="2">
        <v>2015.0</v>
      </c>
      <c r="B3675" s="2" t="s">
        <v>17031</v>
      </c>
      <c r="C3675" s="2" t="s">
        <v>17032</v>
      </c>
      <c r="D3675" s="2" t="str">
        <f>"913-530-6351"</f>
        <v>913-530-6351</v>
      </c>
      <c r="E3675" s="2" t="s">
        <v>160</v>
      </c>
      <c r="F3675" s="2" t="s">
        <v>2662</v>
      </c>
      <c r="G3675" s="2" t="str">
        <f>"SR-5224"</f>
        <v>SR-5224</v>
      </c>
      <c r="H3675" s="2" t="s">
        <v>17033</v>
      </c>
      <c r="I3675" s="2" t="s">
        <v>17034</v>
      </c>
      <c r="K3675" s="2" t="s">
        <v>3103</v>
      </c>
      <c r="L3675" s="2" t="s">
        <v>272</v>
      </c>
      <c r="M3675" s="2">
        <v>66213.0</v>
      </c>
      <c r="N3675" s="2" t="s">
        <v>21</v>
      </c>
    </row>
    <row r="3676" ht="15.75" customHeight="1">
      <c r="A3676" s="2">
        <v>2015.0</v>
      </c>
      <c r="B3676" s="2" t="s">
        <v>17035</v>
      </c>
      <c r="C3676" s="2" t="s">
        <v>17036</v>
      </c>
      <c r="D3676" s="2" t="str">
        <f>"3035058988"</f>
        <v>3035058988</v>
      </c>
      <c r="E3676" s="2" t="s">
        <v>705</v>
      </c>
      <c r="F3676" s="2" t="s">
        <v>1529</v>
      </c>
      <c r="G3676" s="2" t="str">
        <f>"SR-5225"</f>
        <v>SR-5225</v>
      </c>
      <c r="H3676" s="2" t="s">
        <v>17037</v>
      </c>
      <c r="I3676" s="2" t="s">
        <v>17038</v>
      </c>
      <c r="K3676" s="2" t="s">
        <v>1398</v>
      </c>
      <c r="L3676" s="2" t="s">
        <v>157</v>
      </c>
      <c r="M3676" s="2">
        <v>80104.0</v>
      </c>
      <c r="N3676" s="2" t="s">
        <v>21</v>
      </c>
    </row>
    <row r="3677" ht="15.75" customHeight="1">
      <c r="A3677" s="2">
        <v>2015.0</v>
      </c>
      <c r="B3677" s="2" t="s">
        <v>17039</v>
      </c>
      <c r="C3677" s="2" t="s">
        <v>17040</v>
      </c>
      <c r="D3677" s="2" t="str">
        <f>"(716)789-2332"</f>
        <v>(716)789-2332</v>
      </c>
      <c r="E3677" s="2" t="s">
        <v>288</v>
      </c>
      <c r="F3677" s="2" t="s">
        <v>17041</v>
      </c>
      <c r="G3677" s="2" t="str">
        <f>"SR-5227"</f>
        <v>SR-5227</v>
      </c>
      <c r="H3677" s="2" t="s">
        <v>17042</v>
      </c>
      <c r="I3677" s="2" t="s">
        <v>17043</v>
      </c>
      <c r="K3677" s="2" t="s">
        <v>9547</v>
      </c>
      <c r="L3677" s="2" t="s">
        <v>142</v>
      </c>
      <c r="M3677" s="2">
        <v>14781.0</v>
      </c>
      <c r="N3677" s="2" t="s">
        <v>21</v>
      </c>
    </row>
    <row r="3678" ht="15.75" customHeight="1">
      <c r="A3678" s="2">
        <v>2015.0</v>
      </c>
      <c r="B3678" s="2" t="s">
        <v>17044</v>
      </c>
      <c r="C3678" s="2" t="s">
        <v>17044</v>
      </c>
      <c r="D3678" s="2" t="str">
        <f>"623-692-7179"</f>
        <v>623-692-7179</v>
      </c>
      <c r="E3678" s="2" t="s">
        <v>100</v>
      </c>
      <c r="F3678" s="2" t="s">
        <v>2319</v>
      </c>
      <c r="G3678" s="2" t="str">
        <f>"SR-5128"</f>
        <v>SR-5128</v>
      </c>
      <c r="H3678" s="2" t="s">
        <v>17045</v>
      </c>
      <c r="I3678" s="2" t="s">
        <v>2321</v>
      </c>
      <c r="K3678" s="2" t="s">
        <v>1133</v>
      </c>
      <c r="L3678" s="2" t="s">
        <v>422</v>
      </c>
      <c r="M3678" s="2">
        <v>85301.0</v>
      </c>
      <c r="N3678" s="2" t="s">
        <v>21</v>
      </c>
    </row>
    <row r="3679" ht="15.75" customHeight="1">
      <c r="A3679" s="2">
        <v>2015.0</v>
      </c>
      <c r="B3679" s="2" t="s">
        <v>17046</v>
      </c>
      <c r="C3679" s="2" t="s">
        <v>17047</v>
      </c>
      <c r="D3679" s="2" t="str">
        <f>"248-474-0793"</f>
        <v>248-474-0793</v>
      </c>
      <c r="E3679" s="2" t="s">
        <v>17048</v>
      </c>
      <c r="F3679" s="2" t="s">
        <v>17049</v>
      </c>
      <c r="G3679" s="2" t="str">
        <f>"SR-4904"</f>
        <v>SR-4904</v>
      </c>
      <c r="H3679" s="2" t="s">
        <v>17050</v>
      </c>
      <c r="I3679" s="2" t="s">
        <v>17051</v>
      </c>
      <c r="K3679" s="2" t="s">
        <v>17052</v>
      </c>
      <c r="L3679" s="2" t="s">
        <v>29</v>
      </c>
      <c r="M3679" s="2">
        <v>48336.0</v>
      </c>
      <c r="N3679" s="2" t="s">
        <v>21</v>
      </c>
    </row>
    <row r="3680" ht="15.75" customHeight="1">
      <c r="A3680" s="2">
        <v>2015.0</v>
      </c>
      <c r="B3680" s="2" t="s">
        <v>17053</v>
      </c>
      <c r="C3680" s="2" t="s">
        <v>17053</v>
      </c>
      <c r="D3680" s="2" t="str">
        <f>"309-685-0232"</f>
        <v>309-685-0232</v>
      </c>
      <c r="E3680" s="2" t="s">
        <v>12012</v>
      </c>
      <c r="F3680" s="2" t="s">
        <v>17054</v>
      </c>
      <c r="G3680" s="2" t="str">
        <f>"SR-4876"</f>
        <v>SR-4876</v>
      </c>
      <c r="H3680" s="2" t="s">
        <v>17055</v>
      </c>
      <c r="I3680" s="2" t="s">
        <v>17056</v>
      </c>
      <c r="K3680" s="2" t="s">
        <v>104</v>
      </c>
      <c r="L3680" s="2" t="s">
        <v>105</v>
      </c>
      <c r="M3680" s="2">
        <v>61614.0</v>
      </c>
      <c r="N3680" s="2" t="s">
        <v>21</v>
      </c>
    </row>
    <row r="3681" ht="15.75" customHeight="1">
      <c r="A3681" s="2">
        <v>2015.0</v>
      </c>
      <c r="B3681" s="2" t="s">
        <v>17057</v>
      </c>
      <c r="C3681" s="2" t="s">
        <v>17058</v>
      </c>
      <c r="D3681" s="2" t="str">
        <f>"714-514-7463"</f>
        <v>714-514-7463</v>
      </c>
      <c r="E3681" s="2" t="s">
        <v>485</v>
      </c>
      <c r="F3681" s="2" t="s">
        <v>17059</v>
      </c>
      <c r="G3681" s="2" t="str">
        <f>"SR-5200"</f>
        <v>SR-5200</v>
      </c>
      <c r="H3681" s="2" t="s">
        <v>17060</v>
      </c>
      <c r="I3681" s="2" t="s">
        <v>17061</v>
      </c>
      <c r="K3681" s="2" t="s">
        <v>6915</v>
      </c>
      <c r="L3681" s="2" t="s">
        <v>222</v>
      </c>
      <c r="M3681" s="2">
        <v>92683.0</v>
      </c>
      <c r="N3681" s="2" t="s">
        <v>21</v>
      </c>
    </row>
    <row r="3682" ht="15.75" customHeight="1">
      <c r="A3682" s="2">
        <v>2015.0</v>
      </c>
      <c r="B3682" s="2" t="s">
        <v>17062</v>
      </c>
      <c r="C3682" s="2" t="s">
        <v>17063</v>
      </c>
      <c r="D3682" s="2" t="str">
        <f>"913-522-5854"</f>
        <v>913-522-5854</v>
      </c>
      <c r="E3682" s="2" t="s">
        <v>339</v>
      </c>
      <c r="F3682" s="2" t="s">
        <v>17064</v>
      </c>
      <c r="G3682" s="2" t="str">
        <f>"SR-5233"</f>
        <v>SR-5233</v>
      </c>
      <c r="H3682" s="2" t="s">
        <v>17065</v>
      </c>
      <c r="I3682" s="2" t="s">
        <v>17066</v>
      </c>
      <c r="K3682" s="2" t="s">
        <v>3103</v>
      </c>
      <c r="L3682" s="2" t="s">
        <v>272</v>
      </c>
      <c r="M3682" s="2">
        <v>66221.0</v>
      </c>
      <c r="N3682" s="2" t="s">
        <v>21</v>
      </c>
    </row>
    <row r="3683" ht="15.75" customHeight="1">
      <c r="A3683" s="2">
        <v>2015.0</v>
      </c>
      <c r="B3683" s="2" t="s">
        <v>7090</v>
      </c>
      <c r="C3683" s="2" t="s">
        <v>7090</v>
      </c>
      <c r="D3683" s="2" t="str">
        <f>"(913) 850-4657"</f>
        <v>(913) 850-4657</v>
      </c>
      <c r="E3683" s="2" t="s">
        <v>1208</v>
      </c>
      <c r="F3683" s="2" t="s">
        <v>7091</v>
      </c>
      <c r="G3683" s="2" t="str">
        <f>"SR-1779"</f>
        <v>SR-1779</v>
      </c>
      <c r="H3683" s="2" t="s">
        <v>7092</v>
      </c>
      <c r="I3683" s="2" t="s">
        <v>7093</v>
      </c>
      <c r="K3683" s="2" t="s">
        <v>1067</v>
      </c>
      <c r="L3683" s="2" t="s">
        <v>272</v>
      </c>
      <c r="M3683" s="2">
        <v>66062.0</v>
      </c>
      <c r="N3683" s="2" t="s">
        <v>21</v>
      </c>
    </row>
    <row r="3684" ht="15.75" customHeight="1">
      <c r="A3684" s="2">
        <v>2015.0</v>
      </c>
      <c r="B3684" s="2" t="s">
        <v>17067</v>
      </c>
      <c r="C3684" s="2" t="s">
        <v>17067</v>
      </c>
      <c r="D3684" s="2" t="str">
        <f>"309-824-3528"</f>
        <v>309-824-3528</v>
      </c>
      <c r="E3684" s="2" t="s">
        <v>678</v>
      </c>
      <c r="F3684" s="2" t="s">
        <v>17068</v>
      </c>
      <c r="G3684" s="2" t="str">
        <f>"SR-5013"</f>
        <v>SR-5013</v>
      </c>
      <c r="H3684" s="2" t="s">
        <v>17069</v>
      </c>
      <c r="I3684" s="2" t="s">
        <v>17070</v>
      </c>
      <c r="K3684" s="2" t="s">
        <v>1019</v>
      </c>
      <c r="L3684" s="2" t="s">
        <v>105</v>
      </c>
      <c r="M3684" s="2">
        <v>61701.0</v>
      </c>
      <c r="N3684" s="2" t="s">
        <v>21</v>
      </c>
    </row>
    <row r="3685" ht="15.75" customHeight="1">
      <c r="A3685" s="2">
        <v>2015.0</v>
      </c>
      <c r="B3685" s="2" t="s">
        <v>17071</v>
      </c>
      <c r="C3685" s="2" t="s">
        <v>17072</v>
      </c>
      <c r="D3685" s="2" t="str">
        <f>"303-791-8940"</f>
        <v>303-791-8940</v>
      </c>
      <c r="E3685" s="2" t="s">
        <v>261</v>
      </c>
      <c r="F3685" s="2" t="s">
        <v>9856</v>
      </c>
      <c r="G3685" s="2" t="str">
        <f>"SR-5243"</f>
        <v>SR-5243</v>
      </c>
      <c r="H3685" s="2" t="s">
        <v>17073</v>
      </c>
      <c r="I3685" s="2" t="s">
        <v>17074</v>
      </c>
      <c r="K3685" s="2" t="s">
        <v>682</v>
      </c>
      <c r="L3685" s="2" t="s">
        <v>157</v>
      </c>
      <c r="M3685" s="2">
        <v>80126.0</v>
      </c>
      <c r="N3685" s="2" t="s">
        <v>21</v>
      </c>
    </row>
    <row r="3686" ht="15.75" customHeight="1">
      <c r="A3686" s="2">
        <v>2015.0</v>
      </c>
      <c r="B3686" s="2" t="s">
        <v>17075</v>
      </c>
      <c r="D3686" s="2" t="str">
        <f>""</f>
        <v/>
      </c>
      <c r="E3686" s="2" t="s">
        <v>862</v>
      </c>
      <c r="F3686" s="2" t="s">
        <v>1034</v>
      </c>
      <c r="G3686" s="2" t="str">
        <f>"SR-5226"</f>
        <v>SR-5226</v>
      </c>
      <c r="H3686" s="2" t="s">
        <v>17076</v>
      </c>
      <c r="N3686" s="2" t="s">
        <v>21</v>
      </c>
    </row>
    <row r="3687" ht="15.75" customHeight="1">
      <c r="A3687" s="2">
        <v>2015.0</v>
      </c>
      <c r="B3687" s="2" t="s">
        <v>17077</v>
      </c>
      <c r="C3687" s="2" t="s">
        <v>17077</v>
      </c>
      <c r="D3687" s="2" t="str">
        <f>"9703013931"</f>
        <v>9703013931</v>
      </c>
      <c r="E3687" s="2" t="s">
        <v>988</v>
      </c>
      <c r="F3687" s="2" t="s">
        <v>17078</v>
      </c>
      <c r="G3687" s="2" t="str">
        <f>"SR-5248"</f>
        <v>SR-5248</v>
      </c>
      <c r="H3687" s="2" t="s">
        <v>17079</v>
      </c>
      <c r="I3687" s="2" t="s">
        <v>17080</v>
      </c>
      <c r="K3687" s="2" t="s">
        <v>1558</v>
      </c>
      <c r="L3687" s="2" t="s">
        <v>157</v>
      </c>
      <c r="M3687" s="2">
        <v>80634.0</v>
      </c>
      <c r="N3687" s="2" t="s">
        <v>21</v>
      </c>
    </row>
    <row r="3688" ht="15.75" customHeight="1">
      <c r="A3688" s="2">
        <v>2015.0</v>
      </c>
      <c r="B3688" s="2" t="s">
        <v>17081</v>
      </c>
      <c r="C3688" s="2" t="s">
        <v>17081</v>
      </c>
      <c r="D3688" s="2" t="str">
        <f>"9522157418"</f>
        <v>9522157418</v>
      </c>
      <c r="E3688" s="2" t="s">
        <v>261</v>
      </c>
      <c r="F3688" s="2" t="s">
        <v>17082</v>
      </c>
      <c r="G3688" s="2" t="str">
        <f>"SR-5032"</f>
        <v>SR-5032</v>
      </c>
      <c r="H3688" s="2" t="s">
        <v>17083</v>
      </c>
      <c r="I3688" s="2" t="s">
        <v>17084</v>
      </c>
      <c r="K3688" s="2" t="s">
        <v>1490</v>
      </c>
      <c r="L3688" s="2" t="s">
        <v>62</v>
      </c>
      <c r="M3688" s="2">
        <v>55347.0</v>
      </c>
      <c r="N3688" s="2" t="s">
        <v>21</v>
      </c>
    </row>
    <row r="3689" ht="15.75" customHeight="1">
      <c r="A3689" s="2">
        <v>2015.0</v>
      </c>
      <c r="B3689" s="2" t="s">
        <v>17085</v>
      </c>
      <c r="C3689" s="2" t="s">
        <v>17086</v>
      </c>
      <c r="D3689" s="2" t="str">
        <f>"9016440020"</f>
        <v>9016440020</v>
      </c>
      <c r="E3689" s="2" t="s">
        <v>843</v>
      </c>
      <c r="F3689" s="2" t="s">
        <v>2598</v>
      </c>
      <c r="G3689" s="2" t="str">
        <f>"SR-5252"</f>
        <v>SR-5252</v>
      </c>
      <c r="H3689" s="2" t="s">
        <v>17087</v>
      </c>
      <c r="I3689" s="2" t="s">
        <v>17088</v>
      </c>
      <c r="K3689" s="2" t="s">
        <v>1570</v>
      </c>
      <c r="L3689" s="2" t="s">
        <v>279</v>
      </c>
      <c r="M3689" s="2">
        <v>38002.0</v>
      </c>
      <c r="N3689" s="2" t="s">
        <v>21</v>
      </c>
    </row>
    <row r="3690" ht="15.75" customHeight="1">
      <c r="A3690" s="2">
        <v>2015.0</v>
      </c>
      <c r="B3690" s="2" t="s">
        <v>1552</v>
      </c>
      <c r="C3690" s="2" t="s">
        <v>17089</v>
      </c>
      <c r="D3690" s="2" t="str">
        <f>"9705181422"</f>
        <v>9705181422</v>
      </c>
      <c r="E3690" s="2" t="s">
        <v>7754</v>
      </c>
      <c r="F3690" s="2" t="s">
        <v>1555</v>
      </c>
      <c r="G3690" s="2" t="str">
        <f>"SR-5246"</f>
        <v>SR-5246</v>
      </c>
      <c r="H3690" s="2" t="s">
        <v>17090</v>
      </c>
      <c r="I3690" s="2" t="s">
        <v>17091</v>
      </c>
      <c r="K3690" s="2" t="s">
        <v>1558</v>
      </c>
      <c r="L3690" s="2" t="s">
        <v>157</v>
      </c>
      <c r="M3690" s="2">
        <v>80634.0</v>
      </c>
      <c r="N3690" s="2" t="s">
        <v>21</v>
      </c>
    </row>
    <row r="3691" ht="15.75" customHeight="1">
      <c r="A3691" s="2">
        <v>2015.0</v>
      </c>
      <c r="B3691" s="2" t="s">
        <v>4761</v>
      </c>
      <c r="C3691" s="2" t="s">
        <v>4761</v>
      </c>
      <c r="D3691" s="2" t="str">
        <f>"7023384873"</f>
        <v>7023384873</v>
      </c>
      <c r="E3691" s="2" t="s">
        <v>2800</v>
      </c>
      <c r="F3691" s="2" t="s">
        <v>4764</v>
      </c>
      <c r="G3691" s="2" t="str">
        <f>"SR-5251"</f>
        <v>SR-5251</v>
      </c>
      <c r="H3691" s="2" t="s">
        <v>17092</v>
      </c>
      <c r="I3691" s="2" t="s">
        <v>4766</v>
      </c>
      <c r="K3691" s="2" t="s">
        <v>3128</v>
      </c>
      <c r="L3691" s="2" t="s">
        <v>1419</v>
      </c>
      <c r="M3691" s="2">
        <v>89146.0</v>
      </c>
      <c r="N3691" s="2" t="s">
        <v>21</v>
      </c>
    </row>
    <row r="3692" ht="15.75" customHeight="1">
      <c r="A3692" s="2">
        <v>2015.0</v>
      </c>
      <c r="B3692" s="2" t="s">
        <v>17093</v>
      </c>
      <c r="C3692" s="2" t="s">
        <v>17094</v>
      </c>
      <c r="D3692" s="2" t="str">
        <f>"719-590-7333"</f>
        <v>719-590-7333</v>
      </c>
      <c r="E3692" s="2" t="s">
        <v>261</v>
      </c>
      <c r="F3692" s="2" t="s">
        <v>17095</v>
      </c>
      <c r="G3692" s="2" t="str">
        <f>"SR-5144"</f>
        <v>SR-5144</v>
      </c>
      <c r="H3692" s="2" t="s">
        <v>17096</v>
      </c>
      <c r="I3692" s="2" t="s">
        <v>17097</v>
      </c>
      <c r="K3692" s="2" t="s">
        <v>809</v>
      </c>
      <c r="L3692" s="2" t="s">
        <v>157</v>
      </c>
      <c r="M3692" s="2">
        <v>80921.0</v>
      </c>
      <c r="N3692" s="2" t="s">
        <v>21</v>
      </c>
    </row>
    <row r="3693" ht="15.75" customHeight="1">
      <c r="A3693" s="2">
        <v>2015.0</v>
      </c>
      <c r="B3693" s="2" t="s">
        <v>17098</v>
      </c>
      <c r="C3693" s="2" t="s">
        <v>17099</v>
      </c>
      <c r="D3693" s="2" t="str">
        <f>"208-596-4535"</f>
        <v>208-596-4535</v>
      </c>
      <c r="E3693" s="2" t="s">
        <v>678</v>
      </c>
      <c r="F3693" s="2" t="s">
        <v>14513</v>
      </c>
      <c r="G3693" s="2" t="str">
        <f>"SR-5175"</f>
        <v>SR-5175</v>
      </c>
      <c r="H3693" s="2" t="s">
        <v>17100</v>
      </c>
      <c r="I3693" s="2" t="s">
        <v>17101</v>
      </c>
      <c r="K3693" s="2" t="s">
        <v>17102</v>
      </c>
      <c r="L3693" s="2" t="s">
        <v>2613</v>
      </c>
      <c r="M3693" s="2">
        <v>83843.0</v>
      </c>
      <c r="N3693" s="2" t="s">
        <v>21</v>
      </c>
    </row>
    <row r="3694" ht="15.75" customHeight="1">
      <c r="A3694" s="2">
        <v>2015.0</v>
      </c>
      <c r="B3694" s="2" t="s">
        <v>17103</v>
      </c>
      <c r="C3694" s="2" t="s">
        <v>17104</v>
      </c>
      <c r="D3694" s="2" t="str">
        <f>"6128659714"</f>
        <v>6128659714</v>
      </c>
      <c r="E3694" s="2" t="s">
        <v>160</v>
      </c>
      <c r="F3694" s="2" t="s">
        <v>10308</v>
      </c>
      <c r="G3694" s="2" t="str">
        <f>"SR-5218"</f>
        <v>SR-5218</v>
      </c>
      <c r="H3694" s="2" t="s">
        <v>17105</v>
      </c>
      <c r="I3694" s="2" t="s">
        <v>17106</v>
      </c>
      <c r="K3694" s="2" t="s">
        <v>1765</v>
      </c>
      <c r="L3694" s="2" t="s">
        <v>62</v>
      </c>
      <c r="M3694" s="2">
        <v>55378.0</v>
      </c>
      <c r="N3694" s="2" t="s">
        <v>21</v>
      </c>
    </row>
    <row r="3695" ht="15.75" customHeight="1">
      <c r="A3695" s="2">
        <v>2015.0</v>
      </c>
      <c r="B3695" s="2" t="s">
        <v>17107</v>
      </c>
      <c r="C3695" s="2" t="s">
        <v>17108</v>
      </c>
      <c r="D3695" s="2" t="str">
        <f>"3033461179"</f>
        <v>3033461179</v>
      </c>
      <c r="E3695" s="2" t="s">
        <v>440</v>
      </c>
      <c r="F3695" s="2" t="s">
        <v>17109</v>
      </c>
      <c r="G3695" s="2" t="str">
        <f>"SR-5239"</f>
        <v>SR-5239</v>
      </c>
      <c r="H3695" s="2" t="s">
        <v>17110</v>
      </c>
      <c r="I3695" s="2" t="s">
        <v>17111</v>
      </c>
      <c r="K3695" s="2" t="s">
        <v>17112</v>
      </c>
      <c r="L3695" s="2" t="s">
        <v>157</v>
      </c>
      <c r="M3695" s="2">
        <v>80130.0</v>
      </c>
      <c r="N3695" s="2" t="s">
        <v>21</v>
      </c>
    </row>
    <row r="3696" ht="15.75" customHeight="1">
      <c r="A3696" s="2">
        <v>2015.0</v>
      </c>
      <c r="B3696" s="2" t="s">
        <v>17113</v>
      </c>
      <c r="C3696" s="2" t="s">
        <v>17114</v>
      </c>
      <c r="D3696" s="2" t="str">
        <f>"5158358457"</f>
        <v>5158358457</v>
      </c>
      <c r="E3696" s="2" t="s">
        <v>2089</v>
      </c>
      <c r="F3696" s="2" t="s">
        <v>11843</v>
      </c>
      <c r="G3696" s="2" t="str">
        <f>"SR-5260"</f>
        <v>SR-5260</v>
      </c>
      <c r="H3696" s="2" t="s">
        <v>17115</v>
      </c>
      <c r="I3696" s="2" t="s">
        <v>17116</v>
      </c>
      <c r="J3696" s="2" t="s">
        <v>17117</v>
      </c>
      <c r="K3696" s="2" t="s">
        <v>17118</v>
      </c>
      <c r="L3696" s="2" t="s">
        <v>560</v>
      </c>
      <c r="M3696" s="2">
        <v>50034.0</v>
      </c>
      <c r="N3696" s="2" t="s">
        <v>21</v>
      </c>
    </row>
    <row r="3697" ht="15.75" customHeight="1">
      <c r="A3697" s="2">
        <v>2015.0</v>
      </c>
      <c r="B3697" s="2" t="s">
        <v>17119</v>
      </c>
      <c r="C3697" s="2" t="s">
        <v>17120</v>
      </c>
      <c r="D3697" s="2" t="str">
        <f>"423-650-1231"</f>
        <v>423-650-1231</v>
      </c>
      <c r="E3697" s="2" t="s">
        <v>15</v>
      </c>
      <c r="F3697" s="2" t="s">
        <v>1405</v>
      </c>
      <c r="G3697" s="2" t="str">
        <f>"SR-4818"</f>
        <v>SR-4818</v>
      </c>
      <c r="H3697" s="2" t="s">
        <v>17121</v>
      </c>
      <c r="I3697" s="2" t="s">
        <v>17122</v>
      </c>
      <c r="K3697" s="2" t="s">
        <v>1408</v>
      </c>
      <c r="L3697" s="2" t="s">
        <v>279</v>
      </c>
      <c r="M3697" s="2">
        <v>37312.0</v>
      </c>
      <c r="N3697" s="2" t="s">
        <v>21</v>
      </c>
    </row>
    <row r="3698" ht="15.75" customHeight="1">
      <c r="A3698" s="2">
        <v>2015.0</v>
      </c>
      <c r="B3698" s="2" t="s">
        <v>17123</v>
      </c>
      <c r="C3698" s="2" t="s">
        <v>17124</v>
      </c>
      <c r="D3698" s="2" t="str">
        <f>"901-490-4353"</f>
        <v>901-490-4353</v>
      </c>
      <c r="E3698" s="2" t="s">
        <v>17125</v>
      </c>
      <c r="F3698" s="2" t="s">
        <v>10295</v>
      </c>
      <c r="G3698" s="2" t="str">
        <f>"SR-5196"</f>
        <v>SR-5196</v>
      </c>
      <c r="H3698" s="2" t="s">
        <v>17126</v>
      </c>
      <c r="I3698" s="2" t="s">
        <v>17127</v>
      </c>
      <c r="K3698" s="2" t="s">
        <v>1154</v>
      </c>
      <c r="L3698" s="2" t="s">
        <v>344</v>
      </c>
      <c r="M3698" s="2">
        <v>44805.0</v>
      </c>
      <c r="N3698" s="2" t="s">
        <v>21</v>
      </c>
    </row>
    <row r="3699" ht="15.75" customHeight="1">
      <c r="A3699" s="2">
        <v>2015.0</v>
      </c>
      <c r="B3699" s="2" t="s">
        <v>6433</v>
      </c>
      <c r="C3699" s="2" t="s">
        <v>6433</v>
      </c>
      <c r="D3699" s="2" t="str">
        <f>"715-417-2982"</f>
        <v>715-417-2982</v>
      </c>
      <c r="E3699" s="2" t="s">
        <v>456</v>
      </c>
      <c r="F3699" s="2" t="s">
        <v>6435</v>
      </c>
      <c r="G3699" s="2" t="str">
        <f>"SR-5262"</f>
        <v>SR-5262</v>
      </c>
      <c r="H3699" s="2" t="s">
        <v>17128</v>
      </c>
      <c r="I3699" s="2" t="s">
        <v>6437</v>
      </c>
      <c r="K3699" s="2" t="s">
        <v>6438</v>
      </c>
      <c r="L3699" s="2" t="s">
        <v>193</v>
      </c>
      <c r="M3699" s="2">
        <v>54020.0</v>
      </c>
      <c r="N3699" s="2" t="s">
        <v>21</v>
      </c>
    </row>
    <row r="3700" ht="15.75" customHeight="1">
      <c r="A3700" s="2">
        <v>2015.0</v>
      </c>
      <c r="B3700" s="2" t="s">
        <v>17129</v>
      </c>
      <c r="C3700" s="2" t="s">
        <v>17130</v>
      </c>
      <c r="D3700" s="2" t="str">
        <f>"6824593462"</f>
        <v>6824593462</v>
      </c>
      <c r="E3700" s="2" t="s">
        <v>9815</v>
      </c>
      <c r="F3700" s="2" t="s">
        <v>17131</v>
      </c>
      <c r="G3700" s="2" t="str">
        <f>"SR-5265"</f>
        <v>SR-5265</v>
      </c>
      <c r="H3700" s="2" t="s">
        <v>17132</v>
      </c>
      <c r="I3700" s="2" t="s">
        <v>17133</v>
      </c>
      <c r="K3700" s="2" t="s">
        <v>8956</v>
      </c>
      <c r="L3700" s="2" t="s">
        <v>172</v>
      </c>
      <c r="M3700" s="2">
        <v>76031.0</v>
      </c>
      <c r="N3700" s="2" t="s">
        <v>21</v>
      </c>
    </row>
    <row r="3701" ht="15.75" customHeight="1">
      <c r="A3701" s="2">
        <v>2015.0</v>
      </c>
      <c r="B3701" s="2" t="s">
        <v>17134</v>
      </c>
      <c r="C3701" s="2" t="s">
        <v>17134</v>
      </c>
      <c r="D3701" s="2" t="str">
        <f>"7066696041"</f>
        <v>7066696041</v>
      </c>
      <c r="E3701" s="2" t="s">
        <v>9924</v>
      </c>
      <c r="F3701" s="2" t="s">
        <v>2174</v>
      </c>
      <c r="G3701" s="2" t="str">
        <f>"SR-5126"</f>
        <v>SR-5126</v>
      </c>
      <c r="H3701" s="2" t="s">
        <v>17135</v>
      </c>
      <c r="I3701" s="2" t="s">
        <v>16544</v>
      </c>
      <c r="J3701" s="2" t="s">
        <v>16545</v>
      </c>
      <c r="K3701" s="2" t="s">
        <v>8769</v>
      </c>
      <c r="L3701" s="2" t="s">
        <v>200</v>
      </c>
      <c r="M3701" s="2">
        <v>30143.0</v>
      </c>
      <c r="N3701" s="2" t="s">
        <v>21</v>
      </c>
    </row>
    <row r="3702" ht="15.75" customHeight="1">
      <c r="A3702" s="2">
        <v>2015.0</v>
      </c>
      <c r="B3702" s="2" t="s">
        <v>17136</v>
      </c>
      <c r="C3702" s="2" t="s">
        <v>17137</v>
      </c>
      <c r="D3702" s="2" t="str">
        <f>"303-933-8545"</f>
        <v>303-933-8545</v>
      </c>
      <c r="E3702" s="2" t="s">
        <v>1614</v>
      </c>
      <c r="F3702" s="2" t="s">
        <v>17138</v>
      </c>
      <c r="G3702" s="2" t="str">
        <f>"SR-5215"</f>
        <v>SR-5215</v>
      </c>
      <c r="H3702" s="2" t="s">
        <v>17139</v>
      </c>
      <c r="I3702" s="2" t="s">
        <v>17140</v>
      </c>
      <c r="K3702" s="2" t="s">
        <v>1054</v>
      </c>
      <c r="L3702" s="2" t="s">
        <v>157</v>
      </c>
      <c r="M3702" s="2">
        <v>80134.0</v>
      </c>
      <c r="N3702" s="2" t="s">
        <v>21</v>
      </c>
    </row>
    <row r="3703" ht="15.75" customHeight="1">
      <c r="A3703" s="2">
        <v>2015.0</v>
      </c>
      <c r="B3703" s="2" t="s">
        <v>17141</v>
      </c>
      <c r="D3703" s="2" t="str">
        <f>""</f>
        <v/>
      </c>
      <c r="E3703" s="2" t="s">
        <v>1928</v>
      </c>
      <c r="F3703" s="2" t="s">
        <v>6290</v>
      </c>
      <c r="G3703" s="2" t="str">
        <f>"SR-5269"</f>
        <v>SR-5269</v>
      </c>
      <c r="H3703" s="2" t="s">
        <v>17142</v>
      </c>
      <c r="N3703" s="2" t="s">
        <v>21</v>
      </c>
    </row>
    <row r="3704" ht="15.75" customHeight="1">
      <c r="A3704" s="2">
        <v>2015.0</v>
      </c>
      <c r="B3704" s="2" t="s">
        <v>17143</v>
      </c>
      <c r="C3704" s="2" t="s">
        <v>17143</v>
      </c>
      <c r="D3704" s="2" t="str">
        <f>"303-358-6049"</f>
        <v>303-358-6049</v>
      </c>
      <c r="E3704" s="2" t="s">
        <v>13657</v>
      </c>
      <c r="F3704" s="2" t="s">
        <v>17144</v>
      </c>
      <c r="G3704" s="2" t="str">
        <f>"SR-5261"</f>
        <v>SR-5261</v>
      </c>
      <c r="H3704" s="2" t="s">
        <v>17145</v>
      </c>
      <c r="I3704" s="2" t="s">
        <v>17146</v>
      </c>
      <c r="K3704" s="2" t="s">
        <v>17147</v>
      </c>
      <c r="L3704" s="2" t="s">
        <v>157</v>
      </c>
      <c r="M3704" s="2">
        <v>80603.0</v>
      </c>
      <c r="N3704" s="2" t="s">
        <v>21</v>
      </c>
    </row>
    <row r="3705" ht="15.75" customHeight="1">
      <c r="A3705" s="2">
        <v>2015.0</v>
      </c>
      <c r="B3705" s="2" t="s">
        <v>17148</v>
      </c>
      <c r="C3705" s="2" t="s">
        <v>17149</v>
      </c>
      <c r="D3705" s="2" t="str">
        <f>"4806890390"</f>
        <v>4806890390</v>
      </c>
      <c r="E3705" s="2" t="s">
        <v>10981</v>
      </c>
      <c r="F3705" s="2" t="s">
        <v>17150</v>
      </c>
      <c r="G3705" s="2" t="str">
        <f>"SR-5272"</f>
        <v>SR-5272</v>
      </c>
      <c r="H3705" s="2" t="s">
        <v>17151</v>
      </c>
      <c r="I3705" s="2" t="s">
        <v>17152</v>
      </c>
      <c r="K3705" s="2" t="s">
        <v>17153</v>
      </c>
      <c r="L3705" s="2" t="s">
        <v>422</v>
      </c>
      <c r="M3705" s="2">
        <v>85338.0</v>
      </c>
      <c r="N3705" s="2" t="s">
        <v>21</v>
      </c>
    </row>
    <row r="3706" ht="15.75" customHeight="1">
      <c r="A3706" s="2">
        <v>2015.0</v>
      </c>
      <c r="B3706" s="2" t="s">
        <v>17154</v>
      </c>
      <c r="C3706" s="2" t="s">
        <v>17155</v>
      </c>
      <c r="D3706" s="2" t="str">
        <f>"303.696.9036"</f>
        <v>303.696.9036</v>
      </c>
      <c r="E3706" s="2" t="s">
        <v>17156</v>
      </c>
      <c r="F3706" s="2" t="s">
        <v>4532</v>
      </c>
      <c r="G3706" s="2" t="str">
        <f>"SR-5257"</f>
        <v>SR-5257</v>
      </c>
      <c r="H3706" s="2" t="s">
        <v>17157</v>
      </c>
      <c r="I3706" s="2" t="s">
        <v>17158</v>
      </c>
      <c r="K3706" s="2" t="s">
        <v>1520</v>
      </c>
      <c r="L3706" s="2" t="s">
        <v>157</v>
      </c>
      <c r="M3706" s="2">
        <v>80017.0</v>
      </c>
      <c r="N3706" s="2" t="s">
        <v>21</v>
      </c>
    </row>
    <row r="3707" ht="15.75" customHeight="1">
      <c r="A3707" s="2">
        <v>2015.0</v>
      </c>
      <c r="B3707" s="2" t="s">
        <v>17159</v>
      </c>
      <c r="C3707" s="2" t="s">
        <v>17160</v>
      </c>
      <c r="D3707" s="2" t="str">
        <f>"9206879737"</f>
        <v>9206879737</v>
      </c>
      <c r="E3707" s="2" t="s">
        <v>8039</v>
      </c>
      <c r="F3707" s="2" t="s">
        <v>6366</v>
      </c>
      <c r="G3707" s="2" t="str">
        <f>"SR-5273"</f>
        <v>SR-5273</v>
      </c>
      <c r="H3707" s="2" t="s">
        <v>17161</v>
      </c>
      <c r="I3707" s="2" t="s">
        <v>17162</v>
      </c>
      <c r="K3707" s="2" t="s">
        <v>14386</v>
      </c>
      <c r="L3707" s="2" t="s">
        <v>193</v>
      </c>
      <c r="M3707" s="2">
        <v>54130.0</v>
      </c>
      <c r="N3707" s="2" t="s">
        <v>21</v>
      </c>
    </row>
    <row r="3708" ht="15.75" customHeight="1">
      <c r="A3708" s="2">
        <v>2015.0</v>
      </c>
      <c r="B3708" s="2" t="s">
        <v>6616</v>
      </c>
      <c r="C3708" s="2" t="s">
        <v>6617</v>
      </c>
      <c r="D3708" s="2" t="str">
        <f>"4058313990"</f>
        <v>4058313990</v>
      </c>
      <c r="E3708" s="2" t="s">
        <v>6618</v>
      </c>
      <c r="F3708" s="2" t="s">
        <v>6619</v>
      </c>
      <c r="G3708" s="2" t="str">
        <f>"SR-1760"</f>
        <v>SR-1760</v>
      </c>
      <c r="H3708" s="2" t="s">
        <v>6620</v>
      </c>
      <c r="I3708" s="2" t="s">
        <v>6621</v>
      </c>
      <c r="K3708" s="2" t="s">
        <v>6622</v>
      </c>
      <c r="L3708" s="2" t="s">
        <v>840</v>
      </c>
      <c r="M3708" s="2">
        <v>73162.0</v>
      </c>
      <c r="N3708" s="2" t="s">
        <v>21</v>
      </c>
    </row>
    <row r="3709" ht="15.75" customHeight="1">
      <c r="A3709" s="2">
        <v>2015.0</v>
      </c>
      <c r="B3709" s="2" t="s">
        <v>17163</v>
      </c>
      <c r="C3709" s="2" t="s">
        <v>17164</v>
      </c>
      <c r="D3709" s="2" t="str">
        <f>"952-831-7416"</f>
        <v>952-831-7416</v>
      </c>
      <c r="E3709" s="2" t="s">
        <v>817</v>
      </c>
      <c r="F3709" s="2" t="s">
        <v>11976</v>
      </c>
      <c r="G3709" s="2" t="str">
        <f>"SR-5110"</f>
        <v>SR-5110</v>
      </c>
      <c r="H3709" s="2" t="s">
        <v>17165</v>
      </c>
      <c r="I3709" s="2" t="s">
        <v>17166</v>
      </c>
      <c r="K3709" s="2" t="s">
        <v>1019</v>
      </c>
      <c r="L3709" s="2" t="s">
        <v>62</v>
      </c>
      <c r="M3709" s="2">
        <v>55437.0</v>
      </c>
      <c r="N3709" s="2" t="s">
        <v>21</v>
      </c>
    </row>
    <row r="3710" ht="15.75" customHeight="1">
      <c r="A3710" s="2">
        <v>2015.0</v>
      </c>
      <c r="B3710" s="2" t="s">
        <v>17167</v>
      </c>
      <c r="C3710" s="2" t="s">
        <v>17168</v>
      </c>
      <c r="D3710" s="2" t="str">
        <f>"319-373-0251"</f>
        <v>319-373-0251</v>
      </c>
      <c r="E3710" s="2" t="s">
        <v>977</v>
      </c>
      <c r="F3710" s="2" t="s">
        <v>17169</v>
      </c>
      <c r="G3710" s="2" t="str">
        <f>"SR-5259"</f>
        <v>SR-5259</v>
      </c>
      <c r="H3710" s="2" t="s">
        <v>17170</v>
      </c>
      <c r="I3710" s="2" t="s">
        <v>17171</v>
      </c>
      <c r="K3710" s="2" t="s">
        <v>3493</v>
      </c>
      <c r="L3710" s="2" t="s">
        <v>560</v>
      </c>
      <c r="M3710" s="2">
        <v>52302.0</v>
      </c>
      <c r="N3710" s="2" t="s">
        <v>21</v>
      </c>
    </row>
    <row r="3711" ht="15.75" customHeight="1">
      <c r="A3711" s="2">
        <v>2015.0</v>
      </c>
      <c r="B3711" s="2" t="s">
        <v>17172</v>
      </c>
      <c r="C3711" s="2" t="s">
        <v>17172</v>
      </c>
      <c r="D3711" s="2" t="str">
        <f>"814-847-2878"</f>
        <v>814-847-2878</v>
      </c>
      <c r="E3711" s="2" t="s">
        <v>7145</v>
      </c>
      <c r="F3711" s="2" t="s">
        <v>17173</v>
      </c>
      <c r="G3711" s="2" t="str">
        <f>"SR-4739"</f>
        <v>SR-4739</v>
      </c>
      <c r="H3711" s="2" t="s">
        <v>17174</v>
      </c>
      <c r="I3711" s="2" t="s">
        <v>17175</v>
      </c>
      <c r="K3711" s="2" t="s">
        <v>5399</v>
      </c>
      <c r="L3711" s="2" t="s">
        <v>179</v>
      </c>
      <c r="M3711" s="2">
        <v>15522.0</v>
      </c>
      <c r="N3711" s="2" t="s">
        <v>21</v>
      </c>
    </row>
    <row r="3712" ht="15.75" customHeight="1">
      <c r="A3712" s="2">
        <v>2015.0</v>
      </c>
      <c r="B3712" s="2" t="s">
        <v>17176</v>
      </c>
      <c r="C3712" s="2" t="s">
        <v>17176</v>
      </c>
      <c r="D3712" s="2" t="str">
        <f>"6516746017"</f>
        <v>6516746017</v>
      </c>
      <c r="E3712" s="2" t="s">
        <v>17177</v>
      </c>
      <c r="F3712" s="2" t="s">
        <v>17178</v>
      </c>
      <c r="G3712" s="2" t="str">
        <f>"SR-5254"</f>
        <v>SR-5254</v>
      </c>
      <c r="H3712" s="2" t="s">
        <v>17179</v>
      </c>
      <c r="I3712" s="2" t="s">
        <v>17180</v>
      </c>
      <c r="K3712" s="2" t="s">
        <v>17181</v>
      </c>
      <c r="L3712" s="2" t="s">
        <v>62</v>
      </c>
      <c r="M3712" s="2">
        <v>55056.0</v>
      </c>
      <c r="N3712" s="2" t="s">
        <v>21</v>
      </c>
    </row>
    <row r="3713" ht="15.75" customHeight="1">
      <c r="A3713" s="2">
        <v>2015.0</v>
      </c>
      <c r="B3713" s="2" t="s">
        <v>17182</v>
      </c>
      <c r="C3713" s="2" t="s">
        <v>17183</v>
      </c>
      <c r="D3713" s="2" t="str">
        <f>"9313099175"</f>
        <v>9313099175</v>
      </c>
      <c r="E3713" s="2" t="s">
        <v>1141</v>
      </c>
      <c r="F3713" s="2" t="s">
        <v>17184</v>
      </c>
      <c r="G3713" s="2" t="str">
        <f>"SR-5258"</f>
        <v>SR-5258</v>
      </c>
      <c r="H3713" s="2" t="s">
        <v>17185</v>
      </c>
      <c r="I3713" s="2" t="s">
        <v>17186</v>
      </c>
      <c r="K3713" s="2" t="s">
        <v>17187</v>
      </c>
      <c r="L3713" s="2" t="s">
        <v>279</v>
      </c>
      <c r="M3713" s="2">
        <v>38477.0</v>
      </c>
      <c r="N3713" s="2" t="s">
        <v>21</v>
      </c>
    </row>
    <row r="3714" ht="15.75" customHeight="1">
      <c r="A3714" s="2">
        <v>2015.0</v>
      </c>
      <c r="B3714" s="2" t="s">
        <v>17188</v>
      </c>
      <c r="C3714" s="2" t="s">
        <v>17189</v>
      </c>
      <c r="D3714" s="2" t="str">
        <f>"303-949-2292"</f>
        <v>303-949-2292</v>
      </c>
      <c r="E3714" s="2" t="s">
        <v>1022</v>
      </c>
      <c r="F3714" s="2" t="s">
        <v>17190</v>
      </c>
      <c r="G3714" s="2" t="str">
        <f>"SR-5284"</f>
        <v>SR-5284</v>
      </c>
      <c r="H3714" s="2" t="s">
        <v>17191</v>
      </c>
      <c r="I3714" s="2" t="s">
        <v>17192</v>
      </c>
      <c r="K3714" s="2" t="s">
        <v>1520</v>
      </c>
      <c r="L3714" s="2" t="s">
        <v>157</v>
      </c>
      <c r="M3714" s="2">
        <v>80014.0</v>
      </c>
      <c r="N3714" s="2" t="s">
        <v>21</v>
      </c>
    </row>
    <row r="3715" ht="15.75" customHeight="1">
      <c r="A3715" s="2">
        <v>2015.0</v>
      </c>
      <c r="B3715" s="2" t="s">
        <v>17193</v>
      </c>
      <c r="C3715" s="2" t="s">
        <v>17193</v>
      </c>
      <c r="D3715" s="2" t="str">
        <f>"5093802714"</f>
        <v>5093802714</v>
      </c>
      <c r="E3715" s="2" t="s">
        <v>1529</v>
      </c>
      <c r="F3715" s="2" t="s">
        <v>17194</v>
      </c>
      <c r="G3715" s="2" t="str">
        <f>"SR-5285"</f>
        <v>SR-5285</v>
      </c>
      <c r="H3715" s="2" t="s">
        <v>17195</v>
      </c>
      <c r="I3715" s="2" t="s">
        <v>17196</v>
      </c>
      <c r="K3715" s="2" t="s">
        <v>17197</v>
      </c>
      <c r="L3715" s="2" t="s">
        <v>86</v>
      </c>
      <c r="M3715" s="2">
        <v>99301.0</v>
      </c>
      <c r="N3715" s="2" t="s">
        <v>21</v>
      </c>
    </row>
    <row r="3716" ht="15.75" customHeight="1">
      <c r="A3716" s="2">
        <v>2015.0</v>
      </c>
      <c r="B3716" s="2" t="s">
        <v>17198</v>
      </c>
      <c r="C3716" s="2" t="s">
        <v>17199</v>
      </c>
      <c r="D3716" s="2" t="str">
        <f>"970-963-8822"</f>
        <v>970-963-8822</v>
      </c>
      <c r="E3716" s="2" t="s">
        <v>3336</v>
      </c>
      <c r="F3716" s="2" t="s">
        <v>17068</v>
      </c>
      <c r="G3716" s="2" t="str">
        <f>"SR-5216"</f>
        <v>SR-5216</v>
      </c>
      <c r="H3716" s="2" t="s">
        <v>17200</v>
      </c>
      <c r="I3716" s="2" t="s">
        <v>17201</v>
      </c>
      <c r="K3716" s="2" t="s">
        <v>17202</v>
      </c>
      <c r="L3716" s="2" t="s">
        <v>157</v>
      </c>
      <c r="M3716" s="2">
        <v>81623.0</v>
      </c>
      <c r="N3716" s="2" t="s">
        <v>21</v>
      </c>
    </row>
    <row r="3717" ht="15.75" customHeight="1">
      <c r="A3717" s="2">
        <v>2015.0</v>
      </c>
      <c r="B3717" s="2" t="s">
        <v>8885</v>
      </c>
      <c r="C3717" s="2" t="s">
        <v>8886</v>
      </c>
      <c r="D3717" s="2" t="str">
        <f>"319-378-0260"</f>
        <v>319-378-0260</v>
      </c>
      <c r="E3717" s="2" t="s">
        <v>8887</v>
      </c>
      <c r="F3717" s="2" t="s">
        <v>8888</v>
      </c>
      <c r="G3717" s="2" t="str">
        <f>"SR-2607"</f>
        <v>SR-2607</v>
      </c>
      <c r="H3717" s="2" t="s">
        <v>8889</v>
      </c>
      <c r="I3717" s="2" t="s">
        <v>8890</v>
      </c>
      <c r="K3717" s="2" t="s">
        <v>8891</v>
      </c>
      <c r="L3717" s="2" t="s">
        <v>560</v>
      </c>
      <c r="M3717" s="2">
        <v>52233.0</v>
      </c>
      <c r="N3717" s="2" t="s">
        <v>21</v>
      </c>
    </row>
    <row r="3718" ht="15.75" customHeight="1">
      <c r="A3718" s="2">
        <v>2015.0</v>
      </c>
      <c r="B3718" s="2" t="s">
        <v>17203</v>
      </c>
      <c r="C3718" s="2" t="s">
        <v>17204</v>
      </c>
      <c r="D3718" s="2" t="str">
        <f>"8066763463"</f>
        <v>8066763463</v>
      </c>
      <c r="E3718" s="2" t="s">
        <v>1015</v>
      </c>
      <c r="F3718" s="2" t="s">
        <v>17205</v>
      </c>
      <c r="G3718" s="2" t="str">
        <f>"SR-5296"</f>
        <v>SR-5296</v>
      </c>
      <c r="H3718" s="2" t="s">
        <v>17206</v>
      </c>
      <c r="I3718" s="2" t="s">
        <v>17207</v>
      </c>
      <c r="K3718" s="2" t="s">
        <v>482</v>
      </c>
      <c r="L3718" s="2" t="s">
        <v>172</v>
      </c>
      <c r="M3718" s="2">
        <v>79118.0</v>
      </c>
      <c r="N3718" s="2" t="s">
        <v>21</v>
      </c>
    </row>
    <row r="3719" ht="15.75" customHeight="1">
      <c r="A3719" s="2">
        <v>2015.0</v>
      </c>
      <c r="B3719" s="2" t="s">
        <v>872</v>
      </c>
      <c r="C3719" s="2" t="s">
        <v>872</v>
      </c>
      <c r="D3719" s="2" t="str">
        <f>"419-606-6512"</f>
        <v>419-606-6512</v>
      </c>
      <c r="E3719" s="2" t="s">
        <v>261</v>
      </c>
      <c r="F3719" s="2" t="s">
        <v>874</v>
      </c>
      <c r="G3719" s="2" t="str">
        <f>"SR-5274"</f>
        <v>SR-5274</v>
      </c>
      <c r="H3719" s="2" t="s">
        <v>17208</v>
      </c>
      <c r="I3719" s="2" t="s">
        <v>17209</v>
      </c>
      <c r="K3719" s="2" t="s">
        <v>877</v>
      </c>
      <c r="L3719" s="2" t="s">
        <v>344</v>
      </c>
      <c r="M3719" s="2">
        <v>44866.0</v>
      </c>
      <c r="N3719" s="2" t="s">
        <v>21</v>
      </c>
    </row>
    <row r="3720" ht="15.75" customHeight="1">
      <c r="A3720" s="2">
        <v>2015.0</v>
      </c>
      <c r="B3720" s="2" t="s">
        <v>17210</v>
      </c>
      <c r="C3720" s="2" t="s">
        <v>17211</v>
      </c>
      <c r="D3720" s="2" t="str">
        <f>"8125921685"</f>
        <v>8125921685</v>
      </c>
      <c r="E3720" s="2" t="s">
        <v>751</v>
      </c>
      <c r="F3720" s="2" t="s">
        <v>57</v>
      </c>
      <c r="G3720" s="2" t="str">
        <f>"SR-5178"</f>
        <v>SR-5178</v>
      </c>
      <c r="H3720" s="2" t="s">
        <v>17212</v>
      </c>
      <c r="I3720" s="2" t="s">
        <v>17213</v>
      </c>
      <c r="K3720" s="2" t="s">
        <v>10431</v>
      </c>
      <c r="L3720" s="2" t="s">
        <v>55</v>
      </c>
      <c r="M3720" s="2">
        <v>29505.0</v>
      </c>
      <c r="N3720" s="2" t="s">
        <v>21</v>
      </c>
    </row>
    <row r="3721" ht="15.75" customHeight="1">
      <c r="A3721" s="2">
        <v>2015.0</v>
      </c>
      <c r="B3721" s="2" t="s">
        <v>17214</v>
      </c>
      <c r="C3721" s="2" t="s">
        <v>17215</v>
      </c>
      <c r="D3721" s="2" t="str">
        <f>"4192815469"</f>
        <v>4192815469</v>
      </c>
      <c r="E3721" s="2" t="s">
        <v>11423</v>
      </c>
      <c r="F3721" s="2" t="s">
        <v>17216</v>
      </c>
      <c r="G3721" s="2" t="str">
        <f>"SR-5304"</f>
        <v>SR-5304</v>
      </c>
      <c r="H3721" s="2" t="s">
        <v>17217</v>
      </c>
      <c r="I3721" s="2" t="s">
        <v>17218</v>
      </c>
      <c r="K3721" s="2" t="s">
        <v>1154</v>
      </c>
      <c r="L3721" s="2" t="s">
        <v>344</v>
      </c>
      <c r="M3721" s="2">
        <v>44805.0</v>
      </c>
      <c r="N3721" s="2" t="s">
        <v>21</v>
      </c>
    </row>
    <row r="3722" ht="15.75" customHeight="1">
      <c r="A3722" s="2">
        <v>2015.0</v>
      </c>
      <c r="B3722" s="2" t="s">
        <v>17219</v>
      </c>
      <c r="C3722" s="2" t="s">
        <v>17219</v>
      </c>
      <c r="D3722" s="2" t="str">
        <f>"4172939524"</f>
        <v>4172939524</v>
      </c>
      <c r="E3722" s="2" t="s">
        <v>3077</v>
      </c>
      <c r="F3722" s="2" t="s">
        <v>3797</v>
      </c>
      <c r="G3722" s="2" t="str">
        <f>"SR-5305"</f>
        <v>SR-5305</v>
      </c>
      <c r="H3722" s="2" t="s">
        <v>17220</v>
      </c>
      <c r="I3722" s="2" t="s">
        <v>17221</v>
      </c>
      <c r="K3722" s="2" t="s">
        <v>229</v>
      </c>
      <c r="L3722" s="2" t="s">
        <v>214</v>
      </c>
      <c r="M3722" s="2">
        <v>65775.0</v>
      </c>
      <c r="N3722" s="2" t="s">
        <v>21</v>
      </c>
    </row>
    <row r="3723" ht="15.75" customHeight="1">
      <c r="A3723" s="2">
        <v>2015.0</v>
      </c>
      <c r="B3723" s="2" t="s">
        <v>17222</v>
      </c>
      <c r="C3723" s="2" t="s">
        <v>17222</v>
      </c>
      <c r="D3723" s="2" t="str">
        <f>"3016680607"</f>
        <v>3016680607</v>
      </c>
      <c r="E3723" s="2" t="s">
        <v>339</v>
      </c>
      <c r="F3723" s="2" t="s">
        <v>17223</v>
      </c>
      <c r="G3723" s="2" t="str">
        <f>"SR-5195"</f>
        <v>SR-5195</v>
      </c>
      <c r="H3723" s="2" t="s">
        <v>17224</v>
      </c>
      <c r="I3723" s="2" t="s">
        <v>17225</v>
      </c>
      <c r="K3723" s="2" t="s">
        <v>17226</v>
      </c>
      <c r="L3723" s="2" t="s">
        <v>1868</v>
      </c>
      <c r="M3723" s="2">
        <v>21702.0</v>
      </c>
      <c r="N3723" s="2" t="s">
        <v>21</v>
      </c>
    </row>
    <row r="3724" ht="15.75" customHeight="1">
      <c r="A3724" s="2">
        <v>2015.0</v>
      </c>
      <c r="B3724" s="2" t="s">
        <v>872</v>
      </c>
      <c r="C3724" s="2" t="s">
        <v>872</v>
      </c>
      <c r="D3724" s="2" t="str">
        <f>"419-606-6512"</f>
        <v>419-606-6512</v>
      </c>
      <c r="E3724" s="2" t="s">
        <v>873</v>
      </c>
      <c r="F3724" s="2" t="s">
        <v>874</v>
      </c>
      <c r="G3724" s="2" t="str">
        <f>"SR-316"</f>
        <v>SR-316</v>
      </c>
      <c r="H3724" s="2" t="s">
        <v>875</v>
      </c>
      <c r="I3724" s="2" t="s">
        <v>876</v>
      </c>
      <c r="K3724" s="2" t="s">
        <v>877</v>
      </c>
      <c r="L3724" s="2" t="s">
        <v>344</v>
      </c>
      <c r="M3724" s="2">
        <v>44866.0</v>
      </c>
      <c r="N3724" s="2" t="s">
        <v>21</v>
      </c>
    </row>
    <row r="3725" ht="15.75" customHeight="1">
      <c r="A3725" s="2">
        <v>2015.0</v>
      </c>
      <c r="B3725" s="2" t="s">
        <v>4461</v>
      </c>
      <c r="C3725" s="2" t="s">
        <v>4461</v>
      </c>
      <c r="D3725" s="2" t="str">
        <f>"281 543 0373"</f>
        <v>281 543 0373</v>
      </c>
      <c r="E3725" s="2" t="s">
        <v>4462</v>
      </c>
      <c r="F3725" s="2" t="s">
        <v>4457</v>
      </c>
      <c r="G3725" s="2" t="str">
        <f>"SR-1347"</f>
        <v>SR-1347</v>
      </c>
      <c r="H3725" s="2" t="s">
        <v>4463</v>
      </c>
      <c r="I3725" s="2" t="s">
        <v>4459</v>
      </c>
      <c r="K3725" s="2" t="s">
        <v>4460</v>
      </c>
      <c r="L3725" s="2" t="s">
        <v>172</v>
      </c>
      <c r="M3725" s="2">
        <v>77447.0</v>
      </c>
      <c r="N3725" s="2" t="s">
        <v>21</v>
      </c>
    </row>
    <row r="3726" ht="15.75" customHeight="1">
      <c r="A3726" s="2">
        <v>2015.0</v>
      </c>
      <c r="B3726" s="2" t="s">
        <v>4454</v>
      </c>
      <c r="C3726" s="2" t="s">
        <v>4455</v>
      </c>
      <c r="D3726" s="2" t="str">
        <f>"281 - 254 -9504"</f>
        <v>281 - 254 -9504</v>
      </c>
      <c r="E3726" s="2" t="s">
        <v>4456</v>
      </c>
      <c r="F3726" s="2" t="s">
        <v>4457</v>
      </c>
      <c r="G3726" s="2" t="str">
        <f>"SR-1346"</f>
        <v>SR-1346</v>
      </c>
      <c r="H3726" s="2" t="s">
        <v>4458</v>
      </c>
      <c r="I3726" s="2" t="s">
        <v>4459</v>
      </c>
      <c r="K3726" s="2" t="s">
        <v>4460</v>
      </c>
      <c r="L3726" s="2" t="s">
        <v>172</v>
      </c>
      <c r="M3726" s="2">
        <v>77447.0</v>
      </c>
      <c r="N3726" s="2" t="s">
        <v>21</v>
      </c>
    </row>
    <row r="3727" ht="15.75" customHeight="1">
      <c r="A3727" s="2">
        <v>2015.0</v>
      </c>
      <c r="B3727" s="2" t="s">
        <v>17227</v>
      </c>
      <c r="C3727" s="2" t="s">
        <v>17227</v>
      </c>
      <c r="D3727" s="2" t="str">
        <f>"832 773 8068"</f>
        <v>832 773 8068</v>
      </c>
      <c r="E3727" s="2" t="s">
        <v>1141</v>
      </c>
      <c r="F3727" s="2" t="s">
        <v>4457</v>
      </c>
      <c r="G3727" s="2" t="str">
        <f>"SR-5310"</f>
        <v>SR-5310</v>
      </c>
      <c r="H3727" s="2" t="s">
        <v>17228</v>
      </c>
      <c r="I3727" s="2" t="s">
        <v>4466</v>
      </c>
      <c r="K3727" s="2" t="s">
        <v>17229</v>
      </c>
      <c r="L3727" s="2" t="s">
        <v>172</v>
      </c>
      <c r="M3727" s="2">
        <v>77447.0</v>
      </c>
      <c r="N3727" s="2" t="s">
        <v>21</v>
      </c>
    </row>
    <row r="3728" ht="15.75" customHeight="1">
      <c r="A3728" s="2">
        <v>2015.0</v>
      </c>
      <c r="B3728" s="2" t="s">
        <v>17230</v>
      </c>
      <c r="C3728" s="2" t="s">
        <v>17230</v>
      </c>
      <c r="D3728" s="2" t="str">
        <f>"(386)-586-5757"</f>
        <v>(386)-586-5757</v>
      </c>
      <c r="E3728" s="2" t="s">
        <v>1810</v>
      </c>
      <c r="F3728" s="2" t="s">
        <v>962</v>
      </c>
      <c r="G3728" s="2" t="str">
        <f>"SR-5309"</f>
        <v>SR-5309</v>
      </c>
      <c r="H3728" s="2" t="s">
        <v>17231</v>
      </c>
      <c r="I3728" s="2" t="s">
        <v>17232</v>
      </c>
      <c r="K3728" s="2" t="s">
        <v>17233</v>
      </c>
      <c r="L3728" s="2" t="s">
        <v>208</v>
      </c>
      <c r="M3728" s="2">
        <v>32110.0</v>
      </c>
      <c r="N3728" s="2" t="s">
        <v>21</v>
      </c>
    </row>
    <row r="3729" ht="15.75" customHeight="1">
      <c r="A3729" s="2">
        <v>2015.0</v>
      </c>
      <c r="B3729" s="2" t="s">
        <v>17234</v>
      </c>
      <c r="C3729" s="2" t="s">
        <v>17234</v>
      </c>
      <c r="D3729" s="2" t="str">
        <f>"432-557-8626"</f>
        <v>432-557-8626</v>
      </c>
      <c r="E3729" s="2" t="s">
        <v>2572</v>
      </c>
      <c r="F3729" s="2" t="s">
        <v>2852</v>
      </c>
      <c r="G3729" s="2" t="str">
        <f>"SR-5312"</f>
        <v>SR-5312</v>
      </c>
      <c r="H3729" s="2" t="s">
        <v>17235</v>
      </c>
      <c r="I3729" s="2" t="s">
        <v>17236</v>
      </c>
      <c r="K3729" s="2" t="s">
        <v>286</v>
      </c>
      <c r="L3729" s="2" t="s">
        <v>172</v>
      </c>
      <c r="M3729" s="2">
        <v>79705.0</v>
      </c>
      <c r="N3729" s="2" t="s">
        <v>21</v>
      </c>
    </row>
    <row r="3730" ht="15.75" customHeight="1">
      <c r="A3730" s="2">
        <v>2015.0</v>
      </c>
      <c r="B3730" s="2" t="s">
        <v>7592</v>
      </c>
      <c r="C3730" s="2" t="s">
        <v>7593</v>
      </c>
      <c r="D3730" s="2" t="str">
        <f>"952-250-9487"</f>
        <v>952-250-9487</v>
      </c>
      <c r="E3730" s="2" t="s">
        <v>926</v>
      </c>
      <c r="F3730" s="2" t="s">
        <v>7594</v>
      </c>
      <c r="G3730" s="2" t="str">
        <f>"SR-2056"</f>
        <v>SR-2056</v>
      </c>
      <c r="H3730" s="2" t="s">
        <v>7595</v>
      </c>
      <c r="I3730" s="2" t="s">
        <v>7596</v>
      </c>
      <c r="K3730" s="2" t="s">
        <v>3109</v>
      </c>
      <c r="L3730" s="2" t="s">
        <v>62</v>
      </c>
      <c r="M3730" s="2">
        <v>55435.0</v>
      </c>
      <c r="N3730" s="2" t="s">
        <v>21</v>
      </c>
    </row>
    <row r="3731" ht="15.75" customHeight="1">
      <c r="A3731" s="2">
        <v>2015.0</v>
      </c>
      <c r="B3731" s="2" t="s">
        <v>8686</v>
      </c>
      <c r="C3731" s="2" t="s">
        <v>8686</v>
      </c>
      <c r="D3731" s="2" t="str">
        <f>"3193606489"</f>
        <v>3193606489</v>
      </c>
      <c r="E3731" s="2" t="s">
        <v>217</v>
      </c>
      <c r="F3731" s="2" t="s">
        <v>17237</v>
      </c>
      <c r="G3731" s="2" t="str">
        <f>"SR-5313"</f>
        <v>SR-5313</v>
      </c>
      <c r="H3731" s="2" t="s">
        <v>17238</v>
      </c>
      <c r="I3731" s="2" t="s">
        <v>17239</v>
      </c>
      <c r="K3731" s="2" t="s">
        <v>3273</v>
      </c>
      <c r="L3731" s="2" t="s">
        <v>560</v>
      </c>
      <c r="M3731" s="2">
        <v>52402.0</v>
      </c>
      <c r="N3731" s="2" t="s">
        <v>21</v>
      </c>
    </row>
    <row r="3732" ht="15.75" customHeight="1">
      <c r="A3732" s="2">
        <v>2015.0</v>
      </c>
      <c r="B3732" s="2" t="s">
        <v>17240</v>
      </c>
      <c r="C3732" s="2" t="s">
        <v>17240</v>
      </c>
      <c r="D3732" s="2" t="str">
        <f>"4325577119"</f>
        <v>4325577119</v>
      </c>
      <c r="E3732" s="2" t="s">
        <v>2578</v>
      </c>
      <c r="F3732" s="2" t="s">
        <v>17241</v>
      </c>
      <c r="G3732" s="2" t="str">
        <f>"SR-5320"</f>
        <v>SR-5320</v>
      </c>
      <c r="H3732" s="2" t="s">
        <v>17242</v>
      </c>
      <c r="I3732" s="2" t="s">
        <v>17243</v>
      </c>
      <c r="K3732" s="2" t="s">
        <v>5833</v>
      </c>
      <c r="L3732" s="2" t="s">
        <v>172</v>
      </c>
      <c r="M3732" s="2">
        <v>79701.0</v>
      </c>
      <c r="N3732" s="2" t="s">
        <v>21</v>
      </c>
    </row>
    <row r="3733" ht="15.75" customHeight="1">
      <c r="A3733" s="2">
        <v>2015.0</v>
      </c>
      <c r="B3733" s="2" t="s">
        <v>17244</v>
      </c>
      <c r="C3733" s="2" t="s">
        <v>17245</v>
      </c>
      <c r="D3733" s="2" t="str">
        <f>"860-349-2462"</f>
        <v>860-349-2462</v>
      </c>
      <c r="E3733" s="2" t="s">
        <v>847</v>
      </c>
      <c r="F3733" s="2" t="s">
        <v>10424</v>
      </c>
      <c r="G3733" s="2" t="str">
        <f>"SR-5318"</f>
        <v>SR-5318</v>
      </c>
      <c r="H3733" s="2" t="s">
        <v>17246</v>
      </c>
      <c r="I3733" s="2" t="s">
        <v>17247</v>
      </c>
      <c r="K3733" s="2" t="s">
        <v>17248</v>
      </c>
      <c r="L3733" s="2" t="s">
        <v>4836</v>
      </c>
      <c r="M3733" s="2">
        <v>6455.0</v>
      </c>
      <c r="N3733" s="2" t="s">
        <v>21</v>
      </c>
    </row>
    <row r="3734" ht="15.75" customHeight="1">
      <c r="A3734" s="2">
        <v>2015.0</v>
      </c>
      <c r="B3734" s="2" t="s">
        <v>17249</v>
      </c>
      <c r="C3734" s="2" t="s">
        <v>17249</v>
      </c>
      <c r="D3734" s="2" t="str">
        <f>"720-308-4204"</f>
        <v>720-308-4204</v>
      </c>
      <c r="E3734" s="2" t="s">
        <v>465</v>
      </c>
      <c r="F3734" s="2" t="s">
        <v>17250</v>
      </c>
      <c r="G3734" s="2" t="str">
        <f>"SR-5322"</f>
        <v>SR-5322</v>
      </c>
      <c r="H3734" s="2" t="s">
        <v>17251</v>
      </c>
      <c r="I3734" s="2" t="s">
        <v>17252</v>
      </c>
      <c r="K3734" s="2" t="s">
        <v>1398</v>
      </c>
      <c r="L3734" s="2" t="s">
        <v>157</v>
      </c>
      <c r="M3734" s="2">
        <v>80108.0</v>
      </c>
      <c r="N3734" s="2" t="s">
        <v>21</v>
      </c>
    </row>
    <row r="3735" ht="15.75" customHeight="1">
      <c r="A3735" s="2">
        <v>2015.0</v>
      </c>
      <c r="B3735" s="2" t="s">
        <v>17253</v>
      </c>
      <c r="C3735" s="2" t="s">
        <v>17253</v>
      </c>
      <c r="D3735" s="2" t="str">
        <f t="shared" ref="D3735:D3736" si="70">"319-378-5591"</f>
        <v>319-378-5591</v>
      </c>
      <c r="E3735" s="2" t="s">
        <v>843</v>
      </c>
      <c r="F3735" s="2" t="s">
        <v>17254</v>
      </c>
      <c r="G3735" s="2" t="str">
        <f>"SR-5323"</f>
        <v>SR-5323</v>
      </c>
      <c r="H3735" s="2" t="s">
        <v>17255</v>
      </c>
      <c r="I3735" s="2" t="s">
        <v>17256</v>
      </c>
      <c r="K3735" s="2" t="s">
        <v>3273</v>
      </c>
      <c r="L3735" s="2" t="s">
        <v>560</v>
      </c>
      <c r="M3735" s="2">
        <v>52411.0</v>
      </c>
      <c r="N3735" s="2" t="s">
        <v>21</v>
      </c>
    </row>
    <row r="3736" ht="15.75" customHeight="1">
      <c r="A3736" s="2">
        <v>2015.0</v>
      </c>
      <c r="B3736" s="2" t="s">
        <v>17253</v>
      </c>
      <c r="C3736" s="2" t="s">
        <v>17253</v>
      </c>
      <c r="D3736" s="2" t="str">
        <f t="shared" si="70"/>
        <v>319-378-5591</v>
      </c>
      <c r="E3736" s="2" t="s">
        <v>2361</v>
      </c>
      <c r="F3736" s="2" t="s">
        <v>17254</v>
      </c>
      <c r="G3736" s="2" t="str">
        <f>"SR-5325"</f>
        <v>SR-5325</v>
      </c>
      <c r="H3736" s="2" t="s">
        <v>17257</v>
      </c>
      <c r="I3736" s="2" t="s">
        <v>17258</v>
      </c>
      <c r="K3736" s="2" t="s">
        <v>3273</v>
      </c>
      <c r="L3736" s="2" t="s">
        <v>560</v>
      </c>
      <c r="M3736" s="2">
        <v>52411.0</v>
      </c>
      <c r="N3736" s="2" t="s">
        <v>21</v>
      </c>
    </row>
    <row r="3737" ht="15.75" customHeight="1">
      <c r="A3737" s="2">
        <v>2015.0</v>
      </c>
      <c r="B3737" s="2" t="s">
        <v>17259</v>
      </c>
      <c r="C3737" s="2" t="s">
        <v>17259</v>
      </c>
      <c r="D3737" s="2" t="str">
        <f>"1-515-835-2479"</f>
        <v>1-515-835-2479</v>
      </c>
      <c r="E3737" s="2" t="s">
        <v>1440</v>
      </c>
      <c r="F3737" s="2" t="s">
        <v>17260</v>
      </c>
      <c r="G3737" s="2" t="str">
        <f>"SR-5315"</f>
        <v>SR-5315</v>
      </c>
      <c r="H3737" s="2" t="s">
        <v>17261</v>
      </c>
      <c r="I3737" s="2" t="s">
        <v>17262</v>
      </c>
      <c r="K3737" s="2" t="s">
        <v>17263</v>
      </c>
      <c r="L3737" s="2" t="s">
        <v>560</v>
      </c>
      <c r="M3737" s="2">
        <v>50130.0</v>
      </c>
      <c r="N3737" s="2" t="s">
        <v>21</v>
      </c>
    </row>
    <row r="3738" ht="15.75" customHeight="1">
      <c r="A3738" s="2">
        <v>2015.0</v>
      </c>
      <c r="B3738" s="2" t="s">
        <v>17264</v>
      </c>
      <c r="C3738" s="2" t="s">
        <v>17264</v>
      </c>
      <c r="D3738" s="2" t="str">
        <f>"5174234273"</f>
        <v>5174234273</v>
      </c>
      <c r="E3738" s="2" t="s">
        <v>1529</v>
      </c>
      <c r="F3738" s="2" t="s">
        <v>17265</v>
      </c>
      <c r="G3738" s="2" t="str">
        <f>"SR-5046"</f>
        <v>SR-5046</v>
      </c>
      <c r="H3738" s="2" t="s">
        <v>17266</v>
      </c>
      <c r="I3738" s="2" t="s">
        <v>17267</v>
      </c>
      <c r="K3738" s="2" t="s">
        <v>47</v>
      </c>
      <c r="L3738" s="2" t="s">
        <v>29</v>
      </c>
      <c r="M3738" s="2">
        <v>49221.0</v>
      </c>
      <c r="N3738" s="2" t="s">
        <v>21</v>
      </c>
    </row>
    <row r="3739" ht="15.75" customHeight="1">
      <c r="A3739" s="2">
        <v>2015.0</v>
      </c>
      <c r="B3739" s="2" t="s">
        <v>17268</v>
      </c>
      <c r="C3739" s="2" t="s">
        <v>17268</v>
      </c>
      <c r="D3739" s="2" t="str">
        <f>"417-372-4263"</f>
        <v>417-372-4263</v>
      </c>
      <c r="E3739" s="2" t="s">
        <v>1664</v>
      </c>
      <c r="F3739" s="2" t="s">
        <v>17269</v>
      </c>
      <c r="G3739" s="2" t="str">
        <f>"SR-5231"</f>
        <v>SR-5231</v>
      </c>
      <c r="H3739" s="2" t="s">
        <v>17270</v>
      </c>
      <c r="I3739" s="2" t="s">
        <v>17271</v>
      </c>
      <c r="K3739" s="2" t="s">
        <v>229</v>
      </c>
      <c r="L3739" s="2" t="s">
        <v>214</v>
      </c>
      <c r="M3739" s="2">
        <v>65775.0</v>
      </c>
      <c r="N3739" s="2" t="s">
        <v>21</v>
      </c>
    </row>
    <row r="3740" ht="15.75" customHeight="1">
      <c r="A3740" s="2">
        <v>2015.0</v>
      </c>
      <c r="B3740" s="2" t="s">
        <v>17272</v>
      </c>
      <c r="C3740" s="2" t="s">
        <v>17272</v>
      </c>
      <c r="D3740" s="2" t="str">
        <f>"515-835-8956"</f>
        <v>515-835-8956</v>
      </c>
      <c r="E3740" s="2" t="s">
        <v>1015</v>
      </c>
      <c r="F3740" s="2" t="s">
        <v>17273</v>
      </c>
      <c r="G3740" s="2" t="str">
        <f>"SR-5327"</f>
        <v>SR-5327</v>
      </c>
      <c r="H3740" s="2" t="s">
        <v>17274</v>
      </c>
      <c r="I3740" s="2" t="s">
        <v>17275</v>
      </c>
      <c r="K3740" s="2" t="s">
        <v>17118</v>
      </c>
      <c r="L3740" s="2" t="s">
        <v>560</v>
      </c>
      <c r="M3740" s="2">
        <v>50034.0</v>
      </c>
      <c r="N3740" s="2" t="s">
        <v>21</v>
      </c>
    </row>
    <row r="3741" ht="15.75" customHeight="1">
      <c r="A3741" s="2">
        <v>2015.0</v>
      </c>
      <c r="B3741" s="2" t="s">
        <v>9035</v>
      </c>
      <c r="C3741" s="2" t="s">
        <v>9039</v>
      </c>
      <c r="D3741" s="2" t="str">
        <f>"319-450-0654"</f>
        <v>319-450-0654</v>
      </c>
      <c r="E3741" s="2" t="s">
        <v>678</v>
      </c>
      <c r="F3741" s="2" t="s">
        <v>9036</v>
      </c>
      <c r="G3741" s="2" t="str">
        <f>"SR-2571"</f>
        <v>SR-2571</v>
      </c>
      <c r="H3741" s="2" t="s">
        <v>9040</v>
      </c>
      <c r="I3741" s="2" t="s">
        <v>9038</v>
      </c>
      <c r="K3741" s="2" t="s">
        <v>3273</v>
      </c>
      <c r="L3741" s="2" t="s">
        <v>560</v>
      </c>
      <c r="M3741" s="2">
        <v>52405.0</v>
      </c>
      <c r="N3741" s="2" t="s">
        <v>21</v>
      </c>
    </row>
    <row r="3742" ht="15.75" customHeight="1">
      <c r="A3742" s="2">
        <v>2015.0</v>
      </c>
      <c r="B3742" s="2" t="s">
        <v>8691</v>
      </c>
      <c r="C3742" s="2" t="s">
        <v>8692</v>
      </c>
      <c r="D3742" s="2" t="str">
        <f>"319-721-4310"</f>
        <v>319-721-4310</v>
      </c>
      <c r="E3742" s="2" t="s">
        <v>8693</v>
      </c>
      <c r="F3742" s="2" t="s">
        <v>8694</v>
      </c>
      <c r="G3742" s="2" t="str">
        <f>"SR-2499"</f>
        <v>SR-2499</v>
      </c>
      <c r="H3742" s="2" t="s">
        <v>8695</v>
      </c>
      <c r="I3742" s="2" t="s">
        <v>8696</v>
      </c>
      <c r="K3742" s="2" t="s">
        <v>8697</v>
      </c>
      <c r="L3742" s="2" t="s">
        <v>560</v>
      </c>
      <c r="M3742" s="2">
        <v>52313.0</v>
      </c>
      <c r="N3742" s="2" t="s">
        <v>21</v>
      </c>
    </row>
    <row r="3743" ht="15.75" customHeight="1">
      <c r="A3743" s="2">
        <v>2015.0</v>
      </c>
      <c r="B3743" s="2" t="s">
        <v>17276</v>
      </c>
      <c r="C3743" s="2" t="s">
        <v>17277</v>
      </c>
      <c r="D3743" s="2" t="str">
        <f>"319-693-3116"</f>
        <v>319-693-3116</v>
      </c>
      <c r="E3743" s="2" t="s">
        <v>1799</v>
      </c>
      <c r="F3743" s="2" t="s">
        <v>17278</v>
      </c>
      <c r="G3743" s="2" t="str">
        <f>"SR-5331"</f>
        <v>SR-5331</v>
      </c>
      <c r="H3743" s="2" t="s">
        <v>17279</v>
      </c>
      <c r="I3743" s="2" t="s">
        <v>17280</v>
      </c>
      <c r="K3743" s="2" t="s">
        <v>3273</v>
      </c>
      <c r="L3743" s="2" t="s">
        <v>560</v>
      </c>
      <c r="M3743" s="2">
        <v>52411.0</v>
      </c>
      <c r="N3743" s="2" t="s">
        <v>21</v>
      </c>
    </row>
    <row r="3744" ht="15.75" customHeight="1">
      <c r="A3744" s="2">
        <v>2015.0</v>
      </c>
      <c r="B3744" s="2" t="s">
        <v>17281</v>
      </c>
      <c r="C3744" s="2" t="s">
        <v>17281</v>
      </c>
      <c r="D3744" s="2" t="str">
        <f>"6056519140"</f>
        <v>6056519140</v>
      </c>
      <c r="E3744" s="2" t="s">
        <v>4071</v>
      </c>
      <c r="F3744" s="2" t="s">
        <v>17282</v>
      </c>
      <c r="G3744" s="2" t="str">
        <f>"SR-5321"</f>
        <v>SR-5321</v>
      </c>
      <c r="H3744" s="2" t="s">
        <v>17283</v>
      </c>
      <c r="I3744" s="2" t="s">
        <v>17284</v>
      </c>
      <c r="K3744" s="2" t="s">
        <v>10380</v>
      </c>
      <c r="L3744" s="2" t="s">
        <v>62</v>
      </c>
      <c r="M3744" s="2">
        <v>56159.0</v>
      </c>
      <c r="N3744" s="2" t="s">
        <v>21</v>
      </c>
    </row>
    <row r="3745" ht="15.75" customHeight="1">
      <c r="A3745" s="2">
        <v>2015.0</v>
      </c>
      <c r="B3745" s="2" t="s">
        <v>17285</v>
      </c>
      <c r="C3745" s="2" t="s">
        <v>17285</v>
      </c>
      <c r="D3745" s="2" t="str">
        <f>"1 417 274 1568"</f>
        <v>1 417 274 1568</v>
      </c>
      <c r="E3745" s="2" t="s">
        <v>10860</v>
      </c>
      <c r="F3745" s="2" t="s">
        <v>17286</v>
      </c>
      <c r="G3745" s="2" t="str">
        <f>"SR-5334"</f>
        <v>SR-5334</v>
      </c>
      <c r="H3745" s="2" t="s">
        <v>17287</v>
      </c>
      <c r="I3745" s="2" t="s">
        <v>17288</v>
      </c>
      <c r="K3745" s="2" t="s">
        <v>229</v>
      </c>
      <c r="L3745" s="2" t="s">
        <v>214</v>
      </c>
      <c r="M3745" s="2">
        <v>65775.0</v>
      </c>
      <c r="N3745" s="2" t="s">
        <v>21</v>
      </c>
    </row>
    <row r="3746" ht="15.75" customHeight="1">
      <c r="A3746" s="2">
        <v>2015.0</v>
      </c>
      <c r="B3746" s="2" t="s">
        <v>17289</v>
      </c>
      <c r="C3746" s="2" t="s">
        <v>17290</v>
      </c>
      <c r="D3746" s="2" t="str">
        <f>"229-387-8812"</f>
        <v>229-387-8812</v>
      </c>
      <c r="E3746" s="2" t="s">
        <v>137</v>
      </c>
      <c r="F3746" s="2" t="s">
        <v>17291</v>
      </c>
      <c r="G3746" s="2" t="str">
        <f>"SR-5208"</f>
        <v>SR-5208</v>
      </c>
      <c r="H3746" s="2" t="s">
        <v>17292</v>
      </c>
      <c r="I3746" s="2" t="s">
        <v>17293</v>
      </c>
      <c r="K3746" s="2" t="s">
        <v>17294</v>
      </c>
      <c r="L3746" s="2" t="s">
        <v>200</v>
      </c>
      <c r="M3746" s="2">
        <v>31733.0</v>
      </c>
      <c r="N3746" s="2" t="s">
        <v>21</v>
      </c>
    </row>
    <row r="3747" ht="15.75" customHeight="1">
      <c r="A3747" s="2">
        <v>2015.0</v>
      </c>
      <c r="B3747" s="2" t="s">
        <v>17295</v>
      </c>
      <c r="C3747" s="2" t="s">
        <v>17295</v>
      </c>
      <c r="D3747" s="2" t="str">
        <f>"8283425726"</f>
        <v>8283425726</v>
      </c>
      <c r="E3747" s="2" t="s">
        <v>2188</v>
      </c>
      <c r="F3747" s="2" t="s">
        <v>17296</v>
      </c>
      <c r="G3747" s="2" t="str">
        <f>"SR-985"</f>
        <v>SR-985</v>
      </c>
      <c r="H3747" s="2" t="s">
        <v>17297</v>
      </c>
      <c r="I3747" s="2" t="s">
        <v>17298</v>
      </c>
      <c r="K3747" s="2" t="s">
        <v>17299</v>
      </c>
      <c r="L3747" s="2" t="s">
        <v>20</v>
      </c>
      <c r="M3747" s="2">
        <v>28713.0</v>
      </c>
      <c r="N3747" s="2" t="s">
        <v>21</v>
      </c>
    </row>
    <row r="3748" ht="15.75" customHeight="1">
      <c r="A3748" s="2">
        <v>2015.0</v>
      </c>
      <c r="B3748" s="2" t="s">
        <v>17300</v>
      </c>
      <c r="C3748" s="2" t="s">
        <v>17301</v>
      </c>
      <c r="D3748" s="2" t="str">
        <f>"985-373-2744"</f>
        <v>985-373-2744</v>
      </c>
      <c r="E3748" s="2" t="s">
        <v>705</v>
      </c>
      <c r="F3748" s="2" t="s">
        <v>17302</v>
      </c>
      <c r="G3748" s="2" t="str">
        <f>"SR-5339"</f>
        <v>SR-5339</v>
      </c>
      <c r="H3748" s="2" t="s">
        <v>17303</v>
      </c>
      <c r="I3748" s="2" t="s">
        <v>17304</v>
      </c>
      <c r="K3748" s="2" t="s">
        <v>17305</v>
      </c>
      <c r="L3748" s="2" t="s">
        <v>715</v>
      </c>
      <c r="M3748" s="2">
        <v>70471.0</v>
      </c>
      <c r="N3748" s="2" t="s">
        <v>21</v>
      </c>
    </row>
    <row r="3749" ht="15.75" customHeight="1">
      <c r="A3749" s="2">
        <v>2015.0</v>
      </c>
      <c r="B3749" s="2" t="s">
        <v>7960</v>
      </c>
      <c r="C3749" s="2" t="s">
        <v>17306</v>
      </c>
      <c r="D3749" s="2" t="str">
        <f>"804-273-9506"</f>
        <v>804-273-9506</v>
      </c>
      <c r="E3749" s="2" t="s">
        <v>282</v>
      </c>
      <c r="F3749" s="2" t="s">
        <v>7963</v>
      </c>
      <c r="G3749" s="2" t="str">
        <f>"SR-4747"</f>
        <v>SR-4747</v>
      </c>
      <c r="H3749" s="2" t="s">
        <v>17307</v>
      </c>
      <c r="I3749" s="2" t="s">
        <v>7965</v>
      </c>
      <c r="K3749" s="2" t="s">
        <v>7966</v>
      </c>
      <c r="L3749" s="2" t="s">
        <v>165</v>
      </c>
      <c r="M3749" s="2">
        <v>23060.0</v>
      </c>
      <c r="N3749" s="2" t="s">
        <v>21</v>
      </c>
    </row>
    <row r="3750" ht="15.75" customHeight="1">
      <c r="A3750" s="2">
        <v>2015.0</v>
      </c>
      <c r="B3750" s="2" t="s">
        <v>17308</v>
      </c>
      <c r="C3750" s="2" t="s">
        <v>17309</v>
      </c>
      <c r="D3750" s="2" t="str">
        <f>"302-220-8482"</f>
        <v>302-220-8482</v>
      </c>
      <c r="E3750" s="2" t="s">
        <v>1529</v>
      </c>
      <c r="F3750" s="2" t="s">
        <v>4881</v>
      </c>
      <c r="G3750" s="2" t="str">
        <f>"SR-5346"</f>
        <v>SR-5346</v>
      </c>
      <c r="H3750" s="2" t="s">
        <v>17310</v>
      </c>
      <c r="I3750" s="2" t="s">
        <v>4883</v>
      </c>
      <c r="K3750" s="2" t="s">
        <v>4884</v>
      </c>
      <c r="L3750" s="2" t="s">
        <v>4885</v>
      </c>
      <c r="M3750" s="2">
        <v>19711.0</v>
      </c>
      <c r="N3750" s="2" t="s">
        <v>21</v>
      </c>
    </row>
    <row r="3751" ht="15.75" customHeight="1">
      <c r="A3751" s="2">
        <v>2015.0</v>
      </c>
      <c r="B3751" s="2" t="s">
        <v>17311</v>
      </c>
      <c r="C3751" s="2" t="s">
        <v>17312</v>
      </c>
      <c r="D3751" s="2" t="str">
        <f>"610 274 0602"</f>
        <v>610 274 0602</v>
      </c>
      <c r="E3751" s="2" t="s">
        <v>17313</v>
      </c>
      <c r="F3751" s="2" t="s">
        <v>17314</v>
      </c>
      <c r="G3751" s="2" t="str">
        <f>"SR-5345"</f>
        <v>SR-5345</v>
      </c>
      <c r="H3751" s="2" t="s">
        <v>17315</v>
      </c>
      <c r="I3751" s="2" t="s">
        <v>17316</v>
      </c>
      <c r="K3751" s="2" t="s">
        <v>17317</v>
      </c>
      <c r="L3751" s="2" t="s">
        <v>179</v>
      </c>
      <c r="M3751" s="2">
        <v>19350.0</v>
      </c>
      <c r="N3751" s="2" t="s">
        <v>21</v>
      </c>
    </row>
    <row r="3752" ht="15.75" customHeight="1">
      <c r="A3752" s="2">
        <v>2015.0</v>
      </c>
      <c r="B3752" s="2" t="s">
        <v>17318</v>
      </c>
      <c r="C3752" s="2" t="s">
        <v>17318</v>
      </c>
      <c r="D3752" s="2" t="str">
        <f>"505 281-2710"</f>
        <v>505 281-2710</v>
      </c>
      <c r="E3752" s="2" t="s">
        <v>1548</v>
      </c>
      <c r="F3752" s="2" t="s">
        <v>11388</v>
      </c>
      <c r="G3752" s="2" t="str">
        <f>"SR-5306"</f>
        <v>SR-5306</v>
      </c>
      <c r="H3752" s="2" t="s">
        <v>17319</v>
      </c>
      <c r="I3752" s="2" t="s">
        <v>17320</v>
      </c>
      <c r="K3752" s="2" t="s">
        <v>17321</v>
      </c>
      <c r="L3752" s="2" t="s">
        <v>789</v>
      </c>
      <c r="M3752" s="2">
        <v>87015.0</v>
      </c>
      <c r="N3752" s="2" t="s">
        <v>21</v>
      </c>
    </row>
    <row r="3753" ht="15.75" customHeight="1">
      <c r="A3753" s="2">
        <v>2015.0</v>
      </c>
      <c r="B3753" s="2" t="s">
        <v>17322</v>
      </c>
      <c r="C3753" s="2" t="s">
        <v>17323</v>
      </c>
      <c r="D3753" s="2" t="str">
        <f>"214-549-8976"</f>
        <v>214-549-8976</v>
      </c>
      <c r="E3753" s="2" t="s">
        <v>14233</v>
      </c>
      <c r="F3753" s="2" t="s">
        <v>5070</v>
      </c>
      <c r="G3753" s="2" t="str">
        <f>"SR-5333"</f>
        <v>SR-5333</v>
      </c>
      <c r="H3753" s="2" t="s">
        <v>17324</v>
      </c>
      <c r="I3753" s="2" t="s">
        <v>17325</v>
      </c>
      <c r="K3753" s="2" t="s">
        <v>286</v>
      </c>
      <c r="L3753" s="2" t="s">
        <v>172</v>
      </c>
      <c r="M3753" s="2">
        <v>79707.0</v>
      </c>
      <c r="N3753" s="2" t="s">
        <v>21</v>
      </c>
    </row>
    <row r="3754" ht="15.75" customHeight="1">
      <c r="A3754" s="2">
        <v>2015.0</v>
      </c>
      <c r="B3754" s="2" t="s">
        <v>17326</v>
      </c>
      <c r="C3754" s="2" t="s">
        <v>17326</v>
      </c>
      <c r="D3754" s="2" t="str">
        <f>"719-640-8012"</f>
        <v>719-640-8012</v>
      </c>
      <c r="E3754" s="2" t="s">
        <v>17327</v>
      </c>
      <c r="F3754" s="2" t="s">
        <v>17328</v>
      </c>
      <c r="G3754" s="2" t="str">
        <f>"SR-5255"</f>
        <v>SR-5255</v>
      </c>
      <c r="H3754" s="2" t="s">
        <v>17329</v>
      </c>
      <c r="I3754" s="2" t="s">
        <v>17330</v>
      </c>
      <c r="K3754" s="2" t="s">
        <v>809</v>
      </c>
      <c r="L3754" s="2" t="s">
        <v>157</v>
      </c>
      <c r="M3754" s="2">
        <v>80918.0</v>
      </c>
      <c r="N3754" s="2" t="s">
        <v>21</v>
      </c>
    </row>
    <row r="3755" ht="15.75" customHeight="1">
      <c r="A3755" s="2">
        <v>2015.0</v>
      </c>
      <c r="B3755" s="2" t="s">
        <v>17331</v>
      </c>
      <c r="C3755" s="2" t="s">
        <v>17332</v>
      </c>
      <c r="D3755" s="2" t="str">
        <f>"816-261-9671"</f>
        <v>816-261-9671</v>
      </c>
      <c r="E3755" s="2" t="s">
        <v>11107</v>
      </c>
      <c r="F3755" s="2" t="s">
        <v>5128</v>
      </c>
      <c r="G3755" s="2" t="str">
        <f>"SR-5328"</f>
        <v>SR-5328</v>
      </c>
      <c r="H3755" s="2" t="s">
        <v>17333</v>
      </c>
      <c r="I3755" s="2" t="s">
        <v>17334</v>
      </c>
      <c r="J3755" s="2" t="s">
        <v>17335</v>
      </c>
      <c r="K3755" s="2" t="s">
        <v>229</v>
      </c>
      <c r="L3755" s="2" t="s">
        <v>214</v>
      </c>
      <c r="M3755" s="2">
        <v>65775.0</v>
      </c>
      <c r="N3755" s="2" t="s">
        <v>21</v>
      </c>
    </row>
    <row r="3756" ht="15.75" customHeight="1">
      <c r="A3756" s="2">
        <v>2015.0</v>
      </c>
      <c r="B3756" s="2" t="s">
        <v>17336</v>
      </c>
      <c r="C3756" s="2" t="s">
        <v>17337</v>
      </c>
      <c r="D3756" s="2" t="str">
        <f>"319.573.1194"</f>
        <v>319.573.1194</v>
      </c>
      <c r="E3756" s="2" t="s">
        <v>17338</v>
      </c>
      <c r="F3756" s="2" t="s">
        <v>17339</v>
      </c>
      <c r="G3756" s="2" t="str">
        <f>"SR-5358"</f>
        <v>SR-5358</v>
      </c>
      <c r="H3756" s="2" t="s">
        <v>17340</v>
      </c>
      <c r="I3756" s="2" t="s">
        <v>17341</v>
      </c>
      <c r="K3756" s="2" t="s">
        <v>3273</v>
      </c>
      <c r="L3756" s="2" t="s">
        <v>560</v>
      </c>
      <c r="M3756" s="2">
        <v>52402.0</v>
      </c>
      <c r="N3756" s="2" t="s">
        <v>21</v>
      </c>
    </row>
    <row r="3757" ht="15.75" customHeight="1">
      <c r="A3757" s="2">
        <v>2015.0</v>
      </c>
      <c r="B3757" s="2" t="s">
        <v>17342</v>
      </c>
      <c r="C3757" s="2" t="s">
        <v>17343</v>
      </c>
      <c r="D3757" s="2" t="str">
        <f>"719 400 8990"</f>
        <v>719 400 8990</v>
      </c>
      <c r="E3757" s="2" t="s">
        <v>4300</v>
      </c>
      <c r="F3757" s="2" t="s">
        <v>17344</v>
      </c>
      <c r="G3757" s="2" t="str">
        <f>"SR-5194"</f>
        <v>SR-5194</v>
      </c>
      <c r="H3757" s="2" t="s">
        <v>17345</v>
      </c>
      <c r="I3757" s="2" t="s">
        <v>17346</v>
      </c>
      <c r="K3757" s="2" t="s">
        <v>809</v>
      </c>
      <c r="L3757" s="2" t="s">
        <v>157</v>
      </c>
      <c r="M3757" s="2">
        <v>80923.0</v>
      </c>
      <c r="N3757" s="2" t="s">
        <v>21</v>
      </c>
    </row>
    <row r="3758" ht="15.75" customHeight="1">
      <c r="A3758" s="2">
        <v>2015.0</v>
      </c>
      <c r="B3758" s="2" t="s">
        <v>17347</v>
      </c>
      <c r="C3758" s="2" t="s">
        <v>17348</v>
      </c>
      <c r="D3758" s="2" t="str">
        <f>"952-406-2247"</f>
        <v>952-406-2247</v>
      </c>
      <c r="E3758" s="2" t="s">
        <v>678</v>
      </c>
      <c r="F3758" s="2" t="s">
        <v>17349</v>
      </c>
      <c r="G3758" s="2" t="str">
        <f>"SR-5361"</f>
        <v>SR-5361</v>
      </c>
      <c r="H3758" s="2" t="s">
        <v>17350</v>
      </c>
      <c r="I3758" s="2" t="s">
        <v>17351</v>
      </c>
      <c r="K3758" s="2" t="s">
        <v>2267</v>
      </c>
      <c r="L3758" s="2" t="s">
        <v>62</v>
      </c>
      <c r="M3758" s="2">
        <v>55044.0</v>
      </c>
      <c r="N3758" s="2" t="s">
        <v>21</v>
      </c>
    </row>
    <row r="3759" ht="15.75" customHeight="1">
      <c r="A3759" s="2">
        <v>2015.0</v>
      </c>
      <c r="B3759" s="2" t="s">
        <v>17352</v>
      </c>
      <c r="C3759" s="2" t="s">
        <v>17353</v>
      </c>
      <c r="D3759" s="2" t="str">
        <f>"7044987543"</f>
        <v>7044987543</v>
      </c>
      <c r="E3759" s="2" t="s">
        <v>2162</v>
      </c>
      <c r="F3759" s="2" t="s">
        <v>17354</v>
      </c>
      <c r="G3759" s="2" t="str">
        <f>"SR-4919"</f>
        <v>SR-4919</v>
      </c>
      <c r="H3759" s="2" t="s">
        <v>17355</v>
      </c>
      <c r="I3759" s="2" t="s">
        <v>17356</v>
      </c>
      <c r="K3759" s="2" t="s">
        <v>2494</v>
      </c>
      <c r="L3759" s="2" t="s">
        <v>20</v>
      </c>
      <c r="M3759" s="2">
        <v>28677.0</v>
      </c>
      <c r="N3759" s="2" t="s">
        <v>21</v>
      </c>
    </row>
    <row r="3760" ht="15.75" customHeight="1">
      <c r="A3760" s="2">
        <v>2015.0</v>
      </c>
      <c r="B3760" s="2" t="s">
        <v>17357</v>
      </c>
      <c r="C3760" s="2" t="s">
        <v>17358</v>
      </c>
      <c r="D3760" s="2" t="str">
        <f>"9039226476"</f>
        <v>9039226476</v>
      </c>
      <c r="E3760" s="2" t="s">
        <v>428</v>
      </c>
      <c r="F3760" s="2" t="s">
        <v>17359</v>
      </c>
      <c r="G3760" s="2" t="str">
        <f>"SR-5363"</f>
        <v>SR-5363</v>
      </c>
      <c r="H3760" s="2" t="s">
        <v>17360</v>
      </c>
      <c r="I3760" s="2" t="s">
        <v>17361</v>
      </c>
      <c r="K3760" s="2" t="s">
        <v>17362</v>
      </c>
      <c r="L3760" s="2" t="s">
        <v>172</v>
      </c>
      <c r="M3760" s="2">
        <v>75801.0</v>
      </c>
      <c r="N3760" s="2" t="s">
        <v>21</v>
      </c>
    </row>
    <row r="3761" ht="15.75" customHeight="1">
      <c r="A3761" s="2">
        <v>2015.0</v>
      </c>
      <c r="B3761" s="2" t="s">
        <v>17363</v>
      </c>
      <c r="C3761" s="2" t="s">
        <v>17363</v>
      </c>
      <c r="D3761" s="2" t="str">
        <f>"260-475-1159"</f>
        <v>260-475-1159</v>
      </c>
      <c r="E3761" s="2" t="s">
        <v>386</v>
      </c>
      <c r="F3761" s="2" t="s">
        <v>1773</v>
      </c>
      <c r="G3761" s="2" t="str">
        <f>"SR-4954"</f>
        <v>SR-4954</v>
      </c>
      <c r="H3761" s="2" t="s">
        <v>17364</v>
      </c>
      <c r="I3761" s="2" t="s">
        <v>17365</v>
      </c>
      <c r="K3761" s="2" t="s">
        <v>17366</v>
      </c>
      <c r="L3761" s="2" t="s">
        <v>149</v>
      </c>
      <c r="M3761" s="2">
        <v>46779.0</v>
      </c>
      <c r="N3761" s="2" t="s">
        <v>21</v>
      </c>
    </row>
    <row r="3762" ht="15.75" customHeight="1">
      <c r="A3762" s="2">
        <v>2015.0</v>
      </c>
      <c r="B3762" s="2" t="s">
        <v>17367</v>
      </c>
      <c r="C3762" s="2" t="s">
        <v>17368</v>
      </c>
      <c r="D3762" s="2" t="str">
        <f>"678-364-1612"</f>
        <v>678-364-1612</v>
      </c>
      <c r="E3762" s="2" t="s">
        <v>1263</v>
      </c>
      <c r="F3762" s="2" t="s">
        <v>17369</v>
      </c>
      <c r="G3762" s="2" t="str">
        <f>"SR-5356"</f>
        <v>SR-5356</v>
      </c>
      <c r="H3762" s="2" t="s">
        <v>17370</v>
      </c>
      <c r="I3762" s="2" t="s">
        <v>17371</v>
      </c>
      <c r="K3762" s="2" t="s">
        <v>2192</v>
      </c>
      <c r="L3762" s="2" t="s">
        <v>200</v>
      </c>
      <c r="M3762" s="2">
        <v>30269.0</v>
      </c>
      <c r="N3762" s="2" t="s">
        <v>21</v>
      </c>
    </row>
    <row r="3763" ht="15.75" customHeight="1">
      <c r="A3763" s="2">
        <v>2015.0</v>
      </c>
      <c r="B3763" s="2" t="s">
        <v>17372</v>
      </c>
      <c r="C3763" s="2" t="s">
        <v>17373</v>
      </c>
      <c r="D3763" s="2" t="str">
        <f>"3198956640"</f>
        <v>3198956640</v>
      </c>
      <c r="E3763" s="2" t="s">
        <v>922</v>
      </c>
      <c r="F3763" s="2" t="s">
        <v>11171</v>
      </c>
      <c r="G3763" s="2" t="str">
        <f>"SR-5295"</f>
        <v>SR-5295</v>
      </c>
      <c r="H3763" s="2" t="s">
        <v>17374</v>
      </c>
      <c r="I3763" s="2" t="s">
        <v>17375</v>
      </c>
      <c r="K3763" s="2" t="s">
        <v>6615</v>
      </c>
      <c r="L3763" s="2" t="s">
        <v>560</v>
      </c>
      <c r="M3763" s="2">
        <v>52314.0</v>
      </c>
      <c r="N3763" s="2" t="s">
        <v>21</v>
      </c>
    </row>
    <row r="3764" ht="15.75" customHeight="1">
      <c r="A3764" s="2">
        <v>2015.0</v>
      </c>
      <c r="B3764" s="2" t="s">
        <v>17376</v>
      </c>
      <c r="C3764" s="2" t="s">
        <v>17377</v>
      </c>
      <c r="D3764" s="2" t="str">
        <f>"319-270-3005"</f>
        <v>319-270-3005</v>
      </c>
      <c r="E3764" s="2" t="s">
        <v>17378</v>
      </c>
      <c r="F3764" s="2" t="s">
        <v>17379</v>
      </c>
      <c r="G3764" s="2" t="str">
        <f>"SR-5368"</f>
        <v>SR-5368</v>
      </c>
      <c r="H3764" s="2" t="s">
        <v>17380</v>
      </c>
      <c r="I3764" s="2" t="s">
        <v>17381</v>
      </c>
      <c r="K3764" s="2" t="s">
        <v>3273</v>
      </c>
      <c r="L3764" s="2" t="s">
        <v>560</v>
      </c>
      <c r="M3764" s="2">
        <v>52411.0</v>
      </c>
      <c r="N3764" s="2" t="s">
        <v>21</v>
      </c>
    </row>
    <row r="3765" ht="15.75" customHeight="1">
      <c r="A3765" s="2">
        <v>2015.0</v>
      </c>
      <c r="B3765" s="2" t="s">
        <v>17376</v>
      </c>
      <c r="C3765" s="2" t="s">
        <v>17382</v>
      </c>
      <c r="D3765" s="2" t="str">
        <f>"319-423-0150"</f>
        <v>319-423-0150</v>
      </c>
      <c r="E3765" s="2" t="s">
        <v>6555</v>
      </c>
      <c r="F3765" s="2" t="s">
        <v>17379</v>
      </c>
      <c r="G3765" s="2" t="str">
        <f>"SR-5369"</f>
        <v>SR-5369</v>
      </c>
      <c r="H3765" s="2" t="s">
        <v>17383</v>
      </c>
      <c r="I3765" s="2" t="s">
        <v>17381</v>
      </c>
      <c r="K3765" s="2" t="s">
        <v>3273</v>
      </c>
      <c r="L3765" s="2" t="s">
        <v>560</v>
      </c>
      <c r="M3765" s="2">
        <v>52411.0</v>
      </c>
      <c r="N3765" s="2" t="s">
        <v>21</v>
      </c>
    </row>
    <row r="3766" ht="15.75" customHeight="1">
      <c r="A3766" s="2">
        <v>2015.0</v>
      </c>
      <c r="B3766" s="2" t="s">
        <v>8764</v>
      </c>
      <c r="C3766" s="2" t="s">
        <v>8764</v>
      </c>
      <c r="D3766" s="2" t="str">
        <f>"7706567179"</f>
        <v>7706567179</v>
      </c>
      <c r="E3766" s="2" t="s">
        <v>8765</v>
      </c>
      <c r="F3766" s="2" t="s">
        <v>8766</v>
      </c>
      <c r="G3766" s="2" t="str">
        <f>"SR-2546"</f>
        <v>SR-2546</v>
      </c>
      <c r="H3766" s="2" t="s">
        <v>8767</v>
      </c>
      <c r="I3766" s="2" t="s">
        <v>8768</v>
      </c>
      <c r="K3766" s="2" t="s">
        <v>8769</v>
      </c>
      <c r="L3766" s="2" t="s">
        <v>200</v>
      </c>
      <c r="M3766" s="2">
        <v>30143.0</v>
      </c>
      <c r="N3766" s="2" t="s">
        <v>21</v>
      </c>
    </row>
    <row r="3767" ht="15.75" customHeight="1">
      <c r="A3767" s="2">
        <v>2015.0</v>
      </c>
      <c r="B3767" s="2" t="s">
        <v>17384</v>
      </c>
      <c r="C3767" s="2" t="s">
        <v>17384</v>
      </c>
      <c r="D3767" s="2" t="str">
        <f>"417-255-3899"</f>
        <v>417-255-3899</v>
      </c>
      <c r="E3767" s="2" t="s">
        <v>8316</v>
      </c>
      <c r="F3767" s="2" t="s">
        <v>4532</v>
      </c>
      <c r="G3767" s="2" t="str">
        <f>"SR-5370"</f>
        <v>SR-5370</v>
      </c>
      <c r="H3767" s="2" t="s">
        <v>17385</v>
      </c>
      <c r="I3767" s="2" t="s">
        <v>17386</v>
      </c>
      <c r="K3767" s="2" t="s">
        <v>229</v>
      </c>
      <c r="L3767" s="2" t="s">
        <v>214</v>
      </c>
      <c r="M3767" s="2">
        <v>65775.0</v>
      </c>
      <c r="N3767" s="2" t="s">
        <v>21</v>
      </c>
    </row>
    <row r="3768" ht="15.75" customHeight="1">
      <c r="A3768" s="2">
        <v>2015.0</v>
      </c>
      <c r="B3768" s="2" t="s">
        <v>17387</v>
      </c>
      <c r="C3768" s="2" t="s">
        <v>17387</v>
      </c>
      <c r="D3768" s="2" t="str">
        <f>"9858074364"</f>
        <v>9858074364</v>
      </c>
      <c r="E3768" s="2" t="s">
        <v>17388</v>
      </c>
      <c r="F3768" s="2" t="s">
        <v>17389</v>
      </c>
      <c r="G3768" s="2" t="str">
        <f>"SR-5340"</f>
        <v>SR-5340</v>
      </c>
      <c r="H3768" s="2" t="s">
        <v>17390</v>
      </c>
      <c r="I3768" s="2" t="s">
        <v>17391</v>
      </c>
      <c r="K3768" s="2" t="s">
        <v>17392</v>
      </c>
      <c r="L3768" s="2" t="s">
        <v>715</v>
      </c>
      <c r="M3768" s="2">
        <v>70433.0</v>
      </c>
      <c r="N3768" s="2" t="s">
        <v>21</v>
      </c>
    </row>
    <row r="3769" ht="15.75" customHeight="1">
      <c r="A3769" s="2">
        <v>2015.0</v>
      </c>
      <c r="B3769" s="2" t="s">
        <v>17393</v>
      </c>
      <c r="C3769" s="2" t="s">
        <v>17394</v>
      </c>
      <c r="D3769" s="2" t="str">
        <f>"252-341-9487"</f>
        <v>252-341-9487</v>
      </c>
      <c r="E3769" s="2" t="s">
        <v>1761</v>
      </c>
      <c r="F3769" s="2" t="s">
        <v>13200</v>
      </c>
      <c r="G3769" s="2" t="str">
        <f>"SR-5112"</f>
        <v>SR-5112</v>
      </c>
      <c r="H3769" s="2" t="s">
        <v>17395</v>
      </c>
      <c r="I3769" s="2" t="s">
        <v>17396</v>
      </c>
      <c r="K3769" s="2" t="s">
        <v>15795</v>
      </c>
      <c r="L3769" s="2" t="s">
        <v>20</v>
      </c>
      <c r="M3769" s="2">
        <v>28590.0</v>
      </c>
      <c r="N3769" s="2" t="s">
        <v>21</v>
      </c>
    </row>
    <row r="3770" ht="15.75" customHeight="1">
      <c r="A3770" s="2">
        <v>2015.0</v>
      </c>
      <c r="B3770" s="2" t="s">
        <v>17397</v>
      </c>
      <c r="C3770" s="2" t="s">
        <v>17397</v>
      </c>
      <c r="D3770" s="2" t="str">
        <f>"4233232113"</f>
        <v>4233232113</v>
      </c>
      <c r="E3770" s="2" t="s">
        <v>17398</v>
      </c>
      <c r="F3770" s="2" t="s">
        <v>15783</v>
      </c>
      <c r="G3770" s="2" t="str">
        <f>"SR-5343"</f>
        <v>SR-5343</v>
      </c>
      <c r="H3770" s="2" t="s">
        <v>17399</v>
      </c>
      <c r="I3770" s="2" t="s">
        <v>17400</v>
      </c>
      <c r="K3770" s="2" t="s">
        <v>17401</v>
      </c>
      <c r="L3770" s="2" t="s">
        <v>279</v>
      </c>
      <c r="M3770" s="2">
        <v>37617.0</v>
      </c>
      <c r="N3770" s="2" t="s">
        <v>21</v>
      </c>
    </row>
    <row r="3771" ht="15.75" customHeight="1">
      <c r="A3771" s="2">
        <v>2015.0</v>
      </c>
      <c r="B3771" s="2" t="s">
        <v>17402</v>
      </c>
      <c r="C3771" s="2" t="s">
        <v>17403</v>
      </c>
      <c r="D3771" s="2" t="str">
        <f t="shared" ref="D3771:D3772" si="71">"7045089008"</f>
        <v>7045089008</v>
      </c>
      <c r="E3771" s="2" t="s">
        <v>528</v>
      </c>
      <c r="F3771" s="2" t="s">
        <v>17404</v>
      </c>
      <c r="G3771" s="2" t="str">
        <f>"SR-5153"</f>
        <v>SR-5153</v>
      </c>
      <c r="H3771" s="2" t="s">
        <v>17405</v>
      </c>
      <c r="I3771" s="2" t="s">
        <v>17406</v>
      </c>
      <c r="K3771" s="2" t="s">
        <v>3464</v>
      </c>
      <c r="L3771" s="2" t="s">
        <v>20</v>
      </c>
      <c r="M3771" s="2">
        <v>28115.0</v>
      </c>
      <c r="N3771" s="2" t="s">
        <v>21</v>
      </c>
    </row>
    <row r="3772" ht="15.75" customHeight="1">
      <c r="A3772" s="2">
        <v>2015.0</v>
      </c>
      <c r="B3772" s="2" t="s">
        <v>17402</v>
      </c>
      <c r="C3772" s="2" t="s">
        <v>17407</v>
      </c>
      <c r="D3772" s="2" t="str">
        <f t="shared" si="71"/>
        <v>7045089008</v>
      </c>
      <c r="E3772" s="2" t="s">
        <v>3037</v>
      </c>
      <c r="F3772" s="2" t="s">
        <v>17404</v>
      </c>
      <c r="G3772" s="2" t="str">
        <f>"SR-5152"</f>
        <v>SR-5152</v>
      </c>
      <c r="H3772" s="2" t="s">
        <v>17408</v>
      </c>
      <c r="I3772" s="2" t="s">
        <v>17406</v>
      </c>
      <c r="K3772" s="2" t="s">
        <v>3464</v>
      </c>
      <c r="L3772" s="2" t="s">
        <v>20</v>
      </c>
      <c r="M3772" s="2">
        <v>28115.0</v>
      </c>
      <c r="N3772" s="2" t="s">
        <v>21</v>
      </c>
    </row>
    <row r="3773" ht="15.75" customHeight="1">
      <c r="A3773" s="2">
        <v>2015.0</v>
      </c>
      <c r="B3773" s="2" t="s">
        <v>17409</v>
      </c>
      <c r="C3773" s="2" t="s">
        <v>17410</v>
      </c>
      <c r="D3773" s="2" t="str">
        <f>"(319)521-1655"</f>
        <v>(319)521-1655</v>
      </c>
      <c r="E3773" s="2" t="s">
        <v>17411</v>
      </c>
      <c r="F3773" s="2" t="s">
        <v>3490</v>
      </c>
      <c r="G3773" s="2" t="str">
        <f>"SR-5332"</f>
        <v>SR-5332</v>
      </c>
      <c r="H3773" s="2" t="s">
        <v>17412</v>
      </c>
      <c r="I3773" s="2" t="s">
        <v>17413</v>
      </c>
      <c r="K3773" s="2" t="s">
        <v>3493</v>
      </c>
      <c r="L3773" s="2" t="s">
        <v>560</v>
      </c>
      <c r="M3773" s="2">
        <v>52302.0</v>
      </c>
      <c r="N3773" s="2" t="s">
        <v>21</v>
      </c>
    </row>
    <row r="3774" ht="15.75" customHeight="1">
      <c r="A3774" s="2">
        <v>2015.0</v>
      </c>
      <c r="B3774" s="2" t="s">
        <v>17414</v>
      </c>
      <c r="C3774" s="2" t="s">
        <v>17414</v>
      </c>
      <c r="D3774" s="2" t="str">
        <f>"765-212-2432"</f>
        <v>765-212-2432</v>
      </c>
      <c r="E3774" s="2" t="s">
        <v>17415</v>
      </c>
      <c r="F3774" s="2" t="s">
        <v>16431</v>
      </c>
      <c r="G3774" s="2" t="str">
        <f>"SR-5373"</f>
        <v>SR-5373</v>
      </c>
      <c r="H3774" s="2" t="s">
        <v>17416</v>
      </c>
      <c r="I3774" s="2">
        <v>5901.0</v>
      </c>
      <c r="J3774" s="2" t="s">
        <v>17417</v>
      </c>
      <c r="K3774" s="2" t="s">
        <v>16434</v>
      </c>
      <c r="L3774" s="2" t="s">
        <v>149</v>
      </c>
      <c r="M3774" s="2">
        <v>47304.0</v>
      </c>
      <c r="N3774" s="2" t="s">
        <v>21</v>
      </c>
    </row>
    <row r="3775" ht="15.75" customHeight="1">
      <c r="A3775" s="2">
        <v>2015.0</v>
      </c>
      <c r="B3775" s="2" t="s">
        <v>17418</v>
      </c>
      <c r="C3775" s="2" t="s">
        <v>17419</v>
      </c>
      <c r="D3775" s="2" t="str">
        <f>"5092941557"</f>
        <v>5092941557</v>
      </c>
      <c r="E3775" s="2" t="s">
        <v>3037</v>
      </c>
      <c r="F3775" s="2" t="s">
        <v>17420</v>
      </c>
      <c r="G3775" s="2" t="str">
        <f>"SR-5311"</f>
        <v>SR-5311</v>
      </c>
      <c r="H3775" s="2" t="s">
        <v>17421</v>
      </c>
      <c r="I3775" s="2" t="s">
        <v>17422</v>
      </c>
      <c r="K3775" s="2" t="s">
        <v>1413</v>
      </c>
      <c r="L3775" s="2" t="s">
        <v>86</v>
      </c>
      <c r="M3775" s="2">
        <v>99217.0</v>
      </c>
      <c r="N3775" s="2" t="s">
        <v>21</v>
      </c>
    </row>
    <row r="3776" ht="15.75" customHeight="1">
      <c r="A3776" s="2">
        <v>2015.0</v>
      </c>
      <c r="B3776" s="2" t="s">
        <v>17423</v>
      </c>
      <c r="C3776" s="2" t="s">
        <v>17424</v>
      </c>
      <c r="D3776" s="2" t="str">
        <f>"5173750061"</f>
        <v>5173750061</v>
      </c>
      <c r="E3776" s="2" t="s">
        <v>288</v>
      </c>
      <c r="F3776" s="2" t="s">
        <v>17425</v>
      </c>
      <c r="G3776" s="2" t="str">
        <f>"SR-3864"</f>
        <v>SR-3864</v>
      </c>
      <c r="H3776" s="2" t="s">
        <v>17426</v>
      </c>
      <c r="I3776" s="2" t="s">
        <v>17427</v>
      </c>
      <c r="K3776" s="2" t="s">
        <v>4532</v>
      </c>
      <c r="L3776" s="2" t="s">
        <v>29</v>
      </c>
      <c r="M3776" s="2">
        <v>48855.0</v>
      </c>
      <c r="N3776" s="2" t="s">
        <v>21</v>
      </c>
    </row>
    <row r="3777" ht="15.75" customHeight="1">
      <c r="A3777" s="2">
        <v>2015.0</v>
      </c>
      <c r="B3777" s="2" t="s">
        <v>17428</v>
      </c>
      <c r="D3777" s="2" t="str">
        <f>""</f>
        <v/>
      </c>
      <c r="E3777" s="2" t="s">
        <v>282</v>
      </c>
      <c r="F3777" s="2" t="s">
        <v>17429</v>
      </c>
      <c r="G3777" s="2" t="str">
        <f>"SR-5300"</f>
        <v>SR-5300</v>
      </c>
      <c r="H3777" s="2" t="s">
        <v>17430</v>
      </c>
    </row>
    <row r="3778" ht="15.75" customHeight="1">
      <c r="A3778" s="2">
        <v>2015.0</v>
      </c>
      <c r="B3778" s="2" t="s">
        <v>17431</v>
      </c>
      <c r="C3778" s="2" t="s">
        <v>17431</v>
      </c>
      <c r="D3778" s="2" t="str">
        <f>"7043514677"</f>
        <v>7043514677</v>
      </c>
      <c r="E3778" s="2" t="s">
        <v>659</v>
      </c>
      <c r="F3778" s="2" t="s">
        <v>17432</v>
      </c>
      <c r="G3778" s="2" t="str">
        <f>"SR-5375"</f>
        <v>SR-5375</v>
      </c>
      <c r="H3778" s="2" t="s">
        <v>17433</v>
      </c>
      <c r="I3778" s="2" t="s">
        <v>17434</v>
      </c>
      <c r="K3778" s="2" t="s">
        <v>327</v>
      </c>
      <c r="L3778" s="2" t="s">
        <v>20</v>
      </c>
      <c r="M3778" s="2">
        <v>28164.0</v>
      </c>
      <c r="N3778" s="2" t="s">
        <v>21</v>
      </c>
    </row>
    <row r="3779" ht="15.75" customHeight="1">
      <c r="A3779" s="2">
        <v>2015.0</v>
      </c>
      <c r="B3779" s="2" t="s">
        <v>17435</v>
      </c>
      <c r="C3779" s="2" t="s">
        <v>17435</v>
      </c>
      <c r="D3779" s="2" t="str">
        <f>"940-380-0787"</f>
        <v>940-380-0787</v>
      </c>
      <c r="E3779" s="2" t="s">
        <v>4871</v>
      </c>
      <c r="F3779" s="2" t="s">
        <v>17436</v>
      </c>
      <c r="G3779" s="2" t="str">
        <f>"SR-5338"</f>
        <v>SR-5338</v>
      </c>
      <c r="H3779" s="2" t="s">
        <v>17437</v>
      </c>
      <c r="I3779" s="2" t="s">
        <v>17438</v>
      </c>
      <c r="K3779" s="2" t="s">
        <v>6539</v>
      </c>
      <c r="L3779" s="2" t="s">
        <v>172</v>
      </c>
      <c r="M3779" s="2">
        <v>76209.0</v>
      </c>
      <c r="N3779" s="2" t="s">
        <v>21</v>
      </c>
    </row>
    <row r="3780" ht="15.75" customHeight="1">
      <c r="A3780" s="2">
        <v>2015.0</v>
      </c>
      <c r="B3780" s="2" t="s">
        <v>11391</v>
      </c>
      <c r="C3780" s="2" t="s">
        <v>11391</v>
      </c>
      <c r="D3780" s="2" t="str">
        <f>"404-788-7869"</f>
        <v>404-788-7869</v>
      </c>
      <c r="E3780" s="2" t="s">
        <v>2384</v>
      </c>
      <c r="F3780" s="2" t="s">
        <v>11392</v>
      </c>
      <c r="G3780" s="2" t="str">
        <f>"SR-3383"</f>
        <v>SR-3383</v>
      </c>
      <c r="H3780" s="2" t="s">
        <v>11393</v>
      </c>
      <c r="I3780" s="2" t="s">
        <v>11394</v>
      </c>
      <c r="K3780" s="2" t="s">
        <v>4862</v>
      </c>
      <c r="L3780" s="2" t="s">
        <v>200</v>
      </c>
      <c r="M3780" s="2">
        <v>30064.0</v>
      </c>
      <c r="N3780" s="2" t="s">
        <v>21</v>
      </c>
    </row>
    <row r="3781" ht="15.75" customHeight="1">
      <c r="A3781" s="2">
        <v>2015.0</v>
      </c>
      <c r="B3781" s="2" t="s">
        <v>17439</v>
      </c>
      <c r="C3781" s="2" t="s">
        <v>17440</v>
      </c>
      <c r="D3781" s="2" t="str">
        <f>"7708804286"</f>
        <v>7708804286</v>
      </c>
      <c r="E3781" s="2" t="s">
        <v>984</v>
      </c>
      <c r="F3781" s="2" t="s">
        <v>1533</v>
      </c>
      <c r="G3781" s="2" t="str">
        <f>"SR-5319"</f>
        <v>SR-5319</v>
      </c>
      <c r="H3781" s="2" t="s">
        <v>17441</v>
      </c>
      <c r="I3781" s="2" t="s">
        <v>17442</v>
      </c>
      <c r="K3781" s="2" t="s">
        <v>4569</v>
      </c>
      <c r="L3781" s="2" t="s">
        <v>200</v>
      </c>
      <c r="M3781" s="2">
        <v>30736.0</v>
      </c>
      <c r="N3781" s="2" t="s">
        <v>21</v>
      </c>
    </row>
    <row r="3782" ht="15.75" customHeight="1">
      <c r="A3782" s="2">
        <v>2015.0</v>
      </c>
      <c r="B3782" s="2" t="s">
        <v>17443</v>
      </c>
      <c r="C3782" s="2" t="s">
        <v>17443</v>
      </c>
      <c r="D3782" s="2" t="str">
        <f>"319-360-3247"</f>
        <v>319-360-3247</v>
      </c>
      <c r="E3782" s="2" t="s">
        <v>1548</v>
      </c>
      <c r="F3782" s="2" t="s">
        <v>8661</v>
      </c>
      <c r="G3782" s="2" t="str">
        <f>"SR-5367"</f>
        <v>SR-5367</v>
      </c>
      <c r="H3782" s="2" t="s">
        <v>17444</v>
      </c>
      <c r="I3782" s="2" t="s">
        <v>17445</v>
      </c>
      <c r="K3782" s="2" t="s">
        <v>8938</v>
      </c>
      <c r="L3782" s="2" t="s">
        <v>560</v>
      </c>
      <c r="M3782" s="2">
        <v>52214.0</v>
      </c>
      <c r="N3782" s="2" t="s">
        <v>21</v>
      </c>
    </row>
    <row r="3783" ht="15.75" customHeight="1">
      <c r="A3783" s="2">
        <v>2015.0</v>
      </c>
      <c r="B3783" s="2" t="s">
        <v>3876</v>
      </c>
      <c r="C3783" s="2" t="s">
        <v>17446</v>
      </c>
      <c r="D3783" s="2" t="str">
        <f>"850-668-3388"</f>
        <v>850-668-3388</v>
      </c>
      <c r="E3783" s="2" t="s">
        <v>250</v>
      </c>
      <c r="F3783" s="2" t="s">
        <v>3879</v>
      </c>
      <c r="G3783" s="2" t="str">
        <f>"SR-5380"</f>
        <v>SR-5380</v>
      </c>
      <c r="H3783" s="2" t="s">
        <v>17447</v>
      </c>
      <c r="I3783" s="2" t="s">
        <v>3881</v>
      </c>
      <c r="K3783" s="2" t="s">
        <v>2007</v>
      </c>
      <c r="L3783" s="2" t="s">
        <v>208</v>
      </c>
      <c r="M3783" s="2">
        <v>32309.0</v>
      </c>
      <c r="N3783" s="2" t="s">
        <v>21</v>
      </c>
    </row>
    <row r="3784" ht="15.75" customHeight="1">
      <c r="A3784" s="2">
        <v>2015.0</v>
      </c>
      <c r="B3784" s="2" t="s">
        <v>17448</v>
      </c>
      <c r="C3784" s="2" t="s">
        <v>17448</v>
      </c>
      <c r="D3784" s="2" t="str">
        <f>"5632609766"</f>
        <v>5632609766</v>
      </c>
      <c r="E3784" s="2" t="s">
        <v>659</v>
      </c>
      <c r="F3784" s="2" t="s">
        <v>752</v>
      </c>
      <c r="G3784" s="2" t="str">
        <f>"SR-5378"</f>
        <v>SR-5378</v>
      </c>
      <c r="H3784" s="2" t="s">
        <v>17449</v>
      </c>
      <c r="I3784" s="2" t="s">
        <v>17450</v>
      </c>
      <c r="K3784" s="2" t="s">
        <v>3493</v>
      </c>
      <c r="L3784" s="2" t="s">
        <v>560</v>
      </c>
      <c r="M3784" s="2">
        <v>52302.0</v>
      </c>
      <c r="N3784" s="2" t="s">
        <v>21</v>
      </c>
    </row>
    <row r="3785" ht="15.75" customHeight="1">
      <c r="A3785" s="2">
        <v>2015.0</v>
      </c>
      <c r="B3785" s="2" t="s">
        <v>17451</v>
      </c>
      <c r="C3785" s="2" t="s">
        <v>17451</v>
      </c>
      <c r="D3785" s="2" t="str">
        <f>"8146910275"</f>
        <v>8146910275</v>
      </c>
      <c r="E3785" s="2" t="s">
        <v>17452</v>
      </c>
      <c r="F3785" s="2" t="s">
        <v>723</v>
      </c>
      <c r="G3785" s="2" t="str">
        <f>"SR-5385"</f>
        <v>SR-5385</v>
      </c>
      <c r="H3785" s="2" t="s">
        <v>17453</v>
      </c>
      <c r="I3785" s="2" t="s">
        <v>2844</v>
      </c>
      <c r="K3785" s="2" t="s">
        <v>1480</v>
      </c>
      <c r="L3785" s="2" t="s">
        <v>179</v>
      </c>
      <c r="M3785" s="2">
        <v>15905.0</v>
      </c>
      <c r="N3785" s="2" t="s">
        <v>21</v>
      </c>
    </row>
    <row r="3786" ht="15.75" customHeight="1">
      <c r="A3786" s="2">
        <v>2015.0</v>
      </c>
      <c r="B3786" s="2" t="s">
        <v>17454</v>
      </c>
      <c r="C3786" s="2" t="s">
        <v>17455</v>
      </c>
      <c r="D3786" s="2" t="str">
        <f>"319-832-1125"</f>
        <v>319-832-1125</v>
      </c>
      <c r="E3786" s="2" t="s">
        <v>7417</v>
      </c>
      <c r="F3786" s="2" t="s">
        <v>14745</v>
      </c>
      <c r="G3786" s="2" t="str">
        <f>"SR-5386"</f>
        <v>SR-5386</v>
      </c>
      <c r="H3786" s="2" t="s">
        <v>17456</v>
      </c>
      <c r="I3786" s="2" t="s">
        <v>17457</v>
      </c>
      <c r="K3786" s="2" t="s">
        <v>3273</v>
      </c>
      <c r="L3786" s="2" t="s">
        <v>560</v>
      </c>
      <c r="M3786" s="2">
        <v>52411.0</v>
      </c>
      <c r="N3786" s="2" t="s">
        <v>21</v>
      </c>
    </row>
    <row r="3787" ht="15.75" customHeight="1">
      <c r="A3787" s="2">
        <v>2015.0</v>
      </c>
      <c r="B3787" s="2" t="s">
        <v>17458</v>
      </c>
      <c r="C3787" s="2" t="s">
        <v>17459</v>
      </c>
      <c r="D3787" s="2" t="str">
        <f>"319-721-1232"</f>
        <v>319-721-1232</v>
      </c>
      <c r="E3787" s="2" t="s">
        <v>282</v>
      </c>
      <c r="F3787" s="2" t="s">
        <v>17460</v>
      </c>
      <c r="G3787" s="2" t="str">
        <f>"SR-5390"</f>
        <v>SR-5390</v>
      </c>
      <c r="H3787" s="2" t="s">
        <v>17461</v>
      </c>
      <c r="I3787" s="2" t="s">
        <v>17462</v>
      </c>
      <c r="K3787" s="2" t="s">
        <v>3273</v>
      </c>
      <c r="L3787" s="2" t="s">
        <v>560</v>
      </c>
      <c r="M3787" s="2">
        <v>52411.0</v>
      </c>
      <c r="N3787" s="2" t="s">
        <v>21</v>
      </c>
    </row>
    <row r="3788" ht="15.75" customHeight="1">
      <c r="A3788" s="2">
        <v>2015.0</v>
      </c>
      <c r="B3788" s="2" t="s">
        <v>17463</v>
      </c>
      <c r="C3788" s="2" t="s">
        <v>17464</v>
      </c>
      <c r="D3788" s="2" t="str">
        <f>"319-389-7231"</f>
        <v>319-389-7231</v>
      </c>
      <c r="E3788" s="2" t="s">
        <v>7476</v>
      </c>
      <c r="F3788" s="2" t="s">
        <v>8713</v>
      </c>
      <c r="G3788" s="2" t="str">
        <f>"SR-5389"</f>
        <v>SR-5389</v>
      </c>
      <c r="H3788" s="2" t="s">
        <v>8714</v>
      </c>
      <c r="I3788" s="2" t="s">
        <v>17465</v>
      </c>
      <c r="K3788" s="2" t="s">
        <v>17466</v>
      </c>
      <c r="L3788" s="2" t="s">
        <v>560</v>
      </c>
      <c r="M3788" s="2">
        <v>52213.0</v>
      </c>
      <c r="N3788" s="2" t="s">
        <v>21</v>
      </c>
    </row>
    <row r="3789" ht="15.75" customHeight="1">
      <c r="A3789" s="2">
        <v>2015.0</v>
      </c>
      <c r="B3789" s="2" t="s">
        <v>17467</v>
      </c>
      <c r="C3789" s="2" t="s">
        <v>17468</v>
      </c>
      <c r="D3789" s="2" t="str">
        <f>"319-360-2287"</f>
        <v>319-360-2287</v>
      </c>
      <c r="E3789" s="2" t="s">
        <v>160</v>
      </c>
      <c r="F3789" s="2" t="s">
        <v>8976</v>
      </c>
      <c r="G3789" s="2" t="str">
        <f>"SR-5376"</f>
        <v>SR-5376</v>
      </c>
      <c r="H3789" s="2" t="s">
        <v>17469</v>
      </c>
      <c r="I3789" s="2" t="s">
        <v>17470</v>
      </c>
      <c r="K3789" s="2" t="s">
        <v>3273</v>
      </c>
      <c r="L3789" s="2" t="s">
        <v>560</v>
      </c>
      <c r="M3789" s="2">
        <v>52402.0</v>
      </c>
      <c r="N3789" s="2" t="s">
        <v>21</v>
      </c>
    </row>
    <row r="3790" ht="15.75" customHeight="1">
      <c r="A3790" s="2">
        <v>2015.0</v>
      </c>
      <c r="B3790" s="2" t="s">
        <v>17471</v>
      </c>
      <c r="C3790" s="2" t="s">
        <v>17472</v>
      </c>
      <c r="D3790" s="2" t="str">
        <f>"3174105113"</f>
        <v>3174105113</v>
      </c>
      <c r="E3790" s="2" t="s">
        <v>17473</v>
      </c>
      <c r="F3790" s="2" t="s">
        <v>17474</v>
      </c>
      <c r="G3790" s="2" t="str">
        <f>"SR-5394"</f>
        <v>SR-5394</v>
      </c>
      <c r="H3790" s="2" t="s">
        <v>17475</v>
      </c>
      <c r="I3790" s="2" t="s">
        <v>17476</v>
      </c>
      <c r="K3790" s="2" t="s">
        <v>2660</v>
      </c>
      <c r="L3790" s="2" t="s">
        <v>149</v>
      </c>
      <c r="M3790" s="2">
        <v>46038.0</v>
      </c>
      <c r="N3790" s="2" t="s">
        <v>21</v>
      </c>
    </row>
    <row r="3791" ht="15.75" customHeight="1">
      <c r="A3791" s="2">
        <v>2015.0</v>
      </c>
      <c r="B3791" s="2" t="s">
        <v>15722</v>
      </c>
      <c r="C3791" s="2" t="s">
        <v>15723</v>
      </c>
      <c r="D3791" s="2" t="str">
        <f>"630-730-2348"</f>
        <v>630-730-2348</v>
      </c>
      <c r="E3791" s="2" t="s">
        <v>1263</v>
      </c>
      <c r="F3791" s="2" t="s">
        <v>15724</v>
      </c>
      <c r="G3791" s="2" t="str">
        <f>"SR-4246"</f>
        <v>SR-4246</v>
      </c>
      <c r="H3791" s="2" t="s">
        <v>15725</v>
      </c>
      <c r="I3791" s="2" t="s">
        <v>15726</v>
      </c>
      <c r="K3791" s="2" t="s">
        <v>15727</v>
      </c>
      <c r="L3791" s="2" t="s">
        <v>105</v>
      </c>
      <c r="M3791" s="2">
        <v>60188.0</v>
      </c>
      <c r="N3791" s="2" t="s">
        <v>21</v>
      </c>
    </row>
    <row r="3792" ht="15.75" customHeight="1">
      <c r="A3792" s="2">
        <v>2015.0</v>
      </c>
      <c r="B3792" s="2" t="s">
        <v>9097</v>
      </c>
      <c r="C3792" s="2" t="s">
        <v>9098</v>
      </c>
      <c r="D3792" s="2" t="str">
        <f>"3195738231"</f>
        <v>3195738231</v>
      </c>
      <c r="E3792" s="2" t="s">
        <v>373</v>
      </c>
      <c r="F3792" s="2" t="s">
        <v>1209</v>
      </c>
      <c r="G3792" s="2" t="str">
        <f>"SR-2688"</f>
        <v>SR-2688</v>
      </c>
      <c r="H3792" s="2" t="s">
        <v>9099</v>
      </c>
      <c r="I3792" s="2" t="s">
        <v>9100</v>
      </c>
      <c r="K3792" s="2" t="s">
        <v>3493</v>
      </c>
      <c r="L3792" s="2" t="s">
        <v>560</v>
      </c>
      <c r="M3792" s="2">
        <v>52302.0</v>
      </c>
      <c r="N3792" s="2" t="s">
        <v>21</v>
      </c>
    </row>
    <row r="3793" ht="15.75" customHeight="1">
      <c r="A3793" s="2">
        <v>2015.0</v>
      </c>
      <c r="B3793" s="2" t="s">
        <v>9004</v>
      </c>
      <c r="C3793" s="2" t="s">
        <v>17477</v>
      </c>
      <c r="D3793" s="2" t="str">
        <f>"(319) 363-6405"</f>
        <v>(319) 363-6405</v>
      </c>
      <c r="E3793" s="2" t="s">
        <v>1554</v>
      </c>
      <c r="F3793" s="2" t="s">
        <v>9006</v>
      </c>
      <c r="G3793" s="2" t="str">
        <f>"SR-5388"</f>
        <v>SR-5388</v>
      </c>
      <c r="H3793" s="2" t="s">
        <v>17478</v>
      </c>
      <c r="I3793" s="2" t="s">
        <v>17479</v>
      </c>
      <c r="K3793" s="2" t="s">
        <v>3493</v>
      </c>
      <c r="L3793" s="2" t="s">
        <v>560</v>
      </c>
      <c r="M3793" s="2">
        <v>52302.0</v>
      </c>
      <c r="N3793" s="2" t="s">
        <v>21</v>
      </c>
    </row>
    <row r="3794" ht="15.75" customHeight="1">
      <c r="A3794" s="2">
        <v>2015.0</v>
      </c>
      <c r="B3794" s="2" t="s">
        <v>9004</v>
      </c>
      <c r="C3794" s="2" t="s">
        <v>9005</v>
      </c>
      <c r="D3794" s="2" t="str">
        <f>"(319)363-6405"</f>
        <v>(319)363-6405</v>
      </c>
      <c r="E3794" s="2" t="s">
        <v>6526</v>
      </c>
      <c r="F3794" s="2" t="s">
        <v>9006</v>
      </c>
      <c r="G3794" s="2" t="str">
        <f>"SR-2651"</f>
        <v>SR-2651</v>
      </c>
      <c r="H3794" s="2" t="s">
        <v>9007</v>
      </c>
      <c r="I3794" s="2" t="s">
        <v>9008</v>
      </c>
      <c r="K3794" s="2" t="s">
        <v>3493</v>
      </c>
      <c r="L3794" s="2" t="s">
        <v>560</v>
      </c>
      <c r="M3794" s="2">
        <v>52302.0</v>
      </c>
      <c r="N3794" s="2" t="s">
        <v>21</v>
      </c>
    </row>
    <row r="3795" ht="15.75" customHeight="1">
      <c r="A3795" s="2">
        <v>2015.0</v>
      </c>
      <c r="B3795" s="2" t="s">
        <v>17480</v>
      </c>
      <c r="C3795" s="2" t="s">
        <v>17480</v>
      </c>
      <c r="D3795" s="2" t="str">
        <f>"319 365 1741"</f>
        <v>319 365 1741</v>
      </c>
      <c r="E3795" s="2" t="s">
        <v>50</v>
      </c>
      <c r="F3795" s="2" t="s">
        <v>2598</v>
      </c>
      <c r="G3795" s="2" t="str">
        <f>"SR-5400"</f>
        <v>SR-5400</v>
      </c>
      <c r="H3795" s="2" t="s">
        <v>5392</v>
      </c>
      <c r="I3795" s="2" t="s">
        <v>17481</v>
      </c>
      <c r="K3795" s="2" t="s">
        <v>3273</v>
      </c>
      <c r="L3795" s="2" t="s">
        <v>560</v>
      </c>
      <c r="M3795" s="2">
        <v>52403.0</v>
      </c>
      <c r="N3795" s="2" t="s">
        <v>21</v>
      </c>
    </row>
    <row r="3796" ht="15.75" customHeight="1">
      <c r="A3796" s="2">
        <v>2015.0</v>
      </c>
      <c r="B3796" s="2" t="s">
        <v>17482</v>
      </c>
      <c r="C3796" s="2" t="s">
        <v>17483</v>
      </c>
      <c r="D3796" s="2" t="str">
        <f>"303-229-1798"</f>
        <v>303-229-1798</v>
      </c>
      <c r="E3796" s="2" t="s">
        <v>9197</v>
      </c>
      <c r="F3796" s="2" t="s">
        <v>17484</v>
      </c>
      <c r="G3796" s="2" t="str">
        <f>"SR-5384"</f>
        <v>SR-5384</v>
      </c>
      <c r="H3796" s="2" t="s">
        <v>17485</v>
      </c>
      <c r="I3796" s="2" t="s">
        <v>17486</v>
      </c>
      <c r="K3796" s="2" t="s">
        <v>1398</v>
      </c>
      <c r="L3796" s="2" t="s">
        <v>157</v>
      </c>
      <c r="M3796" s="2">
        <v>80109.0</v>
      </c>
      <c r="N3796" s="2" t="s">
        <v>21</v>
      </c>
    </row>
    <row r="3797" ht="15.75" customHeight="1">
      <c r="A3797" s="2">
        <v>2015.0</v>
      </c>
      <c r="B3797" s="2" t="s">
        <v>17487</v>
      </c>
      <c r="C3797" s="2" t="s">
        <v>17487</v>
      </c>
      <c r="D3797" s="2" t="str">
        <f>"3193613414"</f>
        <v>3193613414</v>
      </c>
      <c r="E3797" s="2" t="s">
        <v>10057</v>
      </c>
      <c r="F3797" s="2" t="s">
        <v>17488</v>
      </c>
      <c r="G3797" s="2" t="str">
        <f>"SR-5401"</f>
        <v>SR-5401</v>
      </c>
      <c r="H3797" s="2" t="s">
        <v>17489</v>
      </c>
      <c r="I3797" s="2" t="s">
        <v>17490</v>
      </c>
      <c r="K3797" s="2" t="s">
        <v>3493</v>
      </c>
      <c r="L3797" s="2" t="s">
        <v>560</v>
      </c>
      <c r="M3797" s="2">
        <v>52302.0</v>
      </c>
      <c r="N3797" s="2" t="s">
        <v>21</v>
      </c>
    </row>
    <row r="3798" ht="15.75" customHeight="1">
      <c r="A3798" s="2">
        <v>2015.0</v>
      </c>
      <c r="B3798" s="2" t="s">
        <v>17491</v>
      </c>
      <c r="C3798" s="2" t="s">
        <v>17491</v>
      </c>
      <c r="D3798" s="2" t="str">
        <f>"907-351-7868"</f>
        <v>907-351-7868</v>
      </c>
      <c r="E3798" s="2" t="s">
        <v>13861</v>
      </c>
      <c r="F3798" s="2" t="s">
        <v>10257</v>
      </c>
      <c r="G3798" s="2" t="str">
        <f>"SR-5355"</f>
        <v>SR-5355</v>
      </c>
      <c r="H3798" s="2" t="s">
        <v>17492</v>
      </c>
      <c r="I3798" s="2" t="s">
        <v>17493</v>
      </c>
      <c r="K3798" s="2" t="s">
        <v>1336</v>
      </c>
      <c r="L3798" s="2" t="s">
        <v>70</v>
      </c>
      <c r="M3798" s="2">
        <v>99669.0</v>
      </c>
      <c r="N3798" s="2" t="s">
        <v>21</v>
      </c>
    </row>
    <row r="3799" ht="15.75" customHeight="1">
      <c r="A3799" s="2">
        <v>2015.0</v>
      </c>
      <c r="B3799" s="2" t="s">
        <v>17494</v>
      </c>
      <c r="C3799" s="2" t="s">
        <v>17495</v>
      </c>
      <c r="D3799" s="2" t="str">
        <f>"9073948810"</f>
        <v>9073948810</v>
      </c>
      <c r="E3799" s="2" t="s">
        <v>3977</v>
      </c>
      <c r="F3799" s="2" t="s">
        <v>17496</v>
      </c>
      <c r="G3799" s="2" t="str">
        <f>"SR-5266"</f>
        <v>SR-5266</v>
      </c>
      <c r="H3799" s="2" t="s">
        <v>17497</v>
      </c>
      <c r="I3799" s="2" t="s">
        <v>17498</v>
      </c>
      <c r="K3799" s="2" t="s">
        <v>1360</v>
      </c>
      <c r="L3799" s="2" t="s">
        <v>70</v>
      </c>
      <c r="M3799" s="2">
        <v>99611.0</v>
      </c>
      <c r="N3799" s="2" t="s">
        <v>21</v>
      </c>
    </row>
    <row r="3800" ht="15.75" customHeight="1">
      <c r="A3800" s="2">
        <v>2015.0</v>
      </c>
      <c r="B3800" s="2" t="s">
        <v>17494</v>
      </c>
      <c r="C3800" s="2" t="s">
        <v>17499</v>
      </c>
      <c r="D3800" s="2" t="str">
        <f>"907-394-1996"</f>
        <v>907-394-1996</v>
      </c>
      <c r="E3800" s="2" t="s">
        <v>2243</v>
      </c>
      <c r="F3800" s="2" t="s">
        <v>17496</v>
      </c>
      <c r="G3800" s="2" t="str">
        <f>"SR-5267"</f>
        <v>SR-5267</v>
      </c>
      <c r="H3800" s="2" t="s">
        <v>17500</v>
      </c>
      <c r="I3800" s="2" t="s">
        <v>17498</v>
      </c>
      <c r="K3800" s="2" t="s">
        <v>1360</v>
      </c>
      <c r="L3800" s="2" t="s">
        <v>70</v>
      </c>
      <c r="M3800" s="2">
        <v>99611.0</v>
      </c>
      <c r="N3800" s="2" t="s">
        <v>21</v>
      </c>
    </row>
    <row r="3801" ht="15.75" customHeight="1">
      <c r="A3801" s="2">
        <v>2015.0</v>
      </c>
      <c r="B3801" s="2" t="s">
        <v>17501</v>
      </c>
      <c r="C3801" s="2" t="s">
        <v>17502</v>
      </c>
      <c r="D3801" s="2" t="str">
        <f>"8065494847"</f>
        <v>8065494847</v>
      </c>
      <c r="E3801" s="2" t="s">
        <v>1946</v>
      </c>
      <c r="F3801" s="2" t="s">
        <v>17503</v>
      </c>
      <c r="G3801" s="2" t="str">
        <f>"SR-5336"</f>
        <v>SR-5336</v>
      </c>
      <c r="H3801" s="2" t="s">
        <v>17504</v>
      </c>
      <c r="I3801" s="2" t="s">
        <v>17505</v>
      </c>
      <c r="K3801" s="2" t="s">
        <v>1121</v>
      </c>
      <c r="L3801" s="2" t="s">
        <v>172</v>
      </c>
      <c r="M3801" s="2">
        <v>79423.0</v>
      </c>
      <c r="N3801" s="2" t="s">
        <v>21</v>
      </c>
    </row>
    <row r="3802" ht="15.75" customHeight="1">
      <c r="A3802" s="2">
        <v>2015.0</v>
      </c>
      <c r="B3802" s="2" t="s">
        <v>17506</v>
      </c>
      <c r="C3802" s="2" t="s">
        <v>17507</v>
      </c>
      <c r="D3802" s="2" t="str">
        <f>"210-867-4135"</f>
        <v>210-867-4135</v>
      </c>
      <c r="E3802" s="2" t="s">
        <v>6244</v>
      </c>
      <c r="F3802" s="2" t="s">
        <v>17508</v>
      </c>
      <c r="G3802" s="2" t="str">
        <f>"SR-5119"</f>
        <v>SR-5119</v>
      </c>
      <c r="H3802" s="2" t="s">
        <v>17509</v>
      </c>
      <c r="I3802" s="2" t="s">
        <v>17510</v>
      </c>
      <c r="K3802" s="2" t="s">
        <v>632</v>
      </c>
      <c r="L3802" s="2" t="s">
        <v>172</v>
      </c>
      <c r="M3802" s="2">
        <v>78249.0</v>
      </c>
      <c r="N3802" s="2" t="s">
        <v>21</v>
      </c>
    </row>
    <row r="3803" ht="15.75" customHeight="1">
      <c r="A3803" s="2">
        <v>2015.0</v>
      </c>
      <c r="B3803" s="2" t="s">
        <v>17511</v>
      </c>
      <c r="C3803" s="2" t="s">
        <v>17512</v>
      </c>
      <c r="D3803" s="2" t="str">
        <f>"970-716-1624"</f>
        <v>970-716-1624</v>
      </c>
      <c r="E3803" s="2" t="s">
        <v>17513</v>
      </c>
      <c r="F3803" s="2" t="s">
        <v>17514</v>
      </c>
      <c r="G3803" s="2" t="str">
        <f>"SR-5131"</f>
        <v>SR-5131</v>
      </c>
      <c r="H3803" s="2" t="s">
        <v>17515</v>
      </c>
      <c r="I3803" s="2" t="s">
        <v>17516</v>
      </c>
      <c r="K3803" s="2" t="s">
        <v>498</v>
      </c>
      <c r="L3803" s="2" t="s">
        <v>157</v>
      </c>
      <c r="M3803" s="2">
        <v>80615.0</v>
      </c>
      <c r="N3803" s="2" t="s">
        <v>21</v>
      </c>
    </row>
    <row r="3804" ht="15.75" customHeight="1">
      <c r="A3804" s="2">
        <v>2015.0</v>
      </c>
      <c r="B3804" s="2" t="s">
        <v>17517</v>
      </c>
      <c r="C3804" s="2" t="s">
        <v>17517</v>
      </c>
      <c r="D3804" s="2" t="str">
        <f>"9072429758"</f>
        <v>9072429758</v>
      </c>
      <c r="E3804" s="2" t="s">
        <v>1251</v>
      </c>
      <c r="F3804" s="2" t="s">
        <v>17518</v>
      </c>
      <c r="G3804" s="2" t="str">
        <f>"SR-5184"</f>
        <v>SR-5184</v>
      </c>
      <c r="H3804" s="2" t="s">
        <v>17519</v>
      </c>
      <c r="I3804" s="2" t="s">
        <v>17520</v>
      </c>
      <c r="K3804" s="2" t="s">
        <v>1360</v>
      </c>
      <c r="L3804" s="2" t="s">
        <v>70</v>
      </c>
      <c r="M3804" s="2">
        <v>99611.0</v>
      </c>
      <c r="N3804" s="2" t="s">
        <v>21</v>
      </c>
    </row>
    <row r="3805" ht="15.75" customHeight="1">
      <c r="A3805" s="2">
        <v>2015.0</v>
      </c>
      <c r="B3805" s="2" t="s">
        <v>17521</v>
      </c>
      <c r="C3805" s="2" t="s">
        <v>17521</v>
      </c>
      <c r="D3805" s="2" t="str">
        <f>"(225) 788-7544"</f>
        <v>(225) 788-7544</v>
      </c>
      <c r="E3805" s="2" t="s">
        <v>908</v>
      </c>
      <c r="F3805" s="2" t="s">
        <v>17522</v>
      </c>
      <c r="G3805" s="2" t="str">
        <f>"SR-5411"</f>
        <v>SR-5411</v>
      </c>
      <c r="H3805" s="2" t="s">
        <v>17523</v>
      </c>
      <c r="I3805" s="2" t="s">
        <v>17524</v>
      </c>
      <c r="K3805" s="2" t="s">
        <v>3654</v>
      </c>
      <c r="L3805" s="2" t="s">
        <v>715</v>
      </c>
      <c r="M3805" s="2">
        <v>70818.0</v>
      </c>
      <c r="N3805" s="2" t="s">
        <v>21</v>
      </c>
    </row>
    <row r="3806" ht="15.75" customHeight="1">
      <c r="A3806" s="2">
        <v>2015.0</v>
      </c>
      <c r="B3806" s="2" t="s">
        <v>17525</v>
      </c>
      <c r="C3806" s="2" t="s">
        <v>17525</v>
      </c>
      <c r="D3806" s="2" t="str">
        <f>"3869860100"</f>
        <v>3869860100</v>
      </c>
      <c r="E3806" s="2" t="s">
        <v>13585</v>
      </c>
      <c r="F3806" s="2" t="s">
        <v>962</v>
      </c>
      <c r="G3806" s="2" t="str">
        <f>"SR-5422"</f>
        <v>SR-5422</v>
      </c>
      <c r="H3806" s="2" t="s">
        <v>17526</v>
      </c>
      <c r="I3806" s="2" t="s">
        <v>17527</v>
      </c>
      <c r="K3806" s="2" t="s">
        <v>17233</v>
      </c>
      <c r="L3806" s="2" t="s">
        <v>208</v>
      </c>
      <c r="M3806" s="2">
        <v>32110.0</v>
      </c>
      <c r="N3806" s="2" t="s">
        <v>21</v>
      </c>
    </row>
    <row r="3807" ht="15.75" customHeight="1">
      <c r="A3807" s="2">
        <v>2015.0</v>
      </c>
      <c r="B3807" s="2" t="s">
        <v>17528</v>
      </c>
      <c r="C3807" s="2" t="s">
        <v>17529</v>
      </c>
      <c r="D3807" s="2" t="str">
        <f>"(804) 986-7044"</f>
        <v>(804) 986-7044</v>
      </c>
      <c r="E3807" s="2" t="s">
        <v>282</v>
      </c>
      <c r="F3807" s="2" t="s">
        <v>17530</v>
      </c>
      <c r="G3807" s="2" t="str">
        <f>"SR-5421"</f>
        <v>SR-5421</v>
      </c>
      <c r="H3807" s="2" t="s">
        <v>17531</v>
      </c>
      <c r="I3807" s="2" t="s">
        <v>17532</v>
      </c>
      <c r="K3807" s="2" t="s">
        <v>7971</v>
      </c>
      <c r="L3807" s="2" t="s">
        <v>165</v>
      </c>
      <c r="M3807" s="2">
        <v>23116.0</v>
      </c>
      <c r="N3807" s="2" t="s">
        <v>21</v>
      </c>
    </row>
    <row r="3808" ht="15.75" customHeight="1">
      <c r="A3808" s="2">
        <v>2015.0</v>
      </c>
      <c r="B3808" s="2" t="s">
        <v>17533</v>
      </c>
      <c r="C3808" s="2" t="s">
        <v>17534</v>
      </c>
      <c r="D3808" s="2" t="str">
        <f>"907-262-7716"</f>
        <v>907-262-7716</v>
      </c>
      <c r="E3808" s="2" t="s">
        <v>1032</v>
      </c>
      <c r="F3808" s="2" t="s">
        <v>17535</v>
      </c>
      <c r="G3808" s="2" t="str">
        <f>"SR-5173"</f>
        <v>SR-5173</v>
      </c>
      <c r="H3808" s="2" t="s">
        <v>17536</v>
      </c>
      <c r="I3808" s="2" t="s">
        <v>17537</v>
      </c>
      <c r="K3808" s="2" t="s">
        <v>1336</v>
      </c>
      <c r="L3808" s="2" t="s">
        <v>70</v>
      </c>
      <c r="M3808" s="2">
        <v>99669.0</v>
      </c>
      <c r="N3808" s="2" t="s">
        <v>21</v>
      </c>
    </row>
    <row r="3809" ht="15.75" customHeight="1">
      <c r="A3809" s="2">
        <v>2015.0</v>
      </c>
      <c r="B3809" s="2" t="s">
        <v>17538</v>
      </c>
      <c r="C3809" s="2" t="s">
        <v>17539</v>
      </c>
      <c r="D3809" s="2" t="str">
        <f>"979-229-7471"</f>
        <v>979-229-7471</v>
      </c>
      <c r="E3809" s="2" t="s">
        <v>1987</v>
      </c>
      <c r="F3809" s="2" t="s">
        <v>17540</v>
      </c>
      <c r="G3809" s="2" t="str">
        <f>"SR-5423"</f>
        <v>SR-5423</v>
      </c>
      <c r="H3809" s="2" t="s">
        <v>17541</v>
      </c>
      <c r="I3809" s="2" t="s">
        <v>17542</v>
      </c>
      <c r="K3809" s="2" t="s">
        <v>2969</v>
      </c>
      <c r="L3809" s="2" t="s">
        <v>172</v>
      </c>
      <c r="M3809" s="2">
        <v>77845.0</v>
      </c>
      <c r="N3809" s="2" t="s">
        <v>21</v>
      </c>
    </row>
    <row r="3810" ht="15.75" customHeight="1">
      <c r="A3810" s="2">
        <v>2015.0</v>
      </c>
      <c r="B3810" s="2" t="s">
        <v>17543</v>
      </c>
      <c r="C3810" s="2" t="s">
        <v>17543</v>
      </c>
      <c r="D3810" s="2" t="str">
        <f>"9795750602"</f>
        <v>9795750602</v>
      </c>
      <c r="E3810" s="2" t="s">
        <v>3111</v>
      </c>
      <c r="F3810" s="2" t="s">
        <v>3394</v>
      </c>
      <c r="G3810" s="2" t="str">
        <f>"SR-4761"</f>
        <v>SR-4761</v>
      </c>
      <c r="H3810" s="2" t="s">
        <v>17544</v>
      </c>
      <c r="I3810" s="2" t="s">
        <v>17545</v>
      </c>
      <c r="K3810" s="2" t="s">
        <v>2969</v>
      </c>
      <c r="L3810" s="2" t="s">
        <v>172</v>
      </c>
      <c r="M3810" s="2">
        <v>77845.0</v>
      </c>
      <c r="N3810" s="2" t="s">
        <v>21</v>
      </c>
    </row>
    <row r="3811" ht="15.75" customHeight="1">
      <c r="A3811" s="2">
        <v>2015.0</v>
      </c>
      <c r="B3811" s="2" t="s">
        <v>17546</v>
      </c>
      <c r="C3811" s="2" t="s">
        <v>17546</v>
      </c>
      <c r="D3811" s="2" t="str">
        <f>"(920)604-1076"</f>
        <v>(920)604-1076</v>
      </c>
      <c r="E3811" s="2" t="s">
        <v>931</v>
      </c>
      <c r="F3811" s="2" t="s">
        <v>17547</v>
      </c>
      <c r="G3811" s="2" t="str">
        <f>"SR-4945"</f>
        <v>SR-4945</v>
      </c>
      <c r="H3811" s="2" t="s">
        <v>17548</v>
      </c>
      <c r="I3811" s="2" t="s">
        <v>17549</v>
      </c>
      <c r="K3811" s="2" t="s">
        <v>17550</v>
      </c>
      <c r="L3811" s="2" t="s">
        <v>193</v>
      </c>
      <c r="M3811" s="2">
        <v>54124.0</v>
      </c>
      <c r="N3811" s="2" t="s">
        <v>21</v>
      </c>
    </row>
    <row r="3812" ht="15.75" customHeight="1">
      <c r="A3812" s="2">
        <v>2015.0</v>
      </c>
      <c r="B3812" s="2" t="s">
        <v>2235</v>
      </c>
      <c r="C3812" s="2" t="s">
        <v>17551</v>
      </c>
      <c r="D3812" s="2" t="str">
        <f>"720-840-6908"</f>
        <v>720-840-6908</v>
      </c>
      <c r="E3812" s="2" t="s">
        <v>580</v>
      </c>
      <c r="F3812" s="2" t="s">
        <v>2238</v>
      </c>
      <c r="G3812" s="2" t="str">
        <f>"SR-5420"</f>
        <v>SR-5420</v>
      </c>
      <c r="H3812" s="2" t="s">
        <v>17552</v>
      </c>
      <c r="I3812" s="2" t="s">
        <v>2240</v>
      </c>
      <c r="K3812" s="2" t="s">
        <v>682</v>
      </c>
      <c r="L3812" s="2" t="s">
        <v>157</v>
      </c>
      <c r="M3812" s="2">
        <v>80126.0</v>
      </c>
      <c r="N3812" s="2" t="s">
        <v>21</v>
      </c>
    </row>
    <row r="3813" ht="15.75" customHeight="1">
      <c r="A3813" s="2">
        <v>2015.0</v>
      </c>
      <c r="B3813" s="2" t="s">
        <v>17553</v>
      </c>
      <c r="C3813" s="2" t="s">
        <v>17554</v>
      </c>
      <c r="D3813" s="2" t="str">
        <f>"719-568-4679"</f>
        <v>719-568-4679</v>
      </c>
      <c r="E3813" s="2" t="s">
        <v>17555</v>
      </c>
      <c r="F3813" s="2" t="s">
        <v>17556</v>
      </c>
      <c r="G3813" s="2" t="str">
        <f>"SR-5393"</f>
        <v>SR-5393</v>
      </c>
      <c r="H3813" s="2" t="s">
        <v>17557</v>
      </c>
      <c r="I3813" s="2" t="s">
        <v>17558</v>
      </c>
      <c r="K3813" s="2" t="s">
        <v>8308</v>
      </c>
      <c r="L3813" s="2" t="s">
        <v>157</v>
      </c>
      <c r="M3813" s="2">
        <v>81007.0</v>
      </c>
      <c r="N3813" s="2" t="s">
        <v>21</v>
      </c>
    </row>
    <row r="3814" ht="15.75" customHeight="1">
      <c r="A3814" s="2">
        <v>2015.0</v>
      </c>
      <c r="B3814" s="2" t="s">
        <v>17559</v>
      </c>
      <c r="C3814" s="2" t="s">
        <v>17560</v>
      </c>
      <c r="D3814" s="2" t="str">
        <f>"386-676-0143"</f>
        <v>386-676-0143</v>
      </c>
      <c r="E3814" s="2" t="s">
        <v>2361</v>
      </c>
      <c r="F3814" s="2" t="s">
        <v>11781</v>
      </c>
      <c r="G3814" s="2" t="str">
        <f>"SR-5011"</f>
        <v>SR-5011</v>
      </c>
      <c r="H3814" s="2" t="s">
        <v>17561</v>
      </c>
      <c r="I3814" s="2" t="s">
        <v>17562</v>
      </c>
      <c r="K3814" s="2" t="s">
        <v>5092</v>
      </c>
      <c r="L3814" s="2" t="s">
        <v>208</v>
      </c>
      <c r="M3814" s="2">
        <v>32174.0</v>
      </c>
      <c r="N3814" s="2" t="s">
        <v>21</v>
      </c>
    </row>
    <row r="3815" ht="15.75" customHeight="1">
      <c r="A3815" s="2">
        <v>2015.0</v>
      </c>
      <c r="B3815" s="2" t="s">
        <v>17563</v>
      </c>
      <c r="C3815" s="2" t="s">
        <v>17564</v>
      </c>
      <c r="D3815" s="2" t="str">
        <f>"319-360-5804"</f>
        <v>319-360-5804</v>
      </c>
      <c r="E3815" s="2" t="s">
        <v>17565</v>
      </c>
      <c r="F3815" s="2" t="s">
        <v>17566</v>
      </c>
      <c r="G3815" s="2" t="str">
        <f>"SR-5412"</f>
        <v>SR-5412</v>
      </c>
      <c r="H3815" s="2" t="s">
        <v>17567</v>
      </c>
      <c r="I3815" s="2" t="s">
        <v>17568</v>
      </c>
      <c r="K3815" s="2" t="s">
        <v>3273</v>
      </c>
      <c r="L3815" s="2" t="s">
        <v>560</v>
      </c>
      <c r="M3815" s="2">
        <v>52403.0</v>
      </c>
      <c r="N3815" s="2" t="s">
        <v>21</v>
      </c>
    </row>
    <row r="3816" ht="15.75" customHeight="1">
      <c r="A3816" s="2">
        <v>2015.0</v>
      </c>
      <c r="B3816" s="2" t="s">
        <v>17569</v>
      </c>
      <c r="C3816" s="2" t="s">
        <v>17570</v>
      </c>
      <c r="D3816" s="2" t="str">
        <f>"6026808810"</f>
        <v>6026808810</v>
      </c>
      <c r="E3816" s="2" t="s">
        <v>4750</v>
      </c>
      <c r="F3816" s="2" t="s">
        <v>17571</v>
      </c>
      <c r="G3816" s="2" t="str">
        <f>"SR-5365"</f>
        <v>SR-5365</v>
      </c>
      <c r="H3816" s="2" t="s">
        <v>17572</v>
      </c>
      <c r="I3816" s="2" t="s">
        <v>17573</v>
      </c>
      <c r="K3816" s="2" t="s">
        <v>104</v>
      </c>
      <c r="L3816" s="2" t="s">
        <v>422</v>
      </c>
      <c r="M3816" s="2">
        <v>85345.0</v>
      </c>
      <c r="N3816" s="2" t="s">
        <v>21</v>
      </c>
    </row>
    <row r="3817" ht="15.75" customHeight="1">
      <c r="A3817" s="2">
        <v>2015.0</v>
      </c>
      <c r="B3817" s="2" t="s">
        <v>10156</v>
      </c>
      <c r="C3817" s="2" t="s">
        <v>17574</v>
      </c>
      <c r="D3817" s="2" t="str">
        <f>"864-430-3572"</f>
        <v>864-430-3572</v>
      </c>
      <c r="E3817" s="2" t="s">
        <v>453</v>
      </c>
      <c r="F3817" s="2" t="s">
        <v>10158</v>
      </c>
      <c r="G3817" s="2" t="str">
        <f>"SR-2923"</f>
        <v>SR-2923</v>
      </c>
      <c r="H3817" s="2" t="s">
        <v>17575</v>
      </c>
      <c r="I3817" s="2" t="s">
        <v>10160</v>
      </c>
      <c r="K3817" s="2" t="s">
        <v>1878</v>
      </c>
      <c r="L3817" s="2" t="s">
        <v>55</v>
      </c>
      <c r="M3817" s="2">
        <v>29681.0</v>
      </c>
      <c r="N3817" s="2" t="s">
        <v>21</v>
      </c>
    </row>
    <row r="3818" ht="15.75" customHeight="1">
      <c r="A3818" s="2">
        <v>2015.0</v>
      </c>
      <c r="B3818" s="2" t="s">
        <v>17576</v>
      </c>
      <c r="C3818" s="2" t="s">
        <v>17576</v>
      </c>
      <c r="D3818" s="2" t="str">
        <f>"620-488-3486"</f>
        <v>620-488-3486</v>
      </c>
      <c r="E3818" s="2" t="s">
        <v>261</v>
      </c>
      <c r="F3818" s="2" t="s">
        <v>17577</v>
      </c>
      <c r="G3818" s="2" t="str">
        <f>"SR-4979"</f>
        <v>SR-4979</v>
      </c>
      <c r="H3818" s="2" t="s">
        <v>17578</v>
      </c>
      <c r="I3818" s="2" t="s">
        <v>17579</v>
      </c>
      <c r="K3818" s="2" t="s">
        <v>6543</v>
      </c>
      <c r="L3818" s="2" t="s">
        <v>272</v>
      </c>
      <c r="M3818" s="2">
        <v>67013.0</v>
      </c>
      <c r="N3818" s="2" t="s">
        <v>21</v>
      </c>
    </row>
    <row r="3819" ht="15.75" customHeight="1">
      <c r="A3819" s="2">
        <v>2015.0</v>
      </c>
      <c r="B3819" s="2" t="s">
        <v>17580</v>
      </c>
      <c r="C3819" s="2" t="s">
        <v>17581</v>
      </c>
      <c r="D3819" s="2" t="str">
        <f>"9528353727"</f>
        <v>9528353727</v>
      </c>
      <c r="E3819" s="2" t="s">
        <v>1263</v>
      </c>
      <c r="F3819" s="2" t="s">
        <v>17582</v>
      </c>
      <c r="G3819" s="2" t="str">
        <f>"SR-5150"</f>
        <v>SR-5150</v>
      </c>
      <c r="H3819" s="2" t="s">
        <v>17583</v>
      </c>
      <c r="I3819" s="2" t="s">
        <v>17584</v>
      </c>
      <c r="K3819" s="2" t="s">
        <v>1019</v>
      </c>
      <c r="L3819" s="2" t="s">
        <v>62</v>
      </c>
      <c r="M3819" s="2">
        <v>55437.0</v>
      </c>
      <c r="N3819" s="2" t="s">
        <v>21</v>
      </c>
    </row>
    <row r="3820" ht="15.75" customHeight="1">
      <c r="A3820" s="2">
        <v>2015.0</v>
      </c>
      <c r="B3820" s="2" t="s">
        <v>17585</v>
      </c>
      <c r="C3820" s="2" t="s">
        <v>17586</v>
      </c>
      <c r="D3820" s="2" t="str">
        <f>"620-567-2697"</f>
        <v>620-567-2697</v>
      </c>
      <c r="E3820" s="2" t="s">
        <v>584</v>
      </c>
      <c r="F3820" s="2" t="s">
        <v>17587</v>
      </c>
      <c r="G3820" s="2" t="str">
        <f>"SR-5439"</f>
        <v>SR-5439</v>
      </c>
      <c r="H3820" s="2" t="s">
        <v>17588</v>
      </c>
      <c r="I3820" s="2" t="s">
        <v>17589</v>
      </c>
      <c r="K3820" s="2" t="s">
        <v>5351</v>
      </c>
      <c r="L3820" s="2" t="s">
        <v>272</v>
      </c>
      <c r="M3820" s="2">
        <v>67501.0</v>
      </c>
      <c r="N3820" s="2" t="s">
        <v>21</v>
      </c>
    </row>
    <row r="3821" ht="15.75" customHeight="1">
      <c r="A3821" s="2">
        <v>2015.0</v>
      </c>
      <c r="B3821" s="2" t="s">
        <v>17590</v>
      </c>
      <c r="C3821" s="2" t="s">
        <v>17590</v>
      </c>
      <c r="D3821" s="2" t="str">
        <f>"5154023157"</f>
        <v>5154023157</v>
      </c>
      <c r="E3821" s="2" t="s">
        <v>1548</v>
      </c>
      <c r="F3821" s="2" t="s">
        <v>17591</v>
      </c>
      <c r="G3821" s="2" t="str">
        <f>"SR-5426"</f>
        <v>SR-5426</v>
      </c>
      <c r="H3821" s="2" t="s">
        <v>17592</v>
      </c>
      <c r="I3821" s="2" t="s">
        <v>17593</v>
      </c>
      <c r="K3821" s="2" t="s">
        <v>17594</v>
      </c>
      <c r="L3821" s="2" t="s">
        <v>560</v>
      </c>
      <c r="M3821" s="2">
        <v>50071.0</v>
      </c>
      <c r="N3821" s="2" t="s">
        <v>21</v>
      </c>
    </row>
    <row r="3822" ht="15.75" customHeight="1">
      <c r="A3822" s="2">
        <v>2015.0</v>
      </c>
      <c r="B3822" s="2" t="s">
        <v>17595</v>
      </c>
      <c r="C3822" s="2" t="s">
        <v>17596</v>
      </c>
      <c r="D3822" s="2" t="str">
        <f>"4067365166"</f>
        <v>4067365166</v>
      </c>
      <c r="E3822" s="2" t="s">
        <v>584</v>
      </c>
      <c r="F3822" s="2" t="s">
        <v>17597</v>
      </c>
      <c r="G3822" s="2" t="str">
        <f>"SR-5357"</f>
        <v>SR-5357</v>
      </c>
      <c r="H3822" s="2" t="s">
        <v>17598</v>
      </c>
      <c r="I3822" s="2" t="s">
        <v>17599</v>
      </c>
      <c r="K3822" s="2" t="s">
        <v>17600</v>
      </c>
      <c r="L3822" s="2" t="s">
        <v>2696</v>
      </c>
      <c r="M3822" s="2">
        <v>59405.0</v>
      </c>
      <c r="N3822" s="2" t="s">
        <v>21</v>
      </c>
    </row>
    <row r="3823" ht="15.75" customHeight="1">
      <c r="A3823" s="2">
        <v>2015.0</v>
      </c>
      <c r="B3823" s="2" t="s">
        <v>17601</v>
      </c>
      <c r="C3823" s="2" t="s">
        <v>17601</v>
      </c>
      <c r="D3823" s="2" t="str">
        <f>"(319)-393-3002"</f>
        <v>(319)-393-3002</v>
      </c>
      <c r="E3823" s="2" t="s">
        <v>4246</v>
      </c>
      <c r="F3823" s="2" t="s">
        <v>17602</v>
      </c>
      <c r="G3823" s="2" t="str">
        <f>"SR-5398"</f>
        <v>SR-5398</v>
      </c>
      <c r="H3823" s="2" t="s">
        <v>17603</v>
      </c>
      <c r="I3823" s="2" t="s">
        <v>17604</v>
      </c>
      <c r="K3823" s="2" t="s">
        <v>3273</v>
      </c>
      <c r="L3823" s="2" t="s">
        <v>560</v>
      </c>
      <c r="M3823" s="2">
        <v>52402.0</v>
      </c>
      <c r="N3823" s="2" t="s">
        <v>21</v>
      </c>
    </row>
    <row r="3824" ht="15.75" customHeight="1">
      <c r="A3824" s="2">
        <v>2015.0</v>
      </c>
      <c r="B3824" s="2" t="s">
        <v>17605</v>
      </c>
      <c r="C3824" s="2" t="s">
        <v>17606</v>
      </c>
      <c r="D3824" s="2" t="str">
        <f>"435-881-7590"</f>
        <v>435-881-7590</v>
      </c>
      <c r="E3824" s="2" t="s">
        <v>17607</v>
      </c>
      <c r="F3824" s="2" t="s">
        <v>72</v>
      </c>
      <c r="G3824" s="2" t="str">
        <f>"SR-5442"</f>
        <v>SR-5442</v>
      </c>
      <c r="H3824" s="2" t="s">
        <v>17608</v>
      </c>
      <c r="I3824" s="2" t="s">
        <v>761</v>
      </c>
      <c r="K3824" s="2" t="s">
        <v>762</v>
      </c>
      <c r="L3824" s="2" t="s">
        <v>763</v>
      </c>
      <c r="M3824" s="2">
        <v>84341.0</v>
      </c>
      <c r="N3824" s="2" t="s">
        <v>21</v>
      </c>
    </row>
    <row r="3825" ht="15.75" customHeight="1">
      <c r="A3825" s="2">
        <v>2015.0</v>
      </c>
      <c r="B3825" s="2" t="s">
        <v>17609</v>
      </c>
      <c r="C3825" s="2" t="s">
        <v>17610</v>
      </c>
      <c r="D3825" s="2" t="str">
        <f>"432.553.9736"</f>
        <v>432.553.9736</v>
      </c>
      <c r="E3825" s="2" t="s">
        <v>428</v>
      </c>
      <c r="F3825" s="2" t="s">
        <v>4782</v>
      </c>
      <c r="G3825" s="2" t="str">
        <f>"SR-5443"</f>
        <v>SR-5443</v>
      </c>
      <c r="H3825" s="2" t="s">
        <v>17611</v>
      </c>
      <c r="I3825" s="2" t="s">
        <v>17612</v>
      </c>
      <c r="K3825" s="2" t="s">
        <v>286</v>
      </c>
      <c r="L3825" s="2" t="s">
        <v>172</v>
      </c>
      <c r="M3825" s="2">
        <v>79705.0</v>
      </c>
      <c r="N3825" s="2" t="s">
        <v>21</v>
      </c>
    </row>
    <row r="3826" ht="15.75" customHeight="1">
      <c r="A3826" s="2">
        <v>2015.0</v>
      </c>
      <c r="B3826" s="2" t="s">
        <v>10757</v>
      </c>
      <c r="C3826" s="2" t="s">
        <v>10758</v>
      </c>
      <c r="D3826" s="2" t="str">
        <f>"8144942468"</f>
        <v>8144942468</v>
      </c>
      <c r="E3826" s="2" t="s">
        <v>1946</v>
      </c>
      <c r="F3826" s="2" t="s">
        <v>10759</v>
      </c>
      <c r="G3826" s="2" t="str">
        <f>"SR-3170"</f>
        <v>SR-3170</v>
      </c>
      <c r="H3826" s="2" t="s">
        <v>10760</v>
      </c>
      <c r="I3826" s="2" t="s">
        <v>10761</v>
      </c>
      <c r="K3826" s="2" t="s">
        <v>10762</v>
      </c>
      <c r="L3826" s="2" t="s">
        <v>179</v>
      </c>
      <c r="M3826" s="2">
        <v>15550.0</v>
      </c>
      <c r="N3826" s="2" t="s">
        <v>21</v>
      </c>
    </row>
    <row r="3827" ht="15.75" customHeight="1">
      <c r="A3827" s="2">
        <v>2015.0</v>
      </c>
      <c r="B3827" s="2" t="s">
        <v>10757</v>
      </c>
      <c r="C3827" s="2" t="s">
        <v>17613</v>
      </c>
      <c r="D3827" s="2" t="str">
        <f>"814-624-3466"</f>
        <v>814-624-3466</v>
      </c>
      <c r="E3827" s="2" t="s">
        <v>217</v>
      </c>
      <c r="F3827" s="2" t="s">
        <v>10759</v>
      </c>
      <c r="G3827" s="2" t="str">
        <f>"SR-5287"</f>
        <v>SR-5287</v>
      </c>
      <c r="H3827" s="2" t="s">
        <v>17614</v>
      </c>
      <c r="I3827" s="2" t="s">
        <v>17615</v>
      </c>
      <c r="K3827" s="2" t="s">
        <v>10762</v>
      </c>
      <c r="L3827" s="2" t="s">
        <v>179</v>
      </c>
      <c r="M3827" s="2">
        <v>15550.0</v>
      </c>
      <c r="N3827" s="2" t="s">
        <v>21</v>
      </c>
    </row>
    <row r="3828" ht="15.75" customHeight="1">
      <c r="A3828" s="2">
        <v>2015.0</v>
      </c>
      <c r="B3828" s="2" t="s">
        <v>17616</v>
      </c>
      <c r="C3828" s="2" t="s">
        <v>17616</v>
      </c>
      <c r="D3828" s="2" t="str">
        <f>"404-247-8468"</f>
        <v>404-247-8468</v>
      </c>
      <c r="E3828" s="2" t="s">
        <v>17617</v>
      </c>
      <c r="F3828" s="2" t="s">
        <v>17618</v>
      </c>
      <c r="G3828" s="2" t="str">
        <f>"SR-5364"</f>
        <v>SR-5364</v>
      </c>
      <c r="H3828" s="2" t="s">
        <v>17619</v>
      </c>
      <c r="I3828" s="2" t="s">
        <v>17620</v>
      </c>
      <c r="K3828" s="2" t="s">
        <v>7218</v>
      </c>
      <c r="L3828" s="2" t="s">
        <v>200</v>
      </c>
      <c r="M3828" s="2">
        <v>30075.0</v>
      </c>
      <c r="N3828" s="2" t="s">
        <v>21</v>
      </c>
    </row>
    <row r="3829" ht="15.75" customHeight="1">
      <c r="A3829" s="2">
        <v>2015.0</v>
      </c>
      <c r="B3829" s="2" t="s">
        <v>17621</v>
      </c>
      <c r="C3829" s="2" t="s">
        <v>17622</v>
      </c>
      <c r="D3829" s="2" t="str">
        <f>"907-945-3608"</f>
        <v>907-945-3608</v>
      </c>
      <c r="E3829" s="2" t="s">
        <v>17623</v>
      </c>
      <c r="F3829" s="2" t="s">
        <v>17624</v>
      </c>
      <c r="G3829" s="2" t="str">
        <f>"SR-4852"</f>
        <v>SR-4852</v>
      </c>
      <c r="H3829" s="2" t="s">
        <v>17625</v>
      </c>
      <c r="I3829" s="2" t="s">
        <v>17626</v>
      </c>
      <c r="K3829" s="2" t="s">
        <v>17627</v>
      </c>
      <c r="L3829" s="2" t="s">
        <v>70</v>
      </c>
      <c r="M3829" s="2">
        <v>99829.0</v>
      </c>
      <c r="N3829" s="2" t="s">
        <v>21</v>
      </c>
    </row>
    <row r="3830" ht="15.75" customHeight="1">
      <c r="A3830" s="2">
        <v>2015.0</v>
      </c>
      <c r="B3830" s="2" t="s">
        <v>9041</v>
      </c>
      <c r="D3830" s="2" t="str">
        <f>""</f>
        <v/>
      </c>
      <c r="E3830" s="2" t="s">
        <v>9042</v>
      </c>
      <c r="F3830" s="2" t="s">
        <v>8868</v>
      </c>
      <c r="G3830" s="2" t="str">
        <f>"SR-2603"</f>
        <v>SR-2603</v>
      </c>
      <c r="H3830" s="2" t="s">
        <v>9043</v>
      </c>
      <c r="N3830" s="2" t="s">
        <v>21</v>
      </c>
    </row>
    <row r="3831" ht="15.75" customHeight="1">
      <c r="A3831" s="2">
        <v>2015.0</v>
      </c>
      <c r="B3831" s="2" t="s">
        <v>17628</v>
      </c>
      <c r="C3831" s="2" t="s">
        <v>17629</v>
      </c>
      <c r="D3831" s="2" t="str">
        <f>"909-210-2183"</f>
        <v>909-210-2183</v>
      </c>
      <c r="E3831" s="2" t="s">
        <v>301</v>
      </c>
      <c r="F3831" s="2" t="s">
        <v>16295</v>
      </c>
      <c r="G3831" s="2" t="str">
        <f>"SR-5360"</f>
        <v>SR-5360</v>
      </c>
      <c r="H3831" s="2" t="s">
        <v>17630</v>
      </c>
      <c r="I3831" s="2" t="s">
        <v>17631</v>
      </c>
      <c r="K3831" s="2" t="s">
        <v>10340</v>
      </c>
      <c r="L3831" s="2" t="s">
        <v>222</v>
      </c>
      <c r="M3831" s="2">
        <v>91709.0</v>
      </c>
      <c r="N3831" s="2" t="s">
        <v>21</v>
      </c>
    </row>
    <row r="3832" ht="15.75" customHeight="1">
      <c r="A3832" s="2">
        <v>2015.0</v>
      </c>
      <c r="B3832" s="2" t="s">
        <v>17632</v>
      </c>
      <c r="C3832" s="2" t="s">
        <v>17632</v>
      </c>
      <c r="D3832" s="2" t="str">
        <f>"281-660-2204"</f>
        <v>281-660-2204</v>
      </c>
      <c r="E3832" s="2" t="s">
        <v>908</v>
      </c>
      <c r="F3832" s="2" t="s">
        <v>7647</v>
      </c>
      <c r="G3832" s="2" t="str">
        <f>"SR-5441"</f>
        <v>SR-5441</v>
      </c>
      <c r="H3832" s="2" t="s">
        <v>17633</v>
      </c>
      <c r="I3832" s="2" t="s">
        <v>17634</v>
      </c>
      <c r="K3832" s="2" t="s">
        <v>4460</v>
      </c>
      <c r="L3832" s="2" t="s">
        <v>172</v>
      </c>
      <c r="M3832" s="2">
        <v>77447.0</v>
      </c>
      <c r="N3832" s="2" t="s">
        <v>21</v>
      </c>
    </row>
    <row r="3833" ht="15.75" customHeight="1">
      <c r="A3833" s="2">
        <v>2015.0</v>
      </c>
      <c r="B3833" s="2" t="s">
        <v>17635</v>
      </c>
      <c r="C3833" s="2" t="s">
        <v>17636</v>
      </c>
      <c r="D3833" s="2" t="str">
        <f>"432-296-1127"</f>
        <v>432-296-1127</v>
      </c>
      <c r="E3833" s="2" t="s">
        <v>17637</v>
      </c>
      <c r="F3833" s="2" t="s">
        <v>3576</v>
      </c>
      <c r="G3833" s="2" t="str">
        <f>"SR-5452"</f>
        <v>SR-5452</v>
      </c>
      <c r="H3833" s="2" t="s">
        <v>17638</v>
      </c>
      <c r="I3833" s="2" t="s">
        <v>17639</v>
      </c>
      <c r="K3833" s="2" t="s">
        <v>286</v>
      </c>
      <c r="L3833" s="2" t="s">
        <v>172</v>
      </c>
      <c r="M3833" s="2">
        <v>79706.0</v>
      </c>
      <c r="N3833" s="2" t="s">
        <v>21</v>
      </c>
    </row>
    <row r="3834" ht="15.75" customHeight="1">
      <c r="A3834" s="2">
        <v>2015.0</v>
      </c>
      <c r="B3834" s="2" t="s">
        <v>3819</v>
      </c>
      <c r="C3834" s="2" t="s">
        <v>3819</v>
      </c>
      <c r="D3834" s="2" t="str">
        <f>"(760)5210411"</f>
        <v>(760)5210411</v>
      </c>
      <c r="E3834" s="2" t="s">
        <v>1725</v>
      </c>
      <c r="F3834" s="2" t="s">
        <v>3820</v>
      </c>
      <c r="G3834" s="2" t="str">
        <f>"SR-1194"</f>
        <v>SR-1194</v>
      </c>
      <c r="H3834" s="2" t="s">
        <v>3821</v>
      </c>
      <c r="I3834" s="2" t="s">
        <v>3822</v>
      </c>
      <c r="K3834" s="2" t="s">
        <v>3823</v>
      </c>
      <c r="L3834" s="2" t="s">
        <v>222</v>
      </c>
      <c r="M3834" s="2">
        <v>94534.0</v>
      </c>
      <c r="N3834" s="2" t="s">
        <v>21</v>
      </c>
    </row>
    <row r="3835" ht="15.75" customHeight="1">
      <c r="A3835" s="2">
        <v>2015.0</v>
      </c>
      <c r="B3835" s="2" t="s">
        <v>17640</v>
      </c>
      <c r="C3835" s="2" t="s">
        <v>17641</v>
      </c>
      <c r="D3835" s="2" t="str">
        <f>"559-638-8268"</f>
        <v>559-638-8268</v>
      </c>
      <c r="E3835" s="2" t="s">
        <v>2965</v>
      </c>
      <c r="F3835" s="2" t="s">
        <v>17642</v>
      </c>
      <c r="G3835" s="2" t="str">
        <f>"SR-5453"</f>
        <v>SR-5453</v>
      </c>
      <c r="H3835" s="2" t="s">
        <v>17643</v>
      </c>
      <c r="I3835" s="2" t="s">
        <v>17644</v>
      </c>
      <c r="K3835" s="2" t="s">
        <v>17645</v>
      </c>
      <c r="L3835" s="2" t="s">
        <v>222</v>
      </c>
      <c r="M3835" s="2">
        <v>93654.0</v>
      </c>
      <c r="N3835" s="2" t="s">
        <v>21</v>
      </c>
    </row>
    <row r="3836" ht="15.75" customHeight="1">
      <c r="A3836" s="2">
        <v>2015.0</v>
      </c>
      <c r="B3836" s="2" t="s">
        <v>17646</v>
      </c>
      <c r="C3836" s="2" t="s">
        <v>17646</v>
      </c>
      <c r="D3836" s="2" t="str">
        <f>"011-52-55-3689-8048"</f>
        <v>011-52-55-3689-8048</v>
      </c>
      <c r="E3836" s="2" t="s">
        <v>17647</v>
      </c>
      <c r="F3836" s="2" t="s">
        <v>17648</v>
      </c>
      <c r="G3836" s="2" t="str">
        <f>"SR-5447"</f>
        <v>SR-5447</v>
      </c>
      <c r="H3836" s="2" t="s">
        <v>17649</v>
      </c>
      <c r="I3836" s="2" t="s">
        <v>17650</v>
      </c>
      <c r="J3836" s="2" t="s">
        <v>17651</v>
      </c>
      <c r="K3836" s="2" t="s">
        <v>17652</v>
      </c>
      <c r="L3836" s="2" t="s">
        <v>17653</v>
      </c>
      <c r="M3836" s="2" t="s">
        <v>17654</v>
      </c>
      <c r="N3836" s="2" t="s">
        <v>7784</v>
      </c>
    </row>
    <row r="3837" ht="15.75" customHeight="1">
      <c r="A3837" s="2">
        <v>2015.0</v>
      </c>
      <c r="B3837" s="2" t="s">
        <v>2218</v>
      </c>
      <c r="C3837" s="2" t="s">
        <v>2219</v>
      </c>
      <c r="D3837" s="2" t="str">
        <f>"5624833192"</f>
        <v>5624833192</v>
      </c>
      <c r="E3837" s="2" t="s">
        <v>453</v>
      </c>
      <c r="F3837" s="2" t="s">
        <v>2220</v>
      </c>
      <c r="G3837" s="2" t="str">
        <f>"SR-780"</f>
        <v>SR-780</v>
      </c>
      <c r="H3837" s="2" t="s">
        <v>2221</v>
      </c>
      <c r="I3837" s="2" t="s">
        <v>2222</v>
      </c>
      <c r="K3837" s="2" t="s">
        <v>2223</v>
      </c>
      <c r="L3837" s="2" t="s">
        <v>222</v>
      </c>
      <c r="M3837" s="2">
        <v>90650.0</v>
      </c>
      <c r="N3837" s="2" t="s">
        <v>21</v>
      </c>
    </row>
    <row r="3838" ht="15.75" customHeight="1">
      <c r="A3838" s="2">
        <v>2015.0</v>
      </c>
      <c r="B3838" s="2" t="s">
        <v>17655</v>
      </c>
      <c r="C3838" s="2" t="s">
        <v>17656</v>
      </c>
      <c r="D3838" s="2" t="str">
        <f>"662/4183724"</f>
        <v>662/4183724</v>
      </c>
      <c r="E3838" s="2" t="s">
        <v>15</v>
      </c>
      <c r="F3838" s="2" t="s">
        <v>17657</v>
      </c>
      <c r="G3838" s="2" t="str">
        <f>"SR-5098"</f>
        <v>SR-5098</v>
      </c>
      <c r="H3838" s="2" t="s">
        <v>17658</v>
      </c>
      <c r="I3838" s="2" t="s">
        <v>17659</v>
      </c>
      <c r="K3838" s="2" t="s">
        <v>1901</v>
      </c>
      <c r="L3838" s="2" t="s">
        <v>1722</v>
      </c>
      <c r="M3838" s="2">
        <v>39759.0</v>
      </c>
      <c r="N3838" s="2" t="s">
        <v>21</v>
      </c>
    </row>
    <row r="3839" ht="15.75" customHeight="1">
      <c r="A3839" s="2">
        <v>2015.0</v>
      </c>
      <c r="B3839" s="2" t="s">
        <v>5559</v>
      </c>
      <c r="C3839" s="2" t="s">
        <v>17660</v>
      </c>
      <c r="D3839" s="2" t="str">
        <f>"7048413629"</f>
        <v>7048413629</v>
      </c>
      <c r="E3839" s="2" t="s">
        <v>678</v>
      </c>
      <c r="F3839" s="2" t="s">
        <v>5561</v>
      </c>
      <c r="G3839" s="2" t="str">
        <f>"SR-4966"</f>
        <v>SR-4966</v>
      </c>
      <c r="H3839" s="2" t="s">
        <v>17661</v>
      </c>
      <c r="I3839" s="2" t="s">
        <v>5563</v>
      </c>
      <c r="K3839" s="2" t="s">
        <v>12914</v>
      </c>
      <c r="L3839" s="2" t="s">
        <v>20</v>
      </c>
      <c r="M3839" s="2">
        <v>28227.0</v>
      </c>
      <c r="N3839" s="2" t="s">
        <v>21</v>
      </c>
    </row>
    <row r="3840" ht="15.75" customHeight="1">
      <c r="A3840" s="2">
        <v>2015.0</v>
      </c>
      <c r="B3840" s="2" t="s">
        <v>17662</v>
      </c>
      <c r="C3840" s="2" t="s">
        <v>17662</v>
      </c>
      <c r="D3840" s="2" t="str">
        <f>"907-262-9495"</f>
        <v>907-262-9495</v>
      </c>
      <c r="E3840" s="2" t="s">
        <v>17663</v>
      </c>
      <c r="F3840" s="2" t="s">
        <v>17664</v>
      </c>
      <c r="G3840" s="2" t="str">
        <f>"SR-5191"</f>
        <v>SR-5191</v>
      </c>
      <c r="H3840" s="2" t="s">
        <v>17665</v>
      </c>
      <c r="I3840" s="2" t="s">
        <v>17666</v>
      </c>
      <c r="K3840" s="2" t="s">
        <v>1336</v>
      </c>
      <c r="L3840" s="2" t="s">
        <v>70</v>
      </c>
      <c r="M3840" s="2">
        <v>99611.0</v>
      </c>
      <c r="N3840" s="2" t="s">
        <v>21</v>
      </c>
    </row>
    <row r="3841" ht="15.75" customHeight="1">
      <c r="A3841" s="2">
        <v>2015.0</v>
      </c>
      <c r="B3841" s="2" t="s">
        <v>17667</v>
      </c>
      <c r="C3841" s="2" t="s">
        <v>17667</v>
      </c>
      <c r="D3841" s="2" t="str">
        <f>"7658945156"</f>
        <v>7658945156</v>
      </c>
      <c r="E3841" s="2" t="s">
        <v>3191</v>
      </c>
      <c r="F3841" s="2" t="s">
        <v>17668</v>
      </c>
      <c r="G3841" s="2" t="str">
        <f>"SR-5213"</f>
        <v>SR-5213</v>
      </c>
      <c r="H3841" s="2" t="s">
        <v>17669</v>
      </c>
      <c r="I3841" s="2" t="s">
        <v>17670</v>
      </c>
      <c r="K3841" s="2" t="s">
        <v>2098</v>
      </c>
      <c r="L3841" s="2" t="s">
        <v>157</v>
      </c>
      <c r="M3841" s="2">
        <v>80841.0</v>
      </c>
      <c r="N3841" s="2" t="s">
        <v>21</v>
      </c>
    </row>
    <row r="3842" ht="15.75" customHeight="1">
      <c r="A3842" s="2">
        <v>2015.0</v>
      </c>
      <c r="B3842" s="2" t="s">
        <v>17671</v>
      </c>
      <c r="C3842" s="2" t="s">
        <v>17672</v>
      </c>
      <c r="D3842" s="2" t="str">
        <f>"813 963 2092"</f>
        <v>813 963 2092</v>
      </c>
      <c r="E3842" s="2" t="s">
        <v>6922</v>
      </c>
      <c r="F3842" s="2" t="s">
        <v>17673</v>
      </c>
      <c r="G3842" s="2" t="str">
        <f>"SR-5454"</f>
        <v>SR-5454</v>
      </c>
      <c r="H3842" s="2" t="s">
        <v>17674</v>
      </c>
      <c r="I3842" s="2" t="s">
        <v>17675</v>
      </c>
      <c r="K3842" s="2" t="s">
        <v>3431</v>
      </c>
      <c r="L3842" s="2" t="s">
        <v>208</v>
      </c>
      <c r="M3842" s="2">
        <v>33606.0</v>
      </c>
      <c r="N3842" s="2" t="s">
        <v>21</v>
      </c>
    </row>
    <row r="3843" ht="15.75" customHeight="1">
      <c r="A3843" s="2">
        <v>2015.0</v>
      </c>
      <c r="B3843" s="2" t="s">
        <v>17676</v>
      </c>
      <c r="C3843" s="2" t="s">
        <v>17676</v>
      </c>
      <c r="D3843" s="2" t="str">
        <f>"704 989 5746"</f>
        <v>704 989 5746</v>
      </c>
      <c r="E3843" s="2" t="s">
        <v>580</v>
      </c>
      <c r="F3843" s="2" t="s">
        <v>17677</v>
      </c>
      <c r="G3843" s="2" t="str">
        <f>"SR-5392"</f>
        <v>SR-5392</v>
      </c>
      <c r="H3843" s="2" t="s">
        <v>17678</v>
      </c>
      <c r="I3843" s="2" t="s">
        <v>17679</v>
      </c>
      <c r="K3843" s="2" t="s">
        <v>17680</v>
      </c>
      <c r="L3843" s="2" t="s">
        <v>20</v>
      </c>
      <c r="M3843" s="2">
        <v>28104.0</v>
      </c>
      <c r="N3843" s="2" t="s">
        <v>21</v>
      </c>
    </row>
    <row r="3844" ht="15.75" customHeight="1">
      <c r="A3844" s="2">
        <v>2015.0</v>
      </c>
      <c r="B3844" s="2" t="s">
        <v>17681</v>
      </c>
      <c r="C3844" s="2" t="s">
        <v>17682</v>
      </c>
      <c r="D3844" s="2" t="str">
        <f>"319-240-0516"</f>
        <v>319-240-0516</v>
      </c>
      <c r="E3844" s="2" t="s">
        <v>1263</v>
      </c>
      <c r="F3844" s="2" t="s">
        <v>17683</v>
      </c>
      <c r="G3844" s="2" t="str">
        <f>"SR-4867"</f>
        <v>SR-4867</v>
      </c>
      <c r="H3844" s="2" t="s">
        <v>17684</v>
      </c>
      <c r="I3844" s="2" t="s">
        <v>17685</v>
      </c>
      <c r="K3844" s="2" t="s">
        <v>2527</v>
      </c>
      <c r="L3844" s="2" t="s">
        <v>560</v>
      </c>
      <c r="M3844" s="2">
        <v>50622.0</v>
      </c>
      <c r="N3844" s="2" t="s">
        <v>21</v>
      </c>
    </row>
    <row r="3845" ht="15.75" customHeight="1">
      <c r="A3845" s="2">
        <v>2015.0</v>
      </c>
      <c r="B3845" s="2" t="s">
        <v>10049</v>
      </c>
      <c r="C3845" s="2" t="s">
        <v>17686</v>
      </c>
      <c r="D3845" s="2" t="str">
        <f>"8047671584"</f>
        <v>8047671584</v>
      </c>
      <c r="E3845" s="2" t="s">
        <v>1015</v>
      </c>
      <c r="F3845" s="2" t="s">
        <v>17687</v>
      </c>
      <c r="G3845" s="2" t="str">
        <f>"SR-5382"</f>
        <v>SR-5382</v>
      </c>
      <c r="H3845" s="2" t="s">
        <v>17688</v>
      </c>
      <c r="I3845" s="2" t="s">
        <v>17689</v>
      </c>
      <c r="K3845" s="2" t="s">
        <v>4216</v>
      </c>
      <c r="L3845" s="2" t="s">
        <v>165</v>
      </c>
      <c r="M3845" s="2">
        <v>23229.0</v>
      </c>
      <c r="N3845" s="2" t="s">
        <v>21</v>
      </c>
    </row>
    <row r="3846" ht="15.75" customHeight="1">
      <c r="A3846" s="2">
        <v>2015.0</v>
      </c>
      <c r="B3846" s="2" t="s">
        <v>17690</v>
      </c>
      <c r="C3846" s="2" t="s">
        <v>17690</v>
      </c>
      <c r="D3846" s="2" t="str">
        <f>"707-470-9527"</f>
        <v>707-470-9527</v>
      </c>
      <c r="E3846" s="2" t="s">
        <v>301</v>
      </c>
      <c r="F3846" s="2" t="s">
        <v>3820</v>
      </c>
      <c r="G3846" s="2" t="str">
        <f>"SR-5459"</f>
        <v>SR-5459</v>
      </c>
      <c r="H3846" s="2" t="s">
        <v>17691</v>
      </c>
      <c r="I3846" s="2" t="s">
        <v>17692</v>
      </c>
      <c r="K3846" s="2" t="s">
        <v>3823</v>
      </c>
      <c r="L3846" s="2" t="s">
        <v>222</v>
      </c>
      <c r="M3846" s="2">
        <v>94534.0</v>
      </c>
      <c r="N3846" s="2" t="s">
        <v>21</v>
      </c>
    </row>
    <row r="3847" ht="15.75" customHeight="1">
      <c r="A3847" s="2">
        <v>2015.0</v>
      </c>
      <c r="B3847" s="2" t="s">
        <v>11464</v>
      </c>
      <c r="C3847" s="2" t="s">
        <v>17693</v>
      </c>
      <c r="D3847" s="2" t="str">
        <f>"406-254-2577"</f>
        <v>406-254-2577</v>
      </c>
      <c r="E3847" s="2" t="s">
        <v>50</v>
      </c>
      <c r="F3847" s="2" t="s">
        <v>11466</v>
      </c>
      <c r="G3847" s="2" t="str">
        <f>"SR-5432"</f>
        <v>SR-5432</v>
      </c>
      <c r="H3847" s="2" t="s">
        <v>17694</v>
      </c>
      <c r="I3847" s="2" t="s">
        <v>17695</v>
      </c>
      <c r="K3847" s="2" t="s">
        <v>3548</v>
      </c>
      <c r="L3847" s="2" t="s">
        <v>2696</v>
      </c>
      <c r="M3847" s="2">
        <v>59105.0</v>
      </c>
      <c r="N3847" s="2" t="s">
        <v>21</v>
      </c>
    </row>
    <row r="3848" ht="15.75" customHeight="1">
      <c r="A3848" s="2">
        <v>2015.0</v>
      </c>
      <c r="B3848" s="2" t="s">
        <v>17696</v>
      </c>
      <c r="C3848" s="2" t="s">
        <v>17697</v>
      </c>
      <c r="D3848" s="2" t="str">
        <f>"4172937637"</f>
        <v>4172937637</v>
      </c>
      <c r="E3848" s="2" t="s">
        <v>922</v>
      </c>
      <c r="F3848" s="2" t="s">
        <v>639</v>
      </c>
      <c r="G3848" s="2" t="str">
        <f>"SR-5464"</f>
        <v>SR-5464</v>
      </c>
      <c r="H3848" s="2" t="s">
        <v>17698</v>
      </c>
      <c r="I3848" s="2" t="s">
        <v>17699</v>
      </c>
      <c r="K3848" s="2" t="s">
        <v>229</v>
      </c>
      <c r="L3848" s="2" t="s">
        <v>214</v>
      </c>
      <c r="M3848" s="2">
        <v>65775.0</v>
      </c>
      <c r="N3848" s="2" t="s">
        <v>21</v>
      </c>
    </row>
    <row r="3849" ht="15.75" customHeight="1">
      <c r="A3849" s="2">
        <v>2015.0</v>
      </c>
      <c r="B3849" s="2" t="s">
        <v>17700</v>
      </c>
      <c r="C3849" s="2" t="s">
        <v>17701</v>
      </c>
      <c r="D3849" s="2" t="str">
        <f>"720-922-8218"</f>
        <v>720-922-8218</v>
      </c>
      <c r="E3849" s="2" t="s">
        <v>1001</v>
      </c>
      <c r="F3849" s="2" t="s">
        <v>17702</v>
      </c>
      <c r="G3849" s="2" t="str">
        <f>"SR-5399"</f>
        <v>SR-5399</v>
      </c>
      <c r="H3849" s="2" t="s">
        <v>17703</v>
      </c>
      <c r="I3849" s="2" t="s">
        <v>17704</v>
      </c>
      <c r="K3849" s="2" t="s">
        <v>1889</v>
      </c>
      <c r="L3849" s="2" t="s">
        <v>157</v>
      </c>
      <c r="M3849" s="2">
        <v>80128.0</v>
      </c>
      <c r="N3849" s="2" t="s">
        <v>21</v>
      </c>
    </row>
    <row r="3850" ht="15.75" customHeight="1">
      <c r="A3850" s="2">
        <v>2015.0</v>
      </c>
      <c r="B3850" s="2" t="s">
        <v>17705</v>
      </c>
      <c r="C3850" s="2" t="s">
        <v>17705</v>
      </c>
      <c r="D3850" s="2" t="str">
        <f>"719-354-1857"</f>
        <v>719-354-1857</v>
      </c>
      <c r="E3850" s="2" t="s">
        <v>1251</v>
      </c>
      <c r="F3850" s="2" t="s">
        <v>12320</v>
      </c>
      <c r="G3850" s="2" t="str">
        <f>"SR-5468"</f>
        <v>SR-5468</v>
      </c>
      <c r="H3850" s="2" t="s">
        <v>17706</v>
      </c>
      <c r="I3850" s="2" t="s">
        <v>17707</v>
      </c>
      <c r="K3850" s="2" t="s">
        <v>809</v>
      </c>
      <c r="L3850" s="2" t="s">
        <v>157</v>
      </c>
      <c r="M3850" s="2">
        <v>80921.0</v>
      </c>
      <c r="N3850" s="2" t="s">
        <v>21</v>
      </c>
    </row>
    <row r="3851" ht="15.75" customHeight="1">
      <c r="A3851" s="2">
        <v>2015.0</v>
      </c>
      <c r="B3851" s="2" t="s">
        <v>17708</v>
      </c>
      <c r="C3851" s="2" t="s">
        <v>17709</v>
      </c>
      <c r="D3851" s="2" t="str">
        <f>"803-608-6365"</f>
        <v>803-608-6365</v>
      </c>
      <c r="E3851" s="2" t="s">
        <v>17710</v>
      </c>
      <c r="F3851" s="2" t="s">
        <v>2636</v>
      </c>
      <c r="G3851" s="2" t="str">
        <f>"SR-5198"</f>
        <v>SR-5198</v>
      </c>
      <c r="H3851" s="2" t="s">
        <v>17711</v>
      </c>
      <c r="I3851" s="2" t="s">
        <v>2638</v>
      </c>
      <c r="K3851" s="2" t="s">
        <v>254</v>
      </c>
      <c r="L3851" s="2" t="s">
        <v>55</v>
      </c>
      <c r="M3851" s="2">
        <v>29072.0</v>
      </c>
      <c r="N3851" s="2" t="s">
        <v>21</v>
      </c>
    </row>
    <row r="3852" ht="15.75" customHeight="1">
      <c r="A3852" s="2">
        <v>2015.0</v>
      </c>
      <c r="B3852" s="2" t="s">
        <v>17712</v>
      </c>
      <c r="C3852" s="2" t="s">
        <v>17712</v>
      </c>
      <c r="D3852" s="2" t="str">
        <f>"803-645-3417"</f>
        <v>803-645-3417</v>
      </c>
      <c r="E3852" s="2" t="s">
        <v>7864</v>
      </c>
      <c r="F3852" s="2" t="s">
        <v>17713</v>
      </c>
      <c r="G3852" s="2" t="str">
        <f>"SR-5470"</f>
        <v>SR-5470</v>
      </c>
      <c r="H3852" s="2" t="s">
        <v>17714</v>
      </c>
      <c r="I3852" s="2" t="s">
        <v>17715</v>
      </c>
      <c r="K3852" s="2" t="s">
        <v>1878</v>
      </c>
      <c r="L3852" s="2" t="s">
        <v>55</v>
      </c>
      <c r="M3852" s="2">
        <v>29681.0</v>
      </c>
      <c r="N3852" s="2" t="s">
        <v>21</v>
      </c>
    </row>
    <row r="3853" ht="15.75" customHeight="1">
      <c r="A3853" s="2">
        <v>2015.0</v>
      </c>
      <c r="B3853" s="2" t="s">
        <v>2348</v>
      </c>
      <c r="C3853" s="2" t="s">
        <v>2349</v>
      </c>
      <c r="D3853" s="2" t="str">
        <f>"2318939299"</f>
        <v>2318939299</v>
      </c>
      <c r="E3853" s="2" t="s">
        <v>203</v>
      </c>
      <c r="F3853" s="2" t="s">
        <v>2350</v>
      </c>
      <c r="G3853" s="2" t="str">
        <f>"SR-817"</f>
        <v>SR-817</v>
      </c>
      <c r="H3853" s="2" t="s">
        <v>2351</v>
      </c>
      <c r="I3853" s="2" t="s">
        <v>2352</v>
      </c>
      <c r="K3853" s="2" t="s">
        <v>2342</v>
      </c>
      <c r="L3853" s="2" t="s">
        <v>29</v>
      </c>
      <c r="M3853" s="2">
        <v>49437.0</v>
      </c>
      <c r="N3853" s="2" t="s">
        <v>21</v>
      </c>
    </row>
    <row r="3854" ht="15.75" customHeight="1">
      <c r="A3854" s="2">
        <v>2015.0</v>
      </c>
      <c r="B3854" s="2" t="s">
        <v>17716</v>
      </c>
      <c r="C3854" s="2" t="s">
        <v>17717</v>
      </c>
      <c r="D3854" s="2" t="str">
        <f>"7194782007"</f>
        <v>7194782007</v>
      </c>
      <c r="E3854" s="2" t="s">
        <v>955</v>
      </c>
      <c r="F3854" s="2" t="s">
        <v>984</v>
      </c>
      <c r="G3854" s="2" t="str">
        <f>"SR-5472"</f>
        <v>SR-5472</v>
      </c>
      <c r="H3854" s="2" t="s">
        <v>17718</v>
      </c>
      <c r="I3854" s="2" t="s">
        <v>17719</v>
      </c>
      <c r="K3854" s="2" t="s">
        <v>4164</v>
      </c>
      <c r="L3854" s="2" t="s">
        <v>157</v>
      </c>
      <c r="M3854" s="2">
        <v>80833.0</v>
      </c>
      <c r="N3854" s="2" t="s">
        <v>21</v>
      </c>
    </row>
    <row r="3855" ht="15.75" customHeight="1">
      <c r="A3855" s="2">
        <v>2015.0</v>
      </c>
      <c r="B3855" s="2" t="s">
        <v>17720</v>
      </c>
      <c r="C3855" s="2" t="s">
        <v>17720</v>
      </c>
      <c r="D3855" s="2" t="str">
        <f>"859-361-5506"</f>
        <v>859-361-5506</v>
      </c>
      <c r="E3855" s="2" t="s">
        <v>385</v>
      </c>
      <c r="F3855" s="2" t="s">
        <v>17721</v>
      </c>
      <c r="G3855" s="2" t="str">
        <f>"SR-5317"</f>
        <v>SR-5317</v>
      </c>
      <c r="H3855" s="2" t="s">
        <v>17722</v>
      </c>
      <c r="I3855" s="2" t="s">
        <v>17723</v>
      </c>
      <c r="K3855" s="2" t="s">
        <v>254</v>
      </c>
      <c r="L3855" s="2" t="s">
        <v>1236</v>
      </c>
      <c r="M3855" s="2">
        <v>40515.0</v>
      </c>
      <c r="N3855" s="2" t="s">
        <v>21</v>
      </c>
    </row>
    <row r="3856" ht="15.75" customHeight="1">
      <c r="A3856" s="2">
        <v>2015.0</v>
      </c>
      <c r="B3856" s="2" t="s">
        <v>8867</v>
      </c>
      <c r="C3856" s="2" t="s">
        <v>8867</v>
      </c>
      <c r="D3856" s="2" t="str">
        <f>"8067787933"</f>
        <v>8067787933</v>
      </c>
      <c r="E3856" s="2" t="s">
        <v>1164</v>
      </c>
      <c r="F3856" s="2" t="s">
        <v>8868</v>
      </c>
      <c r="G3856" s="2" t="str">
        <f>"SR-2601"</f>
        <v>SR-2601</v>
      </c>
      <c r="H3856" s="2" t="s">
        <v>8869</v>
      </c>
      <c r="I3856" s="2" t="s">
        <v>8870</v>
      </c>
      <c r="K3856" s="2" t="s">
        <v>1121</v>
      </c>
      <c r="L3856" s="2" t="s">
        <v>172</v>
      </c>
      <c r="M3856" s="2">
        <v>79407.0</v>
      </c>
      <c r="N3856" s="2" t="s">
        <v>21</v>
      </c>
    </row>
    <row r="3857" ht="15.75" customHeight="1">
      <c r="A3857" s="2">
        <v>2015.0</v>
      </c>
      <c r="B3857" s="2" t="s">
        <v>17724</v>
      </c>
      <c r="C3857" s="2" t="s">
        <v>17724</v>
      </c>
      <c r="D3857" s="2" t="str">
        <f>"501-230-5356"</f>
        <v>501-230-5356</v>
      </c>
      <c r="E3857" s="2" t="s">
        <v>651</v>
      </c>
      <c r="F3857" s="2" t="s">
        <v>2256</v>
      </c>
      <c r="G3857" s="2" t="str">
        <f>"SR-5475"</f>
        <v>SR-5475</v>
      </c>
      <c r="H3857" s="2" t="s">
        <v>17725</v>
      </c>
      <c r="I3857" s="2" t="s">
        <v>17726</v>
      </c>
      <c r="K3857" s="2" t="s">
        <v>17727</v>
      </c>
      <c r="L3857" s="2" t="s">
        <v>1012</v>
      </c>
      <c r="M3857" s="2">
        <v>72143.0</v>
      </c>
      <c r="N3857" s="2" t="s">
        <v>21</v>
      </c>
    </row>
    <row r="3858" ht="15.75" customHeight="1">
      <c r="A3858" s="2">
        <v>2015.0</v>
      </c>
      <c r="B3858" s="2" t="s">
        <v>17728</v>
      </c>
      <c r="C3858" s="2" t="s">
        <v>17728</v>
      </c>
      <c r="D3858" s="2" t="str">
        <f>"7202440558"</f>
        <v>7202440558</v>
      </c>
      <c r="E3858" s="2" t="s">
        <v>696</v>
      </c>
      <c r="F3858" s="2" t="s">
        <v>199</v>
      </c>
      <c r="G3858" s="2" t="str">
        <f>"SR-5466"</f>
        <v>SR-5466</v>
      </c>
      <c r="H3858" s="2" t="s">
        <v>17729</v>
      </c>
      <c r="I3858" s="2" t="s">
        <v>17730</v>
      </c>
      <c r="K3858" s="2" t="s">
        <v>185</v>
      </c>
      <c r="L3858" s="2" t="s">
        <v>157</v>
      </c>
      <c r="M3858" s="2">
        <v>80111.0</v>
      </c>
      <c r="N3858" s="2" t="s">
        <v>21</v>
      </c>
    </row>
    <row r="3859" ht="15.75" customHeight="1">
      <c r="A3859" s="2">
        <v>2015.0</v>
      </c>
      <c r="B3859" s="2" t="s">
        <v>17731</v>
      </c>
      <c r="C3859" s="2" t="s">
        <v>17731</v>
      </c>
      <c r="D3859" s="2" t="str">
        <f>"720-529-8190"</f>
        <v>720-529-8190</v>
      </c>
      <c r="E3859" s="2" t="s">
        <v>752</v>
      </c>
      <c r="F3859" s="2" t="s">
        <v>199</v>
      </c>
      <c r="G3859" s="2" t="str">
        <f>"SR-5476"</f>
        <v>SR-5476</v>
      </c>
      <c r="H3859" s="2" t="s">
        <v>17732</v>
      </c>
      <c r="I3859" s="2">
        <v>10663.0</v>
      </c>
      <c r="K3859" s="2" t="s">
        <v>185</v>
      </c>
      <c r="L3859" s="2" t="s">
        <v>157</v>
      </c>
      <c r="M3859" s="2">
        <v>80111.0</v>
      </c>
      <c r="N3859" s="2" t="s">
        <v>21</v>
      </c>
    </row>
    <row r="3860" ht="15.75" customHeight="1">
      <c r="A3860" s="2">
        <v>2015.0</v>
      </c>
      <c r="B3860" s="2" t="s">
        <v>17733</v>
      </c>
      <c r="C3860" s="2" t="s">
        <v>17733</v>
      </c>
      <c r="D3860" s="2" t="str">
        <f>"9313889608"</f>
        <v>9313889608</v>
      </c>
      <c r="E3860" s="2" t="s">
        <v>50</v>
      </c>
      <c r="F3860" s="2" t="s">
        <v>1095</v>
      </c>
      <c r="G3860" s="2" t="str">
        <f>"SR-5478"</f>
        <v>SR-5478</v>
      </c>
      <c r="H3860" s="2" t="s">
        <v>17734</v>
      </c>
      <c r="I3860" s="2" t="s">
        <v>17735</v>
      </c>
      <c r="K3860" s="2" t="s">
        <v>2750</v>
      </c>
      <c r="L3860" s="2" t="s">
        <v>279</v>
      </c>
      <c r="M3860" s="2">
        <v>38401.0</v>
      </c>
      <c r="N3860" s="2" t="s">
        <v>21</v>
      </c>
    </row>
    <row r="3861" ht="15.75" customHeight="1">
      <c r="A3861" s="2">
        <v>2015.0</v>
      </c>
      <c r="B3861" s="2" t="s">
        <v>17736</v>
      </c>
      <c r="C3861" s="2" t="s">
        <v>17737</v>
      </c>
      <c r="D3861" s="2" t="str">
        <f>"303-688-8920"</f>
        <v>303-688-8920</v>
      </c>
      <c r="E3861" s="2" t="s">
        <v>1114</v>
      </c>
      <c r="F3861" s="2" t="s">
        <v>17738</v>
      </c>
      <c r="G3861" s="2" t="str">
        <f>"SR-5474"</f>
        <v>SR-5474</v>
      </c>
      <c r="H3861" s="2" t="s">
        <v>17739</v>
      </c>
      <c r="I3861" s="2" t="s">
        <v>17740</v>
      </c>
      <c r="K3861" s="2" t="s">
        <v>1398</v>
      </c>
      <c r="L3861" s="2" t="s">
        <v>157</v>
      </c>
      <c r="M3861" s="2">
        <v>80104.0</v>
      </c>
      <c r="N3861" s="2" t="s">
        <v>21</v>
      </c>
    </row>
    <row r="3862" ht="15.75" customHeight="1">
      <c r="A3862" s="2">
        <v>2015.0</v>
      </c>
      <c r="B3862" s="2" t="s">
        <v>17741</v>
      </c>
      <c r="C3862" s="2" t="s">
        <v>17742</v>
      </c>
      <c r="D3862" s="2" t="str">
        <f>"4405642207"</f>
        <v>4405642207</v>
      </c>
      <c r="E3862" s="2" t="s">
        <v>1088</v>
      </c>
      <c r="F3862" s="2" t="s">
        <v>17743</v>
      </c>
      <c r="G3862" s="2" t="str">
        <f>"SR-4935"</f>
        <v>SR-4935</v>
      </c>
      <c r="H3862" s="2" t="s">
        <v>17744</v>
      </c>
      <c r="I3862" s="2" t="s">
        <v>17745</v>
      </c>
      <c r="K3862" s="2" t="s">
        <v>17746</v>
      </c>
      <c r="L3862" s="2" t="s">
        <v>344</v>
      </c>
      <c r="M3862" s="2">
        <v>44065.0</v>
      </c>
      <c r="N3862" s="2" t="s">
        <v>21</v>
      </c>
    </row>
    <row r="3863" ht="15.75" customHeight="1">
      <c r="A3863" s="2">
        <v>2015.0</v>
      </c>
      <c r="B3863" s="2" t="s">
        <v>17747</v>
      </c>
      <c r="D3863" s="2" t="str">
        <f>""</f>
        <v/>
      </c>
      <c r="E3863" s="2" t="s">
        <v>3196</v>
      </c>
      <c r="F3863" s="2" t="s">
        <v>3028</v>
      </c>
      <c r="G3863" s="2" t="str">
        <f>"SR-5424"</f>
        <v>SR-5424</v>
      </c>
      <c r="H3863" s="2" t="s">
        <v>17748</v>
      </c>
    </row>
    <row r="3864" ht="15.75" customHeight="1">
      <c r="A3864" s="2">
        <v>2015.0</v>
      </c>
      <c r="B3864" s="2" t="s">
        <v>17747</v>
      </c>
      <c r="C3864" s="2" t="s">
        <v>17749</v>
      </c>
      <c r="D3864" s="2" t="str">
        <f>"601-831-7041"</f>
        <v>601-831-7041</v>
      </c>
      <c r="E3864" s="2" t="s">
        <v>528</v>
      </c>
      <c r="F3864" s="2" t="s">
        <v>17750</v>
      </c>
      <c r="G3864" s="2" t="str">
        <f>"SR-5425"</f>
        <v>SR-5425</v>
      </c>
      <c r="H3864" s="2" t="s">
        <v>17751</v>
      </c>
      <c r="I3864" s="2" t="s">
        <v>17752</v>
      </c>
      <c r="K3864" s="2" t="s">
        <v>17753</v>
      </c>
      <c r="L3864" s="2" t="s">
        <v>1722</v>
      </c>
      <c r="M3864" s="2">
        <v>39183.0</v>
      </c>
      <c r="N3864" s="2" t="s">
        <v>21</v>
      </c>
    </row>
    <row r="3865" ht="15.75" customHeight="1">
      <c r="A3865" s="2">
        <v>2015.0</v>
      </c>
      <c r="B3865" s="2" t="s">
        <v>3738</v>
      </c>
      <c r="C3865" s="2" t="s">
        <v>17754</v>
      </c>
      <c r="D3865" s="2" t="str">
        <f>"4056187494"</f>
        <v>4056187494</v>
      </c>
      <c r="E3865" s="2" t="s">
        <v>17755</v>
      </c>
      <c r="F3865" s="2" t="s">
        <v>1040</v>
      </c>
      <c r="G3865" s="2" t="str">
        <f>"SR-5170"</f>
        <v>SR-5170</v>
      </c>
      <c r="H3865" s="2" t="s">
        <v>17756</v>
      </c>
      <c r="I3865" s="2" t="s">
        <v>3741</v>
      </c>
      <c r="K3865" s="2" t="s">
        <v>2870</v>
      </c>
      <c r="L3865" s="2" t="s">
        <v>840</v>
      </c>
      <c r="M3865" s="2">
        <v>73072.0</v>
      </c>
      <c r="N3865" s="2" t="s">
        <v>21</v>
      </c>
    </row>
    <row r="3866" ht="15.75" customHeight="1">
      <c r="A3866" s="2">
        <v>2015.0</v>
      </c>
      <c r="B3866" s="2" t="s">
        <v>17757</v>
      </c>
      <c r="C3866" s="2" t="s">
        <v>17758</v>
      </c>
      <c r="D3866" s="2" t="str">
        <f>"719-532-0114"</f>
        <v>719-532-0114</v>
      </c>
      <c r="E3866" s="2" t="s">
        <v>9010</v>
      </c>
      <c r="F3866" s="2" t="s">
        <v>17759</v>
      </c>
      <c r="G3866" s="2" t="str">
        <f>"SR-5344"</f>
        <v>SR-5344</v>
      </c>
      <c r="H3866" s="2" t="s">
        <v>17760</v>
      </c>
      <c r="I3866" s="2" t="s">
        <v>17761</v>
      </c>
      <c r="K3866" s="2" t="s">
        <v>809</v>
      </c>
      <c r="L3866" s="2" t="s">
        <v>157</v>
      </c>
      <c r="M3866" s="2">
        <v>80918.0</v>
      </c>
      <c r="N3866" s="2" t="s">
        <v>21</v>
      </c>
    </row>
    <row r="3867" ht="15.75" customHeight="1">
      <c r="A3867" s="2">
        <v>2015.0</v>
      </c>
      <c r="B3867" s="2" t="s">
        <v>8168</v>
      </c>
      <c r="C3867" s="2" t="s">
        <v>17762</v>
      </c>
      <c r="D3867" s="2" t="str">
        <f>"651-724-8805"</f>
        <v>651-724-8805</v>
      </c>
      <c r="E3867" s="2" t="s">
        <v>167</v>
      </c>
      <c r="F3867" s="2" t="s">
        <v>8171</v>
      </c>
      <c r="G3867" s="2" t="str">
        <f>"SR-5030"</f>
        <v>SR-5030</v>
      </c>
      <c r="H3867" s="2" t="s">
        <v>17763</v>
      </c>
      <c r="I3867" s="2" t="s">
        <v>8173</v>
      </c>
      <c r="K3867" s="2" t="s">
        <v>856</v>
      </c>
      <c r="L3867" s="2" t="s">
        <v>62</v>
      </c>
      <c r="M3867" s="2">
        <v>55045.0</v>
      </c>
      <c r="N3867" s="2" t="s">
        <v>21</v>
      </c>
    </row>
    <row r="3868" ht="15.75" customHeight="1">
      <c r="A3868" s="2">
        <v>2015.0</v>
      </c>
      <c r="B3868" s="2" t="s">
        <v>17764</v>
      </c>
      <c r="C3868" s="2" t="s">
        <v>17764</v>
      </c>
      <c r="D3868" s="2" t="str">
        <f>"209-712-5510"</f>
        <v>209-712-5510</v>
      </c>
      <c r="E3868" s="2" t="s">
        <v>2988</v>
      </c>
      <c r="F3868" s="2" t="s">
        <v>17765</v>
      </c>
      <c r="G3868" s="2" t="str">
        <f>"SR-5028"</f>
        <v>SR-5028</v>
      </c>
      <c r="H3868" s="2" t="s">
        <v>17766</v>
      </c>
      <c r="I3868" s="2" t="s">
        <v>17767</v>
      </c>
      <c r="K3868" s="2" t="s">
        <v>17768</v>
      </c>
      <c r="L3868" s="2" t="s">
        <v>222</v>
      </c>
      <c r="M3868" s="2">
        <v>95240.0</v>
      </c>
      <c r="N3868" s="2" t="s">
        <v>21</v>
      </c>
    </row>
    <row r="3869" ht="15.75" customHeight="1">
      <c r="A3869" s="2">
        <v>2015.0</v>
      </c>
      <c r="B3869" s="2" t="s">
        <v>17769</v>
      </c>
      <c r="C3869" s="2" t="s">
        <v>17769</v>
      </c>
      <c r="D3869" s="2" t="str">
        <f>"(435) 881-7591"</f>
        <v>(435) 881-7591</v>
      </c>
      <c r="E3869" s="2" t="s">
        <v>3499</v>
      </c>
      <c r="F3869" s="2" t="s">
        <v>72</v>
      </c>
      <c r="G3869" s="2" t="str">
        <f>"SR-5463"</f>
        <v>SR-5463</v>
      </c>
      <c r="H3869" s="2" t="s">
        <v>17770</v>
      </c>
      <c r="I3869" s="2" t="s">
        <v>761</v>
      </c>
      <c r="K3869" s="2" t="s">
        <v>17771</v>
      </c>
      <c r="L3869" s="2" t="s">
        <v>763</v>
      </c>
      <c r="M3869" s="2">
        <v>84341.0</v>
      </c>
      <c r="N3869" s="2" t="s">
        <v>21</v>
      </c>
    </row>
    <row r="3870" ht="15.75" customHeight="1">
      <c r="A3870" s="2">
        <v>2015.0</v>
      </c>
      <c r="B3870" s="2" t="s">
        <v>17772</v>
      </c>
      <c r="C3870" s="2" t="s">
        <v>17772</v>
      </c>
      <c r="D3870" s="2" t="str">
        <f>"7166800103"</f>
        <v>7166800103</v>
      </c>
      <c r="E3870" s="2" t="s">
        <v>77</v>
      </c>
      <c r="F3870" s="2" t="s">
        <v>78</v>
      </c>
      <c r="G3870" s="2" t="str">
        <f>"SR-5075"</f>
        <v>SR-5075</v>
      </c>
      <c r="H3870" s="2" t="s">
        <v>79</v>
      </c>
      <c r="I3870" s="2" t="s">
        <v>17773</v>
      </c>
      <c r="K3870" s="2" t="s">
        <v>2828</v>
      </c>
      <c r="L3870" s="2" t="s">
        <v>142</v>
      </c>
      <c r="M3870" s="2">
        <v>14679.0</v>
      </c>
      <c r="N3870" s="2" t="s">
        <v>21</v>
      </c>
    </row>
    <row r="3871" ht="15.75" customHeight="1">
      <c r="A3871" s="2">
        <v>2015.0</v>
      </c>
      <c r="B3871" s="2" t="s">
        <v>17774</v>
      </c>
      <c r="C3871" s="2" t="s">
        <v>17775</v>
      </c>
      <c r="D3871" s="2" t="str">
        <f>"434-609-4909"</f>
        <v>434-609-4909</v>
      </c>
      <c r="E3871" s="2" t="s">
        <v>8649</v>
      </c>
      <c r="F3871" s="2" t="s">
        <v>850</v>
      </c>
      <c r="G3871" s="2" t="str">
        <f>"SR-5492"</f>
        <v>SR-5492</v>
      </c>
      <c r="H3871" s="2" t="s">
        <v>17776</v>
      </c>
      <c r="I3871" s="2" t="s">
        <v>17777</v>
      </c>
      <c r="K3871" s="2" t="s">
        <v>323</v>
      </c>
      <c r="L3871" s="2" t="s">
        <v>165</v>
      </c>
      <c r="M3871" s="2">
        <v>24551.0</v>
      </c>
      <c r="N3871" s="2" t="s">
        <v>21</v>
      </c>
    </row>
    <row r="3872" ht="15.75" customHeight="1">
      <c r="A3872" s="2">
        <v>2015.0</v>
      </c>
      <c r="B3872" s="2" t="s">
        <v>17778</v>
      </c>
      <c r="C3872" s="2" t="s">
        <v>17779</v>
      </c>
      <c r="D3872" s="2" t="str">
        <f>"4057427510"</f>
        <v>4057427510</v>
      </c>
      <c r="E3872" s="2" t="s">
        <v>4984</v>
      </c>
      <c r="F3872" s="2" t="s">
        <v>17780</v>
      </c>
      <c r="G3872" s="2" t="str">
        <f>"SR-4508"</f>
        <v>SR-4508</v>
      </c>
      <c r="H3872" s="2" t="s">
        <v>17781</v>
      </c>
      <c r="I3872" s="2" t="s">
        <v>17782</v>
      </c>
      <c r="K3872" s="2" t="s">
        <v>11711</v>
      </c>
      <c r="L3872" s="2" t="s">
        <v>840</v>
      </c>
      <c r="M3872" s="2">
        <v>74076.0</v>
      </c>
      <c r="N3872" s="2" t="s">
        <v>21</v>
      </c>
    </row>
    <row r="3873" ht="15.75" customHeight="1">
      <c r="A3873" s="2">
        <v>2015.0</v>
      </c>
      <c r="B3873" s="2" t="s">
        <v>17783</v>
      </c>
      <c r="C3873" s="2" t="s">
        <v>17784</v>
      </c>
      <c r="D3873" s="2" t="str">
        <f>"970-644-2242"</f>
        <v>970-644-2242</v>
      </c>
      <c r="E3873" s="2" t="s">
        <v>2126</v>
      </c>
      <c r="F3873" s="2" t="s">
        <v>17785</v>
      </c>
      <c r="G3873" s="2" t="str">
        <f>"SR-5289"</f>
        <v>SR-5289</v>
      </c>
      <c r="H3873" s="2" t="s">
        <v>17786</v>
      </c>
      <c r="I3873" s="2" t="s">
        <v>17787</v>
      </c>
      <c r="K3873" s="2" t="s">
        <v>17788</v>
      </c>
      <c r="L3873" s="2" t="s">
        <v>840</v>
      </c>
      <c r="M3873" s="2">
        <v>74441.0</v>
      </c>
      <c r="N3873" s="2" t="s">
        <v>21</v>
      </c>
    </row>
    <row r="3874" ht="15.75" customHeight="1">
      <c r="A3874" s="2">
        <v>2015.0</v>
      </c>
      <c r="B3874" s="2" t="s">
        <v>17789</v>
      </c>
      <c r="C3874" s="2" t="s">
        <v>17790</v>
      </c>
      <c r="D3874" s="2" t="str">
        <f>"7177012176"</f>
        <v>7177012176</v>
      </c>
      <c r="E3874" s="2" t="s">
        <v>17791</v>
      </c>
      <c r="F3874" s="2" t="s">
        <v>17792</v>
      </c>
      <c r="G3874" s="2" t="str">
        <f>"SR-4692"</f>
        <v>SR-4692</v>
      </c>
      <c r="H3874" s="2" t="s">
        <v>17793</v>
      </c>
      <c r="I3874" s="2" t="s">
        <v>17794</v>
      </c>
      <c r="K3874" s="2" t="s">
        <v>17795</v>
      </c>
      <c r="L3874" s="2" t="s">
        <v>179</v>
      </c>
      <c r="M3874" s="2">
        <v>17519.0</v>
      </c>
      <c r="N3874" s="2" t="s">
        <v>21</v>
      </c>
    </row>
    <row r="3875" ht="15.75" customHeight="1">
      <c r="A3875" s="2">
        <v>2015.0</v>
      </c>
      <c r="B3875" s="2" t="s">
        <v>17796</v>
      </c>
      <c r="C3875" s="2" t="s">
        <v>17797</v>
      </c>
      <c r="D3875" s="2" t="str">
        <f>"3208454979"</f>
        <v>3208454979</v>
      </c>
      <c r="E3875" s="2" t="s">
        <v>17798</v>
      </c>
      <c r="F3875" s="2" t="s">
        <v>2214</v>
      </c>
      <c r="G3875" s="2" t="str">
        <f>"SR-5484"</f>
        <v>SR-5484</v>
      </c>
      <c r="H3875" s="2" t="s">
        <v>17799</v>
      </c>
      <c r="I3875" s="2" t="s">
        <v>17800</v>
      </c>
      <c r="K3875" s="2" t="s">
        <v>7670</v>
      </c>
      <c r="L3875" s="2" t="s">
        <v>62</v>
      </c>
      <c r="M3875" s="2">
        <v>56307.0</v>
      </c>
      <c r="N3875" s="2" t="s">
        <v>21</v>
      </c>
    </row>
    <row r="3876" ht="15.75" customHeight="1">
      <c r="A3876" s="2">
        <v>2015.0</v>
      </c>
      <c r="B3876" s="2" t="s">
        <v>17801</v>
      </c>
      <c r="C3876" s="2" t="s">
        <v>17802</v>
      </c>
      <c r="D3876" s="2" t="str">
        <f>"517-575-0565"</f>
        <v>517-575-0565</v>
      </c>
      <c r="E3876" s="2" t="s">
        <v>1529</v>
      </c>
      <c r="F3876" s="2" t="s">
        <v>962</v>
      </c>
      <c r="G3876" s="2" t="str">
        <f>"SR-5490"</f>
        <v>SR-5490</v>
      </c>
      <c r="H3876" s="2" t="s">
        <v>17803</v>
      </c>
      <c r="I3876" s="2" t="s">
        <v>17804</v>
      </c>
      <c r="K3876" s="2" t="s">
        <v>17805</v>
      </c>
      <c r="L3876" s="2" t="s">
        <v>29</v>
      </c>
      <c r="M3876" s="2">
        <v>48840.0</v>
      </c>
      <c r="N3876" s="2" t="s">
        <v>21</v>
      </c>
    </row>
    <row r="3877" ht="15.75" customHeight="1">
      <c r="A3877" s="2">
        <v>2015.0</v>
      </c>
      <c r="B3877" s="2" t="s">
        <v>17796</v>
      </c>
      <c r="C3877" s="2" t="s">
        <v>17806</v>
      </c>
      <c r="D3877" s="2" t="str">
        <f>"320-845-4979"</f>
        <v>320-845-4979</v>
      </c>
      <c r="E3877" s="2" t="s">
        <v>14532</v>
      </c>
      <c r="F3877" s="2" t="s">
        <v>2214</v>
      </c>
      <c r="G3877" s="2" t="str">
        <f>"SR-5485"</f>
        <v>SR-5485</v>
      </c>
      <c r="H3877" s="2" t="s">
        <v>17807</v>
      </c>
      <c r="I3877" s="2" t="s">
        <v>17808</v>
      </c>
      <c r="K3877" s="2" t="s">
        <v>7670</v>
      </c>
      <c r="L3877" s="2" t="s">
        <v>62</v>
      </c>
      <c r="M3877" s="2">
        <v>5307.0</v>
      </c>
      <c r="N3877" s="2" t="s">
        <v>21</v>
      </c>
    </row>
    <row r="3878" ht="15.75" customHeight="1">
      <c r="A3878" s="2">
        <v>2015.0</v>
      </c>
      <c r="B3878" s="2" t="s">
        <v>17809</v>
      </c>
      <c r="C3878" s="2" t="s">
        <v>17810</v>
      </c>
      <c r="D3878" s="2" t="str">
        <f>"(434) 525-7542"</f>
        <v>(434) 525-7542</v>
      </c>
      <c r="E3878" s="2" t="s">
        <v>1548</v>
      </c>
      <c r="F3878" s="2" t="s">
        <v>386</v>
      </c>
      <c r="G3878" s="2" t="str">
        <f>"SR-5499"</f>
        <v>SR-5499</v>
      </c>
      <c r="H3878" s="2" t="s">
        <v>7239</v>
      </c>
      <c r="I3878" s="2" t="s">
        <v>17811</v>
      </c>
      <c r="K3878" s="2" t="s">
        <v>323</v>
      </c>
      <c r="L3878" s="2" t="s">
        <v>165</v>
      </c>
      <c r="M3878" s="2">
        <v>24551.0</v>
      </c>
      <c r="N3878" s="2" t="s">
        <v>21</v>
      </c>
    </row>
    <row r="3879" ht="15.75" customHeight="1">
      <c r="A3879" s="2">
        <v>2015.0</v>
      </c>
      <c r="B3879" s="2" t="s">
        <v>17812</v>
      </c>
      <c r="C3879" s="2" t="s">
        <v>17813</v>
      </c>
      <c r="D3879" s="2" t="str">
        <f>"440-371-0825"</f>
        <v>440-371-0825</v>
      </c>
      <c r="E3879" s="2" t="s">
        <v>2053</v>
      </c>
      <c r="F3879" s="2" t="s">
        <v>17814</v>
      </c>
      <c r="G3879" s="2" t="str">
        <f>"SR-5353"</f>
        <v>SR-5353</v>
      </c>
      <c r="H3879" s="2" t="s">
        <v>17815</v>
      </c>
      <c r="I3879" s="2" t="s">
        <v>17816</v>
      </c>
      <c r="K3879" s="2" t="s">
        <v>8413</v>
      </c>
      <c r="L3879" s="2" t="s">
        <v>344</v>
      </c>
      <c r="M3879" s="2">
        <v>44090.0</v>
      </c>
      <c r="N3879" s="2" t="s">
        <v>21</v>
      </c>
    </row>
    <row r="3880" ht="15.75" customHeight="1">
      <c r="A3880" s="2">
        <v>2015.0</v>
      </c>
      <c r="B3880" s="2" t="s">
        <v>17817</v>
      </c>
      <c r="C3880" s="2" t="s">
        <v>17818</v>
      </c>
      <c r="D3880" s="2" t="str">
        <f>"5753139725"</f>
        <v>5753139725</v>
      </c>
      <c r="E3880" s="2" t="s">
        <v>1094</v>
      </c>
      <c r="F3880" s="2" t="s">
        <v>3289</v>
      </c>
      <c r="G3880" s="2" t="str">
        <f>"SR-5097"</f>
        <v>SR-5097</v>
      </c>
      <c r="H3880" s="2" t="s">
        <v>17819</v>
      </c>
      <c r="I3880" s="2" t="s">
        <v>17820</v>
      </c>
      <c r="K3880" s="2" t="s">
        <v>3292</v>
      </c>
      <c r="L3880" s="2" t="s">
        <v>789</v>
      </c>
      <c r="M3880" s="2">
        <v>88026.0</v>
      </c>
      <c r="N3880" s="2" t="s">
        <v>21</v>
      </c>
    </row>
    <row r="3881" ht="15.75" customHeight="1">
      <c r="A3881" s="2">
        <v>2015.0</v>
      </c>
      <c r="B3881" s="2" t="s">
        <v>17821</v>
      </c>
      <c r="D3881" s="2" t="str">
        <f>""</f>
        <v/>
      </c>
      <c r="E3881" s="2" t="s">
        <v>748</v>
      </c>
      <c r="F3881" s="2" t="s">
        <v>17822</v>
      </c>
      <c r="G3881" s="2" t="str">
        <f>"SR-5500"</f>
        <v>SR-5500</v>
      </c>
      <c r="H3881" s="2" t="s">
        <v>17823</v>
      </c>
      <c r="N3881" s="2" t="s">
        <v>21</v>
      </c>
    </row>
    <row r="3882" ht="15.75" customHeight="1">
      <c r="A3882" s="2">
        <v>2015.0</v>
      </c>
      <c r="B3882" s="2" t="s">
        <v>17824</v>
      </c>
      <c r="C3882" s="2" t="s">
        <v>17825</v>
      </c>
      <c r="D3882" s="2" t="str">
        <f>"919-819-2632"</f>
        <v>919-819-2632</v>
      </c>
      <c r="E3882" s="2" t="s">
        <v>1263</v>
      </c>
      <c r="F3882" s="2" t="s">
        <v>4497</v>
      </c>
      <c r="G3882" s="2" t="str">
        <f>"SR-5503"</f>
        <v>SR-5503</v>
      </c>
      <c r="H3882" s="2" t="s">
        <v>17826</v>
      </c>
      <c r="I3882" s="2" t="s">
        <v>17827</v>
      </c>
      <c r="K3882" s="2" t="s">
        <v>14454</v>
      </c>
      <c r="L3882" s="2" t="s">
        <v>20</v>
      </c>
      <c r="M3882" s="2">
        <v>27502.0</v>
      </c>
      <c r="N3882" s="2" t="s">
        <v>21</v>
      </c>
    </row>
    <row r="3883" ht="15.75" customHeight="1">
      <c r="A3883" s="2">
        <v>2015.0</v>
      </c>
      <c r="B3883" s="2" t="s">
        <v>6091</v>
      </c>
      <c r="C3883" s="2" t="s">
        <v>17828</v>
      </c>
      <c r="D3883" s="2" t="str">
        <f>"919-362-1548"</f>
        <v>919-362-1548</v>
      </c>
      <c r="E3883" s="2" t="s">
        <v>1263</v>
      </c>
      <c r="F3883" s="2" t="s">
        <v>1151</v>
      </c>
      <c r="G3883" s="2" t="str">
        <f>"SR-5502"</f>
        <v>SR-5502</v>
      </c>
      <c r="H3883" s="2" t="s">
        <v>17829</v>
      </c>
      <c r="I3883" s="2" t="s">
        <v>6094</v>
      </c>
      <c r="K3883" s="2" t="s">
        <v>6095</v>
      </c>
      <c r="L3883" s="2" t="s">
        <v>20</v>
      </c>
      <c r="M3883" s="2">
        <v>27511.0</v>
      </c>
      <c r="N3883" s="2" t="s">
        <v>21</v>
      </c>
    </row>
    <row r="3884" ht="15.75" customHeight="1">
      <c r="A3884" s="2">
        <v>2015.0</v>
      </c>
      <c r="B3884" s="2" t="s">
        <v>17830</v>
      </c>
      <c r="C3884" s="2" t="s">
        <v>17830</v>
      </c>
      <c r="D3884" s="2" t="str">
        <f>"7026005259"</f>
        <v>7026005259</v>
      </c>
      <c r="E3884" s="2" t="s">
        <v>17831</v>
      </c>
      <c r="F3884" s="2" t="s">
        <v>17832</v>
      </c>
      <c r="G3884" s="2" t="str">
        <f>"SR-5473"</f>
        <v>SR-5473</v>
      </c>
      <c r="H3884" s="2" t="s">
        <v>17833</v>
      </c>
      <c r="I3884" s="2" t="s">
        <v>17834</v>
      </c>
      <c r="K3884" s="2" t="s">
        <v>17835</v>
      </c>
      <c r="L3884" s="2" t="s">
        <v>1419</v>
      </c>
      <c r="M3884" s="2">
        <v>89007.0</v>
      </c>
      <c r="N3884" s="2" t="s">
        <v>21</v>
      </c>
    </row>
    <row r="3885" ht="15.75" customHeight="1">
      <c r="A3885" s="2">
        <v>2015.0</v>
      </c>
      <c r="B3885" s="2" t="s">
        <v>17836</v>
      </c>
      <c r="C3885" s="2" t="s">
        <v>17836</v>
      </c>
      <c r="D3885" s="2" t="str">
        <f>"4324137557"</f>
        <v>4324137557</v>
      </c>
      <c r="E3885" s="2" t="s">
        <v>72</v>
      </c>
      <c r="F3885" s="2" t="s">
        <v>3342</v>
      </c>
      <c r="G3885" s="2" t="str">
        <f>"SR-5507"</f>
        <v>SR-5507</v>
      </c>
      <c r="H3885" s="2" t="s">
        <v>17837</v>
      </c>
      <c r="I3885" s="2" t="s">
        <v>17838</v>
      </c>
      <c r="K3885" s="2" t="s">
        <v>2674</v>
      </c>
      <c r="L3885" s="2" t="s">
        <v>172</v>
      </c>
      <c r="M3885" s="2">
        <v>79706.0</v>
      </c>
      <c r="N3885" s="2" t="s">
        <v>21</v>
      </c>
    </row>
    <row r="3886" ht="15.75" customHeight="1">
      <c r="A3886" s="2">
        <v>2015.0</v>
      </c>
      <c r="B3886" s="2" t="s">
        <v>17839</v>
      </c>
      <c r="C3886" s="2" t="s">
        <v>17839</v>
      </c>
      <c r="D3886" s="2" t="str">
        <f>"402-860-1345"</f>
        <v>402-860-1345</v>
      </c>
      <c r="E3886" s="2" t="s">
        <v>4097</v>
      </c>
      <c r="F3886" s="2" t="s">
        <v>8175</v>
      </c>
      <c r="G3886" s="2" t="str">
        <f>"SR-5505"</f>
        <v>SR-5505</v>
      </c>
      <c r="H3886" s="2" t="s">
        <v>17840</v>
      </c>
      <c r="I3886" s="2" t="s">
        <v>17841</v>
      </c>
      <c r="K3886" s="2" t="s">
        <v>17842</v>
      </c>
      <c r="L3886" s="2" t="s">
        <v>757</v>
      </c>
      <c r="M3886" s="2">
        <v>69341.0</v>
      </c>
      <c r="N3886" s="2" t="s">
        <v>21</v>
      </c>
    </row>
    <row r="3887" ht="15.75" customHeight="1">
      <c r="A3887" s="2">
        <v>2015.0</v>
      </c>
      <c r="B3887" s="2" t="s">
        <v>8245</v>
      </c>
      <c r="D3887" s="2" t="str">
        <f>""</f>
        <v/>
      </c>
      <c r="E3887" s="2" t="s">
        <v>3480</v>
      </c>
      <c r="F3887" s="2" t="s">
        <v>8247</v>
      </c>
      <c r="G3887" s="2" t="str">
        <f>"SR-5506"</f>
        <v>SR-5506</v>
      </c>
      <c r="H3887" s="2" t="s">
        <v>17843</v>
      </c>
      <c r="N3887" s="2" t="s">
        <v>21</v>
      </c>
    </row>
    <row r="3888" ht="15.75" customHeight="1">
      <c r="A3888" s="2">
        <v>2015.0</v>
      </c>
      <c r="B3888" s="2" t="s">
        <v>17844</v>
      </c>
      <c r="C3888" s="2" t="s">
        <v>17845</v>
      </c>
      <c r="D3888" s="2" t="str">
        <f>"858-231-2605"</f>
        <v>858-231-2605</v>
      </c>
      <c r="E3888" s="2" t="s">
        <v>8039</v>
      </c>
      <c r="F3888" s="2" t="s">
        <v>16541</v>
      </c>
      <c r="G3888" s="2" t="str">
        <f>"SR-5508"</f>
        <v>SR-5508</v>
      </c>
      <c r="H3888" s="2" t="s">
        <v>17846</v>
      </c>
      <c r="I3888" s="2" t="s">
        <v>17847</v>
      </c>
      <c r="K3888" s="2" t="s">
        <v>8250</v>
      </c>
      <c r="L3888" s="2" t="s">
        <v>222</v>
      </c>
      <c r="M3888" s="2">
        <v>92129.0</v>
      </c>
      <c r="N3888" s="2" t="s">
        <v>21</v>
      </c>
    </row>
    <row r="3889" ht="15.75" customHeight="1">
      <c r="A3889" s="2">
        <v>2015.0</v>
      </c>
      <c r="B3889" s="2" t="s">
        <v>17848</v>
      </c>
      <c r="C3889" s="2" t="s">
        <v>17849</v>
      </c>
      <c r="D3889" s="2" t="str">
        <f>"832-716-9489"</f>
        <v>832-716-9489</v>
      </c>
      <c r="E3889" s="2" t="s">
        <v>17850</v>
      </c>
      <c r="F3889" s="2" t="s">
        <v>17851</v>
      </c>
      <c r="G3889" s="2" t="str">
        <f>"SR-5404"</f>
        <v>SR-5404</v>
      </c>
      <c r="H3889" s="2" t="s">
        <v>17852</v>
      </c>
      <c r="I3889" s="2" t="s">
        <v>17853</v>
      </c>
      <c r="K3889" s="2" t="s">
        <v>14694</v>
      </c>
      <c r="L3889" s="2" t="s">
        <v>172</v>
      </c>
      <c r="M3889" s="2">
        <v>77365.0</v>
      </c>
      <c r="N3889" s="2" t="s">
        <v>21</v>
      </c>
    </row>
    <row r="3890" ht="15.75" customHeight="1">
      <c r="A3890" s="2">
        <v>2015.0</v>
      </c>
      <c r="B3890" s="2" t="s">
        <v>17854</v>
      </c>
      <c r="C3890" s="2" t="s">
        <v>17855</v>
      </c>
      <c r="D3890" s="2" t="str">
        <f>"3175016521"</f>
        <v>3175016521</v>
      </c>
      <c r="E3890" s="2" t="s">
        <v>1180</v>
      </c>
      <c r="F3890" s="2" t="s">
        <v>17856</v>
      </c>
      <c r="G3890" s="2" t="str">
        <f>"SR-5377"</f>
        <v>SR-5377</v>
      </c>
      <c r="H3890" s="2" t="s">
        <v>17857</v>
      </c>
      <c r="I3890" s="2" t="s">
        <v>17858</v>
      </c>
      <c r="K3890" s="2" t="s">
        <v>1178</v>
      </c>
      <c r="L3890" s="2" t="s">
        <v>149</v>
      </c>
      <c r="M3890" s="2">
        <v>47905.0</v>
      </c>
      <c r="N3890" s="2" t="s">
        <v>21</v>
      </c>
    </row>
    <row r="3891" ht="15.75" customHeight="1">
      <c r="A3891" s="2">
        <v>2015.0</v>
      </c>
      <c r="B3891" s="2" t="s">
        <v>17859</v>
      </c>
      <c r="C3891" s="2" t="s">
        <v>17859</v>
      </c>
      <c r="D3891" s="2" t="str">
        <f>"404-395-4140"</f>
        <v>404-395-4140</v>
      </c>
      <c r="E3891" s="2" t="s">
        <v>17860</v>
      </c>
      <c r="F3891" s="2" t="s">
        <v>17618</v>
      </c>
      <c r="G3891" s="2" t="str">
        <f>"SR-5445"</f>
        <v>SR-5445</v>
      </c>
      <c r="H3891" s="2" t="s">
        <v>17861</v>
      </c>
      <c r="I3891" s="2" t="s">
        <v>17862</v>
      </c>
      <c r="K3891" s="2" t="s">
        <v>17863</v>
      </c>
      <c r="L3891" s="2" t="s">
        <v>200</v>
      </c>
      <c r="M3891" s="2">
        <v>30075.0</v>
      </c>
      <c r="N3891" s="2" t="s">
        <v>21</v>
      </c>
    </row>
    <row r="3892" ht="15.75" customHeight="1">
      <c r="A3892" s="2">
        <v>2015.0</v>
      </c>
      <c r="B3892" s="2" t="s">
        <v>17864</v>
      </c>
      <c r="C3892" s="2" t="s">
        <v>17864</v>
      </c>
      <c r="D3892" s="2" t="str">
        <f>"1-641-866-6993"</f>
        <v>1-641-866-6993</v>
      </c>
      <c r="E3892" s="2" t="s">
        <v>17865</v>
      </c>
      <c r="F3892" s="2" t="s">
        <v>836</v>
      </c>
      <c r="G3892" s="2" t="str">
        <f>"SR-5406"</f>
        <v>SR-5406</v>
      </c>
      <c r="H3892" s="2" t="s">
        <v>17866</v>
      </c>
      <c r="I3892" s="2" t="s">
        <v>17867</v>
      </c>
      <c r="K3892" s="2" t="s">
        <v>17868</v>
      </c>
      <c r="L3892" s="2" t="s">
        <v>560</v>
      </c>
      <c r="M3892" s="2">
        <v>50452.0</v>
      </c>
      <c r="N3892" s="2" t="s">
        <v>21</v>
      </c>
    </row>
    <row r="3893" ht="15.75" customHeight="1">
      <c r="A3893" s="2">
        <v>2015.0</v>
      </c>
      <c r="B3893" s="2" t="s">
        <v>17869</v>
      </c>
      <c r="C3893" s="2" t="s">
        <v>17869</v>
      </c>
      <c r="D3893" s="2" t="str">
        <f>"(580)-231-1890"</f>
        <v>(580)-231-1890</v>
      </c>
      <c r="E3893" s="2" t="s">
        <v>4769</v>
      </c>
      <c r="F3893" s="2" t="s">
        <v>1151</v>
      </c>
      <c r="G3893" s="2" t="str">
        <f>"SR-4452"</f>
        <v>SR-4452</v>
      </c>
      <c r="H3893" s="2" t="s">
        <v>17870</v>
      </c>
      <c r="I3893" s="2" t="s">
        <v>17871</v>
      </c>
      <c r="K3893" s="2" t="s">
        <v>17872</v>
      </c>
      <c r="L3893" s="2" t="s">
        <v>840</v>
      </c>
      <c r="M3893" s="2">
        <v>73703.0</v>
      </c>
      <c r="N3893" s="2" t="s">
        <v>21</v>
      </c>
    </row>
    <row r="3894" ht="15.75" customHeight="1">
      <c r="A3894" s="2">
        <v>2015.0</v>
      </c>
      <c r="B3894" s="2" t="s">
        <v>17873</v>
      </c>
      <c r="C3894" s="2" t="s">
        <v>17874</v>
      </c>
      <c r="D3894" s="2" t="str">
        <f>"316-207-8595 dad"</f>
        <v>316-207-8595 dad</v>
      </c>
      <c r="E3894" s="2" t="s">
        <v>6526</v>
      </c>
      <c r="F3894" s="2" t="s">
        <v>10249</v>
      </c>
      <c r="G3894" s="2" t="str">
        <f>"SR-5513"</f>
        <v>SR-5513</v>
      </c>
      <c r="H3894" s="2" t="s">
        <v>17875</v>
      </c>
      <c r="I3894" s="2" t="s">
        <v>17876</v>
      </c>
      <c r="K3894" s="2" t="s">
        <v>606</v>
      </c>
      <c r="L3894" s="2" t="s">
        <v>272</v>
      </c>
      <c r="M3894" s="2">
        <v>67206.0</v>
      </c>
      <c r="N3894" s="2" t="s">
        <v>21</v>
      </c>
    </row>
    <row r="3895" ht="15.75" customHeight="1">
      <c r="A3895" s="2">
        <v>2015.0</v>
      </c>
      <c r="B3895" s="2" t="s">
        <v>17877</v>
      </c>
      <c r="C3895" s="2" t="s">
        <v>17878</v>
      </c>
      <c r="D3895" s="2" t="str">
        <f>"6159725711"</f>
        <v>6159725711</v>
      </c>
      <c r="E3895" s="2" t="s">
        <v>250</v>
      </c>
      <c r="F3895" s="2" t="s">
        <v>283</v>
      </c>
      <c r="G3895" s="2" t="str">
        <f>"SR-4923"</f>
        <v>SR-4923</v>
      </c>
      <c r="H3895" s="2" t="s">
        <v>17879</v>
      </c>
      <c r="I3895" s="2" t="s">
        <v>17880</v>
      </c>
      <c r="K3895" s="2" t="s">
        <v>278</v>
      </c>
      <c r="L3895" s="2" t="s">
        <v>279</v>
      </c>
      <c r="M3895" s="2">
        <v>37064.0</v>
      </c>
      <c r="N3895" s="2" t="s">
        <v>21</v>
      </c>
    </row>
    <row r="3896" ht="15.75" customHeight="1">
      <c r="A3896" s="2">
        <v>2015.0</v>
      </c>
      <c r="B3896" s="2" t="s">
        <v>3607</v>
      </c>
      <c r="C3896" s="2" t="s">
        <v>17881</v>
      </c>
      <c r="D3896" s="2" t="str">
        <f>"5418890797"</f>
        <v>5418890797</v>
      </c>
      <c r="E3896" s="2" t="s">
        <v>17882</v>
      </c>
      <c r="F3896" s="2" t="s">
        <v>128</v>
      </c>
      <c r="G3896" s="2" t="str">
        <f>"SR-5487"</f>
        <v>SR-5487</v>
      </c>
      <c r="H3896" s="2" t="s">
        <v>17883</v>
      </c>
      <c r="I3896" s="2" t="s">
        <v>17884</v>
      </c>
      <c r="K3896" s="2" t="s">
        <v>2015</v>
      </c>
      <c r="L3896" s="2" t="s">
        <v>2389</v>
      </c>
      <c r="M3896" s="2">
        <v>97914.0</v>
      </c>
      <c r="N3896" s="2" t="s">
        <v>21</v>
      </c>
    </row>
    <row r="3897" ht="15.75" customHeight="1">
      <c r="A3897" s="2">
        <v>2015.0</v>
      </c>
      <c r="B3897" s="2" t="s">
        <v>15886</v>
      </c>
      <c r="C3897" s="2" t="s">
        <v>17885</v>
      </c>
      <c r="D3897" s="2" t="str">
        <f>"81833852"</f>
        <v>81833852</v>
      </c>
      <c r="E3897" s="2" t="s">
        <v>584</v>
      </c>
      <c r="F3897" s="2" t="s">
        <v>14432</v>
      </c>
      <c r="G3897" s="2" t="str">
        <f>"SR-5444"</f>
        <v>SR-5444</v>
      </c>
      <c r="H3897" s="2" t="s">
        <v>17886</v>
      </c>
      <c r="I3897" s="2" t="s">
        <v>15891</v>
      </c>
      <c r="J3897" s="2" t="s">
        <v>15892</v>
      </c>
      <c r="K3897" s="2" t="s">
        <v>15893</v>
      </c>
      <c r="L3897" s="2" t="s">
        <v>15894</v>
      </c>
      <c r="M3897" s="2">
        <v>66240.0</v>
      </c>
      <c r="N3897" s="2" t="s">
        <v>7784</v>
      </c>
    </row>
    <row r="3898" ht="15.75" customHeight="1">
      <c r="A3898" s="2">
        <v>2015.0</v>
      </c>
      <c r="B3898" s="2" t="s">
        <v>17887</v>
      </c>
      <c r="C3898" s="2" t="s">
        <v>17888</v>
      </c>
      <c r="D3898" s="2" t="str">
        <f>"(562)656-8553"</f>
        <v>(562)656-8553</v>
      </c>
      <c r="E3898" s="2" t="s">
        <v>915</v>
      </c>
      <c r="F3898" s="2" t="s">
        <v>1301</v>
      </c>
      <c r="G3898" s="2" t="str">
        <f>"SR-5410"</f>
        <v>SR-5410</v>
      </c>
      <c r="H3898" s="2" t="s">
        <v>17889</v>
      </c>
      <c r="I3898" s="2" t="s">
        <v>17890</v>
      </c>
      <c r="K3898" s="2" t="s">
        <v>17891</v>
      </c>
      <c r="L3898" s="2" t="s">
        <v>222</v>
      </c>
      <c r="M3898" s="2">
        <v>90601.0</v>
      </c>
      <c r="N3898" s="2" t="s">
        <v>21</v>
      </c>
    </row>
    <row r="3899" ht="15.75" customHeight="1">
      <c r="A3899" s="2">
        <v>2015.0</v>
      </c>
      <c r="B3899" s="2" t="s">
        <v>17892</v>
      </c>
      <c r="C3899" s="2" t="s">
        <v>17892</v>
      </c>
      <c r="D3899" s="2" t="str">
        <f>"5154605281"</f>
        <v>5154605281</v>
      </c>
      <c r="E3899" s="2" t="s">
        <v>113</v>
      </c>
      <c r="F3899" s="2" t="s">
        <v>17893</v>
      </c>
      <c r="G3899" s="2" t="str">
        <f>"SR-5489"</f>
        <v>SR-5489</v>
      </c>
      <c r="H3899" s="2" t="s">
        <v>17894</v>
      </c>
      <c r="I3899" s="2" t="s">
        <v>17895</v>
      </c>
      <c r="K3899" s="2" t="s">
        <v>17896</v>
      </c>
      <c r="L3899" s="2" t="s">
        <v>560</v>
      </c>
      <c r="M3899" s="2">
        <v>50317.0</v>
      </c>
      <c r="N3899" s="2" t="s">
        <v>21</v>
      </c>
    </row>
    <row r="3900" ht="15.75" customHeight="1">
      <c r="A3900" s="2">
        <v>2015.0</v>
      </c>
      <c r="B3900" s="2" t="s">
        <v>17897</v>
      </c>
      <c r="C3900" s="2" t="s">
        <v>17897</v>
      </c>
      <c r="D3900" s="2" t="str">
        <f>"805 481-6273"</f>
        <v>805 481-6273</v>
      </c>
      <c r="E3900" s="2" t="s">
        <v>261</v>
      </c>
      <c r="F3900" s="2" t="s">
        <v>17898</v>
      </c>
      <c r="G3900" s="2" t="str">
        <f>"SR-5524"</f>
        <v>SR-5524</v>
      </c>
      <c r="H3900" s="2" t="s">
        <v>17899</v>
      </c>
      <c r="I3900" s="2" t="s">
        <v>17900</v>
      </c>
      <c r="K3900" s="2" t="s">
        <v>10864</v>
      </c>
      <c r="L3900" s="2" t="s">
        <v>222</v>
      </c>
      <c r="M3900" s="2">
        <v>93420.0</v>
      </c>
      <c r="N3900" s="2" t="s">
        <v>21</v>
      </c>
    </row>
    <row r="3901" ht="15.75" customHeight="1">
      <c r="A3901" s="2">
        <v>2015.0</v>
      </c>
      <c r="B3901" s="2" t="s">
        <v>17901</v>
      </c>
      <c r="C3901" s="2" t="s">
        <v>17902</v>
      </c>
      <c r="D3901" s="2" t="str">
        <f t="shared" ref="D3901:D3902" si="72">"330 923-6441"</f>
        <v>330 923-6441</v>
      </c>
      <c r="E3901" s="2" t="s">
        <v>3196</v>
      </c>
      <c r="F3901" s="2" t="s">
        <v>17903</v>
      </c>
      <c r="G3901" s="2" t="str">
        <f>"SR-5526"</f>
        <v>SR-5526</v>
      </c>
      <c r="H3901" s="2" t="s">
        <v>17904</v>
      </c>
      <c r="I3901" s="2" t="s">
        <v>17905</v>
      </c>
      <c r="K3901" s="2" t="s">
        <v>17906</v>
      </c>
      <c r="L3901" s="2" t="s">
        <v>344</v>
      </c>
      <c r="M3901" s="2">
        <v>44224.0</v>
      </c>
      <c r="N3901" s="2" t="s">
        <v>21</v>
      </c>
    </row>
    <row r="3902" ht="15.75" customHeight="1">
      <c r="A3902" s="2">
        <v>2015.0</v>
      </c>
      <c r="B3902" s="2" t="s">
        <v>17901</v>
      </c>
      <c r="C3902" s="2" t="s">
        <v>17907</v>
      </c>
      <c r="D3902" s="2" t="str">
        <f t="shared" si="72"/>
        <v>330 923-6441</v>
      </c>
      <c r="E3902" s="2" t="s">
        <v>17908</v>
      </c>
      <c r="F3902" s="2" t="s">
        <v>17903</v>
      </c>
      <c r="G3902" s="2" t="str">
        <f>"SR-5527"</f>
        <v>SR-5527</v>
      </c>
      <c r="H3902" s="2" t="s">
        <v>17909</v>
      </c>
      <c r="I3902" s="2" t="s">
        <v>17910</v>
      </c>
      <c r="K3902" s="2" t="s">
        <v>17906</v>
      </c>
      <c r="L3902" s="2" t="s">
        <v>344</v>
      </c>
      <c r="M3902" s="2">
        <v>44224.0</v>
      </c>
      <c r="N3902" s="2" t="s">
        <v>21</v>
      </c>
    </row>
    <row r="3903" ht="15.75" customHeight="1">
      <c r="A3903" s="2">
        <v>2015.0</v>
      </c>
      <c r="B3903" s="2" t="s">
        <v>17911</v>
      </c>
      <c r="C3903" s="2" t="s">
        <v>17912</v>
      </c>
      <c r="D3903" s="2" t="str">
        <f>"8592360862"</f>
        <v>8592360862</v>
      </c>
      <c r="E3903" s="2" t="s">
        <v>373</v>
      </c>
      <c r="F3903" s="2" t="s">
        <v>17913</v>
      </c>
      <c r="G3903" s="2" t="str">
        <f>"SR-4859"</f>
        <v>SR-4859</v>
      </c>
      <c r="H3903" s="2" t="s">
        <v>17914</v>
      </c>
      <c r="I3903" s="2" t="s">
        <v>17915</v>
      </c>
      <c r="K3903" s="2" t="s">
        <v>17916</v>
      </c>
      <c r="L3903" s="2" t="s">
        <v>1236</v>
      </c>
      <c r="M3903" s="2">
        <v>40422.0</v>
      </c>
      <c r="N3903" s="2" t="s">
        <v>21</v>
      </c>
    </row>
    <row r="3904" ht="15.75" customHeight="1">
      <c r="A3904" s="2">
        <v>2015.0</v>
      </c>
      <c r="B3904" s="2" t="s">
        <v>17917</v>
      </c>
      <c r="C3904" s="2" t="s">
        <v>17917</v>
      </c>
      <c r="D3904" s="2" t="str">
        <f>"256-541-1223"</f>
        <v>256-541-1223</v>
      </c>
      <c r="E3904" s="2" t="s">
        <v>386</v>
      </c>
      <c r="F3904" s="2" t="s">
        <v>17918</v>
      </c>
      <c r="G3904" s="2" t="str">
        <f>"SR-5528"</f>
        <v>SR-5528</v>
      </c>
      <c r="H3904" s="2" t="s">
        <v>17919</v>
      </c>
      <c r="I3904" s="2" t="s">
        <v>17920</v>
      </c>
      <c r="K3904" s="2" t="s">
        <v>1953</v>
      </c>
      <c r="L3904" s="2" t="s">
        <v>539</v>
      </c>
      <c r="M3904" s="2">
        <v>25803.0</v>
      </c>
      <c r="N3904" s="2" t="s">
        <v>21</v>
      </c>
    </row>
    <row r="3905" ht="15.75" customHeight="1">
      <c r="A3905" s="2">
        <v>2015.0</v>
      </c>
      <c r="B3905" s="2" t="s">
        <v>17921</v>
      </c>
      <c r="C3905" s="2" t="s">
        <v>17922</v>
      </c>
      <c r="D3905" s="2" t="str">
        <f>"8055503258"</f>
        <v>8055503258</v>
      </c>
      <c r="E3905" s="2" t="s">
        <v>17923</v>
      </c>
      <c r="F3905" s="2" t="s">
        <v>17924</v>
      </c>
      <c r="G3905" s="2" t="str">
        <f>"SR-5516"</f>
        <v>SR-5516</v>
      </c>
      <c r="H3905" s="2" t="s">
        <v>17925</v>
      </c>
      <c r="I3905" s="2" t="s">
        <v>17926</v>
      </c>
      <c r="K3905" s="2" t="s">
        <v>13810</v>
      </c>
      <c r="L3905" s="2" t="s">
        <v>222</v>
      </c>
      <c r="M3905" s="2">
        <v>93401.0</v>
      </c>
      <c r="N3905" s="2" t="s">
        <v>21</v>
      </c>
    </row>
    <row r="3906" ht="15.75" customHeight="1">
      <c r="A3906" s="2">
        <v>2015.0</v>
      </c>
      <c r="B3906" s="2" t="s">
        <v>17927</v>
      </c>
      <c r="C3906" s="2" t="s">
        <v>17928</v>
      </c>
      <c r="D3906" s="2" t="str">
        <f>"8054811912"</f>
        <v>8054811912</v>
      </c>
      <c r="E3906" s="2" t="s">
        <v>862</v>
      </c>
      <c r="F3906" s="2" t="s">
        <v>2868</v>
      </c>
      <c r="G3906" s="2" t="str">
        <f>"SR-5522"</f>
        <v>SR-5522</v>
      </c>
      <c r="H3906" s="2" t="s">
        <v>17929</v>
      </c>
      <c r="I3906" s="2" t="s">
        <v>17930</v>
      </c>
      <c r="K3906" s="2" t="s">
        <v>17931</v>
      </c>
      <c r="L3906" s="2" t="s">
        <v>222</v>
      </c>
      <c r="M3906" s="2">
        <v>93449.0</v>
      </c>
      <c r="N3906" s="2" t="s">
        <v>21</v>
      </c>
    </row>
    <row r="3907" ht="15.75" customHeight="1">
      <c r="A3907" s="2">
        <v>2015.0</v>
      </c>
      <c r="B3907" s="2" t="s">
        <v>17932</v>
      </c>
      <c r="C3907" s="2" t="s">
        <v>17933</v>
      </c>
      <c r="D3907" s="2" t="str">
        <f>"940-229-9409"</f>
        <v>940-229-9409</v>
      </c>
      <c r="E3907" s="2" t="s">
        <v>456</v>
      </c>
      <c r="F3907" s="2" t="s">
        <v>17934</v>
      </c>
      <c r="G3907" s="2" t="str">
        <f>"SR-5488"</f>
        <v>SR-5488</v>
      </c>
      <c r="H3907" s="2" t="s">
        <v>17935</v>
      </c>
      <c r="I3907" s="2" t="s">
        <v>17936</v>
      </c>
      <c r="K3907" s="2" t="s">
        <v>2643</v>
      </c>
      <c r="L3907" s="2" t="s">
        <v>172</v>
      </c>
      <c r="M3907" s="2">
        <v>75028.0</v>
      </c>
      <c r="N3907" s="2" t="s">
        <v>21</v>
      </c>
    </row>
    <row r="3908" ht="15.75" customHeight="1">
      <c r="A3908" s="2">
        <v>2015.0</v>
      </c>
      <c r="B3908" s="2" t="s">
        <v>17937</v>
      </c>
      <c r="C3908" s="2" t="s">
        <v>17938</v>
      </c>
      <c r="D3908" s="2" t="str">
        <f>"205-746-2584"</f>
        <v>205-746-2584</v>
      </c>
      <c r="E3908" s="2" t="s">
        <v>1263</v>
      </c>
      <c r="F3908" s="2" t="s">
        <v>17939</v>
      </c>
      <c r="G3908" s="2" t="str">
        <f>"SR-4762"</f>
        <v>SR-4762</v>
      </c>
      <c r="H3908" s="2" t="s">
        <v>17940</v>
      </c>
      <c r="I3908" s="2" t="s">
        <v>17941</v>
      </c>
      <c r="K3908" s="2" t="s">
        <v>1173</v>
      </c>
      <c r="L3908" s="2" t="s">
        <v>539</v>
      </c>
      <c r="M3908" s="2">
        <v>35235.0</v>
      </c>
      <c r="N3908" s="2" t="s">
        <v>21</v>
      </c>
    </row>
    <row r="3909" ht="15.75" customHeight="1">
      <c r="A3909" s="2">
        <v>2015.0</v>
      </c>
      <c r="B3909" s="2" t="s">
        <v>17942</v>
      </c>
      <c r="C3909" s="2" t="s">
        <v>17943</v>
      </c>
      <c r="D3909" s="2" t="str">
        <f>"6152662940"</f>
        <v>6152662940</v>
      </c>
      <c r="E3909" s="2" t="s">
        <v>6121</v>
      </c>
      <c r="F3909" s="2" t="s">
        <v>17944</v>
      </c>
      <c r="G3909" s="2" t="str">
        <f>"SR-5525"</f>
        <v>SR-5525</v>
      </c>
      <c r="H3909" s="2" t="s">
        <v>17945</v>
      </c>
      <c r="I3909" s="2" t="s">
        <v>17946</v>
      </c>
      <c r="K3909" s="2" t="s">
        <v>17947</v>
      </c>
      <c r="L3909" s="2" t="s">
        <v>279</v>
      </c>
      <c r="M3909" s="2">
        <v>37062.0</v>
      </c>
      <c r="N3909" s="2" t="s">
        <v>21</v>
      </c>
    </row>
    <row r="3910" ht="15.75" customHeight="1">
      <c r="A3910" s="2">
        <v>2015.0</v>
      </c>
      <c r="B3910" s="2" t="s">
        <v>17948</v>
      </c>
      <c r="C3910" s="2" t="s">
        <v>9401</v>
      </c>
      <c r="D3910" s="2" t="str">
        <f>"704-443-0190"</f>
        <v>704-443-0190</v>
      </c>
      <c r="E3910" s="2" t="s">
        <v>1015</v>
      </c>
      <c r="F3910" s="2" t="s">
        <v>1609</v>
      </c>
      <c r="G3910" s="2" t="str">
        <f>"SR-5465"</f>
        <v>SR-5465</v>
      </c>
      <c r="H3910" s="2" t="s">
        <v>9402</v>
      </c>
      <c r="I3910" s="2" t="s">
        <v>9403</v>
      </c>
      <c r="K3910" s="2" t="s">
        <v>1612</v>
      </c>
      <c r="L3910" s="2" t="s">
        <v>20</v>
      </c>
      <c r="M3910" s="2">
        <v>28105.0</v>
      </c>
      <c r="N3910" s="2" t="s">
        <v>21</v>
      </c>
    </row>
    <row r="3911" ht="15.75" customHeight="1">
      <c r="A3911" s="2">
        <v>2015.0</v>
      </c>
      <c r="B3911" s="2" t="s">
        <v>17949</v>
      </c>
      <c r="C3911" s="2" t="s">
        <v>17950</v>
      </c>
      <c r="D3911" s="2" t="str">
        <f>"712-260-2493"</f>
        <v>712-260-2493</v>
      </c>
      <c r="E3911" s="2" t="s">
        <v>7864</v>
      </c>
      <c r="F3911" s="2" t="s">
        <v>6113</v>
      </c>
      <c r="G3911" s="2" t="str">
        <f>"SR-5337"</f>
        <v>SR-5337</v>
      </c>
      <c r="H3911" s="2" t="s">
        <v>17951</v>
      </c>
      <c r="I3911" s="2" t="s">
        <v>17952</v>
      </c>
      <c r="K3911" s="2" t="s">
        <v>3141</v>
      </c>
      <c r="L3911" s="2" t="s">
        <v>560</v>
      </c>
      <c r="M3911" s="2">
        <v>51351.0</v>
      </c>
      <c r="N3911" s="2" t="s">
        <v>21</v>
      </c>
    </row>
    <row r="3912" ht="15.75" customHeight="1">
      <c r="A3912" s="2">
        <v>2015.0</v>
      </c>
      <c r="B3912" s="2" t="s">
        <v>3607</v>
      </c>
      <c r="C3912" s="2" t="s">
        <v>17953</v>
      </c>
      <c r="D3912" s="2" t="str">
        <f>"208-284-4278"</f>
        <v>208-284-4278</v>
      </c>
      <c r="E3912" s="2" t="s">
        <v>14671</v>
      </c>
      <c r="F3912" s="2" t="s">
        <v>17954</v>
      </c>
      <c r="G3912" s="2" t="str">
        <f>"SR-5486"</f>
        <v>SR-5486</v>
      </c>
      <c r="H3912" s="2" t="s">
        <v>17955</v>
      </c>
      <c r="I3912" s="2" t="s">
        <v>17956</v>
      </c>
      <c r="K3912" s="2" t="s">
        <v>2015</v>
      </c>
      <c r="L3912" s="2" t="s">
        <v>2389</v>
      </c>
      <c r="M3912" s="2">
        <v>97914.0</v>
      </c>
      <c r="N3912" s="2" t="s">
        <v>21</v>
      </c>
    </row>
    <row r="3913" ht="15.75" customHeight="1">
      <c r="A3913" s="2">
        <v>2015.0</v>
      </c>
      <c r="B3913" s="2" t="s">
        <v>17957</v>
      </c>
      <c r="C3913" s="2" t="s">
        <v>17958</v>
      </c>
      <c r="D3913" s="2" t="str">
        <f>"303-663-7532"</f>
        <v>303-663-7532</v>
      </c>
      <c r="E3913" s="2" t="s">
        <v>6121</v>
      </c>
      <c r="F3913" s="2" t="s">
        <v>17959</v>
      </c>
      <c r="G3913" s="2" t="str">
        <f>"SR-5534"</f>
        <v>SR-5534</v>
      </c>
      <c r="H3913" s="2" t="s">
        <v>17960</v>
      </c>
      <c r="I3913" s="2" t="s">
        <v>17961</v>
      </c>
      <c r="K3913" s="2" t="s">
        <v>1398</v>
      </c>
      <c r="L3913" s="2" t="s">
        <v>157</v>
      </c>
      <c r="M3913" s="2">
        <v>80104.0</v>
      </c>
      <c r="N3913" s="2" t="s">
        <v>21</v>
      </c>
    </row>
    <row r="3914" ht="15.75" customHeight="1">
      <c r="A3914" s="2">
        <v>2015.0</v>
      </c>
      <c r="B3914" s="2" t="s">
        <v>3607</v>
      </c>
      <c r="C3914" s="2" t="s">
        <v>17962</v>
      </c>
      <c r="D3914" s="2" t="str">
        <f>"541-889-4979"</f>
        <v>541-889-4979</v>
      </c>
      <c r="E3914" s="2" t="s">
        <v>10358</v>
      </c>
      <c r="F3914" s="2" t="s">
        <v>529</v>
      </c>
      <c r="G3914" s="2" t="str">
        <f>"SR-5523"</f>
        <v>SR-5523</v>
      </c>
      <c r="H3914" s="2" t="s">
        <v>17963</v>
      </c>
      <c r="I3914" s="2" t="s">
        <v>17964</v>
      </c>
      <c r="K3914" s="2" t="s">
        <v>2015</v>
      </c>
      <c r="L3914" s="2" t="s">
        <v>2389</v>
      </c>
      <c r="M3914" s="2">
        <v>97914.0</v>
      </c>
      <c r="N3914" s="2" t="s">
        <v>21</v>
      </c>
    </row>
    <row r="3915" ht="15.75" customHeight="1">
      <c r="A3915" s="2">
        <v>2015.0</v>
      </c>
      <c r="B3915" s="2" t="s">
        <v>17965</v>
      </c>
      <c r="C3915" s="2" t="s">
        <v>17966</v>
      </c>
      <c r="D3915" s="2" t="str">
        <f>"205-863-0452"</f>
        <v>205-863-0452</v>
      </c>
      <c r="E3915" s="2" t="s">
        <v>6381</v>
      </c>
      <c r="F3915" s="2" t="s">
        <v>14483</v>
      </c>
      <c r="G3915" s="2" t="str">
        <f>"SR-1810"</f>
        <v>SR-1810</v>
      </c>
      <c r="H3915" s="2" t="s">
        <v>17967</v>
      </c>
      <c r="I3915" s="2" t="s">
        <v>17968</v>
      </c>
      <c r="K3915" s="2" t="s">
        <v>6988</v>
      </c>
      <c r="L3915" s="2" t="s">
        <v>165</v>
      </c>
      <c r="M3915" s="2">
        <v>23464.0</v>
      </c>
      <c r="N3915" s="2" t="s">
        <v>21</v>
      </c>
    </row>
    <row r="3916" ht="15.75" customHeight="1">
      <c r="A3916" s="2">
        <v>2015.0</v>
      </c>
      <c r="B3916" s="2" t="s">
        <v>17969</v>
      </c>
      <c r="C3916" s="2" t="s">
        <v>17970</v>
      </c>
      <c r="D3916" s="2" t="str">
        <f>"870-917-8737"</f>
        <v>870-917-8737</v>
      </c>
      <c r="E3916" s="2" t="s">
        <v>17971</v>
      </c>
      <c r="F3916" s="2" t="s">
        <v>17972</v>
      </c>
      <c r="G3916" s="2" t="str">
        <f>"SR-5483"</f>
        <v>SR-5483</v>
      </c>
      <c r="H3916" s="2" t="s">
        <v>17973</v>
      </c>
      <c r="I3916" s="2" t="s">
        <v>17974</v>
      </c>
      <c r="K3916" s="2" t="s">
        <v>6539</v>
      </c>
      <c r="L3916" s="2" t="s">
        <v>172</v>
      </c>
      <c r="M3916" s="2">
        <v>76205.0</v>
      </c>
      <c r="N3916" s="2" t="s">
        <v>21</v>
      </c>
    </row>
    <row r="3917" ht="15.75" customHeight="1">
      <c r="A3917" s="2">
        <v>2015.0</v>
      </c>
      <c r="B3917" s="2" t="s">
        <v>17975</v>
      </c>
      <c r="C3917" s="2" t="s">
        <v>17975</v>
      </c>
      <c r="D3917" s="2" t="str">
        <f>"319-325-8256"</f>
        <v>319-325-8256</v>
      </c>
      <c r="E3917" s="2" t="s">
        <v>17976</v>
      </c>
      <c r="F3917" s="2" t="s">
        <v>89</v>
      </c>
      <c r="G3917" s="2" t="str">
        <f>"SR-4798"</f>
        <v>SR-4798</v>
      </c>
      <c r="H3917" s="2" t="s">
        <v>17977</v>
      </c>
      <c r="I3917" s="2" t="s">
        <v>17978</v>
      </c>
      <c r="K3917" s="2" t="s">
        <v>17979</v>
      </c>
      <c r="L3917" s="2" t="s">
        <v>560</v>
      </c>
      <c r="M3917" s="2">
        <v>52247.0</v>
      </c>
      <c r="N3917" s="2" t="s">
        <v>21</v>
      </c>
    </row>
    <row r="3918" ht="15.75" customHeight="1">
      <c r="A3918" s="2">
        <v>2015.0</v>
      </c>
      <c r="B3918" s="2" t="s">
        <v>17980</v>
      </c>
      <c r="C3918" s="2" t="s">
        <v>17980</v>
      </c>
      <c r="D3918" s="2" t="str">
        <f>"630.336.7603"</f>
        <v>630.336.7603</v>
      </c>
      <c r="E3918" s="2" t="s">
        <v>9975</v>
      </c>
      <c r="F3918" s="2" t="s">
        <v>17981</v>
      </c>
      <c r="G3918" s="2" t="str">
        <f>"SR-5538"</f>
        <v>SR-5538</v>
      </c>
      <c r="H3918" s="2" t="s">
        <v>17982</v>
      </c>
      <c r="I3918" s="2" t="s">
        <v>17983</v>
      </c>
      <c r="K3918" s="2" t="s">
        <v>1398</v>
      </c>
      <c r="L3918" s="2" t="s">
        <v>157</v>
      </c>
      <c r="M3918" s="2">
        <v>80104.0</v>
      </c>
      <c r="N3918" s="2" t="s">
        <v>21</v>
      </c>
    </row>
    <row r="3919" ht="15.75" customHeight="1">
      <c r="A3919" s="2">
        <v>2015.0</v>
      </c>
      <c r="B3919" s="2" t="s">
        <v>17984</v>
      </c>
      <c r="C3919" s="2" t="s">
        <v>17984</v>
      </c>
      <c r="D3919" s="2" t="str">
        <f>"8172295228"</f>
        <v>8172295228</v>
      </c>
      <c r="E3919" s="2" t="s">
        <v>7492</v>
      </c>
      <c r="F3919" s="2" t="s">
        <v>17985</v>
      </c>
      <c r="G3919" s="2" t="str">
        <f>"SR-4976"</f>
        <v>SR-4976</v>
      </c>
      <c r="H3919" s="2" t="s">
        <v>17986</v>
      </c>
      <c r="I3919" s="2" t="s">
        <v>17987</v>
      </c>
      <c r="K3919" s="2" t="s">
        <v>5729</v>
      </c>
      <c r="L3919" s="2" t="s">
        <v>172</v>
      </c>
      <c r="M3919" s="2">
        <v>76087.0</v>
      </c>
      <c r="N3919" s="2" t="s">
        <v>21</v>
      </c>
    </row>
    <row r="3920" ht="15.75" customHeight="1">
      <c r="A3920" s="2">
        <v>2015.0</v>
      </c>
      <c r="B3920" s="2" t="s">
        <v>10859</v>
      </c>
      <c r="C3920" s="2" t="s">
        <v>10859</v>
      </c>
      <c r="D3920" s="2" t="str">
        <f>"(805)7097890"</f>
        <v>(805)7097890</v>
      </c>
      <c r="E3920" s="2" t="s">
        <v>10860</v>
      </c>
      <c r="F3920" s="2" t="s">
        <v>10861</v>
      </c>
      <c r="G3920" s="2" t="str">
        <f>"SR-2938"</f>
        <v>SR-2938</v>
      </c>
      <c r="H3920" s="2" t="s">
        <v>10862</v>
      </c>
      <c r="I3920" s="2" t="s">
        <v>10863</v>
      </c>
      <c r="K3920" s="2" t="s">
        <v>10864</v>
      </c>
      <c r="L3920" s="2" t="s">
        <v>222</v>
      </c>
      <c r="M3920" s="2">
        <v>93420.0</v>
      </c>
      <c r="N3920" s="2" t="s">
        <v>21</v>
      </c>
    </row>
    <row r="3921" ht="15.75" customHeight="1">
      <c r="A3921" s="2">
        <v>2015.0</v>
      </c>
      <c r="B3921" s="2" t="s">
        <v>17988</v>
      </c>
      <c r="C3921" s="2" t="s">
        <v>17989</v>
      </c>
      <c r="D3921" s="2" t="str">
        <f>"8055941068"</f>
        <v>8055941068</v>
      </c>
      <c r="E3921" s="2" t="s">
        <v>9846</v>
      </c>
      <c r="F3921" s="2" t="s">
        <v>7647</v>
      </c>
      <c r="G3921" s="2" t="str">
        <f>"SR-5155"</f>
        <v>SR-5155</v>
      </c>
      <c r="H3921" s="2" t="s">
        <v>17990</v>
      </c>
      <c r="I3921" s="2" t="s">
        <v>17991</v>
      </c>
      <c r="K3921" s="2" t="s">
        <v>13810</v>
      </c>
      <c r="L3921" s="2" t="s">
        <v>222</v>
      </c>
      <c r="M3921" s="2">
        <v>93401.0</v>
      </c>
      <c r="N3921" s="2" t="s">
        <v>21</v>
      </c>
    </row>
    <row r="3922" ht="15.75" customHeight="1">
      <c r="A3922" s="2">
        <v>2015.0</v>
      </c>
      <c r="B3922" s="2" t="s">
        <v>17992</v>
      </c>
      <c r="C3922" s="2" t="s">
        <v>17992</v>
      </c>
      <c r="D3922" s="2" t="str">
        <f>"253 639 0597"</f>
        <v>253 639 0597</v>
      </c>
      <c r="E3922" s="2" t="s">
        <v>339</v>
      </c>
      <c r="F3922" s="2" t="s">
        <v>17993</v>
      </c>
      <c r="G3922" s="2" t="str">
        <f>"SR-5117"</f>
        <v>SR-5117</v>
      </c>
      <c r="H3922" s="2" t="s">
        <v>17994</v>
      </c>
      <c r="I3922" s="2" t="s">
        <v>17995</v>
      </c>
      <c r="K3922" s="2" t="s">
        <v>9496</v>
      </c>
      <c r="L3922" s="2" t="s">
        <v>86</v>
      </c>
      <c r="M3922" s="2">
        <v>98042.0</v>
      </c>
      <c r="N3922" s="2" t="s">
        <v>21</v>
      </c>
    </row>
    <row r="3923" ht="15.75" customHeight="1">
      <c r="A3923" s="2">
        <v>2015.0</v>
      </c>
      <c r="B3923" s="2" t="s">
        <v>17996</v>
      </c>
      <c r="C3923" s="2" t="s">
        <v>17996</v>
      </c>
      <c r="D3923" s="2" t="str">
        <f>"701-527-4318"</f>
        <v>701-527-4318</v>
      </c>
      <c r="E3923" s="2" t="s">
        <v>6113</v>
      </c>
      <c r="F3923" s="2" t="s">
        <v>5105</v>
      </c>
      <c r="G3923" s="2" t="str">
        <f>"SR-5540"</f>
        <v>SR-5540</v>
      </c>
      <c r="H3923" s="2" t="s">
        <v>17997</v>
      </c>
      <c r="I3923" s="2" t="s">
        <v>17998</v>
      </c>
      <c r="K3923" s="2" t="s">
        <v>17999</v>
      </c>
      <c r="L3923" s="2" t="s">
        <v>2534</v>
      </c>
      <c r="M3923" s="2">
        <v>58503.0</v>
      </c>
      <c r="N3923" s="2" t="s">
        <v>21</v>
      </c>
    </row>
    <row r="3924" ht="15.75" customHeight="1">
      <c r="A3924" s="2">
        <v>2015.0</v>
      </c>
      <c r="B3924" s="2" t="s">
        <v>18000</v>
      </c>
      <c r="C3924" s="2" t="s">
        <v>18001</v>
      </c>
      <c r="D3924" s="2" t="str">
        <f>"303-704-5873"</f>
        <v>303-704-5873</v>
      </c>
      <c r="E3924" s="2" t="s">
        <v>225</v>
      </c>
      <c r="F3924" s="2" t="s">
        <v>18002</v>
      </c>
      <c r="G3924" s="2" t="str">
        <f>"SR-5072"</f>
        <v>SR-5072</v>
      </c>
      <c r="H3924" s="2" t="s">
        <v>18003</v>
      </c>
      <c r="I3924" s="2" t="s">
        <v>18004</v>
      </c>
      <c r="K3924" s="2" t="s">
        <v>18005</v>
      </c>
      <c r="L3924" s="2" t="s">
        <v>157</v>
      </c>
      <c r="M3924" s="2">
        <v>80108.0</v>
      </c>
      <c r="N3924" s="2" t="s">
        <v>21</v>
      </c>
    </row>
    <row r="3925" ht="15.75" customHeight="1">
      <c r="A3925" s="2">
        <v>2015.0</v>
      </c>
      <c r="B3925" s="2" t="s">
        <v>18006</v>
      </c>
      <c r="C3925" s="2" t="s">
        <v>18006</v>
      </c>
      <c r="D3925" s="2" t="str">
        <f>"8657774035"</f>
        <v>8657774035</v>
      </c>
      <c r="E3925" s="2" t="s">
        <v>50</v>
      </c>
      <c r="F3925" s="2" t="s">
        <v>18007</v>
      </c>
      <c r="G3925" s="2" t="str">
        <f>"SR-5498"</f>
        <v>SR-5498</v>
      </c>
      <c r="H3925" s="2" t="s">
        <v>18008</v>
      </c>
      <c r="I3925" s="2" t="s">
        <v>18009</v>
      </c>
      <c r="K3925" s="2" t="s">
        <v>6168</v>
      </c>
      <c r="L3925" s="2" t="s">
        <v>279</v>
      </c>
      <c r="M3925" s="2">
        <v>37934.0</v>
      </c>
      <c r="N3925" s="2" t="s">
        <v>21</v>
      </c>
    </row>
    <row r="3926" ht="15.75" customHeight="1">
      <c r="A3926" s="2">
        <v>2015.0</v>
      </c>
      <c r="B3926" s="2" t="s">
        <v>18010</v>
      </c>
      <c r="C3926" s="2" t="s">
        <v>18010</v>
      </c>
      <c r="D3926" s="2" t="str">
        <f>"17123950826"</f>
        <v>17123950826</v>
      </c>
      <c r="E3926" s="2" t="s">
        <v>6170</v>
      </c>
      <c r="F3926" s="2" t="s">
        <v>18011</v>
      </c>
      <c r="G3926" s="2" t="str">
        <f>"SR-5250"</f>
        <v>SR-5250</v>
      </c>
      <c r="H3926" s="2" t="s">
        <v>18012</v>
      </c>
      <c r="I3926" s="2" t="s">
        <v>18013</v>
      </c>
      <c r="K3926" s="2" t="s">
        <v>12097</v>
      </c>
      <c r="L3926" s="2" t="s">
        <v>560</v>
      </c>
      <c r="M3926" s="2">
        <v>51041.0</v>
      </c>
      <c r="N3926" s="2" t="s">
        <v>21</v>
      </c>
    </row>
    <row r="3927" ht="15.75" customHeight="1">
      <c r="A3927" s="2">
        <v>2015.0</v>
      </c>
      <c r="B3927" s="2" t="s">
        <v>18014</v>
      </c>
      <c r="C3927" s="2" t="s">
        <v>18015</v>
      </c>
      <c r="D3927" s="2" t="str">
        <f t="shared" ref="D3927:D3928" si="73">"618-566-7375"</f>
        <v>618-566-7375</v>
      </c>
      <c r="E3927" s="2" t="s">
        <v>12135</v>
      </c>
      <c r="F3927" s="2" t="s">
        <v>4011</v>
      </c>
      <c r="G3927" s="2" t="str">
        <f>"SR-5550"</f>
        <v>SR-5550</v>
      </c>
      <c r="H3927" s="2" t="s">
        <v>18016</v>
      </c>
      <c r="I3927" s="2" t="s">
        <v>18017</v>
      </c>
      <c r="K3927" s="2" t="s">
        <v>18018</v>
      </c>
      <c r="L3927" s="2" t="s">
        <v>105</v>
      </c>
      <c r="M3927" s="2">
        <v>62258.0</v>
      </c>
      <c r="N3927" s="2" t="s">
        <v>21</v>
      </c>
    </row>
    <row r="3928" ht="15.75" customHeight="1">
      <c r="A3928" s="2">
        <v>2015.0</v>
      </c>
      <c r="B3928" s="2" t="s">
        <v>18014</v>
      </c>
      <c r="C3928" s="2" t="s">
        <v>18019</v>
      </c>
      <c r="D3928" s="2" t="str">
        <f t="shared" si="73"/>
        <v>618-566-7375</v>
      </c>
      <c r="E3928" s="2" t="s">
        <v>18020</v>
      </c>
      <c r="F3928" s="2" t="s">
        <v>4011</v>
      </c>
      <c r="G3928" s="2" t="str">
        <f>"SR-5551"</f>
        <v>SR-5551</v>
      </c>
      <c r="H3928" s="2" t="s">
        <v>18021</v>
      </c>
      <c r="I3928" s="2" t="s">
        <v>18017</v>
      </c>
      <c r="K3928" s="2" t="s">
        <v>18018</v>
      </c>
      <c r="L3928" s="2" t="s">
        <v>105</v>
      </c>
      <c r="M3928" s="2">
        <v>62258.0</v>
      </c>
      <c r="N3928" s="2" t="s">
        <v>21</v>
      </c>
    </row>
    <row r="3929" ht="15.75" customHeight="1">
      <c r="A3929" s="2">
        <v>2015.0</v>
      </c>
      <c r="B3929" s="2" t="s">
        <v>18022</v>
      </c>
      <c r="C3929" s="2" t="s">
        <v>18022</v>
      </c>
      <c r="D3929" s="2" t="str">
        <f>"864-979-0809"</f>
        <v>864-979-0809</v>
      </c>
      <c r="E3929" s="2" t="s">
        <v>2378</v>
      </c>
      <c r="F3929" s="2" t="s">
        <v>3385</v>
      </c>
      <c r="G3929" s="2" t="str">
        <f>"SR-4766"</f>
        <v>SR-4766</v>
      </c>
      <c r="H3929" s="2" t="s">
        <v>18023</v>
      </c>
      <c r="I3929" s="2" t="s">
        <v>18024</v>
      </c>
      <c r="K3929" s="2" t="s">
        <v>1878</v>
      </c>
      <c r="L3929" s="2" t="s">
        <v>55</v>
      </c>
      <c r="M3929" s="2">
        <v>29681.0</v>
      </c>
      <c r="N3929" s="2" t="s">
        <v>21</v>
      </c>
    </row>
    <row r="3930" ht="15.75" customHeight="1">
      <c r="A3930" s="2">
        <v>2015.0</v>
      </c>
      <c r="B3930" s="2" t="s">
        <v>18025</v>
      </c>
      <c r="C3930" s="2" t="s">
        <v>18026</v>
      </c>
      <c r="D3930" s="2" t="str">
        <f>"2148435861"</f>
        <v>2148435861</v>
      </c>
      <c r="E3930" s="2" t="s">
        <v>18027</v>
      </c>
      <c r="F3930" s="2" t="s">
        <v>18028</v>
      </c>
      <c r="G3930" s="2" t="str">
        <f>"SR-5514"</f>
        <v>SR-5514</v>
      </c>
      <c r="H3930" s="2" t="s">
        <v>18029</v>
      </c>
      <c r="I3930" s="2" t="s">
        <v>18030</v>
      </c>
      <c r="K3930" s="2" t="s">
        <v>357</v>
      </c>
      <c r="L3930" s="2" t="s">
        <v>172</v>
      </c>
      <c r="M3930" s="2">
        <v>75093.0</v>
      </c>
      <c r="N3930" s="2" t="s">
        <v>21</v>
      </c>
    </row>
    <row r="3931" ht="15.75" customHeight="1">
      <c r="A3931" s="2">
        <v>2015.0</v>
      </c>
      <c r="B3931" s="2" t="s">
        <v>18031</v>
      </c>
      <c r="C3931" s="2" t="s">
        <v>18031</v>
      </c>
      <c r="D3931" s="2" t="str">
        <f>"3184561470"</f>
        <v>3184561470</v>
      </c>
      <c r="E3931" s="2" t="s">
        <v>485</v>
      </c>
      <c r="F3931" s="2" t="s">
        <v>18032</v>
      </c>
      <c r="G3931" s="2" t="str">
        <f>"SR-5558"</f>
        <v>SR-5558</v>
      </c>
      <c r="H3931" s="2" t="s">
        <v>18033</v>
      </c>
      <c r="I3931" s="2" t="s">
        <v>18034</v>
      </c>
      <c r="K3931" s="2" t="s">
        <v>18035</v>
      </c>
      <c r="L3931" s="2" t="s">
        <v>715</v>
      </c>
      <c r="M3931" s="2">
        <v>71110.0</v>
      </c>
      <c r="N3931" s="2" t="s">
        <v>21</v>
      </c>
    </row>
    <row r="3932" ht="15.75" customHeight="1">
      <c r="A3932" s="2">
        <v>2015.0</v>
      </c>
      <c r="B3932" s="2" t="s">
        <v>18036</v>
      </c>
      <c r="C3932" s="2" t="s">
        <v>18037</v>
      </c>
      <c r="D3932" s="2" t="str">
        <f>"804-673-3998"</f>
        <v>804-673-3998</v>
      </c>
      <c r="E3932" s="2" t="s">
        <v>830</v>
      </c>
      <c r="F3932" s="2" t="s">
        <v>685</v>
      </c>
      <c r="G3932" s="2" t="str">
        <f>"SR-5407"</f>
        <v>SR-5407</v>
      </c>
      <c r="H3932" s="2" t="s">
        <v>18038</v>
      </c>
      <c r="I3932" s="2" t="s">
        <v>18039</v>
      </c>
      <c r="K3932" s="2" t="s">
        <v>688</v>
      </c>
      <c r="L3932" s="2" t="s">
        <v>165</v>
      </c>
      <c r="M3932" s="2">
        <v>23229.0</v>
      </c>
      <c r="N3932" s="2" t="s">
        <v>21</v>
      </c>
    </row>
    <row r="3933" ht="15.75" customHeight="1">
      <c r="A3933" s="2">
        <v>2015.0</v>
      </c>
      <c r="B3933" s="2" t="s">
        <v>18040</v>
      </c>
      <c r="C3933" s="2" t="s">
        <v>18040</v>
      </c>
      <c r="D3933" s="2" t="str">
        <f>"5096750771"</f>
        <v>5096750771</v>
      </c>
      <c r="E3933" s="2" t="s">
        <v>862</v>
      </c>
      <c r="F3933" s="2" t="s">
        <v>2636</v>
      </c>
      <c r="G3933" s="2" t="str">
        <f>"SR-5557"</f>
        <v>SR-5557</v>
      </c>
      <c r="H3933" s="2" t="s">
        <v>18041</v>
      </c>
      <c r="I3933" s="2" t="s">
        <v>18042</v>
      </c>
      <c r="K3933" s="2" t="s">
        <v>14352</v>
      </c>
      <c r="L3933" s="2" t="s">
        <v>86</v>
      </c>
      <c r="M3933" s="2">
        <v>99167.0</v>
      </c>
      <c r="N3933" s="2" t="s">
        <v>21</v>
      </c>
    </row>
    <row r="3934" ht="15.75" customHeight="1">
      <c r="A3934" s="2">
        <v>2015.0</v>
      </c>
      <c r="B3934" s="2" t="s">
        <v>18043</v>
      </c>
      <c r="C3934" s="2" t="s">
        <v>18044</v>
      </c>
      <c r="D3934" s="2" t="str">
        <f>"303-909-0040"</f>
        <v>303-909-0040</v>
      </c>
      <c r="E3934" s="2" t="s">
        <v>2851</v>
      </c>
      <c r="F3934" s="2" t="s">
        <v>1243</v>
      </c>
      <c r="G3934" s="2" t="str">
        <f>"SR-5302"</f>
        <v>SR-5302</v>
      </c>
      <c r="H3934" s="2" t="s">
        <v>18045</v>
      </c>
      <c r="I3934" s="2" t="s">
        <v>18046</v>
      </c>
      <c r="K3934" s="2" t="s">
        <v>1398</v>
      </c>
      <c r="L3934" s="2" t="s">
        <v>157</v>
      </c>
      <c r="M3934" s="2">
        <v>80109.0</v>
      </c>
      <c r="N3934" s="2" t="s">
        <v>21</v>
      </c>
    </row>
    <row r="3935" ht="15.75" customHeight="1">
      <c r="A3935" s="2">
        <v>2015.0</v>
      </c>
      <c r="B3935" s="2" t="s">
        <v>18047</v>
      </c>
      <c r="C3935" s="2" t="s">
        <v>18048</v>
      </c>
      <c r="D3935" s="2" t="str">
        <f>"719-453-3653"</f>
        <v>719-453-3653</v>
      </c>
      <c r="E3935" s="2" t="s">
        <v>3434</v>
      </c>
      <c r="F3935" s="2" t="s">
        <v>5528</v>
      </c>
      <c r="G3935" s="2" t="str">
        <f>"SR-5564"</f>
        <v>SR-5564</v>
      </c>
      <c r="H3935" s="2" t="s">
        <v>18049</v>
      </c>
      <c r="I3935" s="2" t="s">
        <v>18050</v>
      </c>
      <c r="K3935" s="2" t="s">
        <v>809</v>
      </c>
      <c r="L3935" s="2" t="s">
        <v>157</v>
      </c>
      <c r="M3935" s="2">
        <v>80920.0</v>
      </c>
      <c r="N3935" s="2" t="s">
        <v>21</v>
      </c>
    </row>
    <row r="3936" ht="15.75" customHeight="1">
      <c r="A3936" s="2">
        <v>2015.0</v>
      </c>
      <c r="B3936" s="2" t="s">
        <v>9517</v>
      </c>
      <c r="C3936" s="2" t="s">
        <v>9517</v>
      </c>
      <c r="D3936" s="2" t="str">
        <f>"402-430-6310"</f>
        <v>402-430-6310</v>
      </c>
      <c r="E3936" s="2" t="s">
        <v>1263</v>
      </c>
      <c r="F3936" s="2" t="s">
        <v>752</v>
      </c>
      <c r="G3936" s="2" t="str">
        <f>"SR-2563"</f>
        <v>SR-2563</v>
      </c>
      <c r="H3936" s="2" t="s">
        <v>9518</v>
      </c>
      <c r="I3936" s="2" t="s">
        <v>9519</v>
      </c>
      <c r="K3936" s="2" t="s">
        <v>756</v>
      </c>
      <c r="L3936" s="2" t="s">
        <v>757</v>
      </c>
      <c r="M3936" s="2">
        <v>68372.0</v>
      </c>
      <c r="N3936" s="2" t="s">
        <v>21</v>
      </c>
    </row>
    <row r="3937" ht="15.75" customHeight="1">
      <c r="A3937" s="2">
        <v>2015.0</v>
      </c>
      <c r="B3937" s="2" t="s">
        <v>18051</v>
      </c>
      <c r="C3937" s="2" t="s">
        <v>18052</v>
      </c>
      <c r="D3937" s="2" t="str">
        <f>"6128346684"</f>
        <v>6128346684</v>
      </c>
      <c r="E3937" s="2" t="s">
        <v>908</v>
      </c>
      <c r="F3937" s="2" t="s">
        <v>2069</v>
      </c>
      <c r="G3937" s="2" t="str">
        <f>"SR-5047"</f>
        <v>SR-5047</v>
      </c>
      <c r="H3937" s="2" t="s">
        <v>18053</v>
      </c>
      <c r="I3937" s="2" t="s">
        <v>18054</v>
      </c>
      <c r="K3937" s="2" t="s">
        <v>1019</v>
      </c>
      <c r="L3937" s="2" t="s">
        <v>62</v>
      </c>
      <c r="M3937" s="2">
        <v>55438.0</v>
      </c>
      <c r="N3937" s="2" t="s">
        <v>21</v>
      </c>
    </row>
    <row r="3938" ht="15.75" customHeight="1">
      <c r="A3938" s="2">
        <v>2015.0</v>
      </c>
      <c r="B3938" s="2" t="s">
        <v>18055</v>
      </c>
      <c r="C3938" s="2" t="s">
        <v>18056</v>
      </c>
      <c r="D3938" s="2" t="str">
        <f>"305-816-5963"</f>
        <v>305-816-5963</v>
      </c>
      <c r="E3938" s="2" t="s">
        <v>4555</v>
      </c>
      <c r="F3938" s="2" t="s">
        <v>18057</v>
      </c>
      <c r="G3938" s="2" t="str">
        <f>"SR-5518"</f>
        <v>SR-5518</v>
      </c>
      <c r="H3938" s="2" t="s">
        <v>18058</v>
      </c>
      <c r="I3938" s="2" t="s">
        <v>18059</v>
      </c>
      <c r="K3938" s="2" t="s">
        <v>2211</v>
      </c>
      <c r="L3938" s="2" t="s">
        <v>208</v>
      </c>
      <c r="M3938" s="2">
        <v>33015.0</v>
      </c>
      <c r="N3938" s="2" t="s">
        <v>21</v>
      </c>
    </row>
    <row r="3939" ht="15.75" customHeight="1">
      <c r="A3939" s="2">
        <v>2015.0</v>
      </c>
      <c r="B3939" s="2" t="s">
        <v>18060</v>
      </c>
      <c r="C3939" s="2" t="s">
        <v>18060</v>
      </c>
      <c r="D3939" s="2" t="str">
        <f>"3522083442"</f>
        <v>3522083442</v>
      </c>
      <c r="E3939" s="2" t="s">
        <v>6618</v>
      </c>
      <c r="F3939" s="2" t="s">
        <v>283</v>
      </c>
      <c r="G3939" s="2" t="str">
        <f>"SR-5247"</f>
        <v>SR-5247</v>
      </c>
      <c r="H3939" s="2" t="s">
        <v>18061</v>
      </c>
      <c r="I3939" s="2" t="s">
        <v>18062</v>
      </c>
      <c r="K3939" s="2" t="s">
        <v>18063</v>
      </c>
      <c r="L3939" s="2" t="s">
        <v>208</v>
      </c>
      <c r="M3939" s="2">
        <v>34471.0</v>
      </c>
      <c r="N3939" s="2" t="s">
        <v>21</v>
      </c>
    </row>
    <row r="3940" ht="15.75" customHeight="1">
      <c r="A3940" s="2">
        <v>2015.0</v>
      </c>
      <c r="B3940" s="2" t="s">
        <v>18064</v>
      </c>
      <c r="C3940" s="2" t="s">
        <v>18064</v>
      </c>
      <c r="D3940" s="2" t="str">
        <f>"3524265610"</f>
        <v>3524265610</v>
      </c>
      <c r="E3940" s="2" t="s">
        <v>6869</v>
      </c>
      <c r="F3940" s="2" t="s">
        <v>2753</v>
      </c>
      <c r="G3940" s="2" t="str">
        <f>"SR-5249"</f>
        <v>SR-5249</v>
      </c>
      <c r="H3940" s="2" t="s">
        <v>18065</v>
      </c>
      <c r="I3940" s="2" t="s">
        <v>18066</v>
      </c>
      <c r="K3940" s="2" t="s">
        <v>18067</v>
      </c>
      <c r="L3940" s="2" t="s">
        <v>208</v>
      </c>
      <c r="M3940" s="2">
        <v>34471.0</v>
      </c>
      <c r="N3940" s="2" t="s">
        <v>21</v>
      </c>
    </row>
    <row r="3941" ht="15.75" customHeight="1">
      <c r="A3941" s="2">
        <v>2015.0</v>
      </c>
      <c r="B3941" s="2" t="s">
        <v>18068</v>
      </c>
      <c r="C3941" s="2" t="s">
        <v>18069</v>
      </c>
      <c r="D3941" s="2" t="str">
        <f>"303-746-2119"</f>
        <v>303-746-2119</v>
      </c>
      <c r="E3941" s="2" t="s">
        <v>282</v>
      </c>
      <c r="F3941" s="2" t="s">
        <v>7548</v>
      </c>
      <c r="G3941" s="2" t="str">
        <f>"SR-5570"</f>
        <v>SR-5570</v>
      </c>
      <c r="H3941" s="2" t="s">
        <v>18070</v>
      </c>
      <c r="I3941" s="2" t="s">
        <v>18071</v>
      </c>
      <c r="K3941" s="2" t="s">
        <v>4939</v>
      </c>
      <c r="L3941" s="2" t="s">
        <v>157</v>
      </c>
      <c r="M3941" s="2">
        <v>80516.0</v>
      </c>
      <c r="N3941" s="2" t="s">
        <v>21</v>
      </c>
    </row>
    <row r="3942" ht="15.75" customHeight="1">
      <c r="A3942" s="2">
        <v>2015.0</v>
      </c>
      <c r="B3942" s="2" t="s">
        <v>5713</v>
      </c>
      <c r="C3942" s="2" t="s">
        <v>5714</v>
      </c>
      <c r="D3942" s="2" t="str">
        <f>"608-786-1193"</f>
        <v>608-786-1193</v>
      </c>
      <c r="E3942" s="2" t="s">
        <v>267</v>
      </c>
      <c r="F3942" s="2" t="s">
        <v>5715</v>
      </c>
      <c r="G3942" s="2" t="str">
        <f>"SR-1598"</f>
        <v>SR-1598</v>
      </c>
      <c r="H3942" s="2" t="s">
        <v>5716</v>
      </c>
      <c r="I3942" s="2" t="s">
        <v>5717</v>
      </c>
      <c r="K3942" s="2" t="s">
        <v>5718</v>
      </c>
      <c r="L3942" s="2" t="s">
        <v>193</v>
      </c>
      <c r="M3942" s="2">
        <v>54669.0</v>
      </c>
      <c r="N3942" s="2" t="s">
        <v>21</v>
      </c>
    </row>
    <row r="3943" ht="15.75" customHeight="1">
      <c r="A3943" s="2">
        <v>2015.0</v>
      </c>
      <c r="B3943" s="2" t="s">
        <v>18072</v>
      </c>
      <c r="C3943" s="2" t="s">
        <v>18072</v>
      </c>
      <c r="D3943" s="2" t="str">
        <f>"9378297986"</f>
        <v>9378297986</v>
      </c>
      <c r="E3943" s="2" t="s">
        <v>9470</v>
      </c>
      <c r="F3943" s="2" t="s">
        <v>18073</v>
      </c>
      <c r="G3943" s="2" t="str">
        <f>"SR-5136"</f>
        <v>SR-5136</v>
      </c>
      <c r="H3943" s="2" t="s">
        <v>18074</v>
      </c>
      <c r="I3943" s="2" t="s">
        <v>18075</v>
      </c>
      <c r="K3943" s="2" t="s">
        <v>18076</v>
      </c>
      <c r="L3943" s="2" t="s">
        <v>344</v>
      </c>
      <c r="M3943" s="2">
        <v>45309.0</v>
      </c>
      <c r="N3943" s="2" t="s">
        <v>21</v>
      </c>
    </row>
    <row r="3944" ht="15.75" customHeight="1">
      <c r="A3944" s="2">
        <v>2015.0</v>
      </c>
      <c r="B3944" s="2" t="s">
        <v>18077</v>
      </c>
      <c r="C3944" s="2" t="s">
        <v>18078</v>
      </c>
      <c r="D3944" s="2" t="str">
        <f>"774-200-0025"</f>
        <v>774-200-0025</v>
      </c>
      <c r="E3944" s="2" t="s">
        <v>659</v>
      </c>
      <c r="F3944" s="2" t="s">
        <v>563</v>
      </c>
      <c r="G3944" s="2" t="str">
        <f>"SR-5547"</f>
        <v>SR-5547</v>
      </c>
      <c r="H3944" s="2" t="s">
        <v>18079</v>
      </c>
      <c r="I3944" s="2" t="s">
        <v>18080</v>
      </c>
      <c r="K3944" s="2" t="s">
        <v>567</v>
      </c>
      <c r="L3944" s="2" t="s">
        <v>208</v>
      </c>
      <c r="M3944" s="2">
        <v>33708.0</v>
      </c>
      <c r="N3944" s="2" t="s">
        <v>21</v>
      </c>
    </row>
    <row r="3945" ht="15.75" customHeight="1">
      <c r="A3945" s="2">
        <v>2015.0</v>
      </c>
      <c r="B3945" s="2" t="s">
        <v>18081</v>
      </c>
      <c r="C3945" s="2" t="s">
        <v>18081</v>
      </c>
      <c r="D3945" s="2" t="str">
        <f t="shared" ref="D3945:D3946" si="74">"570-213-0290"</f>
        <v>570-213-0290</v>
      </c>
      <c r="E3945" s="2" t="s">
        <v>678</v>
      </c>
      <c r="F3945" s="2" t="s">
        <v>9052</v>
      </c>
      <c r="G3945" s="2" t="str">
        <f>"SR-5576"</f>
        <v>SR-5576</v>
      </c>
      <c r="H3945" s="2" t="s">
        <v>18082</v>
      </c>
      <c r="I3945" s="2" t="s">
        <v>18083</v>
      </c>
      <c r="K3945" s="2" t="s">
        <v>18084</v>
      </c>
      <c r="L3945" s="2" t="s">
        <v>179</v>
      </c>
      <c r="M3945" s="2">
        <v>18353.0</v>
      </c>
      <c r="N3945" s="2" t="s">
        <v>21</v>
      </c>
    </row>
    <row r="3946" ht="15.75" customHeight="1">
      <c r="A3946" s="2">
        <v>2015.0</v>
      </c>
      <c r="B3946" s="2" t="s">
        <v>18081</v>
      </c>
      <c r="C3946" s="2" t="s">
        <v>18081</v>
      </c>
      <c r="D3946" s="2" t="str">
        <f t="shared" si="74"/>
        <v>570-213-0290</v>
      </c>
      <c r="E3946" s="2" t="s">
        <v>261</v>
      </c>
      <c r="F3946" s="2" t="s">
        <v>9052</v>
      </c>
      <c r="G3946" s="2" t="str">
        <f>"SR-5577"</f>
        <v>SR-5577</v>
      </c>
      <c r="H3946" s="2" t="s">
        <v>18085</v>
      </c>
      <c r="I3946" s="2" t="s">
        <v>18086</v>
      </c>
      <c r="K3946" s="2" t="s">
        <v>18084</v>
      </c>
      <c r="L3946" s="2" t="s">
        <v>179</v>
      </c>
      <c r="M3946" s="2">
        <v>18353.0</v>
      </c>
      <c r="N3946" s="2" t="s">
        <v>21</v>
      </c>
    </row>
    <row r="3947" ht="15.75" customHeight="1">
      <c r="A3947" s="2">
        <v>2015.0</v>
      </c>
      <c r="B3947" s="2" t="s">
        <v>18087</v>
      </c>
      <c r="C3947" s="2" t="s">
        <v>18087</v>
      </c>
      <c r="D3947" s="2" t="str">
        <f>"405-714-2032"</f>
        <v>405-714-2032</v>
      </c>
      <c r="E3947" s="2" t="s">
        <v>385</v>
      </c>
      <c r="F3947" s="2" t="s">
        <v>18088</v>
      </c>
      <c r="G3947" s="2" t="str">
        <f>"SR-5440"</f>
        <v>SR-5440</v>
      </c>
      <c r="H3947" s="2" t="s">
        <v>18089</v>
      </c>
      <c r="I3947" s="2" t="s">
        <v>18090</v>
      </c>
      <c r="K3947" s="2" t="s">
        <v>11711</v>
      </c>
      <c r="L3947" s="2" t="s">
        <v>840</v>
      </c>
      <c r="M3947" s="2">
        <v>74074.0</v>
      </c>
      <c r="N3947" s="2" t="s">
        <v>21</v>
      </c>
    </row>
    <row r="3948" ht="15.75" customHeight="1">
      <c r="A3948" s="2">
        <v>2015.0</v>
      </c>
      <c r="B3948" s="2" t="s">
        <v>8885</v>
      </c>
      <c r="C3948" s="2" t="s">
        <v>8885</v>
      </c>
      <c r="D3948" s="2" t="str">
        <f>"319-378-0260"</f>
        <v>319-378-0260</v>
      </c>
      <c r="E3948" s="2" t="s">
        <v>1548</v>
      </c>
      <c r="F3948" s="2" t="s">
        <v>8888</v>
      </c>
      <c r="G3948" s="2" t="str">
        <f>"SR-2613"</f>
        <v>SR-2613</v>
      </c>
      <c r="H3948" s="2" t="s">
        <v>18091</v>
      </c>
      <c r="I3948" s="2" t="s">
        <v>18092</v>
      </c>
      <c r="K3948" s="2" t="s">
        <v>8891</v>
      </c>
      <c r="L3948" s="2" t="s">
        <v>560</v>
      </c>
      <c r="M3948" s="2">
        <v>52233.0</v>
      </c>
      <c r="N3948" s="2" t="s">
        <v>21</v>
      </c>
    </row>
    <row r="3949" ht="15.75" customHeight="1">
      <c r="A3949" s="2">
        <v>2015.0</v>
      </c>
      <c r="B3949" s="2" t="s">
        <v>18093</v>
      </c>
      <c r="C3949" s="2" t="s">
        <v>18094</v>
      </c>
      <c r="D3949" s="2" t="str">
        <f>"218-363-2250"</f>
        <v>218-363-2250</v>
      </c>
      <c r="E3949" s="2" t="s">
        <v>485</v>
      </c>
      <c r="F3949" s="2" t="s">
        <v>6884</v>
      </c>
      <c r="G3949" s="2" t="str">
        <f>"SR-4977"</f>
        <v>SR-4977</v>
      </c>
      <c r="H3949" s="2" t="s">
        <v>18095</v>
      </c>
      <c r="I3949" s="2" t="s">
        <v>18096</v>
      </c>
      <c r="K3949" s="2" t="s">
        <v>18097</v>
      </c>
      <c r="L3949" s="2" t="s">
        <v>62</v>
      </c>
      <c r="M3949" s="2">
        <v>56655.0</v>
      </c>
      <c r="N3949" s="2" t="s">
        <v>21</v>
      </c>
    </row>
    <row r="3950" ht="15.75" customHeight="1">
      <c r="A3950" s="2">
        <v>2015.0</v>
      </c>
      <c r="B3950" s="2" t="s">
        <v>18098</v>
      </c>
      <c r="C3950" s="2" t="s">
        <v>18099</v>
      </c>
      <c r="D3950" s="2" t="str">
        <f>"5097382944"</f>
        <v>5097382944</v>
      </c>
      <c r="E3950" s="2" t="s">
        <v>8887</v>
      </c>
      <c r="F3950" s="2" t="s">
        <v>2636</v>
      </c>
      <c r="G3950" s="2" t="str">
        <f>"SR-5018"</f>
        <v>SR-5018</v>
      </c>
      <c r="H3950" s="2" t="s">
        <v>18100</v>
      </c>
      <c r="I3950" s="2" t="s">
        <v>18042</v>
      </c>
      <c r="K3950" s="2" t="s">
        <v>14352</v>
      </c>
      <c r="L3950" s="2" t="s">
        <v>86</v>
      </c>
      <c r="M3950" s="2">
        <v>99167.0</v>
      </c>
      <c r="N3950" s="2" t="s">
        <v>21</v>
      </c>
    </row>
    <row r="3951" ht="15.75" customHeight="1">
      <c r="A3951" s="2">
        <v>2015.0</v>
      </c>
      <c r="B3951" s="2" t="s">
        <v>18101</v>
      </c>
      <c r="C3951" s="2" t="s">
        <v>18101</v>
      </c>
      <c r="D3951" s="2" t="str">
        <f>"303-330-7193"</f>
        <v>303-330-7193</v>
      </c>
      <c r="E3951" s="2" t="s">
        <v>385</v>
      </c>
      <c r="F3951" s="2" t="s">
        <v>2350</v>
      </c>
      <c r="G3951" s="2" t="str">
        <f>"SR-5586"</f>
        <v>SR-5586</v>
      </c>
      <c r="H3951" s="2" t="s">
        <v>18102</v>
      </c>
      <c r="I3951" s="2" t="s">
        <v>18103</v>
      </c>
      <c r="K3951" s="2" t="s">
        <v>1398</v>
      </c>
      <c r="L3951" s="2" t="s">
        <v>157</v>
      </c>
      <c r="M3951" s="2">
        <v>80109.0</v>
      </c>
      <c r="N3951" s="2" t="s">
        <v>21</v>
      </c>
    </row>
    <row r="3952" ht="15.75" customHeight="1">
      <c r="A3952" s="2">
        <v>2015.0</v>
      </c>
      <c r="B3952" s="2" t="s">
        <v>18104</v>
      </c>
      <c r="C3952" s="2" t="s">
        <v>18105</v>
      </c>
      <c r="D3952" s="2" t="str">
        <f>"505-385-9564"</f>
        <v>505-385-9564</v>
      </c>
      <c r="E3952" s="2" t="s">
        <v>1803</v>
      </c>
      <c r="F3952" s="2" t="s">
        <v>18106</v>
      </c>
      <c r="G3952" s="2" t="str">
        <f>"SR-5571"</f>
        <v>SR-5571</v>
      </c>
      <c r="H3952" s="2" t="s">
        <v>18107</v>
      </c>
      <c r="I3952" s="2" t="s">
        <v>18108</v>
      </c>
      <c r="K3952" s="2" t="s">
        <v>3803</v>
      </c>
      <c r="L3952" s="2" t="s">
        <v>789</v>
      </c>
      <c r="M3952" s="2">
        <v>87124.0</v>
      </c>
      <c r="N3952" s="2" t="s">
        <v>21</v>
      </c>
    </row>
    <row r="3953" ht="15.75" customHeight="1">
      <c r="A3953" s="2">
        <v>2015.0</v>
      </c>
      <c r="B3953" s="2" t="s">
        <v>18109</v>
      </c>
      <c r="C3953" s="2" t="s">
        <v>11364</v>
      </c>
      <c r="D3953" s="2" t="str">
        <f>"6202299804"</f>
        <v>6202299804</v>
      </c>
      <c r="E3953" s="2" t="s">
        <v>217</v>
      </c>
      <c r="F3953" s="2" t="s">
        <v>256</v>
      </c>
      <c r="G3953" s="2" t="str">
        <f>"SR-5086"</f>
        <v>SR-5086</v>
      </c>
      <c r="H3953" s="2" t="s">
        <v>18110</v>
      </c>
      <c r="I3953" s="2" t="s">
        <v>18111</v>
      </c>
      <c r="K3953" s="2" t="s">
        <v>3530</v>
      </c>
      <c r="L3953" s="2" t="s">
        <v>272</v>
      </c>
      <c r="M3953" s="2">
        <v>67156.0</v>
      </c>
      <c r="N3953" s="2" t="s">
        <v>21</v>
      </c>
    </row>
    <row r="3954" ht="15.75" customHeight="1">
      <c r="A3954" s="2">
        <v>2015.0</v>
      </c>
      <c r="B3954" s="2" t="s">
        <v>18112</v>
      </c>
      <c r="C3954" s="2" t="s">
        <v>18112</v>
      </c>
      <c r="D3954" s="2" t="str">
        <f>"(970) 686-2419"</f>
        <v>(970) 686-2419</v>
      </c>
      <c r="E3954" s="2" t="s">
        <v>18113</v>
      </c>
      <c r="F3954" s="2" t="s">
        <v>1629</v>
      </c>
      <c r="G3954" s="2" t="str">
        <f>"SR-5134"</f>
        <v>SR-5134</v>
      </c>
      <c r="H3954" s="2" t="s">
        <v>18114</v>
      </c>
      <c r="I3954" s="2" t="s">
        <v>18115</v>
      </c>
      <c r="K3954" s="2" t="s">
        <v>1632</v>
      </c>
      <c r="L3954" s="2" t="s">
        <v>157</v>
      </c>
      <c r="M3954" s="2">
        <v>80550.0</v>
      </c>
      <c r="N3954" s="2" t="s">
        <v>21</v>
      </c>
    </row>
    <row r="3955" ht="15.75" customHeight="1">
      <c r="A3955" s="2">
        <v>2015.0</v>
      </c>
      <c r="B3955" s="2" t="s">
        <v>18116</v>
      </c>
      <c r="C3955" s="2" t="s">
        <v>18116</v>
      </c>
      <c r="D3955" s="2" t="str">
        <f>"619 992 6221"</f>
        <v>619 992 6221</v>
      </c>
      <c r="E3955" s="2" t="s">
        <v>1810</v>
      </c>
      <c r="F3955" s="2" t="s">
        <v>14802</v>
      </c>
      <c r="G3955" s="2" t="str">
        <f>"SR-5552"</f>
        <v>SR-5552</v>
      </c>
      <c r="H3955" s="2" t="s">
        <v>18117</v>
      </c>
      <c r="I3955" s="2" t="s">
        <v>18118</v>
      </c>
      <c r="K3955" s="2" t="s">
        <v>18119</v>
      </c>
      <c r="L3955" s="2" t="s">
        <v>222</v>
      </c>
      <c r="M3955" s="2">
        <v>91977.0</v>
      </c>
      <c r="N3955" s="2" t="s">
        <v>21</v>
      </c>
    </row>
    <row r="3956" ht="15.75" customHeight="1">
      <c r="A3956" s="2">
        <v>2015.0</v>
      </c>
      <c r="B3956" s="2" t="s">
        <v>18120</v>
      </c>
      <c r="C3956" s="2" t="s">
        <v>18121</v>
      </c>
      <c r="D3956" s="2" t="str">
        <f>"925-229-2005"</f>
        <v>925-229-2005</v>
      </c>
      <c r="E3956" s="2" t="s">
        <v>1440</v>
      </c>
      <c r="F3956" s="2" t="s">
        <v>18122</v>
      </c>
      <c r="G3956" s="2" t="str">
        <f>"SR-5568"</f>
        <v>SR-5568</v>
      </c>
      <c r="H3956" s="2" t="s">
        <v>18123</v>
      </c>
      <c r="I3956" s="2" t="s">
        <v>18124</v>
      </c>
      <c r="K3956" s="2" t="s">
        <v>199</v>
      </c>
      <c r="L3956" s="2" t="s">
        <v>222</v>
      </c>
      <c r="M3956" s="2">
        <v>94553.0</v>
      </c>
      <c r="N3956" s="2" t="s">
        <v>21</v>
      </c>
    </row>
    <row r="3957" ht="15.75" customHeight="1">
      <c r="A3957" s="2">
        <v>2015.0</v>
      </c>
      <c r="B3957" s="2" t="s">
        <v>18125</v>
      </c>
      <c r="C3957" s="2" t="s">
        <v>18125</v>
      </c>
      <c r="D3957" s="2" t="str">
        <f>"325-260-9338"</f>
        <v>325-260-9338</v>
      </c>
      <c r="E3957" s="2" t="s">
        <v>994</v>
      </c>
      <c r="F3957" s="2" t="s">
        <v>6779</v>
      </c>
      <c r="G3957" s="2" t="str">
        <f>"SR-5307"</f>
        <v>SR-5307</v>
      </c>
      <c r="H3957" s="2" t="s">
        <v>18126</v>
      </c>
      <c r="I3957" s="2" t="s">
        <v>18127</v>
      </c>
      <c r="K3957" s="2" t="s">
        <v>18128</v>
      </c>
      <c r="L3957" s="2" t="s">
        <v>172</v>
      </c>
      <c r="M3957" s="2">
        <v>76226.0</v>
      </c>
      <c r="N3957" s="2" t="s">
        <v>21</v>
      </c>
    </row>
    <row r="3958" ht="15.75" customHeight="1">
      <c r="A3958" s="2">
        <v>2015.0</v>
      </c>
      <c r="B3958" s="2" t="s">
        <v>18129</v>
      </c>
      <c r="C3958" s="2" t="s">
        <v>18130</v>
      </c>
      <c r="D3958" s="2" t="str">
        <f>"2058731298"</f>
        <v>2058731298</v>
      </c>
      <c r="E3958" s="2" t="s">
        <v>14188</v>
      </c>
      <c r="F3958" s="2" t="s">
        <v>18131</v>
      </c>
      <c r="G3958" s="2" t="str">
        <f>"SR-5562"</f>
        <v>SR-5562</v>
      </c>
      <c r="H3958" s="2" t="s">
        <v>18132</v>
      </c>
      <c r="I3958" s="2" t="s">
        <v>18133</v>
      </c>
      <c r="K3958" s="2" t="s">
        <v>1173</v>
      </c>
      <c r="L3958" s="2" t="s">
        <v>539</v>
      </c>
      <c r="M3958" s="2">
        <v>35242.0</v>
      </c>
      <c r="N3958" s="2" t="s">
        <v>21</v>
      </c>
    </row>
    <row r="3959" ht="15.75" customHeight="1">
      <c r="A3959" s="2">
        <v>2015.0</v>
      </c>
      <c r="B3959" s="2" t="s">
        <v>2312</v>
      </c>
      <c r="C3959" s="2" t="s">
        <v>2313</v>
      </c>
      <c r="D3959" s="2" t="str">
        <f>"626-610-5329"</f>
        <v>626-610-5329</v>
      </c>
      <c r="E3959" s="2" t="s">
        <v>2314</v>
      </c>
      <c r="F3959" s="2" t="s">
        <v>51</v>
      </c>
      <c r="G3959" s="2" t="str">
        <f>"SR-806"</f>
        <v>SR-806</v>
      </c>
      <c r="H3959" s="2" t="s">
        <v>2315</v>
      </c>
      <c r="I3959" s="2" t="s">
        <v>2316</v>
      </c>
      <c r="K3959" s="2" t="s">
        <v>2317</v>
      </c>
      <c r="L3959" s="2" t="s">
        <v>157</v>
      </c>
      <c r="M3959" s="2">
        <v>80504.0</v>
      </c>
      <c r="N3959" s="2" t="s">
        <v>21</v>
      </c>
    </row>
    <row r="3960" ht="15.75" customHeight="1">
      <c r="A3960" s="2">
        <v>2015.0</v>
      </c>
      <c r="B3960" s="2" t="s">
        <v>18134</v>
      </c>
      <c r="C3960" s="2" t="s">
        <v>18135</v>
      </c>
      <c r="D3960" s="2" t="str">
        <f>"720-362-3832"</f>
        <v>720-362-3832</v>
      </c>
      <c r="E3960" s="2" t="s">
        <v>339</v>
      </c>
      <c r="F3960" s="2" t="s">
        <v>14462</v>
      </c>
      <c r="G3960" s="2" t="str">
        <f>"SR-5594"</f>
        <v>SR-5594</v>
      </c>
      <c r="H3960" s="2" t="s">
        <v>18136</v>
      </c>
      <c r="I3960" s="2" t="s">
        <v>18137</v>
      </c>
      <c r="K3960" s="2" t="s">
        <v>2317</v>
      </c>
      <c r="L3960" s="2" t="s">
        <v>157</v>
      </c>
      <c r="M3960" s="2">
        <v>80504.0</v>
      </c>
      <c r="N3960" s="2" t="s">
        <v>21</v>
      </c>
    </row>
    <row r="3961" ht="15.75" customHeight="1">
      <c r="A3961" s="2">
        <v>2015.0</v>
      </c>
      <c r="B3961" s="2" t="s">
        <v>18138</v>
      </c>
      <c r="C3961" s="2" t="s">
        <v>18139</v>
      </c>
      <c r="D3961" s="2" t="str">
        <f>"989-828-7065"</f>
        <v>989-828-7065</v>
      </c>
      <c r="E3961" s="2" t="s">
        <v>160</v>
      </c>
      <c r="F3961" s="2" t="s">
        <v>18140</v>
      </c>
      <c r="G3961" s="2" t="str">
        <f>"SR-5593"</f>
        <v>SR-5593</v>
      </c>
      <c r="H3961" s="2" t="s">
        <v>18141</v>
      </c>
      <c r="I3961" s="2" t="s">
        <v>18142</v>
      </c>
      <c r="K3961" s="2" t="s">
        <v>12211</v>
      </c>
      <c r="L3961" s="2" t="s">
        <v>29</v>
      </c>
      <c r="M3961" s="2">
        <v>48883.0</v>
      </c>
      <c r="N3961" s="2" t="s">
        <v>21</v>
      </c>
    </row>
    <row r="3962" ht="15.75" customHeight="1">
      <c r="A3962" s="2">
        <v>2015.0</v>
      </c>
      <c r="B3962" s="2" t="s">
        <v>18143</v>
      </c>
      <c r="C3962" s="2" t="s">
        <v>18143</v>
      </c>
      <c r="D3962" s="2" t="str">
        <f>"6129908426"</f>
        <v>6129908426</v>
      </c>
      <c r="E3962" s="2" t="s">
        <v>6202</v>
      </c>
      <c r="F3962" s="2" t="s">
        <v>1151</v>
      </c>
      <c r="G3962" s="2" t="str">
        <f>"SR-5595"</f>
        <v>SR-5595</v>
      </c>
      <c r="H3962" s="2" t="s">
        <v>18144</v>
      </c>
      <c r="I3962" s="2" t="s">
        <v>18145</v>
      </c>
      <c r="K3962" s="2" t="s">
        <v>1073</v>
      </c>
      <c r="L3962" s="2" t="s">
        <v>62</v>
      </c>
      <c r="M3962" s="2">
        <v>55408.0</v>
      </c>
      <c r="N3962" s="2" t="s">
        <v>21</v>
      </c>
    </row>
    <row r="3963" ht="15.75" customHeight="1">
      <c r="A3963" s="2">
        <v>2015.0</v>
      </c>
      <c r="B3963" s="2" t="s">
        <v>6211</v>
      </c>
      <c r="C3963" s="2" t="s">
        <v>18146</v>
      </c>
      <c r="D3963" s="2" t="str">
        <f>"620 947 2717"</f>
        <v>620 947 2717</v>
      </c>
      <c r="E3963" s="2" t="s">
        <v>1243</v>
      </c>
      <c r="F3963" s="2" t="s">
        <v>6213</v>
      </c>
      <c r="G3963" s="2" t="str">
        <f>"SR-5209"</f>
        <v>SR-5209</v>
      </c>
      <c r="H3963" s="2" t="s">
        <v>18147</v>
      </c>
      <c r="I3963" s="2" t="s">
        <v>6215</v>
      </c>
      <c r="K3963" s="2" t="s">
        <v>788</v>
      </c>
      <c r="L3963" s="2" t="s">
        <v>272</v>
      </c>
      <c r="M3963" s="2">
        <v>67063.0</v>
      </c>
      <c r="N3963" s="2" t="s">
        <v>21</v>
      </c>
    </row>
    <row r="3964" ht="15.75" customHeight="1">
      <c r="A3964" s="2">
        <v>2015.0</v>
      </c>
      <c r="B3964" s="2" t="s">
        <v>18148</v>
      </c>
      <c r="C3964" s="2" t="s">
        <v>18149</v>
      </c>
      <c r="D3964" s="2" t="str">
        <f>"9256740735"</f>
        <v>9256740735</v>
      </c>
      <c r="E3964" s="2" t="s">
        <v>843</v>
      </c>
      <c r="F3964" s="2" t="s">
        <v>18150</v>
      </c>
      <c r="G3964" s="2" t="str">
        <f>"SR-5575"</f>
        <v>SR-5575</v>
      </c>
      <c r="H3964" s="2" t="s">
        <v>18151</v>
      </c>
      <c r="I3964" s="2" t="s">
        <v>18152</v>
      </c>
      <c r="K3964" s="2" t="s">
        <v>8923</v>
      </c>
      <c r="L3964" s="2" t="s">
        <v>222</v>
      </c>
      <c r="M3964" s="2">
        <v>94523.0</v>
      </c>
      <c r="N3964" s="2" t="s">
        <v>21</v>
      </c>
    </row>
    <row r="3965" ht="15.75" customHeight="1">
      <c r="A3965" s="2">
        <v>2015.0</v>
      </c>
      <c r="B3965" s="2" t="s">
        <v>15641</v>
      </c>
      <c r="C3965" s="2" t="s">
        <v>15642</v>
      </c>
      <c r="D3965" s="2" t="str">
        <f>"260-710-2324"</f>
        <v>260-710-2324</v>
      </c>
      <c r="E3965" s="2" t="s">
        <v>485</v>
      </c>
      <c r="F3965" s="2" t="s">
        <v>2753</v>
      </c>
      <c r="G3965" s="2" t="str">
        <f>"SR-4550"</f>
        <v>SR-4550</v>
      </c>
      <c r="H3965" s="2" t="s">
        <v>15643</v>
      </c>
      <c r="I3965" s="2" t="s">
        <v>15644</v>
      </c>
      <c r="K3965" s="2" t="s">
        <v>6312</v>
      </c>
      <c r="L3965" s="2" t="s">
        <v>149</v>
      </c>
      <c r="M3965" s="2">
        <v>46706.0</v>
      </c>
      <c r="N3965" s="2" t="s">
        <v>21</v>
      </c>
    </row>
    <row r="3966" ht="15.75" customHeight="1">
      <c r="A3966" s="2">
        <v>2015.0</v>
      </c>
      <c r="B3966" s="2" t="s">
        <v>15641</v>
      </c>
      <c r="C3966" s="2" t="s">
        <v>18153</v>
      </c>
      <c r="D3966" s="2" t="str">
        <f>"260-715-1515"</f>
        <v>260-715-1515</v>
      </c>
      <c r="E3966" s="2" t="s">
        <v>301</v>
      </c>
      <c r="F3966" s="2" t="s">
        <v>2753</v>
      </c>
      <c r="G3966" s="2" t="str">
        <f>"SR-5600"</f>
        <v>SR-5600</v>
      </c>
      <c r="H3966" s="2" t="s">
        <v>18154</v>
      </c>
      <c r="I3966" s="2" t="s">
        <v>18155</v>
      </c>
      <c r="K3966" s="2" t="s">
        <v>4577</v>
      </c>
      <c r="L3966" s="2" t="s">
        <v>149</v>
      </c>
      <c r="M3966" s="2">
        <v>46783.0</v>
      </c>
      <c r="N3966" s="2" t="s">
        <v>21</v>
      </c>
    </row>
    <row r="3967" ht="15.75" customHeight="1">
      <c r="A3967" s="2">
        <v>2015.0</v>
      </c>
      <c r="B3967" s="2" t="s">
        <v>18156</v>
      </c>
      <c r="C3967" s="2" t="s">
        <v>18156</v>
      </c>
      <c r="D3967" s="2" t="str">
        <f>"8068635337"</f>
        <v>8068635337</v>
      </c>
      <c r="E3967" s="2" t="s">
        <v>955</v>
      </c>
      <c r="F3967" s="2" t="s">
        <v>13490</v>
      </c>
      <c r="G3967" s="2" t="str">
        <f>"SR-5383"</f>
        <v>SR-5383</v>
      </c>
      <c r="H3967" s="2" t="s">
        <v>18157</v>
      </c>
      <c r="I3967" s="2" t="s">
        <v>18158</v>
      </c>
      <c r="K3967" s="2" t="s">
        <v>13493</v>
      </c>
      <c r="L3967" s="2" t="s">
        <v>172</v>
      </c>
      <c r="M3967" s="2">
        <v>79382.0</v>
      </c>
      <c r="N3967" s="2" t="s">
        <v>21</v>
      </c>
    </row>
    <row r="3968" ht="15.75" customHeight="1">
      <c r="A3968" s="2">
        <v>2015.0</v>
      </c>
      <c r="B3968" s="2" t="s">
        <v>18159</v>
      </c>
      <c r="C3968" s="2" t="s">
        <v>18159</v>
      </c>
      <c r="D3968" s="2" t="str">
        <f>"4802876349"</f>
        <v>4802876349</v>
      </c>
      <c r="E3968" s="2" t="s">
        <v>3400</v>
      </c>
      <c r="F3968" s="2" t="s">
        <v>18160</v>
      </c>
      <c r="G3968" s="2" t="str">
        <f>"SR-5567"</f>
        <v>SR-5567</v>
      </c>
      <c r="H3968" s="2" t="s">
        <v>18161</v>
      </c>
      <c r="I3968" s="2" t="s">
        <v>18162</v>
      </c>
      <c r="K3968" s="2" t="s">
        <v>18163</v>
      </c>
      <c r="L3968" s="2" t="s">
        <v>422</v>
      </c>
      <c r="M3968" s="2">
        <v>85254.0</v>
      </c>
      <c r="N3968" s="2" t="s">
        <v>21</v>
      </c>
    </row>
    <row r="3969" ht="15.75" customHeight="1">
      <c r="A3969" s="2">
        <v>2015.0</v>
      </c>
      <c r="B3969" s="2" t="s">
        <v>18164</v>
      </c>
      <c r="C3969" s="2" t="s">
        <v>18164</v>
      </c>
      <c r="D3969" s="2" t="str">
        <f>"443-900-7612"</f>
        <v>443-900-7612</v>
      </c>
      <c r="E3969" s="2" t="s">
        <v>659</v>
      </c>
      <c r="F3969" s="2" t="s">
        <v>18165</v>
      </c>
      <c r="G3969" s="2" t="str">
        <f>"SR-5605"</f>
        <v>SR-5605</v>
      </c>
      <c r="H3969" s="2" t="s">
        <v>18166</v>
      </c>
      <c r="I3969" s="2" t="s">
        <v>18167</v>
      </c>
      <c r="K3969" s="2" t="s">
        <v>18168</v>
      </c>
      <c r="L3969" s="2" t="s">
        <v>1868</v>
      </c>
      <c r="M3969" s="2">
        <v>21234.0</v>
      </c>
      <c r="N3969" s="2" t="s">
        <v>21</v>
      </c>
    </row>
    <row r="3970" ht="15.75" customHeight="1">
      <c r="A3970" s="2">
        <v>2015.0</v>
      </c>
      <c r="B3970" s="2" t="s">
        <v>18169</v>
      </c>
      <c r="C3970" s="2" t="s">
        <v>18170</v>
      </c>
      <c r="D3970" s="2" t="str">
        <f>"717-419-5770"</f>
        <v>717-419-5770</v>
      </c>
      <c r="E3970" s="2" t="s">
        <v>456</v>
      </c>
      <c r="F3970" s="2" t="s">
        <v>962</v>
      </c>
      <c r="G3970" s="2" t="str">
        <f>"SR-5606"</f>
        <v>SR-5606</v>
      </c>
      <c r="H3970" s="2" t="s">
        <v>18171</v>
      </c>
      <c r="I3970" s="2" t="s">
        <v>18172</v>
      </c>
      <c r="K3970" s="2" t="s">
        <v>18173</v>
      </c>
      <c r="L3970" s="2" t="s">
        <v>179</v>
      </c>
      <c r="M3970" s="2">
        <v>17522.0</v>
      </c>
      <c r="N3970" s="2" t="s">
        <v>21</v>
      </c>
    </row>
    <row r="3971" ht="15.75" customHeight="1">
      <c r="A3971" s="2">
        <v>2015.0</v>
      </c>
      <c r="B3971" s="2" t="s">
        <v>18174</v>
      </c>
      <c r="C3971" s="2" t="s">
        <v>18174</v>
      </c>
      <c r="D3971" s="2" t="str">
        <f>"4805601455"</f>
        <v>4805601455</v>
      </c>
      <c r="E3971" s="2" t="s">
        <v>47</v>
      </c>
      <c r="F3971" s="2" t="s">
        <v>18160</v>
      </c>
      <c r="G3971" s="2" t="str">
        <f>"SR-5604"</f>
        <v>SR-5604</v>
      </c>
      <c r="H3971" s="2" t="s">
        <v>18175</v>
      </c>
      <c r="I3971" s="2" t="s">
        <v>18162</v>
      </c>
      <c r="K3971" s="2" t="s">
        <v>1593</v>
      </c>
      <c r="L3971" s="2" t="s">
        <v>422</v>
      </c>
      <c r="M3971" s="2">
        <v>85254.0</v>
      </c>
      <c r="N3971" s="2" t="s">
        <v>21</v>
      </c>
    </row>
    <row r="3972" ht="15.75" customHeight="1">
      <c r="A3972" s="2">
        <v>2015.0</v>
      </c>
      <c r="B3972" s="2" t="s">
        <v>18176</v>
      </c>
      <c r="C3972" s="2" t="s">
        <v>18176</v>
      </c>
      <c r="D3972" s="2" t="str">
        <f>"2249441123"</f>
        <v>2249441123</v>
      </c>
      <c r="E3972" s="2" t="s">
        <v>301</v>
      </c>
      <c r="F3972" s="2" t="s">
        <v>14432</v>
      </c>
      <c r="G3972" s="2" t="str">
        <f>"SR-5591"</f>
        <v>SR-5591</v>
      </c>
      <c r="H3972" s="2" t="s">
        <v>18177</v>
      </c>
      <c r="I3972" s="2" t="s">
        <v>18178</v>
      </c>
      <c r="K3972" s="2" t="s">
        <v>18179</v>
      </c>
      <c r="L3972" s="2" t="s">
        <v>105</v>
      </c>
      <c r="M3972" s="2">
        <v>60096.0</v>
      </c>
      <c r="N3972" s="2" t="s">
        <v>21</v>
      </c>
    </row>
    <row r="3973" ht="15.75" customHeight="1">
      <c r="A3973" s="2">
        <v>2015.0</v>
      </c>
      <c r="B3973" s="2" t="s">
        <v>7330</v>
      </c>
      <c r="C3973" s="2" t="s">
        <v>18180</v>
      </c>
      <c r="D3973" s="2" t="str">
        <f>"4068556154"</f>
        <v>4068556154</v>
      </c>
      <c r="E3973" s="2" t="s">
        <v>225</v>
      </c>
      <c r="F3973" s="2" t="s">
        <v>7331</v>
      </c>
      <c r="G3973" s="2" t="str">
        <f>"SR-3989"</f>
        <v>SR-3989</v>
      </c>
      <c r="H3973" s="2" t="s">
        <v>18181</v>
      </c>
      <c r="I3973" s="2" t="s">
        <v>18182</v>
      </c>
      <c r="K3973" s="2" t="s">
        <v>3548</v>
      </c>
      <c r="L3973" s="2" t="s">
        <v>2696</v>
      </c>
      <c r="M3973" s="2">
        <v>59101.0</v>
      </c>
      <c r="N3973" s="2" t="s">
        <v>21</v>
      </c>
    </row>
    <row r="3974" ht="15.75" customHeight="1">
      <c r="A3974" s="2">
        <v>2015.0</v>
      </c>
      <c r="B3974" s="2" t="s">
        <v>2785</v>
      </c>
      <c r="C3974" s="2" t="s">
        <v>18183</v>
      </c>
      <c r="D3974" s="2" t="str">
        <f>"256-217-0440"</f>
        <v>256-217-0440</v>
      </c>
      <c r="E3974" s="2" t="s">
        <v>417</v>
      </c>
      <c r="F3974" s="2" t="s">
        <v>2787</v>
      </c>
      <c r="G3974" s="2" t="str">
        <f>"SR-5608"</f>
        <v>SR-5608</v>
      </c>
      <c r="H3974" s="2" t="s">
        <v>18184</v>
      </c>
      <c r="I3974" s="2" t="s">
        <v>2789</v>
      </c>
      <c r="K3974" s="2" t="s">
        <v>659</v>
      </c>
      <c r="L3974" s="2" t="s">
        <v>539</v>
      </c>
      <c r="M3974" s="2">
        <v>35757.0</v>
      </c>
      <c r="N3974" s="2" t="s">
        <v>21</v>
      </c>
    </row>
    <row r="3975" ht="15.75" customHeight="1">
      <c r="A3975" s="2">
        <v>2015.0</v>
      </c>
      <c r="B3975" s="2" t="s">
        <v>7330</v>
      </c>
      <c r="C3975" s="2" t="s">
        <v>7330</v>
      </c>
      <c r="D3975" s="2" t="str">
        <f>"4068500191"</f>
        <v>4068500191</v>
      </c>
      <c r="E3975" s="2" t="s">
        <v>651</v>
      </c>
      <c r="F3975" s="2" t="s">
        <v>7331</v>
      </c>
      <c r="G3975" s="2" t="str">
        <f>"SR-1978"</f>
        <v>SR-1978</v>
      </c>
      <c r="H3975" s="2" t="s">
        <v>7332</v>
      </c>
      <c r="I3975" s="2" t="s">
        <v>7333</v>
      </c>
      <c r="K3975" s="2" t="s">
        <v>3548</v>
      </c>
      <c r="L3975" s="2" t="s">
        <v>2696</v>
      </c>
      <c r="M3975" s="2">
        <v>59101.0</v>
      </c>
      <c r="N3975" s="2" t="s">
        <v>21</v>
      </c>
    </row>
    <row r="3976" ht="15.75" customHeight="1">
      <c r="A3976" s="2">
        <v>2015.0</v>
      </c>
      <c r="B3976" s="2" t="s">
        <v>18185</v>
      </c>
      <c r="C3976" s="2" t="s">
        <v>18186</v>
      </c>
      <c r="D3976" s="2" t="str">
        <f>"5072542062"</f>
        <v>5072542062</v>
      </c>
      <c r="E3976" s="2" t="s">
        <v>18187</v>
      </c>
      <c r="F3976" s="2" t="s">
        <v>108</v>
      </c>
      <c r="G3976" s="2" t="str">
        <f>"SR-5062"</f>
        <v>SR-5062</v>
      </c>
      <c r="H3976" s="2" t="s">
        <v>18188</v>
      </c>
      <c r="I3976" s="2" t="s">
        <v>18189</v>
      </c>
      <c r="K3976" s="2" t="s">
        <v>18190</v>
      </c>
      <c r="L3976" s="2" t="s">
        <v>157</v>
      </c>
      <c r="M3976" s="2">
        <v>80113.0</v>
      </c>
      <c r="N3976" s="2" t="s">
        <v>21</v>
      </c>
    </row>
    <row r="3977" ht="15.75" customHeight="1">
      <c r="A3977" s="2">
        <v>2015.0</v>
      </c>
      <c r="B3977" s="2" t="s">
        <v>18191</v>
      </c>
      <c r="C3977" s="2" t="s">
        <v>18192</v>
      </c>
      <c r="D3977" s="2" t="str">
        <f>"8633705004"</f>
        <v>8633705004</v>
      </c>
      <c r="E3977" s="2" t="s">
        <v>1274</v>
      </c>
      <c r="F3977" s="2" t="s">
        <v>18193</v>
      </c>
      <c r="G3977" s="2" t="str">
        <f>"SR-5579"</f>
        <v>SR-5579</v>
      </c>
      <c r="H3977" s="2" t="s">
        <v>18194</v>
      </c>
      <c r="I3977" s="2" t="s">
        <v>18195</v>
      </c>
      <c r="K3977" s="2" t="s">
        <v>18196</v>
      </c>
      <c r="L3977" s="2" t="s">
        <v>208</v>
      </c>
      <c r="M3977" s="2">
        <v>33805.0</v>
      </c>
      <c r="N3977" s="2" t="s">
        <v>21</v>
      </c>
    </row>
    <row r="3978" ht="15.75" customHeight="1">
      <c r="A3978" s="2">
        <v>2015.0</v>
      </c>
      <c r="B3978" s="2" t="s">
        <v>18197</v>
      </c>
      <c r="C3978" s="2" t="s">
        <v>18198</v>
      </c>
      <c r="D3978" s="2" t="str">
        <f>"540-955-0584"</f>
        <v>540-955-0584</v>
      </c>
      <c r="E3978" s="2" t="s">
        <v>288</v>
      </c>
      <c r="F3978" s="2" t="s">
        <v>18199</v>
      </c>
      <c r="G3978" s="2" t="str">
        <f>"SR-5610"</f>
        <v>SR-5610</v>
      </c>
      <c r="H3978" s="2" t="s">
        <v>18200</v>
      </c>
      <c r="I3978" s="2" t="s">
        <v>18201</v>
      </c>
      <c r="K3978" s="2" t="s">
        <v>2461</v>
      </c>
      <c r="L3978" s="2" t="s">
        <v>165</v>
      </c>
      <c r="M3978" s="2">
        <v>22611.0</v>
      </c>
      <c r="N3978" s="2" t="s">
        <v>21</v>
      </c>
    </row>
    <row r="3979" ht="15.75" customHeight="1">
      <c r="A3979" s="2">
        <v>2015.0</v>
      </c>
      <c r="B3979" s="2" t="s">
        <v>2318</v>
      </c>
      <c r="C3979" s="2" t="s">
        <v>2318</v>
      </c>
      <c r="D3979" s="2" t="str">
        <f>"623-236-5627"</f>
        <v>623-236-5627</v>
      </c>
      <c r="E3979" s="2" t="s">
        <v>456</v>
      </c>
      <c r="F3979" s="2" t="s">
        <v>2319</v>
      </c>
      <c r="G3979" s="2" t="str">
        <f>"SR-296"</f>
        <v>SR-296</v>
      </c>
      <c r="H3979" s="2" t="s">
        <v>2320</v>
      </c>
      <c r="I3979" s="2" t="s">
        <v>2321</v>
      </c>
      <c r="K3979" s="2" t="s">
        <v>1133</v>
      </c>
      <c r="L3979" s="2" t="s">
        <v>422</v>
      </c>
      <c r="M3979" s="2">
        <v>85301.0</v>
      </c>
      <c r="N3979" s="2" t="s">
        <v>21</v>
      </c>
    </row>
    <row r="3980" ht="15.75" customHeight="1">
      <c r="A3980" s="2">
        <v>2015.0</v>
      </c>
      <c r="B3980" s="2" t="s">
        <v>18202</v>
      </c>
      <c r="C3980" s="2" t="s">
        <v>18202</v>
      </c>
      <c r="D3980" s="2" t="str">
        <f>"(702) 912-6542"</f>
        <v>(702) 912-6542</v>
      </c>
      <c r="E3980" s="2" t="s">
        <v>367</v>
      </c>
      <c r="F3980" s="2" t="s">
        <v>645</v>
      </c>
      <c r="G3980" s="2" t="str">
        <f>"SR-5381"</f>
        <v>SR-5381</v>
      </c>
      <c r="H3980" s="2" t="s">
        <v>18203</v>
      </c>
      <c r="I3980" s="2" t="s">
        <v>18204</v>
      </c>
      <c r="K3980" s="2" t="s">
        <v>3128</v>
      </c>
      <c r="L3980" s="2" t="s">
        <v>1419</v>
      </c>
      <c r="M3980" s="2">
        <v>89179.0</v>
      </c>
      <c r="N3980" s="2" t="s">
        <v>21</v>
      </c>
    </row>
    <row r="3981" ht="15.75" customHeight="1">
      <c r="A3981" s="2">
        <v>2015.0</v>
      </c>
      <c r="B3981" s="2" t="s">
        <v>18205</v>
      </c>
      <c r="C3981" s="2" t="s">
        <v>18206</v>
      </c>
      <c r="D3981" s="2" t="str">
        <f>"5409318427"</f>
        <v>5409318427</v>
      </c>
      <c r="E3981" s="2" t="s">
        <v>1022</v>
      </c>
      <c r="F3981" s="2" t="s">
        <v>8649</v>
      </c>
      <c r="G3981" s="2" t="str">
        <f>"SR-5613"</f>
        <v>SR-5613</v>
      </c>
      <c r="H3981" s="2" t="s">
        <v>18207</v>
      </c>
      <c r="I3981" s="2" t="s">
        <v>18208</v>
      </c>
      <c r="K3981" s="2" t="s">
        <v>18209</v>
      </c>
      <c r="L3981" s="2" t="s">
        <v>165</v>
      </c>
      <c r="M3981" s="2">
        <v>22655.0</v>
      </c>
      <c r="N3981" s="2" t="s">
        <v>21</v>
      </c>
    </row>
    <row r="3982" ht="15.75" customHeight="1">
      <c r="A3982" s="2">
        <v>2015.0</v>
      </c>
      <c r="B3982" s="2" t="s">
        <v>2322</v>
      </c>
      <c r="C3982" s="2" t="s">
        <v>2322</v>
      </c>
      <c r="D3982" s="2" t="str">
        <f>"(906) 863-8085"</f>
        <v>(906) 863-8085</v>
      </c>
      <c r="E3982" s="2" t="s">
        <v>261</v>
      </c>
      <c r="F3982" s="2" t="s">
        <v>2323</v>
      </c>
      <c r="G3982" s="2" t="str">
        <f>"SR-778"</f>
        <v>SR-778</v>
      </c>
      <c r="H3982" s="2" t="s">
        <v>2324</v>
      </c>
      <c r="I3982" s="2" t="s">
        <v>2325</v>
      </c>
      <c r="K3982" s="2" t="s">
        <v>1849</v>
      </c>
      <c r="L3982" s="2" t="s">
        <v>29</v>
      </c>
      <c r="M3982" s="2">
        <v>49893.0</v>
      </c>
      <c r="N3982" s="2" t="s">
        <v>21</v>
      </c>
    </row>
    <row r="3983" ht="15.75" customHeight="1">
      <c r="A3983" s="2">
        <v>2015.0</v>
      </c>
      <c r="B3983" s="2" t="s">
        <v>18205</v>
      </c>
      <c r="C3983" s="2" t="s">
        <v>18210</v>
      </c>
      <c r="D3983" s="2" t="str">
        <f>"5409318428"</f>
        <v>5409318428</v>
      </c>
      <c r="E3983" s="2" t="s">
        <v>160</v>
      </c>
      <c r="F3983" s="2" t="s">
        <v>8649</v>
      </c>
      <c r="G3983" s="2" t="str">
        <f>"SR-4865"</f>
        <v>SR-4865</v>
      </c>
      <c r="H3983" s="2" t="s">
        <v>18211</v>
      </c>
      <c r="I3983" s="2" t="s">
        <v>18212</v>
      </c>
      <c r="K3983" s="2" t="s">
        <v>18209</v>
      </c>
      <c r="L3983" s="2" t="s">
        <v>165</v>
      </c>
      <c r="M3983" s="2">
        <v>22655.0</v>
      </c>
      <c r="N3983" s="2" t="s">
        <v>21</v>
      </c>
    </row>
    <row r="3984" ht="15.75" customHeight="1">
      <c r="A3984" s="2">
        <v>2015.0</v>
      </c>
      <c r="B3984" s="2" t="s">
        <v>18213</v>
      </c>
      <c r="C3984" s="2" t="s">
        <v>18213</v>
      </c>
      <c r="D3984" s="2" t="str">
        <f>"8439066518"</f>
        <v>8439066518</v>
      </c>
      <c r="E3984" s="2" t="s">
        <v>1810</v>
      </c>
      <c r="F3984" s="2" t="s">
        <v>6336</v>
      </c>
      <c r="G3984" s="2" t="str">
        <f>"SR-5566"</f>
        <v>SR-5566</v>
      </c>
      <c r="H3984" s="2" t="s">
        <v>18214</v>
      </c>
      <c r="I3984" s="2" t="s">
        <v>18215</v>
      </c>
      <c r="K3984" s="2" t="s">
        <v>1984</v>
      </c>
      <c r="L3984" s="2" t="s">
        <v>55</v>
      </c>
      <c r="M3984" s="2">
        <v>29412.0</v>
      </c>
      <c r="N3984" s="2" t="s">
        <v>21</v>
      </c>
    </row>
    <row r="3985" ht="15.75" customHeight="1">
      <c r="A3985" s="2">
        <v>2015.0</v>
      </c>
      <c r="B3985" s="2" t="s">
        <v>18216</v>
      </c>
      <c r="C3985" s="2" t="s">
        <v>18217</v>
      </c>
      <c r="D3985" s="2" t="str">
        <f>"(773)271-7158"</f>
        <v>(773)271-7158</v>
      </c>
      <c r="E3985" s="2" t="s">
        <v>5858</v>
      </c>
      <c r="F3985" s="2" t="s">
        <v>18218</v>
      </c>
      <c r="G3985" s="2" t="str">
        <f>"SR-5408"</f>
        <v>SR-5408</v>
      </c>
      <c r="H3985" s="2" t="s">
        <v>18219</v>
      </c>
      <c r="I3985" s="2" t="s">
        <v>18220</v>
      </c>
      <c r="K3985" s="2" t="s">
        <v>18221</v>
      </c>
      <c r="L3985" s="2" t="s">
        <v>105</v>
      </c>
      <c r="M3985" s="2">
        <v>60625.0</v>
      </c>
      <c r="N3985" s="2" t="s">
        <v>21</v>
      </c>
    </row>
    <row r="3986" ht="15.75" customHeight="1">
      <c r="A3986" s="2">
        <v>2015.0</v>
      </c>
      <c r="B3986" s="2" t="s">
        <v>18222</v>
      </c>
      <c r="C3986" s="2" t="s">
        <v>18223</v>
      </c>
      <c r="D3986" s="2" t="str">
        <f>"505-934-3689"</f>
        <v>505-934-3689</v>
      </c>
      <c r="E3986" s="2" t="s">
        <v>4865</v>
      </c>
      <c r="F3986" s="2" t="s">
        <v>18224</v>
      </c>
      <c r="G3986" s="2" t="str">
        <f>"SR-5612"</f>
        <v>SR-5612</v>
      </c>
      <c r="H3986" s="2" t="s">
        <v>18225</v>
      </c>
      <c r="I3986" s="2" t="s">
        <v>18226</v>
      </c>
      <c r="K3986" s="2" t="s">
        <v>3803</v>
      </c>
      <c r="L3986" s="2" t="s">
        <v>789</v>
      </c>
      <c r="M3986" s="2">
        <v>87144.0</v>
      </c>
      <c r="N3986" s="2" t="s">
        <v>21</v>
      </c>
    </row>
    <row r="3987" ht="15.75" customHeight="1">
      <c r="A3987" s="2">
        <v>2015.0</v>
      </c>
      <c r="B3987" s="2" t="s">
        <v>18227</v>
      </c>
      <c r="C3987" s="2" t="s">
        <v>18228</v>
      </c>
      <c r="D3987" s="2" t="str">
        <f>"9105674232"</f>
        <v>9105674232</v>
      </c>
      <c r="E3987" s="2" t="s">
        <v>2997</v>
      </c>
      <c r="F3987" s="2" t="s">
        <v>4941</v>
      </c>
      <c r="G3987" s="2" t="str">
        <f>"SR-5419"</f>
        <v>SR-5419</v>
      </c>
      <c r="H3987" s="2" t="s">
        <v>18229</v>
      </c>
      <c r="I3987" s="2" t="s">
        <v>18230</v>
      </c>
      <c r="K3987" s="2" t="s">
        <v>18231</v>
      </c>
      <c r="L3987" s="2" t="s">
        <v>20</v>
      </c>
      <c r="M3987" s="2">
        <v>28344.0</v>
      </c>
      <c r="N3987" s="2" t="s">
        <v>21</v>
      </c>
    </row>
    <row r="3988" ht="15.75" customHeight="1">
      <c r="A3988" s="2">
        <v>2015.0</v>
      </c>
      <c r="B3988" s="2" t="s">
        <v>7381</v>
      </c>
      <c r="C3988" s="2" t="s">
        <v>7381</v>
      </c>
      <c r="D3988" s="2" t="str">
        <f>"(601)5205210"</f>
        <v>(601)5205210</v>
      </c>
      <c r="E3988" s="2" t="s">
        <v>534</v>
      </c>
      <c r="F3988" s="2" t="s">
        <v>7382</v>
      </c>
      <c r="G3988" s="2" t="str">
        <f>"SR-1873"</f>
        <v>SR-1873</v>
      </c>
      <c r="H3988" s="2" t="s">
        <v>7383</v>
      </c>
      <c r="I3988" s="2" t="s">
        <v>7384</v>
      </c>
      <c r="K3988" s="2" t="s">
        <v>7385</v>
      </c>
      <c r="L3988" s="2" t="s">
        <v>1722</v>
      </c>
      <c r="M3988" s="2">
        <v>39402.0</v>
      </c>
      <c r="N3988" s="2" t="s">
        <v>21</v>
      </c>
    </row>
    <row r="3989" ht="15.75" customHeight="1">
      <c r="A3989" s="2">
        <v>2015.0</v>
      </c>
      <c r="B3989" s="2" t="s">
        <v>18232</v>
      </c>
      <c r="C3989" s="2" t="s">
        <v>18232</v>
      </c>
      <c r="D3989" s="2" t="str">
        <f>"719-338-7716"</f>
        <v>719-338-7716</v>
      </c>
      <c r="E3989" s="2" t="s">
        <v>6922</v>
      </c>
      <c r="F3989" s="2" t="s">
        <v>1496</v>
      </c>
      <c r="G3989" s="2" t="str">
        <f>"SR-4862"</f>
        <v>SR-4862</v>
      </c>
      <c r="H3989" s="2" t="s">
        <v>18233</v>
      </c>
      <c r="I3989" s="2" t="s">
        <v>18234</v>
      </c>
      <c r="K3989" s="2" t="s">
        <v>507</v>
      </c>
      <c r="L3989" s="2" t="s">
        <v>157</v>
      </c>
      <c r="M3989" s="2">
        <v>80132.0</v>
      </c>
      <c r="N3989" s="2" t="s">
        <v>21</v>
      </c>
    </row>
    <row r="3990" ht="15.75" customHeight="1">
      <c r="A3990" s="2">
        <v>2015.0</v>
      </c>
      <c r="B3990" s="2" t="s">
        <v>18235</v>
      </c>
      <c r="C3990" s="2" t="s">
        <v>18235</v>
      </c>
      <c r="D3990" s="2" t="str">
        <f>"512.918.1602"</f>
        <v>512.918.1602</v>
      </c>
      <c r="E3990" s="2" t="s">
        <v>282</v>
      </c>
      <c r="F3990" s="2" t="s">
        <v>1246</v>
      </c>
      <c r="G3990" s="2" t="str">
        <f>"SR-4990"</f>
        <v>SR-4990</v>
      </c>
      <c r="H3990" s="2" t="s">
        <v>18236</v>
      </c>
      <c r="I3990" s="2" t="s">
        <v>18237</v>
      </c>
      <c r="K3990" s="2" t="s">
        <v>1249</v>
      </c>
      <c r="L3990" s="2" t="s">
        <v>172</v>
      </c>
      <c r="M3990" s="2">
        <v>78613.0</v>
      </c>
      <c r="N3990" s="2" t="s">
        <v>21</v>
      </c>
    </row>
    <row r="3991" ht="15.75" customHeight="1">
      <c r="A3991" s="2">
        <v>2015.0</v>
      </c>
      <c r="B3991" s="2" t="s">
        <v>18238</v>
      </c>
      <c r="C3991" s="2" t="s">
        <v>18239</v>
      </c>
      <c r="D3991" s="2" t="str">
        <f>"406-952-0473"</f>
        <v>406-952-0473</v>
      </c>
      <c r="E3991" s="2" t="s">
        <v>124</v>
      </c>
      <c r="F3991" s="2" t="s">
        <v>18240</v>
      </c>
      <c r="G3991" s="2" t="str">
        <f>"SR-5294"</f>
        <v>SR-5294</v>
      </c>
      <c r="H3991" s="2" t="s">
        <v>18241</v>
      </c>
      <c r="I3991" s="2" t="s">
        <v>18242</v>
      </c>
      <c r="K3991" s="2" t="s">
        <v>17600</v>
      </c>
      <c r="L3991" s="2" t="s">
        <v>2696</v>
      </c>
      <c r="M3991" s="2">
        <v>59404.0</v>
      </c>
      <c r="N3991" s="2" t="s">
        <v>21</v>
      </c>
    </row>
    <row r="3992" ht="15.75" customHeight="1">
      <c r="A3992" s="2">
        <v>2015.0</v>
      </c>
      <c r="B3992" s="2" t="s">
        <v>7208</v>
      </c>
      <c r="C3992" s="2" t="s">
        <v>18243</v>
      </c>
      <c r="D3992" s="2" t="str">
        <f>"7203121862"</f>
        <v>7203121862</v>
      </c>
      <c r="E3992" s="2" t="s">
        <v>18244</v>
      </c>
      <c r="F3992" s="2" t="s">
        <v>7211</v>
      </c>
      <c r="G3992" s="2" t="str">
        <f>"SR-5446"</f>
        <v>SR-5446</v>
      </c>
      <c r="H3992" s="2" t="s">
        <v>18245</v>
      </c>
      <c r="I3992" s="2" t="s">
        <v>7213</v>
      </c>
      <c r="K3992" s="2" t="s">
        <v>1223</v>
      </c>
      <c r="L3992" s="2" t="s">
        <v>157</v>
      </c>
      <c r="M3992" s="2">
        <v>80433.0</v>
      </c>
      <c r="N3992" s="2" t="s">
        <v>21</v>
      </c>
    </row>
    <row r="3993" ht="15.75" customHeight="1">
      <c r="A3993" s="2">
        <v>2015.0</v>
      </c>
      <c r="B3993" s="2" t="s">
        <v>15192</v>
      </c>
      <c r="C3993" s="2" t="s">
        <v>15192</v>
      </c>
      <c r="D3993" s="2" t="str">
        <f>"208-597-3447"</f>
        <v>208-597-3447</v>
      </c>
      <c r="E3993" s="2" t="s">
        <v>678</v>
      </c>
      <c r="F3993" s="2" t="s">
        <v>15193</v>
      </c>
      <c r="G3993" s="2" t="str">
        <f>"SR-5569"</f>
        <v>SR-5569</v>
      </c>
      <c r="H3993" s="2" t="s">
        <v>18246</v>
      </c>
      <c r="I3993" s="2" t="s">
        <v>15195</v>
      </c>
      <c r="K3993" s="2" t="s">
        <v>5046</v>
      </c>
      <c r="L3993" s="2" t="s">
        <v>2613</v>
      </c>
      <c r="M3993" s="2">
        <v>83847.0</v>
      </c>
      <c r="N3993" s="2" t="s">
        <v>21</v>
      </c>
    </row>
    <row r="3994" ht="15.75" customHeight="1">
      <c r="A3994" s="2">
        <v>2015.0</v>
      </c>
      <c r="B3994" s="2" t="s">
        <v>18247</v>
      </c>
      <c r="C3994" s="2" t="s">
        <v>18248</v>
      </c>
      <c r="D3994" s="2" t="str">
        <f>"512.818.3601"</f>
        <v>512.818.3601</v>
      </c>
      <c r="E3994" s="2" t="s">
        <v>678</v>
      </c>
      <c r="F3994" s="2" t="s">
        <v>18249</v>
      </c>
      <c r="G3994" s="2" t="str">
        <f>"SR-5601"</f>
        <v>SR-5601</v>
      </c>
      <c r="H3994" s="2" t="s">
        <v>18250</v>
      </c>
      <c r="I3994" s="2" t="s">
        <v>18251</v>
      </c>
      <c r="K3994" s="2" t="s">
        <v>4482</v>
      </c>
      <c r="L3994" s="2" t="s">
        <v>172</v>
      </c>
      <c r="M3994" s="2">
        <v>78628.0</v>
      </c>
      <c r="N3994" s="2" t="s">
        <v>21</v>
      </c>
    </row>
    <row r="3995" ht="15.75" customHeight="1">
      <c r="A3995" s="2">
        <v>2015.0</v>
      </c>
      <c r="B3995" s="2" t="s">
        <v>18252</v>
      </c>
      <c r="C3995" s="2" t="s">
        <v>18252</v>
      </c>
      <c r="D3995" s="2" t="str">
        <f>"623-570-5086"</f>
        <v>623-570-5086</v>
      </c>
      <c r="E3995" s="2" t="s">
        <v>18253</v>
      </c>
      <c r="F3995" s="2" t="s">
        <v>18160</v>
      </c>
      <c r="G3995" s="2" t="str">
        <f>"SR-5609"</f>
        <v>SR-5609</v>
      </c>
      <c r="H3995" s="2" t="s">
        <v>18254</v>
      </c>
      <c r="I3995" s="2" t="s">
        <v>18255</v>
      </c>
      <c r="K3995" s="2" t="s">
        <v>1133</v>
      </c>
      <c r="L3995" s="2" t="s">
        <v>422</v>
      </c>
      <c r="M3995" s="2">
        <v>85303.0</v>
      </c>
      <c r="N3995" s="2" t="s">
        <v>21</v>
      </c>
    </row>
    <row r="3996" ht="15.75" customHeight="1">
      <c r="A3996" s="2">
        <v>2015.0</v>
      </c>
      <c r="B3996" s="2" t="s">
        <v>18256</v>
      </c>
      <c r="C3996" s="2" t="s">
        <v>18257</v>
      </c>
      <c r="D3996" s="2" t="str">
        <f>"918-331-8875"</f>
        <v>918-331-8875</v>
      </c>
      <c r="E3996" s="2" t="s">
        <v>6244</v>
      </c>
      <c r="F3996" s="2" t="s">
        <v>18258</v>
      </c>
      <c r="G3996" s="2" t="str">
        <f>"SR-5405"</f>
        <v>SR-5405</v>
      </c>
      <c r="H3996" s="2" t="s">
        <v>18259</v>
      </c>
      <c r="I3996" s="2" t="s">
        <v>18260</v>
      </c>
      <c r="K3996" s="2" t="s">
        <v>18261</v>
      </c>
      <c r="L3996" s="2" t="s">
        <v>840</v>
      </c>
      <c r="M3996" s="2">
        <v>74006.0</v>
      </c>
      <c r="N3996" s="2" t="s">
        <v>21</v>
      </c>
    </row>
    <row r="3997" ht="15.75" customHeight="1">
      <c r="A3997" s="2">
        <v>2015.0</v>
      </c>
      <c r="B3997" s="2" t="s">
        <v>9979</v>
      </c>
      <c r="C3997" s="2" t="s">
        <v>9979</v>
      </c>
      <c r="D3997" s="2" t="str">
        <f>"5152445556"</f>
        <v>5152445556</v>
      </c>
      <c r="E3997" s="2" t="s">
        <v>4665</v>
      </c>
      <c r="F3997" s="2" t="s">
        <v>9980</v>
      </c>
      <c r="G3997" s="2" t="str">
        <f>"SR-5633"</f>
        <v>SR-5633</v>
      </c>
      <c r="H3997" s="2" t="s">
        <v>18262</v>
      </c>
      <c r="I3997" s="2" t="s">
        <v>18263</v>
      </c>
      <c r="K3997" s="2" t="s">
        <v>1996</v>
      </c>
      <c r="L3997" s="2" t="s">
        <v>560</v>
      </c>
      <c r="M3997" s="2">
        <v>50313.0</v>
      </c>
      <c r="N3997" s="2" t="s">
        <v>21</v>
      </c>
    </row>
    <row r="3998" ht="15.75" customHeight="1">
      <c r="A3998" s="2">
        <v>2015.0</v>
      </c>
      <c r="B3998" s="2" t="s">
        <v>18264</v>
      </c>
      <c r="C3998" s="2" t="s">
        <v>18264</v>
      </c>
      <c r="D3998" s="2" t="str">
        <f>"8062529956"</f>
        <v>8062529956</v>
      </c>
      <c r="E3998" s="2" t="s">
        <v>705</v>
      </c>
      <c r="F3998" s="2" t="s">
        <v>18265</v>
      </c>
      <c r="G3998" s="2" t="str">
        <f>"SR-5637"</f>
        <v>SR-5637</v>
      </c>
      <c r="H3998" s="2" t="s">
        <v>18266</v>
      </c>
      <c r="I3998" s="2" t="s">
        <v>18267</v>
      </c>
      <c r="K3998" s="2" t="s">
        <v>1121</v>
      </c>
      <c r="L3998" s="2" t="s">
        <v>172</v>
      </c>
      <c r="M3998" s="2">
        <v>79407.0</v>
      </c>
      <c r="N3998" s="2" t="s">
        <v>21</v>
      </c>
    </row>
    <row r="3999" ht="15.75" customHeight="1">
      <c r="A3999" s="2">
        <v>2015.0</v>
      </c>
      <c r="B3999" s="2" t="s">
        <v>18268</v>
      </c>
      <c r="C3999" s="2" t="s">
        <v>18268</v>
      </c>
      <c r="D3999" s="2" t="str">
        <f>"4062550680"</f>
        <v>4062550680</v>
      </c>
      <c r="E3999" s="2" t="s">
        <v>18269</v>
      </c>
      <c r="F3999" s="2" t="s">
        <v>11610</v>
      </c>
      <c r="G3999" s="2" t="str">
        <f>"SR-5639"</f>
        <v>SR-5639</v>
      </c>
      <c r="H3999" s="2" t="s">
        <v>18270</v>
      </c>
      <c r="I3999" s="2" t="s">
        <v>18271</v>
      </c>
      <c r="K3999" s="2" t="s">
        <v>3548</v>
      </c>
      <c r="L3999" s="2" t="s">
        <v>2696</v>
      </c>
      <c r="M3999" s="2">
        <v>59101.0</v>
      </c>
      <c r="N3999" s="2" t="s">
        <v>21</v>
      </c>
    </row>
    <row r="4000" ht="15.75" customHeight="1">
      <c r="A4000" s="2">
        <v>2015.0</v>
      </c>
      <c r="B4000" s="2" t="s">
        <v>18272</v>
      </c>
      <c r="C4000" s="2" t="s">
        <v>18273</v>
      </c>
      <c r="D4000" s="2" t="str">
        <f>"515-963-8311"</f>
        <v>515-963-8311</v>
      </c>
      <c r="E4000" s="2" t="s">
        <v>1803</v>
      </c>
      <c r="F4000" s="2" t="s">
        <v>8862</v>
      </c>
      <c r="G4000" s="2" t="str">
        <f>"SR-5638"</f>
        <v>SR-5638</v>
      </c>
      <c r="H4000" s="2" t="s">
        <v>18274</v>
      </c>
      <c r="I4000" s="2" t="s">
        <v>18275</v>
      </c>
      <c r="K4000" s="2" t="s">
        <v>559</v>
      </c>
      <c r="L4000" s="2" t="s">
        <v>560</v>
      </c>
      <c r="M4000" s="2">
        <v>50021.0</v>
      </c>
      <c r="N4000" s="2" t="s">
        <v>21</v>
      </c>
    </row>
    <row r="4001" ht="15.75" customHeight="1">
      <c r="A4001" s="2">
        <v>2015.0</v>
      </c>
      <c r="B4001" s="2" t="s">
        <v>18276</v>
      </c>
      <c r="C4001" s="2" t="s">
        <v>18276</v>
      </c>
      <c r="D4001" s="2" t="str">
        <f>"3037209593"</f>
        <v>3037209593</v>
      </c>
      <c r="E4001" s="2" t="s">
        <v>18277</v>
      </c>
      <c r="F4001" s="2" t="s">
        <v>10603</v>
      </c>
      <c r="G4001" s="2" t="str">
        <f>"SR-5205"</f>
        <v>SR-5205</v>
      </c>
      <c r="H4001" s="2" t="s">
        <v>18278</v>
      </c>
      <c r="I4001" s="2" t="s">
        <v>18279</v>
      </c>
      <c r="K4001" s="2" t="s">
        <v>6915</v>
      </c>
      <c r="L4001" s="2" t="s">
        <v>157</v>
      </c>
      <c r="M4001" s="2">
        <v>80020.0</v>
      </c>
      <c r="N4001" s="2" t="s">
        <v>21</v>
      </c>
    </row>
    <row r="4002" ht="15.75" customHeight="1">
      <c r="A4002" s="2">
        <v>2015.0</v>
      </c>
      <c r="B4002" s="2" t="s">
        <v>18280</v>
      </c>
      <c r="C4002" s="2" t="s">
        <v>18281</v>
      </c>
      <c r="D4002" s="2" t="str">
        <f>"864-978-4141"</f>
        <v>864-978-4141</v>
      </c>
      <c r="E4002" s="2" t="s">
        <v>1434</v>
      </c>
      <c r="F4002" s="2" t="s">
        <v>847</v>
      </c>
      <c r="G4002" s="2" t="str">
        <f>"SR-5180"</f>
        <v>SR-5180</v>
      </c>
      <c r="H4002" s="2" t="s">
        <v>18282</v>
      </c>
      <c r="I4002" s="2" t="s">
        <v>18283</v>
      </c>
      <c r="K4002" s="2" t="s">
        <v>18284</v>
      </c>
      <c r="L4002" s="2" t="s">
        <v>55</v>
      </c>
      <c r="M4002" s="2">
        <v>29303.0</v>
      </c>
      <c r="N4002" s="2" t="s">
        <v>21</v>
      </c>
    </row>
    <row r="4003" ht="15.75" customHeight="1">
      <c r="A4003" s="2">
        <v>2015.0</v>
      </c>
      <c r="B4003" s="2" t="s">
        <v>18285</v>
      </c>
      <c r="C4003" s="2" t="s">
        <v>18285</v>
      </c>
      <c r="D4003" s="2" t="str">
        <f>"7127079299"</f>
        <v>7127079299</v>
      </c>
      <c r="E4003" s="2" t="s">
        <v>261</v>
      </c>
      <c r="F4003" s="2" t="s">
        <v>18011</v>
      </c>
      <c r="G4003" s="2" t="str">
        <f>"SR-5640"</f>
        <v>SR-5640</v>
      </c>
      <c r="H4003" s="2" t="s">
        <v>18286</v>
      </c>
      <c r="I4003" s="2" t="s">
        <v>18287</v>
      </c>
      <c r="K4003" s="2" t="s">
        <v>12097</v>
      </c>
      <c r="L4003" s="2" t="s">
        <v>560</v>
      </c>
      <c r="M4003" s="2">
        <v>51041.0</v>
      </c>
      <c r="N4003" s="2" t="s">
        <v>21</v>
      </c>
    </row>
    <row r="4004" ht="15.75" customHeight="1">
      <c r="A4004" s="2">
        <v>2015.0</v>
      </c>
      <c r="B4004" s="2" t="s">
        <v>18288</v>
      </c>
      <c r="C4004" s="2" t="s">
        <v>18289</v>
      </c>
      <c r="D4004" s="2" t="str">
        <f>"6789839521"</f>
        <v>6789839521</v>
      </c>
      <c r="E4004" s="2" t="s">
        <v>18290</v>
      </c>
      <c r="F4004" s="2" t="s">
        <v>18291</v>
      </c>
      <c r="G4004" s="2" t="str">
        <f>"SR-5179"</f>
        <v>SR-5179</v>
      </c>
      <c r="H4004" s="2" t="s">
        <v>18292</v>
      </c>
      <c r="I4004" s="2" t="s">
        <v>18293</v>
      </c>
      <c r="K4004" s="2" t="s">
        <v>18294</v>
      </c>
      <c r="L4004" s="2" t="s">
        <v>200</v>
      </c>
      <c r="M4004" s="2">
        <v>30263.0</v>
      </c>
      <c r="N4004" s="2" t="s">
        <v>21</v>
      </c>
    </row>
    <row r="4005" ht="15.75" customHeight="1">
      <c r="A4005" s="2">
        <v>2015.0</v>
      </c>
      <c r="B4005" s="2" t="s">
        <v>18295</v>
      </c>
      <c r="C4005" s="2" t="s">
        <v>18295</v>
      </c>
      <c r="D4005" s="2" t="str">
        <f>"4438473565"</f>
        <v>4438473565</v>
      </c>
      <c r="E4005" s="2" t="s">
        <v>1548</v>
      </c>
      <c r="F4005" s="2" t="s">
        <v>18296</v>
      </c>
      <c r="G4005" s="2" t="str">
        <f>"SR-4796"</f>
        <v>SR-4796</v>
      </c>
      <c r="H4005" s="2" t="s">
        <v>18297</v>
      </c>
      <c r="I4005" s="2" t="s">
        <v>18298</v>
      </c>
      <c r="K4005" s="2" t="s">
        <v>18168</v>
      </c>
      <c r="L4005" s="2" t="s">
        <v>1868</v>
      </c>
      <c r="M4005" s="2">
        <v>21231.0</v>
      </c>
      <c r="N4005" s="2" t="s">
        <v>21</v>
      </c>
    </row>
    <row r="4006" ht="15.75" customHeight="1">
      <c r="A4006" s="2">
        <v>2015.0</v>
      </c>
      <c r="B4006" s="2" t="s">
        <v>18299</v>
      </c>
      <c r="C4006" s="2" t="s">
        <v>18299</v>
      </c>
      <c r="D4006" s="2" t="str">
        <f>"9897512984"</f>
        <v>9897512984</v>
      </c>
      <c r="E4006" s="2" t="s">
        <v>2965</v>
      </c>
      <c r="F4006" s="2" t="s">
        <v>18300</v>
      </c>
      <c r="G4006" s="2" t="str">
        <f>"SR-5643"</f>
        <v>SR-5643</v>
      </c>
      <c r="H4006" s="2" t="s">
        <v>18301</v>
      </c>
      <c r="I4006" s="2" t="s">
        <v>18302</v>
      </c>
      <c r="K4006" s="2" t="s">
        <v>3984</v>
      </c>
      <c r="L4006" s="2" t="s">
        <v>560</v>
      </c>
      <c r="M4006" s="2">
        <v>50131.0</v>
      </c>
      <c r="N4006" s="2" t="s">
        <v>21</v>
      </c>
    </row>
    <row r="4007" ht="15.75" customHeight="1">
      <c r="A4007" s="2">
        <v>2015.0</v>
      </c>
      <c r="B4007" s="2" t="s">
        <v>18303</v>
      </c>
      <c r="C4007" s="2" t="s">
        <v>18303</v>
      </c>
      <c r="D4007" s="2" t="str">
        <f>"641-745-5522"</f>
        <v>641-745-5522</v>
      </c>
      <c r="E4007" s="2" t="s">
        <v>830</v>
      </c>
      <c r="F4007" s="2" t="s">
        <v>18304</v>
      </c>
      <c r="G4007" s="2" t="str">
        <f>"SR-5359"</f>
        <v>SR-5359</v>
      </c>
      <c r="H4007" s="2" t="s">
        <v>18305</v>
      </c>
      <c r="I4007" s="2" t="s">
        <v>18306</v>
      </c>
      <c r="K4007" s="2" t="s">
        <v>18307</v>
      </c>
      <c r="L4007" s="2" t="s">
        <v>560</v>
      </c>
      <c r="M4007" s="2">
        <v>50849.0</v>
      </c>
      <c r="N4007" s="2" t="s">
        <v>21</v>
      </c>
    </row>
    <row r="4008" ht="15.75" customHeight="1">
      <c r="A4008" s="2">
        <v>2015.0</v>
      </c>
      <c r="B4008" s="2" t="s">
        <v>18308</v>
      </c>
      <c r="C4008" s="2" t="s">
        <v>18309</v>
      </c>
      <c r="D4008" s="2" t="str">
        <f>"9706929027"</f>
        <v>9706929027</v>
      </c>
      <c r="E4008" s="2" t="s">
        <v>18310</v>
      </c>
      <c r="F4008" s="2" t="s">
        <v>18311</v>
      </c>
      <c r="G4008" s="2" t="str">
        <f>"SR-5563"</f>
        <v>SR-5563</v>
      </c>
      <c r="H4008" s="2" t="s">
        <v>18312</v>
      </c>
      <c r="I4008" s="2" t="s">
        <v>18313</v>
      </c>
      <c r="K4008" s="2" t="s">
        <v>656</v>
      </c>
      <c r="L4008" s="2" t="s">
        <v>157</v>
      </c>
      <c r="M4008" s="2">
        <v>80525.0</v>
      </c>
      <c r="N4008" s="2" t="s">
        <v>21</v>
      </c>
    </row>
    <row r="4009" ht="15.75" customHeight="1">
      <c r="A4009" s="2">
        <v>2015.0</v>
      </c>
      <c r="B4009" s="2" t="s">
        <v>9743</v>
      </c>
      <c r="C4009" s="2" t="s">
        <v>18314</v>
      </c>
      <c r="D4009" s="2" t="str">
        <f>"8633984599"</f>
        <v>8633984599</v>
      </c>
      <c r="E4009" s="2" t="s">
        <v>651</v>
      </c>
      <c r="F4009" s="2" t="s">
        <v>2841</v>
      </c>
      <c r="G4009" s="2" t="str">
        <f>"SR-5622"</f>
        <v>SR-5622</v>
      </c>
      <c r="H4009" s="2" t="s">
        <v>18315</v>
      </c>
      <c r="I4009" s="2" t="s">
        <v>9746</v>
      </c>
      <c r="K4009" s="2" t="s">
        <v>1570</v>
      </c>
      <c r="L4009" s="2" t="s">
        <v>208</v>
      </c>
      <c r="M4009" s="2">
        <v>33803.0</v>
      </c>
      <c r="N4009" s="2" t="s">
        <v>21</v>
      </c>
    </row>
    <row r="4010" ht="15.75" customHeight="1">
      <c r="A4010" s="2">
        <v>2015.0</v>
      </c>
      <c r="B4010" s="2" t="s">
        <v>18316</v>
      </c>
      <c r="C4010" s="2" t="s">
        <v>18317</v>
      </c>
      <c r="D4010" s="2" t="str">
        <f>"(720)347-0227"</f>
        <v>(720)347-0227</v>
      </c>
      <c r="E4010" s="2" t="s">
        <v>3977</v>
      </c>
      <c r="F4010" s="2" t="s">
        <v>3978</v>
      </c>
      <c r="G4010" s="2" t="str">
        <f>"SR-5619"</f>
        <v>SR-5619</v>
      </c>
      <c r="H4010" s="2" t="s">
        <v>3979</v>
      </c>
      <c r="I4010" s="2" t="s">
        <v>18318</v>
      </c>
      <c r="K4010" s="2" t="s">
        <v>4939</v>
      </c>
      <c r="L4010" s="2" t="s">
        <v>157</v>
      </c>
      <c r="M4010" s="2">
        <v>80516.0</v>
      </c>
      <c r="N4010" s="2" t="s">
        <v>21</v>
      </c>
    </row>
    <row r="4011" ht="15.75" customHeight="1">
      <c r="A4011" s="2">
        <v>2015.0</v>
      </c>
      <c r="B4011" s="2" t="s">
        <v>18319</v>
      </c>
      <c r="C4011" s="2" t="s">
        <v>18320</v>
      </c>
      <c r="D4011" s="2" t="str">
        <f>"806-4707784"</f>
        <v>806-4707784</v>
      </c>
      <c r="E4011" s="2" t="s">
        <v>261</v>
      </c>
      <c r="F4011" s="2" t="s">
        <v>18265</v>
      </c>
      <c r="G4011" s="2" t="str">
        <f>"SR-5657"</f>
        <v>SR-5657</v>
      </c>
      <c r="H4011" s="2" t="s">
        <v>18321</v>
      </c>
      <c r="I4011" s="2" t="s">
        <v>18322</v>
      </c>
      <c r="K4011" s="2" t="s">
        <v>1121</v>
      </c>
      <c r="L4011" s="2" t="s">
        <v>172</v>
      </c>
      <c r="M4011" s="2">
        <v>79407.0</v>
      </c>
      <c r="N4011" s="2" t="s">
        <v>21</v>
      </c>
    </row>
    <row r="4012" ht="15.75" customHeight="1">
      <c r="A4012" s="2">
        <v>2015.0</v>
      </c>
      <c r="B4012" s="2" t="s">
        <v>18323</v>
      </c>
      <c r="D4012" s="2" t="str">
        <f>""</f>
        <v/>
      </c>
      <c r="E4012" s="2" t="s">
        <v>521</v>
      </c>
      <c r="F4012" s="2" t="s">
        <v>18324</v>
      </c>
      <c r="G4012" s="2" t="str">
        <f>"SR-5435"</f>
        <v>SR-5435</v>
      </c>
      <c r="H4012" s="2" t="s">
        <v>18325</v>
      </c>
    </row>
    <row r="4013" ht="15.75" customHeight="1">
      <c r="A4013" s="2">
        <v>2015.0</v>
      </c>
      <c r="B4013" s="2" t="s">
        <v>18326</v>
      </c>
      <c r="C4013" s="2" t="s">
        <v>18327</v>
      </c>
      <c r="D4013" s="2" t="str">
        <f>"8599073239"</f>
        <v>8599073239</v>
      </c>
      <c r="E4013" s="2" t="s">
        <v>3342</v>
      </c>
      <c r="F4013" s="2" t="s">
        <v>18328</v>
      </c>
      <c r="G4013" s="2" t="str">
        <f>"SR-5279"</f>
        <v>SR-5279</v>
      </c>
      <c r="H4013" s="2" t="s">
        <v>18329</v>
      </c>
      <c r="I4013" s="2" t="s">
        <v>18330</v>
      </c>
      <c r="K4013" s="2" t="s">
        <v>10431</v>
      </c>
      <c r="L4013" s="2" t="s">
        <v>1236</v>
      </c>
      <c r="M4013" s="2">
        <v>41042.0</v>
      </c>
      <c r="N4013" s="2" t="s">
        <v>21</v>
      </c>
    </row>
    <row r="4014" ht="15.75" customHeight="1">
      <c r="A4014" s="2">
        <v>2015.0</v>
      </c>
      <c r="B4014" s="2" t="s">
        <v>18331</v>
      </c>
      <c r="C4014" s="2" t="s">
        <v>18331</v>
      </c>
      <c r="D4014" s="2" t="str">
        <f>"806-790-9953"</f>
        <v>806-790-9953</v>
      </c>
      <c r="E4014" s="2" t="s">
        <v>651</v>
      </c>
      <c r="F4014" s="2" t="s">
        <v>18265</v>
      </c>
      <c r="G4014" s="2" t="str">
        <f>"SR-5596"</f>
        <v>SR-5596</v>
      </c>
      <c r="H4014" s="2" t="s">
        <v>18332</v>
      </c>
      <c r="I4014" s="2" t="s">
        <v>18267</v>
      </c>
      <c r="K4014" s="2" t="s">
        <v>1121</v>
      </c>
      <c r="L4014" s="2" t="s">
        <v>172</v>
      </c>
      <c r="M4014" s="2">
        <v>79407.0</v>
      </c>
      <c r="N4014" s="2" t="s">
        <v>21</v>
      </c>
    </row>
    <row r="4015" ht="15.75" customHeight="1">
      <c r="A4015" s="2">
        <v>2015.0</v>
      </c>
      <c r="B4015" s="2" t="s">
        <v>18333</v>
      </c>
      <c r="C4015" s="2" t="s">
        <v>18334</v>
      </c>
      <c r="D4015" s="2" t="str">
        <f>"317-919-8871"</f>
        <v>317-919-8871</v>
      </c>
      <c r="E4015" s="2" t="s">
        <v>18335</v>
      </c>
      <c r="F4015" s="2" t="s">
        <v>4237</v>
      </c>
      <c r="G4015" s="2" t="str">
        <f>"SR-5342"</f>
        <v>SR-5342</v>
      </c>
      <c r="H4015" s="2" t="s">
        <v>18336</v>
      </c>
      <c r="I4015" s="2" t="s">
        <v>18337</v>
      </c>
      <c r="K4015" s="2" t="s">
        <v>1188</v>
      </c>
      <c r="L4015" s="2" t="s">
        <v>149</v>
      </c>
      <c r="M4015" s="2">
        <v>46227.0</v>
      </c>
      <c r="N4015" s="2" t="s">
        <v>21</v>
      </c>
    </row>
    <row r="4016" ht="15.75" customHeight="1">
      <c r="A4016" s="2">
        <v>2015.0</v>
      </c>
      <c r="B4016" s="2" t="s">
        <v>18338</v>
      </c>
      <c r="C4016" s="2" t="s">
        <v>18339</v>
      </c>
      <c r="D4016" s="2" t="str">
        <f>"520-405-3168"</f>
        <v>520-405-3168</v>
      </c>
      <c r="E4016" s="2" t="s">
        <v>2598</v>
      </c>
      <c r="F4016" s="2" t="s">
        <v>3289</v>
      </c>
      <c r="G4016" s="2" t="str">
        <f>"SR-5016"</f>
        <v>SR-5016</v>
      </c>
      <c r="H4016" s="2" t="s">
        <v>18340</v>
      </c>
      <c r="I4016" s="2" t="s">
        <v>18341</v>
      </c>
      <c r="K4016" s="2" t="s">
        <v>5946</v>
      </c>
      <c r="L4016" s="2" t="s">
        <v>422</v>
      </c>
      <c r="M4016" s="2">
        <v>85745.0</v>
      </c>
      <c r="N4016" s="2" t="s">
        <v>21</v>
      </c>
    </row>
    <row r="4017" ht="15.75" customHeight="1">
      <c r="A4017" s="2">
        <v>2015.0</v>
      </c>
      <c r="B4017" s="2" t="s">
        <v>18342</v>
      </c>
      <c r="C4017" s="2" t="s">
        <v>18343</v>
      </c>
      <c r="D4017" s="2" t="str">
        <f>"(605) 252-0611"</f>
        <v>(605) 252-0611</v>
      </c>
      <c r="E4017" s="2" t="s">
        <v>5280</v>
      </c>
      <c r="F4017" s="2" t="s">
        <v>18344</v>
      </c>
      <c r="G4017" s="2" t="str">
        <f>"SR-5634"</f>
        <v>SR-5634</v>
      </c>
      <c r="H4017" s="2" t="s">
        <v>18345</v>
      </c>
      <c r="I4017" s="2" t="s">
        <v>18346</v>
      </c>
      <c r="K4017" s="2" t="s">
        <v>16552</v>
      </c>
      <c r="L4017" s="2" t="s">
        <v>920</v>
      </c>
      <c r="M4017" s="2">
        <v>57401.0</v>
      </c>
      <c r="N4017" s="2" t="s">
        <v>21</v>
      </c>
    </row>
    <row r="4018" ht="15.75" customHeight="1">
      <c r="A4018" s="2">
        <v>2015.0</v>
      </c>
      <c r="B4018" s="2" t="s">
        <v>18347</v>
      </c>
      <c r="C4018" s="2" t="s">
        <v>18348</v>
      </c>
      <c r="D4018" s="2" t="str">
        <f>"520-273-0247"</f>
        <v>520-273-0247</v>
      </c>
      <c r="E4018" s="2" t="s">
        <v>167</v>
      </c>
      <c r="F4018" s="2" t="s">
        <v>2342</v>
      </c>
      <c r="G4018" s="2" t="str">
        <f>"SR-5660"</f>
        <v>SR-5660</v>
      </c>
      <c r="H4018" s="2" t="s">
        <v>18349</v>
      </c>
      <c r="I4018" s="2" t="s">
        <v>18350</v>
      </c>
      <c r="K4018" s="2" t="s">
        <v>5946</v>
      </c>
      <c r="L4018" s="2" t="s">
        <v>422</v>
      </c>
      <c r="M4018" s="2">
        <v>85750.0</v>
      </c>
      <c r="N4018" s="2" t="s">
        <v>21</v>
      </c>
    </row>
    <row r="4019" ht="15.75" customHeight="1">
      <c r="A4019" s="2">
        <v>2015.0</v>
      </c>
      <c r="B4019" s="2" t="s">
        <v>18351</v>
      </c>
      <c r="C4019" s="2" t="s">
        <v>18352</v>
      </c>
      <c r="D4019" s="2" t="str">
        <f>"6194212152"</f>
        <v>6194212152</v>
      </c>
      <c r="E4019" s="2" t="s">
        <v>18353</v>
      </c>
      <c r="F4019" s="2" t="s">
        <v>13073</v>
      </c>
      <c r="G4019" s="2" t="str">
        <f>"SR-5416"</f>
        <v>SR-5416</v>
      </c>
      <c r="H4019" s="2" t="s">
        <v>18354</v>
      </c>
      <c r="I4019" s="2" t="s">
        <v>18355</v>
      </c>
      <c r="K4019" s="2" t="s">
        <v>18356</v>
      </c>
      <c r="L4019" s="2" t="s">
        <v>222</v>
      </c>
      <c r="M4019" s="2">
        <v>91913.0</v>
      </c>
      <c r="N4019" s="2" t="s">
        <v>21</v>
      </c>
    </row>
    <row r="4020" ht="15.75" customHeight="1">
      <c r="A4020" s="2">
        <v>2015.0</v>
      </c>
      <c r="B4020" s="2" t="s">
        <v>18357</v>
      </c>
      <c r="D4020" s="2" t="str">
        <f>""</f>
        <v/>
      </c>
      <c r="E4020" s="2" t="s">
        <v>2401</v>
      </c>
      <c r="F4020" s="2" t="s">
        <v>18358</v>
      </c>
      <c r="G4020" s="2" t="str">
        <f>"SR-4962"</f>
        <v>SR-4962</v>
      </c>
      <c r="H4020" s="2" t="s">
        <v>18359</v>
      </c>
      <c r="N4020" s="2" t="s">
        <v>21</v>
      </c>
    </row>
    <row r="4021" ht="15.75" customHeight="1">
      <c r="A4021" s="2">
        <v>2015.0</v>
      </c>
      <c r="B4021" s="2" t="s">
        <v>11127</v>
      </c>
      <c r="C4021" s="2" t="s">
        <v>18360</v>
      </c>
      <c r="D4021" s="2" t="str">
        <f>"806-438-5384"</f>
        <v>806-438-5384</v>
      </c>
      <c r="E4021" s="2" t="s">
        <v>160</v>
      </c>
      <c r="F4021" s="2" t="s">
        <v>1151</v>
      </c>
      <c r="G4021" s="2" t="str">
        <f>"SR-4227"</f>
        <v>SR-4227</v>
      </c>
      <c r="H4021" s="2" t="s">
        <v>18361</v>
      </c>
      <c r="I4021" s="2" t="s">
        <v>18362</v>
      </c>
      <c r="K4021" s="2" t="s">
        <v>1121</v>
      </c>
      <c r="L4021" s="2" t="s">
        <v>172</v>
      </c>
      <c r="M4021" s="2">
        <v>79416.0</v>
      </c>
      <c r="N4021" s="2" t="s">
        <v>21</v>
      </c>
    </row>
    <row r="4022" ht="15.75" customHeight="1">
      <c r="A4022" s="2">
        <v>2015.0</v>
      </c>
      <c r="B4022" s="2" t="s">
        <v>18363</v>
      </c>
      <c r="C4022" s="2" t="s">
        <v>18363</v>
      </c>
      <c r="D4022" s="2" t="str">
        <f>"(360) 914-3874"</f>
        <v>(360) 914-3874</v>
      </c>
      <c r="E4022" s="2" t="s">
        <v>12166</v>
      </c>
      <c r="F4022" s="2" t="s">
        <v>16064</v>
      </c>
      <c r="G4022" s="2" t="str">
        <f>"SR-5661"</f>
        <v>SR-5661</v>
      </c>
      <c r="H4022" s="2" t="s">
        <v>18364</v>
      </c>
      <c r="I4022" s="2" t="s">
        <v>18365</v>
      </c>
      <c r="K4022" s="2" t="s">
        <v>13145</v>
      </c>
      <c r="L4022" s="2" t="s">
        <v>86</v>
      </c>
      <c r="M4022" s="2">
        <v>98664.0</v>
      </c>
      <c r="N4022" s="2" t="s">
        <v>21</v>
      </c>
    </row>
    <row r="4023" ht="15.75" customHeight="1">
      <c r="A4023" s="2">
        <v>2015.0</v>
      </c>
      <c r="B4023" s="2" t="s">
        <v>18366</v>
      </c>
      <c r="C4023" s="2" t="s">
        <v>18367</v>
      </c>
      <c r="D4023" s="2" t="str">
        <f>"540 247 2090"</f>
        <v>540 247 2090</v>
      </c>
      <c r="E4023" s="2" t="s">
        <v>1251</v>
      </c>
      <c r="F4023" s="2" t="s">
        <v>5300</v>
      </c>
      <c r="G4023" s="2" t="str">
        <f>"SR-5629"</f>
        <v>SR-5629</v>
      </c>
      <c r="H4023" s="2" t="s">
        <v>18368</v>
      </c>
      <c r="I4023" s="2" t="s">
        <v>18369</v>
      </c>
      <c r="K4023" s="2" t="s">
        <v>18209</v>
      </c>
      <c r="L4023" s="2" t="s">
        <v>165</v>
      </c>
      <c r="M4023" s="2">
        <v>22655.0</v>
      </c>
      <c r="N4023" s="2" t="s">
        <v>21</v>
      </c>
    </row>
    <row r="4024" ht="15.75" customHeight="1">
      <c r="A4024" s="2">
        <v>2015.0</v>
      </c>
      <c r="B4024" s="2" t="s">
        <v>6334</v>
      </c>
      <c r="C4024" s="2" t="s">
        <v>18370</v>
      </c>
      <c r="D4024" s="2" t="str">
        <f>"609-828-5180"</f>
        <v>609-828-5180</v>
      </c>
      <c r="E4024" s="2" t="s">
        <v>1007</v>
      </c>
      <c r="F4024" s="2" t="s">
        <v>6336</v>
      </c>
      <c r="G4024" s="2" t="str">
        <f>"SR-5666"</f>
        <v>SR-5666</v>
      </c>
      <c r="H4024" s="2" t="s">
        <v>18371</v>
      </c>
      <c r="I4024" s="2" t="s">
        <v>6338</v>
      </c>
      <c r="K4024" s="2" t="s">
        <v>6339</v>
      </c>
      <c r="L4024" s="2" t="s">
        <v>3618</v>
      </c>
      <c r="M4024" s="2">
        <v>8043.0</v>
      </c>
      <c r="N4024" s="2" t="s">
        <v>21</v>
      </c>
    </row>
    <row r="4025" ht="15.75" customHeight="1">
      <c r="A4025" s="2">
        <v>2015.0</v>
      </c>
      <c r="B4025" s="2" t="s">
        <v>18372</v>
      </c>
      <c r="C4025" s="2" t="s">
        <v>18372</v>
      </c>
      <c r="D4025" s="2" t="str">
        <f>"3093035575"</f>
        <v>3093035575</v>
      </c>
      <c r="E4025" s="2" t="s">
        <v>3597</v>
      </c>
      <c r="F4025" s="2" t="s">
        <v>16471</v>
      </c>
      <c r="G4025" s="2" t="str">
        <f>"SR-5663"</f>
        <v>SR-5663</v>
      </c>
      <c r="H4025" s="2" t="s">
        <v>18373</v>
      </c>
      <c r="I4025" s="2" t="s">
        <v>18374</v>
      </c>
      <c r="K4025" s="2" t="s">
        <v>104</v>
      </c>
      <c r="L4025" s="2" t="s">
        <v>105</v>
      </c>
      <c r="M4025" s="2">
        <v>61614.0</v>
      </c>
      <c r="N4025" s="2" t="s">
        <v>21</v>
      </c>
    </row>
    <row r="4026" ht="15.75" customHeight="1">
      <c r="A4026" s="2">
        <v>2015.0</v>
      </c>
      <c r="B4026" s="2" t="s">
        <v>18375</v>
      </c>
      <c r="C4026" s="2" t="s">
        <v>18376</v>
      </c>
      <c r="D4026" s="2" t="str">
        <f>"605-645-7001"</f>
        <v>605-645-7001</v>
      </c>
      <c r="E4026" s="2" t="s">
        <v>250</v>
      </c>
      <c r="F4026" s="2" t="s">
        <v>11871</v>
      </c>
      <c r="G4026" s="2" t="str">
        <f>"SR-5354"</f>
        <v>SR-5354</v>
      </c>
      <c r="H4026" s="2" t="s">
        <v>18377</v>
      </c>
      <c r="I4026" s="2" t="s">
        <v>18378</v>
      </c>
      <c r="K4026" s="2" t="s">
        <v>18379</v>
      </c>
      <c r="L4026" s="2" t="s">
        <v>920</v>
      </c>
      <c r="M4026" s="2">
        <v>57793.0</v>
      </c>
      <c r="N4026" s="2" t="s">
        <v>21</v>
      </c>
    </row>
    <row r="4027" ht="15.75" customHeight="1">
      <c r="A4027" s="2">
        <v>2015.0</v>
      </c>
      <c r="B4027" s="2" t="s">
        <v>18380</v>
      </c>
      <c r="C4027" s="2" t="s">
        <v>18381</v>
      </c>
      <c r="D4027" s="2" t="str">
        <f>"2695681124"</f>
        <v>2695681124</v>
      </c>
      <c r="E4027" s="2" t="s">
        <v>11981</v>
      </c>
      <c r="F4027" s="2" t="s">
        <v>1859</v>
      </c>
      <c r="G4027" s="2" t="str">
        <f>"SR-5326"</f>
        <v>SR-5326</v>
      </c>
      <c r="H4027" s="2" t="s">
        <v>18382</v>
      </c>
      <c r="I4027" s="2" t="s">
        <v>18383</v>
      </c>
      <c r="J4027" s="2" t="s">
        <v>18384</v>
      </c>
      <c r="K4027" s="2" t="s">
        <v>17753</v>
      </c>
      <c r="L4027" s="2" t="s">
        <v>29</v>
      </c>
      <c r="M4027" s="2">
        <v>49097.0</v>
      </c>
      <c r="N4027" s="2" t="s">
        <v>21</v>
      </c>
    </row>
    <row r="4028" ht="15.75" customHeight="1">
      <c r="A4028" s="2">
        <v>2015.0</v>
      </c>
      <c r="B4028" s="2" t="s">
        <v>9743</v>
      </c>
      <c r="C4028" s="2" t="s">
        <v>9744</v>
      </c>
      <c r="D4028" s="2" t="str">
        <f>"8633984599"</f>
        <v>8633984599</v>
      </c>
      <c r="E4028" s="2" t="s">
        <v>485</v>
      </c>
      <c r="F4028" s="2" t="s">
        <v>2841</v>
      </c>
      <c r="G4028" s="2" t="str">
        <f>"SR-2744"</f>
        <v>SR-2744</v>
      </c>
      <c r="H4028" s="2" t="s">
        <v>9745</v>
      </c>
      <c r="I4028" s="2" t="s">
        <v>9746</v>
      </c>
      <c r="K4028" s="2" t="s">
        <v>1570</v>
      </c>
      <c r="L4028" s="2" t="s">
        <v>208</v>
      </c>
      <c r="M4028" s="2">
        <v>33803.0</v>
      </c>
      <c r="N4028" s="2" t="s">
        <v>21</v>
      </c>
    </row>
    <row r="4029" ht="15.75" customHeight="1">
      <c r="A4029" s="2">
        <v>2015.0</v>
      </c>
      <c r="B4029" s="2" t="s">
        <v>9511</v>
      </c>
      <c r="C4029" s="2" t="s">
        <v>9512</v>
      </c>
      <c r="D4029" s="2" t="str">
        <f>"509-266-4229"</f>
        <v>509-266-4229</v>
      </c>
      <c r="E4029" s="2" t="s">
        <v>9513</v>
      </c>
      <c r="F4029" s="2" t="s">
        <v>2350</v>
      </c>
      <c r="G4029" s="2" t="str">
        <f>"SR-2681"</f>
        <v>SR-2681</v>
      </c>
      <c r="H4029" s="2" t="s">
        <v>9514</v>
      </c>
      <c r="I4029" s="2" t="s">
        <v>9515</v>
      </c>
      <c r="K4029" s="2" t="s">
        <v>9516</v>
      </c>
      <c r="L4029" s="2" t="s">
        <v>86</v>
      </c>
      <c r="M4029" s="2">
        <v>99301.0</v>
      </c>
      <c r="N4029" s="2" t="s">
        <v>21</v>
      </c>
    </row>
    <row r="4030" ht="15.75" customHeight="1">
      <c r="A4030" s="2">
        <v>2015.0</v>
      </c>
      <c r="B4030" s="2" t="s">
        <v>18385</v>
      </c>
      <c r="C4030" s="2" t="s">
        <v>18386</v>
      </c>
      <c r="D4030" s="2" t="str">
        <f>"5754415454"</f>
        <v>5754415454</v>
      </c>
      <c r="E4030" s="2" t="s">
        <v>4318</v>
      </c>
      <c r="F4030" s="2" t="s">
        <v>18387</v>
      </c>
      <c r="G4030" s="2" t="str">
        <f>"SR-5467"</f>
        <v>SR-5467</v>
      </c>
      <c r="H4030" s="2" t="s">
        <v>18388</v>
      </c>
      <c r="I4030" s="2" t="s">
        <v>18389</v>
      </c>
      <c r="K4030" s="2" t="s">
        <v>1121</v>
      </c>
      <c r="L4030" s="2" t="s">
        <v>172</v>
      </c>
      <c r="M4030" s="2">
        <v>79423.0</v>
      </c>
      <c r="N4030" s="2" t="s">
        <v>21</v>
      </c>
    </row>
    <row r="4031" ht="15.75" customHeight="1">
      <c r="A4031" s="2">
        <v>2015.0</v>
      </c>
      <c r="B4031" s="2" t="s">
        <v>18390</v>
      </c>
      <c r="C4031" s="2" t="s">
        <v>18390</v>
      </c>
      <c r="D4031" s="2" t="str">
        <f>"701-220-0733"</f>
        <v>701-220-0733</v>
      </c>
      <c r="E4031" s="2" t="s">
        <v>137</v>
      </c>
      <c r="F4031" s="2" t="s">
        <v>18391</v>
      </c>
      <c r="G4031" s="2" t="str">
        <f>"SR-5588"</f>
        <v>SR-5588</v>
      </c>
      <c r="H4031" s="2" t="s">
        <v>18392</v>
      </c>
      <c r="I4031" s="2" t="s">
        <v>18393</v>
      </c>
      <c r="K4031" s="2" t="s">
        <v>18394</v>
      </c>
      <c r="L4031" s="2" t="s">
        <v>2534</v>
      </c>
      <c r="M4031" s="2">
        <v>58503.0</v>
      </c>
      <c r="N4031" s="2" t="s">
        <v>21</v>
      </c>
    </row>
    <row r="4032" ht="15.75" customHeight="1">
      <c r="A4032" s="2">
        <v>2015.0</v>
      </c>
      <c r="B4032" s="2" t="s">
        <v>18395</v>
      </c>
      <c r="C4032" s="2" t="s">
        <v>18395</v>
      </c>
      <c r="D4032" s="2" t="str">
        <f>"814-691-0909"</f>
        <v>814-691-0909</v>
      </c>
      <c r="E4032" s="2" t="s">
        <v>4322</v>
      </c>
      <c r="F4032" s="2" t="s">
        <v>457</v>
      </c>
      <c r="G4032" s="2" t="str">
        <f>"SR-5645"</f>
        <v>SR-5645</v>
      </c>
      <c r="H4032" s="2" t="s">
        <v>18396</v>
      </c>
      <c r="I4032" s="2" t="s">
        <v>18397</v>
      </c>
      <c r="K4032" s="2" t="s">
        <v>1480</v>
      </c>
      <c r="L4032" s="2" t="s">
        <v>179</v>
      </c>
      <c r="M4032" s="2">
        <v>15905.0</v>
      </c>
      <c r="N4032" s="2" t="s">
        <v>21</v>
      </c>
    </row>
    <row r="4033" ht="15.75" customHeight="1">
      <c r="A4033" s="2">
        <v>2015.0</v>
      </c>
      <c r="B4033" s="2" t="s">
        <v>18398</v>
      </c>
      <c r="C4033" s="2" t="s">
        <v>18399</v>
      </c>
      <c r="D4033" s="2" t="str">
        <f>"720-878-7708"</f>
        <v>720-878-7708</v>
      </c>
      <c r="E4033" s="2" t="s">
        <v>18400</v>
      </c>
      <c r="F4033" s="2" t="s">
        <v>283</v>
      </c>
      <c r="G4033" s="2" t="str">
        <f>"SR-5673"</f>
        <v>SR-5673</v>
      </c>
      <c r="H4033" s="2" t="s">
        <v>18401</v>
      </c>
      <c r="I4033" s="2" t="s">
        <v>18402</v>
      </c>
      <c r="K4033" s="2" t="s">
        <v>1054</v>
      </c>
      <c r="L4033" s="2" t="s">
        <v>157</v>
      </c>
      <c r="M4033" s="2">
        <v>80134.0</v>
      </c>
      <c r="N4033" s="2" t="s">
        <v>21</v>
      </c>
    </row>
    <row r="4034" ht="15.75" customHeight="1">
      <c r="A4034" s="2">
        <v>2015.0</v>
      </c>
      <c r="B4034" s="2" t="s">
        <v>18403</v>
      </c>
      <c r="C4034" s="2" t="s">
        <v>18404</v>
      </c>
      <c r="D4034" s="2" t="str">
        <f>"918-855-0185"</f>
        <v>918-855-0185</v>
      </c>
      <c r="E4034" s="2" t="s">
        <v>137</v>
      </c>
      <c r="F4034" s="2" t="s">
        <v>18405</v>
      </c>
      <c r="G4034" s="2" t="str">
        <f>"SR-3245"</f>
        <v>SR-3245</v>
      </c>
      <c r="H4034" s="2" t="s">
        <v>18406</v>
      </c>
      <c r="I4034" s="2" t="s">
        <v>18407</v>
      </c>
      <c r="K4034" s="2" t="s">
        <v>11595</v>
      </c>
      <c r="L4034" s="2" t="s">
        <v>840</v>
      </c>
      <c r="M4034" s="2">
        <v>74055.0</v>
      </c>
      <c r="N4034" s="2" t="s">
        <v>21</v>
      </c>
    </row>
    <row r="4035" ht="15.75" customHeight="1">
      <c r="A4035" s="2">
        <v>2015.0</v>
      </c>
      <c r="B4035" s="2" t="s">
        <v>18408</v>
      </c>
      <c r="C4035" s="2" t="s">
        <v>18409</v>
      </c>
      <c r="D4035" s="2" t="str">
        <f>"4055093868"</f>
        <v>4055093868</v>
      </c>
      <c r="E4035" s="2" t="s">
        <v>4871</v>
      </c>
      <c r="F4035" s="2" t="s">
        <v>18410</v>
      </c>
      <c r="G4035" s="2" t="str">
        <f>"SR-5433"</f>
        <v>SR-5433</v>
      </c>
      <c r="H4035" s="2" t="s">
        <v>18411</v>
      </c>
      <c r="I4035" s="2" t="s">
        <v>18412</v>
      </c>
      <c r="K4035" s="2" t="s">
        <v>1546</v>
      </c>
      <c r="L4035" s="2" t="s">
        <v>840</v>
      </c>
      <c r="M4035" s="2">
        <v>73003.0</v>
      </c>
      <c r="N4035" s="2" t="s">
        <v>21</v>
      </c>
    </row>
    <row r="4036" ht="15.75" customHeight="1">
      <c r="A4036" s="2">
        <v>2015.0</v>
      </c>
      <c r="B4036" s="2" t="s">
        <v>18413</v>
      </c>
      <c r="C4036" s="2" t="s">
        <v>18413</v>
      </c>
      <c r="D4036" s="2" t="str">
        <f>"713-517-6868"</f>
        <v>713-517-6868</v>
      </c>
      <c r="E4036" s="2" t="s">
        <v>1946</v>
      </c>
      <c r="F4036" s="2" t="s">
        <v>14709</v>
      </c>
      <c r="G4036" s="2" t="str">
        <f>"SR-3854"</f>
        <v>SR-3854</v>
      </c>
      <c r="H4036" s="2" t="s">
        <v>18414</v>
      </c>
      <c r="I4036" s="2" t="s">
        <v>14711</v>
      </c>
      <c r="K4036" s="2" t="s">
        <v>2182</v>
      </c>
      <c r="L4036" s="2" t="s">
        <v>172</v>
      </c>
      <c r="M4036" s="2">
        <v>77479.0</v>
      </c>
      <c r="N4036" s="2" t="s">
        <v>21</v>
      </c>
    </row>
    <row r="4037" ht="15.75" customHeight="1">
      <c r="A4037" s="2">
        <v>2015.0</v>
      </c>
      <c r="B4037" s="2" t="s">
        <v>2712</v>
      </c>
      <c r="C4037" s="2" t="s">
        <v>18415</v>
      </c>
      <c r="D4037" s="2" t="str">
        <f>"260-337-5702"</f>
        <v>260-337-5702</v>
      </c>
      <c r="E4037" s="2" t="s">
        <v>448</v>
      </c>
      <c r="F4037" s="2" t="s">
        <v>2714</v>
      </c>
      <c r="G4037" s="2" t="str">
        <f>"SR-5497"</f>
        <v>SR-5497</v>
      </c>
      <c r="H4037" s="2" t="s">
        <v>18416</v>
      </c>
      <c r="I4037" s="2" t="s">
        <v>18417</v>
      </c>
      <c r="K4037" s="2" t="s">
        <v>18418</v>
      </c>
      <c r="L4037" s="2" t="s">
        <v>149</v>
      </c>
      <c r="M4037" s="2">
        <v>46785.0</v>
      </c>
      <c r="N4037" s="2" t="s">
        <v>21</v>
      </c>
    </row>
    <row r="4038" ht="15.75" customHeight="1">
      <c r="A4038" s="2">
        <v>2015.0</v>
      </c>
      <c r="B4038" s="2" t="s">
        <v>1873</v>
      </c>
      <c r="C4038" s="2" t="s">
        <v>18419</v>
      </c>
      <c r="D4038" s="2" t="str">
        <f>"864-608-9200"</f>
        <v>864-608-9200</v>
      </c>
      <c r="E4038" s="2" t="s">
        <v>18420</v>
      </c>
      <c r="F4038" s="2" t="s">
        <v>18421</v>
      </c>
      <c r="G4038" s="2" t="str">
        <f>"SR-5324"</f>
        <v>SR-5324</v>
      </c>
      <c r="H4038" s="2" t="s">
        <v>18422</v>
      </c>
      <c r="I4038" s="2" t="s">
        <v>18423</v>
      </c>
      <c r="K4038" s="2" t="s">
        <v>1878</v>
      </c>
      <c r="L4038" s="2" t="s">
        <v>55</v>
      </c>
      <c r="M4038" s="2">
        <v>29681.0</v>
      </c>
      <c r="N4038" s="2" t="s">
        <v>21</v>
      </c>
    </row>
    <row r="4039" ht="15.75" customHeight="1">
      <c r="A4039" s="2">
        <v>2015.0</v>
      </c>
      <c r="B4039" s="2" t="s">
        <v>18424</v>
      </c>
      <c r="C4039" s="2" t="s">
        <v>18424</v>
      </c>
      <c r="D4039" s="2" t="str">
        <f>"3306181409"</f>
        <v>3306181409</v>
      </c>
      <c r="E4039" s="2" t="s">
        <v>465</v>
      </c>
      <c r="F4039" s="2" t="s">
        <v>18425</v>
      </c>
      <c r="G4039" s="2" t="str">
        <f>"SR-5681"</f>
        <v>SR-5681</v>
      </c>
      <c r="H4039" s="2" t="s">
        <v>18426</v>
      </c>
      <c r="I4039" s="2" t="s">
        <v>18427</v>
      </c>
      <c r="K4039" s="2" t="s">
        <v>18428</v>
      </c>
      <c r="L4039" s="2" t="s">
        <v>344</v>
      </c>
      <c r="M4039" s="2">
        <v>44230.0</v>
      </c>
      <c r="N4039" s="2" t="s">
        <v>21</v>
      </c>
    </row>
    <row r="4040" ht="15.75" customHeight="1">
      <c r="A4040" s="2">
        <v>2015.0</v>
      </c>
      <c r="B4040" s="2" t="s">
        <v>18429</v>
      </c>
      <c r="C4040" s="2" t="s">
        <v>18429</v>
      </c>
      <c r="D4040" s="2" t="str">
        <f>"904-291-7534"</f>
        <v>904-291-7534</v>
      </c>
      <c r="E4040" s="2" t="s">
        <v>18430</v>
      </c>
      <c r="F4040" s="2" t="s">
        <v>4011</v>
      </c>
      <c r="G4040" s="2" t="str">
        <f>"SR-5641"</f>
        <v>SR-5641</v>
      </c>
      <c r="H4040" s="2" t="s">
        <v>18431</v>
      </c>
      <c r="I4040" s="2" t="s">
        <v>18432</v>
      </c>
      <c r="K4040" s="2" t="s">
        <v>13593</v>
      </c>
      <c r="L4040" s="2" t="s">
        <v>208</v>
      </c>
      <c r="M4040" s="2">
        <v>32065.0</v>
      </c>
      <c r="N4040" s="2" t="s">
        <v>21</v>
      </c>
    </row>
    <row r="4041" ht="15.75" customHeight="1">
      <c r="A4041" s="2">
        <v>2015.0</v>
      </c>
      <c r="B4041" s="2" t="s">
        <v>18433</v>
      </c>
      <c r="C4041" s="2" t="s">
        <v>18433</v>
      </c>
      <c r="D4041" s="2" t="str">
        <f>"5135947368"</f>
        <v>5135947368</v>
      </c>
      <c r="E4041" s="2" t="s">
        <v>1725</v>
      </c>
      <c r="F4041" s="2" t="s">
        <v>18434</v>
      </c>
      <c r="G4041" s="2" t="str">
        <f>"SR-5676"</f>
        <v>SR-5676</v>
      </c>
      <c r="H4041" s="2" t="s">
        <v>18435</v>
      </c>
      <c r="I4041" s="2" t="s">
        <v>18436</v>
      </c>
      <c r="K4041" s="2" t="s">
        <v>286</v>
      </c>
      <c r="L4041" s="2" t="s">
        <v>172</v>
      </c>
      <c r="M4041" s="2">
        <v>79705.0</v>
      </c>
      <c r="N4041" s="2" t="s">
        <v>21</v>
      </c>
    </row>
    <row r="4042" ht="15.75" customHeight="1">
      <c r="A4042" s="2">
        <v>2015.0</v>
      </c>
      <c r="B4042" s="2" t="s">
        <v>18437</v>
      </c>
      <c r="C4042" s="2" t="s">
        <v>18438</v>
      </c>
      <c r="D4042" s="2" t="str">
        <f>"706-523-3708"</f>
        <v>706-523-3708</v>
      </c>
      <c r="E4042" s="2" t="s">
        <v>261</v>
      </c>
      <c r="F4042" s="2" t="s">
        <v>18439</v>
      </c>
      <c r="G4042" s="2" t="str">
        <f>"SR-5685"</f>
        <v>SR-5685</v>
      </c>
      <c r="H4042" s="2" t="s">
        <v>18440</v>
      </c>
      <c r="I4042" s="2" t="s">
        <v>18441</v>
      </c>
      <c r="K4042" s="2" t="s">
        <v>775</v>
      </c>
      <c r="L4042" s="2" t="s">
        <v>200</v>
      </c>
      <c r="M4042" s="2">
        <v>30277.0</v>
      </c>
      <c r="N4042" s="2" t="s">
        <v>21</v>
      </c>
    </row>
    <row r="4043" ht="15.75" customHeight="1">
      <c r="A4043" s="2">
        <v>2015.0</v>
      </c>
      <c r="B4043" s="2" t="s">
        <v>18442</v>
      </c>
      <c r="C4043" s="2" t="s">
        <v>18443</v>
      </c>
      <c r="D4043" s="2" t="str">
        <f>"6159730081"</f>
        <v>6159730081</v>
      </c>
      <c r="E4043" s="2" t="s">
        <v>3790</v>
      </c>
      <c r="F4043" s="2" t="s">
        <v>2231</v>
      </c>
      <c r="G4043" s="2" t="str">
        <f>"SR-5687"</f>
        <v>SR-5687</v>
      </c>
      <c r="H4043" s="2" t="s">
        <v>18444</v>
      </c>
      <c r="I4043" s="2" t="s">
        <v>18445</v>
      </c>
      <c r="K4043" s="2" t="s">
        <v>3229</v>
      </c>
      <c r="L4043" s="2" t="s">
        <v>279</v>
      </c>
      <c r="M4043" s="2">
        <v>37087.0</v>
      </c>
      <c r="N4043" s="2" t="s">
        <v>21</v>
      </c>
    </row>
    <row r="4044" ht="15.75" customHeight="1">
      <c r="A4044" s="2">
        <v>2015.0</v>
      </c>
      <c r="B4044" s="2" t="s">
        <v>18446</v>
      </c>
      <c r="C4044" s="2" t="s">
        <v>18447</v>
      </c>
      <c r="D4044" s="2" t="str">
        <f>"9494633398"</f>
        <v>9494633398</v>
      </c>
      <c r="E4044" s="2" t="s">
        <v>167</v>
      </c>
      <c r="F4044" s="2" t="s">
        <v>18448</v>
      </c>
      <c r="G4044" s="2" t="str">
        <f>"SR-5403"</f>
        <v>SR-5403</v>
      </c>
      <c r="H4044" s="2" t="s">
        <v>18449</v>
      </c>
      <c r="I4044" s="2" t="s">
        <v>18450</v>
      </c>
      <c r="K4044" s="2" t="s">
        <v>16116</v>
      </c>
      <c r="L4044" s="2" t="s">
        <v>222</v>
      </c>
      <c r="M4044" s="2">
        <v>92630.0</v>
      </c>
      <c r="N4044" s="2" t="s">
        <v>21</v>
      </c>
    </row>
    <row r="4045" ht="15.75" customHeight="1">
      <c r="A4045" s="2">
        <v>2015.0</v>
      </c>
      <c r="B4045" s="2" t="s">
        <v>18451</v>
      </c>
      <c r="C4045" s="2" t="s">
        <v>18452</v>
      </c>
      <c r="D4045" s="2" t="str">
        <f>"402-371-1322"</f>
        <v>402-371-1322</v>
      </c>
      <c r="E4045" s="2" t="s">
        <v>651</v>
      </c>
      <c r="F4045" s="2" t="s">
        <v>10257</v>
      </c>
      <c r="G4045" s="2" t="str">
        <f>"SR-5664"</f>
        <v>SR-5664</v>
      </c>
      <c r="H4045" s="2" t="s">
        <v>18453</v>
      </c>
      <c r="I4045" s="2" t="s">
        <v>18454</v>
      </c>
      <c r="K4045" s="2" t="s">
        <v>11726</v>
      </c>
      <c r="L4045" s="2" t="s">
        <v>757</v>
      </c>
      <c r="M4045" s="2">
        <v>68701.0</v>
      </c>
      <c r="N4045" s="2" t="s">
        <v>21</v>
      </c>
    </row>
    <row r="4046" ht="15.75" customHeight="1">
      <c r="A4046" s="2">
        <v>2015.0</v>
      </c>
      <c r="B4046" s="2" t="s">
        <v>18455</v>
      </c>
      <c r="C4046" s="2" t="s">
        <v>18456</v>
      </c>
      <c r="D4046" s="2" t="str">
        <f>"2108449920"</f>
        <v>2108449920</v>
      </c>
      <c r="E4046" s="2" t="s">
        <v>1529</v>
      </c>
      <c r="F4046" s="2" t="s">
        <v>18457</v>
      </c>
      <c r="G4046" s="2" t="str">
        <f>"SR-5415"</f>
        <v>SR-5415</v>
      </c>
      <c r="H4046" s="2" t="s">
        <v>18458</v>
      </c>
      <c r="I4046" s="2" t="s">
        <v>18459</v>
      </c>
      <c r="K4046" s="2" t="s">
        <v>632</v>
      </c>
      <c r="L4046" s="2" t="s">
        <v>172</v>
      </c>
      <c r="M4046" s="2">
        <v>78249.0</v>
      </c>
      <c r="N4046" s="2" t="s">
        <v>21</v>
      </c>
    </row>
    <row r="4047" ht="15.75" customHeight="1">
      <c r="A4047" s="2">
        <v>2015.0</v>
      </c>
      <c r="B4047" s="2" t="s">
        <v>18460</v>
      </c>
      <c r="C4047" s="2" t="s">
        <v>18461</v>
      </c>
      <c r="D4047" s="2" t="str">
        <f>"407-281-0932"</f>
        <v>407-281-0932</v>
      </c>
      <c r="E4047" s="2" t="s">
        <v>5760</v>
      </c>
      <c r="F4047" s="2" t="s">
        <v>9267</v>
      </c>
      <c r="G4047" s="2" t="str">
        <f>"SR-5688"</f>
        <v>SR-5688</v>
      </c>
      <c r="H4047" s="2" t="s">
        <v>18462</v>
      </c>
      <c r="I4047" s="2" t="s">
        <v>18463</v>
      </c>
      <c r="K4047" s="2" t="s">
        <v>4724</v>
      </c>
      <c r="L4047" s="2" t="s">
        <v>208</v>
      </c>
      <c r="M4047" s="2">
        <v>32828.0</v>
      </c>
      <c r="N4047" s="2" t="s">
        <v>21</v>
      </c>
    </row>
    <row r="4048" ht="15.75" customHeight="1">
      <c r="A4048" s="2">
        <v>2015.0</v>
      </c>
      <c r="B4048" s="2" t="s">
        <v>11338</v>
      </c>
      <c r="C4048" s="2" t="s">
        <v>18464</v>
      </c>
      <c r="D4048" s="2" t="str">
        <f t="shared" ref="D4048:D4049" si="75">"770-914-1127"</f>
        <v>770-914-1127</v>
      </c>
      <c r="E4048" s="2" t="s">
        <v>18465</v>
      </c>
      <c r="F4048" s="2" t="s">
        <v>11340</v>
      </c>
      <c r="G4048" s="2" t="str">
        <f>"SR-5038"</f>
        <v>SR-5038</v>
      </c>
      <c r="H4048" s="2" t="s">
        <v>18466</v>
      </c>
      <c r="I4048" s="2" t="s">
        <v>11342</v>
      </c>
      <c r="K4048" s="2" t="s">
        <v>546</v>
      </c>
      <c r="L4048" s="2" t="s">
        <v>200</v>
      </c>
      <c r="M4048" s="2">
        <v>30252.0</v>
      </c>
      <c r="N4048" s="2" t="s">
        <v>21</v>
      </c>
    </row>
    <row r="4049" ht="15.75" customHeight="1">
      <c r="A4049" s="2">
        <v>2015.0</v>
      </c>
      <c r="B4049" s="2" t="s">
        <v>11338</v>
      </c>
      <c r="C4049" s="2" t="s">
        <v>11339</v>
      </c>
      <c r="D4049" s="2" t="str">
        <f t="shared" si="75"/>
        <v>770-914-1127</v>
      </c>
      <c r="E4049" s="2" t="s">
        <v>1496</v>
      </c>
      <c r="F4049" s="2" t="s">
        <v>11340</v>
      </c>
      <c r="G4049" s="2" t="str">
        <f>"SR-3247"</f>
        <v>SR-3247</v>
      </c>
      <c r="H4049" s="2" t="s">
        <v>11341</v>
      </c>
      <c r="I4049" s="2" t="s">
        <v>11342</v>
      </c>
      <c r="K4049" s="2" t="s">
        <v>546</v>
      </c>
      <c r="L4049" s="2" t="s">
        <v>200</v>
      </c>
      <c r="M4049" s="2">
        <v>30252.0</v>
      </c>
      <c r="N4049" s="2" t="s">
        <v>21</v>
      </c>
    </row>
    <row r="4050" ht="15.75" customHeight="1">
      <c r="A4050" s="2">
        <v>2015.0</v>
      </c>
      <c r="B4050" s="2" t="s">
        <v>9789</v>
      </c>
      <c r="C4050" s="2" t="s">
        <v>9790</v>
      </c>
      <c r="D4050" s="2" t="str">
        <f>"901-827-4429"</f>
        <v>901-827-4429</v>
      </c>
      <c r="E4050" s="2" t="s">
        <v>137</v>
      </c>
      <c r="F4050" s="2" t="s">
        <v>6532</v>
      </c>
      <c r="G4050" s="2" t="str">
        <f>"SR-2891"</f>
        <v>SR-2891</v>
      </c>
      <c r="H4050" s="2" t="s">
        <v>9791</v>
      </c>
      <c r="I4050" s="2" t="s">
        <v>9792</v>
      </c>
      <c r="K4050" s="2" t="s">
        <v>5678</v>
      </c>
      <c r="L4050" s="2" t="s">
        <v>279</v>
      </c>
      <c r="M4050" s="2">
        <v>38017.0</v>
      </c>
      <c r="N4050" s="2" t="s">
        <v>21</v>
      </c>
    </row>
    <row r="4051" ht="15.75" customHeight="1">
      <c r="A4051" s="2">
        <v>2015.0</v>
      </c>
      <c r="B4051" s="2" t="s">
        <v>18467</v>
      </c>
      <c r="C4051" s="2" t="s">
        <v>18468</v>
      </c>
      <c r="D4051" s="2" t="str">
        <f>"307-322-9696"</f>
        <v>307-322-9696</v>
      </c>
      <c r="E4051" s="2" t="s">
        <v>417</v>
      </c>
      <c r="F4051" s="2" t="s">
        <v>7466</v>
      </c>
      <c r="G4051" s="2" t="str">
        <f>"SR-5690"</f>
        <v>SR-5690</v>
      </c>
      <c r="H4051" s="2" t="s">
        <v>18469</v>
      </c>
      <c r="I4051" s="2" t="s">
        <v>18470</v>
      </c>
      <c r="K4051" s="2" t="s">
        <v>18471</v>
      </c>
      <c r="L4051" s="2" t="s">
        <v>1540</v>
      </c>
      <c r="M4051" s="2">
        <v>82201.0</v>
      </c>
      <c r="N4051" s="2" t="s">
        <v>21</v>
      </c>
    </row>
    <row r="4052" ht="15.75" customHeight="1">
      <c r="A4052" s="2">
        <v>2015.0</v>
      </c>
      <c r="B4052" s="2" t="s">
        <v>3224</v>
      </c>
      <c r="C4052" s="2" t="s">
        <v>18472</v>
      </c>
      <c r="D4052" s="2" t="str">
        <f>"513-292-4528"</f>
        <v>513-292-4528</v>
      </c>
      <c r="E4052" s="2" t="s">
        <v>385</v>
      </c>
      <c r="F4052" s="2" t="s">
        <v>3226</v>
      </c>
      <c r="G4052" s="2" t="str">
        <f>"SR-5396"</f>
        <v>SR-5396</v>
      </c>
      <c r="H4052" s="2" t="s">
        <v>18473</v>
      </c>
      <c r="I4052" s="2" t="s">
        <v>18474</v>
      </c>
      <c r="K4052" s="2" t="s">
        <v>3229</v>
      </c>
      <c r="L4052" s="2" t="s">
        <v>344</v>
      </c>
      <c r="M4052" s="2">
        <v>45036.0</v>
      </c>
      <c r="N4052" s="2" t="s">
        <v>21</v>
      </c>
    </row>
    <row r="4053" ht="15.75" customHeight="1">
      <c r="A4053" s="2">
        <v>2015.0</v>
      </c>
      <c r="B4053" s="2" t="s">
        <v>18475</v>
      </c>
      <c r="C4053" s="2" t="s">
        <v>18476</v>
      </c>
      <c r="D4053" s="2" t="str">
        <f>"720-400-3555"</f>
        <v>720-400-3555</v>
      </c>
      <c r="E4053" s="2" t="s">
        <v>6381</v>
      </c>
      <c r="F4053" s="2" t="s">
        <v>18477</v>
      </c>
      <c r="G4053" s="2" t="str">
        <f>"SR-5535"</f>
        <v>SR-5535</v>
      </c>
      <c r="H4053" s="2" t="s">
        <v>18478</v>
      </c>
      <c r="I4053" s="2" t="s">
        <v>18479</v>
      </c>
      <c r="K4053" s="2" t="s">
        <v>1398</v>
      </c>
      <c r="L4053" s="2" t="s">
        <v>157</v>
      </c>
      <c r="M4053" s="2">
        <v>80104.0</v>
      </c>
      <c r="N4053" s="2" t="s">
        <v>21</v>
      </c>
    </row>
    <row r="4054" ht="15.75" customHeight="1">
      <c r="A4054" s="2">
        <v>2015.0</v>
      </c>
      <c r="B4054" s="2" t="s">
        <v>18480</v>
      </c>
      <c r="C4054" s="2" t="s">
        <v>18480</v>
      </c>
      <c r="D4054" s="2" t="str">
        <f>"402-405-2497"</f>
        <v>402-405-2497</v>
      </c>
      <c r="E4054" s="2" t="s">
        <v>18481</v>
      </c>
      <c r="F4054" s="2" t="s">
        <v>457</v>
      </c>
      <c r="G4054" s="2" t="str">
        <f>"SR-5427"</f>
        <v>SR-5427</v>
      </c>
      <c r="H4054" s="2" t="s">
        <v>18482</v>
      </c>
      <c r="I4054" s="2" t="s">
        <v>18483</v>
      </c>
      <c r="K4054" s="2" t="s">
        <v>572</v>
      </c>
      <c r="L4054" s="2" t="s">
        <v>757</v>
      </c>
      <c r="M4054" s="2">
        <v>68526.0</v>
      </c>
      <c r="N4054" s="2" t="s">
        <v>21</v>
      </c>
    </row>
    <row r="4055" ht="15.75" customHeight="1">
      <c r="A4055" s="2">
        <v>2015.0</v>
      </c>
      <c r="B4055" s="2" t="s">
        <v>9705</v>
      </c>
      <c r="C4055" s="2" t="s">
        <v>9706</v>
      </c>
      <c r="D4055" s="2" t="str">
        <f>"505-379-7962"</f>
        <v>505-379-7962</v>
      </c>
      <c r="E4055" s="2" t="s">
        <v>9707</v>
      </c>
      <c r="F4055" s="2" t="s">
        <v>9708</v>
      </c>
      <c r="G4055" s="2" t="str">
        <f>"SR-2768"</f>
        <v>SR-2768</v>
      </c>
      <c r="H4055" s="2" t="s">
        <v>9709</v>
      </c>
      <c r="I4055" s="2" t="s">
        <v>9710</v>
      </c>
      <c r="K4055" s="2" t="s">
        <v>9711</v>
      </c>
      <c r="L4055" s="2" t="s">
        <v>789</v>
      </c>
      <c r="M4055" s="2">
        <v>87048.0</v>
      </c>
      <c r="N4055" s="2" t="s">
        <v>21</v>
      </c>
    </row>
    <row r="4056" ht="15.75" customHeight="1">
      <c r="A4056" s="2">
        <v>2015.0</v>
      </c>
      <c r="B4056" s="2" t="s">
        <v>11635</v>
      </c>
      <c r="C4056" s="2" t="s">
        <v>11636</v>
      </c>
      <c r="D4056" s="2" t="str">
        <f>"769-972-1716"</f>
        <v>769-972-1716</v>
      </c>
      <c r="E4056" s="2" t="s">
        <v>15</v>
      </c>
      <c r="F4056" s="2" t="s">
        <v>11637</v>
      </c>
      <c r="G4056" s="2" t="str">
        <f>"SR-2699"</f>
        <v>SR-2699</v>
      </c>
      <c r="H4056" s="2" t="s">
        <v>11638</v>
      </c>
      <c r="I4056" s="2" t="s">
        <v>11639</v>
      </c>
      <c r="K4056" s="2" t="s">
        <v>659</v>
      </c>
      <c r="L4056" s="2" t="s">
        <v>1722</v>
      </c>
      <c r="M4056" s="2">
        <v>39110.0</v>
      </c>
      <c r="N4056" s="2" t="s">
        <v>21</v>
      </c>
    </row>
    <row r="4057" ht="15.75" customHeight="1">
      <c r="A4057" s="2">
        <v>2015.0</v>
      </c>
      <c r="B4057" s="2" t="s">
        <v>15881</v>
      </c>
      <c r="C4057" s="2" t="s">
        <v>15882</v>
      </c>
      <c r="D4057" s="2" t="str">
        <f>"2147938191"</f>
        <v>2147938191</v>
      </c>
      <c r="E4057" s="2" t="s">
        <v>5858</v>
      </c>
      <c r="F4057" s="2" t="s">
        <v>15883</v>
      </c>
      <c r="G4057" s="2" t="str">
        <f>"SR-3927"</f>
        <v>SR-3927</v>
      </c>
      <c r="H4057" s="2" t="s">
        <v>15884</v>
      </c>
      <c r="I4057" s="2" t="s">
        <v>15885</v>
      </c>
      <c r="K4057" s="2" t="s">
        <v>1255</v>
      </c>
      <c r="L4057" s="2" t="s">
        <v>172</v>
      </c>
      <c r="M4057" s="2">
        <v>75243.0</v>
      </c>
      <c r="N4057" s="2" t="s">
        <v>21</v>
      </c>
    </row>
    <row r="4058" ht="15.75" customHeight="1">
      <c r="A4058" s="2">
        <v>2015.0</v>
      </c>
      <c r="B4058" s="2" t="s">
        <v>18484</v>
      </c>
      <c r="C4058" s="2" t="s">
        <v>18484</v>
      </c>
      <c r="D4058" s="2" t="str">
        <f>"469-323-8938"</f>
        <v>469-323-8938</v>
      </c>
      <c r="E4058" s="2" t="s">
        <v>261</v>
      </c>
      <c r="F4058" s="2" t="s">
        <v>353</v>
      </c>
      <c r="G4058" s="2" t="str">
        <f>"SR-5696"</f>
        <v>SR-5696</v>
      </c>
      <c r="H4058" s="2" t="s">
        <v>18485</v>
      </c>
      <c r="I4058" s="2" t="s">
        <v>18486</v>
      </c>
      <c r="K4058" s="2" t="s">
        <v>4079</v>
      </c>
      <c r="L4058" s="2" t="s">
        <v>172</v>
      </c>
      <c r="M4058" s="2">
        <v>75043.0</v>
      </c>
      <c r="N4058" s="2" t="s">
        <v>21</v>
      </c>
    </row>
    <row r="4059" ht="15.75" customHeight="1">
      <c r="A4059" s="2">
        <v>2015.0</v>
      </c>
      <c r="B4059" s="2" t="s">
        <v>18487</v>
      </c>
      <c r="C4059" s="2" t="s">
        <v>18488</v>
      </c>
      <c r="D4059" s="2" t="str">
        <f>"507.895.2568"</f>
        <v>507.895.2568</v>
      </c>
      <c r="E4059" s="2" t="s">
        <v>261</v>
      </c>
      <c r="F4059" s="2" t="s">
        <v>10666</v>
      </c>
      <c r="G4059" s="2" t="str">
        <f>"SR-5574"</f>
        <v>SR-5574</v>
      </c>
      <c r="H4059" s="2" t="s">
        <v>18489</v>
      </c>
      <c r="I4059" s="2" t="s">
        <v>18490</v>
      </c>
      <c r="K4059" s="2" t="s">
        <v>18491</v>
      </c>
      <c r="L4059" s="2" t="s">
        <v>62</v>
      </c>
      <c r="M4059" s="2">
        <v>55947.0</v>
      </c>
      <c r="N4059" s="2" t="s">
        <v>21</v>
      </c>
    </row>
    <row r="4060" ht="15.75" customHeight="1">
      <c r="A4060" s="2">
        <v>2015.0</v>
      </c>
      <c r="B4060" s="2" t="s">
        <v>18492</v>
      </c>
      <c r="C4060" s="2" t="s">
        <v>18492</v>
      </c>
      <c r="D4060" s="2" t="str">
        <f>"269-428-1131"</f>
        <v>269-428-1131</v>
      </c>
      <c r="E4060" s="2" t="s">
        <v>4322</v>
      </c>
      <c r="F4060" s="2" t="s">
        <v>18493</v>
      </c>
      <c r="G4060" s="2" t="str">
        <f>"SR-5556"</f>
        <v>SR-5556</v>
      </c>
      <c r="H4060" s="2" t="s">
        <v>18494</v>
      </c>
      <c r="I4060" s="2" t="s">
        <v>18495</v>
      </c>
      <c r="K4060" s="2" t="s">
        <v>1201</v>
      </c>
      <c r="L4060" s="2" t="s">
        <v>29</v>
      </c>
      <c r="M4060" s="2">
        <v>49085.0</v>
      </c>
      <c r="N4060" s="2" t="s">
        <v>21</v>
      </c>
    </row>
    <row r="4061" ht="15.75" customHeight="1">
      <c r="A4061" s="2">
        <v>2015.0</v>
      </c>
      <c r="B4061" s="2" t="s">
        <v>18496</v>
      </c>
      <c r="C4061" s="2" t="s">
        <v>18496</v>
      </c>
      <c r="D4061" s="2" t="str">
        <f>"(402)560-2530"</f>
        <v>(402)560-2530</v>
      </c>
      <c r="E4061" s="2" t="s">
        <v>534</v>
      </c>
      <c r="F4061" s="2" t="s">
        <v>3320</v>
      </c>
      <c r="G4061" s="2" t="str">
        <f>"SR-5520"</f>
        <v>SR-5520</v>
      </c>
      <c r="H4061" s="2" t="s">
        <v>18497</v>
      </c>
      <c r="I4061" s="2" t="s">
        <v>18498</v>
      </c>
      <c r="K4061" s="2" t="s">
        <v>572</v>
      </c>
      <c r="L4061" s="2" t="s">
        <v>757</v>
      </c>
      <c r="M4061" s="2">
        <v>68516.0</v>
      </c>
      <c r="N4061" s="2" t="s">
        <v>21</v>
      </c>
    </row>
    <row r="4062" ht="15.75" customHeight="1">
      <c r="A4062" s="2">
        <v>2015.0</v>
      </c>
      <c r="B4062" s="2" t="s">
        <v>18499</v>
      </c>
      <c r="C4062" s="2" t="s">
        <v>18500</v>
      </c>
      <c r="D4062" s="2" t="str">
        <f>"609-261-9411"</f>
        <v>609-261-9411</v>
      </c>
      <c r="E4062" s="2" t="s">
        <v>18501</v>
      </c>
      <c r="F4062" s="2" t="s">
        <v>2328</v>
      </c>
      <c r="G4062" s="2" t="str">
        <f>"SR-5644"</f>
        <v>SR-5644</v>
      </c>
      <c r="H4062" s="2" t="s">
        <v>18502</v>
      </c>
      <c r="I4062" s="2" t="s">
        <v>18503</v>
      </c>
      <c r="K4062" s="2" t="s">
        <v>7727</v>
      </c>
      <c r="L4062" s="2" t="s">
        <v>3618</v>
      </c>
      <c r="M4062" s="2">
        <v>8048.0</v>
      </c>
      <c r="N4062" s="2" t="s">
        <v>21</v>
      </c>
    </row>
    <row r="4063" ht="15.75" customHeight="1">
      <c r="A4063" s="2">
        <v>2015.0</v>
      </c>
      <c r="B4063" s="2" t="s">
        <v>11395</v>
      </c>
      <c r="C4063" s="2" t="s">
        <v>11396</v>
      </c>
      <c r="D4063" s="2" t="str">
        <f>"208-553-6600"</f>
        <v>208-553-6600</v>
      </c>
      <c r="E4063" s="2" t="s">
        <v>10057</v>
      </c>
      <c r="F4063" s="2" t="s">
        <v>1533</v>
      </c>
      <c r="G4063" s="2" t="str">
        <f>"SR-3385"</f>
        <v>SR-3385</v>
      </c>
      <c r="H4063" s="2" t="s">
        <v>11397</v>
      </c>
      <c r="I4063" s="2" t="s">
        <v>11398</v>
      </c>
      <c r="K4063" s="2" t="s">
        <v>11399</v>
      </c>
      <c r="L4063" s="2" t="s">
        <v>2613</v>
      </c>
      <c r="M4063" s="2">
        <v>83501.0</v>
      </c>
      <c r="N4063" s="2" t="s">
        <v>21</v>
      </c>
    </row>
    <row r="4064" ht="15.75" customHeight="1">
      <c r="A4064" s="2">
        <v>2015.0</v>
      </c>
      <c r="B4064" s="2" t="s">
        <v>18504</v>
      </c>
      <c r="C4064" s="2" t="s">
        <v>18504</v>
      </c>
      <c r="D4064" s="2" t="str">
        <f>"3306860598"</f>
        <v>3306860598</v>
      </c>
      <c r="E4064" s="2" t="s">
        <v>5489</v>
      </c>
      <c r="F4064" s="2" t="s">
        <v>18505</v>
      </c>
      <c r="G4064" s="2" t="str">
        <f>"SR-5620"</f>
        <v>SR-5620</v>
      </c>
      <c r="H4064" s="2" t="s">
        <v>18506</v>
      </c>
      <c r="I4064" s="2" t="s">
        <v>18507</v>
      </c>
      <c r="K4064" s="2" t="s">
        <v>18508</v>
      </c>
      <c r="L4064" s="2" t="s">
        <v>344</v>
      </c>
      <c r="M4064" s="2">
        <v>44224.0</v>
      </c>
      <c r="N4064" s="2" t="s">
        <v>21</v>
      </c>
    </row>
    <row r="4065" ht="15.75" customHeight="1">
      <c r="A4065" s="2">
        <v>2015.0</v>
      </c>
      <c r="B4065" s="2" t="s">
        <v>18509</v>
      </c>
      <c r="D4065" s="2" t="str">
        <f>""</f>
        <v/>
      </c>
      <c r="E4065" s="2" t="s">
        <v>261</v>
      </c>
      <c r="F4065" s="2" t="s">
        <v>18510</v>
      </c>
      <c r="G4065" s="2" t="str">
        <f>"SR-5701"</f>
        <v>SR-5701</v>
      </c>
      <c r="H4065" s="2" t="s">
        <v>18511</v>
      </c>
      <c r="N4065" s="2" t="s">
        <v>21</v>
      </c>
    </row>
    <row r="4066" ht="15.75" customHeight="1">
      <c r="A4066" s="2">
        <v>2015.0</v>
      </c>
      <c r="B4066" s="2" t="s">
        <v>280</v>
      </c>
      <c r="C4066" s="2" t="s">
        <v>18512</v>
      </c>
      <c r="D4066" s="2" t="str">
        <f>"4325285772"</f>
        <v>4325285772</v>
      </c>
      <c r="E4066" s="2" t="s">
        <v>203</v>
      </c>
      <c r="F4066" s="2" t="s">
        <v>283</v>
      </c>
      <c r="G4066" s="2" t="str">
        <f>"SR-5060"</f>
        <v>SR-5060</v>
      </c>
      <c r="H4066" s="2" t="s">
        <v>18513</v>
      </c>
      <c r="I4066" s="2" t="s">
        <v>285</v>
      </c>
      <c r="K4066" s="2" t="s">
        <v>286</v>
      </c>
      <c r="L4066" s="2" t="s">
        <v>172</v>
      </c>
      <c r="M4066" s="2">
        <v>79705.0</v>
      </c>
      <c r="N4066" s="2" t="s">
        <v>21</v>
      </c>
    </row>
    <row r="4067" ht="15.75" customHeight="1">
      <c r="A4067" s="2">
        <v>2015.0</v>
      </c>
      <c r="B4067" s="2" t="s">
        <v>18514</v>
      </c>
      <c r="C4067" s="2" t="s">
        <v>18515</v>
      </c>
      <c r="D4067" s="2" t="str">
        <f>"719-494-1525"</f>
        <v>719-494-1525</v>
      </c>
      <c r="E4067" s="2" t="s">
        <v>678</v>
      </c>
      <c r="F4067" s="2" t="s">
        <v>18516</v>
      </c>
      <c r="G4067" s="2" t="str">
        <f>"SR-5702"</f>
        <v>SR-5702</v>
      </c>
      <c r="H4067" s="2" t="s">
        <v>18517</v>
      </c>
      <c r="I4067" s="2" t="s">
        <v>18518</v>
      </c>
      <c r="K4067" s="2" t="s">
        <v>975</v>
      </c>
      <c r="L4067" s="2" t="s">
        <v>157</v>
      </c>
      <c r="M4067" s="2">
        <v>80831.0</v>
      </c>
      <c r="N4067" s="2" t="s">
        <v>21</v>
      </c>
    </row>
    <row r="4068" ht="15.75" customHeight="1">
      <c r="A4068" s="2">
        <v>2015.0</v>
      </c>
      <c r="B4068" s="2" t="s">
        <v>18519</v>
      </c>
      <c r="C4068" s="2" t="s">
        <v>18520</v>
      </c>
      <c r="D4068" s="2" t="str">
        <f>"703-624-6193"</f>
        <v>703-624-6193</v>
      </c>
      <c r="E4068" s="2" t="s">
        <v>18521</v>
      </c>
      <c r="F4068" s="2" t="s">
        <v>18522</v>
      </c>
      <c r="G4068" s="2" t="str">
        <f>"SR-5684"</f>
        <v>SR-5684</v>
      </c>
      <c r="H4068" s="2" t="s">
        <v>18523</v>
      </c>
      <c r="I4068" s="2" t="s">
        <v>18524</v>
      </c>
      <c r="K4068" s="2" t="s">
        <v>882</v>
      </c>
      <c r="L4068" s="2" t="s">
        <v>165</v>
      </c>
      <c r="M4068" s="2">
        <v>22207.0</v>
      </c>
      <c r="N4068" s="2" t="s">
        <v>21</v>
      </c>
    </row>
    <row r="4069" ht="15.75" customHeight="1">
      <c r="A4069" s="2">
        <v>2015.0</v>
      </c>
      <c r="B4069" s="2" t="s">
        <v>18525</v>
      </c>
      <c r="C4069" s="2" t="s">
        <v>18526</v>
      </c>
      <c r="D4069" s="2" t="str">
        <f>"803-345-1542"</f>
        <v>803-345-1542</v>
      </c>
      <c r="E4069" s="2" t="s">
        <v>503</v>
      </c>
      <c r="F4069" s="2" t="s">
        <v>18527</v>
      </c>
      <c r="G4069" s="2" t="str">
        <f>"SR-5703"</f>
        <v>SR-5703</v>
      </c>
      <c r="H4069" s="2" t="s">
        <v>18528</v>
      </c>
      <c r="I4069" s="2" t="s">
        <v>18529</v>
      </c>
      <c r="K4069" s="2" t="s">
        <v>18530</v>
      </c>
      <c r="L4069" s="2" t="s">
        <v>55</v>
      </c>
      <c r="M4069" s="2">
        <v>29036.0</v>
      </c>
      <c r="N4069" s="2" t="s">
        <v>21</v>
      </c>
    </row>
    <row r="4070" ht="15.75" customHeight="1">
      <c r="A4070" s="2">
        <v>2015.0</v>
      </c>
      <c r="B4070" s="2" t="s">
        <v>18531</v>
      </c>
      <c r="C4070" s="2" t="s">
        <v>18531</v>
      </c>
      <c r="D4070" s="2" t="str">
        <f>"616-560-7666"</f>
        <v>616-560-7666</v>
      </c>
      <c r="E4070" s="2" t="s">
        <v>18532</v>
      </c>
      <c r="F4070" s="2" t="s">
        <v>18533</v>
      </c>
      <c r="G4070" s="2" t="str">
        <f>"SR-5704"</f>
        <v>SR-5704</v>
      </c>
      <c r="H4070" s="2" t="s">
        <v>18534</v>
      </c>
      <c r="I4070" s="2" t="s">
        <v>18535</v>
      </c>
      <c r="K4070" s="2" t="s">
        <v>18536</v>
      </c>
      <c r="L4070" s="2" t="s">
        <v>560</v>
      </c>
      <c r="M4070" s="2">
        <v>50219.0</v>
      </c>
      <c r="N4070" s="2" t="s">
        <v>21</v>
      </c>
    </row>
    <row r="4071" ht="15.75" customHeight="1">
      <c r="A4071" s="2">
        <v>2015.0</v>
      </c>
      <c r="B4071" s="2" t="s">
        <v>18537</v>
      </c>
      <c r="C4071" s="2" t="s">
        <v>18537</v>
      </c>
      <c r="D4071" s="2" t="str">
        <f>"269 471 9152"</f>
        <v>269 471 9152</v>
      </c>
      <c r="E4071" s="2" t="s">
        <v>1251</v>
      </c>
      <c r="F4071" s="2" t="s">
        <v>962</v>
      </c>
      <c r="G4071" s="2" t="str">
        <f>"SR-5548"</f>
        <v>SR-5548</v>
      </c>
      <c r="H4071" s="2" t="s">
        <v>18538</v>
      </c>
      <c r="I4071" s="2" t="s">
        <v>3088</v>
      </c>
      <c r="K4071" s="2" t="s">
        <v>4031</v>
      </c>
      <c r="L4071" s="2" t="s">
        <v>29</v>
      </c>
      <c r="M4071" s="2">
        <v>49103.0</v>
      </c>
      <c r="N4071" s="2" t="s">
        <v>21</v>
      </c>
    </row>
    <row r="4072" ht="15.75" customHeight="1">
      <c r="A4072" s="2">
        <v>2015.0</v>
      </c>
      <c r="B4072" s="2" t="s">
        <v>18539</v>
      </c>
      <c r="C4072" s="2" t="s">
        <v>18539</v>
      </c>
      <c r="D4072" s="2" t="str">
        <f>"(269) 471-9152"</f>
        <v>(269) 471-9152</v>
      </c>
      <c r="E4072" s="2" t="s">
        <v>4028</v>
      </c>
      <c r="F4072" s="2" t="s">
        <v>962</v>
      </c>
      <c r="G4072" s="2" t="str">
        <f>"SR-5461"</f>
        <v>SR-5461</v>
      </c>
      <c r="H4072" s="2" t="s">
        <v>4029</v>
      </c>
      <c r="I4072" s="2" t="s">
        <v>18540</v>
      </c>
      <c r="K4072" s="2" t="s">
        <v>4031</v>
      </c>
      <c r="L4072" s="2" t="s">
        <v>29</v>
      </c>
      <c r="M4072" s="2">
        <v>49103.0</v>
      </c>
      <c r="N4072" s="2" t="s">
        <v>21</v>
      </c>
    </row>
    <row r="4073" ht="15.75" customHeight="1">
      <c r="A4073" s="2">
        <v>2015.0</v>
      </c>
      <c r="B4073" s="2" t="s">
        <v>18541</v>
      </c>
      <c r="C4073" s="2" t="s">
        <v>18541</v>
      </c>
      <c r="D4073" s="2" t="str">
        <f>"2282823820"</f>
        <v>2282823820</v>
      </c>
      <c r="E4073" s="2" t="s">
        <v>13952</v>
      </c>
      <c r="F4073" s="2" t="s">
        <v>18542</v>
      </c>
      <c r="G4073" s="2" t="str">
        <f>"SR-5706"</f>
        <v>SR-5706</v>
      </c>
      <c r="H4073" s="2" t="s">
        <v>18543</v>
      </c>
      <c r="I4073" s="2" t="s">
        <v>18544</v>
      </c>
      <c r="K4073" s="2" t="s">
        <v>18545</v>
      </c>
      <c r="L4073" s="2" t="s">
        <v>1722</v>
      </c>
      <c r="M4073" s="2">
        <v>39564.0</v>
      </c>
      <c r="N4073" s="2" t="s">
        <v>21</v>
      </c>
    </row>
    <row r="4074" ht="15.75" customHeight="1">
      <c r="A4074" s="2">
        <v>2015.0</v>
      </c>
      <c r="B4074" s="2" t="s">
        <v>18546</v>
      </c>
      <c r="C4074" s="2" t="s">
        <v>18547</v>
      </c>
      <c r="D4074" s="2" t="str">
        <f>"317-251-6927"</f>
        <v>317-251-6927</v>
      </c>
      <c r="E4074" s="2" t="s">
        <v>301</v>
      </c>
      <c r="F4074" s="2" t="s">
        <v>5516</v>
      </c>
      <c r="G4074" s="2" t="str">
        <f>"SR-5651"</f>
        <v>SR-5651</v>
      </c>
      <c r="H4074" s="2" t="s">
        <v>18548</v>
      </c>
      <c r="I4074" s="2" t="s">
        <v>18549</v>
      </c>
      <c r="K4074" s="2" t="s">
        <v>1188</v>
      </c>
      <c r="L4074" s="2" t="s">
        <v>149</v>
      </c>
      <c r="M4074" s="2">
        <v>46228.0</v>
      </c>
      <c r="N4074" s="2" t="s">
        <v>21</v>
      </c>
    </row>
    <row r="4075" ht="15.75" customHeight="1">
      <c r="A4075" s="2">
        <v>2015.0</v>
      </c>
      <c r="B4075" s="2" t="s">
        <v>18550</v>
      </c>
      <c r="C4075" s="2" t="s">
        <v>18550</v>
      </c>
      <c r="D4075" s="2" t="str">
        <f>"4237625568"</f>
        <v>4237625568</v>
      </c>
      <c r="E4075" s="2" t="s">
        <v>339</v>
      </c>
      <c r="F4075" s="2" t="s">
        <v>18551</v>
      </c>
      <c r="G4075" s="2" t="str">
        <f>"SR-5545"</f>
        <v>SR-5545</v>
      </c>
      <c r="H4075" s="2" t="s">
        <v>18552</v>
      </c>
      <c r="I4075" s="2" t="s">
        <v>18553</v>
      </c>
      <c r="K4075" s="2" t="s">
        <v>4310</v>
      </c>
      <c r="L4075" s="2" t="s">
        <v>279</v>
      </c>
      <c r="M4075" s="2">
        <v>37321.0</v>
      </c>
      <c r="N4075" s="2" t="s">
        <v>21</v>
      </c>
    </row>
    <row r="4076" ht="15.75" customHeight="1">
      <c r="A4076" s="2">
        <v>2015.0</v>
      </c>
      <c r="B4076" s="2" t="s">
        <v>18554</v>
      </c>
      <c r="C4076" s="2" t="s">
        <v>18555</v>
      </c>
      <c r="D4076" s="2" t="str">
        <f>"919-539-7729"</f>
        <v>919-539-7729</v>
      </c>
      <c r="E4076" s="2" t="s">
        <v>428</v>
      </c>
      <c r="F4076" s="2" t="s">
        <v>18556</v>
      </c>
      <c r="G4076" s="2" t="str">
        <f>"SR-5536"</f>
        <v>SR-5536</v>
      </c>
      <c r="H4076" s="2" t="s">
        <v>18557</v>
      </c>
      <c r="I4076" s="2" t="s">
        <v>18558</v>
      </c>
      <c r="K4076" s="2" t="s">
        <v>18559</v>
      </c>
      <c r="L4076" s="2" t="s">
        <v>20</v>
      </c>
      <c r="M4076" s="2">
        <v>27501.0</v>
      </c>
      <c r="N4076" s="2" t="s">
        <v>21</v>
      </c>
    </row>
    <row r="4077" ht="15.75" customHeight="1">
      <c r="A4077" s="2">
        <v>2015.0</v>
      </c>
      <c r="B4077" s="2" t="s">
        <v>18560</v>
      </c>
      <c r="C4077" s="2" t="s">
        <v>18561</v>
      </c>
      <c r="D4077" s="2" t="str">
        <f>"7193106564"</f>
        <v>7193106564</v>
      </c>
      <c r="E4077" s="2" t="s">
        <v>1946</v>
      </c>
      <c r="F4077" s="2" t="s">
        <v>2593</v>
      </c>
      <c r="G4077" s="2" t="str">
        <f>"SR-5290"</f>
        <v>SR-5290</v>
      </c>
      <c r="H4077" s="2" t="s">
        <v>18562</v>
      </c>
      <c r="I4077" s="2" t="s">
        <v>18563</v>
      </c>
      <c r="K4077" s="2" t="s">
        <v>2596</v>
      </c>
      <c r="L4077" s="2" t="s">
        <v>193</v>
      </c>
      <c r="M4077" s="2">
        <v>53142.0</v>
      </c>
      <c r="N4077" s="2" t="s">
        <v>21</v>
      </c>
    </row>
    <row r="4078" ht="15.75" customHeight="1">
      <c r="A4078" s="2">
        <v>2015.0</v>
      </c>
      <c r="B4078" s="2" t="s">
        <v>18564</v>
      </c>
      <c r="C4078" s="2" t="s">
        <v>18564</v>
      </c>
      <c r="D4078" s="2" t="str">
        <f>"5402331614"</f>
        <v>5402331614</v>
      </c>
      <c r="E4078" s="2" t="s">
        <v>250</v>
      </c>
      <c r="F4078" s="2" t="s">
        <v>5351</v>
      </c>
      <c r="G4078" s="2" t="str">
        <f>"SR-5621"</f>
        <v>SR-5621</v>
      </c>
      <c r="H4078" s="2" t="s">
        <v>18565</v>
      </c>
      <c r="I4078" s="2" t="s">
        <v>18566</v>
      </c>
      <c r="K4078" s="2" t="s">
        <v>18567</v>
      </c>
      <c r="L4078" s="2" t="s">
        <v>165</v>
      </c>
      <c r="M4078" s="2">
        <v>22654.0</v>
      </c>
      <c r="N4078" s="2" t="s">
        <v>21</v>
      </c>
    </row>
    <row r="4079" ht="15.75" customHeight="1">
      <c r="A4079" s="2">
        <v>2015.0</v>
      </c>
      <c r="B4079" s="2" t="s">
        <v>18568</v>
      </c>
      <c r="C4079" s="2" t="s">
        <v>18568</v>
      </c>
      <c r="D4079" s="2" t="str">
        <f>"806-787-6096"</f>
        <v>806-787-6096</v>
      </c>
      <c r="E4079" s="2" t="s">
        <v>417</v>
      </c>
      <c r="F4079" s="2" t="s">
        <v>3826</v>
      </c>
      <c r="G4079" s="2" t="str">
        <f>"SR-5715"</f>
        <v>SR-5715</v>
      </c>
      <c r="H4079" s="2" t="s">
        <v>3827</v>
      </c>
      <c r="I4079" s="2" t="s">
        <v>3828</v>
      </c>
      <c r="K4079" s="2" t="s">
        <v>1121</v>
      </c>
      <c r="L4079" s="2" t="s">
        <v>172</v>
      </c>
      <c r="M4079" s="2">
        <v>79416.0</v>
      </c>
      <c r="N4079" s="2" t="s">
        <v>21</v>
      </c>
    </row>
    <row r="4080" ht="15.75" customHeight="1">
      <c r="A4080" s="2">
        <v>2015.0</v>
      </c>
      <c r="B4080" s="2" t="s">
        <v>18569</v>
      </c>
      <c r="C4080" s="2" t="s">
        <v>18570</v>
      </c>
      <c r="D4080" s="2" t="str">
        <f>"972-658-9591"</f>
        <v>972-658-9591</v>
      </c>
      <c r="E4080" s="2" t="s">
        <v>2412</v>
      </c>
      <c r="F4080" s="2" t="s">
        <v>12242</v>
      </c>
      <c r="G4080" s="2" t="str">
        <f>"SR-5716"</f>
        <v>SR-5716</v>
      </c>
      <c r="H4080" s="2" t="s">
        <v>18571</v>
      </c>
      <c r="I4080" s="2" t="s">
        <v>18572</v>
      </c>
      <c r="K4080" s="2" t="s">
        <v>615</v>
      </c>
      <c r="L4080" s="2" t="s">
        <v>172</v>
      </c>
      <c r="M4080" s="2">
        <v>75071.0</v>
      </c>
      <c r="N4080" s="2" t="s">
        <v>21</v>
      </c>
    </row>
    <row r="4081" ht="15.75" customHeight="1">
      <c r="A4081" s="2">
        <v>2015.0</v>
      </c>
      <c r="B4081" s="2" t="s">
        <v>18573</v>
      </c>
      <c r="C4081" s="2" t="s">
        <v>18573</v>
      </c>
      <c r="D4081" s="2" t="str">
        <f>"662-418-0818"</f>
        <v>662-418-0818</v>
      </c>
      <c r="E4081" s="2" t="s">
        <v>18574</v>
      </c>
      <c r="F4081" s="2" t="s">
        <v>18575</v>
      </c>
      <c r="G4081" s="2" t="str">
        <f>"SR-5521"</f>
        <v>SR-5521</v>
      </c>
      <c r="H4081" s="2" t="s">
        <v>18576</v>
      </c>
      <c r="I4081" s="2" t="s">
        <v>18577</v>
      </c>
      <c r="K4081" s="2" t="s">
        <v>1901</v>
      </c>
      <c r="L4081" s="2" t="s">
        <v>1722</v>
      </c>
      <c r="M4081" s="2">
        <v>39759.0</v>
      </c>
      <c r="N4081" s="2" t="s">
        <v>21</v>
      </c>
    </row>
    <row r="4082" ht="15.75" customHeight="1">
      <c r="A4082" s="2">
        <v>2015.0</v>
      </c>
      <c r="B4082" s="2" t="s">
        <v>18578</v>
      </c>
      <c r="C4082" s="2" t="s">
        <v>18579</v>
      </c>
      <c r="D4082" s="2" t="str">
        <f>"303-506-3499"</f>
        <v>303-506-3499</v>
      </c>
      <c r="E4082" s="2" t="s">
        <v>261</v>
      </c>
      <c r="F4082" s="2" t="s">
        <v>6295</v>
      </c>
      <c r="G4082" s="2" t="str">
        <f>"SR-5718"</f>
        <v>SR-5718</v>
      </c>
      <c r="H4082" s="2" t="s">
        <v>18580</v>
      </c>
      <c r="I4082" s="2" t="s">
        <v>6297</v>
      </c>
      <c r="K4082" s="2" t="s">
        <v>1398</v>
      </c>
      <c r="L4082" s="2" t="s">
        <v>157</v>
      </c>
      <c r="M4082" s="2">
        <v>80104.0</v>
      </c>
      <c r="N4082" s="2" t="s">
        <v>21</v>
      </c>
    </row>
    <row r="4083" ht="15.75" customHeight="1">
      <c r="A4083" s="2">
        <v>2015.0</v>
      </c>
      <c r="B4083" s="2" t="s">
        <v>18581</v>
      </c>
      <c r="C4083" s="2" t="s">
        <v>18581</v>
      </c>
      <c r="D4083" s="2" t="str">
        <f>"515-851-2645"</f>
        <v>515-851-2645</v>
      </c>
      <c r="E4083" s="2" t="s">
        <v>18582</v>
      </c>
      <c r="F4083" s="2" t="s">
        <v>18583</v>
      </c>
      <c r="G4083" s="2" t="str">
        <f>"SR-5719"</f>
        <v>SR-5719</v>
      </c>
      <c r="H4083" s="2" t="s">
        <v>18584</v>
      </c>
      <c r="I4083" s="2" t="s">
        <v>18585</v>
      </c>
      <c r="K4083" s="2" t="s">
        <v>17594</v>
      </c>
      <c r="L4083" s="2" t="s">
        <v>560</v>
      </c>
      <c r="M4083" s="2">
        <v>50071.0</v>
      </c>
      <c r="N4083" s="2" t="s">
        <v>21</v>
      </c>
    </row>
    <row r="4084" ht="15.75" customHeight="1">
      <c r="A4084" s="2">
        <v>2015.0</v>
      </c>
      <c r="B4084" s="2" t="s">
        <v>18586</v>
      </c>
      <c r="C4084" s="2" t="s">
        <v>18586</v>
      </c>
      <c r="D4084" s="2" t="str">
        <f>"5518515464"</f>
        <v>5518515464</v>
      </c>
      <c r="E4084" s="2" t="s">
        <v>2851</v>
      </c>
      <c r="F4084" s="2" t="s">
        <v>18583</v>
      </c>
      <c r="G4084" s="2" t="str">
        <f>"SR-5630"</f>
        <v>SR-5630</v>
      </c>
      <c r="H4084" s="2" t="s">
        <v>18587</v>
      </c>
      <c r="I4084" s="2" t="s">
        <v>18588</v>
      </c>
      <c r="K4084" s="2" t="s">
        <v>17594</v>
      </c>
      <c r="L4084" s="2" t="s">
        <v>560</v>
      </c>
      <c r="M4084" s="2">
        <v>50071.0</v>
      </c>
      <c r="N4084" s="2" t="s">
        <v>21</v>
      </c>
    </row>
    <row r="4085" ht="15.75" customHeight="1">
      <c r="A4085" s="2">
        <v>2015.0</v>
      </c>
      <c r="B4085" s="2" t="s">
        <v>3374</v>
      </c>
      <c r="C4085" s="2" t="s">
        <v>18589</v>
      </c>
      <c r="D4085" s="2" t="str">
        <f>"8658066767"</f>
        <v>8658066767</v>
      </c>
      <c r="E4085" s="2" t="s">
        <v>718</v>
      </c>
      <c r="F4085" s="2" t="s">
        <v>3376</v>
      </c>
      <c r="G4085" s="2" t="str">
        <f>"SR-4752"</f>
        <v>SR-4752</v>
      </c>
      <c r="H4085" s="2" t="s">
        <v>18590</v>
      </c>
      <c r="I4085" s="2" t="s">
        <v>18591</v>
      </c>
      <c r="K4085" s="2" t="s">
        <v>3379</v>
      </c>
      <c r="L4085" s="2" t="s">
        <v>279</v>
      </c>
      <c r="M4085" s="2">
        <v>37890.0</v>
      </c>
      <c r="N4085" s="2" t="s">
        <v>21</v>
      </c>
    </row>
    <row r="4086" ht="15.75" customHeight="1">
      <c r="A4086" s="2">
        <v>2015.0</v>
      </c>
      <c r="B4086" s="2" t="s">
        <v>18592</v>
      </c>
      <c r="C4086" s="2" t="s">
        <v>18592</v>
      </c>
      <c r="D4086" s="2" t="str">
        <f>"316-993-9165"</f>
        <v>316-993-9165</v>
      </c>
      <c r="E4086" s="2" t="s">
        <v>1114</v>
      </c>
      <c r="F4086" s="2" t="s">
        <v>8497</v>
      </c>
      <c r="G4086" s="2" t="str">
        <f>"SR-5533"</f>
        <v>SR-5533</v>
      </c>
      <c r="H4086" s="2" t="s">
        <v>18593</v>
      </c>
      <c r="I4086" s="2" t="s">
        <v>18594</v>
      </c>
      <c r="K4086" s="2" t="s">
        <v>809</v>
      </c>
      <c r="L4086" s="2" t="s">
        <v>157</v>
      </c>
      <c r="M4086" s="2">
        <v>80917.0</v>
      </c>
      <c r="N4086" s="2" t="s">
        <v>21</v>
      </c>
    </row>
    <row r="4087" ht="15.75" customHeight="1">
      <c r="A4087" s="2">
        <v>2015.0</v>
      </c>
      <c r="B4087" s="2" t="s">
        <v>18595</v>
      </c>
      <c r="C4087" s="2" t="s">
        <v>18596</v>
      </c>
      <c r="D4087" s="2" t="str">
        <f>"9193578964"</f>
        <v>9193578964</v>
      </c>
      <c r="E4087" s="2" t="s">
        <v>1682</v>
      </c>
      <c r="F4087" s="2" t="s">
        <v>1352</v>
      </c>
      <c r="G4087" s="2" t="str">
        <f>"SR-5720"</f>
        <v>SR-5720</v>
      </c>
      <c r="H4087" s="2" t="s">
        <v>18597</v>
      </c>
      <c r="I4087" s="2" t="s">
        <v>18598</v>
      </c>
      <c r="K4087" s="2" t="s">
        <v>7993</v>
      </c>
      <c r="L4087" s="2" t="s">
        <v>20</v>
      </c>
      <c r="M4087" s="2">
        <v>27614.0</v>
      </c>
      <c r="N4087" s="2" t="s">
        <v>21</v>
      </c>
    </row>
    <row r="4088" ht="15.75" customHeight="1">
      <c r="A4088" s="2">
        <v>2015.0</v>
      </c>
      <c r="B4088" s="2" t="s">
        <v>11014</v>
      </c>
      <c r="C4088" s="2" t="s">
        <v>11015</v>
      </c>
      <c r="D4088" s="2" t="str">
        <f>"9702071517"</f>
        <v>9702071517</v>
      </c>
      <c r="E4088" s="2" t="s">
        <v>1946</v>
      </c>
      <c r="F4088" s="2" t="s">
        <v>8787</v>
      </c>
      <c r="G4088" s="2" t="str">
        <f>"SR-3126"</f>
        <v>SR-3126</v>
      </c>
      <c r="H4088" s="2" t="s">
        <v>11016</v>
      </c>
      <c r="I4088" s="2" t="s">
        <v>11017</v>
      </c>
      <c r="K4088" s="2" t="s">
        <v>656</v>
      </c>
      <c r="L4088" s="2" t="s">
        <v>157</v>
      </c>
      <c r="M4088" s="2">
        <v>80528.0</v>
      </c>
      <c r="N4088" s="2" t="s">
        <v>21</v>
      </c>
    </row>
    <row r="4089" ht="15.75" customHeight="1">
      <c r="A4089" s="2">
        <v>2015.0</v>
      </c>
      <c r="B4089" s="2" t="s">
        <v>18599</v>
      </c>
      <c r="C4089" s="2" t="s">
        <v>18599</v>
      </c>
      <c r="D4089" s="2" t="str">
        <f>"8169038092"</f>
        <v>8169038092</v>
      </c>
      <c r="E4089" s="2" t="s">
        <v>137</v>
      </c>
      <c r="F4089" s="2" t="s">
        <v>16749</v>
      </c>
      <c r="G4089" s="2" t="str">
        <f>"SR-5722"</f>
        <v>SR-5722</v>
      </c>
      <c r="H4089" s="2" t="s">
        <v>18600</v>
      </c>
      <c r="I4089" s="2" t="s">
        <v>18601</v>
      </c>
      <c r="K4089" s="2" t="s">
        <v>14870</v>
      </c>
      <c r="L4089" s="2" t="s">
        <v>214</v>
      </c>
      <c r="M4089" s="2">
        <v>64060.0</v>
      </c>
      <c r="N4089" s="2" t="s">
        <v>21</v>
      </c>
    </row>
    <row r="4090" ht="15.75" customHeight="1">
      <c r="A4090" s="2">
        <v>2015.0</v>
      </c>
      <c r="B4090" s="2" t="s">
        <v>18602</v>
      </c>
      <c r="C4090" s="2" t="s">
        <v>18602</v>
      </c>
      <c r="D4090" s="2" t="str">
        <f>"256-679-5482"</f>
        <v>256-679-5482</v>
      </c>
      <c r="E4090" s="2" t="s">
        <v>5280</v>
      </c>
      <c r="F4090" s="2" t="s">
        <v>962</v>
      </c>
      <c r="G4090" s="2" t="str">
        <f>"SR-5725"</f>
        <v>SR-5725</v>
      </c>
      <c r="H4090" s="2" t="s">
        <v>18603</v>
      </c>
      <c r="I4090" s="2" t="s">
        <v>18604</v>
      </c>
      <c r="K4090" s="2" t="s">
        <v>659</v>
      </c>
      <c r="L4090" s="2" t="s">
        <v>539</v>
      </c>
      <c r="M4090" s="2">
        <v>35758.0</v>
      </c>
      <c r="N4090" s="2" t="s">
        <v>21</v>
      </c>
    </row>
    <row r="4091" ht="15.75" customHeight="1">
      <c r="A4091" s="2">
        <v>2015.0</v>
      </c>
      <c r="B4091" s="2" t="s">
        <v>18605</v>
      </c>
      <c r="C4091" s="2" t="s">
        <v>18606</v>
      </c>
      <c r="D4091" s="2" t="str">
        <f>"570-445-8612"</f>
        <v>570-445-8612</v>
      </c>
      <c r="E4091" s="2" t="s">
        <v>3555</v>
      </c>
      <c r="F4091" s="2" t="s">
        <v>18607</v>
      </c>
      <c r="G4091" s="2" t="str">
        <f>"SR-5726"</f>
        <v>SR-5726</v>
      </c>
      <c r="H4091" s="2" t="s">
        <v>18608</v>
      </c>
      <c r="I4091" s="2" t="s">
        <v>18609</v>
      </c>
      <c r="K4091" s="2" t="s">
        <v>18610</v>
      </c>
      <c r="L4091" s="2" t="s">
        <v>179</v>
      </c>
      <c r="M4091" s="2">
        <v>18411.0</v>
      </c>
      <c r="N4091" s="2" t="s">
        <v>21</v>
      </c>
    </row>
    <row r="4092" ht="15.75" customHeight="1">
      <c r="A4092" s="2">
        <v>2015.0</v>
      </c>
      <c r="B4092" s="2" t="s">
        <v>18611</v>
      </c>
      <c r="C4092" s="2" t="s">
        <v>18612</v>
      </c>
      <c r="D4092" s="2" t="str">
        <f>"605-225-0414"</f>
        <v>605-225-0414</v>
      </c>
      <c r="E4092" s="2" t="s">
        <v>824</v>
      </c>
      <c r="F4092" s="2" t="s">
        <v>10257</v>
      </c>
      <c r="G4092" s="2" t="str">
        <f>"SR-5730"</f>
        <v>SR-5730</v>
      </c>
      <c r="H4092" s="2" t="s">
        <v>18613</v>
      </c>
      <c r="I4092" s="2" t="s">
        <v>18614</v>
      </c>
      <c r="K4092" s="2" t="s">
        <v>16552</v>
      </c>
      <c r="L4092" s="2" t="s">
        <v>920</v>
      </c>
      <c r="M4092" s="2">
        <v>57401.0</v>
      </c>
      <c r="N4092" s="2" t="s">
        <v>21</v>
      </c>
    </row>
    <row r="4093" ht="15.75" customHeight="1">
      <c r="A4093" s="2">
        <v>2015.0</v>
      </c>
      <c r="B4093" s="2" t="s">
        <v>18615</v>
      </c>
      <c r="C4093" s="2" t="s">
        <v>18616</v>
      </c>
      <c r="D4093" s="2" t="str">
        <f>"(308) 383-1349"</f>
        <v>(308) 383-1349</v>
      </c>
      <c r="E4093" s="2" t="s">
        <v>4456</v>
      </c>
      <c r="F4093" s="2" t="s">
        <v>18617</v>
      </c>
      <c r="G4093" s="2" t="str">
        <f>"SR-5635"</f>
        <v>SR-5635</v>
      </c>
      <c r="H4093" s="2" t="s">
        <v>18618</v>
      </c>
      <c r="I4093" s="2" t="s">
        <v>18619</v>
      </c>
      <c r="K4093" s="2" t="s">
        <v>7133</v>
      </c>
      <c r="L4093" s="2" t="s">
        <v>757</v>
      </c>
      <c r="M4093" s="2">
        <v>68843.0</v>
      </c>
      <c r="N4093" s="2" t="s">
        <v>21</v>
      </c>
    </row>
    <row r="4094" ht="15.75" customHeight="1">
      <c r="A4094" s="2">
        <v>2015.0</v>
      </c>
      <c r="B4094" s="2" t="s">
        <v>18620</v>
      </c>
      <c r="C4094" s="2" t="s">
        <v>18621</v>
      </c>
      <c r="D4094" s="2" t="str">
        <f>"402-604-0262"</f>
        <v>402-604-0262</v>
      </c>
      <c r="E4094" s="2" t="s">
        <v>43</v>
      </c>
      <c r="F4094" s="2" t="s">
        <v>1151</v>
      </c>
      <c r="G4094" s="2" t="str">
        <f>"SR-5695"</f>
        <v>SR-5695</v>
      </c>
      <c r="H4094" s="2" t="s">
        <v>9366</v>
      </c>
      <c r="I4094" s="2" t="s">
        <v>18622</v>
      </c>
      <c r="K4094" s="2" t="s">
        <v>7133</v>
      </c>
      <c r="L4094" s="2" t="s">
        <v>757</v>
      </c>
      <c r="M4094" s="2">
        <v>68843.0</v>
      </c>
      <c r="N4094" s="2" t="s">
        <v>21</v>
      </c>
    </row>
    <row r="4095" ht="15.75" customHeight="1">
      <c r="A4095" s="2">
        <v>2015.0</v>
      </c>
      <c r="B4095" s="2" t="s">
        <v>18623</v>
      </c>
      <c r="C4095" s="2" t="s">
        <v>18624</v>
      </c>
      <c r="D4095" s="2" t="str">
        <f>"706-581-1127"</f>
        <v>706-581-1127</v>
      </c>
      <c r="E4095" s="2" t="s">
        <v>203</v>
      </c>
      <c r="F4095" s="2" t="s">
        <v>3903</v>
      </c>
      <c r="G4095" s="2" t="str">
        <f>"SR-5648"</f>
        <v>SR-5648</v>
      </c>
      <c r="H4095" s="2" t="s">
        <v>18625</v>
      </c>
      <c r="I4095" s="2" t="s">
        <v>18626</v>
      </c>
      <c r="J4095" s="2" t="s">
        <v>18627</v>
      </c>
      <c r="K4095" s="2" t="s">
        <v>1108</v>
      </c>
      <c r="L4095" s="2" t="s">
        <v>200</v>
      </c>
      <c r="M4095" s="2">
        <v>30720.0</v>
      </c>
      <c r="N4095" s="2" t="s">
        <v>21</v>
      </c>
    </row>
    <row r="4096" ht="15.75" customHeight="1">
      <c r="A4096" s="2">
        <v>2015.0</v>
      </c>
      <c r="B4096" s="2" t="s">
        <v>223</v>
      </c>
      <c r="C4096" s="2" t="s">
        <v>224</v>
      </c>
      <c r="D4096" s="2" t="str">
        <f>"4172746139"</f>
        <v>4172746139</v>
      </c>
      <c r="E4096" s="2" t="s">
        <v>225</v>
      </c>
      <c r="F4096" s="2" t="s">
        <v>226</v>
      </c>
      <c r="G4096" s="2" t="str">
        <f>"SR-93"</f>
        <v>SR-93</v>
      </c>
      <c r="H4096" s="2" t="s">
        <v>227</v>
      </c>
      <c r="I4096" s="2" t="s">
        <v>228</v>
      </c>
      <c r="K4096" s="2" t="s">
        <v>229</v>
      </c>
      <c r="L4096" s="2" t="s">
        <v>214</v>
      </c>
      <c r="M4096" s="2">
        <v>65775.0</v>
      </c>
      <c r="N4096" s="2" t="s">
        <v>21</v>
      </c>
    </row>
    <row r="4097" ht="15.75" customHeight="1">
      <c r="A4097" s="2">
        <v>2015.0</v>
      </c>
      <c r="B4097" s="2" t="s">
        <v>18628</v>
      </c>
      <c r="C4097" s="2" t="s">
        <v>18628</v>
      </c>
      <c r="D4097" s="2" t="str">
        <f>"907-458-9891"</f>
        <v>907-458-9891</v>
      </c>
      <c r="E4097" s="2" t="s">
        <v>485</v>
      </c>
      <c r="F4097" s="2" t="s">
        <v>18629</v>
      </c>
      <c r="G4097" s="2" t="str">
        <f>"SR-5734"</f>
        <v>SR-5734</v>
      </c>
      <c r="H4097" s="2" t="s">
        <v>18630</v>
      </c>
      <c r="I4097" s="2" t="s">
        <v>18631</v>
      </c>
      <c r="K4097" s="2" t="s">
        <v>5329</v>
      </c>
      <c r="L4097" s="2" t="s">
        <v>70</v>
      </c>
      <c r="M4097" s="2">
        <v>99712.0</v>
      </c>
      <c r="N4097" s="2" t="s">
        <v>21</v>
      </c>
    </row>
    <row r="4098" ht="15.75" customHeight="1">
      <c r="A4098" s="2">
        <v>2015.0</v>
      </c>
      <c r="B4098" s="2" t="s">
        <v>14264</v>
      </c>
      <c r="C4098" s="2" t="s">
        <v>14264</v>
      </c>
      <c r="D4098" s="2" t="str">
        <f>"7192105909"</f>
        <v>7192105909</v>
      </c>
      <c r="E4098" s="2" t="s">
        <v>167</v>
      </c>
      <c r="F4098" s="2" t="s">
        <v>14265</v>
      </c>
      <c r="G4098" s="2" t="str">
        <f>"SR-4005"</f>
        <v>SR-4005</v>
      </c>
      <c r="H4098" s="2" t="s">
        <v>14266</v>
      </c>
      <c r="I4098" s="2" t="s">
        <v>14267</v>
      </c>
      <c r="K4098" s="2" t="s">
        <v>809</v>
      </c>
      <c r="L4098" s="2" t="s">
        <v>157</v>
      </c>
      <c r="M4098" s="2">
        <v>80919.0</v>
      </c>
      <c r="N4098" s="2" t="s">
        <v>21</v>
      </c>
    </row>
    <row r="4099" ht="15.75" customHeight="1">
      <c r="A4099" s="2">
        <v>2015.0</v>
      </c>
      <c r="B4099" s="2" t="s">
        <v>18632</v>
      </c>
      <c r="C4099" s="2" t="s">
        <v>18633</v>
      </c>
      <c r="D4099" s="2" t="str">
        <f>"913-757-3654"</f>
        <v>913-757-3654</v>
      </c>
      <c r="E4099" s="2" t="s">
        <v>160</v>
      </c>
      <c r="F4099" s="2" t="s">
        <v>18634</v>
      </c>
      <c r="G4099" s="2" t="str">
        <f>"SR-5674"</f>
        <v>SR-5674</v>
      </c>
      <c r="H4099" s="2" t="s">
        <v>18635</v>
      </c>
      <c r="I4099" s="2" t="s">
        <v>18636</v>
      </c>
      <c r="K4099" s="2" t="s">
        <v>18637</v>
      </c>
      <c r="L4099" s="2" t="s">
        <v>272</v>
      </c>
      <c r="M4099" s="2">
        <v>66026.0</v>
      </c>
      <c r="N4099" s="2" t="s">
        <v>21</v>
      </c>
    </row>
    <row r="4100" ht="15.75" customHeight="1">
      <c r="A4100" s="2">
        <v>2015.0</v>
      </c>
      <c r="B4100" s="2" t="s">
        <v>18638</v>
      </c>
      <c r="C4100" s="2" t="s">
        <v>18639</v>
      </c>
      <c r="D4100" s="2" t="str">
        <f>"8326284709"</f>
        <v>8326284709</v>
      </c>
      <c r="E4100" s="2" t="s">
        <v>8316</v>
      </c>
      <c r="F4100" s="2" t="s">
        <v>962</v>
      </c>
      <c r="G4100" s="2" t="str">
        <f>"SR-5743"</f>
        <v>SR-5743</v>
      </c>
      <c r="H4100" s="2" t="s">
        <v>18640</v>
      </c>
      <c r="I4100" s="2" t="s">
        <v>18641</v>
      </c>
      <c r="K4100" s="2" t="s">
        <v>2182</v>
      </c>
      <c r="L4100" s="2" t="s">
        <v>172</v>
      </c>
      <c r="M4100" s="2">
        <v>77479.0</v>
      </c>
      <c r="N4100" s="2" t="s">
        <v>21</v>
      </c>
    </row>
    <row r="4101" ht="15.75" customHeight="1">
      <c r="A4101" s="2">
        <v>2015.0</v>
      </c>
      <c r="B4101" s="2" t="s">
        <v>18642</v>
      </c>
      <c r="C4101" s="2" t="s">
        <v>18643</v>
      </c>
      <c r="D4101" s="2" t="str">
        <f>"406-868-0184"</f>
        <v>406-868-0184</v>
      </c>
      <c r="E4101" s="2" t="s">
        <v>167</v>
      </c>
      <c r="F4101" s="2" t="s">
        <v>18644</v>
      </c>
      <c r="G4101" s="2" t="str">
        <f>"SR-5292"</f>
        <v>SR-5292</v>
      </c>
      <c r="H4101" s="2" t="s">
        <v>18645</v>
      </c>
      <c r="I4101" s="2" t="s">
        <v>18646</v>
      </c>
      <c r="K4101" s="2" t="s">
        <v>17600</v>
      </c>
      <c r="L4101" s="2" t="s">
        <v>2696</v>
      </c>
      <c r="M4101" s="2">
        <v>59401.0</v>
      </c>
      <c r="N4101" s="2" t="s">
        <v>21</v>
      </c>
    </row>
    <row r="4102" ht="15.75" customHeight="1">
      <c r="A4102" s="2">
        <v>2015.0</v>
      </c>
      <c r="B4102" s="2" t="s">
        <v>18642</v>
      </c>
      <c r="C4102" s="2" t="s">
        <v>18647</v>
      </c>
      <c r="D4102" s="2" t="str">
        <f>"406-868-9914"</f>
        <v>406-868-9914</v>
      </c>
      <c r="E4102" s="2" t="s">
        <v>8316</v>
      </c>
      <c r="F4102" s="2" t="s">
        <v>18644</v>
      </c>
      <c r="G4102" s="2" t="str">
        <f>"SR-5293"</f>
        <v>SR-5293</v>
      </c>
      <c r="H4102" s="2" t="s">
        <v>18648</v>
      </c>
      <c r="I4102" s="2" t="s">
        <v>18646</v>
      </c>
      <c r="K4102" s="2" t="s">
        <v>17600</v>
      </c>
      <c r="L4102" s="2" t="s">
        <v>2696</v>
      </c>
      <c r="M4102" s="2">
        <v>59401.0</v>
      </c>
      <c r="N4102" s="2" t="s">
        <v>21</v>
      </c>
    </row>
    <row r="4103" ht="15.75" customHeight="1">
      <c r="A4103" s="2">
        <v>2015.0</v>
      </c>
      <c r="B4103" s="2" t="s">
        <v>18649</v>
      </c>
      <c r="C4103" s="2" t="s">
        <v>18649</v>
      </c>
      <c r="D4103" s="2" t="str">
        <f>"805-379-9549"</f>
        <v>805-379-9549</v>
      </c>
      <c r="E4103" s="2" t="s">
        <v>72</v>
      </c>
      <c r="F4103" s="2" t="s">
        <v>18650</v>
      </c>
      <c r="G4103" s="2" t="str">
        <f>"SR-5729"</f>
        <v>SR-5729</v>
      </c>
      <c r="H4103" s="2" t="s">
        <v>18651</v>
      </c>
      <c r="I4103" s="2" t="s">
        <v>18652</v>
      </c>
      <c r="K4103" s="2" t="s">
        <v>5168</v>
      </c>
      <c r="L4103" s="2" t="s">
        <v>222</v>
      </c>
      <c r="M4103" s="2">
        <v>91362.0</v>
      </c>
      <c r="N4103" s="2" t="s">
        <v>21</v>
      </c>
    </row>
    <row r="4104" ht="15.75" customHeight="1">
      <c r="A4104" s="2">
        <v>2015.0</v>
      </c>
      <c r="B4104" s="2" t="s">
        <v>18653</v>
      </c>
      <c r="C4104" s="2" t="s">
        <v>18653</v>
      </c>
      <c r="D4104" s="2" t="str">
        <f>"509-727-8262"</f>
        <v>509-727-8262</v>
      </c>
      <c r="E4104" s="2" t="s">
        <v>18654</v>
      </c>
      <c r="F4104" s="2" t="s">
        <v>89</v>
      </c>
      <c r="G4104" s="2" t="str">
        <f>"SR-5745"</f>
        <v>SR-5745</v>
      </c>
      <c r="H4104" s="2" t="s">
        <v>18655</v>
      </c>
      <c r="I4104" s="2" t="s">
        <v>18656</v>
      </c>
      <c r="K4104" s="2" t="s">
        <v>9516</v>
      </c>
      <c r="L4104" s="2" t="s">
        <v>86</v>
      </c>
      <c r="M4104" s="2">
        <v>99301.0</v>
      </c>
      <c r="N4104" s="2" t="s">
        <v>21</v>
      </c>
    </row>
    <row r="4105" ht="15.75" customHeight="1">
      <c r="A4105" s="2">
        <v>2015.0</v>
      </c>
      <c r="B4105" s="2" t="s">
        <v>18657</v>
      </c>
      <c r="C4105" s="2" t="s">
        <v>18657</v>
      </c>
      <c r="D4105" s="2" t="str">
        <f>"9794131315"</f>
        <v>9794131315</v>
      </c>
      <c r="E4105" s="2" t="s">
        <v>534</v>
      </c>
      <c r="F4105" s="2" t="s">
        <v>18658</v>
      </c>
      <c r="G4105" s="2" t="str">
        <f>"SR-5697"</f>
        <v>SR-5697</v>
      </c>
      <c r="H4105" s="2" t="s">
        <v>18659</v>
      </c>
      <c r="I4105" s="2">
        <v>20910.0</v>
      </c>
      <c r="J4105" s="2" t="s">
        <v>18660</v>
      </c>
      <c r="K4105" s="2" t="s">
        <v>12522</v>
      </c>
      <c r="L4105" s="2" t="s">
        <v>172</v>
      </c>
      <c r="M4105" s="2">
        <v>77433.0</v>
      </c>
      <c r="N4105" s="2" t="s">
        <v>21</v>
      </c>
    </row>
    <row r="4106" ht="15.75" customHeight="1">
      <c r="A4106" s="2">
        <v>2015.0</v>
      </c>
      <c r="B4106" s="2" t="s">
        <v>18661</v>
      </c>
      <c r="C4106" s="2" t="s">
        <v>18661</v>
      </c>
      <c r="D4106" s="2" t="str">
        <f>"262-902-4465"</f>
        <v>262-902-4465</v>
      </c>
      <c r="E4106" s="2" t="s">
        <v>367</v>
      </c>
      <c r="F4106" s="2" t="s">
        <v>18662</v>
      </c>
      <c r="G4106" s="2" t="str">
        <f>"SR-5732"</f>
        <v>SR-5732</v>
      </c>
      <c r="H4106" s="2" t="s">
        <v>18663</v>
      </c>
      <c r="I4106" s="2" t="s">
        <v>18664</v>
      </c>
      <c r="K4106" s="2" t="s">
        <v>600</v>
      </c>
      <c r="L4106" s="2" t="s">
        <v>172</v>
      </c>
      <c r="M4106" s="2">
        <v>77571.0</v>
      </c>
      <c r="N4106" s="2" t="s">
        <v>21</v>
      </c>
    </row>
    <row r="4107" ht="15.75" customHeight="1">
      <c r="A4107" s="2">
        <v>2015.0</v>
      </c>
      <c r="B4107" s="2" t="s">
        <v>7014</v>
      </c>
      <c r="C4107" s="2" t="s">
        <v>18665</v>
      </c>
      <c r="D4107" s="2" t="str">
        <f>"(360)468-4840"</f>
        <v>(360)468-4840</v>
      </c>
      <c r="E4107" s="2" t="s">
        <v>18666</v>
      </c>
      <c r="F4107" s="2" t="s">
        <v>18667</v>
      </c>
      <c r="G4107" s="2" t="str">
        <f>"SR-5549"</f>
        <v>SR-5549</v>
      </c>
      <c r="H4107" s="2" t="s">
        <v>18668</v>
      </c>
      <c r="I4107" s="2" t="s">
        <v>18669</v>
      </c>
      <c r="K4107" s="2" t="s">
        <v>7017</v>
      </c>
      <c r="L4107" s="2" t="s">
        <v>86</v>
      </c>
      <c r="M4107" s="2">
        <v>98286.0</v>
      </c>
      <c r="N4107" s="2" t="s">
        <v>21</v>
      </c>
    </row>
    <row r="4108" ht="15.75" customHeight="1">
      <c r="A4108" s="2">
        <v>2015.0</v>
      </c>
      <c r="B4108" s="2" t="s">
        <v>6163</v>
      </c>
      <c r="C4108" s="2" t="s">
        <v>18670</v>
      </c>
      <c r="D4108" s="2" t="str">
        <f>"8653232709"</f>
        <v>8653232709</v>
      </c>
      <c r="E4108" s="2" t="s">
        <v>18671</v>
      </c>
      <c r="F4108" s="2" t="s">
        <v>6165</v>
      </c>
      <c r="G4108" s="2" t="str">
        <f>"SR-5709"</f>
        <v>SR-5709</v>
      </c>
      <c r="H4108" s="2" t="s">
        <v>18672</v>
      </c>
      <c r="I4108" s="2" t="s">
        <v>6167</v>
      </c>
      <c r="K4108" s="2" t="s">
        <v>6168</v>
      </c>
      <c r="L4108" s="2" t="s">
        <v>279</v>
      </c>
      <c r="M4108" s="2">
        <v>37932.0</v>
      </c>
      <c r="N4108" s="2" t="s">
        <v>21</v>
      </c>
    </row>
    <row r="4109" ht="15.75" customHeight="1">
      <c r="A4109" s="2">
        <v>2015.0</v>
      </c>
      <c r="B4109" s="2" t="s">
        <v>7014</v>
      </c>
      <c r="C4109" s="2" t="s">
        <v>7014</v>
      </c>
      <c r="D4109" s="2" t="str">
        <f>"(360)-317-5570"</f>
        <v>(360)-317-5570</v>
      </c>
      <c r="E4109" s="2" t="s">
        <v>167</v>
      </c>
      <c r="F4109" s="2" t="s">
        <v>847</v>
      </c>
      <c r="G4109" s="2" t="str">
        <f>"SR-862"</f>
        <v>SR-862</v>
      </c>
      <c r="H4109" s="2" t="s">
        <v>7015</v>
      </c>
      <c r="I4109" s="2" t="s">
        <v>15607</v>
      </c>
      <c r="K4109" s="2" t="s">
        <v>9533</v>
      </c>
      <c r="L4109" s="2" t="s">
        <v>86</v>
      </c>
      <c r="M4109" s="2">
        <v>98286.0</v>
      </c>
      <c r="N4109" s="2" t="s">
        <v>21</v>
      </c>
    </row>
    <row r="4110" ht="15.75" customHeight="1">
      <c r="A4110" s="2">
        <v>2015.0</v>
      </c>
      <c r="B4110" s="2" t="s">
        <v>18673</v>
      </c>
      <c r="C4110" s="2" t="s">
        <v>18674</v>
      </c>
      <c r="D4110" s="2" t="str">
        <f>"770-502-9748"</f>
        <v>770-502-9748</v>
      </c>
      <c r="E4110" s="2" t="s">
        <v>1440</v>
      </c>
      <c r="F4110" s="2" t="s">
        <v>18675</v>
      </c>
      <c r="G4110" s="2" t="str">
        <f>"SR-5756"</f>
        <v>SR-5756</v>
      </c>
      <c r="H4110" s="2" t="s">
        <v>18676</v>
      </c>
      <c r="I4110" s="2" t="s">
        <v>18677</v>
      </c>
      <c r="K4110" s="2" t="s">
        <v>775</v>
      </c>
      <c r="L4110" s="2" t="s">
        <v>200</v>
      </c>
      <c r="M4110" s="2">
        <v>30277.0</v>
      </c>
      <c r="N4110" s="2" t="s">
        <v>21</v>
      </c>
    </row>
    <row r="4111" ht="15.75" customHeight="1">
      <c r="A4111" s="2">
        <v>2015.0</v>
      </c>
      <c r="B4111" s="2" t="s">
        <v>14003</v>
      </c>
      <c r="C4111" s="2" t="s">
        <v>18678</v>
      </c>
      <c r="D4111" s="2" t="str">
        <f>"856-375-5336"</f>
        <v>856-375-5336</v>
      </c>
      <c r="E4111" s="2" t="s">
        <v>8039</v>
      </c>
      <c r="F4111" s="2" t="s">
        <v>14006</v>
      </c>
      <c r="G4111" s="2" t="str">
        <f>"SR-5759"</f>
        <v>SR-5759</v>
      </c>
      <c r="H4111" s="2" t="s">
        <v>18679</v>
      </c>
      <c r="I4111" s="2" t="s">
        <v>14008</v>
      </c>
      <c r="K4111" s="2" t="s">
        <v>18680</v>
      </c>
      <c r="L4111" s="2" t="s">
        <v>3618</v>
      </c>
      <c r="M4111" s="2">
        <v>8003.0</v>
      </c>
      <c r="N4111" s="2" t="s">
        <v>21</v>
      </c>
    </row>
    <row r="4112" ht="15.75" customHeight="1">
      <c r="A4112" s="2">
        <v>2015.0</v>
      </c>
      <c r="B4112" s="2" t="s">
        <v>18681</v>
      </c>
      <c r="C4112" s="2" t="s">
        <v>18682</v>
      </c>
      <c r="D4112" s="2" t="str">
        <f>"(949) 463-5235"</f>
        <v>(949) 463-5235</v>
      </c>
      <c r="E4112" s="2" t="s">
        <v>9197</v>
      </c>
      <c r="F4112" s="2" t="s">
        <v>7458</v>
      </c>
      <c r="G4112" s="2" t="str">
        <f>"SR-5764"</f>
        <v>SR-5764</v>
      </c>
      <c r="H4112" s="2" t="s">
        <v>18683</v>
      </c>
      <c r="I4112" s="2" t="s">
        <v>18684</v>
      </c>
      <c r="K4112" s="2" t="s">
        <v>18685</v>
      </c>
      <c r="L4112" s="2" t="s">
        <v>222</v>
      </c>
      <c r="M4112" s="2">
        <v>92694.0</v>
      </c>
      <c r="N4112" s="2" t="s">
        <v>21</v>
      </c>
    </row>
    <row r="4113" ht="15.75" customHeight="1">
      <c r="A4113" s="2">
        <v>2015.0</v>
      </c>
      <c r="B4113" s="2" t="s">
        <v>18686</v>
      </c>
      <c r="C4113" s="2" t="s">
        <v>18686</v>
      </c>
      <c r="D4113" s="2" t="str">
        <f>"6052803095"</f>
        <v>6052803095</v>
      </c>
      <c r="E4113" s="2" t="s">
        <v>282</v>
      </c>
      <c r="F4113" s="2" t="s">
        <v>14352</v>
      </c>
      <c r="G4113" s="2" t="str">
        <f>"SR-5616"</f>
        <v>SR-5616</v>
      </c>
      <c r="H4113" s="2" t="s">
        <v>18687</v>
      </c>
      <c r="I4113" s="2" t="s">
        <v>18688</v>
      </c>
      <c r="K4113" s="2" t="s">
        <v>4355</v>
      </c>
      <c r="L4113" s="2" t="s">
        <v>920</v>
      </c>
      <c r="M4113" s="2">
        <v>57501.0</v>
      </c>
      <c r="N4113" s="2" t="s">
        <v>21</v>
      </c>
    </row>
    <row r="4114" ht="15.75" customHeight="1">
      <c r="A4114" s="2">
        <v>2015.0</v>
      </c>
      <c r="B4114" s="2" t="s">
        <v>18689</v>
      </c>
      <c r="C4114" s="2" t="s">
        <v>18690</v>
      </c>
      <c r="D4114" s="2" t="str">
        <f>"605-295-8211"</f>
        <v>605-295-8211</v>
      </c>
      <c r="E4114" s="2" t="s">
        <v>3061</v>
      </c>
      <c r="F4114" s="2" t="s">
        <v>18691</v>
      </c>
      <c r="G4114" s="2" t="str">
        <f>"SR-5611"</f>
        <v>SR-5611</v>
      </c>
      <c r="H4114" s="2" t="s">
        <v>18692</v>
      </c>
      <c r="I4114" s="2" t="s">
        <v>18693</v>
      </c>
      <c r="K4114" s="2" t="s">
        <v>18694</v>
      </c>
      <c r="L4114" s="2" t="s">
        <v>920</v>
      </c>
      <c r="M4114" s="2">
        <v>57501.0</v>
      </c>
      <c r="N4114" s="2" t="s">
        <v>21</v>
      </c>
    </row>
    <row r="4115" ht="15.75" customHeight="1">
      <c r="A4115" s="2">
        <v>2015.0</v>
      </c>
      <c r="B4115" s="2" t="s">
        <v>18695</v>
      </c>
      <c r="C4115" s="2" t="s">
        <v>18695</v>
      </c>
      <c r="D4115" s="2" t="str">
        <f>"6052209615"</f>
        <v>6052209615</v>
      </c>
      <c r="E4115" s="2" t="s">
        <v>10860</v>
      </c>
      <c r="F4115" s="2" t="s">
        <v>3411</v>
      </c>
      <c r="G4115" s="2" t="str">
        <f>"SR-5417"</f>
        <v>SR-5417</v>
      </c>
      <c r="H4115" s="2" t="s">
        <v>11239</v>
      </c>
      <c r="I4115" s="2" t="s">
        <v>18696</v>
      </c>
      <c r="K4115" s="2" t="s">
        <v>18697</v>
      </c>
      <c r="L4115" s="2" t="s">
        <v>920</v>
      </c>
      <c r="M4115" s="2">
        <v>57532.0</v>
      </c>
      <c r="N4115" s="2" t="s">
        <v>21</v>
      </c>
    </row>
    <row r="4116" ht="15.75" customHeight="1">
      <c r="A4116" s="2">
        <v>2015.0</v>
      </c>
      <c r="B4116" s="2" t="s">
        <v>18698</v>
      </c>
      <c r="C4116" s="2" t="s">
        <v>18699</v>
      </c>
      <c r="D4116" s="2" t="str">
        <f>"6053901193"</f>
        <v>6053901193</v>
      </c>
      <c r="E4116" s="2" t="s">
        <v>167</v>
      </c>
      <c r="F4116" s="2" t="s">
        <v>18700</v>
      </c>
      <c r="G4116" s="2" t="str">
        <f>"SR-5767"</f>
        <v>SR-5767</v>
      </c>
      <c r="H4116" s="2" t="s">
        <v>18701</v>
      </c>
      <c r="I4116" s="2" t="s">
        <v>18702</v>
      </c>
      <c r="K4116" s="2" t="s">
        <v>18379</v>
      </c>
      <c r="L4116" s="2" t="s">
        <v>920</v>
      </c>
      <c r="M4116" s="2">
        <v>57793.0</v>
      </c>
      <c r="N4116" s="2" t="s">
        <v>21</v>
      </c>
    </row>
    <row r="4117" ht="15.75" customHeight="1">
      <c r="A4117" s="2">
        <v>2015.0</v>
      </c>
      <c r="B4117" s="2" t="s">
        <v>18703</v>
      </c>
      <c r="C4117" s="2" t="s">
        <v>18704</v>
      </c>
      <c r="D4117" s="2" t="str">
        <f>"2693450736"</f>
        <v>2693450736</v>
      </c>
      <c r="E4117" s="2" t="s">
        <v>18705</v>
      </c>
      <c r="F4117" s="2" t="s">
        <v>18706</v>
      </c>
      <c r="G4117" s="2" t="str">
        <f>"SR-5761"</f>
        <v>SR-5761</v>
      </c>
      <c r="H4117" s="2" t="s">
        <v>18707</v>
      </c>
      <c r="I4117" s="2" t="s">
        <v>18708</v>
      </c>
      <c r="K4117" s="2" t="s">
        <v>18709</v>
      </c>
      <c r="L4117" s="2" t="s">
        <v>29</v>
      </c>
      <c r="M4117" s="2">
        <v>49001.0</v>
      </c>
      <c r="N4117" s="2" t="s">
        <v>21</v>
      </c>
    </row>
    <row r="4118" ht="15.75" customHeight="1">
      <c r="A4118" s="2">
        <v>2015.0</v>
      </c>
      <c r="B4118" s="2" t="s">
        <v>18710</v>
      </c>
      <c r="C4118" s="2" t="s">
        <v>18711</v>
      </c>
      <c r="D4118" s="2" t="str">
        <f>"316-789-5422"</f>
        <v>316-789-5422</v>
      </c>
      <c r="E4118" s="2" t="s">
        <v>3191</v>
      </c>
      <c r="F4118" s="2" t="s">
        <v>2234</v>
      </c>
      <c r="G4118" s="2" t="str">
        <f>"SR-5714"</f>
        <v>SR-5714</v>
      </c>
      <c r="H4118" s="2" t="s">
        <v>18712</v>
      </c>
      <c r="I4118" s="2" t="s">
        <v>18713</v>
      </c>
      <c r="K4118" s="2" t="s">
        <v>606</v>
      </c>
      <c r="L4118" s="2" t="s">
        <v>272</v>
      </c>
      <c r="M4118" s="2">
        <v>67235.0</v>
      </c>
      <c r="N4118" s="2" t="s">
        <v>21</v>
      </c>
    </row>
    <row r="4119" ht="15.75" customHeight="1">
      <c r="A4119" s="2">
        <v>2015.0</v>
      </c>
      <c r="B4119" s="2" t="s">
        <v>18714</v>
      </c>
      <c r="C4119" s="2" t="s">
        <v>18714</v>
      </c>
      <c r="D4119" s="2" t="str">
        <f>"707-451-9776"</f>
        <v>707-451-9776</v>
      </c>
      <c r="E4119" s="2" t="s">
        <v>18715</v>
      </c>
      <c r="F4119" s="2" t="s">
        <v>4743</v>
      </c>
      <c r="G4119" s="2" t="str">
        <f>"SR-5772"</f>
        <v>SR-5772</v>
      </c>
      <c r="H4119" s="2" t="s">
        <v>18716</v>
      </c>
      <c r="I4119" s="2">
        <v>5932.0</v>
      </c>
      <c r="J4119" s="2" t="s">
        <v>18717</v>
      </c>
      <c r="K4119" s="2" t="s">
        <v>4330</v>
      </c>
      <c r="L4119" s="2" t="s">
        <v>222</v>
      </c>
      <c r="M4119" s="2">
        <v>95.0</v>
      </c>
      <c r="N4119" s="2" t="s">
        <v>21</v>
      </c>
    </row>
    <row r="4120" ht="15.75" customHeight="1">
      <c r="A4120" s="2">
        <v>2015.0</v>
      </c>
      <c r="B4120" s="2" t="s">
        <v>18718</v>
      </c>
      <c r="C4120" s="2" t="s">
        <v>18719</v>
      </c>
      <c r="D4120" s="2" t="str">
        <f>"503-780-9020"</f>
        <v>503-780-9020</v>
      </c>
      <c r="E4120" s="2" t="s">
        <v>160</v>
      </c>
      <c r="F4120" s="2" t="s">
        <v>256</v>
      </c>
      <c r="G4120" s="2" t="str">
        <f>"SR-5749"</f>
        <v>SR-5749</v>
      </c>
      <c r="H4120" s="2" t="s">
        <v>18720</v>
      </c>
      <c r="I4120" s="2" t="s">
        <v>18721</v>
      </c>
      <c r="K4120" s="2" t="s">
        <v>3058</v>
      </c>
      <c r="L4120" s="2" t="s">
        <v>2389</v>
      </c>
      <c r="M4120" s="2">
        <v>97030.0</v>
      </c>
      <c r="N4120" s="2" t="s">
        <v>21</v>
      </c>
    </row>
    <row r="4121" ht="15.75" customHeight="1">
      <c r="A4121" s="2">
        <v>2015.0</v>
      </c>
      <c r="B4121" s="2" t="s">
        <v>18722</v>
      </c>
      <c r="C4121" s="2" t="s">
        <v>18723</v>
      </c>
      <c r="D4121" s="2" t="str">
        <f>"931-455-3464"</f>
        <v>931-455-3464</v>
      </c>
      <c r="E4121" s="2" t="s">
        <v>824</v>
      </c>
      <c r="F4121" s="2" t="s">
        <v>18724</v>
      </c>
      <c r="G4121" s="2" t="str">
        <f>"SR-5351"</f>
        <v>SR-5351</v>
      </c>
      <c r="H4121" s="2" t="s">
        <v>18725</v>
      </c>
      <c r="I4121" s="2" t="s">
        <v>18726</v>
      </c>
      <c r="K4121" s="2" t="s">
        <v>18727</v>
      </c>
      <c r="L4121" s="2" t="s">
        <v>279</v>
      </c>
      <c r="M4121" s="2">
        <v>37360.0</v>
      </c>
      <c r="N4121" s="2" t="s">
        <v>21</v>
      </c>
    </row>
    <row r="4122" ht="15.75" customHeight="1">
      <c r="A4122" s="2">
        <v>2015.0</v>
      </c>
      <c r="B4122" s="2" t="s">
        <v>18728</v>
      </c>
      <c r="C4122" s="2" t="s">
        <v>18729</v>
      </c>
      <c r="D4122" s="2" t="str">
        <f>"6613918105"</f>
        <v>6613918105</v>
      </c>
      <c r="E4122" s="2" t="s">
        <v>373</v>
      </c>
      <c r="F4122" s="2" t="s">
        <v>18730</v>
      </c>
      <c r="G4122" s="2" t="str">
        <f>"SR-5781"</f>
        <v>SR-5781</v>
      </c>
      <c r="H4122" s="2" t="s">
        <v>18731</v>
      </c>
      <c r="I4122" s="2" t="s">
        <v>18732</v>
      </c>
      <c r="K4122" s="2" t="s">
        <v>11198</v>
      </c>
      <c r="L4122" s="2" t="s">
        <v>222</v>
      </c>
      <c r="M4122" s="2">
        <v>93380.0</v>
      </c>
      <c r="N4122" s="2" t="s">
        <v>21</v>
      </c>
    </row>
    <row r="4123" ht="15.75" customHeight="1">
      <c r="A4123" s="2">
        <v>2015.0</v>
      </c>
      <c r="B4123" s="2" t="s">
        <v>18722</v>
      </c>
      <c r="C4123" s="2" t="s">
        <v>18733</v>
      </c>
      <c r="D4123" s="2" t="str">
        <f>"931-455-3464"</f>
        <v>931-455-3464</v>
      </c>
      <c r="E4123" s="2" t="s">
        <v>282</v>
      </c>
      <c r="F4123" s="2" t="s">
        <v>18724</v>
      </c>
      <c r="G4123" s="2" t="str">
        <f>"SR-5352"</f>
        <v>SR-5352</v>
      </c>
      <c r="H4123" s="2" t="s">
        <v>18734</v>
      </c>
      <c r="I4123" s="2" t="s">
        <v>18726</v>
      </c>
      <c r="K4123" s="2" t="s">
        <v>18727</v>
      </c>
      <c r="L4123" s="2" t="s">
        <v>279</v>
      </c>
      <c r="M4123" s="2">
        <v>37360.0</v>
      </c>
      <c r="N4123" s="2" t="s">
        <v>21</v>
      </c>
    </row>
    <row r="4124" ht="15.75" customHeight="1">
      <c r="A4124" s="2">
        <v>2015.0</v>
      </c>
      <c r="B4124" s="2" t="s">
        <v>18735</v>
      </c>
      <c r="C4124" s="2" t="s">
        <v>18736</v>
      </c>
      <c r="D4124" s="2" t="str">
        <f>"8174031225"</f>
        <v>8174031225</v>
      </c>
      <c r="E4124" s="2" t="s">
        <v>24</v>
      </c>
      <c r="F4124" s="2" t="s">
        <v>167</v>
      </c>
      <c r="G4124" s="2" t="str">
        <f>"SR-5783"</f>
        <v>SR-5783</v>
      </c>
      <c r="H4124" s="2" t="s">
        <v>14522</v>
      </c>
      <c r="I4124" s="2" t="s">
        <v>18737</v>
      </c>
      <c r="K4124" s="2" t="s">
        <v>5729</v>
      </c>
      <c r="L4124" s="2" t="s">
        <v>172</v>
      </c>
      <c r="M4124" s="2">
        <v>76087.0</v>
      </c>
      <c r="N4124" s="2" t="s">
        <v>21</v>
      </c>
    </row>
    <row r="4125" ht="15.75" customHeight="1">
      <c r="A4125" s="2">
        <v>2015.0</v>
      </c>
      <c r="B4125" s="2" t="s">
        <v>18738</v>
      </c>
      <c r="C4125" s="2" t="s">
        <v>18739</v>
      </c>
      <c r="D4125" s="2" t="str">
        <f>"(406)761-7169"</f>
        <v>(406)761-7169</v>
      </c>
      <c r="E4125" s="2" t="s">
        <v>1197</v>
      </c>
      <c r="F4125" s="2" t="s">
        <v>711</v>
      </c>
      <c r="G4125" s="2" t="str">
        <f>"SR-5335"</f>
        <v>SR-5335</v>
      </c>
      <c r="H4125" s="2" t="s">
        <v>18740</v>
      </c>
      <c r="I4125" s="2" t="s">
        <v>18741</v>
      </c>
      <c r="K4125" s="2" t="s">
        <v>18742</v>
      </c>
      <c r="L4125" s="2" t="s">
        <v>2696</v>
      </c>
      <c r="M4125" s="2">
        <v>59401.0</v>
      </c>
      <c r="N4125" s="2" t="s">
        <v>21</v>
      </c>
    </row>
    <row r="4126" ht="15.75" customHeight="1">
      <c r="A4126" s="2">
        <v>2015.0</v>
      </c>
      <c r="B4126" s="2" t="s">
        <v>6207</v>
      </c>
      <c r="C4126" s="2" t="s">
        <v>18743</v>
      </c>
      <c r="D4126" s="2" t="str">
        <f>"303-697-7700"</f>
        <v>303-697-7700</v>
      </c>
      <c r="E4126" s="2" t="s">
        <v>57</v>
      </c>
      <c r="F4126" s="2" t="s">
        <v>1929</v>
      </c>
      <c r="G4126" s="2" t="str">
        <f>"SR-5677"</f>
        <v>SR-5677</v>
      </c>
      <c r="H4126" s="2" t="s">
        <v>18744</v>
      </c>
      <c r="I4126" s="2" t="s">
        <v>6210</v>
      </c>
      <c r="K4126" s="2" t="s">
        <v>1223</v>
      </c>
      <c r="L4126" s="2" t="s">
        <v>157</v>
      </c>
      <c r="M4126" s="2">
        <v>80433.0</v>
      </c>
      <c r="N4126" s="2" t="s">
        <v>21</v>
      </c>
    </row>
    <row r="4127" ht="15.75" customHeight="1">
      <c r="A4127" s="2">
        <v>2015.0</v>
      </c>
      <c r="B4127" s="2" t="s">
        <v>18745</v>
      </c>
      <c r="C4127" s="2" t="s">
        <v>18746</v>
      </c>
      <c r="D4127" s="2" t="str">
        <f>"706-783-4889"</f>
        <v>706-783-4889</v>
      </c>
      <c r="E4127" s="2" t="s">
        <v>843</v>
      </c>
      <c r="F4127" s="2" t="s">
        <v>18675</v>
      </c>
      <c r="G4127" s="2" t="str">
        <f>"SR-5786"</f>
        <v>SR-5786</v>
      </c>
      <c r="H4127" s="2" t="s">
        <v>18747</v>
      </c>
      <c r="I4127" s="2" t="s">
        <v>18748</v>
      </c>
      <c r="K4127" s="2" t="s">
        <v>18749</v>
      </c>
      <c r="L4127" s="2" t="s">
        <v>200</v>
      </c>
      <c r="M4127" s="2">
        <v>30629.0</v>
      </c>
      <c r="N4127" s="2" t="s">
        <v>21</v>
      </c>
    </row>
    <row r="4128" ht="15.75" customHeight="1">
      <c r="A4128" s="2">
        <v>2015.0</v>
      </c>
      <c r="B4128" s="2" t="s">
        <v>18750</v>
      </c>
      <c r="C4128" s="2" t="s">
        <v>18750</v>
      </c>
      <c r="D4128" s="2" t="str">
        <f>"541-260-8794"</f>
        <v>541-260-8794</v>
      </c>
      <c r="E4128" s="2" t="s">
        <v>18751</v>
      </c>
      <c r="F4128" s="2" t="s">
        <v>18752</v>
      </c>
      <c r="G4128" s="2" t="str">
        <f>"SR-5755"</f>
        <v>SR-5755</v>
      </c>
      <c r="H4128" s="2" t="s">
        <v>18753</v>
      </c>
      <c r="I4128" s="2" t="s">
        <v>18754</v>
      </c>
      <c r="K4128" s="2" t="s">
        <v>18755</v>
      </c>
      <c r="L4128" s="2" t="s">
        <v>2389</v>
      </c>
      <c r="M4128" s="2">
        <v>97458.0</v>
      </c>
      <c r="N4128" s="2" t="s">
        <v>21</v>
      </c>
    </row>
    <row r="4129" ht="15.75" customHeight="1">
      <c r="A4129" s="2">
        <v>2015.0</v>
      </c>
      <c r="B4129" s="2" t="s">
        <v>18756</v>
      </c>
      <c r="C4129" s="2" t="s">
        <v>18757</v>
      </c>
      <c r="D4129" s="2" t="str">
        <f>"3603199826"</f>
        <v>3603199826</v>
      </c>
      <c r="E4129" s="2" t="s">
        <v>6526</v>
      </c>
      <c r="F4129" s="2" t="s">
        <v>18758</v>
      </c>
      <c r="G4129" s="2" t="str">
        <f>"SR-5710"</f>
        <v>SR-5710</v>
      </c>
      <c r="H4129" s="2" t="s">
        <v>18759</v>
      </c>
      <c r="I4129" s="2" t="s">
        <v>18760</v>
      </c>
      <c r="K4129" s="2" t="s">
        <v>2836</v>
      </c>
      <c r="L4129" s="2" t="s">
        <v>86</v>
      </c>
      <c r="M4129" s="2">
        <v>98248.0</v>
      </c>
      <c r="N4129" s="2" t="s">
        <v>21</v>
      </c>
    </row>
    <row r="4130" ht="15.75" customHeight="1">
      <c r="A4130" s="2">
        <v>2015.0</v>
      </c>
      <c r="B4130" s="2" t="s">
        <v>18761</v>
      </c>
      <c r="C4130" s="2" t="s">
        <v>18762</v>
      </c>
      <c r="D4130" s="2" t="str">
        <f>"4064311916"</f>
        <v>4064311916</v>
      </c>
      <c r="E4130" s="2" t="s">
        <v>2725</v>
      </c>
      <c r="F4130" s="2" t="s">
        <v>5315</v>
      </c>
      <c r="G4130" s="2" t="str">
        <f>"SR-5780"</f>
        <v>SR-5780</v>
      </c>
      <c r="H4130" s="2" t="s">
        <v>18763</v>
      </c>
      <c r="I4130" s="2" t="s">
        <v>18764</v>
      </c>
      <c r="K4130" s="2" t="s">
        <v>18765</v>
      </c>
      <c r="L4130" s="2" t="s">
        <v>1419</v>
      </c>
      <c r="M4130" s="2">
        <v>89703.0</v>
      </c>
      <c r="N4130" s="2" t="s">
        <v>21</v>
      </c>
    </row>
    <row r="4131" ht="15.75" customHeight="1">
      <c r="A4131" s="2">
        <v>2015.0</v>
      </c>
      <c r="B4131" s="2" t="s">
        <v>11199</v>
      </c>
      <c r="C4131" s="2" t="s">
        <v>11199</v>
      </c>
      <c r="D4131" s="2" t="str">
        <f>"(970)-333-4666"</f>
        <v>(970)-333-4666</v>
      </c>
      <c r="E4131" s="2" t="s">
        <v>11200</v>
      </c>
      <c r="F4131" s="2" t="s">
        <v>11201</v>
      </c>
      <c r="G4131" s="2" t="str">
        <f>"SR-3287"</f>
        <v>SR-3287</v>
      </c>
      <c r="H4131" s="2" t="s">
        <v>11202</v>
      </c>
      <c r="I4131" s="2" t="s">
        <v>11203</v>
      </c>
      <c r="K4131" s="2" t="s">
        <v>11204</v>
      </c>
      <c r="L4131" s="2" t="s">
        <v>157</v>
      </c>
      <c r="M4131" s="2">
        <v>80498.0</v>
      </c>
      <c r="N4131" s="2" t="s">
        <v>21</v>
      </c>
    </row>
    <row r="4132" ht="15.75" customHeight="1">
      <c r="A4132" s="2">
        <v>2015.0</v>
      </c>
      <c r="B4132" s="2" t="s">
        <v>18766</v>
      </c>
      <c r="C4132" s="2" t="s">
        <v>18767</v>
      </c>
      <c r="D4132" s="2" t="str">
        <f>"601-577-3098"</f>
        <v>601-577-3098</v>
      </c>
      <c r="E4132" s="2" t="s">
        <v>4968</v>
      </c>
      <c r="F4132" s="2" t="s">
        <v>5305</v>
      </c>
      <c r="G4132" s="2" t="str">
        <f>"SR-5792"</f>
        <v>SR-5792</v>
      </c>
      <c r="H4132" s="2" t="s">
        <v>18768</v>
      </c>
      <c r="I4132" s="2" t="s">
        <v>18769</v>
      </c>
      <c r="K4132" s="2" t="s">
        <v>18770</v>
      </c>
      <c r="L4132" s="2" t="s">
        <v>1722</v>
      </c>
      <c r="M4132" s="2">
        <v>39338.0</v>
      </c>
      <c r="N4132" s="2" t="s">
        <v>21</v>
      </c>
    </row>
    <row r="4133" ht="15.75" customHeight="1">
      <c r="A4133" s="2">
        <v>2015.0</v>
      </c>
      <c r="B4133" s="2" t="s">
        <v>18771</v>
      </c>
      <c r="C4133" s="2" t="s">
        <v>18772</v>
      </c>
      <c r="D4133" s="2" t="str">
        <f>"2319033087"</f>
        <v>2319033087</v>
      </c>
      <c r="E4133" s="2" t="s">
        <v>611</v>
      </c>
      <c r="F4133" s="2" t="s">
        <v>18773</v>
      </c>
      <c r="G4133" s="2" t="str">
        <f>"SR-5115"</f>
        <v>SR-5115</v>
      </c>
      <c r="H4133" s="2" t="s">
        <v>18774</v>
      </c>
      <c r="I4133" s="2" t="s">
        <v>18775</v>
      </c>
      <c r="K4133" s="2" t="s">
        <v>18776</v>
      </c>
      <c r="L4133" s="2" t="s">
        <v>29</v>
      </c>
      <c r="M4133" s="2">
        <v>49445.0</v>
      </c>
      <c r="N4133" s="2" t="s">
        <v>21</v>
      </c>
    </row>
    <row r="4134" ht="15.75" customHeight="1">
      <c r="A4134" s="2">
        <v>2015.0</v>
      </c>
      <c r="B4134" s="2" t="s">
        <v>10171</v>
      </c>
      <c r="C4134" s="2" t="s">
        <v>10172</v>
      </c>
      <c r="D4134" s="2" t="str">
        <f>"262.873.0316"</f>
        <v>262.873.0316</v>
      </c>
      <c r="E4134" s="2" t="s">
        <v>2259</v>
      </c>
      <c r="F4134" s="2" t="s">
        <v>10173</v>
      </c>
      <c r="G4134" s="2" t="str">
        <f>"SR-2929"</f>
        <v>SR-2929</v>
      </c>
      <c r="H4134" s="2" t="s">
        <v>10174</v>
      </c>
      <c r="I4134" s="2" t="s">
        <v>10175</v>
      </c>
      <c r="K4134" s="2" t="s">
        <v>10176</v>
      </c>
      <c r="L4134" s="2" t="s">
        <v>193</v>
      </c>
      <c r="M4134" s="2">
        <v>53186.0</v>
      </c>
      <c r="N4134" s="2" t="s">
        <v>21</v>
      </c>
    </row>
    <row r="4135" ht="15.75" customHeight="1">
      <c r="A4135" s="2">
        <v>2015.0</v>
      </c>
      <c r="B4135" s="2" t="s">
        <v>9395</v>
      </c>
      <c r="C4135" s="2" t="s">
        <v>9396</v>
      </c>
      <c r="D4135" s="2" t="str">
        <f>"01227448481"</f>
        <v>01227448481</v>
      </c>
      <c r="E4135" s="2" t="s">
        <v>9397</v>
      </c>
      <c r="F4135" s="2" t="s">
        <v>9398</v>
      </c>
      <c r="G4135" s="2" t="str">
        <f>"SR-2752"</f>
        <v>SR-2752</v>
      </c>
      <c r="H4135" s="2" t="s">
        <v>9399</v>
      </c>
      <c r="I4135" s="2" t="s">
        <v>9400</v>
      </c>
      <c r="K4135" s="2" t="s">
        <v>9297</v>
      </c>
      <c r="N4135" s="2" t="s">
        <v>9298</v>
      </c>
    </row>
    <row r="4136" ht="15.75" customHeight="1">
      <c r="A4136" s="2">
        <v>2015.0</v>
      </c>
      <c r="B4136" s="2" t="s">
        <v>18777</v>
      </c>
      <c r="C4136" s="2" t="s">
        <v>18777</v>
      </c>
      <c r="D4136" s="2" t="str">
        <f>"(605)225-0071"</f>
        <v>(605)225-0071</v>
      </c>
      <c r="E4136" s="2" t="s">
        <v>6813</v>
      </c>
      <c r="F4136" s="2" t="s">
        <v>18778</v>
      </c>
      <c r="G4136" s="2" t="str">
        <f>"SR-5812"</f>
        <v>SR-5812</v>
      </c>
      <c r="H4136" s="2" t="s">
        <v>18779</v>
      </c>
      <c r="I4136" s="2" t="s">
        <v>18780</v>
      </c>
      <c r="K4136" s="2" t="s">
        <v>16552</v>
      </c>
      <c r="L4136" s="2" t="s">
        <v>920</v>
      </c>
      <c r="M4136" s="2">
        <v>57401.0</v>
      </c>
      <c r="N4136" s="2" t="s">
        <v>21</v>
      </c>
    </row>
    <row r="4137" ht="15.75" customHeight="1">
      <c r="A4137" s="2">
        <v>2015.0</v>
      </c>
      <c r="B4137" s="2" t="s">
        <v>18781</v>
      </c>
      <c r="C4137" s="2" t="s">
        <v>18782</v>
      </c>
      <c r="D4137" s="2" t="str">
        <f>"423-775-3557"</f>
        <v>423-775-3557</v>
      </c>
      <c r="E4137" s="2" t="s">
        <v>217</v>
      </c>
      <c r="F4137" s="2" t="s">
        <v>4079</v>
      </c>
      <c r="G4137" s="2" t="str">
        <f>"SR-5699"</f>
        <v>SR-5699</v>
      </c>
      <c r="H4137" s="2" t="s">
        <v>18783</v>
      </c>
      <c r="I4137" s="2" t="s">
        <v>18784</v>
      </c>
      <c r="K4137" s="2" t="s">
        <v>4310</v>
      </c>
      <c r="L4137" s="2" t="s">
        <v>279</v>
      </c>
      <c r="M4137" s="2">
        <v>37321.0</v>
      </c>
      <c r="N4137" s="2" t="s">
        <v>21</v>
      </c>
    </row>
    <row r="4138" ht="15.75" customHeight="1">
      <c r="A4138" s="2">
        <v>2015.0</v>
      </c>
      <c r="B4138" s="2" t="s">
        <v>10836</v>
      </c>
      <c r="C4138" s="2" t="s">
        <v>10837</v>
      </c>
      <c r="D4138" s="2" t="str">
        <f>"719-321-1593"</f>
        <v>719-321-1593</v>
      </c>
      <c r="E4138" s="2" t="s">
        <v>908</v>
      </c>
      <c r="F4138" s="2" t="s">
        <v>2598</v>
      </c>
      <c r="G4138" s="2" t="str">
        <f>"SR-3106"</f>
        <v>SR-3106</v>
      </c>
      <c r="H4138" s="2" t="s">
        <v>10838</v>
      </c>
      <c r="I4138" s="2" t="s">
        <v>10839</v>
      </c>
      <c r="K4138" s="2" t="s">
        <v>10840</v>
      </c>
      <c r="L4138" s="2" t="s">
        <v>157</v>
      </c>
      <c r="M4138" s="2">
        <v>80864.0</v>
      </c>
      <c r="N4138" s="2" t="s">
        <v>21</v>
      </c>
    </row>
    <row r="4139" ht="15.75" customHeight="1">
      <c r="A4139" s="2">
        <v>2015.0</v>
      </c>
      <c r="B4139" s="2" t="s">
        <v>18785</v>
      </c>
      <c r="C4139" s="2" t="s">
        <v>18785</v>
      </c>
      <c r="D4139" s="2" t="str">
        <f>"9706850501"</f>
        <v>9706850501</v>
      </c>
      <c r="E4139" s="2" t="s">
        <v>18113</v>
      </c>
      <c r="F4139" s="2" t="s">
        <v>5105</v>
      </c>
      <c r="G4139" s="2" t="str">
        <f>"SR-5748"</f>
        <v>SR-5748</v>
      </c>
      <c r="H4139" s="2" t="s">
        <v>18786</v>
      </c>
      <c r="I4139" s="2" t="s">
        <v>18787</v>
      </c>
      <c r="K4139" s="2" t="s">
        <v>1048</v>
      </c>
      <c r="L4139" s="2" t="s">
        <v>157</v>
      </c>
      <c r="M4139" s="2">
        <v>80537.0</v>
      </c>
      <c r="N4139" s="2" t="s">
        <v>21</v>
      </c>
    </row>
    <row r="4140" ht="15.75" customHeight="1">
      <c r="A4140" s="2">
        <v>2015.0</v>
      </c>
      <c r="B4140" s="2" t="s">
        <v>18788</v>
      </c>
      <c r="C4140" s="2" t="s">
        <v>18789</v>
      </c>
      <c r="D4140" s="2" t="str">
        <f>"8162651998"</f>
        <v>8162651998</v>
      </c>
      <c r="E4140" s="2" t="s">
        <v>57</v>
      </c>
      <c r="F4140" s="2" t="s">
        <v>14694</v>
      </c>
      <c r="G4140" s="2" t="str">
        <f>"SR-5785"</f>
        <v>SR-5785</v>
      </c>
      <c r="H4140" s="2" t="s">
        <v>18790</v>
      </c>
      <c r="I4140" s="2" t="s">
        <v>18791</v>
      </c>
      <c r="K4140" s="2" t="s">
        <v>18637</v>
      </c>
      <c r="L4140" s="2" t="s">
        <v>272</v>
      </c>
      <c r="M4140" s="2">
        <v>66026.0</v>
      </c>
      <c r="N4140" s="2" t="s">
        <v>21</v>
      </c>
    </row>
    <row r="4141" ht="15.75" customHeight="1">
      <c r="A4141" s="2">
        <v>2015.0</v>
      </c>
      <c r="B4141" s="2" t="s">
        <v>18792</v>
      </c>
      <c r="C4141" s="2" t="s">
        <v>18792</v>
      </c>
      <c r="D4141" s="2" t="str">
        <f>"719-377-1092"</f>
        <v>719-377-1092</v>
      </c>
      <c r="E4141" s="2" t="s">
        <v>2841</v>
      </c>
      <c r="F4141" s="2" t="s">
        <v>428</v>
      </c>
      <c r="G4141" s="2" t="str">
        <f>"SR-5825"</f>
        <v>SR-5825</v>
      </c>
      <c r="H4141" s="2" t="s">
        <v>18793</v>
      </c>
      <c r="I4141" s="2" t="s">
        <v>18794</v>
      </c>
      <c r="K4141" s="2" t="s">
        <v>809</v>
      </c>
      <c r="L4141" s="2" t="s">
        <v>157</v>
      </c>
      <c r="M4141" s="2">
        <v>80906.0</v>
      </c>
      <c r="N4141" s="2" t="s">
        <v>21</v>
      </c>
    </row>
    <row r="4142" ht="15.75" customHeight="1">
      <c r="A4142" s="2">
        <v>2015.0</v>
      </c>
      <c r="B4142" s="2" t="s">
        <v>18795</v>
      </c>
      <c r="C4142" s="2" t="s">
        <v>18795</v>
      </c>
      <c r="D4142" s="2" t="str">
        <f>"913-259-2524"</f>
        <v>913-259-2524</v>
      </c>
      <c r="E4142" s="2" t="s">
        <v>137</v>
      </c>
      <c r="F4142" s="2" t="s">
        <v>18796</v>
      </c>
      <c r="G4142" s="2" t="str">
        <f>"SR-5823"</f>
        <v>SR-5823</v>
      </c>
      <c r="H4142" s="2" t="s">
        <v>18797</v>
      </c>
      <c r="I4142" s="2" t="s">
        <v>18798</v>
      </c>
      <c r="K4142" s="2" t="s">
        <v>1054</v>
      </c>
      <c r="L4142" s="2" t="s">
        <v>272</v>
      </c>
      <c r="M4142" s="2">
        <v>66072.0</v>
      </c>
      <c r="N4142" s="2" t="s">
        <v>21</v>
      </c>
    </row>
    <row r="4143" ht="15.75" customHeight="1">
      <c r="A4143" s="2">
        <v>2015.0</v>
      </c>
      <c r="B4143" s="2" t="s">
        <v>18799</v>
      </c>
      <c r="C4143" s="2" t="s">
        <v>18799</v>
      </c>
      <c r="D4143" s="2" t="str">
        <f>"9155881856"</f>
        <v>9155881856</v>
      </c>
      <c r="E4143" s="2" t="s">
        <v>373</v>
      </c>
      <c r="F4143" s="2" t="s">
        <v>428</v>
      </c>
      <c r="G4143" s="2" t="str">
        <f>"SR-5828"</f>
        <v>SR-5828</v>
      </c>
      <c r="H4143" s="2" t="s">
        <v>18800</v>
      </c>
      <c r="I4143" s="2" t="s">
        <v>18794</v>
      </c>
      <c r="K4143" s="2" t="s">
        <v>809</v>
      </c>
      <c r="L4143" s="2" t="s">
        <v>157</v>
      </c>
      <c r="M4143" s="2">
        <v>80906.0</v>
      </c>
      <c r="N4143" s="2" t="s">
        <v>21</v>
      </c>
    </row>
    <row r="4144" ht="15.75" customHeight="1">
      <c r="A4144" s="2">
        <v>2015.0</v>
      </c>
      <c r="B4144" s="2" t="s">
        <v>18801</v>
      </c>
      <c r="C4144" s="2" t="s">
        <v>18801</v>
      </c>
      <c r="D4144" s="2" t="str">
        <f>"(719) 304-6791"</f>
        <v>(719) 304-6791</v>
      </c>
      <c r="E4144" s="2" t="s">
        <v>18802</v>
      </c>
      <c r="F4144" s="2" t="s">
        <v>18803</v>
      </c>
      <c r="G4144" s="2" t="str">
        <f>"SR-5347"</f>
        <v>SR-5347</v>
      </c>
      <c r="H4144" s="2" t="s">
        <v>18804</v>
      </c>
      <c r="I4144" s="2" t="s">
        <v>18805</v>
      </c>
      <c r="K4144" s="2" t="s">
        <v>809</v>
      </c>
      <c r="L4144" s="2" t="s">
        <v>157</v>
      </c>
      <c r="M4144" s="2">
        <v>80918.0</v>
      </c>
      <c r="N4144" s="2" t="s">
        <v>21</v>
      </c>
    </row>
    <row r="4145" ht="15.75" customHeight="1">
      <c r="A4145" s="2">
        <v>2015.0</v>
      </c>
      <c r="B4145" s="2" t="s">
        <v>4553</v>
      </c>
      <c r="C4145" s="2" t="s">
        <v>18806</v>
      </c>
      <c r="D4145" s="2" t="str">
        <f>"8139082051"</f>
        <v>8139082051</v>
      </c>
      <c r="E4145" s="2" t="s">
        <v>14788</v>
      </c>
      <c r="F4145" s="2" t="s">
        <v>4556</v>
      </c>
      <c r="G4145" s="2" t="str">
        <f>"SR-5807"</f>
        <v>SR-5807</v>
      </c>
      <c r="H4145" s="2" t="s">
        <v>18807</v>
      </c>
      <c r="I4145" s="2" t="s">
        <v>4558</v>
      </c>
      <c r="K4145" s="2" t="s">
        <v>3431</v>
      </c>
      <c r="L4145" s="2" t="s">
        <v>208</v>
      </c>
      <c r="M4145" s="2">
        <v>33618.0</v>
      </c>
      <c r="N4145" s="2" t="s">
        <v>21</v>
      </c>
    </row>
    <row r="4146" ht="15.75" customHeight="1">
      <c r="A4146" s="2">
        <v>2015.0</v>
      </c>
      <c r="B4146" s="2" t="s">
        <v>18808</v>
      </c>
      <c r="C4146" s="2" t="s">
        <v>18809</v>
      </c>
      <c r="D4146" s="2" t="str">
        <f>"4324250378"</f>
        <v>4324250378</v>
      </c>
      <c r="E4146" s="2" t="s">
        <v>4322</v>
      </c>
      <c r="F4146" s="2" t="s">
        <v>18810</v>
      </c>
      <c r="G4146" s="2" t="str">
        <f>"SR-5341"</f>
        <v>SR-5341</v>
      </c>
      <c r="H4146" s="2" t="s">
        <v>18811</v>
      </c>
      <c r="I4146" s="2" t="s">
        <v>18812</v>
      </c>
      <c r="K4146" s="2" t="s">
        <v>286</v>
      </c>
      <c r="L4146" s="2" t="s">
        <v>172</v>
      </c>
      <c r="M4146" s="2">
        <v>79705.0</v>
      </c>
      <c r="N4146" s="2" t="s">
        <v>21</v>
      </c>
    </row>
    <row r="4147" ht="15.75" customHeight="1">
      <c r="A4147" s="2">
        <v>2015.0</v>
      </c>
      <c r="B4147" s="2" t="s">
        <v>18813</v>
      </c>
      <c r="C4147" s="2" t="s">
        <v>18814</v>
      </c>
      <c r="D4147" s="2" t="str">
        <f>"4234267179"</f>
        <v>4234267179</v>
      </c>
      <c r="E4147" s="2" t="s">
        <v>261</v>
      </c>
      <c r="F4147" s="2" t="s">
        <v>18815</v>
      </c>
      <c r="G4147" s="2" t="str">
        <f>"SR-5830"</f>
        <v>SR-5830</v>
      </c>
      <c r="H4147" s="2" t="s">
        <v>18816</v>
      </c>
      <c r="I4147" s="2" t="s">
        <v>18817</v>
      </c>
      <c r="K4147" s="2" t="s">
        <v>18818</v>
      </c>
      <c r="L4147" s="2" t="s">
        <v>279</v>
      </c>
      <c r="M4147" s="2">
        <v>37681.0</v>
      </c>
      <c r="N4147" s="2" t="s">
        <v>21</v>
      </c>
    </row>
    <row r="4148" ht="15.75" customHeight="1">
      <c r="A4148" s="2">
        <v>2015.0</v>
      </c>
      <c r="B4148" s="2" t="s">
        <v>18819</v>
      </c>
      <c r="C4148" s="2" t="s">
        <v>18819</v>
      </c>
      <c r="D4148" s="2" t="str">
        <f>"719-942-3850"</f>
        <v>719-942-3850</v>
      </c>
      <c r="E4148" s="2" t="s">
        <v>373</v>
      </c>
      <c r="F4148" s="2" t="s">
        <v>18820</v>
      </c>
      <c r="G4148" s="2" t="str">
        <f>"SR-5717"</f>
        <v>SR-5717</v>
      </c>
      <c r="H4148" s="2" t="s">
        <v>18821</v>
      </c>
      <c r="I4148" s="2" t="s">
        <v>18822</v>
      </c>
      <c r="K4148" s="2" t="s">
        <v>4148</v>
      </c>
      <c r="L4148" s="2" t="s">
        <v>157</v>
      </c>
      <c r="M4148" s="2">
        <v>81233.0</v>
      </c>
      <c r="N4148" s="2" t="s">
        <v>21</v>
      </c>
    </row>
    <row r="4149" ht="15.75" customHeight="1">
      <c r="A4149" s="2">
        <v>2015.0</v>
      </c>
      <c r="B4149" s="2" t="s">
        <v>18823</v>
      </c>
      <c r="C4149" s="2" t="s">
        <v>18823</v>
      </c>
      <c r="D4149" s="2" t="str">
        <f>"9524451011"</f>
        <v>9524451011</v>
      </c>
      <c r="E4149" s="2" t="s">
        <v>256</v>
      </c>
      <c r="F4149" s="2" t="s">
        <v>4171</v>
      </c>
      <c r="G4149" s="2" t="str">
        <f>"SR-5816"</f>
        <v>SR-5816</v>
      </c>
      <c r="H4149" s="2" t="s">
        <v>18824</v>
      </c>
      <c r="I4149" s="2" t="s">
        <v>18825</v>
      </c>
      <c r="K4149" s="2" t="s">
        <v>15133</v>
      </c>
      <c r="L4149" s="2" t="s">
        <v>62</v>
      </c>
      <c r="M4149" s="2">
        <v>55379.0</v>
      </c>
      <c r="N4149" s="2" t="s">
        <v>21</v>
      </c>
    </row>
    <row r="4150" ht="15.75" customHeight="1">
      <c r="A4150" s="2">
        <v>2015.0</v>
      </c>
      <c r="B4150" s="2" t="s">
        <v>18826</v>
      </c>
      <c r="C4150" s="2" t="s">
        <v>18826</v>
      </c>
      <c r="D4150" s="2" t="str">
        <f>"8473466593"</f>
        <v>8473466593</v>
      </c>
      <c r="E4150" s="2" t="s">
        <v>1548</v>
      </c>
      <c r="F4150" s="2" t="s">
        <v>18827</v>
      </c>
      <c r="G4150" s="2" t="str">
        <f>"SR-5820"</f>
        <v>SR-5820</v>
      </c>
      <c r="H4150" s="2" t="s">
        <v>18828</v>
      </c>
      <c r="I4150" s="2" t="s">
        <v>18829</v>
      </c>
      <c r="K4150" s="2" t="s">
        <v>3279</v>
      </c>
      <c r="L4150" s="2" t="s">
        <v>105</v>
      </c>
      <c r="M4150" s="2">
        <v>60102.0</v>
      </c>
      <c r="N4150" s="2" t="s">
        <v>21</v>
      </c>
    </row>
    <row r="4151" ht="15.75" customHeight="1">
      <c r="A4151" s="2">
        <v>2015.0</v>
      </c>
      <c r="B4151" s="2" t="s">
        <v>18830</v>
      </c>
      <c r="C4151" s="2" t="s">
        <v>18831</v>
      </c>
      <c r="D4151" s="2" t="str">
        <f>"909-890-8943"</f>
        <v>909-890-8943</v>
      </c>
      <c r="E4151" s="2" t="s">
        <v>705</v>
      </c>
      <c r="F4151" s="2" t="s">
        <v>12242</v>
      </c>
      <c r="G4151" s="2" t="str">
        <f>"SR-5841"</f>
        <v>SR-5841</v>
      </c>
      <c r="H4151" s="2" t="s">
        <v>18832</v>
      </c>
      <c r="I4151" s="2" t="s">
        <v>18833</v>
      </c>
      <c r="K4151" s="2" t="s">
        <v>18834</v>
      </c>
      <c r="L4151" s="2" t="s">
        <v>222</v>
      </c>
      <c r="M4151" s="2">
        <v>92317.0</v>
      </c>
      <c r="N4151" s="2" t="s">
        <v>21</v>
      </c>
    </row>
    <row r="4152" ht="15.75" customHeight="1">
      <c r="A4152" s="2">
        <v>2015.0</v>
      </c>
      <c r="B4152" s="2" t="s">
        <v>18835</v>
      </c>
      <c r="C4152" s="2" t="s">
        <v>18835</v>
      </c>
      <c r="D4152" s="2" t="str">
        <f>"260-403-4299"</f>
        <v>260-403-4299</v>
      </c>
      <c r="E4152" s="2" t="s">
        <v>15</v>
      </c>
      <c r="F4152" s="2" t="s">
        <v>18836</v>
      </c>
      <c r="G4152" s="2" t="str">
        <f>"SR-5751"</f>
        <v>SR-5751</v>
      </c>
      <c r="H4152" s="2" t="s">
        <v>18837</v>
      </c>
      <c r="I4152" s="2" t="s">
        <v>18838</v>
      </c>
      <c r="K4152" s="2" t="s">
        <v>4298</v>
      </c>
      <c r="L4152" s="2" t="s">
        <v>149</v>
      </c>
      <c r="M4152" s="2">
        <v>46845.0</v>
      </c>
      <c r="N4152" s="2" t="s">
        <v>21</v>
      </c>
    </row>
    <row r="4153" ht="15.75" customHeight="1">
      <c r="A4153" s="2">
        <v>2015.0</v>
      </c>
      <c r="B4153" s="2" t="s">
        <v>18839</v>
      </c>
      <c r="C4153" s="2" t="s">
        <v>18840</v>
      </c>
      <c r="D4153" s="2" t="str">
        <f>"5153441427"</f>
        <v>5153441427</v>
      </c>
      <c r="E4153" s="2" t="s">
        <v>2031</v>
      </c>
      <c r="F4153" s="2" t="s">
        <v>17765</v>
      </c>
      <c r="G4153" s="2" t="str">
        <f>"SR-5815"</f>
        <v>SR-5815</v>
      </c>
      <c r="H4153" s="2" t="s">
        <v>18841</v>
      </c>
      <c r="I4153" s="2" t="s">
        <v>18842</v>
      </c>
      <c r="K4153" s="2" t="s">
        <v>3050</v>
      </c>
      <c r="L4153" s="2" t="s">
        <v>560</v>
      </c>
      <c r="M4153" s="2">
        <v>50322.0</v>
      </c>
      <c r="N4153" s="2" t="s">
        <v>21</v>
      </c>
    </row>
    <row r="4154" ht="15.75" customHeight="1">
      <c r="A4154" s="2">
        <v>2015.0</v>
      </c>
      <c r="B4154" s="2" t="s">
        <v>18843</v>
      </c>
      <c r="C4154" s="2" t="s">
        <v>18843</v>
      </c>
      <c r="D4154" s="2" t="str">
        <f>"2605157008"</f>
        <v>2605157008</v>
      </c>
      <c r="E4154" s="2" t="s">
        <v>534</v>
      </c>
      <c r="F4154" s="2" t="s">
        <v>18844</v>
      </c>
      <c r="G4154" s="2" t="str">
        <f>"SR-5789"</f>
        <v>SR-5789</v>
      </c>
      <c r="H4154" s="2" t="s">
        <v>18845</v>
      </c>
      <c r="I4154" s="2" t="s">
        <v>18846</v>
      </c>
      <c r="K4154" s="2" t="s">
        <v>4298</v>
      </c>
      <c r="L4154" s="2" t="s">
        <v>149</v>
      </c>
      <c r="M4154" s="2">
        <v>46835.0</v>
      </c>
      <c r="N4154" s="2" t="s">
        <v>21</v>
      </c>
    </row>
    <row r="4155" ht="15.75" customHeight="1">
      <c r="A4155" s="2">
        <v>2015.0</v>
      </c>
      <c r="B4155" s="2" t="s">
        <v>18847</v>
      </c>
      <c r="C4155" s="2" t="s">
        <v>18847</v>
      </c>
      <c r="D4155" s="2" t="str">
        <f>"5154188554"</f>
        <v>5154188554</v>
      </c>
      <c r="E4155" s="2" t="s">
        <v>4787</v>
      </c>
      <c r="F4155" s="2" t="s">
        <v>18848</v>
      </c>
      <c r="G4155" s="2" t="str">
        <f>"SR-5849"</f>
        <v>SR-5849</v>
      </c>
      <c r="H4155" s="2" t="s">
        <v>18849</v>
      </c>
      <c r="I4155" s="2" t="s">
        <v>18850</v>
      </c>
      <c r="K4155" s="2" t="s">
        <v>2066</v>
      </c>
      <c r="L4155" s="2" t="s">
        <v>560</v>
      </c>
      <c r="M4155" s="2">
        <v>50265.0</v>
      </c>
      <c r="N4155" s="2" t="s">
        <v>21</v>
      </c>
    </row>
    <row r="4156" ht="15.75" customHeight="1">
      <c r="A4156" s="2">
        <v>2015.0</v>
      </c>
      <c r="B4156" s="2" t="s">
        <v>18851</v>
      </c>
      <c r="C4156" s="2" t="s">
        <v>18851</v>
      </c>
      <c r="D4156" s="2" t="str">
        <f>"260-610-5966"</f>
        <v>260-610-5966</v>
      </c>
      <c r="E4156" s="2" t="s">
        <v>453</v>
      </c>
      <c r="F4156" s="2" t="s">
        <v>18852</v>
      </c>
      <c r="G4156" s="2" t="str">
        <f>"SR-5670"</f>
        <v>SR-5670</v>
      </c>
      <c r="H4156" s="2" t="s">
        <v>18853</v>
      </c>
      <c r="I4156" s="2" t="s">
        <v>18854</v>
      </c>
      <c r="K4156" s="2" t="s">
        <v>18855</v>
      </c>
      <c r="L4156" s="2" t="s">
        <v>149</v>
      </c>
      <c r="M4156" s="2">
        <v>46730.0</v>
      </c>
      <c r="N4156" s="2" t="s">
        <v>21</v>
      </c>
    </row>
    <row r="4157" ht="15.75" customHeight="1">
      <c r="A4157" s="2">
        <v>2015.0</v>
      </c>
      <c r="B4157" s="2" t="s">
        <v>18856</v>
      </c>
      <c r="C4157" s="2" t="s">
        <v>18856</v>
      </c>
      <c r="D4157" s="2" t="str">
        <f>"260-242-6705"</f>
        <v>260-242-6705</v>
      </c>
      <c r="E4157" s="2" t="s">
        <v>938</v>
      </c>
      <c r="F4157" s="2" t="s">
        <v>18857</v>
      </c>
      <c r="G4157" s="2" t="str">
        <f>"SR-5689"</f>
        <v>SR-5689</v>
      </c>
      <c r="H4157" s="2" t="s">
        <v>18858</v>
      </c>
      <c r="I4157" s="2" t="s">
        <v>18859</v>
      </c>
      <c r="K4157" s="2" t="s">
        <v>18860</v>
      </c>
      <c r="L4157" s="2" t="s">
        <v>149</v>
      </c>
      <c r="M4157" s="2">
        <v>46755.0</v>
      </c>
      <c r="N4157" s="2" t="s">
        <v>21</v>
      </c>
    </row>
    <row r="4158" ht="15.75" customHeight="1">
      <c r="A4158" s="2">
        <v>2015.0</v>
      </c>
      <c r="B4158" s="2" t="s">
        <v>18861</v>
      </c>
      <c r="C4158" s="2" t="s">
        <v>18861</v>
      </c>
      <c r="D4158" s="2" t="str">
        <f>"562-900-2877"</f>
        <v>562-900-2877</v>
      </c>
      <c r="E4158" s="2" t="s">
        <v>1400</v>
      </c>
      <c r="F4158" s="2" t="s">
        <v>275</v>
      </c>
      <c r="G4158" s="2" t="str">
        <f>"SR-5856"</f>
        <v>SR-5856</v>
      </c>
      <c r="H4158" s="2" t="s">
        <v>18862</v>
      </c>
      <c r="I4158" s="2" t="s">
        <v>18863</v>
      </c>
      <c r="J4158" s="2" t="s">
        <v>18864</v>
      </c>
      <c r="K4158" s="2" t="s">
        <v>6514</v>
      </c>
      <c r="L4158" s="2" t="s">
        <v>157</v>
      </c>
      <c r="M4158" s="2">
        <v>80226.0</v>
      </c>
      <c r="N4158" s="2" t="s">
        <v>21</v>
      </c>
    </row>
    <row r="4159" ht="15.75" customHeight="1">
      <c r="A4159" s="2">
        <v>2015.0</v>
      </c>
      <c r="B4159" s="2" t="s">
        <v>18865</v>
      </c>
      <c r="C4159" s="2" t="s">
        <v>18865</v>
      </c>
      <c r="D4159" s="2" t="str">
        <f>"12602426134"</f>
        <v>12602426134</v>
      </c>
      <c r="E4159" s="2" t="s">
        <v>3196</v>
      </c>
      <c r="F4159" s="2" t="s">
        <v>18857</v>
      </c>
      <c r="G4159" s="2" t="str">
        <f>"SR-5771"</f>
        <v>SR-5771</v>
      </c>
      <c r="H4159" s="2" t="s">
        <v>18866</v>
      </c>
      <c r="I4159" s="2" t="s">
        <v>18867</v>
      </c>
      <c r="K4159" s="2" t="s">
        <v>18868</v>
      </c>
      <c r="L4159" s="2" t="s">
        <v>149</v>
      </c>
      <c r="M4159" s="2">
        <v>46755.0</v>
      </c>
      <c r="N4159" s="2" t="s">
        <v>21</v>
      </c>
    </row>
    <row r="4160" ht="15.75" customHeight="1">
      <c r="A4160" s="2">
        <v>2015.0</v>
      </c>
      <c r="B4160" s="2" t="s">
        <v>18869</v>
      </c>
      <c r="D4160" s="2" t="str">
        <f t="shared" ref="D4160:D4161" si="76">""</f>
        <v/>
      </c>
      <c r="E4160" s="2" t="s">
        <v>18870</v>
      </c>
      <c r="F4160" s="2" t="s">
        <v>962</v>
      </c>
      <c r="G4160" s="2" t="str">
        <f>"SR-5517"</f>
        <v>SR-5517</v>
      </c>
      <c r="H4160" s="2" t="s">
        <v>18871</v>
      </c>
    </row>
    <row r="4161" ht="15.75" customHeight="1">
      <c r="A4161" s="2">
        <v>2015.0</v>
      </c>
      <c r="B4161" s="2" t="s">
        <v>18872</v>
      </c>
      <c r="D4161" s="2" t="str">
        <f t="shared" si="76"/>
        <v/>
      </c>
      <c r="E4161" s="2" t="s">
        <v>955</v>
      </c>
      <c r="F4161" s="2" t="s">
        <v>18873</v>
      </c>
      <c r="G4161" s="2" t="str">
        <f>"SR-5397"</f>
        <v>SR-5397</v>
      </c>
      <c r="H4161" s="2" t="s">
        <v>18874</v>
      </c>
      <c r="N4161" s="2" t="s">
        <v>21</v>
      </c>
    </row>
    <row r="4162" ht="15.75" customHeight="1">
      <c r="A4162" s="2">
        <v>2015.0</v>
      </c>
      <c r="B4162" s="2" t="s">
        <v>18875</v>
      </c>
      <c r="C4162" s="2" t="s">
        <v>18875</v>
      </c>
      <c r="D4162" s="2" t="str">
        <f>"7177335500"</f>
        <v>7177335500</v>
      </c>
      <c r="E4162" s="2" t="s">
        <v>2841</v>
      </c>
      <c r="F4162" s="2" t="s">
        <v>7637</v>
      </c>
      <c r="G4162" s="2" t="str">
        <f>"SR-5655"</f>
        <v>SR-5655</v>
      </c>
      <c r="H4162" s="2" t="s">
        <v>18876</v>
      </c>
      <c r="I4162" s="2" t="s">
        <v>7639</v>
      </c>
      <c r="K4162" s="2" t="s">
        <v>7640</v>
      </c>
      <c r="L4162" s="2" t="s">
        <v>179</v>
      </c>
      <c r="M4162" s="2">
        <v>17543.0</v>
      </c>
      <c r="N4162" s="2" t="s">
        <v>21</v>
      </c>
    </row>
    <row r="4163" ht="15.75" customHeight="1">
      <c r="A4163" s="2">
        <v>2015.0</v>
      </c>
      <c r="B4163" s="2" t="s">
        <v>18877</v>
      </c>
      <c r="C4163" s="2" t="s">
        <v>18878</v>
      </c>
      <c r="D4163" s="2" t="str">
        <f>"6054940175"</f>
        <v>6054940175</v>
      </c>
      <c r="E4163" s="2" t="s">
        <v>678</v>
      </c>
      <c r="F4163" s="2" t="s">
        <v>10050</v>
      </c>
      <c r="G4163" s="2" t="str">
        <f>"SR-5857"</f>
        <v>SR-5857</v>
      </c>
      <c r="H4163" s="2" t="s">
        <v>18879</v>
      </c>
      <c r="I4163" s="2" t="s">
        <v>18880</v>
      </c>
      <c r="K4163" s="2" t="s">
        <v>18881</v>
      </c>
      <c r="L4163" s="2" t="s">
        <v>920</v>
      </c>
      <c r="M4163" s="2">
        <v>57532.0</v>
      </c>
      <c r="N4163" s="2" t="s">
        <v>21</v>
      </c>
    </row>
    <row r="4164" ht="15.75" customHeight="1">
      <c r="A4164" s="2">
        <v>2015.0</v>
      </c>
      <c r="B4164" s="2" t="s">
        <v>18877</v>
      </c>
      <c r="C4164" s="2" t="s">
        <v>18882</v>
      </c>
      <c r="D4164" s="2" t="str">
        <f>"6052806377"</f>
        <v>6052806377</v>
      </c>
      <c r="E4164" s="2" t="s">
        <v>843</v>
      </c>
      <c r="F4164" s="2" t="s">
        <v>10050</v>
      </c>
      <c r="G4164" s="2" t="str">
        <f>"SR-5858"</f>
        <v>SR-5858</v>
      </c>
      <c r="H4164" s="2" t="s">
        <v>18883</v>
      </c>
      <c r="I4164" s="2" t="s">
        <v>18884</v>
      </c>
      <c r="K4164" s="2" t="s">
        <v>18885</v>
      </c>
      <c r="L4164" s="2" t="s">
        <v>920</v>
      </c>
      <c r="M4164" s="2">
        <v>57532.0</v>
      </c>
      <c r="N4164" s="2" t="s">
        <v>21</v>
      </c>
    </row>
    <row r="4165" ht="15.75" customHeight="1">
      <c r="A4165" s="2">
        <v>2015.0</v>
      </c>
      <c r="B4165" s="2" t="s">
        <v>18886</v>
      </c>
      <c r="C4165" s="2" t="s">
        <v>18887</v>
      </c>
      <c r="D4165" s="2" t="str">
        <f>"308 340 8534"</f>
        <v>308 340 8534</v>
      </c>
      <c r="E4165" s="2" t="s">
        <v>2800</v>
      </c>
      <c r="F4165" s="2" t="s">
        <v>18888</v>
      </c>
      <c r="G4165" s="2" t="str">
        <f>"SR-5234"</f>
        <v>SR-5234</v>
      </c>
      <c r="H4165" s="2" t="s">
        <v>18889</v>
      </c>
      <c r="I4165" s="2" t="s">
        <v>18890</v>
      </c>
      <c r="K4165" s="2" t="s">
        <v>18891</v>
      </c>
      <c r="L4165" s="2" t="s">
        <v>757</v>
      </c>
      <c r="M4165" s="2">
        <v>69043.0</v>
      </c>
      <c r="N4165" s="2" t="s">
        <v>21</v>
      </c>
    </row>
    <row r="4166" ht="15.75" customHeight="1">
      <c r="A4166" s="2">
        <v>2015.0</v>
      </c>
      <c r="B4166" s="2" t="s">
        <v>8918</v>
      </c>
      <c r="C4166" s="2" t="s">
        <v>18892</v>
      </c>
      <c r="D4166" s="2" t="str">
        <f>"5152103229"</f>
        <v>5152103229</v>
      </c>
      <c r="E4166" s="2" t="s">
        <v>590</v>
      </c>
      <c r="F4166" s="2" t="s">
        <v>8920</v>
      </c>
      <c r="G4166" s="2" t="str">
        <f>"SR-5864"</f>
        <v>SR-5864</v>
      </c>
      <c r="H4166" s="2" t="s">
        <v>18893</v>
      </c>
      <c r="I4166" s="2" t="s">
        <v>18894</v>
      </c>
      <c r="K4166" s="2" t="s">
        <v>8923</v>
      </c>
      <c r="L4166" s="2" t="s">
        <v>560</v>
      </c>
      <c r="M4166" s="2">
        <v>50327.0</v>
      </c>
      <c r="N4166" s="2" t="s">
        <v>21</v>
      </c>
    </row>
    <row r="4167" ht="15.75" customHeight="1">
      <c r="A4167" s="2">
        <v>2015.0</v>
      </c>
      <c r="B4167" s="2" t="s">
        <v>18895</v>
      </c>
      <c r="C4167" s="2" t="s">
        <v>18896</v>
      </c>
      <c r="D4167" s="2" t="str">
        <f>"612-987-5664"</f>
        <v>612-987-5664</v>
      </c>
      <c r="E4167" s="2" t="s">
        <v>1141</v>
      </c>
      <c r="F4167" s="2" t="s">
        <v>18897</v>
      </c>
      <c r="G4167" s="2" t="str">
        <f>"SR-5871"</f>
        <v>SR-5871</v>
      </c>
      <c r="H4167" s="2" t="s">
        <v>18898</v>
      </c>
      <c r="I4167" s="2" t="s">
        <v>18899</v>
      </c>
      <c r="K4167" s="2" t="s">
        <v>3109</v>
      </c>
      <c r="L4167" s="2" t="s">
        <v>62</v>
      </c>
      <c r="M4167" s="2">
        <v>55435.0</v>
      </c>
      <c r="N4167" s="2" t="s">
        <v>21</v>
      </c>
    </row>
    <row r="4168" ht="15.75" customHeight="1">
      <c r="A4168" s="2">
        <v>2015.0</v>
      </c>
      <c r="B4168" s="2" t="s">
        <v>18900</v>
      </c>
      <c r="C4168" s="2" t="s">
        <v>18901</v>
      </c>
      <c r="D4168" s="2" t="str">
        <f>"575-533-6381"</f>
        <v>575-533-6381</v>
      </c>
      <c r="E4168" s="2" t="s">
        <v>908</v>
      </c>
      <c r="F4168" s="2" t="s">
        <v>18902</v>
      </c>
      <c r="G4168" s="2" t="str">
        <f>"SR-5590"</f>
        <v>SR-5590</v>
      </c>
      <c r="H4168" s="2" t="s">
        <v>18903</v>
      </c>
      <c r="I4168" s="2" t="s">
        <v>18904</v>
      </c>
      <c r="K4168" s="2" t="s">
        <v>18905</v>
      </c>
      <c r="L4168" s="2" t="s">
        <v>789</v>
      </c>
      <c r="M4168" s="2">
        <v>87830.0</v>
      </c>
      <c r="N4168" s="2" t="s">
        <v>21</v>
      </c>
    </row>
    <row r="4169" ht="15.75" customHeight="1">
      <c r="A4169" s="2">
        <v>2015.0</v>
      </c>
      <c r="B4169" s="2" t="s">
        <v>18906</v>
      </c>
      <c r="C4169" s="2" t="s">
        <v>18907</v>
      </c>
      <c r="D4169" s="2" t="str">
        <f>"952-920-6559"</f>
        <v>952-920-6559</v>
      </c>
      <c r="E4169" s="2" t="s">
        <v>6081</v>
      </c>
      <c r="F4169" s="2" t="s">
        <v>18908</v>
      </c>
      <c r="G4169" s="2" t="str">
        <f>"SR-5873"</f>
        <v>SR-5873</v>
      </c>
      <c r="H4169" s="2" t="s">
        <v>18909</v>
      </c>
      <c r="I4169" s="2" t="s">
        <v>18910</v>
      </c>
      <c r="K4169" s="2" t="s">
        <v>3109</v>
      </c>
      <c r="L4169" s="2" t="s">
        <v>62</v>
      </c>
      <c r="M4169" s="2">
        <v>55410.0</v>
      </c>
      <c r="N4169" s="2" t="s">
        <v>21</v>
      </c>
    </row>
    <row r="4170" ht="15.75" customHeight="1">
      <c r="A4170" s="2">
        <v>2015.0</v>
      </c>
      <c r="B4170" s="2" t="s">
        <v>8770</v>
      </c>
      <c r="C4170" s="2" t="s">
        <v>8770</v>
      </c>
      <c r="D4170" s="2" t="str">
        <f>"7706567189"</f>
        <v>7706567189</v>
      </c>
      <c r="E4170" s="2" t="s">
        <v>267</v>
      </c>
      <c r="F4170" s="2" t="s">
        <v>8766</v>
      </c>
      <c r="G4170" s="2" t="str">
        <f>"SR-2547"</f>
        <v>SR-2547</v>
      </c>
      <c r="H4170" s="2" t="s">
        <v>8771</v>
      </c>
      <c r="I4170" s="2" t="s">
        <v>8772</v>
      </c>
      <c r="K4170" s="2" t="s">
        <v>8769</v>
      </c>
      <c r="L4170" s="2" t="s">
        <v>200</v>
      </c>
      <c r="M4170" s="2">
        <v>30143.0</v>
      </c>
      <c r="N4170" s="2" t="s">
        <v>21</v>
      </c>
    </row>
    <row r="4171" ht="15.75" customHeight="1">
      <c r="A4171" s="2">
        <v>2015.0</v>
      </c>
      <c r="B4171" s="2" t="s">
        <v>18911</v>
      </c>
      <c r="C4171" s="2" t="s">
        <v>18912</v>
      </c>
      <c r="D4171" s="2" t="str">
        <f>"9726326065"</f>
        <v>9726326065</v>
      </c>
      <c r="E4171" s="2" t="s">
        <v>2243</v>
      </c>
      <c r="F4171" s="2" t="s">
        <v>711</v>
      </c>
      <c r="G4171" s="2" t="str">
        <f>"SR-5827"</f>
        <v>SR-5827</v>
      </c>
      <c r="H4171" s="2" t="s">
        <v>18913</v>
      </c>
      <c r="I4171" s="2" t="s">
        <v>18914</v>
      </c>
      <c r="K4171" s="2" t="s">
        <v>7966</v>
      </c>
      <c r="L4171" s="2" t="s">
        <v>165</v>
      </c>
      <c r="M4171" s="2">
        <v>23060.0</v>
      </c>
      <c r="N4171" s="2" t="s">
        <v>21</v>
      </c>
    </row>
    <row r="4172" ht="15.75" customHeight="1">
      <c r="A4172" s="2">
        <v>2015.0</v>
      </c>
      <c r="B4172" s="2" t="s">
        <v>18915</v>
      </c>
      <c r="C4172" s="2" t="s">
        <v>18915</v>
      </c>
      <c r="D4172" s="2" t="str">
        <f>"970-846-5845"</f>
        <v>970-846-5845</v>
      </c>
      <c r="E4172" s="2" t="s">
        <v>12269</v>
      </c>
      <c r="F4172" s="2" t="s">
        <v>18916</v>
      </c>
      <c r="G4172" s="2" t="str">
        <f>"SR-5501"</f>
        <v>SR-5501</v>
      </c>
      <c r="H4172" s="2" t="s">
        <v>18917</v>
      </c>
      <c r="I4172" s="2" t="s">
        <v>18918</v>
      </c>
      <c r="K4172" s="2" t="s">
        <v>13163</v>
      </c>
      <c r="L4172" s="2" t="s">
        <v>157</v>
      </c>
      <c r="M4172" s="2">
        <v>80487.0</v>
      </c>
      <c r="N4172" s="2" t="s">
        <v>21</v>
      </c>
    </row>
    <row r="4173" ht="15.75" customHeight="1">
      <c r="A4173" s="2">
        <v>2015.0</v>
      </c>
      <c r="B4173" s="2" t="s">
        <v>18919</v>
      </c>
      <c r="C4173" s="2" t="s">
        <v>18919</v>
      </c>
      <c r="D4173" s="2" t="str">
        <f>"3195382508"</f>
        <v>3195382508</v>
      </c>
      <c r="E4173" s="2" t="s">
        <v>72</v>
      </c>
      <c r="F4173" s="2" t="s">
        <v>18920</v>
      </c>
      <c r="G4173" s="2" t="str">
        <f>"SR-5874"</f>
        <v>SR-5874</v>
      </c>
      <c r="H4173" s="2" t="s">
        <v>18921</v>
      </c>
      <c r="I4173" s="2" t="s">
        <v>18922</v>
      </c>
      <c r="K4173" s="2" t="s">
        <v>3493</v>
      </c>
      <c r="L4173" s="2" t="s">
        <v>560</v>
      </c>
      <c r="M4173" s="2">
        <v>52302.0</v>
      </c>
      <c r="N4173" s="2" t="s">
        <v>21</v>
      </c>
    </row>
    <row r="4174" ht="15.75" customHeight="1">
      <c r="A4174" s="2">
        <v>2015.0</v>
      </c>
      <c r="B4174" s="2" t="s">
        <v>18923</v>
      </c>
      <c r="C4174" s="2" t="s">
        <v>18923</v>
      </c>
      <c r="D4174" s="2" t="str">
        <f>"605 850 1330"</f>
        <v>605 850 1330</v>
      </c>
      <c r="E4174" s="2" t="s">
        <v>2401</v>
      </c>
      <c r="F4174" s="2" t="s">
        <v>18924</v>
      </c>
      <c r="G4174" s="2" t="str">
        <f>"SR-5875"</f>
        <v>SR-5875</v>
      </c>
      <c r="H4174" s="2" t="s">
        <v>18925</v>
      </c>
      <c r="I4174" s="2" t="s">
        <v>18926</v>
      </c>
      <c r="K4174" s="2" t="s">
        <v>18927</v>
      </c>
      <c r="L4174" s="2" t="s">
        <v>920</v>
      </c>
      <c r="M4174" s="2">
        <v>57472.0</v>
      </c>
      <c r="N4174" s="2" t="s">
        <v>21</v>
      </c>
    </row>
    <row r="4175" ht="15.75" customHeight="1">
      <c r="A4175" s="2">
        <v>2015.0</v>
      </c>
      <c r="B4175" s="2" t="s">
        <v>18928</v>
      </c>
      <c r="C4175" s="2" t="s">
        <v>18928</v>
      </c>
      <c r="D4175" s="2" t="str">
        <f>"7204259115"</f>
        <v>7204259115</v>
      </c>
      <c r="E4175" s="2" t="s">
        <v>167</v>
      </c>
      <c r="F4175" s="2" t="s">
        <v>18929</v>
      </c>
      <c r="G4175" s="2" t="str">
        <f>"SR-4759"</f>
        <v>SR-4759</v>
      </c>
      <c r="H4175" s="2" t="s">
        <v>18930</v>
      </c>
      <c r="I4175" s="2" t="s">
        <v>18931</v>
      </c>
      <c r="K4175" s="2" t="s">
        <v>656</v>
      </c>
      <c r="L4175" s="2" t="s">
        <v>157</v>
      </c>
      <c r="M4175" s="2">
        <v>80521.0</v>
      </c>
      <c r="N4175" s="2" t="s">
        <v>21</v>
      </c>
    </row>
    <row r="4176" ht="15.75" customHeight="1">
      <c r="A4176" s="2">
        <v>2015.0</v>
      </c>
      <c r="B4176" s="2" t="s">
        <v>18932</v>
      </c>
      <c r="C4176" s="2" t="s">
        <v>18933</v>
      </c>
      <c r="D4176" s="2" t="str">
        <f>"321-258-7062"</f>
        <v>321-258-7062</v>
      </c>
      <c r="E4176" s="2" t="s">
        <v>137</v>
      </c>
      <c r="F4176" s="2" t="s">
        <v>18934</v>
      </c>
      <c r="G4176" s="2" t="str">
        <f>"SR-5882"</f>
        <v>SR-5882</v>
      </c>
      <c r="H4176" s="2" t="s">
        <v>18935</v>
      </c>
      <c r="I4176" s="2" t="s">
        <v>18936</v>
      </c>
      <c r="K4176" s="2" t="s">
        <v>906</v>
      </c>
      <c r="L4176" s="2" t="s">
        <v>208</v>
      </c>
      <c r="M4176" s="2">
        <v>32940.0</v>
      </c>
      <c r="N4176" s="2" t="s">
        <v>21</v>
      </c>
    </row>
    <row r="4177" ht="15.75" customHeight="1">
      <c r="A4177" s="2">
        <v>2015.0</v>
      </c>
      <c r="B4177" s="2" t="s">
        <v>14712</v>
      </c>
      <c r="C4177" s="2" t="s">
        <v>14713</v>
      </c>
      <c r="D4177" s="2" t="str">
        <f>"(740) 312-4224"</f>
        <v>(740) 312-4224</v>
      </c>
      <c r="E4177" s="2" t="s">
        <v>3878</v>
      </c>
      <c r="F4177" s="2" t="s">
        <v>550</v>
      </c>
      <c r="G4177" s="2" t="str">
        <f>"SR-4279"</f>
        <v>SR-4279</v>
      </c>
      <c r="H4177" s="2" t="s">
        <v>14714</v>
      </c>
      <c r="I4177" s="2" t="s">
        <v>14715</v>
      </c>
      <c r="K4177" s="2" t="s">
        <v>14716</v>
      </c>
      <c r="L4177" s="2" t="s">
        <v>344</v>
      </c>
      <c r="M4177" s="2">
        <v>43950.0</v>
      </c>
      <c r="N4177" s="2" t="s">
        <v>21</v>
      </c>
    </row>
    <row r="4178" ht="15.75" customHeight="1">
      <c r="A4178" s="2">
        <v>2015.0</v>
      </c>
      <c r="B4178" s="2" t="s">
        <v>18937</v>
      </c>
      <c r="C4178" s="2" t="s">
        <v>18937</v>
      </c>
      <c r="D4178" s="2" t="str">
        <f>"4439158492"</f>
        <v>4439158492</v>
      </c>
      <c r="E4178" s="2" t="s">
        <v>1782</v>
      </c>
      <c r="F4178" s="2" t="s">
        <v>18296</v>
      </c>
      <c r="G4178" s="2" t="str">
        <f>"SR-5582"</f>
        <v>SR-5582</v>
      </c>
      <c r="H4178" s="2" t="s">
        <v>18938</v>
      </c>
      <c r="I4178" s="2" t="s">
        <v>18298</v>
      </c>
      <c r="K4178" s="2" t="s">
        <v>18168</v>
      </c>
      <c r="L4178" s="2" t="s">
        <v>1868</v>
      </c>
      <c r="M4178" s="2">
        <v>21231.0</v>
      </c>
      <c r="N4178" s="2" t="s">
        <v>21</v>
      </c>
    </row>
    <row r="4179" ht="15.75" customHeight="1">
      <c r="A4179" s="2">
        <v>2015.0</v>
      </c>
      <c r="B4179" s="2" t="s">
        <v>18939</v>
      </c>
      <c r="C4179" s="2" t="s">
        <v>18940</v>
      </c>
      <c r="D4179" s="2" t="str">
        <f>"319-573-9178"</f>
        <v>319-573-9178</v>
      </c>
      <c r="E4179" s="2" t="s">
        <v>843</v>
      </c>
      <c r="F4179" s="2" t="s">
        <v>18941</v>
      </c>
      <c r="G4179" s="2" t="str">
        <f>"SR-5778"</f>
        <v>SR-5778</v>
      </c>
      <c r="H4179" s="2" t="s">
        <v>18942</v>
      </c>
      <c r="I4179" s="2" t="s">
        <v>18943</v>
      </c>
      <c r="K4179" s="2" t="s">
        <v>3273</v>
      </c>
      <c r="L4179" s="2" t="s">
        <v>560</v>
      </c>
      <c r="M4179" s="2">
        <v>52404.0</v>
      </c>
      <c r="N4179" s="2" t="s">
        <v>21</v>
      </c>
    </row>
    <row r="4180" ht="15.75" customHeight="1">
      <c r="A4180" s="2">
        <v>2015.0</v>
      </c>
      <c r="B4180" s="2" t="s">
        <v>18944</v>
      </c>
      <c r="C4180" s="2" t="s">
        <v>18944</v>
      </c>
      <c r="D4180" s="2" t="str">
        <f>"317-410-8942"</f>
        <v>317-410-8942</v>
      </c>
      <c r="E4180" s="2" t="s">
        <v>18945</v>
      </c>
      <c r="F4180" s="2" t="s">
        <v>18946</v>
      </c>
      <c r="G4180" s="2" t="str">
        <f>"SR-5742"</f>
        <v>SR-5742</v>
      </c>
      <c r="H4180" s="2" t="s">
        <v>18947</v>
      </c>
      <c r="I4180" s="2" t="s">
        <v>18948</v>
      </c>
      <c r="K4180" s="2" t="s">
        <v>1188</v>
      </c>
      <c r="L4180" s="2" t="s">
        <v>149</v>
      </c>
      <c r="M4180" s="2">
        <v>46259.0</v>
      </c>
      <c r="N4180" s="2" t="s">
        <v>21</v>
      </c>
    </row>
    <row r="4181" ht="15.75" customHeight="1">
      <c r="A4181" s="2">
        <v>2015.0</v>
      </c>
      <c r="B4181" s="2" t="s">
        <v>18949</v>
      </c>
      <c r="C4181" s="2" t="s">
        <v>18950</v>
      </c>
      <c r="D4181" s="2" t="str">
        <f>"5152106883"</f>
        <v>5152106883</v>
      </c>
      <c r="E4181" s="2" t="s">
        <v>2361</v>
      </c>
      <c r="F4181" s="2" t="s">
        <v>4678</v>
      </c>
      <c r="G4181" s="2" t="str">
        <f>"SR-5760"</f>
        <v>SR-5760</v>
      </c>
      <c r="H4181" s="2" t="s">
        <v>18951</v>
      </c>
      <c r="I4181" s="2" t="s">
        <v>18952</v>
      </c>
      <c r="K4181" s="2" t="s">
        <v>11863</v>
      </c>
      <c r="L4181" s="2" t="s">
        <v>560</v>
      </c>
      <c r="M4181" s="2">
        <v>50325.0</v>
      </c>
      <c r="N4181" s="2" t="s">
        <v>21</v>
      </c>
    </row>
    <row r="4182" ht="15.75" customHeight="1">
      <c r="A4182" s="2">
        <v>2015.0</v>
      </c>
      <c r="B4182" s="2" t="s">
        <v>18953</v>
      </c>
      <c r="C4182" s="2" t="s">
        <v>18953</v>
      </c>
      <c r="D4182" s="2" t="str">
        <f>"7858832251"</f>
        <v>7858832251</v>
      </c>
      <c r="E4182" s="2" t="s">
        <v>465</v>
      </c>
      <c r="F4182" s="2" t="s">
        <v>18954</v>
      </c>
      <c r="G4182" s="2" t="str">
        <f>"SR-5790"</f>
        <v>SR-5790</v>
      </c>
      <c r="H4182" s="2" t="s">
        <v>18955</v>
      </c>
      <c r="I4182" s="2" t="s">
        <v>18956</v>
      </c>
      <c r="K4182" s="2" t="s">
        <v>4361</v>
      </c>
      <c r="L4182" s="2" t="s">
        <v>272</v>
      </c>
      <c r="M4182" s="2">
        <v>66092.0</v>
      </c>
      <c r="N4182" s="2" t="s">
        <v>21</v>
      </c>
    </row>
    <row r="4183" ht="15.75" customHeight="1">
      <c r="A4183" s="2">
        <v>2015.0</v>
      </c>
      <c r="B4183" s="2" t="s">
        <v>18957</v>
      </c>
      <c r="C4183" s="2" t="s">
        <v>18958</v>
      </c>
      <c r="D4183" s="2" t="str">
        <f>"316-283-2421"</f>
        <v>316-283-2421</v>
      </c>
      <c r="E4183" s="2" t="s">
        <v>301</v>
      </c>
      <c r="F4183" s="2" t="s">
        <v>18959</v>
      </c>
      <c r="G4183" s="2" t="str">
        <f>"SR-5895"</f>
        <v>SR-5895</v>
      </c>
      <c r="H4183" s="2" t="s">
        <v>18960</v>
      </c>
      <c r="I4183" s="2" t="s">
        <v>18961</v>
      </c>
      <c r="K4183" s="2" t="s">
        <v>3212</v>
      </c>
      <c r="L4183" s="2" t="s">
        <v>272</v>
      </c>
      <c r="M4183" s="2">
        <v>67114.0</v>
      </c>
      <c r="N4183" s="2" t="s">
        <v>21</v>
      </c>
    </row>
    <row r="4184" ht="15.75" customHeight="1">
      <c r="A4184" s="2">
        <v>2015.0</v>
      </c>
      <c r="B4184" s="2" t="s">
        <v>18962</v>
      </c>
      <c r="C4184" s="2" t="s">
        <v>18963</v>
      </c>
      <c r="D4184" s="2" t="str">
        <f>"316-617-7335"</f>
        <v>316-617-7335</v>
      </c>
      <c r="E4184" s="2" t="s">
        <v>18964</v>
      </c>
      <c r="F4184" s="2" t="s">
        <v>7882</v>
      </c>
      <c r="G4184" s="2" t="str">
        <f>"SR-5887"</f>
        <v>SR-5887</v>
      </c>
      <c r="H4184" s="2" t="s">
        <v>18965</v>
      </c>
      <c r="I4184" s="2" t="s">
        <v>7884</v>
      </c>
      <c r="K4184" s="2" t="s">
        <v>3212</v>
      </c>
      <c r="L4184" s="2" t="s">
        <v>272</v>
      </c>
      <c r="M4184" s="2">
        <v>67114.0</v>
      </c>
      <c r="N4184" s="2" t="s">
        <v>21</v>
      </c>
    </row>
    <row r="4185" ht="15.75" customHeight="1">
      <c r="A4185" s="2">
        <v>2015.0</v>
      </c>
      <c r="B4185" s="2" t="s">
        <v>12487</v>
      </c>
      <c r="C4185" s="2" t="s">
        <v>12487</v>
      </c>
      <c r="D4185" s="2" t="str">
        <f>"515-494-7612"</f>
        <v>515-494-7612</v>
      </c>
      <c r="E4185" s="2" t="s">
        <v>2314</v>
      </c>
      <c r="F4185" s="2" t="s">
        <v>2147</v>
      </c>
      <c r="G4185" s="2" t="str">
        <f>"SR-3274"</f>
        <v>SR-3274</v>
      </c>
      <c r="H4185" s="2" t="s">
        <v>12488</v>
      </c>
      <c r="I4185" s="2" t="s">
        <v>12489</v>
      </c>
      <c r="K4185" s="2" t="s">
        <v>3984</v>
      </c>
      <c r="L4185" s="2" t="s">
        <v>560</v>
      </c>
      <c r="M4185" s="2">
        <v>50131.0</v>
      </c>
      <c r="N4185" s="2" t="s">
        <v>21</v>
      </c>
    </row>
    <row r="4186" ht="15.75" customHeight="1">
      <c r="A4186" s="2">
        <v>2015.0</v>
      </c>
      <c r="B4186" s="2" t="s">
        <v>2081</v>
      </c>
      <c r="C4186" s="2" t="s">
        <v>2088</v>
      </c>
      <c r="D4186" s="2" t="str">
        <f>"3146055428"</f>
        <v>3146055428</v>
      </c>
      <c r="E4186" s="2" t="s">
        <v>2089</v>
      </c>
      <c r="F4186" s="2" t="s">
        <v>2084</v>
      </c>
      <c r="G4186" s="2" t="str">
        <f>"SR-550"</f>
        <v>SR-550</v>
      </c>
      <c r="H4186" s="2" t="s">
        <v>2090</v>
      </c>
      <c r="I4186" s="2" t="s">
        <v>2091</v>
      </c>
      <c r="K4186" s="2" t="s">
        <v>2092</v>
      </c>
      <c r="L4186" s="2" t="s">
        <v>279</v>
      </c>
      <c r="M4186" s="2">
        <v>37149.0</v>
      </c>
      <c r="N4186" s="2" t="s">
        <v>21</v>
      </c>
    </row>
    <row r="4187" ht="15.75" customHeight="1">
      <c r="A4187" s="2">
        <v>2015.0</v>
      </c>
      <c r="B4187" s="2" t="s">
        <v>7321</v>
      </c>
      <c r="C4187" s="2" t="s">
        <v>18966</v>
      </c>
      <c r="D4187" s="2" t="str">
        <f>"920-379-7151"</f>
        <v>920-379-7151</v>
      </c>
      <c r="E4187" s="2" t="s">
        <v>1032</v>
      </c>
      <c r="F4187" s="2" t="s">
        <v>7323</v>
      </c>
      <c r="G4187" s="2" t="str">
        <f>"SR-5894"</f>
        <v>SR-5894</v>
      </c>
      <c r="H4187" s="2" t="s">
        <v>18967</v>
      </c>
      <c r="I4187" s="2" t="s">
        <v>18968</v>
      </c>
      <c r="K4187" s="2" t="s">
        <v>18969</v>
      </c>
      <c r="L4187" s="2" t="s">
        <v>193</v>
      </c>
      <c r="M4187" s="2">
        <v>54947.0</v>
      </c>
      <c r="N4187" s="2" t="s">
        <v>21</v>
      </c>
    </row>
    <row r="4188" ht="15.75" customHeight="1">
      <c r="A4188" s="2">
        <v>2015.0</v>
      </c>
      <c r="B4188" s="2" t="s">
        <v>18970</v>
      </c>
      <c r="C4188" s="2" t="s">
        <v>18971</v>
      </c>
      <c r="D4188" s="2" t="str">
        <f>"316-990-8224"</f>
        <v>316-990-8224</v>
      </c>
      <c r="E4188" s="2" t="s">
        <v>2306</v>
      </c>
      <c r="F4188" s="2" t="s">
        <v>18972</v>
      </c>
      <c r="G4188" s="2" t="str">
        <f>"SR-5668"</f>
        <v>SR-5668</v>
      </c>
      <c r="H4188" s="2" t="s">
        <v>18973</v>
      </c>
      <c r="I4188" s="2" t="s">
        <v>18974</v>
      </c>
      <c r="K4188" s="2" t="s">
        <v>18975</v>
      </c>
      <c r="L4188" s="2" t="s">
        <v>272</v>
      </c>
      <c r="M4188" s="2">
        <v>67101.0</v>
      </c>
      <c r="N4188" s="2" t="s">
        <v>21</v>
      </c>
    </row>
    <row r="4189" ht="15.75" customHeight="1">
      <c r="A4189" s="2">
        <v>2015.0</v>
      </c>
      <c r="B4189" s="2" t="s">
        <v>18976</v>
      </c>
      <c r="C4189" s="2" t="s">
        <v>18976</v>
      </c>
      <c r="D4189" s="2" t="str">
        <f>"6468336230"</f>
        <v>6468336230</v>
      </c>
      <c r="E4189" s="2" t="s">
        <v>18977</v>
      </c>
      <c r="F4189" s="2" t="s">
        <v>58</v>
      </c>
      <c r="G4189" s="2" t="str">
        <f>"SR-5741"</f>
        <v>SR-5741</v>
      </c>
      <c r="H4189" s="2" t="s">
        <v>18978</v>
      </c>
      <c r="I4189" s="2" t="s">
        <v>18979</v>
      </c>
      <c r="J4189" s="2" t="s">
        <v>18980</v>
      </c>
      <c r="K4189" s="2" t="s">
        <v>18981</v>
      </c>
      <c r="L4189" s="2" t="s">
        <v>142</v>
      </c>
      <c r="M4189" s="2">
        <v>10451.0</v>
      </c>
      <c r="N4189" s="2" t="s">
        <v>21</v>
      </c>
    </row>
    <row r="4190" ht="15.75" customHeight="1">
      <c r="A4190" s="2">
        <v>2015.0</v>
      </c>
      <c r="B4190" s="2" t="s">
        <v>18982</v>
      </c>
      <c r="C4190" s="2" t="s">
        <v>18983</v>
      </c>
      <c r="D4190" s="2" t="str">
        <f>"6124995385"</f>
        <v>6124995385</v>
      </c>
      <c r="E4190" s="2" t="s">
        <v>6922</v>
      </c>
      <c r="F4190" s="2" t="s">
        <v>18984</v>
      </c>
      <c r="G4190" s="2" t="str">
        <f>"SR-5763"</f>
        <v>SR-5763</v>
      </c>
      <c r="H4190" s="2" t="s">
        <v>18985</v>
      </c>
      <c r="I4190" s="2" t="s">
        <v>18986</v>
      </c>
      <c r="K4190" s="2" t="s">
        <v>18987</v>
      </c>
      <c r="L4190" s="2" t="s">
        <v>62</v>
      </c>
      <c r="M4190" s="2">
        <v>55426.0</v>
      </c>
      <c r="N4190" s="2" t="s">
        <v>21</v>
      </c>
    </row>
    <row r="4191" ht="15.75" customHeight="1">
      <c r="A4191" s="2">
        <v>2015.0</v>
      </c>
      <c r="B4191" s="2" t="s">
        <v>18988</v>
      </c>
      <c r="C4191" s="2" t="s">
        <v>18989</v>
      </c>
      <c r="D4191" s="2" t="str">
        <f>"660-619-6160"</f>
        <v>660-619-6160</v>
      </c>
      <c r="E4191" s="2" t="s">
        <v>3977</v>
      </c>
      <c r="F4191" s="2" t="s">
        <v>18990</v>
      </c>
      <c r="G4191" s="2" t="str">
        <f>"SR-5519"</f>
        <v>SR-5519</v>
      </c>
      <c r="H4191" s="2" t="s">
        <v>18991</v>
      </c>
      <c r="I4191" s="2" t="s">
        <v>18992</v>
      </c>
      <c r="K4191" s="2" t="s">
        <v>18993</v>
      </c>
      <c r="L4191" s="2" t="s">
        <v>214</v>
      </c>
      <c r="M4191" s="2">
        <v>65276.0</v>
      </c>
      <c r="N4191" s="2" t="s">
        <v>21</v>
      </c>
    </row>
    <row r="4192" ht="15.75" customHeight="1">
      <c r="A4192" s="2">
        <v>2015.0</v>
      </c>
      <c r="B4192" s="2" t="s">
        <v>18994</v>
      </c>
      <c r="C4192" s="2" t="s">
        <v>18995</v>
      </c>
      <c r="D4192" s="2" t="str">
        <f>"9045242406"</f>
        <v>9045242406</v>
      </c>
      <c r="E4192" s="2" t="s">
        <v>5760</v>
      </c>
      <c r="F4192" s="2" t="s">
        <v>18996</v>
      </c>
      <c r="G4192" s="2" t="str">
        <f>"SR-5795"</f>
        <v>SR-5795</v>
      </c>
      <c r="H4192" s="2" t="s">
        <v>18997</v>
      </c>
      <c r="I4192" s="2" t="s">
        <v>18998</v>
      </c>
      <c r="K4192" s="2" t="s">
        <v>18999</v>
      </c>
      <c r="L4192" s="2" t="s">
        <v>208</v>
      </c>
      <c r="M4192" s="2">
        <v>33166.0</v>
      </c>
      <c r="N4192" s="2" t="s">
        <v>21</v>
      </c>
    </row>
    <row r="4193" ht="15.75" customHeight="1">
      <c r="A4193" s="2">
        <v>2015.0</v>
      </c>
      <c r="B4193" s="2" t="s">
        <v>19000</v>
      </c>
      <c r="C4193" s="2" t="s">
        <v>19001</v>
      </c>
      <c r="D4193" s="2" t="str">
        <f>"505-266-4352"</f>
        <v>505-266-4352</v>
      </c>
      <c r="E4193" s="2" t="s">
        <v>385</v>
      </c>
      <c r="F4193" s="2" t="s">
        <v>19002</v>
      </c>
      <c r="G4193" s="2" t="str">
        <f>"SR-5896"</f>
        <v>SR-5896</v>
      </c>
      <c r="H4193" s="2" t="s">
        <v>19003</v>
      </c>
      <c r="I4193" s="2" t="s">
        <v>19004</v>
      </c>
      <c r="K4193" s="2" t="s">
        <v>3705</v>
      </c>
      <c r="L4193" s="2" t="s">
        <v>789</v>
      </c>
      <c r="M4193" s="2">
        <v>87123.0</v>
      </c>
      <c r="N4193" s="2" t="s">
        <v>21</v>
      </c>
    </row>
    <row r="4194" ht="15.75" customHeight="1">
      <c r="A4194" s="2">
        <v>2015.0</v>
      </c>
      <c r="B4194" s="2" t="s">
        <v>19005</v>
      </c>
      <c r="C4194" s="2" t="s">
        <v>19005</v>
      </c>
      <c r="D4194" s="2" t="str">
        <f>"8185179196"</f>
        <v>8185179196</v>
      </c>
      <c r="E4194" s="2" t="s">
        <v>2912</v>
      </c>
      <c r="F4194" s="2" t="s">
        <v>19006</v>
      </c>
      <c r="G4194" s="2" t="str">
        <f>"SR-5886"</f>
        <v>SR-5886</v>
      </c>
      <c r="H4194" s="2" t="s">
        <v>19007</v>
      </c>
      <c r="I4194" s="2" t="s">
        <v>19008</v>
      </c>
      <c r="K4194" s="2" t="s">
        <v>13923</v>
      </c>
      <c r="L4194" s="2" t="s">
        <v>222</v>
      </c>
      <c r="M4194" s="2">
        <v>93022.0</v>
      </c>
      <c r="N4194" s="2" t="s">
        <v>21</v>
      </c>
    </row>
    <row r="4195" ht="15.75" customHeight="1">
      <c r="A4195" s="2">
        <v>2015.0</v>
      </c>
      <c r="B4195" s="2" t="s">
        <v>19009</v>
      </c>
      <c r="C4195" s="2" t="s">
        <v>19009</v>
      </c>
      <c r="D4195" s="2" t="str">
        <f>"3614437191"</f>
        <v>3614437191</v>
      </c>
      <c r="E4195" s="2" t="s">
        <v>678</v>
      </c>
      <c r="F4195" s="2" t="s">
        <v>3984</v>
      </c>
      <c r="G4195" s="2" t="str">
        <f>"SR-4964"</f>
        <v>SR-4964</v>
      </c>
      <c r="H4195" s="2" t="s">
        <v>19010</v>
      </c>
      <c r="I4195" s="2" t="s">
        <v>19011</v>
      </c>
      <c r="K4195" s="2" t="s">
        <v>3987</v>
      </c>
      <c r="L4195" s="2" t="s">
        <v>172</v>
      </c>
      <c r="M4195" s="2">
        <v>78414.0</v>
      </c>
      <c r="N4195" s="2" t="s">
        <v>21</v>
      </c>
    </row>
    <row r="4196" ht="15.75" customHeight="1">
      <c r="A4196" s="2">
        <v>2015.0</v>
      </c>
      <c r="B4196" s="2" t="s">
        <v>19012</v>
      </c>
      <c r="C4196" s="2" t="s">
        <v>19013</v>
      </c>
      <c r="D4196" s="2" t="str">
        <f>"5419754206"</f>
        <v>5419754206</v>
      </c>
      <c r="E4196" s="2" t="s">
        <v>503</v>
      </c>
      <c r="F4196" s="2" t="s">
        <v>1101</v>
      </c>
      <c r="G4196" s="2" t="str">
        <f>"SR-5922"</f>
        <v>SR-5922</v>
      </c>
      <c r="H4196" s="2" t="s">
        <v>19014</v>
      </c>
      <c r="I4196" s="2" t="s">
        <v>19015</v>
      </c>
      <c r="K4196" s="2" t="s">
        <v>15786</v>
      </c>
      <c r="L4196" s="2" t="s">
        <v>2389</v>
      </c>
      <c r="M4196" s="2">
        <v>97801.0</v>
      </c>
      <c r="N4196" s="2" t="s">
        <v>21</v>
      </c>
    </row>
    <row r="4197" ht="15.75" customHeight="1">
      <c r="A4197" s="2">
        <v>2015.0</v>
      </c>
      <c r="B4197" s="2" t="s">
        <v>19016</v>
      </c>
      <c r="C4197" s="2" t="s">
        <v>19016</v>
      </c>
      <c r="D4197" s="2" t="str">
        <f>"541-969-1459"</f>
        <v>541-969-1459</v>
      </c>
      <c r="E4197" s="2" t="s">
        <v>1713</v>
      </c>
      <c r="F4197" s="2" t="s">
        <v>1101</v>
      </c>
      <c r="G4197" s="2" t="str">
        <f>"SR-5923"</f>
        <v>SR-5923</v>
      </c>
      <c r="H4197" s="2" t="s">
        <v>19017</v>
      </c>
      <c r="I4197" s="2" t="s">
        <v>19018</v>
      </c>
      <c r="K4197" s="2" t="s">
        <v>15786</v>
      </c>
      <c r="L4197" s="2" t="s">
        <v>2389</v>
      </c>
      <c r="M4197" s="2">
        <v>97801.0</v>
      </c>
      <c r="N4197" s="2" t="s">
        <v>21</v>
      </c>
    </row>
    <row r="4198" ht="15.75" customHeight="1">
      <c r="A4198" s="2">
        <v>2015.0</v>
      </c>
      <c r="B4198" s="2" t="s">
        <v>19019</v>
      </c>
      <c r="C4198" s="2" t="s">
        <v>19019</v>
      </c>
      <c r="D4198" s="2" t="str">
        <f>"541-696-2104"</f>
        <v>541-696-2104</v>
      </c>
      <c r="E4198" s="2" t="s">
        <v>955</v>
      </c>
      <c r="F4198" s="2" t="s">
        <v>1101</v>
      </c>
      <c r="G4198" s="2" t="str">
        <f>"SR-5925"</f>
        <v>SR-5925</v>
      </c>
      <c r="H4198" s="2" t="s">
        <v>19020</v>
      </c>
      <c r="I4198" s="2" t="s">
        <v>19021</v>
      </c>
      <c r="J4198" s="2" t="s">
        <v>19022</v>
      </c>
      <c r="K4198" s="2" t="s">
        <v>3239</v>
      </c>
      <c r="L4198" s="2" t="s">
        <v>214</v>
      </c>
      <c r="M4198" s="2">
        <v>65802.0</v>
      </c>
      <c r="N4198" s="2" t="s">
        <v>21</v>
      </c>
    </row>
    <row r="4199" ht="15.75" customHeight="1">
      <c r="A4199" s="2">
        <v>2015.0</v>
      </c>
      <c r="B4199" s="2" t="s">
        <v>19023</v>
      </c>
      <c r="C4199" s="2" t="s">
        <v>19023</v>
      </c>
      <c r="D4199" s="2" t="str">
        <f>"541-969-1461"</f>
        <v>541-969-1461</v>
      </c>
      <c r="E4199" s="2" t="s">
        <v>1197</v>
      </c>
      <c r="F4199" s="2" t="s">
        <v>1101</v>
      </c>
      <c r="G4199" s="2" t="str">
        <f>"SR-5924"</f>
        <v>SR-5924</v>
      </c>
      <c r="H4199" s="2" t="s">
        <v>19024</v>
      </c>
      <c r="I4199" s="2" t="s">
        <v>19025</v>
      </c>
      <c r="K4199" s="2" t="s">
        <v>15786</v>
      </c>
      <c r="L4199" s="2" t="s">
        <v>2389</v>
      </c>
      <c r="M4199" s="2">
        <v>97801.0</v>
      </c>
      <c r="N4199" s="2" t="s">
        <v>21</v>
      </c>
    </row>
    <row r="4200" ht="15.75" customHeight="1">
      <c r="A4200" s="2">
        <v>2015.0</v>
      </c>
      <c r="B4200" s="2" t="s">
        <v>10824</v>
      </c>
      <c r="C4200" s="2" t="s">
        <v>10824</v>
      </c>
      <c r="D4200" s="2" t="str">
        <f>"574-242-8349"</f>
        <v>574-242-8349</v>
      </c>
      <c r="E4200" s="2" t="s">
        <v>10825</v>
      </c>
      <c r="F4200" s="2" t="s">
        <v>10826</v>
      </c>
      <c r="G4200" s="2" t="str">
        <f>"SR-2988"</f>
        <v>SR-2988</v>
      </c>
      <c r="H4200" s="2" t="s">
        <v>10827</v>
      </c>
      <c r="I4200" s="2" t="s">
        <v>10828</v>
      </c>
      <c r="K4200" s="2" t="s">
        <v>10829</v>
      </c>
      <c r="L4200" s="2" t="s">
        <v>149</v>
      </c>
      <c r="M4200" s="2">
        <v>46996.0</v>
      </c>
      <c r="N4200" s="2" t="s">
        <v>21</v>
      </c>
    </row>
    <row r="4201" ht="15.75" customHeight="1">
      <c r="A4201" s="2">
        <v>2015.0</v>
      </c>
      <c r="B4201" s="2" t="s">
        <v>14823</v>
      </c>
      <c r="D4201" s="2" t="str">
        <f>"480 892-4564"</f>
        <v>480 892-4564</v>
      </c>
      <c r="E4201" s="2" t="s">
        <v>14824</v>
      </c>
      <c r="F4201" s="2" t="s">
        <v>4171</v>
      </c>
      <c r="G4201" s="2" t="str">
        <f>"SR-4242"</f>
        <v>SR-4242</v>
      </c>
      <c r="H4201" s="2" t="s">
        <v>14825</v>
      </c>
      <c r="I4201" s="2" t="s">
        <v>14826</v>
      </c>
      <c r="K4201" s="2" t="s">
        <v>2841</v>
      </c>
      <c r="L4201" s="2" t="s">
        <v>422</v>
      </c>
      <c r="N4201" s="2" t="s">
        <v>21</v>
      </c>
    </row>
    <row r="4202" ht="15.75" customHeight="1">
      <c r="A4202" s="2">
        <v>2015.0</v>
      </c>
      <c r="B4202" s="2" t="s">
        <v>895</v>
      </c>
      <c r="C4202" s="2" t="s">
        <v>19026</v>
      </c>
      <c r="D4202" s="2" t="str">
        <f>"507 626-3041"</f>
        <v>507 626-3041</v>
      </c>
      <c r="E4202" s="2" t="s">
        <v>811</v>
      </c>
      <c r="F4202" s="2" t="s">
        <v>898</v>
      </c>
      <c r="G4202" s="2" t="str">
        <f>"SR-5747"</f>
        <v>SR-5747</v>
      </c>
      <c r="H4202" s="2" t="s">
        <v>19027</v>
      </c>
      <c r="I4202" s="2" t="s">
        <v>980</v>
      </c>
      <c r="K4202" s="2" t="s">
        <v>133</v>
      </c>
      <c r="L4202" s="2" t="s">
        <v>62</v>
      </c>
      <c r="M4202" s="2">
        <v>56175.0</v>
      </c>
      <c r="N4202" s="2" t="s">
        <v>21</v>
      </c>
    </row>
    <row r="4203" ht="15.75" customHeight="1">
      <c r="A4203" s="2">
        <v>2015.0</v>
      </c>
      <c r="B4203" s="2" t="s">
        <v>19028</v>
      </c>
      <c r="C4203" s="2" t="s">
        <v>19028</v>
      </c>
      <c r="D4203" s="2" t="str">
        <f>"9125363593"</f>
        <v>9125363593</v>
      </c>
      <c r="E4203" s="2" t="s">
        <v>19029</v>
      </c>
      <c r="F4203" s="2" t="s">
        <v>19030</v>
      </c>
      <c r="G4203" s="2" t="str">
        <f>"SR-5928"</f>
        <v>SR-5928</v>
      </c>
      <c r="H4203" s="2" t="s">
        <v>19031</v>
      </c>
      <c r="I4203" s="2" t="s">
        <v>19032</v>
      </c>
      <c r="K4203" s="2" t="s">
        <v>19033</v>
      </c>
      <c r="L4203" s="2" t="s">
        <v>200</v>
      </c>
      <c r="M4203" s="2">
        <v>30417.0</v>
      </c>
      <c r="N4203" s="2" t="s">
        <v>21</v>
      </c>
    </row>
    <row r="4204" ht="15.75" customHeight="1">
      <c r="A4204" s="2">
        <v>2015.0</v>
      </c>
      <c r="B4204" s="2" t="s">
        <v>19034</v>
      </c>
      <c r="C4204" s="2" t="s">
        <v>19034</v>
      </c>
      <c r="D4204" s="2" t="str">
        <f>"469-383-6370"</f>
        <v>469-383-6370</v>
      </c>
      <c r="E4204" s="2" t="s">
        <v>417</v>
      </c>
      <c r="F4204" s="2" t="s">
        <v>19035</v>
      </c>
      <c r="G4204" s="2" t="str">
        <f>"SR-5920"</f>
        <v>SR-5920</v>
      </c>
      <c r="H4204" s="2" t="s">
        <v>19036</v>
      </c>
      <c r="I4204" s="2" t="s">
        <v>19037</v>
      </c>
      <c r="K4204" s="2" t="s">
        <v>3677</v>
      </c>
      <c r="L4204" s="2" t="s">
        <v>172</v>
      </c>
      <c r="M4204" s="2">
        <v>75165.0</v>
      </c>
      <c r="N4204" s="2" t="s">
        <v>21</v>
      </c>
    </row>
    <row r="4205" ht="15.75" customHeight="1">
      <c r="A4205" s="2">
        <v>2015.0</v>
      </c>
      <c r="B4205" s="2" t="s">
        <v>19038</v>
      </c>
      <c r="C4205" s="2" t="s">
        <v>19039</v>
      </c>
      <c r="D4205" s="2" t="str">
        <f>"682 217-3940"</f>
        <v>682 217-3940</v>
      </c>
      <c r="E4205" s="2" t="s">
        <v>5760</v>
      </c>
      <c r="F4205" s="2" t="s">
        <v>19040</v>
      </c>
      <c r="G4205" s="2" t="str">
        <f>"SR-5902"</f>
        <v>SR-5902</v>
      </c>
      <c r="H4205" s="2" t="s">
        <v>19041</v>
      </c>
      <c r="I4205" s="2" t="s">
        <v>19042</v>
      </c>
      <c r="K4205" s="2" t="s">
        <v>19043</v>
      </c>
      <c r="L4205" s="2" t="s">
        <v>172</v>
      </c>
      <c r="M4205" s="2">
        <v>76011.0</v>
      </c>
      <c r="N4205" s="2" t="s">
        <v>21</v>
      </c>
    </row>
    <row r="4206" ht="15.75" customHeight="1">
      <c r="A4206" s="2">
        <v>2015.0</v>
      </c>
      <c r="B4206" s="2" t="s">
        <v>19044</v>
      </c>
      <c r="C4206" s="2" t="s">
        <v>19044</v>
      </c>
      <c r="D4206" s="2" t="str">
        <f>"5039912182"</f>
        <v>5039912182</v>
      </c>
      <c r="E4206" s="2" t="s">
        <v>13609</v>
      </c>
      <c r="F4206" s="2" t="s">
        <v>5128</v>
      </c>
      <c r="G4206" s="2" t="str">
        <f>"SR-5903"</f>
        <v>SR-5903</v>
      </c>
      <c r="H4206" s="2" t="s">
        <v>19045</v>
      </c>
      <c r="I4206" s="2" t="s">
        <v>19046</v>
      </c>
      <c r="K4206" s="2" t="s">
        <v>5131</v>
      </c>
      <c r="L4206" s="2" t="s">
        <v>2389</v>
      </c>
      <c r="M4206" s="2">
        <v>97317.0</v>
      </c>
      <c r="N4206" s="2" t="s">
        <v>21</v>
      </c>
    </row>
    <row r="4207" ht="15.75" customHeight="1">
      <c r="A4207" s="2">
        <v>2015.0</v>
      </c>
      <c r="B4207" s="2" t="s">
        <v>3426</v>
      </c>
      <c r="C4207" s="2" t="s">
        <v>19047</v>
      </c>
      <c r="D4207" s="2" t="str">
        <f>"813-466-9537"</f>
        <v>813-466-9537</v>
      </c>
      <c r="E4207" s="2" t="s">
        <v>15187</v>
      </c>
      <c r="F4207" s="2" t="s">
        <v>3428</v>
      </c>
      <c r="G4207" s="2" t="str">
        <f>"SR-5932"</f>
        <v>SR-5932</v>
      </c>
      <c r="H4207" s="2" t="s">
        <v>19048</v>
      </c>
      <c r="I4207" s="2" t="s">
        <v>3430</v>
      </c>
      <c r="K4207" s="2" t="s">
        <v>3431</v>
      </c>
      <c r="L4207" s="2" t="s">
        <v>208</v>
      </c>
      <c r="M4207" s="2">
        <v>33618.0</v>
      </c>
      <c r="N4207" s="2" t="s">
        <v>21</v>
      </c>
    </row>
    <row r="4208" ht="15.75" customHeight="1">
      <c r="A4208" s="2">
        <v>2015.0</v>
      </c>
      <c r="B4208" s="2" t="s">
        <v>19049</v>
      </c>
      <c r="C4208" s="2" t="s">
        <v>19050</v>
      </c>
      <c r="D4208" s="2" t="str">
        <f>"952-500-1564"</f>
        <v>952-500-1564</v>
      </c>
      <c r="E4208" s="2" t="s">
        <v>19051</v>
      </c>
      <c r="F4208" s="2" t="s">
        <v>1756</v>
      </c>
      <c r="G4208" s="2" t="str">
        <f>"SR-5625"</f>
        <v>SR-5625</v>
      </c>
      <c r="H4208" s="2" t="s">
        <v>19052</v>
      </c>
      <c r="I4208" s="2" t="s">
        <v>19053</v>
      </c>
      <c r="K4208" s="2" t="s">
        <v>1019</v>
      </c>
      <c r="L4208" s="2" t="s">
        <v>62</v>
      </c>
      <c r="M4208" s="2">
        <v>55437.0</v>
      </c>
      <c r="N4208" s="2" t="s">
        <v>21</v>
      </c>
    </row>
    <row r="4209" ht="15.75" customHeight="1">
      <c r="A4209" s="2">
        <v>2015.0</v>
      </c>
      <c r="B4209" s="2" t="s">
        <v>19054</v>
      </c>
      <c r="C4209" s="2" t="s">
        <v>19055</v>
      </c>
      <c r="D4209" s="2" t="str">
        <f>"317-771-1065"</f>
        <v>317-771-1065</v>
      </c>
      <c r="E4209" s="2" t="s">
        <v>19056</v>
      </c>
      <c r="F4209" s="2" t="s">
        <v>89</v>
      </c>
      <c r="G4209" s="2" t="str">
        <f>"SR-5913"</f>
        <v>SR-5913</v>
      </c>
      <c r="H4209" s="2" t="s">
        <v>19057</v>
      </c>
      <c r="I4209" s="2" t="s">
        <v>19058</v>
      </c>
      <c r="K4209" s="2" t="s">
        <v>3464</v>
      </c>
      <c r="L4209" s="2" t="s">
        <v>149</v>
      </c>
      <c r="M4209" s="2">
        <v>46158.0</v>
      </c>
      <c r="N4209" s="2" t="s">
        <v>21</v>
      </c>
    </row>
    <row r="4210" ht="15.75" customHeight="1">
      <c r="A4210" s="2">
        <v>2015.0</v>
      </c>
      <c r="B4210" s="2" t="s">
        <v>19059</v>
      </c>
      <c r="C4210" s="2" t="s">
        <v>19059</v>
      </c>
      <c r="D4210" s="2" t="str">
        <f>"4058221769"</f>
        <v>4058221769</v>
      </c>
      <c r="E4210" s="2" t="s">
        <v>1450</v>
      </c>
      <c r="F4210" s="2" t="s">
        <v>1057</v>
      </c>
      <c r="G4210" s="2" t="str">
        <f>"SR-5865"</f>
        <v>SR-5865</v>
      </c>
      <c r="H4210" s="2" t="s">
        <v>19060</v>
      </c>
      <c r="I4210" s="2" t="s">
        <v>19061</v>
      </c>
      <c r="K4210" s="2" t="s">
        <v>1546</v>
      </c>
      <c r="L4210" s="2" t="s">
        <v>840</v>
      </c>
      <c r="M4210" s="2">
        <v>73013.0</v>
      </c>
      <c r="N4210" s="2" t="s">
        <v>21</v>
      </c>
    </row>
    <row r="4211" ht="15.75" customHeight="1">
      <c r="A4211" s="2">
        <v>2015.0</v>
      </c>
      <c r="B4211" s="2" t="s">
        <v>19062</v>
      </c>
      <c r="C4211" s="2" t="s">
        <v>19063</v>
      </c>
      <c r="D4211" s="2" t="str">
        <f>"706-832-0713"</f>
        <v>706-832-0713</v>
      </c>
      <c r="E4211" s="2" t="s">
        <v>19064</v>
      </c>
      <c r="F4211" s="2" t="s">
        <v>19065</v>
      </c>
      <c r="G4211" s="2" t="str">
        <f>"SR-5495"</f>
        <v>SR-5495</v>
      </c>
      <c r="H4211" s="2" t="s">
        <v>19066</v>
      </c>
      <c r="I4211" s="2" t="s">
        <v>19067</v>
      </c>
      <c r="K4211" s="2" t="s">
        <v>19068</v>
      </c>
      <c r="L4211" s="2" t="s">
        <v>200</v>
      </c>
      <c r="M4211" s="2">
        <v>30813.0</v>
      </c>
      <c r="N4211" s="2" t="s">
        <v>21</v>
      </c>
    </row>
    <row r="4212" ht="15.75" customHeight="1">
      <c r="A4212" s="2">
        <v>2015.0</v>
      </c>
      <c r="B4212" s="2" t="s">
        <v>14823</v>
      </c>
      <c r="D4212" s="2" t="str">
        <f>"480897-4564"</f>
        <v>480897-4564</v>
      </c>
      <c r="E4212" s="2" t="s">
        <v>1803</v>
      </c>
      <c r="F4212" s="2" t="s">
        <v>4171</v>
      </c>
      <c r="G4212" s="2" t="str">
        <f>"SR-5735"</f>
        <v>SR-5735</v>
      </c>
      <c r="H4212" s="2" t="s">
        <v>19069</v>
      </c>
      <c r="I4212" s="2" t="s">
        <v>19070</v>
      </c>
      <c r="K4212" s="2" t="s">
        <v>2841</v>
      </c>
      <c r="L4212" s="2" t="s">
        <v>422</v>
      </c>
      <c r="M4212" s="2">
        <v>85226.0</v>
      </c>
      <c r="N4212" s="2" t="s">
        <v>21</v>
      </c>
    </row>
    <row r="4213" ht="15.75" customHeight="1">
      <c r="A4213" s="2">
        <v>2015.0</v>
      </c>
      <c r="B4213" s="2" t="s">
        <v>19071</v>
      </c>
      <c r="C4213" s="2" t="s">
        <v>19071</v>
      </c>
      <c r="D4213" s="2" t="str">
        <f>"616-887-1452"</f>
        <v>616-887-1452</v>
      </c>
      <c r="E4213" s="2" t="s">
        <v>19072</v>
      </c>
      <c r="F4213" s="2" t="s">
        <v>1451</v>
      </c>
      <c r="G4213" s="2" t="str">
        <f>"SR-4996"</f>
        <v>SR-4996</v>
      </c>
      <c r="H4213" s="2" t="s">
        <v>19073</v>
      </c>
      <c r="I4213" s="2" t="s">
        <v>19074</v>
      </c>
      <c r="K4213" s="2" t="s">
        <v>3849</v>
      </c>
      <c r="L4213" s="2" t="s">
        <v>29</v>
      </c>
      <c r="M4213" s="2">
        <v>49345.0</v>
      </c>
      <c r="N4213" s="2" t="s">
        <v>21</v>
      </c>
    </row>
    <row r="4214" ht="15.75" customHeight="1">
      <c r="A4214" s="2">
        <v>2015.0</v>
      </c>
      <c r="B4214" s="2" t="s">
        <v>6664</v>
      </c>
      <c r="C4214" s="2" t="s">
        <v>19075</v>
      </c>
      <c r="D4214" s="2" t="str">
        <f>"5182533016"</f>
        <v>5182533016</v>
      </c>
      <c r="E4214" s="2" t="s">
        <v>160</v>
      </c>
      <c r="F4214" s="2" t="s">
        <v>19076</v>
      </c>
      <c r="G4214" s="2" t="str">
        <f>"SR-5939"</f>
        <v>SR-5939</v>
      </c>
      <c r="H4214" s="2" t="s">
        <v>19077</v>
      </c>
      <c r="I4214" s="2" t="s">
        <v>19078</v>
      </c>
      <c r="K4214" s="2" t="s">
        <v>17947</v>
      </c>
      <c r="L4214" s="2" t="s">
        <v>179</v>
      </c>
      <c r="M4214" s="2">
        <v>16415.0</v>
      </c>
      <c r="N4214" s="2" t="s">
        <v>21</v>
      </c>
    </row>
    <row r="4215" ht="15.75" customHeight="1">
      <c r="A4215" s="2">
        <v>2015.0</v>
      </c>
      <c r="B4215" s="2" t="s">
        <v>19079</v>
      </c>
      <c r="C4215" s="2" t="s">
        <v>19079</v>
      </c>
      <c r="D4215" s="2" t="str">
        <f>"(605)224-0333"</f>
        <v>(605)224-0333</v>
      </c>
      <c r="E4215" s="2" t="s">
        <v>12156</v>
      </c>
      <c r="F4215" s="2" t="s">
        <v>14907</v>
      </c>
      <c r="G4215" s="2" t="str">
        <f>"SR-5931"</f>
        <v>SR-5931</v>
      </c>
      <c r="H4215" s="2" t="s">
        <v>19080</v>
      </c>
      <c r="I4215" s="2" t="s">
        <v>19081</v>
      </c>
      <c r="K4215" s="2" t="s">
        <v>4355</v>
      </c>
      <c r="L4215" s="2" t="s">
        <v>920</v>
      </c>
      <c r="M4215" s="2">
        <v>57501.0</v>
      </c>
      <c r="N4215" s="2" t="s">
        <v>21</v>
      </c>
    </row>
    <row r="4216" ht="15.75" customHeight="1">
      <c r="A4216" s="2">
        <v>2015.0</v>
      </c>
      <c r="B4216" s="2" t="s">
        <v>1916</v>
      </c>
      <c r="C4216" s="2" t="s">
        <v>19082</v>
      </c>
      <c r="D4216" s="2" t="str">
        <f>"6012485531"</f>
        <v>6012485531</v>
      </c>
      <c r="E4216" s="2" t="s">
        <v>13609</v>
      </c>
      <c r="F4216" s="2" t="s">
        <v>457</v>
      </c>
      <c r="G4216" s="2" t="str">
        <f>"SR-5942"</f>
        <v>SR-5942</v>
      </c>
      <c r="H4216" s="2" t="s">
        <v>19083</v>
      </c>
      <c r="I4216" s="2" t="s">
        <v>1920</v>
      </c>
      <c r="K4216" s="2" t="s">
        <v>19084</v>
      </c>
      <c r="L4216" s="2" t="s">
        <v>1722</v>
      </c>
      <c r="M4216" s="2">
        <v>39083.0</v>
      </c>
      <c r="N4216" s="2" t="s">
        <v>21</v>
      </c>
    </row>
    <row r="4217" ht="15.75" customHeight="1">
      <c r="A4217" s="2">
        <v>2015.0</v>
      </c>
      <c r="B4217" s="2" t="s">
        <v>19085</v>
      </c>
      <c r="C4217" s="2" t="s">
        <v>19086</v>
      </c>
      <c r="D4217" s="2" t="str">
        <f>"605-535-2241"</f>
        <v>605-535-2241</v>
      </c>
      <c r="E4217" s="2" t="s">
        <v>1015</v>
      </c>
      <c r="F4217" s="2" t="s">
        <v>19087</v>
      </c>
      <c r="G4217" s="2" t="str">
        <f>"SR-5049"</f>
        <v>SR-5049</v>
      </c>
      <c r="H4217" s="2" t="s">
        <v>19088</v>
      </c>
      <c r="I4217" s="2" t="s">
        <v>19089</v>
      </c>
      <c r="K4217" s="2" t="s">
        <v>19090</v>
      </c>
      <c r="L4217" s="2" t="s">
        <v>920</v>
      </c>
      <c r="M4217" s="2">
        <v>57763.0</v>
      </c>
      <c r="N4217" s="2" t="s">
        <v>21</v>
      </c>
    </row>
    <row r="4218" ht="15.75" customHeight="1">
      <c r="A4218" s="2">
        <v>2015.0</v>
      </c>
      <c r="B4218" s="2" t="s">
        <v>19091</v>
      </c>
      <c r="C4218" s="2" t="s">
        <v>19092</v>
      </c>
      <c r="D4218" s="2" t="str">
        <f>"719-322-6361"</f>
        <v>719-322-6361</v>
      </c>
      <c r="E4218" s="2" t="s">
        <v>19093</v>
      </c>
      <c r="F4218" s="2" t="s">
        <v>12419</v>
      </c>
      <c r="G4218" s="2" t="str">
        <f>"SR-5941"</f>
        <v>SR-5941</v>
      </c>
      <c r="H4218" s="2" t="s">
        <v>19094</v>
      </c>
      <c r="I4218" s="2" t="s">
        <v>19095</v>
      </c>
      <c r="K4218" s="2" t="s">
        <v>1862</v>
      </c>
      <c r="L4218" s="2" t="s">
        <v>157</v>
      </c>
      <c r="M4218" s="2">
        <v>80922.0</v>
      </c>
      <c r="N4218" s="2" t="s">
        <v>21</v>
      </c>
    </row>
    <row r="4219" ht="15.75" customHeight="1">
      <c r="A4219" s="2">
        <v>2015.0</v>
      </c>
      <c r="B4219" s="2" t="s">
        <v>19096</v>
      </c>
      <c r="C4219" s="2" t="s">
        <v>19097</v>
      </c>
      <c r="D4219" s="2" t="str">
        <f>"512-777-8472"</f>
        <v>512-777-8472</v>
      </c>
      <c r="E4219" s="2" t="s">
        <v>167</v>
      </c>
      <c r="F4219" s="2" t="s">
        <v>19098</v>
      </c>
      <c r="G4219" s="2" t="str">
        <f>"SR-5617"</f>
        <v>SR-5617</v>
      </c>
      <c r="H4219" s="2" t="s">
        <v>19099</v>
      </c>
      <c r="I4219" s="2" t="s">
        <v>19100</v>
      </c>
      <c r="K4219" s="2" t="s">
        <v>4687</v>
      </c>
      <c r="L4219" s="2" t="s">
        <v>172</v>
      </c>
      <c r="M4219" s="2">
        <v>78665.0</v>
      </c>
      <c r="N4219" s="2" t="s">
        <v>21</v>
      </c>
    </row>
    <row r="4220" ht="15.75" customHeight="1">
      <c r="A4220" s="2">
        <v>2015.0</v>
      </c>
      <c r="B4220" s="2" t="s">
        <v>19101</v>
      </c>
      <c r="D4220" s="2" t="str">
        <f>""</f>
        <v/>
      </c>
      <c r="E4220" s="2" t="s">
        <v>1032</v>
      </c>
      <c r="F4220" s="2" t="s">
        <v>2771</v>
      </c>
      <c r="G4220" s="2" t="str">
        <f>"SR-5938"</f>
        <v>SR-5938</v>
      </c>
      <c r="H4220" s="2" t="s">
        <v>19102</v>
      </c>
      <c r="N4220" s="2" t="s">
        <v>21</v>
      </c>
    </row>
    <row r="4221" ht="15.75" customHeight="1">
      <c r="A4221" s="2">
        <v>2015.0</v>
      </c>
      <c r="B4221" s="2" t="s">
        <v>19103</v>
      </c>
      <c r="C4221" s="2" t="s">
        <v>19103</v>
      </c>
      <c r="D4221" s="2" t="str">
        <f>"3036816990"</f>
        <v>3036816990</v>
      </c>
      <c r="E4221" s="2" t="s">
        <v>19104</v>
      </c>
      <c r="F4221" s="2" t="s">
        <v>256</v>
      </c>
      <c r="G4221" s="2" t="str">
        <f>"SR-5949"</f>
        <v>SR-5949</v>
      </c>
      <c r="H4221" s="2" t="s">
        <v>19105</v>
      </c>
      <c r="I4221" s="2" t="s">
        <v>19106</v>
      </c>
      <c r="K4221" s="2" t="s">
        <v>1054</v>
      </c>
      <c r="L4221" s="2" t="s">
        <v>157</v>
      </c>
      <c r="M4221" s="2">
        <v>80134.0</v>
      </c>
      <c r="N4221" s="2" t="s">
        <v>21</v>
      </c>
    </row>
    <row r="4222" ht="15.75" customHeight="1">
      <c r="A4222" s="2">
        <v>2015.0</v>
      </c>
      <c r="B4222" s="2" t="s">
        <v>19107</v>
      </c>
      <c r="C4222" s="2" t="s">
        <v>19108</v>
      </c>
      <c r="D4222" s="2" t="str">
        <f>"5035919446"</f>
        <v>5035919446</v>
      </c>
      <c r="E4222" s="2" t="s">
        <v>580</v>
      </c>
      <c r="F4222" s="2" t="s">
        <v>19109</v>
      </c>
      <c r="G4222" s="2" t="str">
        <f>"SR-5933"</f>
        <v>SR-5933</v>
      </c>
      <c r="H4222" s="2" t="s">
        <v>19110</v>
      </c>
      <c r="I4222" s="2" t="s">
        <v>19111</v>
      </c>
      <c r="K4222" s="2" t="s">
        <v>19112</v>
      </c>
      <c r="L4222" s="2" t="s">
        <v>2389</v>
      </c>
      <c r="M4222" s="2">
        <v>97078.0</v>
      </c>
      <c r="N4222" s="2" t="s">
        <v>21</v>
      </c>
    </row>
    <row r="4223" ht="15.75" customHeight="1">
      <c r="A4223" s="2">
        <v>2015.0</v>
      </c>
      <c r="B4223" s="2" t="s">
        <v>19113</v>
      </c>
      <c r="C4223" s="2" t="s">
        <v>19114</v>
      </c>
      <c r="D4223" s="2" t="str">
        <f>"616-896-4918"</f>
        <v>616-896-4918</v>
      </c>
      <c r="E4223" s="2" t="s">
        <v>301</v>
      </c>
      <c r="F4223" s="2" t="s">
        <v>19115</v>
      </c>
      <c r="G4223" s="2" t="str">
        <f>"SR-5572"</f>
        <v>SR-5572</v>
      </c>
      <c r="H4223" s="2" t="s">
        <v>19116</v>
      </c>
      <c r="I4223" s="2" t="s">
        <v>19117</v>
      </c>
      <c r="K4223" s="2" t="s">
        <v>16428</v>
      </c>
      <c r="L4223" s="2" t="s">
        <v>29</v>
      </c>
      <c r="M4223" s="2">
        <v>49426.0</v>
      </c>
      <c r="N4223" s="2" t="s">
        <v>21</v>
      </c>
    </row>
    <row r="4224" ht="15.75" customHeight="1">
      <c r="A4224" s="2">
        <v>2015.0</v>
      </c>
      <c r="B4224" s="2" t="s">
        <v>19118</v>
      </c>
      <c r="C4224" s="2" t="s">
        <v>19119</v>
      </c>
      <c r="D4224" s="2" t="str">
        <f>"9723555291"</f>
        <v>9723555291</v>
      </c>
      <c r="E4224" s="2" t="s">
        <v>3196</v>
      </c>
      <c r="F4224" s="2" t="s">
        <v>2379</v>
      </c>
      <c r="G4224" s="2" t="str">
        <f>"SR-5940"</f>
        <v>SR-5940</v>
      </c>
      <c r="H4224" s="2" t="s">
        <v>19120</v>
      </c>
      <c r="I4224" s="2" t="s">
        <v>19121</v>
      </c>
      <c r="K4224" s="2" t="s">
        <v>19122</v>
      </c>
      <c r="L4224" s="2" t="s">
        <v>172</v>
      </c>
      <c r="M4224" s="2">
        <v>75028.0</v>
      </c>
      <c r="N4224" s="2" t="s">
        <v>21</v>
      </c>
    </row>
    <row r="4225" ht="15.75" customHeight="1">
      <c r="A4225" s="2">
        <v>2015.0</v>
      </c>
      <c r="B4225" s="2" t="s">
        <v>19123</v>
      </c>
      <c r="C4225" s="2" t="s">
        <v>19124</v>
      </c>
      <c r="D4225" s="2" t="str">
        <f>"214-478-6865"</f>
        <v>214-478-6865</v>
      </c>
      <c r="E4225" s="2" t="s">
        <v>19125</v>
      </c>
      <c r="F4225" s="2" t="s">
        <v>19126</v>
      </c>
      <c r="G4225" s="2" t="str">
        <f>"SR-5893"</f>
        <v>SR-5893</v>
      </c>
      <c r="H4225" s="2" t="s">
        <v>19127</v>
      </c>
      <c r="I4225" s="2" t="s">
        <v>19128</v>
      </c>
      <c r="K4225" s="2" t="s">
        <v>357</v>
      </c>
      <c r="L4225" s="2" t="s">
        <v>172</v>
      </c>
      <c r="M4225" s="2">
        <v>75025.0</v>
      </c>
      <c r="N4225" s="2" t="s">
        <v>21</v>
      </c>
    </row>
    <row r="4226" ht="15.75" customHeight="1">
      <c r="A4226" s="2">
        <v>2015.0</v>
      </c>
      <c r="B4226" s="2" t="s">
        <v>19129</v>
      </c>
      <c r="C4226" s="2" t="s">
        <v>19129</v>
      </c>
      <c r="D4226" s="2" t="str">
        <f>"2544491197"</f>
        <v>2544491197</v>
      </c>
      <c r="E4226" s="2" t="s">
        <v>580</v>
      </c>
      <c r="F4226" s="2" t="s">
        <v>19130</v>
      </c>
      <c r="G4226" s="2" t="str">
        <f>"SR-5956"</f>
        <v>SR-5956</v>
      </c>
      <c r="H4226" s="2" t="s">
        <v>19131</v>
      </c>
      <c r="I4226" s="2" t="s">
        <v>19132</v>
      </c>
      <c r="K4226" s="2" t="s">
        <v>19133</v>
      </c>
      <c r="L4226" s="2" t="s">
        <v>172</v>
      </c>
      <c r="M4226" s="2">
        <v>76522.0</v>
      </c>
      <c r="N4226" s="2" t="s">
        <v>21</v>
      </c>
    </row>
    <row r="4227" ht="15.75" customHeight="1">
      <c r="A4227" s="2">
        <v>2015.0</v>
      </c>
      <c r="B4227" s="2" t="s">
        <v>19134</v>
      </c>
      <c r="C4227" s="2" t="s">
        <v>19135</v>
      </c>
      <c r="D4227" s="2" t="str">
        <f>"859 245 4761"</f>
        <v>859 245 4761</v>
      </c>
      <c r="E4227" s="2" t="s">
        <v>843</v>
      </c>
      <c r="F4227" s="2" t="s">
        <v>19136</v>
      </c>
      <c r="G4227" s="2" t="str">
        <f>"SR-5908"</f>
        <v>SR-5908</v>
      </c>
      <c r="H4227" s="2" t="s">
        <v>19137</v>
      </c>
      <c r="I4227" s="2" t="s">
        <v>19138</v>
      </c>
      <c r="K4227" s="2" t="s">
        <v>254</v>
      </c>
      <c r="L4227" s="2" t="s">
        <v>1236</v>
      </c>
      <c r="M4227" s="2">
        <v>40515.0</v>
      </c>
      <c r="N4227" s="2" t="s">
        <v>21</v>
      </c>
    </row>
    <row r="4228" ht="15.75" customHeight="1">
      <c r="A4228" s="2">
        <v>2015.0</v>
      </c>
      <c r="B4228" s="2" t="s">
        <v>19139</v>
      </c>
      <c r="C4228" s="2" t="s">
        <v>19139</v>
      </c>
      <c r="D4228" s="2" t="str">
        <f>"9199169616"</f>
        <v>9199169616</v>
      </c>
      <c r="E4228" s="2" t="s">
        <v>50</v>
      </c>
      <c r="F4228" s="2" t="s">
        <v>19140</v>
      </c>
      <c r="G4228" s="2" t="str">
        <f>"SR-5959"</f>
        <v>SR-5959</v>
      </c>
      <c r="H4228" s="2" t="s">
        <v>19141</v>
      </c>
      <c r="I4228" s="2" t="s">
        <v>19142</v>
      </c>
      <c r="K4228" s="2" t="s">
        <v>7993</v>
      </c>
      <c r="L4228" s="2" t="s">
        <v>20</v>
      </c>
      <c r="M4228" s="2">
        <v>27609.0</v>
      </c>
      <c r="N4228" s="2" t="s">
        <v>21</v>
      </c>
    </row>
    <row r="4229" ht="15.75" customHeight="1">
      <c r="A4229" s="2">
        <v>2015.0</v>
      </c>
      <c r="B4229" s="2" t="s">
        <v>19143</v>
      </c>
      <c r="C4229" s="2" t="s">
        <v>19143</v>
      </c>
      <c r="D4229" s="2" t="str">
        <f t="shared" ref="D4229:D4230" si="77">"7194958337"</f>
        <v>7194958337</v>
      </c>
      <c r="E4229" s="2" t="s">
        <v>19144</v>
      </c>
      <c r="F4229" s="2" t="s">
        <v>19145</v>
      </c>
      <c r="G4229" s="2" t="str">
        <f>"SR-5962"</f>
        <v>SR-5962</v>
      </c>
      <c r="H4229" s="2" t="s">
        <v>19146</v>
      </c>
      <c r="I4229" s="2" t="s">
        <v>19147</v>
      </c>
      <c r="K4229" s="2" t="s">
        <v>809</v>
      </c>
      <c r="L4229" s="2" t="s">
        <v>157</v>
      </c>
      <c r="M4229" s="2">
        <v>80909.0</v>
      </c>
      <c r="N4229" s="2" t="s">
        <v>21</v>
      </c>
    </row>
    <row r="4230" ht="15.75" customHeight="1">
      <c r="A4230" s="2">
        <v>2015.0</v>
      </c>
      <c r="B4230" s="2" t="s">
        <v>19143</v>
      </c>
      <c r="C4230" s="2" t="s">
        <v>19148</v>
      </c>
      <c r="D4230" s="2" t="str">
        <f t="shared" si="77"/>
        <v>7194958337</v>
      </c>
      <c r="E4230" s="2" t="s">
        <v>6170</v>
      </c>
      <c r="F4230" s="2" t="s">
        <v>19145</v>
      </c>
      <c r="G4230" s="2" t="str">
        <f>"SR-5965"</f>
        <v>SR-5965</v>
      </c>
      <c r="H4230" s="2" t="s">
        <v>19149</v>
      </c>
      <c r="I4230" s="2" t="s">
        <v>19147</v>
      </c>
      <c r="K4230" s="2" t="s">
        <v>809</v>
      </c>
      <c r="L4230" s="2" t="s">
        <v>157</v>
      </c>
      <c r="M4230" s="2">
        <v>80909.0</v>
      </c>
      <c r="N4230" s="2" t="s">
        <v>21</v>
      </c>
    </row>
    <row r="4231" ht="15.75" customHeight="1">
      <c r="A4231" s="2">
        <v>2015.0</v>
      </c>
      <c r="B4231" s="2" t="s">
        <v>19150</v>
      </c>
      <c r="C4231" s="2" t="s">
        <v>19151</v>
      </c>
      <c r="D4231" s="2" t="str">
        <f>"615-292-2840"</f>
        <v>615-292-2840</v>
      </c>
      <c r="E4231" s="2" t="s">
        <v>1803</v>
      </c>
      <c r="F4231" s="2" t="s">
        <v>690</v>
      </c>
      <c r="G4231" s="2" t="str">
        <f>"SR-5944"</f>
        <v>SR-5944</v>
      </c>
      <c r="H4231" s="2" t="s">
        <v>19152</v>
      </c>
      <c r="I4231" s="2" t="s">
        <v>19153</v>
      </c>
      <c r="K4231" s="2" t="s">
        <v>731</v>
      </c>
      <c r="L4231" s="2" t="s">
        <v>279</v>
      </c>
      <c r="M4231" s="2">
        <v>37215.0</v>
      </c>
      <c r="N4231" s="2" t="s">
        <v>21</v>
      </c>
    </row>
    <row r="4232" ht="15.75" customHeight="1">
      <c r="A4232" s="2">
        <v>2015.0</v>
      </c>
      <c r="B4232" s="2" t="s">
        <v>19154</v>
      </c>
      <c r="C4232" s="2" t="s">
        <v>19155</v>
      </c>
      <c r="D4232" s="2" t="str">
        <f>"615-516-4810"</f>
        <v>615-516-4810</v>
      </c>
      <c r="E4232" s="2" t="s">
        <v>534</v>
      </c>
      <c r="F4232" s="2" t="s">
        <v>19156</v>
      </c>
      <c r="G4232" s="2" t="str">
        <f>"SR-5955"</f>
        <v>SR-5955</v>
      </c>
      <c r="H4232" s="2" t="s">
        <v>19157</v>
      </c>
      <c r="I4232" s="2" t="s">
        <v>19158</v>
      </c>
      <c r="K4232" s="2" t="s">
        <v>12405</v>
      </c>
      <c r="L4232" s="2" t="s">
        <v>279</v>
      </c>
      <c r="M4232" s="2">
        <v>37128.0</v>
      </c>
      <c r="N4232" s="2" t="s">
        <v>21</v>
      </c>
    </row>
    <row r="4233" ht="15.75" customHeight="1">
      <c r="A4233" s="2">
        <v>2015.0</v>
      </c>
      <c r="B4233" s="2" t="s">
        <v>19159</v>
      </c>
      <c r="C4233" s="2" t="s">
        <v>19159</v>
      </c>
      <c r="D4233" s="2" t="str">
        <f>"2602424639"</f>
        <v>2602424639</v>
      </c>
      <c r="E4233" s="2" t="s">
        <v>19160</v>
      </c>
      <c r="F4233" s="2" t="s">
        <v>19161</v>
      </c>
      <c r="G4233" s="2" t="str">
        <f>"SR-5848"</f>
        <v>SR-5848</v>
      </c>
      <c r="H4233" s="2" t="s">
        <v>19162</v>
      </c>
      <c r="I4233" s="2" t="s">
        <v>18854</v>
      </c>
      <c r="K4233" s="2" t="s">
        <v>18855</v>
      </c>
      <c r="L4233" s="2" t="s">
        <v>149</v>
      </c>
      <c r="M4233" s="2">
        <v>46730.0</v>
      </c>
      <c r="N4233" s="2" t="s">
        <v>21</v>
      </c>
    </row>
    <row r="4234" ht="15.75" customHeight="1">
      <c r="A4234" s="2">
        <v>2015.0</v>
      </c>
      <c r="B4234" s="2" t="s">
        <v>19163</v>
      </c>
      <c r="C4234" s="2" t="s">
        <v>19164</v>
      </c>
      <c r="D4234" s="2" t="str">
        <f>"972-727-2462"</f>
        <v>972-727-2462</v>
      </c>
      <c r="E4234" s="2" t="s">
        <v>1434</v>
      </c>
      <c r="F4234" s="2" t="s">
        <v>19165</v>
      </c>
      <c r="G4234" s="2" t="str">
        <f>"SR-5963"</f>
        <v>SR-5963</v>
      </c>
      <c r="H4234" s="2" t="s">
        <v>19166</v>
      </c>
      <c r="I4234" s="2" t="s">
        <v>19167</v>
      </c>
      <c r="K4234" s="2" t="s">
        <v>3144</v>
      </c>
      <c r="L4234" s="2" t="s">
        <v>172</v>
      </c>
      <c r="M4234" s="2">
        <v>75002.0</v>
      </c>
      <c r="N4234" s="2" t="s">
        <v>21</v>
      </c>
    </row>
    <row r="4235" ht="15.75" customHeight="1">
      <c r="A4235" s="2">
        <v>2015.0</v>
      </c>
      <c r="B4235" s="2" t="s">
        <v>19168</v>
      </c>
      <c r="C4235" s="2" t="s">
        <v>19168</v>
      </c>
      <c r="D4235" s="2" t="str">
        <f>"8286913025"</f>
        <v>8286913025</v>
      </c>
      <c r="E4235" s="2" t="s">
        <v>261</v>
      </c>
      <c r="F4235" s="2" t="s">
        <v>3977</v>
      </c>
      <c r="G4235" s="2" t="str">
        <f>"SR-5288"</f>
        <v>SR-5288</v>
      </c>
      <c r="H4235" s="2" t="s">
        <v>19169</v>
      </c>
      <c r="I4235" s="2" t="s">
        <v>19170</v>
      </c>
      <c r="K4235" s="2" t="s">
        <v>2421</v>
      </c>
      <c r="L4235" s="2" t="s">
        <v>20</v>
      </c>
      <c r="M4235" s="2">
        <v>28722.0</v>
      </c>
      <c r="N4235" s="2" t="s">
        <v>21</v>
      </c>
    </row>
    <row r="4236" ht="15.75" customHeight="1">
      <c r="A4236" s="2">
        <v>2015.0</v>
      </c>
      <c r="B4236" s="2" t="s">
        <v>19171</v>
      </c>
      <c r="C4236" s="2" t="s">
        <v>19171</v>
      </c>
      <c r="D4236" s="2" t="str">
        <f>"320-309-6640"</f>
        <v>320-309-6640</v>
      </c>
      <c r="E4236" s="2" t="s">
        <v>13640</v>
      </c>
      <c r="F4236" s="2" t="s">
        <v>19172</v>
      </c>
      <c r="G4236" s="2" t="str">
        <f>"SR-5738"</f>
        <v>SR-5738</v>
      </c>
      <c r="H4236" s="2" t="s">
        <v>19173</v>
      </c>
      <c r="I4236" s="2" t="s">
        <v>19174</v>
      </c>
      <c r="K4236" s="2" t="s">
        <v>11526</v>
      </c>
      <c r="L4236" s="2" t="s">
        <v>62</v>
      </c>
      <c r="M4236" s="2">
        <v>56303.0</v>
      </c>
      <c r="N4236" s="2" t="s">
        <v>21</v>
      </c>
    </row>
    <row r="4237" ht="15.75" customHeight="1">
      <c r="A4237" s="2">
        <v>2015.0</v>
      </c>
      <c r="B4237" s="2" t="s">
        <v>19175</v>
      </c>
      <c r="C4237" s="2" t="s">
        <v>19175</v>
      </c>
      <c r="D4237" s="2" t="str">
        <f>"316 283 0053"</f>
        <v>316 283 0053</v>
      </c>
      <c r="E4237" s="2" t="s">
        <v>15</v>
      </c>
      <c r="F4237" s="2" t="s">
        <v>3208</v>
      </c>
      <c r="G4237" s="2" t="str">
        <f>"SR-5948"</f>
        <v>SR-5948</v>
      </c>
      <c r="H4237" s="2" t="s">
        <v>19176</v>
      </c>
      <c r="I4237" s="2" t="s">
        <v>19177</v>
      </c>
      <c r="J4237" s="2" t="s">
        <v>3210</v>
      </c>
      <c r="K4237" s="2" t="s">
        <v>3212</v>
      </c>
      <c r="L4237" s="2" t="s">
        <v>272</v>
      </c>
      <c r="M4237" s="2">
        <v>67114.0</v>
      </c>
      <c r="N4237" s="2" t="s">
        <v>21</v>
      </c>
    </row>
    <row r="4238" ht="15.75" customHeight="1">
      <c r="A4238" s="2">
        <v>2015.0</v>
      </c>
      <c r="B4238" s="2" t="s">
        <v>19178</v>
      </c>
      <c r="C4238" s="2" t="s">
        <v>19178</v>
      </c>
      <c r="D4238" s="2" t="str">
        <f>"2319037281"</f>
        <v>2319037281</v>
      </c>
      <c r="E4238" s="2" t="s">
        <v>1548</v>
      </c>
      <c r="F4238" s="2" t="s">
        <v>847</v>
      </c>
      <c r="G4238" s="2" t="str">
        <f>"SR-5602"</f>
        <v>SR-5602</v>
      </c>
      <c r="H4238" s="2" t="s">
        <v>19179</v>
      </c>
      <c r="I4238" s="2" t="s">
        <v>19180</v>
      </c>
      <c r="K4238" s="2" t="s">
        <v>19181</v>
      </c>
      <c r="L4238" s="2" t="s">
        <v>29</v>
      </c>
      <c r="M4238" s="2">
        <v>49452.0</v>
      </c>
      <c r="N4238" s="2" t="s">
        <v>21</v>
      </c>
    </row>
    <row r="4239" ht="15.75" customHeight="1">
      <c r="A4239" s="2">
        <v>2015.0</v>
      </c>
      <c r="B4239" s="2" t="s">
        <v>19182</v>
      </c>
      <c r="C4239" s="2" t="s">
        <v>19183</v>
      </c>
      <c r="D4239" s="2" t="str">
        <f>"(937) 783-0154"</f>
        <v>(937) 783-0154</v>
      </c>
      <c r="E4239" s="2" t="s">
        <v>15</v>
      </c>
      <c r="F4239" s="2" t="s">
        <v>19184</v>
      </c>
      <c r="G4239" s="2" t="str">
        <f>"SR-5970"</f>
        <v>SR-5970</v>
      </c>
      <c r="H4239" s="2" t="s">
        <v>19185</v>
      </c>
      <c r="I4239" s="2" t="s">
        <v>19186</v>
      </c>
      <c r="K4239" s="2" t="s">
        <v>7317</v>
      </c>
      <c r="L4239" s="2" t="s">
        <v>344</v>
      </c>
      <c r="M4239" s="2">
        <v>45152.0</v>
      </c>
      <c r="N4239" s="2" t="s">
        <v>21</v>
      </c>
    </row>
    <row r="4240" ht="15.75" customHeight="1">
      <c r="A4240" s="2">
        <v>2015.0</v>
      </c>
      <c r="B4240" s="2" t="s">
        <v>19187</v>
      </c>
      <c r="C4240" s="2" t="s">
        <v>19188</v>
      </c>
      <c r="D4240" s="2" t="str">
        <f>"9195203885"</f>
        <v>9195203885</v>
      </c>
      <c r="E4240" s="2" t="s">
        <v>456</v>
      </c>
      <c r="F4240" s="2" t="s">
        <v>19189</v>
      </c>
      <c r="G4240" s="2" t="str">
        <f>"SR-5971"</f>
        <v>SR-5971</v>
      </c>
      <c r="H4240" s="2" t="s">
        <v>19190</v>
      </c>
      <c r="I4240" s="2" t="s">
        <v>19191</v>
      </c>
      <c r="K4240" s="2" t="s">
        <v>19192</v>
      </c>
      <c r="L4240" s="2" t="s">
        <v>20</v>
      </c>
      <c r="M4240" s="2">
        <v>27545.0</v>
      </c>
      <c r="N4240" s="2" t="s">
        <v>21</v>
      </c>
    </row>
    <row r="4241" ht="15.75" customHeight="1">
      <c r="A4241" s="2">
        <v>2015.0</v>
      </c>
      <c r="B4241" s="2" t="s">
        <v>19193</v>
      </c>
      <c r="C4241" s="2" t="s">
        <v>19194</v>
      </c>
      <c r="D4241" s="2" t="str">
        <f>"724-452-6397"</f>
        <v>724-452-6397</v>
      </c>
      <c r="E4241" s="2" t="s">
        <v>100</v>
      </c>
      <c r="F4241" s="2" t="s">
        <v>1301</v>
      </c>
      <c r="G4241" s="2" t="str">
        <f>"SR-5890"</f>
        <v>SR-5890</v>
      </c>
      <c r="H4241" s="2" t="s">
        <v>19195</v>
      </c>
      <c r="I4241" s="2" t="s">
        <v>19196</v>
      </c>
      <c r="K4241" s="2" t="s">
        <v>19197</v>
      </c>
      <c r="L4241" s="2" t="s">
        <v>179</v>
      </c>
      <c r="M4241" s="2">
        <v>16063.0</v>
      </c>
      <c r="N4241" s="2" t="s">
        <v>21</v>
      </c>
    </row>
    <row r="4242" ht="15.75" customHeight="1">
      <c r="A4242" s="2">
        <v>2015.0</v>
      </c>
      <c r="B4242" s="2" t="s">
        <v>19198</v>
      </c>
      <c r="C4242" s="2" t="s">
        <v>19198</v>
      </c>
      <c r="D4242" s="2" t="str">
        <f>"(724) 991-1028"</f>
        <v>(724) 991-1028</v>
      </c>
      <c r="E4242" s="2" t="s">
        <v>2474</v>
      </c>
      <c r="F4242" s="2" t="s">
        <v>9930</v>
      </c>
      <c r="G4242" s="2" t="str">
        <f>"SR-5885"</f>
        <v>SR-5885</v>
      </c>
      <c r="H4242" s="2" t="s">
        <v>19199</v>
      </c>
      <c r="I4242" s="2" t="s">
        <v>19200</v>
      </c>
      <c r="K4242" s="2" t="s">
        <v>19201</v>
      </c>
      <c r="L4242" s="2" t="s">
        <v>179</v>
      </c>
      <c r="M4242" s="2">
        <v>16002.0</v>
      </c>
      <c r="N4242" s="2" t="s">
        <v>21</v>
      </c>
    </row>
    <row r="4243" ht="15.75" customHeight="1">
      <c r="A4243" s="2">
        <v>2015.0</v>
      </c>
      <c r="B4243" s="2" t="s">
        <v>19202</v>
      </c>
      <c r="C4243" s="2" t="s">
        <v>19203</v>
      </c>
      <c r="D4243" s="2" t="str">
        <f>"6087321911"</f>
        <v>6087321911</v>
      </c>
      <c r="E4243" s="2" t="s">
        <v>3750</v>
      </c>
      <c r="F4243" s="2" t="s">
        <v>868</v>
      </c>
      <c r="G4243" s="2" t="str">
        <f>"SR-5627"</f>
        <v>SR-5627</v>
      </c>
      <c r="H4243" s="2" t="s">
        <v>19204</v>
      </c>
      <c r="I4243" s="2" t="s">
        <v>19205</v>
      </c>
      <c r="K4243" s="2" t="s">
        <v>9868</v>
      </c>
      <c r="L4243" s="2" t="s">
        <v>279</v>
      </c>
      <c r="M4243" s="2">
        <v>37027.0</v>
      </c>
      <c r="N4243" s="2" t="s">
        <v>21</v>
      </c>
    </row>
    <row r="4244" ht="15.75" customHeight="1">
      <c r="A4244" s="2">
        <v>2015.0</v>
      </c>
      <c r="B4244" s="2" t="s">
        <v>19206</v>
      </c>
      <c r="C4244" s="2" t="s">
        <v>19207</v>
      </c>
      <c r="D4244" s="2" t="str">
        <f>"7033444924"</f>
        <v>7033444924</v>
      </c>
      <c r="E4244" s="2" t="s">
        <v>19208</v>
      </c>
      <c r="F4244" s="2" t="s">
        <v>19209</v>
      </c>
      <c r="G4244" s="2" t="str">
        <f>"SR-5977"</f>
        <v>SR-5977</v>
      </c>
      <c r="H4244" s="2" t="s">
        <v>19210</v>
      </c>
      <c r="I4244" s="2" t="s">
        <v>19211</v>
      </c>
      <c r="K4244" s="2" t="s">
        <v>9334</v>
      </c>
      <c r="L4244" s="2" t="s">
        <v>165</v>
      </c>
      <c r="M4244" s="2">
        <v>22033.0</v>
      </c>
      <c r="N4244" s="2" t="s">
        <v>21</v>
      </c>
    </row>
    <row r="4245" ht="15.75" customHeight="1">
      <c r="A4245" s="2">
        <v>2015.0</v>
      </c>
      <c r="B4245" s="2" t="s">
        <v>19212</v>
      </c>
      <c r="C4245" s="2" t="s">
        <v>19213</v>
      </c>
      <c r="D4245" s="2" t="str">
        <f>"2085964289"</f>
        <v>2085964289</v>
      </c>
      <c r="E4245" s="2" t="s">
        <v>282</v>
      </c>
      <c r="F4245" s="2" t="s">
        <v>19214</v>
      </c>
      <c r="G4245" s="2" t="str">
        <f>"SR-5961"</f>
        <v>SR-5961</v>
      </c>
      <c r="H4245" s="2" t="s">
        <v>19215</v>
      </c>
      <c r="I4245" s="2" t="s">
        <v>19216</v>
      </c>
      <c r="K4245" s="2" t="s">
        <v>17102</v>
      </c>
      <c r="L4245" s="2" t="s">
        <v>2613</v>
      </c>
      <c r="M4245" s="2">
        <v>83843.0</v>
      </c>
      <c r="N4245" s="2" t="s">
        <v>21</v>
      </c>
    </row>
    <row r="4246" ht="15.75" customHeight="1">
      <c r="A4246" s="2">
        <v>2015.0</v>
      </c>
      <c r="B4246" s="2" t="s">
        <v>19217</v>
      </c>
      <c r="C4246" s="2" t="s">
        <v>19217</v>
      </c>
      <c r="D4246" s="2" t="str">
        <f>"303-702-9494"</f>
        <v>303-702-9494</v>
      </c>
      <c r="E4246" s="2" t="s">
        <v>1180</v>
      </c>
      <c r="F4246" s="2" t="s">
        <v>19218</v>
      </c>
      <c r="G4246" s="2" t="str">
        <f>"SR-5983"</f>
        <v>SR-5983</v>
      </c>
      <c r="H4246" s="2" t="s">
        <v>19219</v>
      </c>
      <c r="I4246" s="2" t="s">
        <v>19220</v>
      </c>
      <c r="K4246" s="2" t="s">
        <v>2317</v>
      </c>
      <c r="L4246" s="2" t="s">
        <v>157</v>
      </c>
      <c r="M4246" s="2">
        <v>80501.0</v>
      </c>
      <c r="N4246" s="2" t="s">
        <v>21</v>
      </c>
    </row>
    <row r="4247" ht="15.75" customHeight="1">
      <c r="A4247" s="2">
        <v>2015.0</v>
      </c>
      <c r="B4247" s="2" t="s">
        <v>19221</v>
      </c>
      <c r="C4247" s="2" t="s">
        <v>19221</v>
      </c>
      <c r="D4247" s="2" t="str">
        <f>"3158688178"</f>
        <v>3158688178</v>
      </c>
      <c r="E4247" s="2" t="s">
        <v>1347</v>
      </c>
      <c r="F4247" s="2" t="s">
        <v>19222</v>
      </c>
      <c r="G4247" s="2" t="str">
        <f>"SR-5984"</f>
        <v>SR-5984</v>
      </c>
      <c r="H4247" s="2" t="s">
        <v>19223</v>
      </c>
      <c r="I4247" s="2" t="s">
        <v>19224</v>
      </c>
      <c r="K4247" s="2" t="s">
        <v>19225</v>
      </c>
      <c r="L4247" s="2" t="s">
        <v>142</v>
      </c>
      <c r="M4247" s="2">
        <v>13357.0</v>
      </c>
      <c r="N4247" s="2" t="s">
        <v>21</v>
      </c>
    </row>
    <row r="4248" ht="15.75" customHeight="1">
      <c r="A4248" s="2">
        <v>2015.0</v>
      </c>
      <c r="B4248" s="2" t="s">
        <v>19226</v>
      </c>
      <c r="C4248" s="2" t="s">
        <v>19227</v>
      </c>
      <c r="D4248" s="2" t="str">
        <f t="shared" ref="D4248:D4249" si="78">"678-993-6007"</f>
        <v>678-993-6007</v>
      </c>
      <c r="E4248" s="2" t="s">
        <v>428</v>
      </c>
      <c r="F4248" s="2" t="s">
        <v>3161</v>
      </c>
      <c r="G4248" s="2" t="str">
        <f>"SR-5985"</f>
        <v>SR-5985</v>
      </c>
      <c r="H4248" s="2" t="s">
        <v>19228</v>
      </c>
      <c r="I4248" s="2" t="s">
        <v>3163</v>
      </c>
      <c r="K4248" s="2" t="s">
        <v>3164</v>
      </c>
      <c r="L4248" s="2" t="s">
        <v>200</v>
      </c>
      <c r="M4248" s="2">
        <v>30215.0</v>
      </c>
      <c r="N4248" s="2" t="s">
        <v>21</v>
      </c>
    </row>
    <row r="4249" ht="15.75" customHeight="1">
      <c r="A4249" s="2">
        <v>2015.0</v>
      </c>
      <c r="B4249" s="2" t="s">
        <v>19226</v>
      </c>
      <c r="C4249" s="2" t="s">
        <v>19226</v>
      </c>
      <c r="D4249" s="2" t="str">
        <f t="shared" si="78"/>
        <v>678-993-6007</v>
      </c>
      <c r="E4249" s="2" t="s">
        <v>2930</v>
      </c>
      <c r="F4249" s="2" t="s">
        <v>3161</v>
      </c>
      <c r="G4249" s="2" t="str">
        <f>"SR-5993"</f>
        <v>SR-5993</v>
      </c>
      <c r="H4249" s="2" t="s">
        <v>19229</v>
      </c>
      <c r="I4249" s="2" t="s">
        <v>19230</v>
      </c>
      <c r="K4249" s="2" t="s">
        <v>3164</v>
      </c>
      <c r="L4249" s="2" t="s">
        <v>200</v>
      </c>
      <c r="M4249" s="2">
        <v>30215.0</v>
      </c>
      <c r="N4249" s="2" t="s">
        <v>21</v>
      </c>
    </row>
    <row r="4250" ht="15.75" customHeight="1">
      <c r="A4250" s="2">
        <v>2015.0</v>
      </c>
      <c r="B4250" s="2" t="s">
        <v>19231</v>
      </c>
      <c r="C4250" s="2" t="s">
        <v>19232</v>
      </c>
      <c r="D4250" s="2" t="str">
        <f>"719-495-9103"</f>
        <v>719-495-9103</v>
      </c>
      <c r="E4250" s="2" t="s">
        <v>4206</v>
      </c>
      <c r="F4250" s="2" t="s">
        <v>19233</v>
      </c>
      <c r="G4250" s="2" t="str">
        <f>"SR-5990"</f>
        <v>SR-5990</v>
      </c>
      <c r="H4250" s="2" t="s">
        <v>19234</v>
      </c>
      <c r="I4250" s="2" t="s">
        <v>19235</v>
      </c>
      <c r="J4250" s="2" t="s">
        <v>809</v>
      </c>
      <c r="K4250" s="2" t="s">
        <v>809</v>
      </c>
      <c r="L4250" s="2" t="s">
        <v>157</v>
      </c>
      <c r="M4250" s="2">
        <v>80908.0</v>
      </c>
      <c r="N4250" s="2" t="s">
        <v>21</v>
      </c>
    </row>
    <row r="4251" ht="15.75" customHeight="1">
      <c r="A4251" s="2">
        <v>2015.0</v>
      </c>
      <c r="B4251" s="2" t="s">
        <v>13400</v>
      </c>
      <c r="C4251" s="2" t="s">
        <v>13400</v>
      </c>
      <c r="D4251" s="2" t="str">
        <f>"901-373-8894"</f>
        <v>901-373-8894</v>
      </c>
      <c r="E4251" s="2" t="s">
        <v>282</v>
      </c>
      <c r="F4251" s="2" t="s">
        <v>5516</v>
      </c>
      <c r="G4251" s="2" t="str">
        <f>"SR-3760"</f>
        <v>SR-3760</v>
      </c>
      <c r="H4251" s="2" t="s">
        <v>5517</v>
      </c>
      <c r="I4251" s="2" t="s">
        <v>13403</v>
      </c>
      <c r="K4251" s="2" t="s">
        <v>5519</v>
      </c>
      <c r="L4251" s="2" t="s">
        <v>279</v>
      </c>
      <c r="M4251" s="2">
        <v>38134.0</v>
      </c>
      <c r="N4251" s="2" t="s">
        <v>21</v>
      </c>
    </row>
    <row r="4252" ht="15.75" customHeight="1">
      <c r="A4252" s="2">
        <v>2015.0</v>
      </c>
      <c r="B4252" s="2" t="s">
        <v>19236</v>
      </c>
      <c r="C4252" s="2" t="s">
        <v>19237</v>
      </c>
      <c r="D4252" s="2" t="str">
        <f>"7203190268"</f>
        <v>7203190268</v>
      </c>
      <c r="E4252" s="2" t="s">
        <v>19238</v>
      </c>
      <c r="F4252" s="2" t="s">
        <v>11195</v>
      </c>
      <c r="G4252" s="2" t="str">
        <f>"SR-5769"</f>
        <v>SR-5769</v>
      </c>
      <c r="H4252" s="2" t="s">
        <v>19239</v>
      </c>
      <c r="I4252" s="2" t="s">
        <v>19240</v>
      </c>
      <c r="K4252" s="2" t="s">
        <v>1398</v>
      </c>
      <c r="L4252" s="2" t="s">
        <v>157</v>
      </c>
      <c r="M4252" s="2">
        <v>80104.0</v>
      </c>
      <c r="N4252" s="2" t="s">
        <v>21</v>
      </c>
    </row>
    <row r="4253" ht="15.75" customHeight="1">
      <c r="A4253" s="2">
        <v>2015.0</v>
      </c>
      <c r="B4253" s="2" t="s">
        <v>13400</v>
      </c>
      <c r="C4253" s="2" t="s">
        <v>13401</v>
      </c>
      <c r="D4253" s="2" t="str">
        <f>"9013738894"</f>
        <v>9013738894</v>
      </c>
      <c r="E4253" s="2" t="s">
        <v>590</v>
      </c>
      <c r="F4253" s="2" t="s">
        <v>5516</v>
      </c>
      <c r="G4253" s="2" t="str">
        <f>"SR-3862"</f>
        <v>SR-3862</v>
      </c>
      <c r="H4253" s="2" t="s">
        <v>13402</v>
      </c>
      <c r="I4253" s="2" t="s">
        <v>13403</v>
      </c>
      <c r="K4253" s="2" t="s">
        <v>5519</v>
      </c>
      <c r="L4253" s="2" t="s">
        <v>279</v>
      </c>
      <c r="M4253" s="2">
        <v>38134.0</v>
      </c>
      <c r="N4253" s="2" t="s">
        <v>21</v>
      </c>
    </row>
    <row r="4254" ht="15.75" customHeight="1">
      <c r="A4254" s="2">
        <v>2015.0</v>
      </c>
      <c r="B4254" s="2" t="s">
        <v>19241</v>
      </c>
      <c r="C4254" s="2" t="s">
        <v>19242</v>
      </c>
      <c r="D4254" s="2" t="str">
        <f>"719-487-7665"</f>
        <v>719-487-7665</v>
      </c>
      <c r="E4254" s="2" t="s">
        <v>2361</v>
      </c>
      <c r="F4254" s="2" t="s">
        <v>19243</v>
      </c>
      <c r="G4254" s="2" t="str">
        <f>"SR-5991"</f>
        <v>SR-5991</v>
      </c>
      <c r="H4254" s="2" t="s">
        <v>19244</v>
      </c>
      <c r="I4254" s="2" t="s">
        <v>19245</v>
      </c>
      <c r="K4254" s="2" t="s">
        <v>809</v>
      </c>
      <c r="L4254" s="2" t="s">
        <v>157</v>
      </c>
      <c r="M4254" s="2">
        <v>80921.0</v>
      </c>
      <c r="N4254" s="2" t="s">
        <v>21</v>
      </c>
    </row>
    <row r="4255" ht="15.75" customHeight="1">
      <c r="A4255" s="2">
        <v>2015.0</v>
      </c>
      <c r="B4255" s="2" t="s">
        <v>19246</v>
      </c>
      <c r="C4255" s="2" t="s">
        <v>19247</v>
      </c>
      <c r="D4255" s="2" t="str">
        <f>"8044641723"</f>
        <v>8044641723</v>
      </c>
      <c r="E4255" s="2" t="s">
        <v>137</v>
      </c>
      <c r="F4255" s="2" t="s">
        <v>685</v>
      </c>
      <c r="G4255" s="2" t="str">
        <f>"SR-5578"</f>
        <v>SR-5578</v>
      </c>
      <c r="H4255" s="2" t="s">
        <v>19248</v>
      </c>
      <c r="I4255" s="2" t="s">
        <v>19249</v>
      </c>
      <c r="K4255" s="2" t="s">
        <v>11179</v>
      </c>
      <c r="L4255" s="2" t="s">
        <v>165</v>
      </c>
      <c r="M4255" s="2">
        <v>23114.0</v>
      </c>
      <c r="N4255" s="2" t="s">
        <v>21</v>
      </c>
    </row>
    <row r="4256" ht="15.75" customHeight="1">
      <c r="A4256" s="2">
        <v>2015.0</v>
      </c>
      <c r="B4256" s="2" t="s">
        <v>19250</v>
      </c>
      <c r="C4256" s="2" t="s">
        <v>19251</v>
      </c>
      <c r="D4256" s="2" t="str">
        <f>"847-208-2177"</f>
        <v>847-208-2177</v>
      </c>
      <c r="E4256" s="2" t="s">
        <v>492</v>
      </c>
      <c r="F4256" s="2" t="s">
        <v>19252</v>
      </c>
      <c r="G4256" s="2" t="str">
        <f>"SR-5968"</f>
        <v>SR-5968</v>
      </c>
      <c r="H4256" s="2" t="s">
        <v>19253</v>
      </c>
      <c r="I4256" s="2" t="s">
        <v>19254</v>
      </c>
      <c r="K4256" s="2" t="s">
        <v>3279</v>
      </c>
      <c r="L4256" s="2" t="s">
        <v>105</v>
      </c>
      <c r="M4256" s="2">
        <v>60102.0</v>
      </c>
      <c r="N4256" s="2" t="s">
        <v>21</v>
      </c>
    </row>
    <row r="4257" ht="15.75" customHeight="1">
      <c r="A4257" s="2">
        <v>2015.0</v>
      </c>
      <c r="B4257" s="2" t="s">
        <v>19255</v>
      </c>
      <c r="C4257" s="2" t="s">
        <v>19256</v>
      </c>
      <c r="D4257" s="2" t="str">
        <f>"(360)-798-9557"</f>
        <v>(360)-798-9557</v>
      </c>
      <c r="E4257" s="2" t="s">
        <v>2147</v>
      </c>
      <c r="F4257" s="2" t="s">
        <v>2598</v>
      </c>
      <c r="G4257" s="2" t="str">
        <f>"SR-5994"</f>
        <v>SR-5994</v>
      </c>
      <c r="H4257" s="2" t="s">
        <v>19257</v>
      </c>
      <c r="I4257" s="2" t="s">
        <v>19258</v>
      </c>
      <c r="K4257" s="2" t="s">
        <v>2828</v>
      </c>
      <c r="L4257" s="2" t="s">
        <v>2389</v>
      </c>
      <c r="M4257" s="2">
        <v>97215.0</v>
      </c>
      <c r="N4257" s="2" t="s">
        <v>21</v>
      </c>
    </row>
    <row r="4258" ht="15.75" customHeight="1">
      <c r="A4258" s="2">
        <v>2015.0</v>
      </c>
      <c r="B4258" s="2" t="s">
        <v>19259</v>
      </c>
      <c r="C4258" s="2" t="s">
        <v>19260</v>
      </c>
      <c r="D4258" s="2" t="str">
        <f>"434-293-3042"</f>
        <v>434-293-3042</v>
      </c>
      <c r="E4258" s="2" t="s">
        <v>19261</v>
      </c>
      <c r="F4258" s="2" t="s">
        <v>932</v>
      </c>
      <c r="G4258" s="2" t="str">
        <f>"SR-5537"</f>
        <v>SR-5537</v>
      </c>
      <c r="H4258" s="2" t="s">
        <v>19262</v>
      </c>
      <c r="I4258" s="2" t="s">
        <v>19263</v>
      </c>
      <c r="K4258" s="2" t="s">
        <v>11041</v>
      </c>
      <c r="L4258" s="2" t="s">
        <v>165</v>
      </c>
      <c r="M4258" s="2">
        <v>22903.0</v>
      </c>
      <c r="N4258" s="2" t="s">
        <v>21</v>
      </c>
    </row>
    <row r="4259" ht="15.75" customHeight="1">
      <c r="A4259" s="2">
        <v>2015.0</v>
      </c>
      <c r="B4259" s="2" t="s">
        <v>19264</v>
      </c>
      <c r="C4259" s="2" t="s">
        <v>19265</v>
      </c>
      <c r="D4259" s="2" t="str">
        <f>"847-802-0118"</f>
        <v>847-802-0118</v>
      </c>
      <c r="E4259" s="2" t="s">
        <v>908</v>
      </c>
      <c r="F4259" s="2" t="s">
        <v>19266</v>
      </c>
      <c r="G4259" s="2" t="str">
        <f>"SR-5838"</f>
        <v>SR-5838</v>
      </c>
      <c r="H4259" s="2" t="s">
        <v>19267</v>
      </c>
      <c r="I4259" s="2" t="s">
        <v>19268</v>
      </c>
      <c r="K4259" s="2" t="s">
        <v>3279</v>
      </c>
      <c r="L4259" s="2" t="s">
        <v>105</v>
      </c>
      <c r="M4259" s="2">
        <v>60102.0</v>
      </c>
      <c r="N4259" s="2" t="s">
        <v>21</v>
      </c>
    </row>
    <row r="4260" ht="15.75" customHeight="1">
      <c r="A4260" s="2">
        <v>2015.0</v>
      </c>
      <c r="B4260" s="2" t="s">
        <v>19269</v>
      </c>
      <c r="C4260" s="2" t="s">
        <v>19270</v>
      </c>
      <c r="D4260" s="2" t="str">
        <f>"614-920-1450"</f>
        <v>614-920-1450</v>
      </c>
      <c r="E4260" s="2" t="s">
        <v>19271</v>
      </c>
      <c r="F4260" s="2" t="s">
        <v>89</v>
      </c>
      <c r="G4260" s="2" t="str">
        <f>"SR-5362"</f>
        <v>SR-5362</v>
      </c>
      <c r="H4260" s="2" t="s">
        <v>19272</v>
      </c>
      <c r="I4260" s="2" t="s">
        <v>19273</v>
      </c>
      <c r="K4260" s="2" t="s">
        <v>19274</v>
      </c>
      <c r="L4260" s="2" t="s">
        <v>344</v>
      </c>
      <c r="M4260" s="2">
        <v>43110.0</v>
      </c>
      <c r="N4260" s="2" t="s">
        <v>21</v>
      </c>
    </row>
    <row r="4261" ht="15.75" customHeight="1">
      <c r="A4261" s="2">
        <v>2015.0</v>
      </c>
      <c r="B4261" s="2" t="s">
        <v>19275</v>
      </c>
      <c r="C4261" s="2" t="s">
        <v>19276</v>
      </c>
      <c r="D4261" s="2" t="str">
        <f>"6205501093"</f>
        <v>6205501093</v>
      </c>
      <c r="E4261" s="2" t="s">
        <v>590</v>
      </c>
      <c r="F4261" s="2" t="s">
        <v>19277</v>
      </c>
      <c r="G4261" s="2" t="str">
        <f>"SR-5846"</f>
        <v>SR-5846</v>
      </c>
      <c r="H4261" s="2" t="s">
        <v>19278</v>
      </c>
      <c r="I4261" s="2" t="s">
        <v>19279</v>
      </c>
      <c r="K4261" s="2" t="s">
        <v>19280</v>
      </c>
      <c r="L4261" s="2" t="s">
        <v>272</v>
      </c>
      <c r="M4261" s="2">
        <v>67024.0</v>
      </c>
      <c r="N4261" s="2" t="s">
        <v>21</v>
      </c>
    </row>
    <row r="4262" ht="15.75" customHeight="1">
      <c r="A4262" s="2">
        <v>2015.0</v>
      </c>
      <c r="B4262" s="2" t="s">
        <v>13570</v>
      </c>
      <c r="C4262" s="2" t="s">
        <v>13570</v>
      </c>
      <c r="D4262" s="2" t="str">
        <f>"(804) 212-9738"</f>
        <v>(804) 212-9738</v>
      </c>
      <c r="E4262" s="2" t="s">
        <v>2309</v>
      </c>
      <c r="F4262" s="2" t="s">
        <v>11503</v>
      </c>
      <c r="G4262" s="2" t="str">
        <f>"SR-3781"</f>
        <v>SR-3781</v>
      </c>
      <c r="H4262" s="2" t="s">
        <v>13571</v>
      </c>
      <c r="I4262" s="2" t="s">
        <v>13572</v>
      </c>
      <c r="K4262" s="2" t="s">
        <v>11179</v>
      </c>
      <c r="L4262" s="2" t="s">
        <v>165</v>
      </c>
      <c r="M4262" s="2">
        <v>23113.0</v>
      </c>
      <c r="N4262" s="2" t="s">
        <v>21</v>
      </c>
    </row>
    <row r="4263" ht="15.75" customHeight="1">
      <c r="A4263" s="2">
        <v>2015.0</v>
      </c>
      <c r="B4263" s="2" t="s">
        <v>11905</v>
      </c>
      <c r="C4263" s="2" t="s">
        <v>19281</v>
      </c>
      <c r="D4263" s="2" t="str">
        <f>"(505)720-9920"</f>
        <v>(505)720-9920</v>
      </c>
      <c r="E4263" s="2" t="s">
        <v>862</v>
      </c>
      <c r="F4263" s="2" t="s">
        <v>2863</v>
      </c>
      <c r="G4263" s="2" t="str">
        <f>"SR-5988"</f>
        <v>SR-5988</v>
      </c>
      <c r="H4263" s="2" t="s">
        <v>19282</v>
      </c>
      <c r="I4263" s="2" t="s">
        <v>19283</v>
      </c>
      <c r="K4263" s="2" t="s">
        <v>3803</v>
      </c>
      <c r="L4263" s="2" t="s">
        <v>789</v>
      </c>
      <c r="M4263" s="2">
        <v>87124.0</v>
      </c>
      <c r="N4263" s="2" t="s">
        <v>21</v>
      </c>
    </row>
    <row r="4264" ht="15.75" customHeight="1">
      <c r="A4264" s="2">
        <v>2015.0</v>
      </c>
      <c r="B4264" s="2" t="s">
        <v>19284</v>
      </c>
      <c r="C4264" s="2" t="s">
        <v>19284</v>
      </c>
      <c r="D4264" s="2" t="str">
        <f>"515-971-8721"</f>
        <v>515-971-8721</v>
      </c>
      <c r="E4264" s="2" t="s">
        <v>1141</v>
      </c>
      <c r="F4264" s="2" t="s">
        <v>543</v>
      </c>
      <c r="G4264" s="2" t="str">
        <f>"SR-4725"</f>
        <v>SR-4725</v>
      </c>
      <c r="H4264" s="2" t="s">
        <v>19285</v>
      </c>
      <c r="I4264" s="2" t="s">
        <v>19286</v>
      </c>
      <c r="K4264" s="2" t="s">
        <v>3050</v>
      </c>
      <c r="L4264" s="2" t="s">
        <v>560</v>
      </c>
      <c r="M4264" s="2">
        <v>50322.0</v>
      </c>
      <c r="N4264" s="2" t="s">
        <v>21</v>
      </c>
    </row>
    <row r="4265" ht="15.75" customHeight="1">
      <c r="A4265" s="2">
        <v>2015.0</v>
      </c>
      <c r="B4265" s="2" t="s">
        <v>19287</v>
      </c>
      <c r="C4265" s="2" t="s">
        <v>19288</v>
      </c>
      <c r="D4265" s="2" t="str">
        <f>"7204549941"</f>
        <v>7204549941</v>
      </c>
      <c r="E4265" s="2" t="s">
        <v>19289</v>
      </c>
      <c r="F4265" s="2" t="s">
        <v>9406</v>
      </c>
      <c r="G4265" s="2" t="str">
        <f>"SR-5951"</f>
        <v>SR-5951</v>
      </c>
      <c r="H4265" s="2" t="s">
        <v>19290</v>
      </c>
      <c r="I4265" s="2" t="s">
        <v>19291</v>
      </c>
      <c r="K4265" s="2" t="s">
        <v>992</v>
      </c>
      <c r="L4265" s="2" t="s">
        <v>157</v>
      </c>
      <c r="M4265" s="2">
        <v>80015.0</v>
      </c>
      <c r="N4265" s="2" t="s">
        <v>21</v>
      </c>
    </row>
    <row r="4266" ht="15.75" customHeight="1">
      <c r="A4266" s="2">
        <v>2015.0</v>
      </c>
      <c r="B4266" s="2" t="s">
        <v>19292</v>
      </c>
      <c r="C4266" s="2" t="s">
        <v>19293</v>
      </c>
      <c r="D4266" s="2" t="str">
        <f>"540-234-6225"</f>
        <v>540-234-6225</v>
      </c>
      <c r="E4266" s="2" t="s">
        <v>718</v>
      </c>
      <c r="F4266" s="2" t="s">
        <v>19294</v>
      </c>
      <c r="G4266" s="2" t="str">
        <f>"SR-6003"</f>
        <v>SR-6003</v>
      </c>
      <c r="H4266" s="2" t="s">
        <v>19295</v>
      </c>
      <c r="I4266" s="2" t="s">
        <v>19296</v>
      </c>
      <c r="K4266" s="2" t="s">
        <v>19297</v>
      </c>
      <c r="L4266" s="2" t="s">
        <v>165</v>
      </c>
      <c r="M4266" s="2">
        <v>22841.0</v>
      </c>
      <c r="N4266" s="2" t="s">
        <v>21</v>
      </c>
    </row>
    <row r="4267" ht="15.75" customHeight="1">
      <c r="A4267" s="2">
        <v>2015.0</v>
      </c>
      <c r="B4267" s="2" t="s">
        <v>19298</v>
      </c>
      <c r="C4267" s="2" t="s">
        <v>19298</v>
      </c>
      <c r="D4267" s="2" t="str">
        <f>"3208945563"</f>
        <v>3208945563</v>
      </c>
      <c r="E4267" s="2" t="s">
        <v>1548</v>
      </c>
      <c r="F4267" s="2" t="s">
        <v>19299</v>
      </c>
      <c r="G4267" s="2" t="str">
        <f>"SR-5330"</f>
        <v>SR-5330</v>
      </c>
      <c r="H4267" s="2" t="s">
        <v>19300</v>
      </c>
      <c r="I4267" s="2" t="s">
        <v>19301</v>
      </c>
      <c r="K4267" s="2" t="s">
        <v>61</v>
      </c>
      <c r="L4267" s="2" t="s">
        <v>62</v>
      </c>
      <c r="M4267" s="2">
        <v>56201.0</v>
      </c>
      <c r="N4267" s="2" t="s">
        <v>21</v>
      </c>
    </row>
    <row r="4268" ht="15.75" customHeight="1">
      <c r="A4268" s="2">
        <v>2015.0</v>
      </c>
      <c r="B4268" s="2" t="s">
        <v>19302</v>
      </c>
      <c r="C4268" s="2" t="s">
        <v>19303</v>
      </c>
      <c r="D4268" s="2" t="str">
        <f>"316-210-0344"</f>
        <v>316-210-0344</v>
      </c>
      <c r="E4268" s="2" t="s">
        <v>5116</v>
      </c>
      <c r="F4268" s="2" t="s">
        <v>19304</v>
      </c>
      <c r="G4268" s="2" t="str">
        <f>"SR-5854"</f>
        <v>SR-5854</v>
      </c>
      <c r="H4268" s="2" t="s">
        <v>19305</v>
      </c>
      <c r="I4268" s="2" t="s">
        <v>19306</v>
      </c>
      <c r="K4268" s="2" t="s">
        <v>606</v>
      </c>
      <c r="L4268" s="2" t="s">
        <v>272</v>
      </c>
      <c r="M4268" s="2">
        <v>67230.0</v>
      </c>
      <c r="N4268" s="2" t="s">
        <v>21</v>
      </c>
    </row>
    <row r="4269" ht="15.75" customHeight="1">
      <c r="A4269" s="2">
        <v>2015.0</v>
      </c>
      <c r="B4269" s="2" t="s">
        <v>19307</v>
      </c>
      <c r="C4269" s="2" t="s">
        <v>19308</v>
      </c>
      <c r="D4269" s="2" t="str">
        <f>"8189398501"</f>
        <v>8189398501</v>
      </c>
      <c r="E4269" s="2" t="s">
        <v>72</v>
      </c>
      <c r="F4269" s="2" t="s">
        <v>19309</v>
      </c>
      <c r="G4269" s="2" t="str">
        <f>"SR-5995"</f>
        <v>SR-5995</v>
      </c>
      <c r="H4269" s="2" t="s">
        <v>19310</v>
      </c>
      <c r="I4269" s="2" t="s">
        <v>19311</v>
      </c>
      <c r="K4269" s="2" t="s">
        <v>19312</v>
      </c>
      <c r="L4269" s="2" t="s">
        <v>222</v>
      </c>
      <c r="M4269" s="2">
        <v>91362.0</v>
      </c>
      <c r="N4269" s="2" t="s">
        <v>21</v>
      </c>
    </row>
    <row r="4270" ht="15.75" customHeight="1">
      <c r="A4270" s="2">
        <v>2015.0</v>
      </c>
      <c r="B4270" s="2" t="s">
        <v>19313</v>
      </c>
      <c r="C4270" s="2" t="s">
        <v>19314</v>
      </c>
      <c r="D4270" s="2" t="str">
        <f>"907-440-4722"</f>
        <v>907-440-4722</v>
      </c>
      <c r="E4270" s="2" t="s">
        <v>160</v>
      </c>
      <c r="F4270" s="2" t="s">
        <v>320</v>
      </c>
      <c r="G4270" s="2" t="str">
        <f>"SR-5863"</f>
        <v>SR-5863</v>
      </c>
      <c r="H4270" s="2" t="s">
        <v>19315</v>
      </c>
      <c r="I4270" s="2" t="s">
        <v>19316</v>
      </c>
      <c r="K4270" s="2" t="s">
        <v>69</v>
      </c>
      <c r="L4270" s="2" t="s">
        <v>70</v>
      </c>
      <c r="M4270" s="2">
        <v>99516.0</v>
      </c>
      <c r="N4270" s="2" t="s">
        <v>21</v>
      </c>
    </row>
    <row r="4271" ht="15.75" customHeight="1">
      <c r="A4271" s="2">
        <v>2015.0</v>
      </c>
      <c r="B4271" s="2" t="s">
        <v>19317</v>
      </c>
      <c r="C4271" s="2" t="s">
        <v>19318</v>
      </c>
      <c r="D4271" s="2" t="str">
        <f>"3054901589"</f>
        <v>3054901589</v>
      </c>
      <c r="E4271" s="2" t="s">
        <v>3400</v>
      </c>
      <c r="F4271" s="2" t="s">
        <v>19319</v>
      </c>
      <c r="G4271" s="2" t="str">
        <f>"SR-5976"</f>
        <v>SR-5976</v>
      </c>
      <c r="H4271" s="2" t="s">
        <v>19320</v>
      </c>
      <c r="I4271" s="2" t="s">
        <v>19321</v>
      </c>
      <c r="K4271" s="2" t="s">
        <v>7229</v>
      </c>
      <c r="L4271" s="2" t="s">
        <v>208</v>
      </c>
      <c r="M4271" s="2">
        <v>33033.0</v>
      </c>
      <c r="N4271" s="2" t="s">
        <v>21</v>
      </c>
    </row>
    <row r="4272" ht="15.75" customHeight="1">
      <c r="A4272" s="2">
        <v>2015.0</v>
      </c>
      <c r="B4272" s="2" t="s">
        <v>19317</v>
      </c>
      <c r="C4272" s="2" t="s">
        <v>19322</v>
      </c>
      <c r="D4272" s="2" t="str">
        <f>"3058536337"</f>
        <v>3058536337</v>
      </c>
      <c r="E4272" s="2" t="s">
        <v>50</v>
      </c>
      <c r="F4272" s="2" t="s">
        <v>19323</v>
      </c>
      <c r="G4272" s="2" t="str">
        <f>"SR-5978"</f>
        <v>SR-5978</v>
      </c>
      <c r="H4272" s="2" t="s">
        <v>19324</v>
      </c>
      <c r="I4272" s="2" t="s">
        <v>19325</v>
      </c>
      <c r="K4272" s="2" t="s">
        <v>7229</v>
      </c>
      <c r="L4272" s="2" t="s">
        <v>208</v>
      </c>
      <c r="M4272" s="2">
        <v>33030.0</v>
      </c>
      <c r="N4272" s="2" t="s">
        <v>21</v>
      </c>
    </row>
    <row r="4273" ht="15.75" customHeight="1">
      <c r="A4273" s="2">
        <v>2015.0</v>
      </c>
      <c r="B4273" s="2" t="s">
        <v>19326</v>
      </c>
      <c r="C4273" s="2" t="s">
        <v>19326</v>
      </c>
      <c r="D4273" s="2" t="str">
        <f>"6085743606"</f>
        <v>6085743606</v>
      </c>
      <c r="E4273" s="2" t="s">
        <v>2361</v>
      </c>
      <c r="F4273" s="2" t="s">
        <v>8901</v>
      </c>
      <c r="G4273" s="2" t="str">
        <f>"SR-6009"</f>
        <v>SR-6009</v>
      </c>
      <c r="H4273" s="2" t="s">
        <v>19327</v>
      </c>
      <c r="I4273" s="2" t="s">
        <v>19328</v>
      </c>
      <c r="K4273" s="2" t="s">
        <v>7855</v>
      </c>
      <c r="L4273" s="2" t="s">
        <v>193</v>
      </c>
      <c r="M4273" s="2">
        <v>53553.0</v>
      </c>
      <c r="N4273" s="2" t="s">
        <v>21</v>
      </c>
    </row>
    <row r="4274" ht="15.75" customHeight="1">
      <c r="A4274" s="2">
        <v>2015.0</v>
      </c>
      <c r="B4274" s="2" t="s">
        <v>19329</v>
      </c>
      <c r="C4274" s="2" t="s">
        <v>19330</v>
      </c>
      <c r="D4274" s="2" t="str">
        <f>"616-634-9178"</f>
        <v>616-634-9178</v>
      </c>
      <c r="E4274" s="2" t="s">
        <v>1278</v>
      </c>
      <c r="F4274" s="2" t="s">
        <v>1929</v>
      </c>
      <c r="G4274" s="2" t="str">
        <f>"SR-6019"</f>
        <v>SR-6019</v>
      </c>
      <c r="H4274" s="2" t="s">
        <v>19331</v>
      </c>
      <c r="I4274" s="2" t="s">
        <v>19332</v>
      </c>
      <c r="K4274" s="2" t="s">
        <v>7204</v>
      </c>
      <c r="L4274" s="2" t="s">
        <v>29</v>
      </c>
      <c r="M4274" s="2">
        <v>49316.0</v>
      </c>
      <c r="N4274" s="2" t="s">
        <v>21</v>
      </c>
    </row>
    <row r="4275" ht="15.75" customHeight="1">
      <c r="A4275" s="2">
        <v>2015.0</v>
      </c>
      <c r="B4275" s="2" t="s">
        <v>19333</v>
      </c>
      <c r="C4275" s="2" t="s">
        <v>19333</v>
      </c>
      <c r="D4275" s="2" t="str">
        <f>"832-341-0154"</f>
        <v>832-341-0154</v>
      </c>
      <c r="E4275" s="2" t="s">
        <v>10566</v>
      </c>
      <c r="F4275" s="2" t="s">
        <v>19334</v>
      </c>
      <c r="G4275" s="2" t="str">
        <f>"SR-6023"</f>
        <v>SR-6023</v>
      </c>
      <c r="H4275" s="2" t="s">
        <v>19335</v>
      </c>
      <c r="I4275" s="2" t="s">
        <v>19336</v>
      </c>
      <c r="K4275" s="2" t="s">
        <v>5404</v>
      </c>
      <c r="L4275" s="2" t="s">
        <v>172</v>
      </c>
      <c r="M4275" s="2">
        <v>77355.0</v>
      </c>
      <c r="N4275" s="2" t="s">
        <v>21</v>
      </c>
    </row>
    <row r="4276" ht="15.75" customHeight="1">
      <c r="A4276" s="2">
        <v>2015.0</v>
      </c>
      <c r="B4276" s="2" t="s">
        <v>19337</v>
      </c>
      <c r="C4276" s="2" t="s">
        <v>19338</v>
      </c>
      <c r="D4276" s="2" t="str">
        <f>"907-750-9374"</f>
        <v>907-750-9374</v>
      </c>
      <c r="E4276" s="2" t="s">
        <v>718</v>
      </c>
      <c r="F4276" s="2" t="s">
        <v>18291</v>
      </c>
      <c r="G4276" s="2" t="str">
        <f>"SR-5753"</f>
        <v>SR-5753</v>
      </c>
      <c r="H4276" s="2" t="s">
        <v>19339</v>
      </c>
      <c r="I4276" s="2" t="s">
        <v>19340</v>
      </c>
      <c r="K4276" s="2" t="s">
        <v>5329</v>
      </c>
      <c r="L4276" s="2" t="s">
        <v>70</v>
      </c>
      <c r="M4276" s="2">
        <v>99712.0</v>
      </c>
      <c r="N4276" s="2" t="s">
        <v>21</v>
      </c>
    </row>
    <row r="4277" ht="15.75" customHeight="1">
      <c r="A4277" s="2">
        <v>2015.0</v>
      </c>
      <c r="B4277" s="2" t="s">
        <v>19341</v>
      </c>
      <c r="C4277" s="2" t="s">
        <v>19342</v>
      </c>
      <c r="D4277" s="2" t="str">
        <f>"3522270702"</f>
        <v>3522270702</v>
      </c>
      <c r="E4277" s="2" t="s">
        <v>863</v>
      </c>
      <c r="F4277" s="2" t="s">
        <v>18477</v>
      </c>
      <c r="G4277" s="2" t="str">
        <f>"SR-6026"</f>
        <v>SR-6026</v>
      </c>
      <c r="H4277" s="2" t="s">
        <v>19343</v>
      </c>
      <c r="I4277" s="2" t="s">
        <v>19344</v>
      </c>
      <c r="K4277" s="2" t="s">
        <v>19345</v>
      </c>
      <c r="L4277" s="2" t="s">
        <v>208</v>
      </c>
      <c r="M4277" s="2">
        <v>34715.0</v>
      </c>
      <c r="N4277" s="2" t="s">
        <v>21</v>
      </c>
    </row>
    <row r="4278" ht="15.75" customHeight="1">
      <c r="A4278" s="2">
        <v>2015.0</v>
      </c>
      <c r="B4278" s="2" t="s">
        <v>19346</v>
      </c>
      <c r="C4278" s="2" t="s">
        <v>19347</v>
      </c>
      <c r="D4278" s="2" t="str">
        <f>"616-554-6172"</f>
        <v>616-554-6172</v>
      </c>
      <c r="E4278" s="2" t="s">
        <v>386</v>
      </c>
      <c r="F4278" s="2" t="s">
        <v>19348</v>
      </c>
      <c r="G4278" s="2" t="str">
        <f>"SR-5650"</f>
        <v>SR-5650</v>
      </c>
      <c r="H4278" s="2" t="s">
        <v>19349</v>
      </c>
      <c r="I4278" s="2" t="s">
        <v>19350</v>
      </c>
      <c r="K4278" s="2" t="s">
        <v>7204</v>
      </c>
      <c r="L4278" s="2" t="s">
        <v>29</v>
      </c>
      <c r="M4278" s="2">
        <v>49316.0</v>
      </c>
      <c r="N4278" s="2" t="s">
        <v>21</v>
      </c>
    </row>
    <row r="4279" ht="15.75" customHeight="1">
      <c r="A4279" s="2">
        <v>2015.0</v>
      </c>
      <c r="B4279" s="2" t="s">
        <v>19351</v>
      </c>
      <c r="C4279" s="2" t="s">
        <v>19352</v>
      </c>
      <c r="D4279" s="2" t="str">
        <f>"541-460-0925"</f>
        <v>541-460-0925</v>
      </c>
      <c r="E4279" s="2" t="s">
        <v>19353</v>
      </c>
      <c r="F4279" s="2" t="s">
        <v>11781</v>
      </c>
      <c r="G4279" s="2" t="str">
        <f>"SR-6035"</f>
        <v>SR-6035</v>
      </c>
      <c r="H4279" s="2" t="s">
        <v>19354</v>
      </c>
      <c r="I4279" s="2" t="s">
        <v>19355</v>
      </c>
      <c r="K4279" s="2" t="s">
        <v>19356</v>
      </c>
      <c r="L4279" s="2" t="s">
        <v>2389</v>
      </c>
      <c r="M4279" s="2">
        <v>97754.0</v>
      </c>
      <c r="N4279" s="2" t="s">
        <v>21</v>
      </c>
    </row>
    <row r="4280" ht="15.75" customHeight="1">
      <c r="A4280" s="2">
        <v>2015.0</v>
      </c>
      <c r="B4280" s="2" t="s">
        <v>2856</v>
      </c>
      <c r="C4280" s="2" t="s">
        <v>2856</v>
      </c>
      <c r="D4280" s="2" t="str">
        <f>"5745293266"</f>
        <v>5745293266</v>
      </c>
      <c r="E4280" s="2" t="s">
        <v>2857</v>
      </c>
      <c r="F4280" s="2" t="s">
        <v>2858</v>
      </c>
      <c r="G4280" s="2" t="str">
        <f>"SR-444"</f>
        <v>SR-444</v>
      </c>
      <c r="H4280" s="2" t="s">
        <v>2859</v>
      </c>
      <c r="I4280" s="2" t="s">
        <v>2860</v>
      </c>
      <c r="K4280" s="2" t="s">
        <v>2861</v>
      </c>
      <c r="L4280" s="2" t="s">
        <v>149</v>
      </c>
      <c r="M4280" s="2">
        <v>46951.0</v>
      </c>
      <c r="N4280" s="2" t="s">
        <v>21</v>
      </c>
    </row>
    <row r="4281" ht="15.75" customHeight="1">
      <c r="A4281" s="2">
        <v>2015.0</v>
      </c>
      <c r="B4281" s="2" t="s">
        <v>19351</v>
      </c>
      <c r="C4281" s="2" t="s">
        <v>19357</v>
      </c>
      <c r="D4281" s="2" t="str">
        <f>"541-460-0925"</f>
        <v>541-460-0925</v>
      </c>
      <c r="E4281" s="2" t="s">
        <v>13657</v>
      </c>
      <c r="F4281" s="2" t="s">
        <v>11781</v>
      </c>
      <c r="G4281" s="2" t="str">
        <f>"SR-6036"</f>
        <v>SR-6036</v>
      </c>
      <c r="H4281" s="2" t="s">
        <v>19358</v>
      </c>
      <c r="I4281" s="2" t="s">
        <v>19355</v>
      </c>
      <c r="K4281" s="2" t="s">
        <v>19356</v>
      </c>
      <c r="L4281" s="2" t="s">
        <v>2389</v>
      </c>
      <c r="M4281" s="2">
        <v>97754.0</v>
      </c>
      <c r="N4281" s="2" t="s">
        <v>21</v>
      </c>
    </row>
    <row r="4282" ht="15.75" customHeight="1">
      <c r="A4282" s="2">
        <v>2015.0</v>
      </c>
      <c r="B4282" s="2" t="s">
        <v>8996</v>
      </c>
      <c r="C4282" s="2" t="s">
        <v>19359</v>
      </c>
      <c r="D4282" s="2" t="str">
        <f>"7195054662"</f>
        <v>7195054662</v>
      </c>
      <c r="E4282" s="2" t="s">
        <v>1000</v>
      </c>
      <c r="F4282" s="2" t="s">
        <v>429</v>
      </c>
      <c r="G4282" s="2" t="str">
        <f>"SR-6015"</f>
        <v>SR-6015</v>
      </c>
      <c r="H4282" s="2" t="s">
        <v>19360</v>
      </c>
      <c r="I4282" s="2">
        <v>1960.0</v>
      </c>
      <c r="K4282" s="2" t="s">
        <v>809</v>
      </c>
      <c r="L4282" s="2" t="s">
        <v>157</v>
      </c>
      <c r="M4282" s="2">
        <v>80921.0</v>
      </c>
      <c r="N4282" s="2" t="s">
        <v>21</v>
      </c>
    </row>
    <row r="4283" ht="15.75" customHeight="1">
      <c r="A4283" s="2">
        <v>2015.0</v>
      </c>
      <c r="B4283" s="2" t="s">
        <v>19361</v>
      </c>
      <c r="C4283" s="2" t="s">
        <v>19362</v>
      </c>
      <c r="D4283" s="2" t="str">
        <f>"214-264-9691"</f>
        <v>214-264-9691</v>
      </c>
      <c r="E4283" s="2" t="s">
        <v>931</v>
      </c>
      <c r="F4283" s="2" t="s">
        <v>19363</v>
      </c>
      <c r="G4283" s="2" t="str">
        <f>"SR-6040"</f>
        <v>SR-6040</v>
      </c>
      <c r="H4283" s="2" t="s">
        <v>19364</v>
      </c>
      <c r="I4283" s="2" t="s">
        <v>19365</v>
      </c>
      <c r="K4283" s="2" t="s">
        <v>19366</v>
      </c>
      <c r="L4283" s="2" t="s">
        <v>172</v>
      </c>
      <c r="M4283" s="2">
        <v>75032.0</v>
      </c>
      <c r="N4283" s="2" t="s">
        <v>21</v>
      </c>
    </row>
    <row r="4284" ht="15.75" customHeight="1">
      <c r="A4284" s="2">
        <v>2015.0</v>
      </c>
      <c r="B4284" s="2" t="s">
        <v>9508</v>
      </c>
      <c r="C4284" s="2" t="s">
        <v>19367</v>
      </c>
      <c r="D4284" s="2" t="str">
        <f>"8435991678"</f>
        <v>8435991678</v>
      </c>
      <c r="E4284" s="2" t="s">
        <v>9509</v>
      </c>
      <c r="F4284" s="2" t="s">
        <v>1511</v>
      </c>
      <c r="G4284" s="2" t="str">
        <f>"SR-5721"</f>
        <v>SR-5721</v>
      </c>
      <c r="H4284" s="2" t="s">
        <v>9510</v>
      </c>
      <c r="I4284" s="2" t="s">
        <v>19368</v>
      </c>
      <c r="K4284" s="2" t="s">
        <v>1514</v>
      </c>
      <c r="L4284" s="2" t="s">
        <v>55</v>
      </c>
      <c r="M4284" s="2">
        <v>29449.0</v>
      </c>
      <c r="N4284" s="2" t="s">
        <v>21</v>
      </c>
    </row>
    <row r="4285" ht="15.75" customHeight="1">
      <c r="A4285" s="2">
        <v>2015.0</v>
      </c>
      <c r="B4285" s="2" t="s">
        <v>19329</v>
      </c>
      <c r="C4285" s="2" t="s">
        <v>19369</v>
      </c>
      <c r="D4285" s="2" t="str">
        <f>"616-528-2297"</f>
        <v>616-528-2297</v>
      </c>
      <c r="E4285" s="2" t="s">
        <v>57</v>
      </c>
      <c r="F4285" s="2" t="s">
        <v>1929</v>
      </c>
      <c r="G4285" s="2" t="str">
        <f>"SR-6022"</f>
        <v>SR-6022</v>
      </c>
      <c r="H4285" s="2" t="s">
        <v>18744</v>
      </c>
      <c r="I4285" s="2" t="s">
        <v>19370</v>
      </c>
      <c r="K4285" s="2" t="s">
        <v>28</v>
      </c>
      <c r="L4285" s="2" t="s">
        <v>29</v>
      </c>
      <c r="M4285" s="2">
        <v>49301.0</v>
      </c>
      <c r="N4285" s="2" t="s">
        <v>21</v>
      </c>
    </row>
    <row r="4286" ht="15.75" customHeight="1">
      <c r="A4286" s="2">
        <v>2015.0</v>
      </c>
      <c r="B4286" s="2" t="s">
        <v>19371</v>
      </c>
      <c r="C4286" s="2" t="s">
        <v>19371</v>
      </c>
      <c r="D4286" s="2" t="str">
        <f>"5759565057"</f>
        <v>5759565057</v>
      </c>
      <c r="E4286" s="2" t="s">
        <v>1032</v>
      </c>
      <c r="F4286" s="2" t="s">
        <v>19372</v>
      </c>
      <c r="G4286" s="2" t="str">
        <f>"SR-5766"</f>
        <v>SR-5766</v>
      </c>
      <c r="H4286" s="2" t="s">
        <v>19373</v>
      </c>
      <c r="I4286" s="2" t="s">
        <v>19374</v>
      </c>
      <c r="K4286" s="2" t="s">
        <v>19375</v>
      </c>
      <c r="L4286" s="2" t="s">
        <v>789</v>
      </c>
      <c r="M4286" s="2">
        <v>88061.0</v>
      </c>
      <c r="N4286" s="2" t="s">
        <v>21</v>
      </c>
    </row>
    <row r="4287" ht="15.75" customHeight="1">
      <c r="A4287" s="2">
        <v>2015.0</v>
      </c>
      <c r="B4287" s="2" t="s">
        <v>19376</v>
      </c>
      <c r="C4287" s="2" t="s">
        <v>19376</v>
      </c>
      <c r="D4287" s="2" t="str">
        <f>"708469349"</f>
        <v>708469349</v>
      </c>
      <c r="E4287" s="2" t="s">
        <v>2361</v>
      </c>
      <c r="F4287" s="2" t="s">
        <v>19377</v>
      </c>
      <c r="G4287" s="2" t="str">
        <f>"SR-5919"</f>
        <v>SR-5919</v>
      </c>
      <c r="H4287" s="2" t="s">
        <v>19378</v>
      </c>
      <c r="I4287" s="2" t="s">
        <v>19379</v>
      </c>
      <c r="K4287" s="2" t="s">
        <v>9185</v>
      </c>
      <c r="L4287" s="2" t="s">
        <v>105</v>
      </c>
      <c r="M4287" s="2">
        <v>60525.0</v>
      </c>
      <c r="N4287" s="2" t="s">
        <v>21</v>
      </c>
    </row>
    <row r="4288" ht="15.75" customHeight="1">
      <c r="A4288" s="2">
        <v>2015.0</v>
      </c>
      <c r="B4288" s="2" t="s">
        <v>19380</v>
      </c>
      <c r="C4288" s="2" t="s">
        <v>19380</v>
      </c>
      <c r="D4288" s="2" t="str">
        <f>"8169038092"</f>
        <v>8169038092</v>
      </c>
      <c r="E4288" s="2" t="s">
        <v>3196</v>
      </c>
      <c r="F4288" s="2" t="s">
        <v>16749</v>
      </c>
      <c r="G4288" s="2" t="str">
        <f>"SR-5723"</f>
        <v>SR-5723</v>
      </c>
      <c r="H4288" s="2" t="s">
        <v>19381</v>
      </c>
      <c r="I4288" s="2" t="s">
        <v>19382</v>
      </c>
      <c r="K4288" s="2" t="s">
        <v>14870</v>
      </c>
      <c r="L4288" s="2" t="s">
        <v>214</v>
      </c>
      <c r="M4288" s="2">
        <v>64060.0</v>
      </c>
      <c r="N4288" s="2" t="s">
        <v>21</v>
      </c>
    </row>
    <row r="4289" ht="15.75" customHeight="1">
      <c r="A4289" s="2">
        <v>2015.0</v>
      </c>
      <c r="B4289" s="2" t="s">
        <v>19383</v>
      </c>
      <c r="C4289" s="2" t="s">
        <v>19384</v>
      </c>
      <c r="D4289" s="2" t="str">
        <f>"4066961914"</f>
        <v>4066961914</v>
      </c>
      <c r="E4289" s="2" t="s">
        <v>15</v>
      </c>
      <c r="F4289" s="2" t="s">
        <v>2174</v>
      </c>
      <c r="G4289" s="2" t="str">
        <f>"SR-6006"</f>
        <v>SR-6006</v>
      </c>
      <c r="H4289" s="2" t="s">
        <v>19385</v>
      </c>
      <c r="I4289" s="2" t="s">
        <v>19386</v>
      </c>
      <c r="K4289" s="2" t="s">
        <v>3548</v>
      </c>
      <c r="L4289" s="2" t="s">
        <v>2696</v>
      </c>
      <c r="M4289" s="2">
        <v>59106.0</v>
      </c>
      <c r="N4289" s="2" t="s">
        <v>21</v>
      </c>
    </row>
    <row r="4290" ht="15.75" customHeight="1">
      <c r="A4290" s="2">
        <v>2015.0</v>
      </c>
      <c r="B4290" s="2" t="s">
        <v>19387</v>
      </c>
      <c r="C4290" s="2" t="s">
        <v>19388</v>
      </c>
      <c r="D4290" s="2" t="str">
        <f>"210-367-7262"</f>
        <v>210-367-7262</v>
      </c>
      <c r="E4290" s="2" t="s">
        <v>9828</v>
      </c>
      <c r="F4290" s="2" t="s">
        <v>108</v>
      </c>
      <c r="G4290" s="2" t="str">
        <f>"SR-6018"</f>
        <v>SR-6018</v>
      </c>
      <c r="H4290" s="2" t="s">
        <v>19389</v>
      </c>
      <c r="I4290" s="2" t="s">
        <v>19390</v>
      </c>
      <c r="K4290" s="2" t="s">
        <v>632</v>
      </c>
      <c r="L4290" s="2" t="s">
        <v>172</v>
      </c>
      <c r="M4290" s="2">
        <v>78258.0</v>
      </c>
      <c r="N4290" s="2" t="s">
        <v>21</v>
      </c>
    </row>
    <row r="4291" ht="15.75" customHeight="1">
      <c r="A4291" s="2">
        <v>2015.0</v>
      </c>
      <c r="B4291" s="2" t="s">
        <v>19391</v>
      </c>
      <c r="C4291" s="2" t="s">
        <v>19392</v>
      </c>
      <c r="D4291" s="2" t="str">
        <f>"312-485-3153"</f>
        <v>312-485-3153</v>
      </c>
      <c r="E4291" s="2" t="s">
        <v>19393</v>
      </c>
      <c r="F4291" s="2" t="s">
        <v>19394</v>
      </c>
      <c r="G4291" s="2" t="str">
        <f>"SR-6047"</f>
        <v>SR-6047</v>
      </c>
      <c r="H4291" s="2" t="s">
        <v>19395</v>
      </c>
      <c r="I4291" s="2" t="s">
        <v>19396</v>
      </c>
      <c r="K4291" s="2" t="s">
        <v>19397</v>
      </c>
      <c r="L4291" s="2" t="s">
        <v>105</v>
      </c>
      <c r="M4291" s="2">
        <v>60513.0</v>
      </c>
      <c r="N4291" s="2" t="s">
        <v>21</v>
      </c>
    </row>
    <row r="4292" ht="15.75" customHeight="1">
      <c r="A4292" s="2">
        <v>2015.0</v>
      </c>
      <c r="B4292" s="2" t="s">
        <v>19398</v>
      </c>
      <c r="C4292" s="2" t="s">
        <v>19399</v>
      </c>
      <c r="D4292" s="2" t="str">
        <f>"9109870396"</f>
        <v>9109870396</v>
      </c>
      <c r="E4292" s="2" t="s">
        <v>651</v>
      </c>
      <c r="F4292" s="2" t="s">
        <v>19400</v>
      </c>
      <c r="G4292" s="2" t="str">
        <f>"SR-5975"</f>
        <v>SR-5975</v>
      </c>
      <c r="H4292" s="2" t="s">
        <v>19401</v>
      </c>
      <c r="I4292" s="2" t="s">
        <v>19402</v>
      </c>
      <c r="K4292" s="2" t="s">
        <v>4279</v>
      </c>
      <c r="L4292" s="2" t="s">
        <v>172</v>
      </c>
      <c r="M4292" s="2">
        <v>76904.0</v>
      </c>
      <c r="N4292" s="2" t="s">
        <v>21</v>
      </c>
    </row>
    <row r="4293" ht="15.75" customHeight="1">
      <c r="A4293" s="2">
        <v>2015.0</v>
      </c>
      <c r="B4293" s="2" t="s">
        <v>10485</v>
      </c>
      <c r="C4293" s="2" t="s">
        <v>10486</v>
      </c>
      <c r="D4293" s="2" t="str">
        <f>"8043700564"</f>
        <v>8043700564</v>
      </c>
      <c r="E4293" s="2" t="s">
        <v>167</v>
      </c>
      <c r="F4293" s="2" t="s">
        <v>10487</v>
      </c>
      <c r="G4293" s="2" t="str">
        <f>"SR-2438"</f>
        <v>SR-2438</v>
      </c>
      <c r="H4293" s="2" t="s">
        <v>10488</v>
      </c>
      <c r="I4293" s="2" t="s">
        <v>10489</v>
      </c>
      <c r="K4293" s="2" t="s">
        <v>10490</v>
      </c>
      <c r="L4293" s="2" t="s">
        <v>165</v>
      </c>
      <c r="M4293" s="2">
        <v>23111.0</v>
      </c>
      <c r="N4293" s="2" t="s">
        <v>21</v>
      </c>
    </row>
    <row r="4294" ht="15.75" customHeight="1">
      <c r="A4294" s="2">
        <v>2015.0</v>
      </c>
      <c r="B4294" s="2" t="s">
        <v>19403</v>
      </c>
      <c r="C4294" s="2" t="s">
        <v>19403</v>
      </c>
      <c r="D4294" s="2" t="str">
        <f>"570-463-5481"</f>
        <v>570-463-5481</v>
      </c>
      <c r="E4294" s="2" t="s">
        <v>17971</v>
      </c>
      <c r="F4294" s="2" t="s">
        <v>19404</v>
      </c>
      <c r="G4294" s="2" t="str">
        <f>"SR-6050"</f>
        <v>SR-6050</v>
      </c>
      <c r="H4294" s="2" t="s">
        <v>19405</v>
      </c>
      <c r="I4294" s="2" t="s">
        <v>19406</v>
      </c>
      <c r="K4294" s="2" t="s">
        <v>19407</v>
      </c>
      <c r="L4294" s="2" t="s">
        <v>179</v>
      </c>
      <c r="M4294" s="2">
        <v>18837.0</v>
      </c>
      <c r="N4294" s="2" t="s">
        <v>21</v>
      </c>
    </row>
    <row r="4295" ht="15.75" customHeight="1">
      <c r="A4295" s="2">
        <v>2015.0</v>
      </c>
      <c r="B4295" s="2" t="s">
        <v>19408</v>
      </c>
      <c r="C4295" s="2" t="s">
        <v>19408</v>
      </c>
      <c r="D4295" s="2" t="str">
        <f>"9727233135"</f>
        <v>9727233135</v>
      </c>
      <c r="E4295" s="2" t="s">
        <v>1051</v>
      </c>
      <c r="F4295" s="2" t="s">
        <v>4276</v>
      </c>
      <c r="G4295" s="2" t="str">
        <f>"SR-6052"</f>
        <v>SR-6052</v>
      </c>
      <c r="H4295" s="2" t="s">
        <v>19409</v>
      </c>
      <c r="I4295" s="2" t="s">
        <v>19410</v>
      </c>
      <c r="K4295" s="2" t="s">
        <v>11179</v>
      </c>
      <c r="L4295" s="2" t="s">
        <v>172</v>
      </c>
      <c r="M4295" s="2">
        <v>76065.0</v>
      </c>
      <c r="N4295" s="2" t="s">
        <v>21</v>
      </c>
    </row>
    <row r="4296" ht="15.75" customHeight="1">
      <c r="A4296" s="2">
        <v>2015.0</v>
      </c>
      <c r="B4296" s="2" t="s">
        <v>19411</v>
      </c>
      <c r="C4296" s="2" t="s">
        <v>19412</v>
      </c>
      <c r="D4296" s="2" t="str">
        <f>"989-731-0625"</f>
        <v>989-731-0625</v>
      </c>
      <c r="E4296" s="2" t="s">
        <v>5760</v>
      </c>
      <c r="F4296" s="2" t="s">
        <v>1001</v>
      </c>
      <c r="G4296" s="2" t="str">
        <f>"SR-6043"</f>
        <v>SR-6043</v>
      </c>
      <c r="H4296" s="2" t="s">
        <v>19413</v>
      </c>
      <c r="I4296" s="2" t="s">
        <v>19414</v>
      </c>
      <c r="K4296" s="2" t="s">
        <v>8062</v>
      </c>
      <c r="L4296" s="2" t="s">
        <v>29</v>
      </c>
      <c r="M4296" s="2">
        <v>49734.0</v>
      </c>
      <c r="N4296" s="2" t="s">
        <v>21</v>
      </c>
    </row>
    <row r="4297" ht="15.75" customHeight="1">
      <c r="A4297" s="2">
        <v>2015.0</v>
      </c>
      <c r="B4297" s="2" t="s">
        <v>19411</v>
      </c>
      <c r="D4297" s="2" t="str">
        <f>""</f>
        <v/>
      </c>
      <c r="E4297" s="2" t="s">
        <v>1782</v>
      </c>
      <c r="F4297" s="2" t="s">
        <v>1001</v>
      </c>
      <c r="G4297" s="2" t="str">
        <f>"SR-5831"</f>
        <v>SR-5831</v>
      </c>
      <c r="H4297" s="2" t="s">
        <v>19415</v>
      </c>
      <c r="N4297" s="2" t="s">
        <v>21</v>
      </c>
    </row>
    <row r="4298" ht="15.75" customHeight="1">
      <c r="A4298" s="2">
        <v>2015.0</v>
      </c>
      <c r="B4298" s="2" t="s">
        <v>19416</v>
      </c>
      <c r="C4298" s="2" t="s">
        <v>19416</v>
      </c>
      <c r="D4298" s="2" t="str">
        <f>"5702472505"</f>
        <v>5702472505</v>
      </c>
      <c r="E4298" s="2" t="s">
        <v>485</v>
      </c>
      <c r="F4298" s="2" t="s">
        <v>19404</v>
      </c>
      <c r="G4298" s="2" t="str">
        <f>"SR-6041"</f>
        <v>SR-6041</v>
      </c>
      <c r="H4298" s="2" t="s">
        <v>19417</v>
      </c>
      <c r="I4298" s="2" t="s">
        <v>19418</v>
      </c>
      <c r="K4298" s="2" t="s">
        <v>19407</v>
      </c>
      <c r="L4298" s="2" t="s">
        <v>179</v>
      </c>
      <c r="M4298" s="2">
        <v>18837.0</v>
      </c>
      <c r="N4298" s="2" t="s">
        <v>21</v>
      </c>
    </row>
    <row r="4299" ht="15.75" customHeight="1">
      <c r="A4299" s="2">
        <v>2015.0</v>
      </c>
      <c r="B4299" s="2" t="s">
        <v>19419</v>
      </c>
      <c r="C4299" s="2" t="s">
        <v>19420</v>
      </c>
      <c r="D4299" s="2" t="str">
        <f>"360-513-6518"</f>
        <v>360-513-6518</v>
      </c>
      <c r="E4299" s="2" t="s">
        <v>12491</v>
      </c>
      <c r="F4299" s="2" t="s">
        <v>7724</v>
      </c>
      <c r="G4299" s="2" t="str">
        <f>"SR-6053"</f>
        <v>SR-6053</v>
      </c>
      <c r="H4299" s="2" t="s">
        <v>19421</v>
      </c>
      <c r="I4299" s="2" t="s">
        <v>19422</v>
      </c>
      <c r="K4299" s="2" t="s">
        <v>13145</v>
      </c>
      <c r="L4299" s="2" t="s">
        <v>86</v>
      </c>
      <c r="M4299" s="2">
        <v>98664.0</v>
      </c>
      <c r="N4299" s="2" t="s">
        <v>21</v>
      </c>
    </row>
    <row r="4300" ht="15.75" customHeight="1">
      <c r="A4300" s="2">
        <v>2015.0</v>
      </c>
      <c r="B4300" s="2" t="s">
        <v>19423</v>
      </c>
      <c r="C4300" s="2" t="s">
        <v>19424</v>
      </c>
      <c r="D4300" s="2" t="str">
        <f>"(360)263-2215"</f>
        <v>(360)263-2215</v>
      </c>
      <c r="E4300" s="2" t="s">
        <v>10350</v>
      </c>
      <c r="F4300" s="2" t="s">
        <v>6869</v>
      </c>
      <c r="G4300" s="2" t="str">
        <f>"SR-6021"</f>
        <v>SR-6021</v>
      </c>
      <c r="H4300" s="2" t="s">
        <v>19425</v>
      </c>
      <c r="I4300" s="2" t="s">
        <v>19426</v>
      </c>
      <c r="K4300" s="2" t="s">
        <v>19427</v>
      </c>
      <c r="L4300" s="2" t="s">
        <v>86</v>
      </c>
      <c r="M4300" s="2">
        <v>98629.0</v>
      </c>
      <c r="N4300" s="2" t="s">
        <v>21</v>
      </c>
    </row>
    <row r="4301" ht="15.75" customHeight="1">
      <c r="A4301" s="2">
        <v>2015.0</v>
      </c>
      <c r="B4301" s="2" t="s">
        <v>19428</v>
      </c>
      <c r="C4301" s="2" t="s">
        <v>19429</v>
      </c>
      <c r="D4301" s="2" t="str">
        <f>"7153843923"</f>
        <v>7153843923</v>
      </c>
      <c r="E4301" s="2" t="s">
        <v>456</v>
      </c>
      <c r="F4301" s="2" t="s">
        <v>5767</v>
      </c>
      <c r="G4301" s="2" t="str">
        <f>"SR-6057"</f>
        <v>SR-6057</v>
      </c>
      <c r="H4301" s="2" t="s">
        <v>19430</v>
      </c>
      <c r="I4301" s="2" t="s">
        <v>19431</v>
      </c>
      <c r="K4301" s="2" t="s">
        <v>669</v>
      </c>
      <c r="L4301" s="2" t="s">
        <v>193</v>
      </c>
      <c r="M4301" s="2">
        <v>54449.0</v>
      </c>
      <c r="N4301" s="2" t="s">
        <v>21</v>
      </c>
    </row>
    <row r="4302" ht="15.75" customHeight="1">
      <c r="A4302" s="2">
        <v>2015.0</v>
      </c>
      <c r="B4302" s="2" t="s">
        <v>19432</v>
      </c>
      <c r="C4302" s="2" t="s">
        <v>19433</v>
      </c>
      <c r="D4302" s="2" t="str">
        <f>"574-304-5266"</f>
        <v>574-304-5266</v>
      </c>
      <c r="E4302" s="2" t="s">
        <v>1197</v>
      </c>
      <c r="F4302" s="2" t="s">
        <v>19434</v>
      </c>
      <c r="G4302" s="2" t="str">
        <f>"SR-5883"</f>
        <v>SR-5883</v>
      </c>
      <c r="H4302" s="2" t="s">
        <v>19435</v>
      </c>
      <c r="I4302" s="2" t="s">
        <v>19436</v>
      </c>
      <c r="K4302" s="2" t="s">
        <v>19437</v>
      </c>
      <c r="L4302" s="2" t="s">
        <v>29</v>
      </c>
      <c r="M4302" s="2">
        <v>49031.0</v>
      </c>
      <c r="N4302" s="2" t="s">
        <v>21</v>
      </c>
    </row>
    <row r="4303" ht="15.75" customHeight="1">
      <c r="A4303" s="2">
        <v>2015.0</v>
      </c>
      <c r="B4303" s="2" t="s">
        <v>19438</v>
      </c>
      <c r="C4303" s="2" t="s">
        <v>19439</v>
      </c>
      <c r="D4303" s="2" t="str">
        <f>"3004006973"</f>
        <v>3004006973</v>
      </c>
      <c r="E4303" s="2" t="s">
        <v>590</v>
      </c>
      <c r="F4303" s="2" t="s">
        <v>1040</v>
      </c>
      <c r="G4303" s="2" t="str">
        <f>"SR-4164"</f>
        <v>SR-4164</v>
      </c>
      <c r="H4303" s="2" t="s">
        <v>19440</v>
      </c>
      <c r="I4303" s="2" t="s">
        <v>19441</v>
      </c>
      <c r="K4303" s="2" t="s">
        <v>19442</v>
      </c>
      <c r="L4303" s="2" t="s">
        <v>344</v>
      </c>
      <c r="M4303" s="2">
        <v>44203.0</v>
      </c>
      <c r="N4303" s="2" t="s">
        <v>21</v>
      </c>
    </row>
    <row r="4304" ht="15.75" customHeight="1">
      <c r="A4304" s="2">
        <v>2015.0</v>
      </c>
      <c r="B4304" s="2" t="s">
        <v>19443</v>
      </c>
      <c r="C4304" s="2" t="s">
        <v>19444</v>
      </c>
      <c r="D4304" s="2" t="str">
        <f>"505-967-5290"</f>
        <v>505-967-5290</v>
      </c>
      <c r="E4304" s="2" t="s">
        <v>386</v>
      </c>
      <c r="F4304" s="2" t="s">
        <v>793</v>
      </c>
      <c r="G4304" s="2" t="str">
        <f>"SR-5682"</f>
        <v>SR-5682</v>
      </c>
      <c r="H4304" s="2" t="s">
        <v>19445</v>
      </c>
      <c r="I4304" s="2" t="s">
        <v>19446</v>
      </c>
      <c r="K4304" s="2" t="s">
        <v>3803</v>
      </c>
      <c r="L4304" s="2" t="s">
        <v>789</v>
      </c>
      <c r="M4304" s="2">
        <v>87144.0</v>
      </c>
      <c r="N4304" s="2" t="s">
        <v>21</v>
      </c>
    </row>
    <row r="4305" ht="15.75" customHeight="1">
      <c r="A4305" s="2">
        <v>2015.0</v>
      </c>
      <c r="B4305" s="2" t="s">
        <v>19447</v>
      </c>
      <c r="C4305" s="2" t="s">
        <v>19448</v>
      </c>
      <c r="D4305" s="2" t="str">
        <f>"3168302356"</f>
        <v>3168302356</v>
      </c>
      <c r="E4305" s="2" t="s">
        <v>503</v>
      </c>
      <c r="F4305" s="2" t="s">
        <v>13690</v>
      </c>
      <c r="G4305" s="2" t="str">
        <f>"SR-6060"</f>
        <v>SR-6060</v>
      </c>
      <c r="H4305" s="2" t="s">
        <v>19449</v>
      </c>
      <c r="I4305" s="2" t="s">
        <v>19450</v>
      </c>
      <c r="K4305" s="2" t="s">
        <v>19451</v>
      </c>
      <c r="L4305" s="2" t="s">
        <v>272</v>
      </c>
      <c r="M4305" s="2">
        <v>67056.0</v>
      </c>
      <c r="N4305" s="2" t="s">
        <v>21</v>
      </c>
    </row>
    <row r="4306" ht="15.75" customHeight="1">
      <c r="A4306" s="2">
        <v>2015.0</v>
      </c>
      <c r="B4306" s="2" t="s">
        <v>19452</v>
      </c>
      <c r="C4306" s="2" t="s">
        <v>19452</v>
      </c>
      <c r="D4306" s="2" t="str">
        <f>"4794264727"</f>
        <v>4794264727</v>
      </c>
      <c r="E4306" s="2" t="s">
        <v>1400</v>
      </c>
      <c r="F4306" s="2" t="s">
        <v>19453</v>
      </c>
      <c r="G4306" s="2" t="str">
        <f>"SR-5954"</f>
        <v>SR-5954</v>
      </c>
      <c r="H4306" s="2" t="s">
        <v>19454</v>
      </c>
      <c r="I4306" s="2" t="s">
        <v>19455</v>
      </c>
      <c r="K4306" s="2" t="s">
        <v>14029</v>
      </c>
      <c r="L4306" s="2" t="s">
        <v>1868</v>
      </c>
      <c r="M4306" s="2">
        <v>21412.0</v>
      </c>
      <c r="N4306" s="2" t="s">
        <v>21</v>
      </c>
    </row>
    <row r="4307" ht="15.75" customHeight="1">
      <c r="A4307" s="2">
        <v>2015.0</v>
      </c>
      <c r="B4307" s="2" t="s">
        <v>19456</v>
      </c>
      <c r="C4307" s="2" t="s">
        <v>19457</v>
      </c>
      <c r="D4307" s="2" t="str">
        <f>"2086612171"</f>
        <v>2086612171</v>
      </c>
      <c r="E4307" s="2" t="s">
        <v>19458</v>
      </c>
      <c r="F4307" s="2" t="s">
        <v>19459</v>
      </c>
      <c r="G4307" s="2" t="str">
        <f>"SR-6049"</f>
        <v>SR-6049</v>
      </c>
      <c r="H4307" s="2" t="s">
        <v>19460</v>
      </c>
      <c r="I4307" s="2" t="s">
        <v>19461</v>
      </c>
      <c r="K4307" s="2" t="s">
        <v>19462</v>
      </c>
      <c r="L4307" s="2" t="s">
        <v>2613</v>
      </c>
      <c r="M4307" s="2">
        <v>83814.0</v>
      </c>
      <c r="N4307" s="2" t="s">
        <v>21</v>
      </c>
    </row>
    <row r="4308" ht="15.75" customHeight="1">
      <c r="A4308" s="2">
        <v>2015.0</v>
      </c>
      <c r="B4308" s="2" t="s">
        <v>9395</v>
      </c>
      <c r="C4308" s="2" t="s">
        <v>19463</v>
      </c>
      <c r="D4308" s="2" t="str">
        <f>"6478923734"</f>
        <v>6478923734</v>
      </c>
      <c r="E4308" s="2" t="s">
        <v>19464</v>
      </c>
      <c r="F4308" s="2" t="s">
        <v>9398</v>
      </c>
      <c r="G4308" s="2" t="str">
        <f>"SR-5618"</f>
        <v>SR-5618</v>
      </c>
      <c r="H4308" s="2" t="s">
        <v>19465</v>
      </c>
      <c r="I4308" s="2" t="s">
        <v>19466</v>
      </c>
      <c r="K4308" s="2" t="s">
        <v>19467</v>
      </c>
      <c r="L4308" s="2" t="s">
        <v>2022</v>
      </c>
      <c r="M4308" s="2" t="s">
        <v>19468</v>
      </c>
      <c r="N4308" s="2" t="s">
        <v>1602</v>
      </c>
    </row>
    <row r="4309" ht="15.75" customHeight="1">
      <c r="A4309" s="2">
        <v>2015.0</v>
      </c>
      <c r="B4309" s="2" t="s">
        <v>19469</v>
      </c>
      <c r="C4309" s="2" t="s">
        <v>19469</v>
      </c>
      <c r="D4309" s="2" t="str">
        <f>"505-892-7789"</f>
        <v>505-892-7789</v>
      </c>
      <c r="E4309" s="2" t="s">
        <v>580</v>
      </c>
      <c r="F4309" s="2" t="s">
        <v>19470</v>
      </c>
      <c r="G4309" s="2" t="str">
        <f>"SR-6067"</f>
        <v>SR-6067</v>
      </c>
      <c r="H4309" s="2" t="s">
        <v>19471</v>
      </c>
      <c r="I4309" s="2" t="s">
        <v>19472</v>
      </c>
      <c r="K4309" s="2" t="s">
        <v>3803</v>
      </c>
      <c r="L4309" s="2" t="s">
        <v>789</v>
      </c>
      <c r="M4309" s="2">
        <v>87124.0</v>
      </c>
      <c r="N4309" s="2" t="s">
        <v>21</v>
      </c>
    </row>
    <row r="4310" ht="15.75" customHeight="1">
      <c r="A4310" s="2">
        <v>2015.0</v>
      </c>
      <c r="B4310" s="2" t="s">
        <v>5780</v>
      </c>
      <c r="C4310" s="2" t="s">
        <v>19473</v>
      </c>
      <c r="D4310" s="2" t="str">
        <f>"336-499-4584"</f>
        <v>336-499-4584</v>
      </c>
      <c r="E4310" s="2" t="s">
        <v>6170</v>
      </c>
      <c r="F4310" s="2" t="s">
        <v>1859</v>
      </c>
      <c r="G4310" s="2" t="str">
        <f>"SR-6011"</f>
        <v>SR-6011</v>
      </c>
      <c r="H4310" s="2" t="s">
        <v>19474</v>
      </c>
      <c r="I4310" s="2" t="s">
        <v>5782</v>
      </c>
      <c r="K4310" s="2" t="s">
        <v>4174</v>
      </c>
      <c r="L4310" s="2" t="s">
        <v>20</v>
      </c>
      <c r="M4310" s="2">
        <v>27023.0</v>
      </c>
      <c r="N4310" s="2" t="s">
        <v>21</v>
      </c>
    </row>
    <row r="4311" ht="15.75" customHeight="1">
      <c r="A4311" s="2">
        <v>2015.0</v>
      </c>
      <c r="B4311" s="2" t="s">
        <v>19475</v>
      </c>
      <c r="C4311" s="2" t="s">
        <v>19475</v>
      </c>
      <c r="D4311" s="2" t="str">
        <f>"(919) 830-3113"</f>
        <v>(919) 830-3113</v>
      </c>
      <c r="E4311" s="2" t="s">
        <v>7754</v>
      </c>
      <c r="F4311" s="2" t="s">
        <v>283</v>
      </c>
      <c r="G4311" s="2" t="str">
        <f>"SR-4742"</f>
        <v>SR-4742</v>
      </c>
      <c r="H4311" s="2" t="s">
        <v>19476</v>
      </c>
      <c r="I4311" s="2" t="s">
        <v>19477</v>
      </c>
      <c r="K4311" s="2" t="s">
        <v>7993</v>
      </c>
      <c r="L4311" s="2" t="s">
        <v>20</v>
      </c>
      <c r="M4311" s="2">
        <v>27613.0</v>
      </c>
      <c r="N4311" s="2" t="s">
        <v>21</v>
      </c>
    </row>
    <row r="4312" ht="15.75" customHeight="1">
      <c r="A4312" s="2">
        <v>2015.0</v>
      </c>
      <c r="B4312" s="2" t="s">
        <v>19478</v>
      </c>
      <c r="C4312" s="2" t="s">
        <v>19478</v>
      </c>
      <c r="D4312" s="2" t="str">
        <f>"920-215-0641"</f>
        <v>920-215-0641</v>
      </c>
      <c r="E4312" s="2" t="s">
        <v>288</v>
      </c>
      <c r="F4312" s="2" t="s">
        <v>3561</v>
      </c>
      <c r="G4312" s="2" t="str">
        <f>"SR-5482"</f>
        <v>SR-5482</v>
      </c>
      <c r="H4312" s="2" t="s">
        <v>19479</v>
      </c>
      <c r="I4312" s="2" t="s">
        <v>19480</v>
      </c>
      <c r="K4312" s="2" t="s">
        <v>19481</v>
      </c>
      <c r="L4312" s="2" t="s">
        <v>193</v>
      </c>
      <c r="M4312" s="2">
        <v>54956.0</v>
      </c>
      <c r="N4312" s="2" t="s">
        <v>21</v>
      </c>
    </row>
    <row r="4313" ht="15.75" customHeight="1">
      <c r="A4313" s="2">
        <v>2015.0</v>
      </c>
      <c r="B4313" s="2" t="s">
        <v>19482</v>
      </c>
      <c r="C4313" s="2" t="s">
        <v>19482</v>
      </c>
      <c r="D4313" s="2" t="str">
        <f>"406-539-8828"</f>
        <v>406-539-8828</v>
      </c>
      <c r="E4313" s="2" t="s">
        <v>19483</v>
      </c>
      <c r="F4313" s="2" t="s">
        <v>1648</v>
      </c>
      <c r="G4313" s="2" t="str">
        <f>"SR-6028"</f>
        <v>SR-6028</v>
      </c>
      <c r="H4313" s="2" t="s">
        <v>19484</v>
      </c>
      <c r="I4313" s="2" t="s">
        <v>19485</v>
      </c>
      <c r="K4313" s="2" t="s">
        <v>2868</v>
      </c>
      <c r="L4313" s="2" t="s">
        <v>2696</v>
      </c>
      <c r="M4313" s="2">
        <v>59745.0</v>
      </c>
      <c r="N4313" s="2" t="s">
        <v>21</v>
      </c>
    </row>
    <row r="4314" ht="15.75" customHeight="1">
      <c r="A4314" s="2">
        <v>2015.0</v>
      </c>
      <c r="B4314" s="2" t="s">
        <v>14580</v>
      </c>
      <c r="C4314" s="2" t="s">
        <v>14580</v>
      </c>
      <c r="D4314" s="2" t="str">
        <f>"8314192782"</f>
        <v>8314192782</v>
      </c>
      <c r="E4314" s="2" t="s">
        <v>4990</v>
      </c>
      <c r="F4314" s="2" t="s">
        <v>1263</v>
      </c>
      <c r="G4314" s="2" t="str">
        <f>"SR-3801"</f>
        <v>SR-3801</v>
      </c>
      <c r="H4314" s="2" t="s">
        <v>14581</v>
      </c>
      <c r="I4314" s="2" t="s">
        <v>14582</v>
      </c>
      <c r="K4314" s="2" t="s">
        <v>14583</v>
      </c>
      <c r="L4314" s="2" t="s">
        <v>172</v>
      </c>
      <c r="M4314" s="2">
        <v>75019.0</v>
      </c>
      <c r="N4314" s="2" t="s">
        <v>21</v>
      </c>
    </row>
    <row r="4315" ht="15.75" customHeight="1">
      <c r="A4315" s="2">
        <v>2015.0</v>
      </c>
      <c r="B4315" s="2" t="s">
        <v>19486</v>
      </c>
      <c r="D4315" s="2" t="str">
        <f>""</f>
        <v/>
      </c>
      <c r="E4315" s="2" t="s">
        <v>261</v>
      </c>
      <c r="F4315" s="2" t="s">
        <v>3842</v>
      </c>
      <c r="G4315" s="2" t="str">
        <f>"SR-4716"</f>
        <v>SR-4716</v>
      </c>
      <c r="H4315" s="2" t="s">
        <v>19487</v>
      </c>
      <c r="N4315" s="2" t="s">
        <v>21</v>
      </c>
    </row>
    <row r="4316" ht="15.75" customHeight="1">
      <c r="A4316" s="2">
        <v>2015.0</v>
      </c>
      <c r="B4316" s="2" t="s">
        <v>19486</v>
      </c>
      <c r="C4316" s="2" t="s">
        <v>19486</v>
      </c>
      <c r="D4316" s="2" t="str">
        <f>"2814920227"</f>
        <v>2814920227</v>
      </c>
      <c r="E4316" s="2" t="s">
        <v>301</v>
      </c>
      <c r="F4316" s="2" t="s">
        <v>3842</v>
      </c>
      <c r="G4316" s="2" t="str">
        <f>"SR-6075"</f>
        <v>SR-6075</v>
      </c>
      <c r="H4316" s="2" t="s">
        <v>19488</v>
      </c>
      <c r="I4316" s="2" t="s">
        <v>19489</v>
      </c>
      <c r="K4316" s="2" t="s">
        <v>6499</v>
      </c>
      <c r="L4316" s="2" t="s">
        <v>172</v>
      </c>
      <c r="M4316" s="2">
        <v>77450.0</v>
      </c>
      <c r="N4316" s="2" t="s">
        <v>21</v>
      </c>
    </row>
    <row r="4317" ht="15.75" customHeight="1">
      <c r="A4317" s="2">
        <v>2015.0</v>
      </c>
      <c r="B4317" s="2" t="s">
        <v>19490</v>
      </c>
      <c r="C4317" s="2" t="s">
        <v>19491</v>
      </c>
      <c r="D4317" s="2" t="str">
        <f>"9137826069"</f>
        <v>9137826069</v>
      </c>
      <c r="E4317" s="2" t="s">
        <v>19492</v>
      </c>
      <c r="F4317" s="2" t="s">
        <v>2954</v>
      </c>
      <c r="G4317" s="2" t="str">
        <f>"SR-6004"</f>
        <v>SR-6004</v>
      </c>
      <c r="H4317" s="2" t="s">
        <v>19493</v>
      </c>
      <c r="I4317" s="2" t="s">
        <v>19494</v>
      </c>
      <c r="K4317" s="2" t="s">
        <v>1067</v>
      </c>
      <c r="L4317" s="2" t="s">
        <v>272</v>
      </c>
      <c r="M4317" s="2">
        <v>66062.0</v>
      </c>
      <c r="N4317" s="2" t="s">
        <v>21</v>
      </c>
    </row>
    <row r="4318" ht="15.75" customHeight="1">
      <c r="A4318" s="2">
        <v>2015.0</v>
      </c>
      <c r="B4318" s="2" t="s">
        <v>19495</v>
      </c>
      <c r="C4318" s="2" t="s">
        <v>19495</v>
      </c>
      <c r="D4318" s="2" t="str">
        <f>"4066949149"</f>
        <v>4066949149</v>
      </c>
      <c r="E4318" s="2" t="s">
        <v>2162</v>
      </c>
      <c r="F4318" s="2" t="s">
        <v>984</v>
      </c>
      <c r="G4318" s="2" t="str">
        <f>"SR-5912"</f>
        <v>SR-5912</v>
      </c>
      <c r="H4318" s="2" t="s">
        <v>19496</v>
      </c>
      <c r="I4318" s="2" t="s">
        <v>19497</v>
      </c>
      <c r="K4318" s="2" t="s">
        <v>3548</v>
      </c>
      <c r="L4318" s="2" t="s">
        <v>2696</v>
      </c>
      <c r="M4318" s="2">
        <v>59105.0</v>
      </c>
      <c r="N4318" s="2" t="s">
        <v>21</v>
      </c>
    </row>
    <row r="4319" ht="15.75" customHeight="1">
      <c r="A4319" s="2">
        <v>2015.0</v>
      </c>
      <c r="B4319" s="2" t="s">
        <v>19498</v>
      </c>
      <c r="C4319" s="2" t="s">
        <v>19499</v>
      </c>
      <c r="D4319" s="2" t="str">
        <f>"620-779-3872"</f>
        <v>620-779-3872</v>
      </c>
      <c r="E4319" s="2" t="s">
        <v>19500</v>
      </c>
      <c r="F4319" s="2" t="s">
        <v>19501</v>
      </c>
      <c r="G4319" s="2" t="str">
        <f>"SR-6056"</f>
        <v>SR-6056</v>
      </c>
      <c r="H4319" s="2" t="s">
        <v>19502</v>
      </c>
      <c r="I4319" s="2" t="s">
        <v>19503</v>
      </c>
      <c r="K4319" s="2" t="s">
        <v>19504</v>
      </c>
      <c r="L4319" s="2" t="s">
        <v>272</v>
      </c>
      <c r="M4319" s="2">
        <v>67301.0</v>
      </c>
      <c r="N4319" s="2" t="s">
        <v>21</v>
      </c>
    </row>
    <row r="4320" ht="15.75" customHeight="1">
      <c r="A4320" s="2">
        <v>2015.0</v>
      </c>
      <c r="B4320" s="2" t="s">
        <v>19505</v>
      </c>
      <c r="C4320" s="2" t="s">
        <v>19506</v>
      </c>
      <c r="D4320" s="2" t="str">
        <f>"3609036541"</f>
        <v>3609036541</v>
      </c>
      <c r="E4320" s="2" t="s">
        <v>24</v>
      </c>
      <c r="F4320" s="2" t="s">
        <v>2598</v>
      </c>
      <c r="G4320" s="2" t="str">
        <f>"SR-6079"</f>
        <v>SR-6079</v>
      </c>
      <c r="H4320" s="2" t="s">
        <v>19507</v>
      </c>
      <c r="I4320" s="2" t="s">
        <v>19508</v>
      </c>
      <c r="K4320" s="2" t="s">
        <v>2828</v>
      </c>
      <c r="L4320" s="2" t="s">
        <v>2389</v>
      </c>
      <c r="M4320" s="2">
        <v>97215.0</v>
      </c>
      <c r="N4320" s="2" t="s">
        <v>21</v>
      </c>
    </row>
    <row r="4321" ht="15.75" customHeight="1">
      <c r="A4321" s="2">
        <v>2015.0</v>
      </c>
      <c r="B4321" s="2" t="s">
        <v>19509</v>
      </c>
      <c r="C4321" s="2" t="s">
        <v>19510</v>
      </c>
      <c r="D4321" s="2" t="str">
        <f>"818-510-2343"</f>
        <v>818-510-2343</v>
      </c>
      <c r="E4321" s="2" t="s">
        <v>862</v>
      </c>
      <c r="F4321" s="2" t="s">
        <v>19511</v>
      </c>
      <c r="G4321" s="2" t="str">
        <f>"SR-5624"</f>
        <v>SR-5624</v>
      </c>
      <c r="H4321" s="2" t="s">
        <v>19512</v>
      </c>
      <c r="I4321" s="2" t="s">
        <v>19513</v>
      </c>
      <c r="K4321" s="2" t="s">
        <v>19514</v>
      </c>
      <c r="L4321" s="2" t="s">
        <v>222</v>
      </c>
      <c r="M4321" s="2">
        <v>91011.0</v>
      </c>
      <c r="N4321" s="2" t="s">
        <v>21</v>
      </c>
    </row>
    <row r="4322" ht="15.75" customHeight="1">
      <c r="A4322" s="2">
        <v>2015.0</v>
      </c>
      <c r="B4322" s="2" t="s">
        <v>19515</v>
      </c>
      <c r="C4322" s="2" t="s">
        <v>19515</v>
      </c>
      <c r="D4322" s="2" t="str">
        <f>"5052583333"</f>
        <v>5052583333</v>
      </c>
      <c r="E4322" s="2" t="s">
        <v>19516</v>
      </c>
      <c r="F4322" s="2" t="s">
        <v>19517</v>
      </c>
      <c r="G4322" s="2" t="str">
        <f>"SR-5631"</f>
        <v>SR-5631</v>
      </c>
      <c r="H4322" s="2" t="s">
        <v>19518</v>
      </c>
      <c r="I4322" s="2" t="s">
        <v>19519</v>
      </c>
      <c r="K4322" s="2" t="s">
        <v>19520</v>
      </c>
      <c r="L4322" s="2" t="s">
        <v>789</v>
      </c>
      <c r="M4322" s="2">
        <v>87410.0</v>
      </c>
      <c r="N4322" s="2" t="s">
        <v>21</v>
      </c>
    </row>
    <row r="4323" ht="15.75" customHeight="1">
      <c r="A4323" s="2">
        <v>2015.0</v>
      </c>
      <c r="B4323" s="2" t="s">
        <v>19521</v>
      </c>
      <c r="C4323" s="2" t="s">
        <v>19521</v>
      </c>
      <c r="D4323" s="2" t="str">
        <f>"864-640-3282"</f>
        <v>864-640-3282</v>
      </c>
      <c r="E4323" s="2" t="s">
        <v>19522</v>
      </c>
      <c r="F4323" s="2" t="s">
        <v>19523</v>
      </c>
      <c r="G4323" s="2" t="str">
        <f>"SR-5667"</f>
        <v>SR-5667</v>
      </c>
      <c r="H4323" s="2" t="s">
        <v>19524</v>
      </c>
      <c r="I4323" s="2" t="s">
        <v>19525</v>
      </c>
      <c r="K4323" s="2" t="s">
        <v>1878</v>
      </c>
      <c r="L4323" s="2" t="s">
        <v>55</v>
      </c>
      <c r="M4323" s="2">
        <v>29680.0</v>
      </c>
      <c r="N4323" s="2" t="s">
        <v>21</v>
      </c>
    </row>
    <row r="4324" ht="15.75" customHeight="1">
      <c r="A4324" s="2">
        <v>2015.0</v>
      </c>
      <c r="B4324" s="2" t="s">
        <v>19526</v>
      </c>
      <c r="C4324" s="2" t="s">
        <v>19526</v>
      </c>
      <c r="D4324" s="2" t="str">
        <f>"6157070894"</f>
        <v>6157070894</v>
      </c>
      <c r="E4324" s="2" t="s">
        <v>1274</v>
      </c>
      <c r="F4324" s="2" t="s">
        <v>19527</v>
      </c>
      <c r="G4324" s="2" t="str">
        <f>"SR-5615"</f>
        <v>SR-5615</v>
      </c>
      <c r="H4324" s="2" t="s">
        <v>19528</v>
      </c>
      <c r="I4324" s="2" t="s">
        <v>19529</v>
      </c>
      <c r="K4324" s="2" t="s">
        <v>19530</v>
      </c>
      <c r="L4324" s="2" t="s">
        <v>279</v>
      </c>
      <c r="M4324" s="2">
        <v>37129.0</v>
      </c>
      <c r="N4324" s="2" t="s">
        <v>21</v>
      </c>
    </row>
    <row r="4325" ht="15.75" customHeight="1">
      <c r="A4325" s="2">
        <v>2015.0</v>
      </c>
      <c r="B4325" s="2" t="s">
        <v>19317</v>
      </c>
      <c r="C4325" s="2" t="s">
        <v>19531</v>
      </c>
      <c r="D4325" s="2" t="str">
        <f>"(305) 393-9581"</f>
        <v>(305) 393-9581</v>
      </c>
      <c r="E4325" s="2" t="s">
        <v>580</v>
      </c>
      <c r="F4325" s="2" t="s">
        <v>13083</v>
      </c>
      <c r="G4325" s="2" t="str">
        <f>"SR-5989"</f>
        <v>SR-5989</v>
      </c>
      <c r="H4325" s="2" t="s">
        <v>19532</v>
      </c>
      <c r="I4325" s="2" t="s">
        <v>19533</v>
      </c>
      <c r="K4325" s="2" t="s">
        <v>7229</v>
      </c>
      <c r="L4325" s="2" t="s">
        <v>208</v>
      </c>
      <c r="M4325" s="2">
        <v>33030.0</v>
      </c>
      <c r="N4325" s="2" t="s">
        <v>21</v>
      </c>
    </row>
    <row r="4326" ht="15.75" customHeight="1">
      <c r="A4326" s="2">
        <v>2015.0</v>
      </c>
      <c r="B4326" s="2" t="s">
        <v>19534</v>
      </c>
      <c r="C4326" s="2" t="s">
        <v>19535</v>
      </c>
      <c r="D4326" s="2" t="str">
        <f>"2488286380"</f>
        <v>2488286380</v>
      </c>
      <c r="E4326" s="2" t="s">
        <v>13657</v>
      </c>
      <c r="F4326" s="2" t="s">
        <v>19536</v>
      </c>
      <c r="G4326" s="2" t="str">
        <f>"SR-5996"</f>
        <v>SR-5996</v>
      </c>
      <c r="H4326" s="2" t="s">
        <v>19537</v>
      </c>
      <c r="I4326" s="2" t="s">
        <v>19538</v>
      </c>
      <c r="K4326" s="2" t="s">
        <v>4115</v>
      </c>
      <c r="L4326" s="2" t="s">
        <v>29</v>
      </c>
      <c r="M4326" s="2">
        <v>48085.0</v>
      </c>
      <c r="N4326" s="2" t="s">
        <v>21</v>
      </c>
    </row>
    <row r="4327" ht="15.75" customHeight="1">
      <c r="A4327" s="2">
        <v>2015.0</v>
      </c>
      <c r="B4327" s="2" t="s">
        <v>19539</v>
      </c>
      <c r="C4327" s="2" t="s">
        <v>19540</v>
      </c>
      <c r="D4327" s="2" t="str">
        <f>"8175654401"</f>
        <v>8175654401</v>
      </c>
      <c r="E4327" s="2" t="s">
        <v>12166</v>
      </c>
      <c r="F4327" s="2" t="s">
        <v>10393</v>
      </c>
      <c r="G4327" s="2" t="str">
        <f>"SR-6008"</f>
        <v>SR-6008</v>
      </c>
      <c r="H4327" s="2" t="s">
        <v>19541</v>
      </c>
      <c r="I4327" s="2" t="s">
        <v>19542</v>
      </c>
      <c r="K4327" s="2" t="s">
        <v>3677</v>
      </c>
      <c r="L4327" s="2" t="s">
        <v>172</v>
      </c>
      <c r="M4327" s="2">
        <v>75167.0</v>
      </c>
      <c r="N4327" s="2" t="s">
        <v>21</v>
      </c>
    </row>
    <row r="4328" ht="15.75" customHeight="1">
      <c r="A4328" s="2">
        <v>2015.0</v>
      </c>
      <c r="B4328" s="2" t="s">
        <v>19509</v>
      </c>
      <c r="C4328" s="2" t="s">
        <v>19543</v>
      </c>
      <c r="D4328" s="2" t="str">
        <f>"818-790-0488"</f>
        <v>818-790-0488</v>
      </c>
      <c r="E4328" s="2" t="s">
        <v>584</v>
      </c>
      <c r="F4328" s="2" t="s">
        <v>19511</v>
      </c>
      <c r="G4328" s="2" t="str">
        <f>"SR-5832"</f>
        <v>SR-5832</v>
      </c>
      <c r="H4328" s="2" t="s">
        <v>19544</v>
      </c>
      <c r="I4328" s="2" t="s">
        <v>19513</v>
      </c>
      <c r="K4328" s="2" t="s">
        <v>19514</v>
      </c>
      <c r="L4328" s="2" t="s">
        <v>222</v>
      </c>
      <c r="M4328" s="2">
        <v>91011.0</v>
      </c>
      <c r="N4328" s="2" t="s">
        <v>21</v>
      </c>
    </row>
    <row r="4329" ht="15.75" customHeight="1">
      <c r="A4329" s="2">
        <v>2015.0</v>
      </c>
      <c r="B4329" s="2" t="s">
        <v>19545</v>
      </c>
      <c r="C4329" s="2" t="s">
        <v>19546</v>
      </c>
      <c r="D4329" s="2" t="str">
        <f>"(708) 485-2790"</f>
        <v>(708) 485-2790</v>
      </c>
      <c r="E4329" s="2" t="s">
        <v>4959</v>
      </c>
      <c r="F4329" s="2" t="s">
        <v>19547</v>
      </c>
      <c r="G4329" s="2" t="str">
        <f>"SR-5921"</f>
        <v>SR-5921</v>
      </c>
      <c r="H4329" s="2" t="s">
        <v>19548</v>
      </c>
      <c r="I4329" s="2" t="s">
        <v>19549</v>
      </c>
      <c r="K4329" s="2" t="s">
        <v>19397</v>
      </c>
      <c r="L4329" s="2" t="s">
        <v>105</v>
      </c>
      <c r="M4329" s="2">
        <v>60513.0</v>
      </c>
      <c r="N4329" s="2" t="s">
        <v>21</v>
      </c>
    </row>
    <row r="4330" ht="15.75" customHeight="1">
      <c r="A4330" s="2">
        <v>2015.0</v>
      </c>
      <c r="B4330" s="2" t="s">
        <v>19550</v>
      </c>
      <c r="C4330" s="2" t="s">
        <v>19551</v>
      </c>
      <c r="D4330" s="2" t="str">
        <f>"5036562592"</f>
        <v>5036562592</v>
      </c>
      <c r="E4330" s="2" t="s">
        <v>19552</v>
      </c>
      <c r="F4330" s="2" t="s">
        <v>19553</v>
      </c>
      <c r="G4330" s="2" t="str">
        <f>"SR-5998"</f>
        <v>SR-5998</v>
      </c>
      <c r="H4330" s="2" t="s">
        <v>19554</v>
      </c>
      <c r="I4330" s="2" t="s">
        <v>19555</v>
      </c>
      <c r="K4330" s="2" t="s">
        <v>19556</v>
      </c>
      <c r="L4330" s="2" t="s">
        <v>2389</v>
      </c>
      <c r="M4330" s="2">
        <v>97068.0</v>
      </c>
      <c r="N4330" s="2" t="s">
        <v>21</v>
      </c>
    </row>
    <row r="4331" ht="15.75" customHeight="1">
      <c r="A4331" s="2">
        <v>2015.0</v>
      </c>
      <c r="B4331" s="2" t="s">
        <v>19557</v>
      </c>
      <c r="D4331" s="2" t="str">
        <f>""</f>
        <v/>
      </c>
      <c r="E4331" s="2" t="s">
        <v>6244</v>
      </c>
      <c r="F4331" s="2" t="s">
        <v>19558</v>
      </c>
      <c r="G4331" s="2" t="str">
        <f>"SR-5733"</f>
        <v>SR-5733</v>
      </c>
      <c r="H4331" s="2" t="s">
        <v>19559</v>
      </c>
      <c r="N4331" s="2" t="s">
        <v>21</v>
      </c>
    </row>
    <row r="4332" ht="15.75" customHeight="1">
      <c r="A4332" s="2">
        <v>2015.0</v>
      </c>
      <c r="B4332" s="2" t="s">
        <v>19560</v>
      </c>
      <c r="C4332" s="2" t="s">
        <v>19560</v>
      </c>
      <c r="D4332" s="2" t="str">
        <f>"630-936-4146"</f>
        <v>630-936-4146</v>
      </c>
      <c r="E4332" s="2" t="s">
        <v>6202</v>
      </c>
      <c r="F4332" s="2" t="s">
        <v>2402</v>
      </c>
      <c r="G4332" s="2" t="str">
        <f>"SR-6074"</f>
        <v>SR-6074</v>
      </c>
      <c r="H4332" s="2" t="s">
        <v>19561</v>
      </c>
      <c r="I4332" s="2" t="s">
        <v>19562</v>
      </c>
      <c r="K4332" s="2" t="s">
        <v>19563</v>
      </c>
      <c r="L4332" s="2" t="s">
        <v>105</v>
      </c>
      <c r="M4332" s="2">
        <v>60523.0</v>
      </c>
      <c r="N4332" s="2" t="s">
        <v>21</v>
      </c>
    </row>
    <row r="4333" ht="15.75" customHeight="1">
      <c r="A4333" s="2">
        <v>2015.0</v>
      </c>
      <c r="B4333" s="2" t="s">
        <v>19564</v>
      </c>
      <c r="C4333" s="2" t="s">
        <v>19564</v>
      </c>
      <c r="D4333" s="2" t="str">
        <f>"708-846-5577"</f>
        <v>708-846-5577</v>
      </c>
      <c r="E4333" s="2" t="s">
        <v>1076</v>
      </c>
      <c r="F4333" s="2" t="s">
        <v>19565</v>
      </c>
      <c r="G4333" s="2" t="str">
        <f>"SR-5909"</f>
        <v>SR-5909</v>
      </c>
      <c r="H4333" s="2" t="s">
        <v>19566</v>
      </c>
      <c r="I4333" s="2" t="s">
        <v>19567</v>
      </c>
      <c r="K4333" s="2" t="s">
        <v>1352</v>
      </c>
      <c r="L4333" s="2" t="s">
        <v>105</v>
      </c>
      <c r="M4333" s="2">
        <v>60534.0</v>
      </c>
      <c r="N4333" s="2" t="s">
        <v>21</v>
      </c>
    </row>
    <row r="4334" ht="15.75" customHeight="1">
      <c r="A4334" s="2">
        <v>2015.0</v>
      </c>
      <c r="B4334" s="2" t="s">
        <v>19568</v>
      </c>
      <c r="C4334" s="2" t="s">
        <v>19569</v>
      </c>
      <c r="D4334" s="2" t="str">
        <f>"505-771-2293"</f>
        <v>505-771-2293</v>
      </c>
      <c r="E4334" s="2" t="s">
        <v>1208</v>
      </c>
      <c r="F4334" s="2" t="s">
        <v>19570</v>
      </c>
      <c r="G4334" s="2" t="str">
        <f>"SR-5691"</f>
        <v>SR-5691</v>
      </c>
      <c r="H4334" s="2" t="s">
        <v>19571</v>
      </c>
      <c r="I4334" s="2" t="s">
        <v>19572</v>
      </c>
      <c r="K4334" s="2" t="s">
        <v>3803</v>
      </c>
      <c r="L4334" s="2" t="s">
        <v>789</v>
      </c>
      <c r="M4334" s="2">
        <v>87144.0</v>
      </c>
      <c r="N4334" s="2" t="s">
        <v>21</v>
      </c>
    </row>
    <row r="4335" ht="15.75" customHeight="1">
      <c r="A4335" s="2">
        <v>2015.0</v>
      </c>
      <c r="B4335" s="2" t="s">
        <v>19573</v>
      </c>
      <c r="C4335" s="2" t="s">
        <v>19574</v>
      </c>
      <c r="D4335" s="2" t="str">
        <f>"419-351-4173"</f>
        <v>419-351-4173</v>
      </c>
      <c r="E4335" s="2" t="s">
        <v>1803</v>
      </c>
      <c r="F4335" s="2" t="s">
        <v>19575</v>
      </c>
      <c r="G4335" s="2" t="str">
        <f>"SR-6081"</f>
        <v>SR-6081</v>
      </c>
      <c r="H4335" s="2" t="s">
        <v>19576</v>
      </c>
      <c r="I4335" s="2" t="s">
        <v>19577</v>
      </c>
      <c r="K4335" s="2" t="s">
        <v>19578</v>
      </c>
      <c r="L4335" s="2" t="s">
        <v>29</v>
      </c>
      <c r="M4335" s="2">
        <v>48182.0</v>
      </c>
      <c r="N4335" s="2" t="s">
        <v>21</v>
      </c>
    </row>
    <row r="4336" ht="15.75" customHeight="1">
      <c r="A4336" s="2">
        <v>2015.0</v>
      </c>
      <c r="B4336" s="2" t="s">
        <v>19579</v>
      </c>
      <c r="C4336" s="2" t="s">
        <v>19579</v>
      </c>
      <c r="D4336" s="2" t="str">
        <f>"972-723-3135"</f>
        <v>972-723-3135</v>
      </c>
      <c r="E4336" s="2" t="s">
        <v>447</v>
      </c>
      <c r="F4336" s="2" t="s">
        <v>4276</v>
      </c>
      <c r="G4336" s="2" t="str">
        <f>"SR-5964"</f>
        <v>SR-5964</v>
      </c>
      <c r="H4336" s="2" t="s">
        <v>19580</v>
      </c>
      <c r="I4336" s="2" t="s">
        <v>19581</v>
      </c>
      <c r="K4336" s="2" t="s">
        <v>11179</v>
      </c>
      <c r="L4336" s="2" t="s">
        <v>172</v>
      </c>
      <c r="M4336" s="2">
        <v>76065.0</v>
      </c>
      <c r="N4336" s="2" t="s">
        <v>21</v>
      </c>
    </row>
    <row r="4337" ht="15.75" customHeight="1">
      <c r="A4337" s="2">
        <v>2015.0</v>
      </c>
      <c r="B4337" s="2" t="s">
        <v>19582</v>
      </c>
      <c r="C4337" s="2" t="s">
        <v>19583</v>
      </c>
      <c r="D4337" s="2" t="str">
        <f>"5189154144"</f>
        <v>5189154144</v>
      </c>
      <c r="E4337" s="2" t="s">
        <v>3693</v>
      </c>
      <c r="F4337" s="2" t="s">
        <v>19584</v>
      </c>
      <c r="G4337" s="2" t="str">
        <f>"SR-6017"</f>
        <v>SR-6017</v>
      </c>
      <c r="H4337" s="2" t="s">
        <v>19585</v>
      </c>
      <c r="I4337" s="2" t="s">
        <v>19586</v>
      </c>
      <c r="K4337" s="2" t="s">
        <v>19587</v>
      </c>
      <c r="L4337" s="2" t="s">
        <v>142</v>
      </c>
      <c r="M4337" s="2">
        <v>12065.0</v>
      </c>
      <c r="N4337" s="2" t="s">
        <v>21</v>
      </c>
    </row>
    <row r="4338" ht="15.75" customHeight="1">
      <c r="A4338" s="2">
        <v>2015.0</v>
      </c>
      <c r="B4338" s="2" t="s">
        <v>11276</v>
      </c>
      <c r="C4338" s="2" t="s">
        <v>11276</v>
      </c>
      <c r="D4338" s="2" t="str">
        <f>"6418201810"</f>
        <v>6418201810</v>
      </c>
      <c r="E4338" s="2" t="s">
        <v>908</v>
      </c>
      <c r="F4338" s="2" t="s">
        <v>2561</v>
      </c>
      <c r="G4338" s="2" t="str">
        <f>"SR-6083"</f>
        <v>SR-6083</v>
      </c>
      <c r="H4338" s="2" t="s">
        <v>11277</v>
      </c>
      <c r="I4338" s="2" t="s">
        <v>11278</v>
      </c>
      <c r="K4338" s="2" t="s">
        <v>6168</v>
      </c>
      <c r="L4338" s="2" t="s">
        <v>560</v>
      </c>
      <c r="M4338" s="2">
        <v>50138.0</v>
      </c>
      <c r="N4338" s="2" t="s">
        <v>21</v>
      </c>
    </row>
    <row r="4339" ht="15.75" customHeight="1">
      <c r="A4339" s="2">
        <v>2015.0</v>
      </c>
      <c r="B4339" s="2" t="s">
        <v>19588</v>
      </c>
      <c r="C4339" s="2" t="s">
        <v>19589</v>
      </c>
      <c r="D4339" s="2" t="str">
        <f>"(423)504-3571"</f>
        <v>(423)504-3571</v>
      </c>
      <c r="E4339" s="2" t="s">
        <v>1548</v>
      </c>
      <c r="F4339" s="2" t="s">
        <v>19590</v>
      </c>
      <c r="G4339" s="2" t="str">
        <f>"SR-5581"</f>
        <v>SR-5581</v>
      </c>
      <c r="H4339" s="2" t="s">
        <v>19591</v>
      </c>
      <c r="I4339" s="2" t="s">
        <v>19592</v>
      </c>
      <c r="K4339" s="2" t="s">
        <v>8572</v>
      </c>
      <c r="L4339" s="2" t="s">
        <v>279</v>
      </c>
      <c r="M4339" s="2">
        <v>37379.0</v>
      </c>
      <c r="N4339" s="2" t="s">
        <v>21</v>
      </c>
    </row>
    <row r="4340" ht="15.75" customHeight="1">
      <c r="A4340" s="2">
        <v>2015.0</v>
      </c>
      <c r="B4340" s="2" t="s">
        <v>19593</v>
      </c>
      <c r="C4340" s="2" t="s">
        <v>19594</v>
      </c>
      <c r="D4340" s="2" t="str">
        <f>"817.9955735"</f>
        <v>817.9955735</v>
      </c>
      <c r="E4340" s="2" t="s">
        <v>19595</v>
      </c>
      <c r="F4340" s="2" t="s">
        <v>1064</v>
      </c>
      <c r="G4340" s="2" t="str">
        <f>"SR-6086"</f>
        <v>SR-6086</v>
      </c>
      <c r="H4340" s="2" t="s">
        <v>19596</v>
      </c>
      <c r="I4340" s="2" t="s">
        <v>1259</v>
      </c>
      <c r="K4340" s="2" t="s">
        <v>1260</v>
      </c>
      <c r="L4340" s="2" t="s">
        <v>172</v>
      </c>
      <c r="M4340" s="2">
        <v>76107.0</v>
      </c>
      <c r="N4340" s="2" t="s">
        <v>21</v>
      </c>
    </row>
    <row r="4341" ht="15.75" customHeight="1">
      <c r="A4341" s="2">
        <v>2015.0</v>
      </c>
      <c r="B4341" s="2" t="s">
        <v>11276</v>
      </c>
      <c r="C4341" s="2" t="s">
        <v>11280</v>
      </c>
      <c r="D4341" s="2" t="str">
        <f>"641-820-1043"</f>
        <v>641-820-1043</v>
      </c>
      <c r="E4341" s="2" t="s">
        <v>167</v>
      </c>
      <c r="F4341" s="2" t="s">
        <v>2561</v>
      </c>
      <c r="G4341" s="2" t="str">
        <f>"SR-6087"</f>
        <v>SR-6087</v>
      </c>
      <c r="H4341" s="2" t="s">
        <v>11281</v>
      </c>
      <c r="I4341" s="2" t="s">
        <v>11278</v>
      </c>
      <c r="K4341" s="2" t="s">
        <v>6168</v>
      </c>
      <c r="L4341" s="2" t="s">
        <v>560</v>
      </c>
      <c r="M4341" s="2">
        <v>50138.0</v>
      </c>
      <c r="N4341" s="2" t="s">
        <v>21</v>
      </c>
    </row>
    <row r="4342" ht="15.75" customHeight="1">
      <c r="A4342" s="2">
        <v>2015.0</v>
      </c>
      <c r="B4342" s="2" t="s">
        <v>19597</v>
      </c>
      <c r="C4342" s="2" t="s">
        <v>19597</v>
      </c>
      <c r="D4342" s="2" t="str">
        <f>"9182960550"</f>
        <v>9182960550</v>
      </c>
      <c r="E4342" s="2" t="s">
        <v>1164</v>
      </c>
      <c r="F4342" s="2" t="s">
        <v>737</v>
      </c>
      <c r="G4342" s="2" t="str">
        <f>"SR-6088"</f>
        <v>SR-6088</v>
      </c>
      <c r="H4342" s="2" t="s">
        <v>19598</v>
      </c>
      <c r="I4342" s="2" t="s">
        <v>19599</v>
      </c>
      <c r="K4342" s="2" t="s">
        <v>19600</v>
      </c>
      <c r="L4342" s="2" t="s">
        <v>840</v>
      </c>
      <c r="M4342" s="2">
        <v>74137.0</v>
      </c>
      <c r="N4342" s="2" t="s">
        <v>21</v>
      </c>
    </row>
    <row r="4343" ht="15.75" customHeight="1">
      <c r="A4343" s="2">
        <v>2015.0</v>
      </c>
      <c r="B4343" s="2" t="s">
        <v>19601</v>
      </c>
      <c r="C4343" s="2" t="s">
        <v>19602</v>
      </c>
      <c r="D4343" s="2" t="str">
        <f>"806-368-7031"</f>
        <v>806-368-7031</v>
      </c>
      <c r="E4343" s="2" t="s">
        <v>19603</v>
      </c>
      <c r="F4343" s="2" t="s">
        <v>19604</v>
      </c>
      <c r="G4343" s="2" t="str">
        <f>"SR-6073"</f>
        <v>SR-6073</v>
      </c>
      <c r="H4343" s="2" t="s">
        <v>19605</v>
      </c>
      <c r="I4343" s="2" t="s">
        <v>19606</v>
      </c>
      <c r="K4343" s="2" t="s">
        <v>1121</v>
      </c>
      <c r="L4343" s="2" t="s">
        <v>172</v>
      </c>
      <c r="M4343" s="2">
        <v>79424.0</v>
      </c>
      <c r="N4343" s="2" t="s">
        <v>21</v>
      </c>
    </row>
    <row r="4344" ht="15.75" customHeight="1">
      <c r="A4344" s="2">
        <v>2015.0</v>
      </c>
      <c r="B4344" s="2" t="s">
        <v>19607</v>
      </c>
      <c r="C4344" s="2" t="s">
        <v>19607</v>
      </c>
      <c r="D4344" s="2" t="str">
        <f>"760-220-0923"</f>
        <v>760-220-0923</v>
      </c>
      <c r="E4344" s="2" t="s">
        <v>19608</v>
      </c>
      <c r="F4344" s="2" t="s">
        <v>19609</v>
      </c>
      <c r="G4344" s="2" t="str">
        <f>"SR-6089"</f>
        <v>SR-6089</v>
      </c>
      <c r="H4344" s="2" t="s">
        <v>19610</v>
      </c>
      <c r="I4344" s="2" t="s">
        <v>19611</v>
      </c>
      <c r="J4344" s="2" t="s">
        <v>19612</v>
      </c>
      <c r="K4344" s="2" t="s">
        <v>19613</v>
      </c>
      <c r="L4344" s="2" t="s">
        <v>222</v>
      </c>
      <c r="M4344" s="2">
        <v>92342.0</v>
      </c>
      <c r="N4344" s="2" t="s">
        <v>21</v>
      </c>
    </row>
    <row r="4345" ht="15.75" customHeight="1">
      <c r="A4345" s="2">
        <v>2015.0</v>
      </c>
      <c r="B4345" s="2" t="s">
        <v>13955</v>
      </c>
      <c r="C4345" s="2" t="s">
        <v>13956</v>
      </c>
      <c r="D4345" s="2" t="str">
        <f>"(828) 228-4140"</f>
        <v>(828) 228-4140</v>
      </c>
      <c r="E4345" s="2" t="s">
        <v>13957</v>
      </c>
      <c r="F4345" s="2" t="s">
        <v>13958</v>
      </c>
      <c r="G4345" s="2" t="str">
        <f>"SR-3992"</f>
        <v>SR-3992</v>
      </c>
      <c r="H4345" s="2" t="s">
        <v>13959</v>
      </c>
      <c r="I4345" s="2" t="s">
        <v>13960</v>
      </c>
      <c r="K4345" s="2" t="s">
        <v>13961</v>
      </c>
      <c r="L4345" s="2" t="s">
        <v>20</v>
      </c>
      <c r="M4345" s="2">
        <v>28645.0</v>
      </c>
      <c r="N4345" s="2" t="s">
        <v>21</v>
      </c>
    </row>
    <row r="4346" ht="15.75" customHeight="1">
      <c r="A4346" s="2">
        <v>2015.0</v>
      </c>
      <c r="B4346" s="2" t="s">
        <v>11268</v>
      </c>
      <c r="C4346" s="2" t="s">
        <v>11273</v>
      </c>
      <c r="D4346" s="2" t="str">
        <f>"763-416-3683"</f>
        <v>763-416-3683</v>
      </c>
      <c r="E4346" s="2" t="s">
        <v>10949</v>
      </c>
      <c r="F4346" s="2" t="s">
        <v>11270</v>
      </c>
      <c r="G4346" s="2" t="str">
        <f>"SR-3340"</f>
        <v>SR-3340</v>
      </c>
      <c r="H4346" s="2" t="s">
        <v>11274</v>
      </c>
      <c r="I4346" s="2" t="s">
        <v>11272</v>
      </c>
      <c r="K4346" s="2" t="s">
        <v>1170</v>
      </c>
      <c r="L4346" s="2" t="s">
        <v>62</v>
      </c>
      <c r="M4346" s="2">
        <v>55374.0</v>
      </c>
      <c r="N4346" s="2" t="s">
        <v>21</v>
      </c>
    </row>
    <row r="4347" ht="15.75" customHeight="1">
      <c r="A4347" s="2">
        <v>2015.0</v>
      </c>
      <c r="B4347" s="2" t="s">
        <v>19614</v>
      </c>
      <c r="C4347" s="2" t="s">
        <v>19615</v>
      </c>
      <c r="D4347" s="2" t="str">
        <f>"3167338340"</f>
        <v>3167338340</v>
      </c>
      <c r="E4347" s="2" t="s">
        <v>1450</v>
      </c>
      <c r="F4347" s="2" t="s">
        <v>1533</v>
      </c>
      <c r="G4347" s="2" t="str">
        <f>"SR-6038"</f>
        <v>SR-6038</v>
      </c>
      <c r="H4347" s="2" t="s">
        <v>19616</v>
      </c>
      <c r="I4347" s="2" t="s">
        <v>19617</v>
      </c>
      <c r="K4347" s="2" t="s">
        <v>606</v>
      </c>
      <c r="L4347" s="2" t="s">
        <v>272</v>
      </c>
      <c r="M4347" s="2">
        <v>67230.0</v>
      </c>
      <c r="N4347" s="2" t="s">
        <v>21</v>
      </c>
    </row>
    <row r="4348" ht="15.75" customHeight="1">
      <c r="A4348" s="2">
        <v>2015.0</v>
      </c>
      <c r="B4348" s="2" t="s">
        <v>19618</v>
      </c>
      <c r="C4348" s="2" t="s">
        <v>19618</v>
      </c>
      <c r="D4348" s="2" t="str">
        <f>"17182572576"</f>
        <v>17182572576</v>
      </c>
      <c r="E4348" s="2" t="s">
        <v>239</v>
      </c>
      <c r="F4348" s="2" t="s">
        <v>19619</v>
      </c>
      <c r="G4348" s="2" t="str">
        <f>"SR-5680"</f>
        <v>SR-5680</v>
      </c>
      <c r="H4348" s="2" t="s">
        <v>19620</v>
      </c>
      <c r="I4348" s="2" t="s">
        <v>19621</v>
      </c>
      <c r="K4348" s="2" t="s">
        <v>15498</v>
      </c>
      <c r="L4348" s="2" t="s">
        <v>142</v>
      </c>
      <c r="M4348" s="2">
        <v>11236.0</v>
      </c>
      <c r="N4348" s="2" t="s">
        <v>21</v>
      </c>
    </row>
    <row r="4349" ht="15.75" customHeight="1">
      <c r="A4349" s="2">
        <v>2015.0</v>
      </c>
      <c r="B4349" s="2" t="s">
        <v>19622</v>
      </c>
      <c r="C4349" s="2" t="s">
        <v>19623</v>
      </c>
      <c r="D4349" s="2" t="str">
        <f>"(909) 396-4972"</f>
        <v>(909) 396-4972</v>
      </c>
      <c r="E4349" s="2" t="s">
        <v>3778</v>
      </c>
      <c r="F4349" s="2" t="s">
        <v>19624</v>
      </c>
      <c r="G4349" s="2" t="str">
        <f>"SR-5693"</f>
        <v>SR-5693</v>
      </c>
      <c r="H4349" s="2" t="s">
        <v>19625</v>
      </c>
      <c r="I4349" s="2" t="s">
        <v>19626</v>
      </c>
      <c r="K4349" s="2" t="s">
        <v>1444</v>
      </c>
      <c r="L4349" s="2" t="s">
        <v>222</v>
      </c>
      <c r="M4349" s="2">
        <v>91765.0</v>
      </c>
      <c r="N4349" s="2" t="s">
        <v>21</v>
      </c>
    </row>
    <row r="4350" ht="15.75" customHeight="1">
      <c r="A4350" s="2">
        <v>2015.0</v>
      </c>
      <c r="B4350" s="2" t="s">
        <v>19627</v>
      </c>
      <c r="C4350" s="2" t="s">
        <v>19627</v>
      </c>
      <c r="D4350" s="2" t="str">
        <f>"650 788 7071"</f>
        <v>650 788 7071</v>
      </c>
      <c r="E4350" s="2" t="s">
        <v>862</v>
      </c>
      <c r="F4350" s="2" t="s">
        <v>962</v>
      </c>
      <c r="G4350" s="2" t="str">
        <f>"SR-6097"</f>
        <v>SR-6097</v>
      </c>
      <c r="H4350" s="2" t="s">
        <v>963</v>
      </c>
      <c r="I4350" s="2">
        <v>2641.0</v>
      </c>
      <c r="J4350" s="2" t="s">
        <v>19628</v>
      </c>
      <c r="K4350" s="2" t="s">
        <v>19629</v>
      </c>
      <c r="L4350" s="2" t="s">
        <v>222</v>
      </c>
      <c r="M4350" s="2">
        <v>94403.0</v>
      </c>
      <c r="N4350" s="2" t="s">
        <v>21</v>
      </c>
    </row>
    <row r="4351" ht="15.75" customHeight="1">
      <c r="A4351" s="2">
        <v>2015.0</v>
      </c>
      <c r="B4351" s="2" t="s">
        <v>19630</v>
      </c>
      <c r="C4351" s="2" t="s">
        <v>19631</v>
      </c>
      <c r="D4351" s="2" t="str">
        <f>"901-832-9240"</f>
        <v>901-832-9240</v>
      </c>
      <c r="E4351" s="2" t="s">
        <v>250</v>
      </c>
      <c r="F4351" s="2" t="s">
        <v>4322</v>
      </c>
      <c r="G4351" s="2" t="str">
        <f>"SR-6100"</f>
        <v>SR-6100</v>
      </c>
      <c r="H4351" s="2" t="s">
        <v>19632</v>
      </c>
      <c r="I4351" s="2" t="s">
        <v>19633</v>
      </c>
      <c r="K4351" s="2" t="s">
        <v>2906</v>
      </c>
      <c r="L4351" s="2" t="s">
        <v>279</v>
      </c>
      <c r="M4351" s="2">
        <v>38052.0</v>
      </c>
      <c r="N4351" s="2" t="s">
        <v>21</v>
      </c>
    </row>
    <row r="4352" ht="15.75" customHeight="1">
      <c r="A4352" s="2">
        <v>2015.0</v>
      </c>
      <c r="B4352" s="2" t="s">
        <v>4945</v>
      </c>
      <c r="C4352" s="2" t="s">
        <v>19634</v>
      </c>
      <c r="D4352" s="2" t="str">
        <f>"406-252-1877"</f>
        <v>406-252-1877</v>
      </c>
      <c r="E4352" s="2" t="s">
        <v>2126</v>
      </c>
      <c r="F4352" s="2" t="s">
        <v>4947</v>
      </c>
      <c r="G4352" s="2" t="str">
        <f>"SR-6101"</f>
        <v>SR-6101</v>
      </c>
      <c r="H4352" s="2" t="s">
        <v>19635</v>
      </c>
      <c r="I4352" s="2" t="s">
        <v>4949</v>
      </c>
      <c r="K4352" s="2" t="s">
        <v>3548</v>
      </c>
      <c r="L4352" s="2" t="s">
        <v>2696</v>
      </c>
      <c r="M4352" s="2">
        <v>59102.0</v>
      </c>
      <c r="N4352" s="2" t="s">
        <v>21</v>
      </c>
    </row>
    <row r="4353" ht="15.75" customHeight="1">
      <c r="A4353" s="2">
        <v>2015.0</v>
      </c>
      <c r="B4353" s="2" t="s">
        <v>19636</v>
      </c>
      <c r="C4353" s="2" t="s">
        <v>19637</v>
      </c>
      <c r="D4353" s="2" t="str">
        <f>"815.793.9959"</f>
        <v>815.793.9959</v>
      </c>
      <c r="E4353" s="2" t="s">
        <v>19638</v>
      </c>
      <c r="F4353" s="2" t="s">
        <v>690</v>
      </c>
      <c r="G4353" s="2" t="str">
        <f>"SR-6071"</f>
        <v>SR-6071</v>
      </c>
      <c r="H4353" s="2" t="s">
        <v>19639</v>
      </c>
      <c r="I4353" s="2" t="s">
        <v>19640</v>
      </c>
      <c r="K4353" s="2" t="s">
        <v>382</v>
      </c>
      <c r="L4353" s="2" t="s">
        <v>105</v>
      </c>
      <c r="M4353" s="2">
        <v>61102.0</v>
      </c>
      <c r="N4353" s="2" t="s">
        <v>21</v>
      </c>
    </row>
    <row r="4354" ht="15.75" customHeight="1">
      <c r="A4354" s="2">
        <v>2015.0</v>
      </c>
      <c r="B4354" s="2" t="s">
        <v>4795</v>
      </c>
      <c r="C4354" s="2" t="s">
        <v>4796</v>
      </c>
      <c r="D4354" s="2" t="str">
        <f>"3619932118"</f>
        <v>3619932118</v>
      </c>
      <c r="E4354" s="2" t="s">
        <v>843</v>
      </c>
      <c r="F4354" s="2" t="s">
        <v>3984</v>
      </c>
      <c r="G4354" s="2" t="str">
        <f>"SR-1239"</f>
        <v>SR-1239</v>
      </c>
      <c r="H4354" s="2" t="s">
        <v>4797</v>
      </c>
      <c r="I4354" s="2" t="s">
        <v>3986</v>
      </c>
      <c r="K4354" s="2" t="s">
        <v>3987</v>
      </c>
      <c r="L4354" s="2" t="s">
        <v>172</v>
      </c>
      <c r="M4354" s="2">
        <v>78414.0</v>
      </c>
      <c r="N4354" s="2" t="s">
        <v>21</v>
      </c>
    </row>
    <row r="4355" ht="15.75" customHeight="1">
      <c r="A4355" s="2">
        <v>2015.0</v>
      </c>
      <c r="B4355" s="2" t="s">
        <v>19641</v>
      </c>
      <c r="C4355" s="2" t="s">
        <v>19641</v>
      </c>
      <c r="D4355" s="2" t="str">
        <f t="shared" ref="D4355:D4356" si="79">"9546329748"</f>
        <v>9546329748</v>
      </c>
      <c r="E4355" s="2" t="s">
        <v>1278</v>
      </c>
      <c r="F4355" s="2" t="s">
        <v>10571</v>
      </c>
      <c r="G4355" s="2" t="str">
        <f>"SR-6106"</f>
        <v>SR-6106</v>
      </c>
      <c r="H4355" s="2" t="s">
        <v>19642</v>
      </c>
      <c r="I4355" s="2" t="s">
        <v>19643</v>
      </c>
      <c r="K4355" s="2" t="s">
        <v>19644</v>
      </c>
      <c r="L4355" s="2" t="s">
        <v>208</v>
      </c>
      <c r="M4355" s="2">
        <v>33317.0</v>
      </c>
      <c r="N4355" s="2" t="s">
        <v>21</v>
      </c>
    </row>
    <row r="4356" ht="15.75" customHeight="1">
      <c r="A4356" s="2">
        <v>2015.0</v>
      </c>
      <c r="B4356" s="2" t="s">
        <v>19645</v>
      </c>
      <c r="C4356" s="2" t="s">
        <v>19646</v>
      </c>
      <c r="D4356" s="2" t="str">
        <f t="shared" si="79"/>
        <v>9546329748</v>
      </c>
      <c r="E4356" s="2" t="s">
        <v>7417</v>
      </c>
      <c r="F4356" s="2" t="s">
        <v>10571</v>
      </c>
      <c r="G4356" s="2" t="str">
        <f>"SR-6105"</f>
        <v>SR-6105</v>
      </c>
      <c r="H4356" s="2" t="s">
        <v>19647</v>
      </c>
      <c r="I4356" s="2" t="s">
        <v>19648</v>
      </c>
      <c r="K4356" s="2" t="s">
        <v>19644</v>
      </c>
      <c r="L4356" s="2" t="s">
        <v>208</v>
      </c>
      <c r="M4356" s="2">
        <v>33317.0</v>
      </c>
      <c r="N4356" s="2" t="s">
        <v>21</v>
      </c>
    </row>
    <row r="4357" ht="15.75" customHeight="1">
      <c r="A4357" s="2">
        <v>2015.0</v>
      </c>
      <c r="B4357" s="2" t="s">
        <v>19649</v>
      </c>
      <c r="C4357" s="2" t="s">
        <v>19649</v>
      </c>
      <c r="D4357" s="2" t="str">
        <f>"2257178422"</f>
        <v>2257178422</v>
      </c>
      <c r="E4357" s="2" t="s">
        <v>19650</v>
      </c>
      <c r="F4357" s="2" t="s">
        <v>19651</v>
      </c>
      <c r="G4357" s="2" t="str">
        <f>"SR-6090"</f>
        <v>SR-6090</v>
      </c>
      <c r="H4357" s="2" t="s">
        <v>19652</v>
      </c>
      <c r="I4357" s="2" t="s">
        <v>19653</v>
      </c>
      <c r="K4357" s="2" t="s">
        <v>19654</v>
      </c>
      <c r="L4357" s="2" t="s">
        <v>715</v>
      </c>
      <c r="M4357" s="2">
        <v>70734.0</v>
      </c>
      <c r="N4357" s="2" t="s">
        <v>21</v>
      </c>
    </row>
    <row r="4358" ht="15.75" customHeight="1">
      <c r="A4358" s="2">
        <v>2015.0</v>
      </c>
      <c r="B4358" s="2" t="s">
        <v>19655</v>
      </c>
      <c r="C4358" s="2" t="s">
        <v>19655</v>
      </c>
      <c r="D4358" s="2" t="str">
        <f>"434-466-3171"</f>
        <v>434-466-3171</v>
      </c>
      <c r="E4358" s="2" t="s">
        <v>282</v>
      </c>
      <c r="F4358" s="2" t="s">
        <v>19656</v>
      </c>
      <c r="G4358" s="2" t="str">
        <f>"SR-5642"</f>
        <v>SR-5642</v>
      </c>
      <c r="H4358" s="2" t="s">
        <v>19657</v>
      </c>
      <c r="I4358" s="2" t="s">
        <v>19658</v>
      </c>
      <c r="K4358" s="2" t="s">
        <v>19659</v>
      </c>
      <c r="L4358" s="2" t="s">
        <v>165</v>
      </c>
      <c r="M4358" s="2">
        <v>22959.0</v>
      </c>
      <c r="N4358" s="2" t="s">
        <v>21</v>
      </c>
    </row>
    <row r="4359" ht="15.75" customHeight="1">
      <c r="A4359" s="2">
        <v>2015.0</v>
      </c>
      <c r="B4359" s="2" t="s">
        <v>19660</v>
      </c>
      <c r="C4359" s="2" t="s">
        <v>19661</v>
      </c>
      <c r="D4359" s="2" t="str">
        <f>"4075424146"</f>
        <v>4075424146</v>
      </c>
      <c r="E4359" s="2" t="s">
        <v>1324</v>
      </c>
      <c r="F4359" s="2" t="s">
        <v>3283</v>
      </c>
      <c r="G4359" s="2" t="str">
        <f>"SR-4827"</f>
        <v>SR-4827</v>
      </c>
      <c r="H4359" s="2" t="s">
        <v>19662</v>
      </c>
      <c r="I4359" s="2" t="s">
        <v>19663</v>
      </c>
      <c r="K4359" s="2" t="s">
        <v>12702</v>
      </c>
      <c r="L4359" s="2" t="s">
        <v>208</v>
      </c>
      <c r="M4359" s="2">
        <v>32765.0</v>
      </c>
      <c r="N4359" s="2" t="s">
        <v>21</v>
      </c>
    </row>
    <row r="4360" ht="15.75" customHeight="1">
      <c r="A4360" s="2">
        <v>2015.0</v>
      </c>
      <c r="B4360" s="2" t="s">
        <v>19664</v>
      </c>
      <c r="C4360" s="2" t="s">
        <v>19665</v>
      </c>
      <c r="D4360" s="2" t="str">
        <f>"281 814 9430"</f>
        <v>281 814 9430</v>
      </c>
      <c r="E4360" s="2" t="s">
        <v>3173</v>
      </c>
      <c r="F4360" s="2" t="s">
        <v>19666</v>
      </c>
      <c r="G4360" s="2" t="str">
        <f>"SR-4905"</f>
        <v>SR-4905</v>
      </c>
      <c r="H4360" s="2" t="s">
        <v>19667</v>
      </c>
      <c r="I4360" s="2" t="s">
        <v>19668</v>
      </c>
      <c r="K4360" s="2" t="s">
        <v>444</v>
      </c>
      <c r="L4360" s="2" t="s">
        <v>172</v>
      </c>
      <c r="M4360" s="2">
        <v>77084.0</v>
      </c>
      <c r="N4360" s="2" t="s">
        <v>21</v>
      </c>
    </row>
    <row r="4361" ht="15.75" customHeight="1">
      <c r="A4361" s="2">
        <v>2015.0</v>
      </c>
      <c r="B4361" s="2" t="s">
        <v>19669</v>
      </c>
      <c r="C4361" s="2" t="s">
        <v>19669</v>
      </c>
      <c r="D4361" s="2" t="str">
        <f>"704-999-9166"</f>
        <v>704-999-9166</v>
      </c>
      <c r="E4361" s="2" t="s">
        <v>5858</v>
      </c>
      <c r="F4361" s="2" t="s">
        <v>51</v>
      </c>
      <c r="G4361" s="2" t="str">
        <f>"SR-6107"</f>
        <v>SR-6107</v>
      </c>
      <c r="H4361" s="2" t="s">
        <v>19670</v>
      </c>
      <c r="I4361" s="2" t="s">
        <v>19671</v>
      </c>
      <c r="K4361" s="2" t="s">
        <v>4304</v>
      </c>
      <c r="L4361" s="2" t="s">
        <v>20</v>
      </c>
      <c r="M4361" s="2">
        <v>28173.0</v>
      </c>
      <c r="N4361" s="2" t="s">
        <v>21</v>
      </c>
    </row>
    <row r="4362" ht="15.75" customHeight="1">
      <c r="A4362" s="2">
        <v>2015.0</v>
      </c>
      <c r="B4362" s="2" t="s">
        <v>5815</v>
      </c>
      <c r="C4362" s="2" t="s">
        <v>5816</v>
      </c>
      <c r="D4362" s="2" t="str">
        <f>"5157205673"</f>
        <v>5157205673</v>
      </c>
      <c r="E4362" s="2" t="s">
        <v>1529</v>
      </c>
      <c r="F4362" s="2" t="s">
        <v>5817</v>
      </c>
      <c r="G4362" s="2" t="str">
        <f>"SR-1104"</f>
        <v>SR-1104</v>
      </c>
      <c r="H4362" s="2" t="s">
        <v>5818</v>
      </c>
      <c r="I4362" s="2" t="s">
        <v>5819</v>
      </c>
      <c r="K4362" s="2" t="s">
        <v>559</v>
      </c>
      <c r="L4362" s="2" t="s">
        <v>560</v>
      </c>
      <c r="M4362" s="2">
        <v>50023.0</v>
      </c>
      <c r="N4362" s="2" t="s">
        <v>21</v>
      </c>
    </row>
    <row r="4363" ht="15.75" customHeight="1">
      <c r="A4363" s="2">
        <v>2015.0</v>
      </c>
      <c r="B4363" s="2" t="s">
        <v>19672</v>
      </c>
      <c r="C4363" s="2" t="s">
        <v>19673</v>
      </c>
      <c r="D4363" s="2" t="str">
        <f>"9528951059"</f>
        <v>9528951059</v>
      </c>
      <c r="E4363" s="2" t="s">
        <v>386</v>
      </c>
      <c r="F4363" s="2" t="s">
        <v>19674</v>
      </c>
      <c r="G4363" s="2" t="str">
        <f>"SR-5096"</f>
        <v>SR-5096</v>
      </c>
      <c r="H4363" s="2" t="s">
        <v>19675</v>
      </c>
      <c r="I4363" s="2" t="s">
        <v>19676</v>
      </c>
      <c r="K4363" s="2" t="s">
        <v>7722</v>
      </c>
      <c r="L4363" s="2" t="s">
        <v>62</v>
      </c>
      <c r="M4363" s="2">
        <v>55337.0</v>
      </c>
      <c r="N4363" s="2" t="s">
        <v>21</v>
      </c>
    </row>
    <row r="4364" ht="15.75" customHeight="1">
      <c r="A4364" s="2">
        <v>2015.0</v>
      </c>
      <c r="B4364" s="2" t="s">
        <v>19677</v>
      </c>
      <c r="C4364" s="2" t="s">
        <v>19678</v>
      </c>
      <c r="D4364" s="2" t="str">
        <f>"7045030221"</f>
        <v>7045030221</v>
      </c>
      <c r="E4364" s="2" t="s">
        <v>1197</v>
      </c>
      <c r="F4364" s="2" t="s">
        <v>386</v>
      </c>
      <c r="G4364" s="2" t="str">
        <f>"SR-5054"</f>
        <v>SR-5054</v>
      </c>
      <c r="H4364" s="2" t="s">
        <v>19679</v>
      </c>
      <c r="I4364" s="2" t="s">
        <v>19680</v>
      </c>
      <c r="K4364" s="2" t="s">
        <v>19</v>
      </c>
      <c r="L4364" s="2" t="s">
        <v>20</v>
      </c>
      <c r="M4364" s="2">
        <v>28262.0</v>
      </c>
      <c r="N4364" s="2" t="s">
        <v>21</v>
      </c>
    </row>
    <row r="4365" ht="15.75" customHeight="1">
      <c r="A4365" s="2">
        <v>2015.0</v>
      </c>
      <c r="B4365" s="2" t="s">
        <v>19681</v>
      </c>
      <c r="C4365" s="2" t="s">
        <v>19681</v>
      </c>
      <c r="D4365" s="2" t="str">
        <f>"4439664236"</f>
        <v>4439664236</v>
      </c>
      <c r="E4365" s="2" t="s">
        <v>417</v>
      </c>
      <c r="F4365" s="2" t="s">
        <v>19682</v>
      </c>
      <c r="G4365" s="2" t="str">
        <f>"SR-6084"</f>
        <v>SR-6084</v>
      </c>
      <c r="H4365" s="2" t="s">
        <v>19683</v>
      </c>
      <c r="I4365" s="2" t="s">
        <v>19684</v>
      </c>
      <c r="K4365" s="2" t="s">
        <v>19685</v>
      </c>
      <c r="L4365" s="2" t="s">
        <v>1868</v>
      </c>
      <c r="M4365" s="2">
        <v>21050.0</v>
      </c>
      <c r="N4365" s="2" t="s">
        <v>21</v>
      </c>
    </row>
    <row r="4366" ht="15.75" customHeight="1">
      <c r="A4366" s="2">
        <v>2015.0</v>
      </c>
      <c r="B4366" s="2" t="s">
        <v>19686</v>
      </c>
      <c r="C4366" s="2" t="s">
        <v>19687</v>
      </c>
      <c r="D4366" s="2" t="str">
        <f>"817-673-0898"</f>
        <v>817-673-0898</v>
      </c>
      <c r="E4366" s="2" t="s">
        <v>19688</v>
      </c>
      <c r="F4366" s="2" t="s">
        <v>19689</v>
      </c>
      <c r="G4366" s="2" t="str">
        <f>"SR-6112"</f>
        <v>SR-6112</v>
      </c>
      <c r="H4366" s="2" t="s">
        <v>19690</v>
      </c>
      <c r="I4366" s="2" t="s">
        <v>19691</v>
      </c>
      <c r="K4366" s="2" t="s">
        <v>2046</v>
      </c>
      <c r="L4366" s="2" t="s">
        <v>172</v>
      </c>
      <c r="M4366" s="2">
        <v>76049.0</v>
      </c>
      <c r="N4366" s="2" t="s">
        <v>21</v>
      </c>
    </row>
    <row r="4367" ht="15.75" customHeight="1">
      <c r="A4367" s="2">
        <v>2015.0</v>
      </c>
      <c r="B4367" s="2" t="s">
        <v>19692</v>
      </c>
      <c r="C4367" s="2" t="s">
        <v>19693</v>
      </c>
      <c r="D4367" s="2" t="str">
        <f>"8327443484"</f>
        <v>8327443484</v>
      </c>
      <c r="E4367" s="2" t="s">
        <v>16852</v>
      </c>
      <c r="F4367" s="2" t="s">
        <v>2474</v>
      </c>
      <c r="G4367" s="2" t="str">
        <f>"SR-6010"</f>
        <v>SR-6010</v>
      </c>
      <c r="H4367" s="2" t="s">
        <v>19694</v>
      </c>
      <c r="I4367" s="2" t="s">
        <v>19695</v>
      </c>
      <c r="K4367" s="2" t="s">
        <v>19696</v>
      </c>
      <c r="L4367" s="2" t="s">
        <v>172</v>
      </c>
      <c r="M4367" s="2">
        <v>77581.0</v>
      </c>
      <c r="N4367" s="2" t="s">
        <v>21</v>
      </c>
    </row>
    <row r="4368" ht="15.75" customHeight="1">
      <c r="A4368" s="2">
        <v>2015.0</v>
      </c>
      <c r="B4368" s="2" t="s">
        <v>19697</v>
      </c>
      <c r="C4368" s="2" t="s">
        <v>19697</v>
      </c>
      <c r="D4368" s="2" t="str">
        <f>"208-412-4525"</f>
        <v>208-412-4525</v>
      </c>
      <c r="E4368" s="2" t="s">
        <v>19698</v>
      </c>
      <c r="F4368" s="2" t="s">
        <v>962</v>
      </c>
      <c r="G4368" s="2" t="str">
        <f>"SR-6113"</f>
        <v>SR-6113</v>
      </c>
      <c r="H4368" s="2" t="s">
        <v>19699</v>
      </c>
      <c r="I4368" s="2" t="s">
        <v>19700</v>
      </c>
      <c r="K4368" s="2" t="s">
        <v>16497</v>
      </c>
      <c r="L4368" s="2" t="s">
        <v>2613</v>
      </c>
      <c r="M4368" s="2">
        <v>83607.0</v>
      </c>
      <c r="N4368" s="2" t="s">
        <v>21</v>
      </c>
    </row>
    <row r="4369" ht="15.75" customHeight="1">
      <c r="A4369" s="2">
        <v>2015.0</v>
      </c>
      <c r="B4369" s="2" t="s">
        <v>19701</v>
      </c>
      <c r="C4369" s="2" t="s">
        <v>19701</v>
      </c>
      <c r="D4369" s="2" t="str">
        <f>"616-866-5440"</f>
        <v>616-866-5440</v>
      </c>
      <c r="E4369" s="2" t="s">
        <v>19702</v>
      </c>
      <c r="F4369" s="2" t="s">
        <v>19703</v>
      </c>
      <c r="G4369" s="2" t="str">
        <f>"SR-5765"</f>
        <v>SR-5765</v>
      </c>
      <c r="H4369" s="2" t="s">
        <v>19704</v>
      </c>
      <c r="I4369" s="2" t="s">
        <v>19705</v>
      </c>
      <c r="K4369" s="2" t="s">
        <v>382</v>
      </c>
      <c r="L4369" s="2" t="s">
        <v>29</v>
      </c>
      <c r="M4369" s="2">
        <v>49341.0</v>
      </c>
      <c r="N4369" s="2" t="s">
        <v>21</v>
      </c>
    </row>
    <row r="4370" ht="15.75" customHeight="1">
      <c r="A4370" s="2">
        <v>2015.0</v>
      </c>
      <c r="B4370" s="2" t="s">
        <v>19706</v>
      </c>
      <c r="C4370" s="2" t="s">
        <v>19706</v>
      </c>
      <c r="D4370" s="2" t="str">
        <f>"4066903236"</f>
        <v>4066903236</v>
      </c>
      <c r="E4370" s="2" t="s">
        <v>1015</v>
      </c>
      <c r="F4370" s="2" t="s">
        <v>11406</v>
      </c>
      <c r="G4370" s="2" t="str">
        <f>"SR-6118"</f>
        <v>SR-6118</v>
      </c>
      <c r="H4370" s="2" t="s">
        <v>19707</v>
      </c>
      <c r="I4370" s="2" t="s">
        <v>19708</v>
      </c>
      <c r="K4370" s="2" t="s">
        <v>3548</v>
      </c>
      <c r="L4370" s="2" t="s">
        <v>2696</v>
      </c>
      <c r="M4370" s="2">
        <v>59102.0</v>
      </c>
      <c r="N4370" s="2" t="s">
        <v>21</v>
      </c>
    </row>
    <row r="4371" ht="15.75" customHeight="1">
      <c r="A4371" s="2">
        <v>2015.0</v>
      </c>
      <c r="B4371" s="2" t="s">
        <v>19709</v>
      </c>
      <c r="C4371" s="2" t="s">
        <v>19709</v>
      </c>
      <c r="D4371" s="2" t="str">
        <f>"817-504-0923"</f>
        <v>817-504-0923</v>
      </c>
      <c r="E4371" s="2" t="s">
        <v>3750</v>
      </c>
      <c r="F4371" s="2" t="s">
        <v>6527</v>
      </c>
      <c r="G4371" s="2" t="str">
        <f>"SR-5826"</f>
        <v>SR-5826</v>
      </c>
      <c r="H4371" s="2" t="s">
        <v>19710</v>
      </c>
      <c r="I4371" s="2" t="s">
        <v>19711</v>
      </c>
      <c r="K4371" s="2" t="s">
        <v>1260</v>
      </c>
      <c r="L4371" s="2" t="s">
        <v>172</v>
      </c>
      <c r="M4371" s="2">
        <v>76112.0</v>
      </c>
      <c r="N4371" s="2" t="s">
        <v>21</v>
      </c>
    </row>
    <row r="4372" ht="15.75" customHeight="1">
      <c r="A4372" s="2">
        <v>2015.0</v>
      </c>
      <c r="B4372" s="2" t="s">
        <v>19712</v>
      </c>
      <c r="C4372" s="2" t="s">
        <v>19712</v>
      </c>
      <c r="D4372" s="2" t="str">
        <f>"4052267913"</f>
        <v>4052267913</v>
      </c>
      <c r="E4372" s="2" t="s">
        <v>19713</v>
      </c>
      <c r="F4372" s="2" t="s">
        <v>19714</v>
      </c>
      <c r="G4372" s="2" t="str">
        <f>"SR-6115"</f>
        <v>SR-6115</v>
      </c>
      <c r="H4372" s="2" t="s">
        <v>19715</v>
      </c>
      <c r="I4372" s="2" t="s">
        <v>19716</v>
      </c>
      <c r="K4372" s="2" t="s">
        <v>19717</v>
      </c>
      <c r="L4372" s="2" t="s">
        <v>840</v>
      </c>
      <c r="M4372" s="2">
        <v>73013.0</v>
      </c>
      <c r="N4372" s="2" t="s">
        <v>21</v>
      </c>
    </row>
    <row r="4373" ht="15.75" customHeight="1">
      <c r="A4373" s="2">
        <v>2015.0</v>
      </c>
      <c r="B4373" s="2" t="s">
        <v>19718</v>
      </c>
      <c r="C4373" s="2" t="s">
        <v>19719</v>
      </c>
      <c r="D4373" s="2" t="str">
        <f>"210-857-9085"</f>
        <v>210-857-9085</v>
      </c>
      <c r="E4373" s="2" t="s">
        <v>19720</v>
      </c>
      <c r="F4373" s="2" t="s">
        <v>19721</v>
      </c>
      <c r="G4373" s="2" t="str">
        <f>"SR-6116"</f>
        <v>SR-6116</v>
      </c>
      <c r="H4373" s="2" t="s">
        <v>19722</v>
      </c>
      <c r="I4373" s="2" t="s">
        <v>19723</v>
      </c>
      <c r="K4373" s="2" t="s">
        <v>632</v>
      </c>
      <c r="L4373" s="2" t="s">
        <v>172</v>
      </c>
      <c r="M4373" s="2">
        <v>78229.0</v>
      </c>
      <c r="N4373" s="2" t="s">
        <v>21</v>
      </c>
    </row>
    <row r="4374" ht="15.75" customHeight="1">
      <c r="A4374" s="2">
        <v>2015.0</v>
      </c>
      <c r="B4374" s="2" t="s">
        <v>19724</v>
      </c>
      <c r="C4374" s="2" t="s">
        <v>19725</v>
      </c>
      <c r="D4374" s="2" t="str">
        <f>"2085506203"</f>
        <v>2085506203</v>
      </c>
      <c r="E4374" s="2" t="s">
        <v>19726</v>
      </c>
      <c r="F4374" s="2" t="s">
        <v>447</v>
      </c>
      <c r="G4374" s="2" t="str">
        <f>"SR-6120"</f>
        <v>SR-6120</v>
      </c>
      <c r="H4374" s="2" t="s">
        <v>19727</v>
      </c>
      <c r="I4374" s="2" t="s">
        <v>19728</v>
      </c>
      <c r="K4374" s="2" t="s">
        <v>19729</v>
      </c>
      <c r="L4374" s="2" t="s">
        <v>2613</v>
      </c>
      <c r="M4374" s="2">
        <v>83864.0</v>
      </c>
      <c r="N4374" s="2" t="s">
        <v>21</v>
      </c>
    </row>
    <row r="4375" ht="15.75" customHeight="1">
      <c r="A4375" s="2">
        <v>2015.0</v>
      </c>
      <c r="B4375" s="2" t="s">
        <v>19724</v>
      </c>
      <c r="C4375" s="2" t="s">
        <v>19730</v>
      </c>
      <c r="D4375" s="2" t="str">
        <f>"2088501915"</f>
        <v>2088501915</v>
      </c>
      <c r="E4375" s="2" t="s">
        <v>8316</v>
      </c>
      <c r="F4375" s="2" t="s">
        <v>447</v>
      </c>
      <c r="G4375" s="2" t="str">
        <f>"SR-6122"</f>
        <v>SR-6122</v>
      </c>
      <c r="H4375" s="2" t="s">
        <v>19731</v>
      </c>
      <c r="I4375" s="2" t="s">
        <v>19728</v>
      </c>
      <c r="K4375" s="2" t="s">
        <v>19729</v>
      </c>
      <c r="L4375" s="2" t="s">
        <v>2613</v>
      </c>
      <c r="M4375" s="2">
        <v>83864.0</v>
      </c>
      <c r="N4375" s="2" t="s">
        <v>21</v>
      </c>
    </row>
    <row r="4376" ht="15.75" customHeight="1">
      <c r="A4376" s="2">
        <v>2015.0</v>
      </c>
      <c r="B4376" s="2" t="s">
        <v>19732</v>
      </c>
      <c r="C4376" s="2" t="s">
        <v>19732</v>
      </c>
      <c r="D4376" s="2" t="str">
        <f>"817-483-1917"</f>
        <v>817-483-1917</v>
      </c>
      <c r="E4376" s="2" t="s">
        <v>843</v>
      </c>
      <c r="F4376" s="2" t="s">
        <v>9650</v>
      </c>
      <c r="G4376" s="2" t="str">
        <f>"SR-6114"</f>
        <v>SR-6114</v>
      </c>
      <c r="H4376" s="2" t="s">
        <v>19733</v>
      </c>
      <c r="I4376" s="2" t="s">
        <v>19734</v>
      </c>
      <c r="K4376" s="2" t="s">
        <v>882</v>
      </c>
      <c r="L4376" s="2" t="s">
        <v>172</v>
      </c>
      <c r="M4376" s="2">
        <v>76001.0</v>
      </c>
      <c r="N4376" s="2" t="s">
        <v>21</v>
      </c>
    </row>
    <row r="4377" ht="15.75" customHeight="1">
      <c r="A4377" s="2">
        <v>2015.0</v>
      </c>
      <c r="B4377" s="2" t="s">
        <v>19735</v>
      </c>
      <c r="C4377" s="2" t="s">
        <v>19735</v>
      </c>
      <c r="D4377" s="2" t="str">
        <f>"5406726343"</f>
        <v>5406726343</v>
      </c>
      <c r="E4377" s="2" t="s">
        <v>751</v>
      </c>
      <c r="F4377" s="2" t="s">
        <v>19736</v>
      </c>
      <c r="G4377" s="2" t="str">
        <f>"SR-6123"</f>
        <v>SR-6123</v>
      </c>
      <c r="H4377" s="2" t="s">
        <v>19737</v>
      </c>
      <c r="I4377" s="2" t="s">
        <v>19738</v>
      </c>
      <c r="K4377" s="2" t="s">
        <v>19739</v>
      </c>
      <c r="L4377" s="2" t="s">
        <v>165</v>
      </c>
      <c r="M4377" s="2">
        <v>22709.0</v>
      </c>
      <c r="N4377" s="2" t="s">
        <v>21</v>
      </c>
    </row>
    <row r="4378" ht="15.75" customHeight="1">
      <c r="A4378" s="2">
        <v>2015.0</v>
      </c>
      <c r="B4378" s="2" t="s">
        <v>19740</v>
      </c>
      <c r="C4378" s="2" t="s">
        <v>19741</v>
      </c>
      <c r="D4378" s="2" t="str">
        <f>"8178947998"</f>
        <v>8178947998</v>
      </c>
      <c r="E4378" s="2" t="s">
        <v>2243</v>
      </c>
      <c r="F4378" s="2" t="s">
        <v>19742</v>
      </c>
      <c r="G4378" s="2" t="str">
        <f>"SR-6109"</f>
        <v>SR-6109</v>
      </c>
      <c r="H4378" s="2" t="s">
        <v>19743</v>
      </c>
      <c r="I4378" s="2" t="s">
        <v>19744</v>
      </c>
      <c r="K4378" s="2" t="s">
        <v>2046</v>
      </c>
      <c r="L4378" s="2" t="s">
        <v>172</v>
      </c>
      <c r="M4378" s="2">
        <v>76049.0</v>
      </c>
      <c r="N4378" s="2" t="s">
        <v>21</v>
      </c>
    </row>
    <row r="4379" ht="15.75" customHeight="1">
      <c r="A4379" s="2">
        <v>2015.0</v>
      </c>
      <c r="B4379" s="2" t="s">
        <v>19745</v>
      </c>
      <c r="C4379" s="2" t="s">
        <v>19745</v>
      </c>
      <c r="D4379" s="2" t="str">
        <f>"5074771001"</f>
        <v>5074771001</v>
      </c>
      <c r="E4379" s="2" t="s">
        <v>1400</v>
      </c>
      <c r="F4379" s="2" t="s">
        <v>19746</v>
      </c>
      <c r="G4379" s="2" t="str">
        <f>"SR-4513"</f>
        <v>SR-4513</v>
      </c>
      <c r="H4379" s="2" t="s">
        <v>19747</v>
      </c>
      <c r="I4379" s="2" t="s">
        <v>19748</v>
      </c>
      <c r="K4379" s="2" t="s">
        <v>19749</v>
      </c>
      <c r="L4379" s="2" t="s">
        <v>62</v>
      </c>
      <c r="M4379" s="2">
        <v>55940.0</v>
      </c>
      <c r="N4379" s="2" t="s">
        <v>21</v>
      </c>
    </row>
    <row r="4380" ht="15.75" customHeight="1">
      <c r="A4380" s="2">
        <v>2015.0</v>
      </c>
      <c r="B4380" s="2" t="s">
        <v>19750</v>
      </c>
      <c r="C4380" s="2" t="s">
        <v>19750</v>
      </c>
      <c r="D4380" s="2" t="str">
        <f>"610-593-5446"</f>
        <v>610-593-5446</v>
      </c>
      <c r="E4380" s="2" t="s">
        <v>19751</v>
      </c>
      <c r="F4380" s="2" t="s">
        <v>19752</v>
      </c>
      <c r="G4380" s="2" t="str">
        <f>"SR-6126"</f>
        <v>SR-6126</v>
      </c>
      <c r="H4380" s="2" t="s">
        <v>19753</v>
      </c>
      <c r="I4380" s="2" t="s">
        <v>19754</v>
      </c>
      <c r="K4380" s="2" t="s">
        <v>8437</v>
      </c>
      <c r="L4380" s="2" t="s">
        <v>179</v>
      </c>
      <c r="M4380" s="2">
        <v>17562.0</v>
      </c>
      <c r="N4380" s="2" t="s">
        <v>21</v>
      </c>
    </row>
    <row r="4381" ht="15.75" customHeight="1">
      <c r="A4381" s="2">
        <v>2015.0</v>
      </c>
      <c r="B4381" s="2" t="s">
        <v>19755</v>
      </c>
      <c r="C4381" s="2" t="s">
        <v>19756</v>
      </c>
      <c r="D4381" s="2" t="str">
        <f>"852-9170-3079"</f>
        <v>852-9170-3079</v>
      </c>
      <c r="E4381" s="2" t="s">
        <v>590</v>
      </c>
      <c r="F4381" s="2" t="s">
        <v>19757</v>
      </c>
      <c r="G4381" s="2" t="str">
        <f>"SR-6054"</f>
        <v>SR-6054</v>
      </c>
      <c r="H4381" s="2" t="s">
        <v>19758</v>
      </c>
      <c r="I4381" s="2" t="s">
        <v>19759</v>
      </c>
      <c r="K4381" s="2" t="s">
        <v>19760</v>
      </c>
      <c r="L4381" s="2" t="s">
        <v>19761</v>
      </c>
      <c r="M4381" s="2">
        <v>1.0</v>
      </c>
      <c r="N4381" s="2" t="s">
        <v>19761</v>
      </c>
    </row>
    <row r="4382" ht="15.75" customHeight="1">
      <c r="A4382" s="2">
        <v>2015.0</v>
      </c>
      <c r="B4382" s="2" t="s">
        <v>19755</v>
      </c>
      <c r="C4382" s="2" t="s">
        <v>19762</v>
      </c>
      <c r="D4382" s="2" t="str">
        <f>"(852) 6349 7356"</f>
        <v>(852) 6349 7356</v>
      </c>
      <c r="E4382" s="2" t="s">
        <v>453</v>
      </c>
      <c r="F4382" s="2" t="s">
        <v>19757</v>
      </c>
      <c r="G4382" s="2" t="str">
        <f>"SR-6055"</f>
        <v>SR-6055</v>
      </c>
      <c r="H4382" s="2" t="s">
        <v>19763</v>
      </c>
      <c r="I4382" s="2" t="s">
        <v>19759</v>
      </c>
      <c r="J4382" s="2" t="s">
        <v>19760</v>
      </c>
      <c r="K4382" s="2" t="s">
        <v>19761</v>
      </c>
      <c r="N4382" s="2" t="s">
        <v>19761</v>
      </c>
    </row>
    <row r="4383" ht="15.75" customHeight="1">
      <c r="A4383" s="2">
        <v>2015.0</v>
      </c>
      <c r="B4383" s="2" t="s">
        <v>12841</v>
      </c>
      <c r="C4383" s="2" t="s">
        <v>19764</v>
      </c>
      <c r="D4383" s="2" t="str">
        <f>"5057157156"</f>
        <v>5057157156</v>
      </c>
      <c r="E4383" s="2" t="s">
        <v>19765</v>
      </c>
      <c r="F4383" s="2" t="s">
        <v>5981</v>
      </c>
      <c r="G4383" s="2" t="str">
        <f>"SR-6131"</f>
        <v>SR-6131</v>
      </c>
      <c r="H4383" s="2" t="s">
        <v>19766</v>
      </c>
      <c r="I4383" s="2" t="s">
        <v>12843</v>
      </c>
      <c r="K4383" s="2" t="s">
        <v>3803</v>
      </c>
      <c r="L4383" s="2" t="s">
        <v>789</v>
      </c>
      <c r="M4383" s="2">
        <v>87124.0</v>
      </c>
      <c r="N4383" s="2" t="s">
        <v>21</v>
      </c>
    </row>
    <row r="4384" ht="15.75" customHeight="1">
      <c r="A4384" s="2">
        <v>2015.0</v>
      </c>
      <c r="B4384" s="2" t="s">
        <v>19767</v>
      </c>
      <c r="C4384" s="2" t="s">
        <v>19768</v>
      </c>
      <c r="D4384" s="2" t="str">
        <f t="shared" ref="D4384:D4385" si="80">"7208387816"</f>
        <v>7208387816</v>
      </c>
      <c r="E4384" s="2" t="s">
        <v>19769</v>
      </c>
      <c r="F4384" s="2" t="s">
        <v>19770</v>
      </c>
      <c r="G4384" s="2" t="str">
        <f>"SR-6142"</f>
        <v>SR-6142</v>
      </c>
      <c r="H4384" s="2" t="s">
        <v>19771</v>
      </c>
      <c r="I4384" s="2" t="s">
        <v>19772</v>
      </c>
      <c r="K4384" s="2" t="s">
        <v>19773</v>
      </c>
      <c r="L4384" s="2" t="s">
        <v>157</v>
      </c>
      <c r="M4384" s="2">
        <v>80012.0</v>
      </c>
      <c r="N4384" s="2" t="s">
        <v>21</v>
      </c>
    </row>
    <row r="4385" ht="15.75" customHeight="1">
      <c r="A4385" s="2">
        <v>2015.0</v>
      </c>
      <c r="B4385" s="2" t="s">
        <v>19767</v>
      </c>
      <c r="C4385" s="2" t="s">
        <v>19774</v>
      </c>
      <c r="D4385" s="2" t="str">
        <f t="shared" si="80"/>
        <v>7208387816</v>
      </c>
      <c r="E4385" s="2" t="s">
        <v>19775</v>
      </c>
      <c r="F4385" s="2" t="s">
        <v>19770</v>
      </c>
      <c r="G4385" s="2" t="str">
        <f>"SR-6144"</f>
        <v>SR-6144</v>
      </c>
      <c r="H4385" s="2" t="s">
        <v>19776</v>
      </c>
      <c r="I4385" s="2" t="s">
        <v>19777</v>
      </c>
      <c r="K4385" s="2" t="s">
        <v>19773</v>
      </c>
      <c r="L4385" s="2" t="s">
        <v>157</v>
      </c>
      <c r="M4385" s="2">
        <v>80012.0</v>
      </c>
      <c r="N4385" s="2" t="s">
        <v>21</v>
      </c>
    </row>
    <row r="4386" ht="15.75" customHeight="1">
      <c r="A4386" s="2">
        <v>2015.0</v>
      </c>
      <c r="B4386" s="2" t="s">
        <v>19778</v>
      </c>
      <c r="C4386" s="2" t="s">
        <v>19779</v>
      </c>
      <c r="D4386" s="2" t="str">
        <f>"650-814-7701"</f>
        <v>650-814-7701</v>
      </c>
      <c r="E4386" s="2" t="s">
        <v>19780</v>
      </c>
      <c r="F4386" s="2" t="s">
        <v>12059</v>
      </c>
      <c r="G4386" s="2" t="str">
        <f>"SR-6045"</f>
        <v>SR-6045</v>
      </c>
      <c r="H4386" s="2" t="s">
        <v>19781</v>
      </c>
      <c r="I4386" s="2" t="s">
        <v>19782</v>
      </c>
      <c r="K4386" s="2" t="s">
        <v>19783</v>
      </c>
      <c r="L4386" s="2" t="s">
        <v>222</v>
      </c>
      <c r="M4386" s="2">
        <v>94022.0</v>
      </c>
      <c r="N4386" s="2" t="s">
        <v>21</v>
      </c>
    </row>
    <row r="4387" ht="15.75" customHeight="1">
      <c r="A4387" s="2">
        <v>2015.0</v>
      </c>
      <c r="B4387" s="2" t="s">
        <v>19784</v>
      </c>
      <c r="C4387" s="2" t="s">
        <v>19785</v>
      </c>
      <c r="D4387" s="2" t="str">
        <f>"405-627-9238"</f>
        <v>405-627-9238</v>
      </c>
      <c r="E4387" s="2" t="s">
        <v>9619</v>
      </c>
      <c r="F4387" s="2" t="s">
        <v>19786</v>
      </c>
      <c r="G4387" s="2" t="str">
        <f>"SR-5916"</f>
        <v>SR-5916</v>
      </c>
      <c r="H4387" s="2" t="s">
        <v>19787</v>
      </c>
      <c r="I4387" s="2" t="s">
        <v>19788</v>
      </c>
      <c r="K4387" s="2" t="s">
        <v>19789</v>
      </c>
      <c r="L4387" s="2" t="s">
        <v>840</v>
      </c>
      <c r="M4387" s="2">
        <v>73401.0</v>
      </c>
      <c r="N4387" s="2" t="s">
        <v>21</v>
      </c>
    </row>
    <row r="4388" ht="15.75" customHeight="1">
      <c r="A4388" s="2">
        <v>2015.0</v>
      </c>
      <c r="B4388" s="2" t="s">
        <v>19790</v>
      </c>
      <c r="C4388" s="2" t="s">
        <v>19791</v>
      </c>
      <c r="D4388" s="2" t="str">
        <f>"605-641-7893"</f>
        <v>605-641-7893</v>
      </c>
      <c r="E4388" s="2" t="s">
        <v>373</v>
      </c>
      <c r="F4388" s="2" t="s">
        <v>19792</v>
      </c>
      <c r="G4388" s="2" t="str">
        <f>"SR-6130"</f>
        <v>SR-6130</v>
      </c>
      <c r="H4388" s="2" t="s">
        <v>19793</v>
      </c>
      <c r="I4388" s="2" t="s">
        <v>19794</v>
      </c>
      <c r="K4388" s="2" t="s">
        <v>19795</v>
      </c>
      <c r="L4388" s="2" t="s">
        <v>920</v>
      </c>
      <c r="M4388" s="2">
        <v>57754.0</v>
      </c>
      <c r="N4388" s="2" t="s">
        <v>21</v>
      </c>
    </row>
    <row r="4389" ht="15.75" customHeight="1">
      <c r="A4389" s="2">
        <v>2015.0</v>
      </c>
      <c r="B4389" s="2" t="s">
        <v>19796</v>
      </c>
      <c r="C4389" s="2" t="s">
        <v>19796</v>
      </c>
      <c r="D4389" s="2" t="str">
        <f>"8643855137"</f>
        <v>8643855137</v>
      </c>
      <c r="E4389" s="2" t="s">
        <v>19797</v>
      </c>
      <c r="F4389" s="2" t="s">
        <v>19798</v>
      </c>
      <c r="G4389" s="2" t="str">
        <f>"SR-6148"</f>
        <v>SR-6148</v>
      </c>
      <c r="H4389" s="2" t="s">
        <v>19799</v>
      </c>
      <c r="I4389" s="2" t="s">
        <v>19800</v>
      </c>
      <c r="K4389" s="2" t="s">
        <v>19801</v>
      </c>
      <c r="L4389" s="2" t="s">
        <v>55</v>
      </c>
      <c r="M4389" s="2">
        <v>29642.0</v>
      </c>
      <c r="N4389" s="2" t="s">
        <v>21</v>
      </c>
    </row>
    <row r="4390" ht="15.75" customHeight="1">
      <c r="A4390" s="2">
        <v>2015.0</v>
      </c>
      <c r="B4390" s="2" t="s">
        <v>4211</v>
      </c>
      <c r="C4390" s="2" t="s">
        <v>19802</v>
      </c>
      <c r="D4390" s="2" t="str">
        <f>"281-389-7435"</f>
        <v>281-389-7435</v>
      </c>
      <c r="E4390" s="2" t="s">
        <v>167</v>
      </c>
      <c r="F4390" s="2" t="s">
        <v>4213</v>
      </c>
      <c r="G4390" s="2" t="str">
        <f>"SR-6151"</f>
        <v>SR-6151</v>
      </c>
      <c r="H4390" s="2" t="s">
        <v>19803</v>
      </c>
      <c r="I4390" s="2" t="s">
        <v>4215</v>
      </c>
      <c r="K4390" s="2" t="s">
        <v>4216</v>
      </c>
      <c r="L4390" s="2" t="s">
        <v>172</v>
      </c>
      <c r="M4390" s="2">
        <v>77469.0</v>
      </c>
      <c r="N4390" s="2" t="s">
        <v>21</v>
      </c>
    </row>
    <row r="4391" ht="15.75" customHeight="1">
      <c r="A4391" s="2">
        <v>2015.0</v>
      </c>
      <c r="B4391" s="2" t="s">
        <v>19804</v>
      </c>
      <c r="C4391" s="2" t="s">
        <v>19805</v>
      </c>
      <c r="D4391" s="2" t="str">
        <f>"815-274-2883"</f>
        <v>815-274-2883</v>
      </c>
      <c r="E4391" s="2" t="s">
        <v>373</v>
      </c>
      <c r="F4391" s="2" t="s">
        <v>19806</v>
      </c>
      <c r="G4391" s="2" t="str">
        <f>"SR-6102"</f>
        <v>SR-6102</v>
      </c>
      <c r="H4391" s="2" t="s">
        <v>19807</v>
      </c>
      <c r="I4391" s="2" t="s">
        <v>19808</v>
      </c>
      <c r="K4391" s="2" t="s">
        <v>2643</v>
      </c>
      <c r="L4391" s="2" t="s">
        <v>172</v>
      </c>
      <c r="M4391" s="2">
        <v>75028.0</v>
      </c>
      <c r="N4391" s="2" t="s">
        <v>21</v>
      </c>
    </row>
    <row r="4392" ht="15.75" customHeight="1">
      <c r="A4392" s="2">
        <v>2015.0</v>
      </c>
      <c r="B4392" s="2" t="s">
        <v>19809</v>
      </c>
      <c r="C4392" s="2" t="s">
        <v>19809</v>
      </c>
      <c r="D4392" s="2" t="str">
        <f>"(864) 430-6576"</f>
        <v>(864) 430-6576</v>
      </c>
      <c r="E4392" s="2" t="s">
        <v>843</v>
      </c>
      <c r="F4392" s="2" t="s">
        <v>19798</v>
      </c>
      <c r="G4392" s="2" t="str">
        <f>"SR-6149"</f>
        <v>SR-6149</v>
      </c>
      <c r="H4392" s="2" t="s">
        <v>19810</v>
      </c>
      <c r="I4392" s="2" t="s">
        <v>19811</v>
      </c>
      <c r="K4392" s="2" t="s">
        <v>19801</v>
      </c>
      <c r="L4392" s="2" t="s">
        <v>55</v>
      </c>
      <c r="M4392" s="2">
        <v>29642.0</v>
      </c>
      <c r="N4392" s="2" t="s">
        <v>21</v>
      </c>
    </row>
    <row r="4393" ht="15.75" customHeight="1">
      <c r="A4393" s="2">
        <v>2015.0</v>
      </c>
      <c r="B4393" s="2" t="s">
        <v>19812</v>
      </c>
      <c r="C4393" s="2" t="s">
        <v>19813</v>
      </c>
      <c r="D4393" s="2" t="str">
        <f>"985-400-1763"</f>
        <v>985-400-1763</v>
      </c>
      <c r="E4393" s="2" t="s">
        <v>1088</v>
      </c>
      <c r="F4393" s="2" t="s">
        <v>19814</v>
      </c>
      <c r="G4393" s="2" t="str">
        <f>"SR-5430"</f>
        <v>SR-5430</v>
      </c>
      <c r="H4393" s="2" t="s">
        <v>19815</v>
      </c>
      <c r="I4393" s="2" t="s">
        <v>19816</v>
      </c>
      <c r="K4393" s="2" t="s">
        <v>19817</v>
      </c>
      <c r="L4393" s="2" t="s">
        <v>715</v>
      </c>
      <c r="M4393" s="2">
        <v>70447.0</v>
      </c>
      <c r="N4393" s="2" t="s">
        <v>21</v>
      </c>
    </row>
    <row r="4394" ht="15.75" customHeight="1">
      <c r="A4394" s="2">
        <v>2015.0</v>
      </c>
      <c r="B4394" s="2" t="s">
        <v>19812</v>
      </c>
      <c r="C4394" s="2" t="s">
        <v>19818</v>
      </c>
      <c r="D4394" s="2" t="str">
        <f>"985-400-1288"</f>
        <v>985-400-1288</v>
      </c>
      <c r="E4394" s="2" t="s">
        <v>19819</v>
      </c>
      <c r="F4394" s="2" t="s">
        <v>19814</v>
      </c>
      <c r="G4394" s="2" t="str">
        <f>"SR-6152"</f>
        <v>SR-6152</v>
      </c>
      <c r="H4394" s="2" t="s">
        <v>19820</v>
      </c>
      <c r="I4394" s="2" t="s">
        <v>19816</v>
      </c>
      <c r="K4394" s="2" t="s">
        <v>19817</v>
      </c>
      <c r="L4394" s="2" t="s">
        <v>715</v>
      </c>
      <c r="M4394" s="2">
        <v>70447.0</v>
      </c>
      <c r="N4394" s="2" t="s">
        <v>21</v>
      </c>
    </row>
    <row r="4395" ht="15.75" customHeight="1">
      <c r="A4395" s="2">
        <v>2015.0</v>
      </c>
      <c r="B4395" s="2" t="s">
        <v>2077</v>
      </c>
      <c r="C4395" s="2" t="s">
        <v>2077</v>
      </c>
      <c r="D4395" s="2" t="str">
        <f>"817-572-6009"</f>
        <v>817-572-6009</v>
      </c>
      <c r="E4395" s="2" t="s">
        <v>282</v>
      </c>
      <c r="F4395" s="2" t="s">
        <v>2078</v>
      </c>
      <c r="G4395" s="2" t="str">
        <f>"SR-6153"</f>
        <v>SR-6153</v>
      </c>
      <c r="H4395" s="2" t="s">
        <v>2079</v>
      </c>
      <c r="I4395" s="2" t="s">
        <v>2080</v>
      </c>
      <c r="K4395" s="2" t="s">
        <v>882</v>
      </c>
      <c r="L4395" s="2" t="s">
        <v>172</v>
      </c>
      <c r="M4395" s="2">
        <v>76001.0</v>
      </c>
      <c r="N4395" s="2" t="s">
        <v>21</v>
      </c>
    </row>
    <row r="4396" ht="15.75" customHeight="1">
      <c r="A4396" s="2">
        <v>2015.0</v>
      </c>
      <c r="B4396" s="2" t="s">
        <v>19821</v>
      </c>
      <c r="C4396" s="2" t="s">
        <v>19822</v>
      </c>
      <c r="D4396" s="2" t="str">
        <f>"5183710006"</f>
        <v>5183710006</v>
      </c>
      <c r="E4396" s="2" t="s">
        <v>261</v>
      </c>
      <c r="F4396" s="2" t="s">
        <v>19823</v>
      </c>
      <c r="G4396" s="2" t="str">
        <f>"SR-5754"</f>
        <v>SR-5754</v>
      </c>
      <c r="H4396" s="2" t="s">
        <v>19824</v>
      </c>
      <c r="I4396" s="2" t="s">
        <v>19825</v>
      </c>
      <c r="K4396" s="2" t="s">
        <v>19826</v>
      </c>
      <c r="L4396" s="2" t="s">
        <v>142</v>
      </c>
      <c r="M4396" s="2">
        <v>12148.0</v>
      </c>
      <c r="N4396" s="2" t="s">
        <v>21</v>
      </c>
    </row>
    <row r="4397" ht="15.75" customHeight="1">
      <c r="A4397" s="2">
        <v>2015.0</v>
      </c>
      <c r="B4397" s="2" t="s">
        <v>19827</v>
      </c>
      <c r="C4397" s="2" t="s">
        <v>19828</v>
      </c>
      <c r="D4397" s="2" t="str">
        <f>"907-260-3664"</f>
        <v>907-260-3664</v>
      </c>
      <c r="E4397" s="2" t="s">
        <v>5456</v>
      </c>
      <c r="F4397" s="2" t="s">
        <v>1243</v>
      </c>
      <c r="G4397" s="2" t="str">
        <f>"SR-5003"</f>
        <v>SR-5003</v>
      </c>
      <c r="H4397" s="2" t="s">
        <v>19829</v>
      </c>
      <c r="I4397" s="2" t="s">
        <v>19830</v>
      </c>
      <c r="K4397" s="2" t="s">
        <v>1336</v>
      </c>
      <c r="L4397" s="2" t="s">
        <v>70</v>
      </c>
      <c r="M4397" s="2">
        <v>99669.0</v>
      </c>
      <c r="N4397" s="2" t="s">
        <v>21</v>
      </c>
    </row>
    <row r="4398" ht="15.75" customHeight="1">
      <c r="A4398" s="2">
        <v>2015.0</v>
      </c>
      <c r="B4398" s="2" t="s">
        <v>19831</v>
      </c>
      <c r="C4398" s="2" t="s">
        <v>19832</v>
      </c>
      <c r="D4398" s="2" t="str">
        <f>"719-432-9986"</f>
        <v>719-432-9986</v>
      </c>
      <c r="E4398" s="2" t="s">
        <v>14576</v>
      </c>
      <c r="F4398" s="2" t="s">
        <v>199</v>
      </c>
      <c r="G4398" s="2" t="str">
        <f>"SR-6128"</f>
        <v>SR-6128</v>
      </c>
      <c r="H4398" s="2" t="s">
        <v>19833</v>
      </c>
      <c r="I4398" s="2" t="s">
        <v>19834</v>
      </c>
      <c r="K4398" s="2" t="s">
        <v>809</v>
      </c>
      <c r="L4398" s="2" t="s">
        <v>157</v>
      </c>
      <c r="M4398" s="2">
        <v>80922.0</v>
      </c>
      <c r="N4398" s="2" t="s">
        <v>21</v>
      </c>
    </row>
    <row r="4399" ht="15.75" customHeight="1">
      <c r="A4399" s="2">
        <v>2015.0</v>
      </c>
      <c r="B4399" s="2" t="s">
        <v>19835</v>
      </c>
      <c r="C4399" s="2" t="s">
        <v>19836</v>
      </c>
      <c r="D4399" s="2" t="str">
        <f>"9102642114"</f>
        <v>9102642114</v>
      </c>
      <c r="E4399" s="2" t="s">
        <v>19837</v>
      </c>
      <c r="F4399" s="2" t="s">
        <v>19838</v>
      </c>
      <c r="G4399" s="2" t="str">
        <f>"SR-6110"</f>
        <v>SR-6110</v>
      </c>
      <c r="H4399" s="2" t="s">
        <v>19839</v>
      </c>
      <c r="I4399" s="2" t="s">
        <v>19840</v>
      </c>
      <c r="K4399" s="2" t="s">
        <v>19841</v>
      </c>
      <c r="L4399" s="2" t="s">
        <v>20</v>
      </c>
      <c r="M4399" s="2">
        <v>28412.0</v>
      </c>
      <c r="N4399" s="2" t="s">
        <v>21</v>
      </c>
    </row>
    <row r="4400" ht="15.75" customHeight="1">
      <c r="A4400" s="2">
        <v>2015.0</v>
      </c>
      <c r="B4400" s="2" t="s">
        <v>19842</v>
      </c>
      <c r="C4400" s="2" t="s">
        <v>19843</v>
      </c>
      <c r="D4400" s="2" t="str">
        <f>"7173710418"</f>
        <v>7173710418</v>
      </c>
      <c r="E4400" s="2" t="s">
        <v>167</v>
      </c>
      <c r="F4400" s="2" t="s">
        <v>19844</v>
      </c>
      <c r="G4400" s="2" t="str">
        <f>"SR-5834"</f>
        <v>SR-5834</v>
      </c>
      <c r="H4400" s="2" t="s">
        <v>19845</v>
      </c>
      <c r="I4400" s="2" t="s">
        <v>19846</v>
      </c>
      <c r="K4400" s="2" t="s">
        <v>7640</v>
      </c>
      <c r="L4400" s="2" t="s">
        <v>179</v>
      </c>
      <c r="M4400" s="2">
        <v>17543.0</v>
      </c>
      <c r="N4400" s="2" t="s">
        <v>21</v>
      </c>
    </row>
    <row r="4401" ht="15.75" customHeight="1">
      <c r="A4401" s="2">
        <v>2015.0</v>
      </c>
      <c r="B4401" s="2" t="s">
        <v>19847</v>
      </c>
      <c r="C4401" s="2" t="s">
        <v>19847</v>
      </c>
      <c r="D4401" s="2" t="str">
        <f>"9126180544"</f>
        <v>9126180544</v>
      </c>
      <c r="E4401" s="2" t="s">
        <v>718</v>
      </c>
      <c r="F4401" s="2" t="s">
        <v>19848</v>
      </c>
      <c r="G4401" s="2" t="str">
        <f>"SR-6161"</f>
        <v>SR-6161</v>
      </c>
      <c r="H4401" s="2" t="s">
        <v>19849</v>
      </c>
      <c r="I4401" s="2" t="s">
        <v>19850</v>
      </c>
      <c r="K4401" s="2" t="s">
        <v>19033</v>
      </c>
      <c r="L4401" s="2" t="s">
        <v>200</v>
      </c>
      <c r="M4401" s="2">
        <v>30417.0</v>
      </c>
      <c r="N4401" s="2" t="s">
        <v>21</v>
      </c>
    </row>
    <row r="4402" ht="15.75" customHeight="1">
      <c r="A4402" s="2">
        <v>2015.0</v>
      </c>
      <c r="B4402" s="2" t="s">
        <v>19851</v>
      </c>
      <c r="C4402" s="2" t="s">
        <v>19852</v>
      </c>
      <c r="D4402" s="2" t="str">
        <f>"972-355-4644"</f>
        <v>972-355-4644</v>
      </c>
      <c r="E4402" s="2" t="s">
        <v>19853</v>
      </c>
      <c r="F4402" s="2" t="s">
        <v>12373</v>
      </c>
      <c r="G4402" s="2" t="str">
        <f>"SR-6160"</f>
        <v>SR-6160</v>
      </c>
      <c r="H4402" s="2" t="s">
        <v>19854</v>
      </c>
      <c r="I4402" s="2" t="s">
        <v>19855</v>
      </c>
      <c r="K4402" s="2" t="s">
        <v>2643</v>
      </c>
      <c r="L4402" s="2" t="s">
        <v>172</v>
      </c>
      <c r="M4402" s="2">
        <v>75028.0</v>
      </c>
      <c r="N4402" s="2" t="s">
        <v>21</v>
      </c>
    </row>
    <row r="4403" ht="15.75" customHeight="1">
      <c r="A4403" s="2">
        <v>2015.0</v>
      </c>
      <c r="B4403" s="2" t="s">
        <v>19856</v>
      </c>
      <c r="C4403" s="2" t="s">
        <v>19856</v>
      </c>
      <c r="D4403" s="2" t="str">
        <f>"9793242179"</f>
        <v>9793242179</v>
      </c>
      <c r="E4403" s="2" t="s">
        <v>465</v>
      </c>
      <c r="F4403" s="2" t="s">
        <v>19857</v>
      </c>
      <c r="G4403" s="2" t="str">
        <f>"SR-6037"</f>
        <v>SR-6037</v>
      </c>
      <c r="H4403" s="2" t="s">
        <v>19858</v>
      </c>
      <c r="I4403" s="2" t="s">
        <v>19859</v>
      </c>
      <c r="K4403" s="2" t="s">
        <v>2969</v>
      </c>
      <c r="L4403" s="2" t="s">
        <v>172</v>
      </c>
      <c r="M4403" s="2">
        <v>77840.0</v>
      </c>
      <c r="N4403" s="2" t="s">
        <v>21</v>
      </c>
    </row>
    <row r="4404" ht="15.75" customHeight="1">
      <c r="A4404" s="2">
        <v>2015.0</v>
      </c>
      <c r="B4404" s="2" t="s">
        <v>19860</v>
      </c>
      <c r="C4404" s="2" t="s">
        <v>19861</v>
      </c>
      <c r="D4404" s="2" t="str">
        <f>"251-725-4106"</f>
        <v>251-725-4106</v>
      </c>
      <c r="E4404" s="2" t="s">
        <v>7042</v>
      </c>
      <c r="F4404" s="2" t="s">
        <v>8766</v>
      </c>
      <c r="G4404" s="2" t="str">
        <f>"SR-6099"</f>
        <v>SR-6099</v>
      </c>
      <c r="H4404" s="2" t="s">
        <v>19862</v>
      </c>
      <c r="I4404" s="2" t="s">
        <v>19863</v>
      </c>
      <c r="K4404" s="2" t="s">
        <v>5293</v>
      </c>
      <c r="L4404" s="2" t="s">
        <v>539</v>
      </c>
      <c r="M4404" s="2">
        <v>36608.0</v>
      </c>
      <c r="N4404" s="2" t="s">
        <v>21</v>
      </c>
    </row>
    <row r="4405" ht="15.75" customHeight="1">
      <c r="A4405" s="2">
        <v>2015.0</v>
      </c>
      <c r="B4405" s="2" t="s">
        <v>19864</v>
      </c>
      <c r="C4405" s="2" t="s">
        <v>19865</v>
      </c>
      <c r="D4405" s="2" t="str">
        <f>"478-361-1818"</f>
        <v>478-361-1818</v>
      </c>
      <c r="E4405" s="2" t="s">
        <v>19866</v>
      </c>
      <c r="F4405" s="2" t="s">
        <v>2231</v>
      </c>
      <c r="G4405" s="2" t="str">
        <f>"SR-5999"</f>
        <v>SR-5999</v>
      </c>
      <c r="H4405" s="2" t="s">
        <v>19867</v>
      </c>
      <c r="I4405" s="2" t="s">
        <v>19868</v>
      </c>
      <c r="K4405" s="2" t="s">
        <v>19869</v>
      </c>
      <c r="L4405" s="2" t="s">
        <v>200</v>
      </c>
      <c r="M4405" s="2">
        <v>30170.0</v>
      </c>
      <c r="N4405" s="2" t="s">
        <v>21</v>
      </c>
    </row>
    <row r="4406" ht="15.75" customHeight="1">
      <c r="A4406" s="2">
        <v>2015.0</v>
      </c>
      <c r="B4406" s="2" t="s">
        <v>19860</v>
      </c>
      <c r="C4406" s="2" t="s">
        <v>19870</v>
      </c>
      <c r="D4406" s="2" t="str">
        <f>"251-725-3979"</f>
        <v>251-725-3979</v>
      </c>
      <c r="E4406" s="2" t="s">
        <v>19871</v>
      </c>
      <c r="F4406" s="2" t="s">
        <v>8766</v>
      </c>
      <c r="G4406" s="2" t="str">
        <f>"SR-6093"</f>
        <v>SR-6093</v>
      </c>
      <c r="H4406" s="2" t="s">
        <v>19872</v>
      </c>
      <c r="I4406" s="2" t="s">
        <v>19863</v>
      </c>
      <c r="K4406" s="2" t="s">
        <v>5293</v>
      </c>
      <c r="L4406" s="2" t="s">
        <v>539</v>
      </c>
      <c r="M4406" s="2">
        <v>36608.0</v>
      </c>
      <c r="N4406" s="2" t="s">
        <v>21</v>
      </c>
    </row>
    <row r="4407" ht="15.75" customHeight="1">
      <c r="A4407" s="2">
        <v>2015.0</v>
      </c>
      <c r="B4407" s="2" t="s">
        <v>19873</v>
      </c>
      <c r="C4407" s="2" t="s">
        <v>19874</v>
      </c>
      <c r="D4407" s="2" t="str">
        <f>"(972) 390-0959"</f>
        <v>(972) 390-0959</v>
      </c>
      <c r="E4407" s="2" t="s">
        <v>217</v>
      </c>
      <c r="F4407" s="2" t="s">
        <v>9047</v>
      </c>
      <c r="G4407" s="2" t="str">
        <f>"SR-6167"</f>
        <v>SR-6167</v>
      </c>
      <c r="H4407" s="2" t="s">
        <v>19875</v>
      </c>
      <c r="I4407" s="2" t="s">
        <v>19876</v>
      </c>
      <c r="K4407" s="2" t="s">
        <v>3144</v>
      </c>
      <c r="L4407" s="2" t="s">
        <v>172</v>
      </c>
      <c r="M4407" s="2">
        <v>75013.0</v>
      </c>
      <c r="N4407" s="2" t="s">
        <v>21</v>
      </c>
    </row>
    <row r="4408" ht="15.75" customHeight="1">
      <c r="A4408" s="2">
        <v>2015.0</v>
      </c>
      <c r="B4408" s="2" t="s">
        <v>19877</v>
      </c>
      <c r="C4408" s="2" t="s">
        <v>19877</v>
      </c>
      <c r="D4408" s="2" t="str">
        <f>"8157877075"</f>
        <v>8157877075</v>
      </c>
      <c r="E4408" s="2" t="s">
        <v>584</v>
      </c>
      <c r="F4408" s="2" t="s">
        <v>19878</v>
      </c>
      <c r="G4408" s="2" t="str">
        <f>"SR-4908"</f>
        <v>SR-4908</v>
      </c>
      <c r="H4408" s="2" t="s">
        <v>19879</v>
      </c>
      <c r="I4408" s="2" t="s">
        <v>19880</v>
      </c>
      <c r="K4408" s="2" t="s">
        <v>912</v>
      </c>
      <c r="L4408" s="2" t="s">
        <v>105</v>
      </c>
      <c r="M4408" s="2">
        <v>60115.0</v>
      </c>
      <c r="N4408" s="2" t="s">
        <v>21</v>
      </c>
    </row>
    <row r="4409" ht="15.75" customHeight="1">
      <c r="A4409" s="2">
        <v>2015.0</v>
      </c>
      <c r="B4409" s="2" t="s">
        <v>2910</v>
      </c>
      <c r="C4409" s="2" t="s">
        <v>19881</v>
      </c>
      <c r="D4409" s="2" t="str">
        <f>"4696017448"</f>
        <v>4696017448</v>
      </c>
      <c r="E4409" s="2" t="s">
        <v>1135</v>
      </c>
      <c r="F4409" s="2" t="s">
        <v>2913</v>
      </c>
      <c r="G4409" s="2" t="str">
        <f>"SR-6166"</f>
        <v>SR-6166</v>
      </c>
      <c r="H4409" s="2" t="s">
        <v>19882</v>
      </c>
      <c r="I4409" s="2" t="s">
        <v>2915</v>
      </c>
      <c r="K4409" s="2" t="s">
        <v>2643</v>
      </c>
      <c r="L4409" s="2" t="s">
        <v>172</v>
      </c>
      <c r="M4409" s="2">
        <v>75028.0</v>
      </c>
      <c r="N4409" s="2" t="s">
        <v>21</v>
      </c>
    </row>
    <row r="4410" ht="15.75" customHeight="1">
      <c r="A4410" s="2">
        <v>2015.0</v>
      </c>
      <c r="B4410" s="2" t="s">
        <v>19883</v>
      </c>
      <c r="C4410" s="2" t="s">
        <v>19883</v>
      </c>
      <c r="D4410" s="2" t="str">
        <f>"6122980412"</f>
        <v>6122980412</v>
      </c>
      <c r="E4410" s="2" t="s">
        <v>19884</v>
      </c>
      <c r="F4410" s="2" t="s">
        <v>19885</v>
      </c>
      <c r="G4410" s="2" t="str">
        <f>"SR-5821"</f>
        <v>SR-5821</v>
      </c>
      <c r="H4410" s="2" t="s">
        <v>19886</v>
      </c>
      <c r="I4410" s="2" t="s">
        <v>19887</v>
      </c>
      <c r="K4410" s="2" t="s">
        <v>19888</v>
      </c>
      <c r="L4410" s="2" t="s">
        <v>62</v>
      </c>
      <c r="M4410" s="2">
        <v>55303.0</v>
      </c>
      <c r="N4410" s="2" t="s">
        <v>21</v>
      </c>
    </row>
    <row r="4411" ht="15.75" customHeight="1">
      <c r="A4411" s="2">
        <v>2015.0</v>
      </c>
      <c r="B4411" s="2" t="s">
        <v>19889</v>
      </c>
      <c r="C4411" s="2" t="s">
        <v>19890</v>
      </c>
      <c r="D4411" s="2" t="str">
        <f>"8065446382"</f>
        <v>8065446382</v>
      </c>
      <c r="E4411" s="2" t="s">
        <v>217</v>
      </c>
      <c r="F4411" s="2" t="s">
        <v>19891</v>
      </c>
      <c r="G4411" s="2" t="str">
        <f>"SR-6103"</f>
        <v>SR-6103</v>
      </c>
      <c r="H4411" s="2" t="s">
        <v>19892</v>
      </c>
      <c r="I4411" s="2" t="s">
        <v>19893</v>
      </c>
      <c r="K4411" s="2" t="s">
        <v>1121</v>
      </c>
      <c r="L4411" s="2" t="s">
        <v>172</v>
      </c>
      <c r="M4411" s="2">
        <v>79424.0</v>
      </c>
      <c r="N4411" s="2" t="s">
        <v>21</v>
      </c>
    </row>
    <row r="4412" ht="15.75" customHeight="1">
      <c r="A4412" s="2">
        <v>2015.0</v>
      </c>
      <c r="B4412" s="2" t="s">
        <v>19894</v>
      </c>
      <c r="C4412" s="2" t="s">
        <v>19894</v>
      </c>
      <c r="D4412" s="2" t="str">
        <f>"4054262129"</f>
        <v>4054262129</v>
      </c>
      <c r="E4412" s="2" t="s">
        <v>19895</v>
      </c>
      <c r="F4412" s="2" t="s">
        <v>94</v>
      </c>
      <c r="G4412" s="2" t="str">
        <f>"SR-6175"</f>
        <v>SR-6175</v>
      </c>
      <c r="H4412" s="2" t="s">
        <v>19896</v>
      </c>
      <c r="I4412" s="2" t="s">
        <v>19897</v>
      </c>
      <c r="K4412" s="2" t="s">
        <v>1546</v>
      </c>
      <c r="L4412" s="2" t="s">
        <v>840</v>
      </c>
      <c r="M4412" s="2">
        <v>73034.0</v>
      </c>
      <c r="N4412" s="2" t="s">
        <v>21</v>
      </c>
    </row>
    <row r="4413" ht="15.75" customHeight="1">
      <c r="A4413" s="2">
        <v>2015.0</v>
      </c>
      <c r="B4413" s="2" t="s">
        <v>19898</v>
      </c>
      <c r="C4413" s="2" t="s">
        <v>19899</v>
      </c>
      <c r="D4413" s="2" t="str">
        <f>"8052707609"</f>
        <v>8052707609</v>
      </c>
      <c r="E4413" s="2" t="s">
        <v>137</v>
      </c>
      <c r="F4413" s="2" t="s">
        <v>19900</v>
      </c>
      <c r="G4413" s="2" t="str">
        <f>"SR-5276"</f>
        <v>SR-5276</v>
      </c>
      <c r="H4413" s="2" t="s">
        <v>19901</v>
      </c>
      <c r="I4413" s="2" t="s">
        <v>19902</v>
      </c>
      <c r="K4413" s="2" t="s">
        <v>19903</v>
      </c>
      <c r="L4413" s="2" t="s">
        <v>222</v>
      </c>
      <c r="M4413" s="2">
        <v>93455.0</v>
      </c>
      <c r="N4413" s="2" t="s">
        <v>21</v>
      </c>
    </row>
    <row r="4414" ht="15.75" customHeight="1">
      <c r="A4414" s="2">
        <v>2015.0</v>
      </c>
      <c r="B4414" s="2" t="s">
        <v>19904</v>
      </c>
      <c r="C4414" s="2" t="s">
        <v>19904</v>
      </c>
      <c r="D4414" s="2" t="str">
        <f>"1-208-559-4007"</f>
        <v>1-208-559-4007</v>
      </c>
      <c r="E4414" s="2" t="s">
        <v>14005</v>
      </c>
      <c r="F4414" s="2" t="s">
        <v>5911</v>
      </c>
      <c r="G4414" s="2" t="str">
        <f>"SR-6147"</f>
        <v>SR-6147</v>
      </c>
      <c r="H4414" s="2" t="s">
        <v>19905</v>
      </c>
      <c r="I4414" s="2" t="s">
        <v>19906</v>
      </c>
      <c r="K4414" s="2" t="s">
        <v>10703</v>
      </c>
      <c r="L4414" s="2" t="s">
        <v>2613</v>
      </c>
      <c r="M4414" s="2">
        <v>83686.0</v>
      </c>
      <c r="N4414" s="2" t="s">
        <v>21</v>
      </c>
    </row>
    <row r="4415" ht="15.75" customHeight="1">
      <c r="A4415" s="2">
        <v>2015.0</v>
      </c>
      <c r="B4415" s="2" t="s">
        <v>19907</v>
      </c>
      <c r="C4415" s="2" t="s">
        <v>19908</v>
      </c>
      <c r="D4415" s="2" t="str">
        <f>"214-448-6665"</f>
        <v>214-448-6665</v>
      </c>
      <c r="E4415" s="2" t="s">
        <v>7864</v>
      </c>
      <c r="F4415" s="2" t="s">
        <v>14629</v>
      </c>
      <c r="G4415" s="2" t="str">
        <f>"SR-5762"</f>
        <v>SR-5762</v>
      </c>
      <c r="H4415" s="2" t="s">
        <v>19909</v>
      </c>
      <c r="I4415" s="2" t="s">
        <v>19910</v>
      </c>
      <c r="J4415" s="2" t="s">
        <v>19911</v>
      </c>
      <c r="K4415" s="2" t="s">
        <v>3135</v>
      </c>
      <c r="N4415" s="2" t="s">
        <v>1626</v>
      </c>
    </row>
    <row r="4416" ht="15.75" customHeight="1">
      <c r="A4416" s="2">
        <v>2015.0</v>
      </c>
      <c r="B4416" s="2" t="s">
        <v>19912</v>
      </c>
      <c r="C4416" s="2" t="s">
        <v>19913</v>
      </c>
      <c r="D4416" s="2" t="str">
        <f t="shared" ref="D4416:D4417" si="81">"3216391994"</f>
        <v>3216391994</v>
      </c>
      <c r="E4416" s="2" t="s">
        <v>2857</v>
      </c>
      <c r="F4416" s="2" t="s">
        <v>19914</v>
      </c>
      <c r="G4416" s="2" t="str">
        <f>"SR-5958"</f>
        <v>SR-5958</v>
      </c>
      <c r="H4416" s="2" t="s">
        <v>19915</v>
      </c>
      <c r="I4416" s="2" t="s">
        <v>19916</v>
      </c>
      <c r="K4416" s="2" t="s">
        <v>6842</v>
      </c>
      <c r="L4416" s="2" t="s">
        <v>208</v>
      </c>
      <c r="M4416" s="2">
        <v>32926.0</v>
      </c>
      <c r="N4416" s="2" t="s">
        <v>21</v>
      </c>
    </row>
    <row r="4417" ht="15.75" customHeight="1">
      <c r="A4417" s="2">
        <v>2015.0</v>
      </c>
      <c r="B4417" s="2" t="s">
        <v>19912</v>
      </c>
      <c r="C4417" s="2" t="s">
        <v>19913</v>
      </c>
      <c r="D4417" s="2" t="str">
        <f t="shared" si="81"/>
        <v>3216391994</v>
      </c>
      <c r="E4417" s="2" t="s">
        <v>2089</v>
      </c>
      <c r="F4417" s="2" t="s">
        <v>19914</v>
      </c>
      <c r="G4417" s="2" t="str">
        <f>"SR-5957"</f>
        <v>SR-5957</v>
      </c>
      <c r="H4417" s="2" t="s">
        <v>19917</v>
      </c>
      <c r="I4417" s="2" t="s">
        <v>19916</v>
      </c>
      <c r="K4417" s="2" t="s">
        <v>6842</v>
      </c>
      <c r="L4417" s="2" t="s">
        <v>208</v>
      </c>
      <c r="M4417" s="2">
        <v>32926.0</v>
      </c>
      <c r="N4417" s="2" t="s">
        <v>21</v>
      </c>
    </row>
    <row r="4418" ht="15.75" customHeight="1">
      <c r="A4418" s="2">
        <v>2015.0</v>
      </c>
      <c r="B4418" s="2" t="s">
        <v>19918</v>
      </c>
      <c r="C4418" s="2" t="s">
        <v>19918</v>
      </c>
      <c r="D4418" s="2" t="str">
        <f>"443-500-4604"</f>
        <v>443-500-4604</v>
      </c>
      <c r="E4418" s="2" t="s">
        <v>8378</v>
      </c>
      <c r="F4418" s="2" t="s">
        <v>19919</v>
      </c>
      <c r="G4418" s="2" t="str">
        <f>"SR-5992"</f>
        <v>SR-5992</v>
      </c>
      <c r="H4418" s="2" t="s">
        <v>19920</v>
      </c>
      <c r="I4418" s="2" t="s">
        <v>19921</v>
      </c>
      <c r="K4418" s="2" t="s">
        <v>18168</v>
      </c>
      <c r="L4418" s="2" t="s">
        <v>1868</v>
      </c>
      <c r="M4418" s="2">
        <v>21234.0</v>
      </c>
      <c r="N4418" s="2" t="s">
        <v>21</v>
      </c>
    </row>
    <row r="4419" ht="15.75" customHeight="1">
      <c r="A4419" s="2">
        <v>2015.0</v>
      </c>
      <c r="B4419" s="2" t="s">
        <v>19922</v>
      </c>
      <c r="C4419" s="2" t="s">
        <v>19923</v>
      </c>
      <c r="D4419" s="2" t="str">
        <f>"713-540-3653"</f>
        <v>713-540-3653</v>
      </c>
      <c r="E4419" s="2" t="s">
        <v>13027</v>
      </c>
      <c r="F4419" s="2" t="s">
        <v>962</v>
      </c>
      <c r="G4419" s="2" t="str">
        <f>"SR-6165"</f>
        <v>SR-6165</v>
      </c>
      <c r="H4419" s="2" t="s">
        <v>13028</v>
      </c>
      <c r="I4419" s="2" t="s">
        <v>19924</v>
      </c>
      <c r="K4419" s="2" t="s">
        <v>6499</v>
      </c>
      <c r="L4419" s="2" t="s">
        <v>172</v>
      </c>
      <c r="M4419" s="2">
        <v>77450.0</v>
      </c>
      <c r="N4419" s="2" t="s">
        <v>21</v>
      </c>
    </row>
    <row r="4420" ht="15.75" customHeight="1">
      <c r="A4420" s="2">
        <v>2015.0</v>
      </c>
      <c r="B4420" s="2" t="s">
        <v>19925</v>
      </c>
      <c r="C4420" s="2" t="s">
        <v>19926</v>
      </c>
      <c r="D4420" s="2" t="str">
        <f>"6037586495"</f>
        <v>6037586495</v>
      </c>
      <c r="E4420" s="2" t="s">
        <v>2243</v>
      </c>
      <c r="F4420" s="2" t="s">
        <v>19927</v>
      </c>
      <c r="G4420" s="2" t="str">
        <f>"SR-6059"</f>
        <v>SR-6059</v>
      </c>
      <c r="H4420" s="2" t="s">
        <v>19928</v>
      </c>
      <c r="I4420" s="2" t="s">
        <v>19929</v>
      </c>
      <c r="K4420" s="2" t="s">
        <v>7133</v>
      </c>
      <c r="L4420" s="2" t="s">
        <v>19930</v>
      </c>
      <c r="M4420" s="2">
        <v>3842.0</v>
      </c>
      <c r="N4420" s="2" t="s">
        <v>21</v>
      </c>
    </row>
    <row r="4421" ht="15.75" customHeight="1">
      <c r="A4421" s="2">
        <v>2015.0</v>
      </c>
      <c r="B4421" s="2" t="s">
        <v>19931</v>
      </c>
      <c r="C4421" s="2" t="s">
        <v>19932</v>
      </c>
      <c r="D4421" s="2" t="str">
        <f>"4178851362"</f>
        <v>4178851362</v>
      </c>
      <c r="E4421" s="2" t="s">
        <v>2162</v>
      </c>
      <c r="F4421" s="2" t="s">
        <v>19933</v>
      </c>
      <c r="G4421" s="2" t="str">
        <f>"SR-5711"</f>
        <v>SR-5711</v>
      </c>
      <c r="H4421" s="2" t="s">
        <v>19934</v>
      </c>
      <c r="I4421" s="2" t="s">
        <v>19935</v>
      </c>
      <c r="K4421" s="2" t="s">
        <v>19936</v>
      </c>
      <c r="L4421" s="2" t="s">
        <v>214</v>
      </c>
      <c r="M4421" s="2">
        <v>65619.0</v>
      </c>
      <c r="N4421" s="2" t="s">
        <v>21</v>
      </c>
    </row>
    <row r="4422" ht="15.75" customHeight="1">
      <c r="A4422" s="2">
        <v>2015.0</v>
      </c>
      <c r="B4422" s="2" t="s">
        <v>19931</v>
      </c>
      <c r="C4422" s="2" t="s">
        <v>19937</v>
      </c>
      <c r="D4422" s="2" t="str">
        <f>"417-885-1362"</f>
        <v>417-885-1362</v>
      </c>
      <c r="E4422" s="2" t="s">
        <v>447</v>
      </c>
      <c r="F4422" s="2" t="s">
        <v>19933</v>
      </c>
      <c r="G4422" s="2" t="str">
        <f>"SR-5712"</f>
        <v>SR-5712</v>
      </c>
      <c r="H4422" s="2" t="s">
        <v>19938</v>
      </c>
      <c r="I4422" s="2" t="s">
        <v>19935</v>
      </c>
      <c r="K4422" s="2" t="s">
        <v>19936</v>
      </c>
      <c r="L4422" s="2" t="s">
        <v>214</v>
      </c>
      <c r="M4422" s="2">
        <v>65619.0</v>
      </c>
      <c r="N4422" s="2" t="s">
        <v>21</v>
      </c>
    </row>
    <row r="4423" ht="15.75" customHeight="1">
      <c r="A4423" s="2">
        <v>2015.0</v>
      </c>
      <c r="B4423" s="2" t="s">
        <v>19939</v>
      </c>
      <c r="C4423" s="2" t="s">
        <v>19940</v>
      </c>
      <c r="D4423" s="2" t="str">
        <f>"919-805-2153"</f>
        <v>919-805-2153</v>
      </c>
      <c r="E4423" s="2" t="s">
        <v>1263</v>
      </c>
      <c r="F4423" s="2" t="s">
        <v>19941</v>
      </c>
      <c r="G4423" s="2" t="str">
        <f>"SR-5080"</f>
        <v>SR-5080</v>
      </c>
      <c r="H4423" s="2" t="s">
        <v>19942</v>
      </c>
      <c r="I4423" s="2" t="s">
        <v>19943</v>
      </c>
      <c r="K4423" s="2" t="s">
        <v>19944</v>
      </c>
      <c r="L4423" s="2" t="s">
        <v>20</v>
      </c>
      <c r="M4423" s="2">
        <v>27522.0</v>
      </c>
      <c r="N4423" s="2" t="s">
        <v>21</v>
      </c>
    </row>
    <row r="4424" ht="15.75" customHeight="1">
      <c r="A4424" s="2">
        <v>2015.0</v>
      </c>
      <c r="B4424" s="2" t="s">
        <v>19945</v>
      </c>
      <c r="C4424" s="2" t="s">
        <v>19946</v>
      </c>
      <c r="D4424" s="2" t="str">
        <f>"623-451-5124"</f>
        <v>623-451-5124</v>
      </c>
      <c r="E4424" s="2" t="s">
        <v>1239</v>
      </c>
      <c r="F4424" s="2" t="s">
        <v>19947</v>
      </c>
      <c r="G4424" s="2" t="str">
        <f>"SR-5868"</f>
        <v>SR-5868</v>
      </c>
      <c r="H4424" s="2" t="s">
        <v>19948</v>
      </c>
      <c r="I4424" s="2" t="s">
        <v>19949</v>
      </c>
      <c r="K4424" s="2" t="s">
        <v>19950</v>
      </c>
      <c r="L4424" s="2" t="s">
        <v>422</v>
      </c>
      <c r="M4424" s="2">
        <v>85379.0</v>
      </c>
      <c r="N4424" s="2" t="s">
        <v>21</v>
      </c>
    </row>
    <row r="4425" ht="15.75" customHeight="1">
      <c r="A4425" s="2">
        <v>2015.0</v>
      </c>
      <c r="B4425" s="2" t="s">
        <v>19951</v>
      </c>
      <c r="C4425" s="2" t="s">
        <v>19952</v>
      </c>
      <c r="D4425" s="2" t="str">
        <f>"406-896-1235"</f>
        <v>406-896-1235</v>
      </c>
      <c r="E4425" s="2" t="s">
        <v>1548</v>
      </c>
      <c r="F4425" s="2" t="s">
        <v>2636</v>
      </c>
      <c r="G4425" s="2" t="str">
        <f>"SR-6181"</f>
        <v>SR-6181</v>
      </c>
      <c r="H4425" s="2" t="s">
        <v>19953</v>
      </c>
      <c r="I4425" s="2" t="s">
        <v>19954</v>
      </c>
      <c r="K4425" s="2" t="s">
        <v>3548</v>
      </c>
      <c r="L4425" s="2" t="s">
        <v>2696</v>
      </c>
      <c r="M4425" s="2">
        <v>59105.0</v>
      </c>
      <c r="N4425" s="2" t="s">
        <v>21</v>
      </c>
    </row>
    <row r="4426" ht="15.75" customHeight="1">
      <c r="A4426" s="2">
        <v>2015.0</v>
      </c>
      <c r="B4426" s="2" t="s">
        <v>8331</v>
      </c>
      <c r="C4426" s="2" t="s">
        <v>8331</v>
      </c>
      <c r="D4426" s="2" t="str">
        <f>"5039851911"</f>
        <v>5039851911</v>
      </c>
      <c r="E4426" s="2" t="s">
        <v>8332</v>
      </c>
      <c r="F4426" s="2" t="s">
        <v>8333</v>
      </c>
      <c r="G4426" s="2" t="str">
        <f>"SR-1260"</f>
        <v>SR-1260</v>
      </c>
      <c r="H4426" s="2" t="s">
        <v>8334</v>
      </c>
      <c r="I4426" s="2" t="s">
        <v>8335</v>
      </c>
      <c r="K4426" s="2" t="s">
        <v>4054</v>
      </c>
      <c r="L4426" s="2" t="s">
        <v>2389</v>
      </c>
      <c r="M4426" s="2">
        <v>97119.0</v>
      </c>
      <c r="N4426" s="2" t="s">
        <v>21</v>
      </c>
    </row>
    <row r="4427" ht="15.75" customHeight="1">
      <c r="A4427" s="2">
        <v>2015.0</v>
      </c>
      <c r="B4427" s="2" t="s">
        <v>19955</v>
      </c>
      <c r="C4427" s="2" t="s">
        <v>19956</v>
      </c>
      <c r="D4427" s="2" t="str">
        <f>"770-632-7445"</f>
        <v>770-632-7445</v>
      </c>
      <c r="E4427" s="2" t="s">
        <v>678</v>
      </c>
      <c r="F4427" s="2" t="s">
        <v>19957</v>
      </c>
      <c r="G4427" s="2" t="str">
        <f>"SR-6157"</f>
        <v>SR-6157</v>
      </c>
      <c r="H4427" s="2" t="s">
        <v>19958</v>
      </c>
      <c r="I4427" s="2" t="s">
        <v>19959</v>
      </c>
      <c r="K4427" s="2" t="s">
        <v>2192</v>
      </c>
      <c r="L4427" s="2" t="s">
        <v>200</v>
      </c>
      <c r="M4427" s="2">
        <v>30269.0</v>
      </c>
      <c r="N4427" s="2" t="s">
        <v>21</v>
      </c>
    </row>
    <row r="4428" ht="15.75" customHeight="1">
      <c r="A4428" s="2">
        <v>2015.0</v>
      </c>
      <c r="B4428" s="2" t="s">
        <v>19960</v>
      </c>
      <c r="C4428" s="2" t="s">
        <v>19961</v>
      </c>
      <c r="D4428" s="2" t="str">
        <f>"336-817-3488"</f>
        <v>336-817-3488</v>
      </c>
      <c r="E4428" s="2" t="s">
        <v>922</v>
      </c>
      <c r="F4428" s="2" t="s">
        <v>19962</v>
      </c>
      <c r="G4428" s="2" t="str">
        <f>"SR-6184"</f>
        <v>SR-6184</v>
      </c>
      <c r="H4428" s="2" t="s">
        <v>19963</v>
      </c>
      <c r="I4428" s="2" t="s">
        <v>19964</v>
      </c>
      <c r="K4428" s="2" t="s">
        <v>4174</v>
      </c>
      <c r="L4428" s="2" t="s">
        <v>20</v>
      </c>
      <c r="M4428" s="2">
        <v>27023.0</v>
      </c>
      <c r="N4428" s="2" t="s">
        <v>21</v>
      </c>
    </row>
    <row r="4429" ht="15.75" customHeight="1">
      <c r="A4429" s="2">
        <v>2015.0</v>
      </c>
      <c r="B4429" s="2" t="s">
        <v>8914</v>
      </c>
      <c r="C4429" s="2" t="s">
        <v>8914</v>
      </c>
      <c r="D4429" s="2" t="str">
        <f>"614-581-0838"</f>
        <v>614-581-0838</v>
      </c>
      <c r="E4429" s="2" t="s">
        <v>1782</v>
      </c>
      <c r="F4429" s="2" t="s">
        <v>8915</v>
      </c>
      <c r="G4429" s="2" t="str">
        <f>"SR-2561"</f>
        <v>SR-2561</v>
      </c>
      <c r="H4429" s="2" t="s">
        <v>8916</v>
      </c>
      <c r="I4429" s="2" t="s">
        <v>8917</v>
      </c>
      <c r="K4429" s="2" t="s">
        <v>3273</v>
      </c>
      <c r="L4429" s="2" t="s">
        <v>560</v>
      </c>
      <c r="M4429" s="2">
        <v>52402.0</v>
      </c>
      <c r="N4429" s="2" t="s">
        <v>21</v>
      </c>
    </row>
    <row r="4430" ht="15.75" customHeight="1">
      <c r="A4430" s="2">
        <v>2015.0</v>
      </c>
      <c r="B4430" s="2" t="s">
        <v>19965</v>
      </c>
      <c r="C4430" s="2" t="s">
        <v>19965</v>
      </c>
      <c r="D4430" s="2" t="str">
        <f>"7345877129"</f>
        <v>7345877129</v>
      </c>
      <c r="E4430" s="2" t="s">
        <v>167</v>
      </c>
      <c r="F4430" s="2" t="s">
        <v>19966</v>
      </c>
      <c r="G4430" s="2" t="str">
        <f>"SR-6189"</f>
        <v>SR-6189</v>
      </c>
      <c r="H4430" s="2" t="s">
        <v>19967</v>
      </c>
      <c r="I4430" s="2" t="s">
        <v>19968</v>
      </c>
      <c r="K4430" s="2" t="s">
        <v>19969</v>
      </c>
      <c r="L4430" s="2" t="s">
        <v>29</v>
      </c>
      <c r="M4430" s="2">
        <v>48117.0</v>
      </c>
      <c r="N4430" s="2" t="s">
        <v>21</v>
      </c>
    </row>
    <row r="4431" ht="15.75" customHeight="1">
      <c r="A4431" s="2">
        <v>2015.0</v>
      </c>
      <c r="B4431" s="2" t="s">
        <v>19970</v>
      </c>
      <c r="C4431" s="2" t="s">
        <v>19970</v>
      </c>
      <c r="D4431" s="2" t="str">
        <f>"618 416 0317"</f>
        <v>618 416 0317</v>
      </c>
      <c r="E4431" s="2" t="s">
        <v>113</v>
      </c>
      <c r="F4431" s="2" t="s">
        <v>19971</v>
      </c>
      <c r="G4431" s="2" t="str">
        <f>"SR-5221"</f>
        <v>SR-5221</v>
      </c>
      <c r="H4431" s="2" t="s">
        <v>19972</v>
      </c>
      <c r="I4431" s="2" t="s">
        <v>19973</v>
      </c>
      <c r="K4431" s="2" t="s">
        <v>19974</v>
      </c>
      <c r="L4431" s="2" t="s">
        <v>105</v>
      </c>
      <c r="M4431" s="2">
        <v>62226.0</v>
      </c>
      <c r="N4431" s="2" t="s">
        <v>21</v>
      </c>
    </row>
    <row r="4432" ht="15.75" customHeight="1">
      <c r="A4432" s="2">
        <v>2015.0</v>
      </c>
      <c r="B4432" s="2" t="s">
        <v>19975</v>
      </c>
      <c r="C4432" s="2" t="s">
        <v>19975</v>
      </c>
      <c r="D4432" s="2" t="str">
        <f>"719-232-3300"</f>
        <v>719-232-3300</v>
      </c>
      <c r="E4432" s="2" t="s">
        <v>6606</v>
      </c>
      <c r="F4432" s="2" t="s">
        <v>19976</v>
      </c>
      <c r="G4432" s="2" t="str">
        <f>"SR-6196"</f>
        <v>SR-6196</v>
      </c>
      <c r="H4432" s="2" t="s">
        <v>19977</v>
      </c>
      <c r="I4432" s="2" t="s">
        <v>19978</v>
      </c>
      <c r="K4432" s="2" t="s">
        <v>809</v>
      </c>
      <c r="L4432" s="2" t="s">
        <v>157</v>
      </c>
      <c r="M4432" s="2">
        <v>80919.0</v>
      </c>
      <c r="N4432" s="2" t="s">
        <v>21</v>
      </c>
    </row>
    <row r="4433" ht="15.75" customHeight="1">
      <c r="A4433" s="2">
        <v>2015.0</v>
      </c>
      <c r="B4433" s="2" t="s">
        <v>19979</v>
      </c>
      <c r="C4433" s="2" t="s">
        <v>19980</v>
      </c>
      <c r="D4433" s="2" t="str">
        <f>"813-495-2293"</f>
        <v>813-495-2293</v>
      </c>
      <c r="E4433" s="2" t="s">
        <v>534</v>
      </c>
      <c r="F4433" s="2" t="s">
        <v>19981</v>
      </c>
      <c r="G4433" s="2" t="str">
        <f>"SR-6069"</f>
        <v>SR-6069</v>
      </c>
      <c r="H4433" s="2" t="s">
        <v>19982</v>
      </c>
      <c r="I4433" s="2" t="s">
        <v>19983</v>
      </c>
      <c r="K4433" s="2" t="s">
        <v>3431</v>
      </c>
      <c r="L4433" s="2" t="s">
        <v>208</v>
      </c>
      <c r="M4433" s="2">
        <v>33629.0</v>
      </c>
      <c r="N4433" s="2" t="s">
        <v>21</v>
      </c>
    </row>
    <row r="4434" ht="15.75" customHeight="1">
      <c r="A4434" s="2">
        <v>2015.0</v>
      </c>
      <c r="B4434" s="2" t="s">
        <v>19984</v>
      </c>
      <c r="C4434" s="2" t="s">
        <v>14642</v>
      </c>
      <c r="D4434" s="2" t="str">
        <f>"9702591602"</f>
        <v>9702591602</v>
      </c>
      <c r="E4434" s="2" t="s">
        <v>931</v>
      </c>
      <c r="F4434" s="2" t="s">
        <v>1151</v>
      </c>
      <c r="G4434" s="2" t="str">
        <f>"SR-5881"</f>
        <v>SR-5881</v>
      </c>
      <c r="H4434" s="2" t="s">
        <v>14886</v>
      </c>
      <c r="I4434" s="2">
        <v>1619.0</v>
      </c>
      <c r="J4434" s="2" t="s">
        <v>19985</v>
      </c>
      <c r="K4434" s="2" t="s">
        <v>14645</v>
      </c>
      <c r="L4434" s="2" t="s">
        <v>157</v>
      </c>
      <c r="M4434" s="2">
        <v>81301.0</v>
      </c>
      <c r="N4434" s="2" t="s">
        <v>21</v>
      </c>
    </row>
    <row r="4435" ht="15.75" customHeight="1">
      <c r="A4435" s="2">
        <v>2015.0</v>
      </c>
      <c r="B4435" s="2" t="s">
        <v>19986</v>
      </c>
      <c r="C4435" s="2" t="s">
        <v>19986</v>
      </c>
      <c r="D4435" s="2" t="str">
        <f>"319-899-7707"</f>
        <v>319-899-7707</v>
      </c>
      <c r="E4435" s="2" t="s">
        <v>160</v>
      </c>
      <c r="F4435" s="2" t="s">
        <v>3893</v>
      </c>
      <c r="G4435" s="2" t="str">
        <f>"SR-6195"</f>
        <v>SR-6195</v>
      </c>
      <c r="H4435" s="2" t="s">
        <v>19987</v>
      </c>
      <c r="I4435" s="2" t="s">
        <v>3895</v>
      </c>
      <c r="K4435" s="2" t="s">
        <v>3273</v>
      </c>
      <c r="L4435" s="2" t="s">
        <v>560</v>
      </c>
      <c r="M4435" s="2">
        <v>52402.0</v>
      </c>
      <c r="N4435" s="2" t="s">
        <v>21</v>
      </c>
    </row>
    <row r="4436" ht="15.75" customHeight="1">
      <c r="A4436" s="2">
        <v>2015.0</v>
      </c>
      <c r="B4436" s="2" t="s">
        <v>19988</v>
      </c>
      <c r="C4436" s="2" t="s">
        <v>19988</v>
      </c>
      <c r="D4436" s="2" t="str">
        <f>"9702591602"</f>
        <v>9702591602</v>
      </c>
      <c r="E4436" s="2" t="s">
        <v>5760</v>
      </c>
      <c r="F4436" s="2" t="s">
        <v>1151</v>
      </c>
      <c r="G4436" s="2" t="str">
        <f>"SR-5880"</f>
        <v>SR-5880</v>
      </c>
      <c r="H4436" s="2" t="s">
        <v>14887</v>
      </c>
      <c r="I4436" s="2" t="s">
        <v>14644</v>
      </c>
      <c r="K4436" s="2" t="s">
        <v>14645</v>
      </c>
      <c r="L4436" s="2" t="s">
        <v>157</v>
      </c>
      <c r="M4436" s="2">
        <v>81301.0</v>
      </c>
      <c r="N4436" s="2" t="s">
        <v>21</v>
      </c>
    </row>
    <row r="4437" ht="15.75" customHeight="1">
      <c r="A4437" s="2">
        <v>2015.0</v>
      </c>
      <c r="B4437" s="2" t="s">
        <v>19989</v>
      </c>
      <c r="C4437" s="2" t="s">
        <v>19990</v>
      </c>
      <c r="D4437" s="2" t="str">
        <f>"(310) 750-7601"</f>
        <v>(310) 750-7601</v>
      </c>
      <c r="E4437" s="2" t="s">
        <v>14422</v>
      </c>
      <c r="F4437" s="2" t="s">
        <v>12597</v>
      </c>
      <c r="G4437" s="2" t="str">
        <f>"SR-6132"</f>
        <v>SR-6132</v>
      </c>
      <c r="H4437" s="2" t="s">
        <v>19991</v>
      </c>
      <c r="I4437" s="2" t="s">
        <v>12599</v>
      </c>
      <c r="K4437" s="2" t="s">
        <v>19992</v>
      </c>
      <c r="L4437" s="2" t="s">
        <v>222</v>
      </c>
      <c r="M4437" s="2">
        <v>90275.0</v>
      </c>
      <c r="N4437" s="2" t="s">
        <v>21</v>
      </c>
    </row>
    <row r="4438" ht="15.75" customHeight="1">
      <c r="A4438" s="2">
        <v>2015.0</v>
      </c>
      <c r="B4438" s="2" t="s">
        <v>19989</v>
      </c>
      <c r="C4438" s="2" t="s">
        <v>19993</v>
      </c>
      <c r="D4438" s="2" t="str">
        <f>"(310) 951-1021"</f>
        <v>(310) 951-1021</v>
      </c>
      <c r="E4438" s="2" t="s">
        <v>19994</v>
      </c>
      <c r="F4438" s="2" t="s">
        <v>19995</v>
      </c>
      <c r="G4438" s="2" t="str">
        <f>"SR-5915"</f>
        <v>SR-5915</v>
      </c>
      <c r="H4438" s="2" t="s">
        <v>19996</v>
      </c>
      <c r="I4438" s="2" t="s">
        <v>19997</v>
      </c>
      <c r="J4438" s="2" t="s">
        <v>19998</v>
      </c>
      <c r="K4438" s="2" t="s">
        <v>5955</v>
      </c>
      <c r="L4438" s="2" t="s">
        <v>222</v>
      </c>
      <c r="M4438" s="2">
        <v>90505.0</v>
      </c>
      <c r="N4438" s="2" t="s">
        <v>21</v>
      </c>
    </row>
    <row r="4439" ht="15.75" customHeight="1">
      <c r="A4439" s="2">
        <v>2015.0</v>
      </c>
      <c r="B4439" s="2" t="s">
        <v>19989</v>
      </c>
      <c r="C4439" s="2" t="s">
        <v>19999</v>
      </c>
      <c r="D4439" s="2" t="str">
        <f>"(310) 947-2695"</f>
        <v>(310) 947-2695</v>
      </c>
      <c r="E4439" s="2" t="s">
        <v>1015</v>
      </c>
      <c r="F4439" s="2" t="s">
        <v>2753</v>
      </c>
      <c r="G4439" s="2" t="str">
        <f>"SR-6133"</f>
        <v>SR-6133</v>
      </c>
      <c r="H4439" s="2" t="s">
        <v>20000</v>
      </c>
      <c r="I4439" s="2" t="s">
        <v>20001</v>
      </c>
      <c r="K4439" s="2" t="s">
        <v>5955</v>
      </c>
      <c r="L4439" s="2" t="s">
        <v>222</v>
      </c>
      <c r="M4439" s="2">
        <v>90503.0</v>
      </c>
      <c r="N4439" s="2" t="s">
        <v>21</v>
      </c>
    </row>
    <row r="4440" ht="15.75" customHeight="1">
      <c r="A4440" s="2">
        <v>2015.0</v>
      </c>
      <c r="B4440" s="2" t="s">
        <v>19989</v>
      </c>
      <c r="C4440" s="2" t="s">
        <v>20002</v>
      </c>
      <c r="D4440" s="2" t="str">
        <f>"(310) 738-9314"</f>
        <v>(310) 738-9314</v>
      </c>
      <c r="E4440" s="2" t="s">
        <v>4111</v>
      </c>
      <c r="F4440" s="2" t="s">
        <v>7557</v>
      </c>
      <c r="G4440" s="2" t="str">
        <f>"SR-6134"</f>
        <v>SR-6134</v>
      </c>
      <c r="H4440" s="2" t="s">
        <v>20003</v>
      </c>
      <c r="I4440" s="2" t="s">
        <v>20004</v>
      </c>
      <c r="K4440" s="2" t="s">
        <v>5955</v>
      </c>
      <c r="L4440" s="2" t="s">
        <v>222</v>
      </c>
      <c r="M4440" s="2">
        <v>90504.0</v>
      </c>
      <c r="N4440" s="2" t="s">
        <v>21</v>
      </c>
    </row>
    <row r="4441" ht="15.75" customHeight="1">
      <c r="A4441" s="2">
        <v>2015.0</v>
      </c>
      <c r="B4441" s="2" t="s">
        <v>19989</v>
      </c>
      <c r="C4441" s="2" t="s">
        <v>20005</v>
      </c>
      <c r="D4441" s="2" t="str">
        <f>"(310)525-0154"</f>
        <v>(310)525-0154</v>
      </c>
      <c r="E4441" s="2" t="s">
        <v>20006</v>
      </c>
      <c r="F4441" s="2" t="s">
        <v>5895</v>
      </c>
      <c r="G4441" s="2" t="str">
        <f>"SR-6135"</f>
        <v>SR-6135</v>
      </c>
      <c r="H4441" s="2" t="s">
        <v>20007</v>
      </c>
      <c r="I4441" s="2" t="s">
        <v>20008</v>
      </c>
      <c r="K4441" s="2" t="s">
        <v>5955</v>
      </c>
      <c r="L4441" s="2" t="s">
        <v>222</v>
      </c>
      <c r="M4441" s="2">
        <v>90505.0</v>
      </c>
      <c r="N4441" s="2" t="s">
        <v>21</v>
      </c>
    </row>
    <row r="4442" ht="15.75" customHeight="1">
      <c r="A4442" s="2">
        <v>2015.0</v>
      </c>
      <c r="B4442" s="2" t="s">
        <v>19989</v>
      </c>
      <c r="C4442" s="2" t="s">
        <v>20009</v>
      </c>
      <c r="D4442" s="2" t="str">
        <f>"(310) 634-3900"</f>
        <v>(310) 634-3900</v>
      </c>
      <c r="E4442" s="2" t="s">
        <v>1782</v>
      </c>
      <c r="F4442" s="2" t="s">
        <v>108</v>
      </c>
      <c r="G4442" s="2" t="str">
        <f>"SR-6136"</f>
        <v>SR-6136</v>
      </c>
      <c r="H4442" s="2" t="s">
        <v>20010</v>
      </c>
      <c r="I4442" s="2" t="s">
        <v>20011</v>
      </c>
      <c r="K4442" s="2" t="s">
        <v>20012</v>
      </c>
      <c r="L4442" s="2" t="s">
        <v>222</v>
      </c>
      <c r="M4442" s="2">
        <v>90703.0</v>
      </c>
      <c r="N4442" s="2" t="s">
        <v>21</v>
      </c>
    </row>
    <row r="4443" ht="15.75" customHeight="1">
      <c r="A4443" s="2">
        <v>2015.0</v>
      </c>
      <c r="B4443" s="2" t="s">
        <v>19989</v>
      </c>
      <c r="C4443" s="2" t="s">
        <v>20013</v>
      </c>
      <c r="D4443" s="2" t="str">
        <f>"(310) 227-1098"</f>
        <v>(310) 227-1098</v>
      </c>
      <c r="E4443" s="2" t="s">
        <v>20014</v>
      </c>
      <c r="F4443" s="2" t="s">
        <v>20015</v>
      </c>
      <c r="G4443" s="2" t="str">
        <f>"SR-6137"</f>
        <v>SR-6137</v>
      </c>
      <c r="H4443" s="2" t="s">
        <v>20016</v>
      </c>
      <c r="I4443" s="2" t="s">
        <v>20017</v>
      </c>
      <c r="K4443" s="2" t="s">
        <v>5955</v>
      </c>
      <c r="L4443" s="2" t="s">
        <v>222</v>
      </c>
      <c r="M4443" s="2">
        <v>90503.0</v>
      </c>
      <c r="N4443" s="2" t="s">
        <v>21</v>
      </c>
    </row>
    <row r="4444" ht="15.75" customHeight="1">
      <c r="A4444" s="2">
        <v>2015.0</v>
      </c>
      <c r="B4444" s="2" t="s">
        <v>19989</v>
      </c>
      <c r="C4444" s="2" t="s">
        <v>20018</v>
      </c>
      <c r="D4444" s="2" t="str">
        <f>"(310) 569-0835"</f>
        <v>(310) 569-0835</v>
      </c>
      <c r="E4444" s="2" t="s">
        <v>9846</v>
      </c>
      <c r="F4444" s="2" t="s">
        <v>20019</v>
      </c>
      <c r="G4444" s="2" t="str">
        <f>"SR-6138"</f>
        <v>SR-6138</v>
      </c>
      <c r="H4444" s="2" t="s">
        <v>20020</v>
      </c>
      <c r="I4444" s="2" t="s">
        <v>20021</v>
      </c>
      <c r="J4444" s="2" t="s">
        <v>20022</v>
      </c>
      <c r="K4444" s="2" t="s">
        <v>5955</v>
      </c>
      <c r="L4444" s="2" t="s">
        <v>222</v>
      </c>
      <c r="M4444" s="2">
        <v>90503.0</v>
      </c>
      <c r="N4444" s="2" t="s">
        <v>21</v>
      </c>
    </row>
    <row r="4445" ht="15.75" customHeight="1">
      <c r="A4445" s="2">
        <v>2015.0</v>
      </c>
      <c r="B4445" s="2" t="s">
        <v>19989</v>
      </c>
      <c r="C4445" s="2" t="s">
        <v>20023</v>
      </c>
      <c r="D4445" s="2" t="str">
        <f>"(310) 531-6655"</f>
        <v>(310) 531-6655</v>
      </c>
      <c r="E4445" s="2" t="s">
        <v>1032</v>
      </c>
      <c r="F4445" s="2" t="s">
        <v>16086</v>
      </c>
      <c r="G4445" s="2" t="str">
        <f>"SR-6139"</f>
        <v>SR-6139</v>
      </c>
      <c r="H4445" s="2" t="s">
        <v>20024</v>
      </c>
      <c r="I4445" s="2" t="s">
        <v>20025</v>
      </c>
      <c r="K4445" s="2" t="s">
        <v>5955</v>
      </c>
      <c r="L4445" s="2" t="s">
        <v>222</v>
      </c>
      <c r="M4445" s="2">
        <v>90504.0</v>
      </c>
      <c r="N4445" s="2" t="s">
        <v>21</v>
      </c>
    </row>
    <row r="4446" ht="15.75" customHeight="1">
      <c r="A4446" s="2">
        <v>2015.0</v>
      </c>
      <c r="B4446" s="2" t="s">
        <v>19989</v>
      </c>
      <c r="C4446" s="2" t="s">
        <v>20026</v>
      </c>
      <c r="D4446" s="2" t="str">
        <f>"(310) 918-3600"</f>
        <v>(310) 918-3600</v>
      </c>
      <c r="E4446" s="2" t="s">
        <v>167</v>
      </c>
      <c r="F4446" s="2" t="s">
        <v>6824</v>
      </c>
      <c r="G4446" s="2" t="str">
        <f>"SR-6199"</f>
        <v>SR-6199</v>
      </c>
      <c r="H4446" s="2" t="s">
        <v>20027</v>
      </c>
      <c r="I4446" s="2" t="s">
        <v>20028</v>
      </c>
      <c r="J4446" s="2" t="s">
        <v>20029</v>
      </c>
      <c r="K4446" s="2" t="s">
        <v>5955</v>
      </c>
      <c r="L4446" s="2" t="s">
        <v>222</v>
      </c>
      <c r="M4446" s="2">
        <v>90503.0</v>
      </c>
      <c r="N4446" s="2" t="s">
        <v>21</v>
      </c>
    </row>
    <row r="4447" ht="15.75" customHeight="1">
      <c r="A4447" s="2">
        <v>2015.0</v>
      </c>
      <c r="B4447" s="2" t="s">
        <v>19989</v>
      </c>
      <c r="C4447" s="2" t="s">
        <v>20030</v>
      </c>
      <c r="D4447" s="2" t="str">
        <f>"(424) 215-9346"</f>
        <v>(424) 215-9346</v>
      </c>
      <c r="E4447" s="2" t="s">
        <v>20031</v>
      </c>
      <c r="F4447" s="2" t="s">
        <v>3131</v>
      </c>
      <c r="G4447" s="2" t="str">
        <f>"SR-6200"</f>
        <v>SR-6200</v>
      </c>
      <c r="H4447" s="2" t="s">
        <v>20032</v>
      </c>
      <c r="I4447" s="2" t="s">
        <v>20033</v>
      </c>
      <c r="K4447" s="2" t="s">
        <v>20034</v>
      </c>
      <c r="L4447" s="2" t="s">
        <v>222</v>
      </c>
      <c r="M4447" s="2">
        <v>90717.0</v>
      </c>
      <c r="N4447" s="2" t="s">
        <v>21</v>
      </c>
    </row>
    <row r="4448" ht="15.75" customHeight="1">
      <c r="A4448" s="2">
        <v>2015.0</v>
      </c>
      <c r="B4448" s="2" t="s">
        <v>20035</v>
      </c>
      <c r="C4448" s="2" t="s">
        <v>20036</v>
      </c>
      <c r="D4448" s="2" t="str">
        <f>"7194257231"</f>
        <v>7194257231</v>
      </c>
      <c r="E4448" s="2" t="s">
        <v>6019</v>
      </c>
      <c r="F4448" s="2" t="s">
        <v>3903</v>
      </c>
      <c r="G4448" s="2" t="str">
        <f>"SR-6201"</f>
        <v>SR-6201</v>
      </c>
      <c r="H4448" s="2" t="s">
        <v>20037</v>
      </c>
      <c r="I4448" s="2" t="s">
        <v>20038</v>
      </c>
      <c r="K4448" s="2" t="s">
        <v>1677</v>
      </c>
      <c r="L4448" s="2" t="s">
        <v>86</v>
      </c>
      <c r="M4448" s="2">
        <v>98011.0</v>
      </c>
      <c r="N4448" s="2" t="s">
        <v>21</v>
      </c>
    </row>
    <row r="4449" ht="15.75" customHeight="1">
      <c r="A4449" s="2">
        <v>2015.0</v>
      </c>
      <c r="B4449" s="2" t="s">
        <v>20039</v>
      </c>
      <c r="C4449" s="2" t="s">
        <v>20039</v>
      </c>
      <c r="D4449" s="2" t="str">
        <f>"719-495-4195"</f>
        <v>719-495-4195</v>
      </c>
      <c r="E4449" s="2" t="s">
        <v>72</v>
      </c>
      <c r="F4449" s="2" t="s">
        <v>20040</v>
      </c>
      <c r="G4449" s="2" t="str">
        <f>"SR-5727"</f>
        <v>SR-5727</v>
      </c>
      <c r="H4449" s="2" t="s">
        <v>20041</v>
      </c>
      <c r="I4449" s="2" t="s">
        <v>20042</v>
      </c>
      <c r="K4449" s="2" t="s">
        <v>809</v>
      </c>
      <c r="L4449" s="2" t="s">
        <v>157</v>
      </c>
      <c r="M4449" s="2">
        <v>80908.0</v>
      </c>
      <c r="N4449" s="2" t="s">
        <v>21</v>
      </c>
    </row>
    <row r="4450" ht="15.75" customHeight="1">
      <c r="A4450" s="2">
        <v>2015.0</v>
      </c>
      <c r="B4450" s="2" t="s">
        <v>20043</v>
      </c>
      <c r="C4450" s="2" t="s">
        <v>20043</v>
      </c>
      <c r="D4450" s="2" t="str">
        <f>"7344249725"</f>
        <v>7344249725</v>
      </c>
      <c r="E4450" s="2" t="s">
        <v>1197</v>
      </c>
      <c r="F4450" s="2" t="s">
        <v>984</v>
      </c>
      <c r="G4450" s="2" t="str">
        <f>"SR-6155"</f>
        <v>SR-6155</v>
      </c>
      <c r="H4450" s="2" t="s">
        <v>20044</v>
      </c>
      <c r="I4450" s="2" t="s">
        <v>3970</v>
      </c>
      <c r="K4450" s="2" t="s">
        <v>3971</v>
      </c>
      <c r="L4450" s="2" t="s">
        <v>29</v>
      </c>
      <c r="M4450" s="2">
        <v>48189.0</v>
      </c>
      <c r="N4450" s="2" t="s">
        <v>21</v>
      </c>
    </row>
    <row r="4451" ht="15.75" customHeight="1">
      <c r="A4451" s="2">
        <v>2015.0</v>
      </c>
      <c r="B4451" s="2" t="s">
        <v>19989</v>
      </c>
      <c r="C4451" s="2" t="s">
        <v>20045</v>
      </c>
      <c r="D4451" s="2" t="str">
        <f>"(310) 707-5790"</f>
        <v>(310) 707-5790</v>
      </c>
      <c r="E4451" s="2" t="s">
        <v>908</v>
      </c>
      <c r="F4451" s="2" t="s">
        <v>2753</v>
      </c>
      <c r="G4451" s="2" t="str">
        <f>"SR-6206"</f>
        <v>SR-6206</v>
      </c>
      <c r="H4451" s="2" t="s">
        <v>20046</v>
      </c>
      <c r="I4451" s="2" t="s">
        <v>20047</v>
      </c>
      <c r="J4451" s="2" t="s">
        <v>20048</v>
      </c>
      <c r="K4451" s="2" t="s">
        <v>20049</v>
      </c>
      <c r="L4451" s="2" t="s">
        <v>222</v>
      </c>
      <c r="M4451" s="2">
        <v>90731.0</v>
      </c>
      <c r="N4451" s="2" t="s">
        <v>21</v>
      </c>
    </row>
    <row r="4452" ht="15.75" customHeight="1">
      <c r="A4452" s="2">
        <v>2015.0</v>
      </c>
      <c r="B4452" s="2" t="s">
        <v>20050</v>
      </c>
      <c r="C4452" s="2" t="s">
        <v>20051</v>
      </c>
      <c r="D4452" s="2" t="str">
        <f>"3365975150"</f>
        <v>3365975150</v>
      </c>
      <c r="E4452" s="2" t="s">
        <v>339</v>
      </c>
      <c r="F4452" s="2" t="s">
        <v>2598</v>
      </c>
      <c r="G4452" s="2" t="str">
        <f>"SR-6192"</f>
        <v>SR-6192</v>
      </c>
      <c r="H4452" s="2" t="s">
        <v>20052</v>
      </c>
      <c r="I4452" s="2" t="s">
        <v>20053</v>
      </c>
      <c r="K4452" s="2" t="s">
        <v>20054</v>
      </c>
      <c r="L4452" s="2" t="s">
        <v>20</v>
      </c>
      <c r="M4452" s="2">
        <v>27574.0</v>
      </c>
      <c r="N4452" s="2" t="s">
        <v>21</v>
      </c>
    </row>
    <row r="4453" ht="15.75" customHeight="1">
      <c r="A4453" s="2">
        <v>2015.0</v>
      </c>
      <c r="B4453" s="2" t="s">
        <v>15070</v>
      </c>
      <c r="D4453" s="2" t="str">
        <f>""</f>
        <v/>
      </c>
      <c r="E4453" s="2" t="s">
        <v>1257</v>
      </c>
      <c r="F4453" s="2" t="s">
        <v>15071</v>
      </c>
      <c r="G4453" s="2" t="str">
        <f>"SR-4429"</f>
        <v>SR-4429</v>
      </c>
      <c r="H4453" s="2" t="s">
        <v>15072</v>
      </c>
    </row>
    <row r="4454" ht="15.75" customHeight="1">
      <c r="A4454" s="2">
        <v>2015.0</v>
      </c>
      <c r="B4454" s="2" t="s">
        <v>20055</v>
      </c>
      <c r="C4454" s="2" t="s">
        <v>20056</v>
      </c>
      <c r="D4454" s="2" t="str">
        <f>"662-312-5634"</f>
        <v>662-312-5634</v>
      </c>
      <c r="E4454" s="2" t="s">
        <v>580</v>
      </c>
      <c r="F4454" s="2" t="s">
        <v>20057</v>
      </c>
      <c r="G4454" s="2" t="str">
        <f>"SR-6203"</f>
        <v>SR-6203</v>
      </c>
      <c r="H4454" s="2" t="s">
        <v>20058</v>
      </c>
      <c r="I4454" s="2" t="s">
        <v>20059</v>
      </c>
      <c r="K4454" s="2" t="s">
        <v>1901</v>
      </c>
      <c r="L4454" s="2" t="s">
        <v>1722</v>
      </c>
      <c r="M4454" s="2">
        <v>39759.0</v>
      </c>
      <c r="N4454" s="2" t="s">
        <v>21</v>
      </c>
    </row>
    <row r="4455" ht="15.75" customHeight="1">
      <c r="A4455" s="2">
        <v>2015.0</v>
      </c>
      <c r="B4455" s="2" t="s">
        <v>20060</v>
      </c>
      <c r="C4455" s="2" t="s">
        <v>20060</v>
      </c>
      <c r="D4455" s="2" t="str">
        <f>"2102551438"</f>
        <v>2102551438</v>
      </c>
      <c r="E4455" s="2" t="s">
        <v>5083</v>
      </c>
      <c r="F4455" s="2" t="s">
        <v>20061</v>
      </c>
      <c r="G4455" s="2" t="str">
        <f>"SR-6002"</f>
        <v>SR-6002</v>
      </c>
      <c r="H4455" s="2" t="s">
        <v>20062</v>
      </c>
      <c r="I4455" s="2" t="s">
        <v>20063</v>
      </c>
      <c r="K4455" s="2" t="s">
        <v>20064</v>
      </c>
      <c r="L4455" s="2" t="s">
        <v>172</v>
      </c>
      <c r="M4455" s="2">
        <v>78234.0</v>
      </c>
      <c r="N4455" s="2" t="s">
        <v>21</v>
      </c>
    </row>
    <row r="4456" ht="15.75" customHeight="1">
      <c r="A4456" s="2">
        <v>2015.0</v>
      </c>
      <c r="B4456" s="2" t="s">
        <v>20065</v>
      </c>
      <c r="C4456" s="2" t="s">
        <v>20065</v>
      </c>
      <c r="D4456" s="2" t="str">
        <f>"6082174417"</f>
        <v>6082174417</v>
      </c>
      <c r="E4456" s="2" t="s">
        <v>580</v>
      </c>
      <c r="F4456" s="2" t="s">
        <v>20066</v>
      </c>
      <c r="G4456" s="2" t="str">
        <f>"SR-6208"</f>
        <v>SR-6208</v>
      </c>
      <c r="H4456" s="2" t="s">
        <v>20067</v>
      </c>
      <c r="I4456" s="2" t="s">
        <v>20068</v>
      </c>
      <c r="K4456" s="2" t="s">
        <v>20069</v>
      </c>
      <c r="L4456" s="2" t="s">
        <v>193</v>
      </c>
      <c r="M4456" s="2">
        <v>53575.0</v>
      </c>
      <c r="N4456" s="2" t="s">
        <v>21</v>
      </c>
    </row>
    <row r="4457" ht="15.75" customHeight="1">
      <c r="A4457" s="2">
        <v>2015.0</v>
      </c>
      <c r="B4457" s="2" t="s">
        <v>20070</v>
      </c>
      <c r="C4457" s="2" t="s">
        <v>20071</v>
      </c>
      <c r="D4457" s="2" t="str">
        <f>"6082170532"</f>
        <v>6082170532</v>
      </c>
      <c r="E4457" s="2" t="s">
        <v>3434</v>
      </c>
      <c r="F4457" s="2" t="s">
        <v>20066</v>
      </c>
      <c r="G4457" s="2" t="str">
        <f>"SR-6210"</f>
        <v>SR-6210</v>
      </c>
      <c r="H4457" s="2" t="s">
        <v>20072</v>
      </c>
      <c r="I4457" s="2" t="s">
        <v>20068</v>
      </c>
      <c r="K4457" s="2" t="s">
        <v>20069</v>
      </c>
      <c r="L4457" s="2" t="s">
        <v>193</v>
      </c>
      <c r="M4457" s="2">
        <v>53593.0</v>
      </c>
      <c r="N4457" s="2" t="s">
        <v>21</v>
      </c>
    </row>
    <row r="4458" ht="15.75" customHeight="1">
      <c r="A4458" s="2">
        <v>2015.0</v>
      </c>
      <c r="B4458" s="2" t="s">
        <v>20073</v>
      </c>
      <c r="C4458" s="2" t="s">
        <v>20074</v>
      </c>
      <c r="D4458" s="2" t="str">
        <f>"719-799-6929"</f>
        <v>719-799-6929</v>
      </c>
      <c r="E4458" s="2" t="s">
        <v>167</v>
      </c>
      <c r="F4458" s="2" t="s">
        <v>3037</v>
      </c>
      <c r="G4458" s="2" t="str">
        <f>"SR-6212"</f>
        <v>SR-6212</v>
      </c>
      <c r="H4458" s="2" t="s">
        <v>20075</v>
      </c>
      <c r="I4458" s="2" t="s">
        <v>20076</v>
      </c>
      <c r="K4458" s="2" t="s">
        <v>975</v>
      </c>
      <c r="L4458" s="2" t="s">
        <v>157</v>
      </c>
      <c r="M4458" s="2">
        <v>80831.0</v>
      </c>
      <c r="N4458" s="2" t="s">
        <v>21</v>
      </c>
    </row>
    <row r="4459" ht="15.75" customHeight="1">
      <c r="A4459" s="2">
        <v>2015.0</v>
      </c>
      <c r="B4459" s="2" t="s">
        <v>20077</v>
      </c>
      <c r="C4459" s="2" t="s">
        <v>20078</v>
      </c>
      <c r="D4459" s="2" t="str">
        <f>"2812884816"</f>
        <v>2812884816</v>
      </c>
      <c r="E4459" s="2" t="s">
        <v>6098</v>
      </c>
      <c r="F4459" s="2" t="s">
        <v>2116</v>
      </c>
      <c r="G4459" s="2" t="str">
        <f>"SR-6202"</f>
        <v>SR-6202</v>
      </c>
      <c r="H4459" s="2" t="s">
        <v>20079</v>
      </c>
      <c r="I4459" s="2" t="s">
        <v>20080</v>
      </c>
      <c r="K4459" s="2" t="s">
        <v>5855</v>
      </c>
      <c r="L4459" s="2" t="s">
        <v>172</v>
      </c>
      <c r="M4459" s="2">
        <v>77388.0</v>
      </c>
      <c r="N4459" s="2" t="s">
        <v>21</v>
      </c>
    </row>
    <row r="4460" ht="15.75" customHeight="1">
      <c r="A4460" s="2">
        <v>2015.0</v>
      </c>
      <c r="B4460" s="2" t="s">
        <v>20073</v>
      </c>
      <c r="C4460" s="2" t="s">
        <v>20081</v>
      </c>
      <c r="D4460" s="2" t="str">
        <f>"719-799-6929"</f>
        <v>719-799-6929</v>
      </c>
      <c r="E4460" s="2" t="s">
        <v>4322</v>
      </c>
      <c r="F4460" s="2" t="s">
        <v>3037</v>
      </c>
      <c r="G4460" s="2" t="str">
        <f>"SR-6214"</f>
        <v>SR-6214</v>
      </c>
      <c r="H4460" s="2" t="s">
        <v>20082</v>
      </c>
      <c r="I4460" s="2" t="s">
        <v>20076</v>
      </c>
      <c r="K4460" s="2" t="s">
        <v>975</v>
      </c>
      <c r="L4460" s="2" t="s">
        <v>157</v>
      </c>
      <c r="M4460" s="2">
        <v>80831.0</v>
      </c>
      <c r="N4460" s="2" t="s">
        <v>21</v>
      </c>
    </row>
    <row r="4461" ht="15.75" customHeight="1">
      <c r="A4461" s="2">
        <v>2015.0</v>
      </c>
      <c r="B4461" s="2" t="s">
        <v>20083</v>
      </c>
      <c r="C4461" s="2" t="s">
        <v>20084</v>
      </c>
      <c r="D4461" s="2" t="str">
        <f>"4803539416"</f>
        <v>4803539416</v>
      </c>
      <c r="E4461" s="2" t="s">
        <v>931</v>
      </c>
      <c r="F4461" s="2" t="s">
        <v>6793</v>
      </c>
      <c r="G4461" s="2" t="str">
        <f>"SR-6216"</f>
        <v>SR-6216</v>
      </c>
      <c r="H4461" s="2" t="s">
        <v>20085</v>
      </c>
      <c r="I4461" s="2" t="s">
        <v>20086</v>
      </c>
      <c r="K4461" s="2" t="s">
        <v>1593</v>
      </c>
      <c r="L4461" s="2" t="s">
        <v>422</v>
      </c>
      <c r="M4461" s="2">
        <v>85260.0</v>
      </c>
      <c r="N4461" s="2" t="s">
        <v>21</v>
      </c>
    </row>
    <row r="4462" ht="15.75" customHeight="1">
      <c r="A4462" s="2">
        <v>2015.0</v>
      </c>
      <c r="B4462" s="2" t="s">
        <v>20087</v>
      </c>
      <c r="C4462" s="2" t="s">
        <v>20087</v>
      </c>
      <c r="D4462" s="2" t="str">
        <f>"970-468-2256"</f>
        <v>970-468-2256</v>
      </c>
      <c r="E4462" s="2" t="s">
        <v>908</v>
      </c>
      <c r="F4462" s="2" t="s">
        <v>5493</v>
      </c>
      <c r="G4462" s="2" t="str">
        <f>"SR-5449"</f>
        <v>SR-5449</v>
      </c>
      <c r="H4462" s="2" t="s">
        <v>20088</v>
      </c>
      <c r="I4462" s="2" t="s">
        <v>20089</v>
      </c>
      <c r="K4462" s="2" t="s">
        <v>11204</v>
      </c>
      <c r="L4462" s="2" t="s">
        <v>157</v>
      </c>
      <c r="M4462" s="2">
        <v>80497.0</v>
      </c>
      <c r="N4462" s="2" t="s">
        <v>21</v>
      </c>
    </row>
    <row r="4463" ht="15.75" customHeight="1">
      <c r="A4463" s="2">
        <v>2015.0</v>
      </c>
      <c r="B4463" s="2" t="s">
        <v>20090</v>
      </c>
      <c r="C4463" s="2" t="s">
        <v>20090</v>
      </c>
      <c r="D4463" s="2" t="str">
        <f>"2562890220"</f>
        <v>2562890220</v>
      </c>
      <c r="E4463" s="2" t="s">
        <v>167</v>
      </c>
      <c r="F4463" s="2" t="s">
        <v>7797</v>
      </c>
      <c r="G4463" s="2" t="str">
        <f>"SR-6204"</f>
        <v>SR-6204</v>
      </c>
      <c r="H4463" s="2" t="s">
        <v>20091</v>
      </c>
      <c r="I4463" s="2" t="s">
        <v>12860</v>
      </c>
      <c r="K4463" s="2" t="s">
        <v>12861</v>
      </c>
      <c r="L4463" s="2" t="s">
        <v>539</v>
      </c>
      <c r="M4463" s="2">
        <v>35160.0</v>
      </c>
      <c r="N4463" s="2" t="s">
        <v>21</v>
      </c>
    </row>
    <row r="4464" ht="15.75" customHeight="1">
      <c r="A4464" s="2">
        <v>2015.0</v>
      </c>
      <c r="B4464" s="2" t="s">
        <v>2996</v>
      </c>
      <c r="C4464" s="2" t="s">
        <v>20092</v>
      </c>
      <c r="D4464" s="2" t="str">
        <f>"(587) 988-0100"</f>
        <v>(587) 988-0100</v>
      </c>
      <c r="E4464" s="2" t="s">
        <v>20093</v>
      </c>
      <c r="F4464" s="2" t="s">
        <v>2998</v>
      </c>
      <c r="G4464" s="2" t="str">
        <f>"SR-6213"</f>
        <v>SR-6213</v>
      </c>
      <c r="H4464" s="2" t="s">
        <v>20094</v>
      </c>
      <c r="I4464" s="2" t="s">
        <v>20095</v>
      </c>
      <c r="K4464" s="2" t="s">
        <v>13836</v>
      </c>
      <c r="L4464" s="2" t="s">
        <v>2397</v>
      </c>
      <c r="M4464" s="2" t="s">
        <v>20096</v>
      </c>
      <c r="N4464" s="2" t="s">
        <v>1602</v>
      </c>
    </row>
    <row r="4465" ht="15.75" customHeight="1">
      <c r="A4465" s="2">
        <v>2015.0</v>
      </c>
      <c r="B4465" s="2" t="s">
        <v>20097</v>
      </c>
      <c r="C4465" s="2" t="s">
        <v>20098</v>
      </c>
      <c r="D4465" s="2" t="str">
        <f>"2056392896"</f>
        <v>2056392896</v>
      </c>
      <c r="E4465" s="2" t="s">
        <v>15</v>
      </c>
      <c r="F4465" s="2" t="s">
        <v>3978</v>
      </c>
      <c r="G4465" s="2" t="str">
        <f>"SR-6218"</f>
        <v>SR-6218</v>
      </c>
      <c r="H4465" s="2" t="s">
        <v>20099</v>
      </c>
      <c r="I4465" s="2" t="s">
        <v>20100</v>
      </c>
      <c r="K4465" s="2" t="s">
        <v>5513</v>
      </c>
      <c r="L4465" s="2" t="s">
        <v>539</v>
      </c>
      <c r="M4465" s="2">
        <v>35173.0</v>
      </c>
      <c r="N4465" s="2" t="s">
        <v>21</v>
      </c>
    </row>
    <row r="4466" ht="15.75" customHeight="1">
      <c r="A4466" s="2">
        <v>2015.0</v>
      </c>
      <c r="B4466" s="2" t="s">
        <v>20101</v>
      </c>
      <c r="C4466" s="2" t="s">
        <v>20102</v>
      </c>
      <c r="D4466" s="2" t="str">
        <f>"7038654825"</f>
        <v>7038654825</v>
      </c>
      <c r="E4466" s="2" t="s">
        <v>20103</v>
      </c>
      <c r="F4466" s="2" t="s">
        <v>20104</v>
      </c>
      <c r="G4466" s="2" t="str">
        <f>"SR-6224"</f>
        <v>SR-6224</v>
      </c>
      <c r="H4466" s="2" t="s">
        <v>20105</v>
      </c>
      <c r="I4466" s="2" t="s">
        <v>20106</v>
      </c>
      <c r="K4466" s="2" t="s">
        <v>9334</v>
      </c>
      <c r="L4466" s="2" t="s">
        <v>165</v>
      </c>
      <c r="M4466" s="2">
        <v>22030.0</v>
      </c>
      <c r="N4466" s="2" t="s">
        <v>21</v>
      </c>
    </row>
    <row r="4467" ht="15.75" customHeight="1">
      <c r="A4467" s="2">
        <v>2015.0</v>
      </c>
      <c r="B4467" s="2" t="s">
        <v>12837</v>
      </c>
      <c r="C4467" s="2" t="s">
        <v>12837</v>
      </c>
      <c r="D4467" s="2" t="str">
        <f>"205-472-0118"</f>
        <v>205-472-0118</v>
      </c>
      <c r="E4467" s="2" t="s">
        <v>12838</v>
      </c>
      <c r="F4467" s="2" t="s">
        <v>711</v>
      </c>
      <c r="G4467" s="2" t="str">
        <f>"SR-3680"</f>
        <v>SR-3680</v>
      </c>
      <c r="H4467" s="2" t="s">
        <v>12839</v>
      </c>
      <c r="I4467" s="2" t="s">
        <v>12840</v>
      </c>
      <c r="K4467" s="2" t="s">
        <v>5568</v>
      </c>
      <c r="L4467" s="2" t="s">
        <v>539</v>
      </c>
      <c r="M4467" s="2">
        <v>35131.0</v>
      </c>
      <c r="N4467" s="2" t="s">
        <v>21</v>
      </c>
    </row>
    <row r="4468" ht="15.75" customHeight="1">
      <c r="A4468" s="2">
        <v>2015.0</v>
      </c>
      <c r="B4468" s="2" t="s">
        <v>20107</v>
      </c>
      <c r="C4468" s="2" t="s">
        <v>20108</v>
      </c>
      <c r="D4468" s="2" t="str">
        <f>"8122054773"</f>
        <v>8122054773</v>
      </c>
      <c r="E4468" s="2" t="s">
        <v>137</v>
      </c>
      <c r="F4468" s="2" t="s">
        <v>20109</v>
      </c>
      <c r="G4468" s="2" t="str">
        <f>"SR-6188"</f>
        <v>SR-6188</v>
      </c>
      <c r="H4468" s="2" t="s">
        <v>20110</v>
      </c>
      <c r="I4468" s="2" t="s">
        <v>20111</v>
      </c>
      <c r="K4468" s="2" t="s">
        <v>20112</v>
      </c>
      <c r="L4468" s="2" t="s">
        <v>149</v>
      </c>
      <c r="M4468" s="2">
        <v>47601.0</v>
      </c>
      <c r="N4468" s="2" t="s">
        <v>21</v>
      </c>
    </row>
    <row r="4469" ht="15.75" customHeight="1">
      <c r="A4469" s="2">
        <v>2015.0</v>
      </c>
      <c r="B4469" s="2" t="s">
        <v>12731</v>
      </c>
      <c r="C4469" s="2" t="s">
        <v>12732</v>
      </c>
      <c r="D4469" s="2" t="str">
        <f>"256-268-0275"</f>
        <v>256-268-0275</v>
      </c>
      <c r="E4469" s="2" t="s">
        <v>261</v>
      </c>
      <c r="F4469" s="2" t="s">
        <v>3144</v>
      </c>
      <c r="G4469" s="2" t="str">
        <f>"SR-3709"</f>
        <v>SR-3709</v>
      </c>
      <c r="H4469" s="2" t="s">
        <v>12733</v>
      </c>
      <c r="I4469" s="2" t="s">
        <v>12734</v>
      </c>
      <c r="K4469" s="2" t="s">
        <v>12735</v>
      </c>
      <c r="L4469" s="2" t="s">
        <v>539</v>
      </c>
      <c r="M4469" s="2">
        <v>35014.0</v>
      </c>
      <c r="N4469" s="2" t="s">
        <v>21</v>
      </c>
    </row>
    <row r="4470" ht="15.75" customHeight="1">
      <c r="A4470" s="2">
        <v>2015.0</v>
      </c>
      <c r="B4470" s="2" t="s">
        <v>20113</v>
      </c>
      <c r="C4470" s="2" t="s">
        <v>20113</v>
      </c>
      <c r="D4470" s="2" t="str">
        <f>"214-542-1832"</f>
        <v>214-542-1832</v>
      </c>
      <c r="E4470" s="2" t="s">
        <v>2825</v>
      </c>
      <c r="F4470" s="2" t="s">
        <v>20114</v>
      </c>
      <c r="G4470" s="2" t="str">
        <f>"SR-6222"</f>
        <v>SR-6222</v>
      </c>
      <c r="H4470" s="2" t="s">
        <v>20115</v>
      </c>
      <c r="I4470" s="2" t="s">
        <v>20116</v>
      </c>
      <c r="K4470" s="2" t="s">
        <v>2643</v>
      </c>
      <c r="L4470" s="2" t="s">
        <v>172</v>
      </c>
      <c r="M4470" s="2">
        <v>75028.0</v>
      </c>
      <c r="N4470" s="2" t="s">
        <v>21</v>
      </c>
    </row>
    <row r="4471" ht="15.75" customHeight="1">
      <c r="A4471" s="2">
        <v>2015.0</v>
      </c>
      <c r="B4471" s="2" t="s">
        <v>12731</v>
      </c>
      <c r="C4471" s="2" t="s">
        <v>12731</v>
      </c>
      <c r="D4471" s="2" t="str">
        <f>"2562680275"</f>
        <v>2562680275</v>
      </c>
      <c r="E4471" s="2" t="s">
        <v>160</v>
      </c>
      <c r="F4471" s="2" t="s">
        <v>3144</v>
      </c>
      <c r="G4471" s="2" t="str">
        <f>"SR-6164"</f>
        <v>SR-6164</v>
      </c>
      <c r="H4471" s="2" t="s">
        <v>20117</v>
      </c>
      <c r="I4471" s="2" t="s">
        <v>12734</v>
      </c>
      <c r="K4471" s="2" t="s">
        <v>12735</v>
      </c>
      <c r="L4471" s="2" t="s">
        <v>539</v>
      </c>
      <c r="M4471" s="2">
        <v>35014.0</v>
      </c>
      <c r="N4471" s="2" t="s">
        <v>21</v>
      </c>
    </row>
    <row r="4472" ht="15.75" customHeight="1">
      <c r="A4472" s="2">
        <v>2015.0</v>
      </c>
      <c r="B4472" s="2" t="s">
        <v>20118</v>
      </c>
      <c r="C4472" s="2" t="s">
        <v>20118</v>
      </c>
      <c r="D4472" s="2" t="str">
        <f>"205-966-9362"</f>
        <v>205-966-9362</v>
      </c>
      <c r="E4472" s="2" t="s">
        <v>250</v>
      </c>
      <c r="F4472" s="2" t="s">
        <v>20119</v>
      </c>
      <c r="G4472" s="2" t="str">
        <f>"SR-6215"</f>
        <v>SR-6215</v>
      </c>
      <c r="H4472" s="2" t="s">
        <v>20120</v>
      </c>
      <c r="I4472" s="2" t="s">
        <v>20121</v>
      </c>
      <c r="K4472" s="2" t="s">
        <v>20122</v>
      </c>
      <c r="L4472" s="2" t="s">
        <v>539</v>
      </c>
      <c r="M4472" s="2">
        <v>35120.0</v>
      </c>
      <c r="N4472" s="2" t="s">
        <v>21</v>
      </c>
    </row>
    <row r="4473" ht="15.75" customHeight="1">
      <c r="A4473" s="2">
        <v>2015.0</v>
      </c>
      <c r="B4473" s="2" t="s">
        <v>20123</v>
      </c>
      <c r="C4473" s="2" t="s">
        <v>20123</v>
      </c>
      <c r="D4473" s="2" t="str">
        <f>"(205) 362-9545"</f>
        <v>(205) 362-9545</v>
      </c>
      <c r="E4473" s="2" t="s">
        <v>160</v>
      </c>
      <c r="F4473" s="2" t="s">
        <v>847</v>
      </c>
      <c r="G4473" s="2" t="str">
        <f>"SR-6223"</f>
        <v>SR-6223</v>
      </c>
      <c r="H4473" s="2" t="s">
        <v>20124</v>
      </c>
      <c r="I4473" s="2" t="s">
        <v>20125</v>
      </c>
      <c r="K4473" s="2" t="s">
        <v>7469</v>
      </c>
      <c r="L4473" s="2" t="s">
        <v>539</v>
      </c>
      <c r="M4473" s="2">
        <v>35128.0</v>
      </c>
      <c r="N4473" s="2" t="s">
        <v>21</v>
      </c>
    </row>
    <row r="4474" ht="15.75" customHeight="1">
      <c r="A4474" s="2">
        <v>2015.0</v>
      </c>
      <c r="B4474" s="2" t="s">
        <v>20126</v>
      </c>
      <c r="C4474" s="2" t="s">
        <v>20126</v>
      </c>
      <c r="D4474" s="2" t="str">
        <f>"919-285-3561"</f>
        <v>919-285-3561</v>
      </c>
      <c r="E4474" s="2" t="s">
        <v>2147</v>
      </c>
      <c r="F4474" s="2" t="s">
        <v>4941</v>
      </c>
      <c r="G4474" s="2" t="str">
        <f>"SR-6227"</f>
        <v>SR-6227</v>
      </c>
      <c r="H4474" s="2" t="s">
        <v>20127</v>
      </c>
      <c r="I4474" s="2" t="s">
        <v>20128</v>
      </c>
      <c r="K4474" s="2" t="s">
        <v>20129</v>
      </c>
      <c r="L4474" s="2" t="s">
        <v>20</v>
      </c>
      <c r="M4474" s="2">
        <v>27540.0</v>
      </c>
      <c r="N4474" s="2" t="s">
        <v>21</v>
      </c>
    </row>
    <row r="4475" ht="15.75" customHeight="1">
      <c r="A4475" s="2">
        <v>2015.0</v>
      </c>
      <c r="B4475" s="2" t="s">
        <v>20130</v>
      </c>
      <c r="C4475" s="2" t="s">
        <v>20131</v>
      </c>
      <c r="D4475" s="2" t="str">
        <f>"501-206-8845"</f>
        <v>501-206-8845</v>
      </c>
      <c r="E4475" s="2" t="s">
        <v>2997</v>
      </c>
      <c r="F4475" s="2" t="s">
        <v>984</v>
      </c>
      <c r="G4475" s="2" t="str">
        <f>"SR-6228"</f>
        <v>SR-6228</v>
      </c>
      <c r="H4475" s="2" t="s">
        <v>20132</v>
      </c>
      <c r="I4475" s="2" t="s">
        <v>20133</v>
      </c>
      <c r="K4475" s="2" t="s">
        <v>20134</v>
      </c>
      <c r="L4475" s="2" t="s">
        <v>1012</v>
      </c>
      <c r="M4475" s="2">
        <v>72581.0</v>
      </c>
      <c r="N4475" s="2" t="s">
        <v>21</v>
      </c>
    </row>
    <row r="4476" ht="15.75" customHeight="1">
      <c r="A4476" s="2">
        <v>2015.0</v>
      </c>
      <c r="B4476" s="2" t="s">
        <v>20135</v>
      </c>
      <c r="C4476" s="2" t="s">
        <v>20136</v>
      </c>
      <c r="D4476" s="2" t="str">
        <f>"(336) 668 9259"</f>
        <v>(336) 668 9259</v>
      </c>
      <c r="E4476" s="2" t="s">
        <v>7476</v>
      </c>
      <c r="F4476" s="2" t="s">
        <v>472</v>
      </c>
      <c r="G4476" s="2" t="str">
        <f>"SR-6233"</f>
        <v>SR-6233</v>
      </c>
      <c r="H4476" s="2" t="s">
        <v>20137</v>
      </c>
      <c r="I4476" s="2" t="s">
        <v>20138</v>
      </c>
      <c r="K4476" s="2" t="s">
        <v>5837</v>
      </c>
      <c r="L4476" s="2" t="s">
        <v>20</v>
      </c>
      <c r="M4476" s="2">
        <v>27409.0</v>
      </c>
      <c r="N4476" s="2" t="s">
        <v>21</v>
      </c>
    </row>
    <row r="4477" ht="15.75" customHeight="1">
      <c r="A4477" s="2">
        <v>2015.0</v>
      </c>
      <c r="B4477" s="2" t="s">
        <v>20139</v>
      </c>
      <c r="C4477" s="2" t="s">
        <v>20140</v>
      </c>
      <c r="D4477" s="2" t="str">
        <f>"9138000806"</f>
        <v>9138000806</v>
      </c>
      <c r="E4477" s="2" t="s">
        <v>1529</v>
      </c>
      <c r="F4477" s="2" t="s">
        <v>6760</v>
      </c>
      <c r="G4477" s="2" t="str">
        <f>"SR-6182"</f>
        <v>SR-6182</v>
      </c>
      <c r="H4477" s="2" t="s">
        <v>20141</v>
      </c>
      <c r="I4477" s="2" t="s">
        <v>20142</v>
      </c>
      <c r="K4477" s="2" t="s">
        <v>606</v>
      </c>
      <c r="L4477" s="2" t="s">
        <v>272</v>
      </c>
      <c r="M4477" s="2">
        <v>67206.0</v>
      </c>
      <c r="N4477" s="2" t="s">
        <v>21</v>
      </c>
    </row>
    <row r="4478" ht="15.75" customHeight="1">
      <c r="A4478" s="2">
        <v>2015.0</v>
      </c>
      <c r="B4478" s="2" t="s">
        <v>20143</v>
      </c>
      <c r="C4478" s="2" t="s">
        <v>20144</v>
      </c>
      <c r="D4478" s="2" t="str">
        <f>"4028753331"</f>
        <v>4028753331</v>
      </c>
      <c r="E4478" s="2" t="s">
        <v>261</v>
      </c>
      <c r="F4478" s="2" t="s">
        <v>20145</v>
      </c>
      <c r="G4478" s="2" t="str">
        <f>"SR-6235"</f>
        <v>SR-6235</v>
      </c>
      <c r="H4478" s="2" t="s">
        <v>20146</v>
      </c>
      <c r="I4478" s="2" t="s">
        <v>20147</v>
      </c>
      <c r="K4478" s="2" t="s">
        <v>20148</v>
      </c>
      <c r="L4478" s="2" t="s">
        <v>757</v>
      </c>
      <c r="M4478" s="2">
        <v>68368.0</v>
      </c>
      <c r="N4478" s="2" t="s">
        <v>21</v>
      </c>
    </row>
    <row r="4479" ht="15.75" customHeight="1">
      <c r="A4479" s="2">
        <v>2015.0</v>
      </c>
      <c r="B4479" s="2" t="s">
        <v>20149</v>
      </c>
      <c r="C4479" s="2" t="s">
        <v>20149</v>
      </c>
      <c r="D4479" s="2" t="str">
        <f>"3254367061"</f>
        <v>3254367061</v>
      </c>
      <c r="E4479" s="2" t="s">
        <v>1022</v>
      </c>
      <c r="F4479" s="2" t="s">
        <v>3978</v>
      </c>
      <c r="G4479" s="2" t="str">
        <f>"SR-4925"</f>
        <v>SR-4925</v>
      </c>
      <c r="H4479" s="2" t="s">
        <v>20150</v>
      </c>
      <c r="I4479" s="2" t="s">
        <v>20151</v>
      </c>
      <c r="J4479" s="2" t="s">
        <v>20152</v>
      </c>
      <c r="K4479" s="2" t="s">
        <v>20153</v>
      </c>
      <c r="L4479" s="2" t="s">
        <v>172</v>
      </c>
      <c r="M4479" s="2">
        <v>79545.0</v>
      </c>
      <c r="N4479" s="2" t="s">
        <v>21</v>
      </c>
    </row>
    <row r="4480" ht="15.75" customHeight="1">
      <c r="A4480" s="2">
        <v>2015.0</v>
      </c>
      <c r="B4480" s="2" t="s">
        <v>20154</v>
      </c>
      <c r="C4480" s="2" t="s">
        <v>20154</v>
      </c>
      <c r="D4480" s="2" t="str">
        <f>"850-712-9447"</f>
        <v>850-712-9447</v>
      </c>
      <c r="E4480" s="2" t="s">
        <v>15</v>
      </c>
      <c r="F4480" s="2" t="s">
        <v>3409</v>
      </c>
      <c r="G4480" s="2" t="str">
        <f>"SR-5862"</f>
        <v>SR-5862</v>
      </c>
      <c r="H4480" s="2" t="s">
        <v>20155</v>
      </c>
      <c r="I4480" s="2" t="s">
        <v>20156</v>
      </c>
      <c r="K4480" s="2" t="s">
        <v>2007</v>
      </c>
      <c r="L4480" s="2" t="s">
        <v>208</v>
      </c>
      <c r="M4480" s="2">
        <v>32309.0</v>
      </c>
      <c r="N4480" s="2" t="s">
        <v>21</v>
      </c>
    </row>
    <row r="4481" ht="15.75" customHeight="1">
      <c r="A4481" s="2">
        <v>2015.0</v>
      </c>
      <c r="B4481" s="2" t="s">
        <v>20157</v>
      </c>
      <c r="C4481" s="2" t="s">
        <v>20158</v>
      </c>
      <c r="D4481" s="2" t="str">
        <f>"808-735-2954"</f>
        <v>808-735-2954</v>
      </c>
      <c r="E4481" s="2" t="s">
        <v>705</v>
      </c>
      <c r="F4481" s="2" t="s">
        <v>283</v>
      </c>
      <c r="G4481" s="2" t="str">
        <f>"SR-6236"</f>
        <v>SR-6236</v>
      </c>
      <c r="H4481" s="2" t="s">
        <v>20159</v>
      </c>
      <c r="I4481" s="2">
        <v>3447.0</v>
      </c>
      <c r="J4481" s="2" t="s">
        <v>20160</v>
      </c>
      <c r="K4481" s="2" t="s">
        <v>7776</v>
      </c>
      <c r="L4481" s="2" t="s">
        <v>770</v>
      </c>
      <c r="M4481" s="2">
        <v>96815.0</v>
      </c>
      <c r="N4481" s="2" t="s">
        <v>21</v>
      </c>
    </row>
    <row r="4482" ht="15.75" customHeight="1">
      <c r="A4482" s="2">
        <v>2015.0</v>
      </c>
      <c r="B4482" s="2" t="s">
        <v>20161</v>
      </c>
      <c r="C4482" s="2" t="s">
        <v>20162</v>
      </c>
      <c r="D4482" s="2" t="str">
        <f>"9037545722"</f>
        <v>9037545722</v>
      </c>
      <c r="E4482" s="2" t="s">
        <v>20163</v>
      </c>
      <c r="F4482" s="2" t="s">
        <v>962</v>
      </c>
      <c r="G4482" s="2" t="str">
        <f>"SR-5779"</f>
        <v>SR-5779</v>
      </c>
      <c r="H4482" s="2" t="s">
        <v>20164</v>
      </c>
      <c r="I4482" s="2" t="s">
        <v>20165</v>
      </c>
      <c r="K4482" s="2" t="s">
        <v>20166</v>
      </c>
      <c r="L4482" s="2" t="s">
        <v>172</v>
      </c>
      <c r="M4482" s="2">
        <v>75633.0</v>
      </c>
      <c r="N4482" s="2" t="s">
        <v>21</v>
      </c>
    </row>
    <row r="4483" ht="15.75" customHeight="1">
      <c r="A4483" s="2">
        <v>2015.0</v>
      </c>
      <c r="B4483" s="2" t="s">
        <v>20167</v>
      </c>
      <c r="C4483" s="2" t="s">
        <v>20168</v>
      </c>
      <c r="D4483" s="2" t="str">
        <f>"5758255532"</f>
        <v>5758255532</v>
      </c>
      <c r="E4483" s="2" t="s">
        <v>1208</v>
      </c>
      <c r="F4483" s="2" t="s">
        <v>20169</v>
      </c>
      <c r="G4483" s="2" t="str">
        <f>"SR-5824"</f>
        <v>SR-5824</v>
      </c>
      <c r="H4483" s="2" t="s">
        <v>20170</v>
      </c>
      <c r="I4483" s="2" t="s">
        <v>20171</v>
      </c>
      <c r="K4483" s="2" t="s">
        <v>20172</v>
      </c>
      <c r="L4483" s="2" t="s">
        <v>2613</v>
      </c>
      <c r="M4483" s="2">
        <v>83301.0</v>
      </c>
      <c r="N4483" s="2" t="s">
        <v>21</v>
      </c>
    </row>
    <row r="4484" ht="15.75" customHeight="1">
      <c r="A4484" s="2">
        <v>2015.0</v>
      </c>
      <c r="B4484" s="2" t="s">
        <v>20149</v>
      </c>
      <c r="C4484" s="2" t="s">
        <v>20149</v>
      </c>
      <c r="D4484" s="2" t="str">
        <f>"3254367061"</f>
        <v>3254367061</v>
      </c>
      <c r="E4484" s="2" t="s">
        <v>2126</v>
      </c>
      <c r="F4484" s="2" t="s">
        <v>3978</v>
      </c>
      <c r="G4484" s="2" t="str">
        <f>"SR-6241"</f>
        <v>SR-6241</v>
      </c>
      <c r="H4484" s="2" t="s">
        <v>20173</v>
      </c>
      <c r="I4484" s="2" t="s">
        <v>20174</v>
      </c>
      <c r="J4484" s="2" t="s">
        <v>20152</v>
      </c>
      <c r="K4484" s="2" t="s">
        <v>20153</v>
      </c>
      <c r="L4484" s="2" t="s">
        <v>172</v>
      </c>
      <c r="M4484" s="2">
        <v>79545.0</v>
      </c>
      <c r="N4484" s="2" t="s">
        <v>21</v>
      </c>
    </row>
    <row r="4485" ht="15.75" customHeight="1">
      <c r="A4485" s="2">
        <v>2015.0</v>
      </c>
      <c r="B4485" s="2" t="s">
        <v>20175</v>
      </c>
      <c r="C4485" s="2" t="s">
        <v>20176</v>
      </c>
      <c r="D4485" s="2" t="str">
        <f>"7202529111"</f>
        <v>7202529111</v>
      </c>
      <c r="E4485" s="2" t="s">
        <v>843</v>
      </c>
      <c r="F4485" s="2" t="s">
        <v>20177</v>
      </c>
      <c r="G4485" s="2" t="str">
        <f>"SR-6244"</f>
        <v>SR-6244</v>
      </c>
      <c r="H4485" s="2" t="s">
        <v>20178</v>
      </c>
      <c r="I4485" s="2" t="s">
        <v>20179</v>
      </c>
      <c r="K4485" s="2" t="s">
        <v>2317</v>
      </c>
      <c r="L4485" s="2" t="s">
        <v>157</v>
      </c>
      <c r="M4485" s="2">
        <v>80504.0</v>
      </c>
      <c r="N4485" s="2" t="s">
        <v>21</v>
      </c>
    </row>
    <row r="4486" ht="15.75" customHeight="1">
      <c r="A4486" s="2">
        <v>2015.0</v>
      </c>
      <c r="B4486" s="2" t="s">
        <v>20180</v>
      </c>
      <c r="C4486" s="2" t="s">
        <v>20181</v>
      </c>
      <c r="D4486" s="2" t="str">
        <f>"979-574-5553"</f>
        <v>979-574-5553</v>
      </c>
      <c r="E4486" s="2" t="s">
        <v>666</v>
      </c>
      <c r="F4486" s="2" t="s">
        <v>15248</v>
      </c>
      <c r="G4486" s="2" t="str">
        <f>"SR-6029"</f>
        <v>SR-6029</v>
      </c>
      <c r="H4486" s="2" t="s">
        <v>20182</v>
      </c>
      <c r="I4486" s="2" t="s">
        <v>20183</v>
      </c>
      <c r="K4486" s="2" t="s">
        <v>2969</v>
      </c>
      <c r="L4486" s="2" t="s">
        <v>172</v>
      </c>
      <c r="M4486" s="2">
        <v>77845.0</v>
      </c>
      <c r="N4486" s="2" t="s">
        <v>21</v>
      </c>
    </row>
    <row r="4487" ht="15.75" customHeight="1">
      <c r="A4487" s="2">
        <v>2015.0</v>
      </c>
      <c r="B4487" s="2" t="s">
        <v>20184</v>
      </c>
      <c r="C4487" s="2" t="s">
        <v>20184</v>
      </c>
      <c r="D4487" s="2" t="str">
        <f>"5052069346"</f>
        <v>5052069346</v>
      </c>
      <c r="E4487" s="2" t="s">
        <v>2912</v>
      </c>
      <c r="F4487" s="2" t="s">
        <v>9047</v>
      </c>
      <c r="G4487" s="2" t="str">
        <f>"SR-5979"</f>
        <v>SR-5979</v>
      </c>
      <c r="H4487" s="2" t="s">
        <v>20185</v>
      </c>
      <c r="I4487" s="2" t="s">
        <v>20186</v>
      </c>
      <c r="K4487" s="2" t="s">
        <v>3705</v>
      </c>
      <c r="L4487" s="2" t="s">
        <v>789</v>
      </c>
      <c r="M4487" s="2">
        <v>87108.0</v>
      </c>
      <c r="N4487" s="2" t="s">
        <v>21</v>
      </c>
    </row>
    <row r="4488" ht="15.75" customHeight="1">
      <c r="A4488" s="2">
        <v>2015.0</v>
      </c>
      <c r="B4488" s="2" t="s">
        <v>20187</v>
      </c>
      <c r="C4488" s="2" t="s">
        <v>20187</v>
      </c>
      <c r="D4488" s="2" t="str">
        <f>"4806218527"</f>
        <v>4806218527</v>
      </c>
      <c r="E4488" s="2" t="s">
        <v>7046</v>
      </c>
      <c r="F4488" s="2" t="s">
        <v>1590</v>
      </c>
      <c r="G4488" s="2" t="str">
        <f>"SR-6245"</f>
        <v>SR-6245</v>
      </c>
      <c r="H4488" s="2" t="s">
        <v>20188</v>
      </c>
      <c r="I4488" s="2" t="s">
        <v>20189</v>
      </c>
      <c r="K4488" s="2" t="s">
        <v>1593</v>
      </c>
      <c r="L4488" s="2" t="s">
        <v>422</v>
      </c>
      <c r="M4488" s="2">
        <v>85260.0</v>
      </c>
      <c r="N4488" s="2" t="s">
        <v>21</v>
      </c>
    </row>
    <row r="4489" ht="15.75" customHeight="1">
      <c r="A4489" s="2">
        <v>2015.0</v>
      </c>
      <c r="B4489" s="2" t="s">
        <v>20190</v>
      </c>
      <c r="C4489" s="2" t="s">
        <v>20190</v>
      </c>
      <c r="D4489" s="2" t="str">
        <f>"863-529-5863"</f>
        <v>863-529-5863</v>
      </c>
      <c r="E4489" s="2" t="s">
        <v>1987</v>
      </c>
      <c r="F4489" s="2" t="s">
        <v>20191</v>
      </c>
      <c r="G4489" s="2" t="str">
        <f>"SR-6242"</f>
        <v>SR-6242</v>
      </c>
      <c r="H4489" s="2" t="s">
        <v>20192</v>
      </c>
      <c r="I4489" s="2" t="s">
        <v>20193</v>
      </c>
      <c r="K4489" s="2" t="s">
        <v>1570</v>
      </c>
      <c r="L4489" s="2" t="s">
        <v>208</v>
      </c>
      <c r="M4489" s="2">
        <v>33813.0</v>
      </c>
      <c r="N4489" s="2" t="s">
        <v>21</v>
      </c>
    </row>
    <row r="4490" ht="15.75" customHeight="1">
      <c r="A4490" s="2">
        <v>2015.0</v>
      </c>
      <c r="B4490" s="2" t="s">
        <v>20194</v>
      </c>
      <c r="C4490" s="2" t="s">
        <v>20194</v>
      </c>
      <c r="D4490" s="2" t="str">
        <f>"8324996689"</f>
        <v>8324996689</v>
      </c>
      <c r="E4490" s="2" t="s">
        <v>20195</v>
      </c>
      <c r="F4490" s="2" t="s">
        <v>20196</v>
      </c>
      <c r="G4490" s="2" t="str">
        <f>"SR-5905"</f>
        <v>SR-5905</v>
      </c>
      <c r="H4490" s="2" t="s">
        <v>20197</v>
      </c>
      <c r="I4490" s="2" t="s">
        <v>20198</v>
      </c>
      <c r="K4490" s="2" t="s">
        <v>5855</v>
      </c>
      <c r="L4490" s="2" t="s">
        <v>172</v>
      </c>
      <c r="M4490" s="2">
        <v>77379.0</v>
      </c>
      <c r="N4490" s="2" t="s">
        <v>21</v>
      </c>
    </row>
    <row r="4491" ht="15.75" customHeight="1">
      <c r="A4491" s="2">
        <v>2015.0</v>
      </c>
      <c r="B4491" s="2" t="s">
        <v>20199</v>
      </c>
      <c r="C4491" s="2" t="s">
        <v>20199</v>
      </c>
      <c r="D4491" s="2" t="str">
        <f>"7197616897"</f>
        <v>7197616897</v>
      </c>
      <c r="E4491" s="2" t="s">
        <v>137</v>
      </c>
      <c r="F4491" s="2" t="s">
        <v>13926</v>
      </c>
      <c r="G4491" s="2" t="str">
        <f>"SR-5480"</f>
        <v>SR-5480</v>
      </c>
      <c r="H4491" s="2" t="s">
        <v>20200</v>
      </c>
      <c r="I4491" s="2" t="s">
        <v>20201</v>
      </c>
      <c r="K4491" s="2" t="s">
        <v>809</v>
      </c>
      <c r="L4491" s="2" t="s">
        <v>157</v>
      </c>
      <c r="M4491" s="2">
        <v>80908.0</v>
      </c>
      <c r="N4491" s="2" t="s">
        <v>21</v>
      </c>
    </row>
    <row r="4492" ht="15.75" customHeight="1">
      <c r="A4492" s="2">
        <v>2015.0</v>
      </c>
      <c r="B4492" s="2" t="s">
        <v>20202</v>
      </c>
      <c r="C4492" s="2" t="s">
        <v>20203</v>
      </c>
      <c r="D4492" s="2" t="str">
        <f>"2486691748"</f>
        <v>2486691748</v>
      </c>
      <c r="E4492" s="2" t="s">
        <v>2162</v>
      </c>
      <c r="F4492" s="2" t="s">
        <v>20204</v>
      </c>
      <c r="G4492" s="2" t="str">
        <f>"SR-6255"</f>
        <v>SR-6255</v>
      </c>
      <c r="H4492" s="2" t="s">
        <v>20205</v>
      </c>
      <c r="I4492" s="2" t="s">
        <v>20206</v>
      </c>
      <c r="K4492" s="2" t="s">
        <v>20207</v>
      </c>
      <c r="L4492" s="2" t="s">
        <v>29</v>
      </c>
      <c r="M4492" s="2">
        <v>48390.0</v>
      </c>
      <c r="N4492" s="2" t="s">
        <v>21</v>
      </c>
    </row>
    <row r="4493" ht="15.75" customHeight="1">
      <c r="A4493" s="2">
        <v>2015.0</v>
      </c>
      <c r="B4493" s="2" t="s">
        <v>20208</v>
      </c>
      <c r="C4493" s="2" t="s">
        <v>20209</v>
      </c>
      <c r="D4493" s="2" t="str">
        <f>"303 601 8123"</f>
        <v>303 601 8123</v>
      </c>
      <c r="E4493" s="2" t="s">
        <v>132</v>
      </c>
      <c r="F4493" s="2" t="s">
        <v>20210</v>
      </c>
      <c r="G4493" s="2" t="str">
        <f>"SR-6251"</f>
        <v>SR-6251</v>
      </c>
      <c r="H4493" s="2" t="s">
        <v>20211</v>
      </c>
      <c r="I4493" s="2" t="s">
        <v>20212</v>
      </c>
      <c r="K4493" s="2" t="s">
        <v>2317</v>
      </c>
      <c r="L4493" s="2" t="s">
        <v>157</v>
      </c>
      <c r="M4493" s="2">
        <v>80504.0</v>
      </c>
      <c r="N4493" s="2" t="s">
        <v>21</v>
      </c>
    </row>
    <row r="4494" ht="15.75" customHeight="1">
      <c r="A4494" s="2">
        <v>2015.0</v>
      </c>
      <c r="B4494" s="2" t="s">
        <v>20213</v>
      </c>
      <c r="C4494" s="2" t="s">
        <v>20214</v>
      </c>
      <c r="D4494" s="2" t="str">
        <f>"303-695-6109"</f>
        <v>303-695-6109</v>
      </c>
      <c r="E4494" s="2" t="s">
        <v>2361</v>
      </c>
      <c r="F4494" s="2" t="s">
        <v>6633</v>
      </c>
      <c r="G4494" s="2" t="str">
        <f>"SR-6250"</f>
        <v>SR-6250</v>
      </c>
      <c r="H4494" s="2" t="s">
        <v>20215</v>
      </c>
      <c r="I4494" s="2" t="s">
        <v>20216</v>
      </c>
      <c r="K4494" s="2" t="s">
        <v>1520</v>
      </c>
      <c r="L4494" s="2" t="s">
        <v>157</v>
      </c>
      <c r="M4494" s="2">
        <v>80012.0</v>
      </c>
      <c r="N4494" s="2" t="s">
        <v>21</v>
      </c>
    </row>
    <row r="4495" ht="15.75" customHeight="1">
      <c r="A4495" s="2">
        <v>2015.0</v>
      </c>
      <c r="B4495" s="2" t="s">
        <v>20217</v>
      </c>
      <c r="C4495" s="2" t="s">
        <v>20217</v>
      </c>
      <c r="D4495" s="2" t="str">
        <f>"325-573-4028"</f>
        <v>325-573-4028</v>
      </c>
      <c r="E4495" s="2" t="s">
        <v>2126</v>
      </c>
      <c r="F4495" s="2" t="s">
        <v>20218</v>
      </c>
      <c r="G4495" s="2" t="str">
        <f>"SR-6254"</f>
        <v>SR-6254</v>
      </c>
      <c r="H4495" s="2" t="s">
        <v>20219</v>
      </c>
      <c r="I4495" s="2" t="s">
        <v>20220</v>
      </c>
      <c r="K4495" s="2" t="s">
        <v>3236</v>
      </c>
      <c r="L4495" s="2" t="s">
        <v>172</v>
      </c>
      <c r="M4495" s="2">
        <v>79549.0</v>
      </c>
      <c r="N4495" s="2" t="s">
        <v>21</v>
      </c>
    </row>
    <row r="4496" ht="15.75" customHeight="1">
      <c r="A4496" s="2">
        <v>2015.0</v>
      </c>
      <c r="B4496" s="2" t="s">
        <v>20221</v>
      </c>
      <c r="C4496" s="2" t="s">
        <v>20222</v>
      </c>
      <c r="D4496" s="2" t="str">
        <f>"8067975581"</f>
        <v>8067975581</v>
      </c>
      <c r="E4496" s="2" t="s">
        <v>11583</v>
      </c>
      <c r="F4496" s="2" t="s">
        <v>20223</v>
      </c>
      <c r="G4496" s="2" t="str">
        <f>"SR-6256"</f>
        <v>SR-6256</v>
      </c>
      <c r="H4496" s="2" t="s">
        <v>20224</v>
      </c>
      <c r="I4496" s="2" t="s">
        <v>20225</v>
      </c>
      <c r="K4496" s="2" t="s">
        <v>1121</v>
      </c>
      <c r="L4496" s="2" t="s">
        <v>172</v>
      </c>
      <c r="M4496" s="2">
        <v>79416.0</v>
      </c>
      <c r="N4496" s="2" t="s">
        <v>21</v>
      </c>
    </row>
    <row r="4497" ht="15.75" customHeight="1">
      <c r="A4497" s="2">
        <v>2015.0</v>
      </c>
      <c r="B4497" s="2" t="s">
        <v>20226</v>
      </c>
      <c r="C4497" s="2" t="s">
        <v>20227</v>
      </c>
      <c r="D4497" s="2" t="str">
        <f>"7407393250"</f>
        <v>7407393250</v>
      </c>
      <c r="E4497" s="2" t="s">
        <v>282</v>
      </c>
      <c r="F4497" s="2" t="s">
        <v>20228</v>
      </c>
      <c r="G4497" s="2" t="str">
        <f>"SR-5872"</f>
        <v>SR-5872</v>
      </c>
      <c r="H4497" s="2" t="s">
        <v>20229</v>
      </c>
      <c r="I4497" s="2" t="s">
        <v>20230</v>
      </c>
      <c r="K4497" s="2" t="s">
        <v>20231</v>
      </c>
      <c r="L4497" s="2" t="s">
        <v>344</v>
      </c>
      <c r="M4497" s="2">
        <v>43062.0</v>
      </c>
      <c r="N4497" s="2" t="s">
        <v>21</v>
      </c>
    </row>
    <row r="4498" ht="15.75" customHeight="1">
      <c r="A4498" s="2">
        <v>2015.0</v>
      </c>
      <c r="B4498" s="2" t="s">
        <v>20232</v>
      </c>
      <c r="C4498" s="2" t="s">
        <v>20233</v>
      </c>
      <c r="D4498" s="2" t="str">
        <f>"817-490-9990"</f>
        <v>817-490-9990</v>
      </c>
      <c r="E4498" s="2" t="s">
        <v>3964</v>
      </c>
      <c r="F4498" s="2" t="s">
        <v>20234</v>
      </c>
      <c r="G4498" s="2" t="str">
        <f>"SR-6257"</f>
        <v>SR-6257</v>
      </c>
      <c r="H4498" s="2" t="s">
        <v>20235</v>
      </c>
      <c r="I4498" s="2" t="s">
        <v>20236</v>
      </c>
      <c r="K4498" s="2" t="s">
        <v>2643</v>
      </c>
      <c r="L4498" s="2" t="s">
        <v>172</v>
      </c>
      <c r="M4498" s="2">
        <v>75022.0</v>
      </c>
      <c r="N4498" s="2" t="s">
        <v>21</v>
      </c>
    </row>
    <row r="4499" ht="15.75" customHeight="1">
      <c r="A4499" s="2">
        <v>2015.0</v>
      </c>
      <c r="B4499" s="2" t="s">
        <v>5173</v>
      </c>
      <c r="C4499" s="2" t="s">
        <v>5174</v>
      </c>
      <c r="D4499" s="2" t="str">
        <f>"303-530-0553"</f>
        <v>303-530-0553</v>
      </c>
      <c r="E4499" s="2" t="s">
        <v>5175</v>
      </c>
      <c r="F4499" s="2" t="s">
        <v>5176</v>
      </c>
      <c r="G4499" s="2" t="str">
        <f>"SR-845"</f>
        <v>SR-845</v>
      </c>
      <c r="H4499" s="2" t="s">
        <v>5177</v>
      </c>
      <c r="I4499" s="2" t="s">
        <v>5178</v>
      </c>
      <c r="K4499" s="2" t="s">
        <v>5179</v>
      </c>
      <c r="L4499" s="2" t="s">
        <v>157</v>
      </c>
      <c r="M4499" s="2">
        <v>80302.0</v>
      </c>
      <c r="N4499" s="2" t="s">
        <v>21</v>
      </c>
    </row>
    <row r="4500" ht="15.75" customHeight="1">
      <c r="A4500" s="2">
        <v>2015.0</v>
      </c>
      <c r="B4500" s="2" t="s">
        <v>20237</v>
      </c>
      <c r="C4500" s="2" t="s">
        <v>20238</v>
      </c>
      <c r="D4500" s="2" t="str">
        <f>"540-908-8627"</f>
        <v>540-908-8627</v>
      </c>
      <c r="E4500" s="2" t="s">
        <v>4300</v>
      </c>
      <c r="F4500" s="2" t="s">
        <v>20239</v>
      </c>
      <c r="G4500" s="2" t="str">
        <f>"SR-6253"</f>
        <v>SR-6253</v>
      </c>
      <c r="H4500" s="2" t="s">
        <v>20240</v>
      </c>
      <c r="I4500" s="2" t="s">
        <v>20241</v>
      </c>
      <c r="K4500" s="2" t="s">
        <v>4310</v>
      </c>
      <c r="L4500" s="2" t="s">
        <v>165</v>
      </c>
      <c r="M4500" s="2">
        <v>22821.0</v>
      </c>
      <c r="N4500" s="2" t="s">
        <v>21</v>
      </c>
    </row>
    <row r="4501" ht="15.75" customHeight="1">
      <c r="A4501" s="2">
        <v>2015.0</v>
      </c>
      <c r="B4501" s="2" t="s">
        <v>20232</v>
      </c>
      <c r="C4501" s="2" t="s">
        <v>20242</v>
      </c>
      <c r="D4501" s="2" t="str">
        <f>"817-490-9990"</f>
        <v>817-490-9990</v>
      </c>
      <c r="E4501" s="2" t="s">
        <v>1274</v>
      </c>
      <c r="F4501" s="2" t="s">
        <v>20234</v>
      </c>
      <c r="G4501" s="2" t="str">
        <f>"SR-6263"</f>
        <v>SR-6263</v>
      </c>
      <c r="H4501" s="2" t="s">
        <v>20243</v>
      </c>
      <c r="I4501" s="2" t="s">
        <v>20236</v>
      </c>
      <c r="K4501" s="2" t="s">
        <v>2643</v>
      </c>
      <c r="L4501" s="2" t="s">
        <v>172</v>
      </c>
      <c r="M4501" s="2">
        <v>75022.0</v>
      </c>
      <c r="N4501" s="2" t="s">
        <v>21</v>
      </c>
    </row>
    <row r="4502" ht="15.75" customHeight="1">
      <c r="A4502" s="2">
        <v>2015.0</v>
      </c>
      <c r="B4502" s="2" t="s">
        <v>20244</v>
      </c>
      <c r="C4502" s="2" t="s">
        <v>20244</v>
      </c>
      <c r="D4502" s="2" t="str">
        <f>"5092694415"</f>
        <v>5092694415</v>
      </c>
      <c r="E4502" s="2" t="s">
        <v>1548</v>
      </c>
      <c r="F4502" s="2" t="s">
        <v>20245</v>
      </c>
      <c r="G4502" s="2" t="str">
        <f>"SR-6261"</f>
        <v>SR-6261</v>
      </c>
      <c r="H4502" s="2" t="s">
        <v>20246</v>
      </c>
      <c r="I4502" s="2" t="s">
        <v>20247</v>
      </c>
      <c r="K4502" s="2" t="s">
        <v>5531</v>
      </c>
      <c r="L4502" s="2" t="s">
        <v>86</v>
      </c>
      <c r="M4502" s="2">
        <v>99343.0</v>
      </c>
      <c r="N4502" s="2" t="s">
        <v>21</v>
      </c>
    </row>
    <row r="4503" ht="15.75" customHeight="1">
      <c r="A4503" s="2">
        <v>2015.0</v>
      </c>
      <c r="B4503" s="2" t="s">
        <v>8285</v>
      </c>
      <c r="C4503" s="2" t="s">
        <v>8286</v>
      </c>
      <c r="D4503" s="2" t="str">
        <f>"2483480848"</f>
        <v>2483480848</v>
      </c>
      <c r="E4503" s="2" t="s">
        <v>8287</v>
      </c>
      <c r="F4503" s="2" t="s">
        <v>8288</v>
      </c>
      <c r="G4503" s="2" t="str">
        <f>"SR-2192"</f>
        <v>SR-2192</v>
      </c>
      <c r="H4503" s="2" t="s">
        <v>8289</v>
      </c>
      <c r="I4503" s="2" t="s">
        <v>8290</v>
      </c>
      <c r="K4503" s="2" t="s">
        <v>8291</v>
      </c>
      <c r="L4503" s="2" t="s">
        <v>29</v>
      </c>
      <c r="M4503" s="2">
        <v>48374.0</v>
      </c>
      <c r="N4503" s="2" t="s">
        <v>21</v>
      </c>
    </row>
    <row r="4504" ht="15.75" customHeight="1">
      <c r="A4504" s="2">
        <v>2015.0</v>
      </c>
      <c r="B4504" s="2" t="s">
        <v>20248</v>
      </c>
      <c r="C4504" s="2" t="s">
        <v>20248</v>
      </c>
      <c r="D4504" s="2" t="str">
        <f>"5094306068"</f>
        <v>5094306068</v>
      </c>
      <c r="E4504" s="2" t="s">
        <v>1094</v>
      </c>
      <c r="F4504" s="2" t="s">
        <v>20245</v>
      </c>
      <c r="G4504" s="2" t="str">
        <f>"SR-6262"</f>
        <v>SR-6262</v>
      </c>
      <c r="H4504" s="2" t="s">
        <v>20249</v>
      </c>
      <c r="I4504" s="2" t="s">
        <v>20250</v>
      </c>
      <c r="K4504" s="2" t="s">
        <v>5531</v>
      </c>
      <c r="L4504" s="2" t="s">
        <v>86</v>
      </c>
      <c r="M4504" s="2">
        <v>99343.0</v>
      </c>
      <c r="N4504" s="2" t="s">
        <v>21</v>
      </c>
    </row>
    <row r="4505" ht="15.75" customHeight="1">
      <c r="A4505" s="2">
        <v>2015.0</v>
      </c>
      <c r="B4505" s="2" t="s">
        <v>20251</v>
      </c>
      <c r="C4505" s="2" t="s">
        <v>20252</v>
      </c>
      <c r="D4505" s="2" t="str">
        <f>"972-658-3697"</f>
        <v>972-658-3697</v>
      </c>
      <c r="E4505" s="2" t="s">
        <v>1141</v>
      </c>
      <c r="F4505" s="2" t="s">
        <v>12242</v>
      </c>
      <c r="G4505" s="2" t="str">
        <f>"SR-5752"</f>
        <v>SR-5752</v>
      </c>
      <c r="H4505" s="2" t="s">
        <v>20253</v>
      </c>
      <c r="I4505" s="2" t="s">
        <v>18572</v>
      </c>
      <c r="K4505" s="2" t="s">
        <v>615</v>
      </c>
      <c r="L4505" s="2" t="s">
        <v>172</v>
      </c>
      <c r="M4505" s="2">
        <v>75071.0</v>
      </c>
      <c r="N4505" s="2" t="s">
        <v>21</v>
      </c>
    </row>
    <row r="4506" ht="15.75" customHeight="1">
      <c r="A4506" s="2">
        <v>2015.0</v>
      </c>
      <c r="B4506" s="2" t="s">
        <v>20254</v>
      </c>
      <c r="D4506" s="2" t="str">
        <f>"605-749-2233"</f>
        <v>605-749-2233</v>
      </c>
      <c r="E4506" s="2" t="s">
        <v>584</v>
      </c>
      <c r="F4506" s="2" t="s">
        <v>20255</v>
      </c>
      <c r="G4506" s="2" t="str">
        <f>"SR-6264"</f>
        <v>SR-6264</v>
      </c>
      <c r="H4506" s="2" t="s">
        <v>20256</v>
      </c>
      <c r="I4506" s="2" t="s">
        <v>20257</v>
      </c>
      <c r="K4506" s="2" t="s">
        <v>20258</v>
      </c>
      <c r="L4506" s="2" t="s">
        <v>920</v>
      </c>
      <c r="M4506" s="2">
        <v>57735.0</v>
      </c>
      <c r="N4506" s="2" t="s">
        <v>21</v>
      </c>
    </row>
    <row r="4507" ht="15.75" customHeight="1">
      <c r="A4507" s="2">
        <v>2015.0</v>
      </c>
      <c r="B4507" s="2" t="s">
        <v>20259</v>
      </c>
      <c r="C4507" s="2" t="s">
        <v>20260</v>
      </c>
      <c r="D4507" s="2" t="str">
        <f>"9093389708"</f>
        <v>9093389708</v>
      </c>
      <c r="E4507" s="2" t="s">
        <v>1208</v>
      </c>
      <c r="F4507" s="2" t="s">
        <v>20261</v>
      </c>
      <c r="G4507" s="2" t="str">
        <f>"SR-5952"</f>
        <v>SR-5952</v>
      </c>
      <c r="H4507" s="2" t="s">
        <v>20262</v>
      </c>
      <c r="I4507" s="2" t="s">
        <v>20263</v>
      </c>
      <c r="K4507" s="2" t="s">
        <v>4255</v>
      </c>
      <c r="L4507" s="2" t="s">
        <v>222</v>
      </c>
      <c r="M4507" s="2">
        <v>92325.0</v>
      </c>
      <c r="N4507" s="2" t="s">
        <v>21</v>
      </c>
    </row>
    <row r="4508" ht="15.75" customHeight="1">
      <c r="A4508" s="2">
        <v>2015.0</v>
      </c>
      <c r="B4508" s="2" t="s">
        <v>20264</v>
      </c>
      <c r="C4508" s="2" t="s">
        <v>20265</v>
      </c>
      <c r="D4508" s="2" t="str">
        <f>"2548977370"</f>
        <v>2548977370</v>
      </c>
      <c r="E4508" s="2" t="s">
        <v>250</v>
      </c>
      <c r="F4508" s="2" t="s">
        <v>20266</v>
      </c>
      <c r="G4508" s="2" t="str">
        <f>"SR-6150"</f>
        <v>SR-6150</v>
      </c>
      <c r="H4508" s="2" t="s">
        <v>20267</v>
      </c>
      <c r="I4508" s="2" t="s">
        <v>20268</v>
      </c>
      <c r="K4508" s="2" t="s">
        <v>20269</v>
      </c>
      <c r="L4508" s="2" t="s">
        <v>172</v>
      </c>
      <c r="M4508" s="2">
        <v>76043.0</v>
      </c>
      <c r="N4508" s="2" t="s">
        <v>21</v>
      </c>
    </row>
    <row r="4509" ht="15.75" customHeight="1">
      <c r="A4509" s="2">
        <v>2015.0</v>
      </c>
      <c r="B4509" s="2" t="s">
        <v>20270</v>
      </c>
      <c r="C4509" s="2" t="s">
        <v>20271</v>
      </c>
      <c r="D4509" s="2" t="str">
        <f>"7205609659"</f>
        <v>7205609659</v>
      </c>
      <c r="E4509" s="2" t="s">
        <v>465</v>
      </c>
      <c r="F4509" s="2" t="s">
        <v>20272</v>
      </c>
      <c r="G4509" s="2" t="str">
        <f>"SR-6005"</f>
        <v>SR-6005</v>
      </c>
      <c r="H4509" s="2" t="s">
        <v>20273</v>
      </c>
      <c r="I4509" s="2" t="s">
        <v>20274</v>
      </c>
      <c r="K4509" s="2" t="s">
        <v>1548</v>
      </c>
      <c r="L4509" s="2" t="s">
        <v>157</v>
      </c>
      <c r="M4509" s="2">
        <v>80107.0</v>
      </c>
      <c r="N4509" s="2" t="s">
        <v>21</v>
      </c>
    </row>
    <row r="4510" ht="15.75" customHeight="1">
      <c r="A4510" s="2">
        <v>2015.0</v>
      </c>
      <c r="B4510" s="2" t="s">
        <v>13105</v>
      </c>
      <c r="C4510" s="2" t="s">
        <v>13106</v>
      </c>
      <c r="D4510" s="2" t="str">
        <f>"9493370544"</f>
        <v>9493370544</v>
      </c>
      <c r="E4510" s="2" t="s">
        <v>13107</v>
      </c>
      <c r="F4510" s="2" t="s">
        <v>1849</v>
      </c>
      <c r="G4510" s="2" t="str">
        <f>"SR-3787"</f>
        <v>SR-3787</v>
      </c>
      <c r="H4510" s="2" t="s">
        <v>13108</v>
      </c>
      <c r="I4510" s="2" t="s">
        <v>13109</v>
      </c>
      <c r="K4510" s="2" t="s">
        <v>13110</v>
      </c>
      <c r="L4510" s="2" t="s">
        <v>222</v>
      </c>
      <c r="M4510" s="2">
        <v>92691.0</v>
      </c>
      <c r="N4510" s="2" t="s">
        <v>21</v>
      </c>
    </row>
    <row r="4511" ht="15.75" customHeight="1">
      <c r="A4511" s="2">
        <v>2015.0</v>
      </c>
      <c r="B4511" s="2" t="s">
        <v>20275</v>
      </c>
      <c r="C4511" s="2" t="s">
        <v>20276</v>
      </c>
      <c r="D4511" s="2" t="str">
        <f>"585-953-0971"</f>
        <v>585-953-0971</v>
      </c>
      <c r="E4511" s="2" t="s">
        <v>1664</v>
      </c>
      <c r="F4511" s="2" t="s">
        <v>20277</v>
      </c>
      <c r="G4511" s="2" t="str">
        <f>"SR-4916"</f>
        <v>SR-4916</v>
      </c>
      <c r="H4511" s="2" t="s">
        <v>20278</v>
      </c>
      <c r="I4511" s="2" t="s">
        <v>20279</v>
      </c>
      <c r="K4511" s="2" t="s">
        <v>3067</v>
      </c>
      <c r="L4511" s="2" t="s">
        <v>142</v>
      </c>
      <c r="M4511" s="2">
        <v>14564.0</v>
      </c>
      <c r="N4511" s="2" t="s">
        <v>21</v>
      </c>
    </row>
    <row r="4512" ht="15.75" customHeight="1">
      <c r="A4512" s="2">
        <v>2015.0</v>
      </c>
      <c r="B4512" s="2" t="s">
        <v>20280</v>
      </c>
      <c r="C4512" s="2" t="s">
        <v>20281</v>
      </c>
      <c r="D4512" s="2" t="str">
        <f>"2399107604"</f>
        <v>2399107604</v>
      </c>
      <c r="E4512" s="2" t="s">
        <v>2126</v>
      </c>
      <c r="F4512" s="2" t="s">
        <v>20282</v>
      </c>
      <c r="G4512" s="2" t="str">
        <f>"SR-6232"</f>
        <v>SR-6232</v>
      </c>
      <c r="H4512" s="2" t="s">
        <v>20283</v>
      </c>
      <c r="I4512" s="2" t="s">
        <v>20284</v>
      </c>
      <c r="K4512" s="2" t="s">
        <v>20285</v>
      </c>
      <c r="L4512" s="2" t="s">
        <v>208</v>
      </c>
      <c r="M4512" s="2">
        <v>33908.0</v>
      </c>
      <c r="N4512" s="2" t="s">
        <v>21</v>
      </c>
    </row>
    <row r="4513" ht="15.75" customHeight="1">
      <c r="A4513" s="2">
        <v>2015.0</v>
      </c>
      <c r="B4513" s="2" t="s">
        <v>20286</v>
      </c>
      <c r="C4513" s="2" t="s">
        <v>20287</v>
      </c>
      <c r="D4513" s="2" t="str">
        <f>"7049187105"</f>
        <v>7049187105</v>
      </c>
      <c r="E4513" s="2" t="s">
        <v>339</v>
      </c>
      <c r="F4513" s="2" t="s">
        <v>5025</v>
      </c>
      <c r="G4513" s="2" t="str">
        <f>"SR-6176"</f>
        <v>SR-6176</v>
      </c>
      <c r="H4513" s="2" t="s">
        <v>20288</v>
      </c>
      <c r="I4513" s="2" t="s">
        <v>20289</v>
      </c>
      <c r="K4513" s="2" t="s">
        <v>5028</v>
      </c>
      <c r="L4513" s="2" t="s">
        <v>20</v>
      </c>
      <c r="M4513" s="2">
        <v>28078.0</v>
      </c>
      <c r="N4513" s="2" t="s">
        <v>21</v>
      </c>
    </row>
    <row r="4514" ht="15.75" customHeight="1">
      <c r="A4514" s="2">
        <v>2015.0</v>
      </c>
      <c r="B4514" s="2" t="s">
        <v>1916</v>
      </c>
      <c r="C4514" s="2" t="s">
        <v>20290</v>
      </c>
      <c r="D4514" s="2" t="str">
        <f>"870 299-3468"</f>
        <v>870 299-3468</v>
      </c>
      <c r="E4514" s="2" t="s">
        <v>938</v>
      </c>
      <c r="F4514" s="2" t="s">
        <v>493</v>
      </c>
      <c r="G4514" s="2" t="str">
        <f>"SR-5943"</f>
        <v>SR-5943</v>
      </c>
      <c r="H4514" s="2" t="s">
        <v>20291</v>
      </c>
      <c r="I4514" s="2" t="s">
        <v>20292</v>
      </c>
      <c r="K4514" s="2" t="s">
        <v>3359</v>
      </c>
      <c r="L4514" s="2" t="s">
        <v>1012</v>
      </c>
      <c r="M4514" s="2">
        <v>71770.0</v>
      </c>
      <c r="N4514" s="2" t="s">
        <v>21</v>
      </c>
    </row>
    <row r="4515" ht="15.75" customHeight="1">
      <c r="A4515" s="2">
        <v>2015.0</v>
      </c>
      <c r="B4515" s="2" t="s">
        <v>20293</v>
      </c>
      <c r="C4515" s="2" t="s">
        <v>20294</v>
      </c>
      <c r="D4515" s="2" t="str">
        <f>"9082686121"</f>
        <v>9082686121</v>
      </c>
      <c r="E4515" s="2" t="s">
        <v>417</v>
      </c>
      <c r="F4515" s="2" t="s">
        <v>1859</v>
      </c>
      <c r="G4515" s="2" t="str">
        <f>"SR-6276"</f>
        <v>SR-6276</v>
      </c>
      <c r="H4515" s="2" t="s">
        <v>20295</v>
      </c>
      <c r="I4515" s="2" t="s">
        <v>20296</v>
      </c>
      <c r="K4515" s="2" t="s">
        <v>3141</v>
      </c>
      <c r="L4515" s="2" t="s">
        <v>3618</v>
      </c>
      <c r="M4515" s="2">
        <v>8848.0</v>
      </c>
      <c r="N4515" s="2" t="s">
        <v>21</v>
      </c>
    </row>
    <row r="4516" ht="15.75" customHeight="1">
      <c r="A4516" s="2">
        <v>2015.0</v>
      </c>
      <c r="B4516" s="2" t="s">
        <v>20297</v>
      </c>
      <c r="C4516" s="2" t="s">
        <v>20298</v>
      </c>
      <c r="D4516" s="2" t="str">
        <f>"254-857-8828"</f>
        <v>254-857-8828</v>
      </c>
      <c r="E4516" s="2" t="s">
        <v>20299</v>
      </c>
      <c r="F4516" s="2" t="s">
        <v>20300</v>
      </c>
      <c r="G4516" s="2" t="str">
        <f>"SR-6278"</f>
        <v>SR-6278</v>
      </c>
      <c r="H4516" s="2" t="s">
        <v>20301</v>
      </c>
      <c r="I4516" s="2" t="s">
        <v>20302</v>
      </c>
      <c r="K4516" s="2" t="s">
        <v>20303</v>
      </c>
      <c r="L4516" s="2" t="s">
        <v>172</v>
      </c>
      <c r="M4516" s="2">
        <v>76655.0</v>
      </c>
      <c r="N4516" s="2" t="s">
        <v>21</v>
      </c>
    </row>
    <row r="4517" ht="15.75" customHeight="1">
      <c r="A4517" s="2">
        <v>2015.0</v>
      </c>
      <c r="B4517" s="2" t="s">
        <v>20304</v>
      </c>
      <c r="C4517" s="2" t="s">
        <v>20304</v>
      </c>
      <c r="D4517" s="2" t="str">
        <f>"406-794-8705"</f>
        <v>406-794-8705</v>
      </c>
      <c r="E4517" s="2" t="s">
        <v>2578</v>
      </c>
      <c r="F4517" s="2" t="s">
        <v>20305</v>
      </c>
      <c r="G4517" s="2" t="str">
        <f>"SR-6280"</f>
        <v>SR-6280</v>
      </c>
      <c r="H4517" s="2" t="s">
        <v>20306</v>
      </c>
      <c r="I4517" s="2" t="s">
        <v>20307</v>
      </c>
      <c r="K4517" s="2" t="s">
        <v>20308</v>
      </c>
      <c r="L4517" s="2" t="s">
        <v>2696</v>
      </c>
      <c r="M4517" s="2">
        <v>59106.0</v>
      </c>
      <c r="N4517" s="2" t="s">
        <v>21</v>
      </c>
    </row>
    <row r="4518" ht="15.75" customHeight="1">
      <c r="A4518" s="2">
        <v>2015.0</v>
      </c>
      <c r="B4518" s="2" t="s">
        <v>13765</v>
      </c>
      <c r="C4518" s="2" t="s">
        <v>13766</v>
      </c>
      <c r="D4518" s="2" t="str">
        <f t="shared" ref="D4518:D4519" si="82">"3207964048"</f>
        <v>3207964048</v>
      </c>
      <c r="E4518" s="2" t="s">
        <v>1529</v>
      </c>
      <c r="F4518" s="2" t="s">
        <v>13767</v>
      </c>
      <c r="G4518" s="2" t="str">
        <f>"SR-3014"</f>
        <v>SR-3014</v>
      </c>
      <c r="H4518" s="2" t="s">
        <v>13768</v>
      </c>
      <c r="I4518" s="2" t="s">
        <v>13769</v>
      </c>
      <c r="K4518" s="2" t="s">
        <v>9895</v>
      </c>
      <c r="L4518" s="2" t="s">
        <v>62</v>
      </c>
      <c r="M4518" s="2">
        <v>56288.0</v>
      </c>
      <c r="N4518" s="2" t="s">
        <v>21</v>
      </c>
    </row>
    <row r="4519" ht="15.75" customHeight="1">
      <c r="A4519" s="2">
        <v>2015.0</v>
      </c>
      <c r="B4519" s="2" t="s">
        <v>13765</v>
      </c>
      <c r="C4519" s="2" t="s">
        <v>20309</v>
      </c>
      <c r="D4519" s="2" t="str">
        <f t="shared" si="82"/>
        <v>3207964048</v>
      </c>
      <c r="E4519" s="2" t="s">
        <v>301</v>
      </c>
      <c r="F4519" s="2" t="s">
        <v>13767</v>
      </c>
      <c r="G4519" s="2" t="str">
        <f>"SR-5757"</f>
        <v>SR-5757</v>
      </c>
      <c r="H4519" s="2" t="s">
        <v>20310</v>
      </c>
      <c r="I4519" s="2" t="s">
        <v>20311</v>
      </c>
      <c r="K4519" s="2" t="s">
        <v>9895</v>
      </c>
      <c r="L4519" s="2" t="s">
        <v>62</v>
      </c>
      <c r="M4519" s="2">
        <v>56288.0</v>
      </c>
      <c r="N4519" s="2" t="s">
        <v>21</v>
      </c>
    </row>
    <row r="4520" ht="15.75" customHeight="1">
      <c r="A4520" s="2">
        <v>2015.0</v>
      </c>
      <c r="B4520" s="2" t="s">
        <v>20312</v>
      </c>
      <c r="C4520" s="2" t="s">
        <v>20312</v>
      </c>
      <c r="D4520" s="2" t="str">
        <f>"(970) 468-2256"</f>
        <v>(970) 468-2256</v>
      </c>
      <c r="E4520" s="2" t="s">
        <v>659</v>
      </c>
      <c r="F4520" s="2" t="s">
        <v>5493</v>
      </c>
      <c r="G4520" s="2" t="str">
        <f>"SR-5692"</f>
        <v>SR-5692</v>
      </c>
      <c r="H4520" s="2" t="s">
        <v>20313</v>
      </c>
      <c r="I4520" s="2" t="s">
        <v>20314</v>
      </c>
      <c r="K4520" s="2" t="s">
        <v>11204</v>
      </c>
      <c r="L4520" s="2" t="s">
        <v>157</v>
      </c>
      <c r="M4520" s="2">
        <v>80498.0</v>
      </c>
      <c r="N4520" s="2" t="s">
        <v>21</v>
      </c>
    </row>
    <row r="4521" ht="15.75" customHeight="1">
      <c r="A4521" s="2">
        <v>2015.0</v>
      </c>
      <c r="B4521" s="2" t="s">
        <v>13765</v>
      </c>
      <c r="D4521" s="2" t="str">
        <f>""</f>
        <v/>
      </c>
      <c r="E4521" s="2" t="s">
        <v>678</v>
      </c>
      <c r="F4521" s="2" t="s">
        <v>13767</v>
      </c>
      <c r="G4521" s="2" t="str">
        <f>"SR-5758"</f>
        <v>SR-5758</v>
      </c>
      <c r="H4521" s="2" t="s">
        <v>20315</v>
      </c>
      <c r="N4521" s="2" t="s">
        <v>21</v>
      </c>
    </row>
    <row r="4522" ht="15.75" customHeight="1">
      <c r="A4522" s="2">
        <v>2015.0</v>
      </c>
      <c r="B4522" s="2" t="s">
        <v>20316</v>
      </c>
      <c r="C4522" s="2" t="s">
        <v>20317</v>
      </c>
      <c r="D4522" s="2" t="str">
        <f>"925-301-0887"</f>
        <v>925-301-0887</v>
      </c>
      <c r="E4522" s="2" t="s">
        <v>326</v>
      </c>
      <c r="F4522" s="2" t="s">
        <v>20318</v>
      </c>
      <c r="G4522" s="2" t="str">
        <f>"SR-5774"</f>
        <v>SR-5774</v>
      </c>
      <c r="H4522" s="2" t="s">
        <v>20319</v>
      </c>
      <c r="I4522" s="2" t="s">
        <v>20320</v>
      </c>
      <c r="K4522" s="2" t="s">
        <v>20321</v>
      </c>
      <c r="L4522" s="2" t="s">
        <v>222</v>
      </c>
      <c r="M4522" s="2">
        <v>94565.0</v>
      </c>
      <c r="N4522" s="2" t="s">
        <v>21</v>
      </c>
    </row>
    <row r="4523" ht="15.75" customHeight="1">
      <c r="A4523" s="2">
        <v>2015.0</v>
      </c>
      <c r="B4523" s="2" t="s">
        <v>20322</v>
      </c>
      <c r="C4523" s="2" t="s">
        <v>20323</v>
      </c>
      <c r="D4523" s="2" t="str">
        <f>"9188598543"</f>
        <v>9188598543</v>
      </c>
      <c r="E4523" s="2" t="s">
        <v>1032</v>
      </c>
      <c r="F4523" s="2" t="s">
        <v>20324</v>
      </c>
      <c r="G4523" s="2" t="str">
        <f>"SR-6187"</f>
        <v>SR-6187</v>
      </c>
      <c r="H4523" s="2" t="s">
        <v>20325</v>
      </c>
      <c r="I4523" s="2" t="s">
        <v>20326</v>
      </c>
      <c r="K4523" s="2" t="s">
        <v>20327</v>
      </c>
      <c r="L4523" s="2" t="s">
        <v>840</v>
      </c>
      <c r="M4523" s="2">
        <v>74010.0</v>
      </c>
      <c r="N4523" s="2" t="s">
        <v>21</v>
      </c>
    </row>
    <row r="4524" ht="15.75" customHeight="1">
      <c r="A4524" s="2">
        <v>2015.0</v>
      </c>
      <c r="B4524" s="2" t="s">
        <v>20328</v>
      </c>
      <c r="C4524" s="2" t="s">
        <v>20328</v>
      </c>
      <c r="D4524" s="2" t="str">
        <f>"7725670462"</f>
        <v>7725670462</v>
      </c>
      <c r="E4524" s="2" t="s">
        <v>282</v>
      </c>
      <c r="F4524" s="2" t="s">
        <v>3903</v>
      </c>
      <c r="G4524" s="2" t="str">
        <f>"SR-6121"</f>
        <v>SR-6121</v>
      </c>
      <c r="H4524" s="2" t="s">
        <v>4917</v>
      </c>
      <c r="I4524" s="2" t="s">
        <v>20329</v>
      </c>
      <c r="K4524" s="2" t="s">
        <v>11560</v>
      </c>
      <c r="L4524" s="2" t="s">
        <v>208</v>
      </c>
      <c r="M4524" s="2">
        <v>32966.0</v>
      </c>
      <c r="N4524" s="2" t="s">
        <v>21</v>
      </c>
    </row>
    <row r="4525" ht="15.75" customHeight="1">
      <c r="A4525" s="2">
        <v>2015.0</v>
      </c>
      <c r="B4525" s="2" t="s">
        <v>20330</v>
      </c>
      <c r="C4525" s="2" t="s">
        <v>20331</v>
      </c>
      <c r="D4525" s="2" t="str">
        <f>"817-823-4273"</f>
        <v>817-823-4273</v>
      </c>
      <c r="E4525" s="2" t="s">
        <v>4935</v>
      </c>
      <c r="F4525" s="2" t="s">
        <v>14086</v>
      </c>
      <c r="G4525" s="2" t="str">
        <f>"SR-6271"</f>
        <v>SR-6271</v>
      </c>
      <c r="H4525" s="2" t="s">
        <v>20332</v>
      </c>
      <c r="I4525" s="2" t="s">
        <v>20333</v>
      </c>
      <c r="K4525" s="2" t="s">
        <v>4482</v>
      </c>
      <c r="L4525" s="2" t="s">
        <v>172</v>
      </c>
      <c r="M4525" s="2">
        <v>78626.0</v>
      </c>
      <c r="N4525" s="2" t="s">
        <v>21</v>
      </c>
    </row>
    <row r="4526" ht="15.75" customHeight="1">
      <c r="A4526" s="2">
        <v>2015.0</v>
      </c>
      <c r="B4526" s="2" t="s">
        <v>20334</v>
      </c>
      <c r="C4526" s="2" t="s">
        <v>20335</v>
      </c>
      <c r="D4526" s="2" t="str">
        <f>"503-956-02283"</f>
        <v>503-956-02283</v>
      </c>
      <c r="E4526" s="2" t="s">
        <v>20336</v>
      </c>
      <c r="F4526" s="2" t="s">
        <v>7126</v>
      </c>
      <c r="G4526" s="2" t="str">
        <f>"SR-6252"</f>
        <v>SR-6252</v>
      </c>
      <c r="H4526" s="2" t="s">
        <v>20337</v>
      </c>
      <c r="I4526" s="2" t="s">
        <v>20338</v>
      </c>
      <c r="K4526" s="2" t="s">
        <v>20339</v>
      </c>
      <c r="L4526" s="2" t="s">
        <v>2389</v>
      </c>
      <c r="M4526" s="2">
        <v>97056.0</v>
      </c>
      <c r="N4526" s="2" t="s">
        <v>21</v>
      </c>
    </row>
    <row r="4527" ht="15.75" customHeight="1">
      <c r="A4527" s="2">
        <v>2015.0</v>
      </c>
      <c r="B4527" s="2" t="s">
        <v>20340</v>
      </c>
      <c r="C4527" s="2" t="s">
        <v>20341</v>
      </c>
      <c r="D4527" s="2" t="str">
        <f>"912 660 0249"</f>
        <v>912 660 0249</v>
      </c>
      <c r="E4527" s="2" t="s">
        <v>20342</v>
      </c>
      <c r="F4527" s="2" t="s">
        <v>283</v>
      </c>
      <c r="G4527" s="2" t="str">
        <f>"SR-5409"</f>
        <v>SR-5409</v>
      </c>
      <c r="H4527" s="2" t="s">
        <v>20343</v>
      </c>
      <c r="I4527" s="2" t="s">
        <v>20344</v>
      </c>
      <c r="K4527" s="2" t="s">
        <v>1239</v>
      </c>
      <c r="L4527" s="2" t="s">
        <v>200</v>
      </c>
      <c r="M4527" s="2">
        <v>31411.0</v>
      </c>
      <c r="N4527" s="2" t="s">
        <v>21</v>
      </c>
    </row>
    <row r="4528" ht="15.75" customHeight="1">
      <c r="A4528" s="2">
        <v>2015.0</v>
      </c>
      <c r="B4528" s="2" t="s">
        <v>20345</v>
      </c>
      <c r="C4528" s="2" t="s">
        <v>20346</v>
      </c>
      <c r="D4528" s="2" t="str">
        <f>"847-220-2411"</f>
        <v>847-220-2411</v>
      </c>
      <c r="E4528" s="2" t="s">
        <v>1400</v>
      </c>
      <c r="F4528" s="2" t="s">
        <v>20347</v>
      </c>
      <c r="G4528" s="2" t="str">
        <f>"SR-6234"</f>
        <v>SR-6234</v>
      </c>
      <c r="H4528" s="2" t="s">
        <v>20348</v>
      </c>
      <c r="I4528" s="2" t="s">
        <v>20349</v>
      </c>
      <c r="K4528" s="2" t="s">
        <v>20350</v>
      </c>
      <c r="L4528" s="2" t="s">
        <v>105</v>
      </c>
      <c r="M4528" s="2">
        <v>60068.0</v>
      </c>
      <c r="N4528" s="2" t="s">
        <v>21</v>
      </c>
    </row>
    <row r="4529" ht="15.75" customHeight="1">
      <c r="A4529" s="2">
        <v>2015.0</v>
      </c>
      <c r="B4529" s="2" t="s">
        <v>20351</v>
      </c>
      <c r="C4529" s="2" t="s">
        <v>20351</v>
      </c>
      <c r="D4529" s="2" t="str">
        <f>"8025650525"</f>
        <v>8025650525</v>
      </c>
      <c r="E4529" s="2" t="s">
        <v>20352</v>
      </c>
      <c r="F4529" s="2" t="s">
        <v>3320</v>
      </c>
      <c r="G4529" s="2" t="str">
        <f>"SR-5918"</f>
        <v>SR-5918</v>
      </c>
      <c r="H4529" s="2" t="s">
        <v>20353</v>
      </c>
      <c r="I4529" s="2" t="s">
        <v>20354</v>
      </c>
      <c r="K4529" s="2" t="s">
        <v>18705</v>
      </c>
      <c r="L4529" s="2" t="s">
        <v>9264</v>
      </c>
      <c r="M4529" s="2">
        <v>5032.0</v>
      </c>
      <c r="N4529" s="2" t="s">
        <v>21</v>
      </c>
    </row>
    <row r="4530" ht="15.75" customHeight="1">
      <c r="A4530" s="2">
        <v>2015.0</v>
      </c>
      <c r="B4530" s="2" t="s">
        <v>10539</v>
      </c>
      <c r="C4530" s="2" t="s">
        <v>20355</v>
      </c>
      <c r="D4530" s="2" t="str">
        <f>"303-570-6353"</f>
        <v>303-570-6353</v>
      </c>
      <c r="E4530" s="2" t="s">
        <v>20356</v>
      </c>
      <c r="F4530" s="2" t="s">
        <v>2548</v>
      </c>
      <c r="G4530" s="2" t="str">
        <f>"SR-5866"</f>
        <v>SR-5866</v>
      </c>
      <c r="H4530" s="2" t="s">
        <v>20357</v>
      </c>
      <c r="I4530" s="2" t="s">
        <v>20358</v>
      </c>
      <c r="K4530" s="2" t="s">
        <v>1178</v>
      </c>
      <c r="L4530" s="2" t="s">
        <v>157</v>
      </c>
      <c r="M4530" s="2">
        <v>80026.0</v>
      </c>
      <c r="N4530" s="2" t="s">
        <v>21</v>
      </c>
    </row>
    <row r="4531" ht="15.75" customHeight="1">
      <c r="A4531" s="2">
        <v>2015.0</v>
      </c>
      <c r="B4531" s="2" t="s">
        <v>20359</v>
      </c>
      <c r="C4531" s="2" t="s">
        <v>20360</v>
      </c>
      <c r="D4531" s="2" t="str">
        <f>"817-559-9461"</f>
        <v>817-559-9461</v>
      </c>
      <c r="E4531" s="2" t="s">
        <v>2083</v>
      </c>
      <c r="F4531" s="2" t="s">
        <v>1718</v>
      </c>
      <c r="G4531" s="2" t="str">
        <f>"SR-5724"</f>
        <v>SR-5724</v>
      </c>
      <c r="H4531" s="2" t="s">
        <v>20361</v>
      </c>
      <c r="I4531" s="2" t="s">
        <v>20362</v>
      </c>
      <c r="K4531" s="2" t="s">
        <v>20363</v>
      </c>
      <c r="L4531" s="2" t="s">
        <v>172</v>
      </c>
      <c r="M4531" s="2">
        <v>76457.0</v>
      </c>
      <c r="N4531" s="2" t="s">
        <v>21</v>
      </c>
    </row>
    <row r="4532" ht="15.75" customHeight="1">
      <c r="A4532" s="2">
        <v>2015.0</v>
      </c>
      <c r="B4532" s="2" t="s">
        <v>20364</v>
      </c>
      <c r="C4532" s="2" t="s">
        <v>20364</v>
      </c>
      <c r="D4532" s="2" t="str">
        <f>"605-892-5602"</f>
        <v>605-892-5602</v>
      </c>
      <c r="E4532" s="2" t="s">
        <v>20365</v>
      </c>
      <c r="F4532" s="2" t="s">
        <v>20366</v>
      </c>
      <c r="G4532" s="2" t="str">
        <f>"SR-5898"</f>
        <v>SR-5898</v>
      </c>
      <c r="H4532" s="2" t="s">
        <v>20367</v>
      </c>
      <c r="I4532" s="2" t="s">
        <v>20368</v>
      </c>
      <c r="K4532" s="2" t="s">
        <v>20369</v>
      </c>
      <c r="L4532" s="2" t="s">
        <v>920</v>
      </c>
      <c r="M4532" s="2">
        <v>57790.0</v>
      </c>
      <c r="N4532" s="2" t="s">
        <v>21</v>
      </c>
    </row>
    <row r="4533" ht="15.75" customHeight="1">
      <c r="A4533" s="2">
        <v>2015.0</v>
      </c>
      <c r="B4533" s="2" t="s">
        <v>20370</v>
      </c>
      <c r="C4533" s="2" t="s">
        <v>20371</v>
      </c>
      <c r="D4533" s="2" t="str">
        <f>"303.995.4604"</f>
        <v>303.995.4604</v>
      </c>
      <c r="E4533" s="2" t="s">
        <v>5548</v>
      </c>
      <c r="F4533" s="2" t="s">
        <v>20372</v>
      </c>
      <c r="G4533" s="2" t="str">
        <f>"SR-6183"</f>
        <v>SR-6183</v>
      </c>
      <c r="H4533" s="2" t="s">
        <v>20373</v>
      </c>
      <c r="I4533" s="2" t="s">
        <v>20374</v>
      </c>
      <c r="K4533" s="2" t="s">
        <v>1889</v>
      </c>
      <c r="L4533" s="2" t="s">
        <v>157</v>
      </c>
      <c r="M4533" s="2">
        <v>80124.0</v>
      </c>
      <c r="N4533" s="2" t="s">
        <v>21</v>
      </c>
    </row>
    <row r="4534" ht="15.75" customHeight="1">
      <c r="A4534" s="2">
        <v>2015.0</v>
      </c>
      <c r="B4534" s="2" t="s">
        <v>20375</v>
      </c>
      <c r="C4534" s="2" t="s">
        <v>20376</v>
      </c>
      <c r="D4534" s="2" t="str">
        <f>"2812592446"</f>
        <v>2812592446</v>
      </c>
      <c r="E4534" s="2" t="s">
        <v>453</v>
      </c>
      <c r="F4534" s="2" t="s">
        <v>20377</v>
      </c>
      <c r="G4534" s="2" t="str">
        <f>"SR-6279"</f>
        <v>SR-6279</v>
      </c>
      <c r="H4534" s="2" t="s">
        <v>20378</v>
      </c>
      <c r="I4534" s="2" t="s">
        <v>20379</v>
      </c>
      <c r="K4534" s="2" t="s">
        <v>5404</v>
      </c>
      <c r="L4534" s="2" t="s">
        <v>172</v>
      </c>
      <c r="M4534" s="2">
        <v>77354.0</v>
      </c>
      <c r="N4534" s="2" t="s">
        <v>21</v>
      </c>
    </row>
    <row r="4535" ht="15.75" customHeight="1">
      <c r="A4535" s="2">
        <v>2015.0</v>
      </c>
      <c r="B4535" s="2" t="s">
        <v>20380</v>
      </c>
      <c r="C4535" s="2" t="s">
        <v>20381</v>
      </c>
      <c r="D4535" s="2" t="str">
        <f>"3607078421"</f>
        <v>3607078421</v>
      </c>
      <c r="E4535" s="2" t="s">
        <v>2250</v>
      </c>
      <c r="F4535" s="2" t="s">
        <v>538</v>
      </c>
      <c r="G4535" s="2" t="str">
        <f>"SR-6277"</f>
        <v>SR-6277</v>
      </c>
      <c r="H4535" s="2" t="s">
        <v>20382</v>
      </c>
      <c r="I4535" s="2" t="s">
        <v>20383</v>
      </c>
      <c r="K4535" s="2" t="s">
        <v>6615</v>
      </c>
      <c r="L4535" s="2" t="s">
        <v>86</v>
      </c>
      <c r="M4535" s="2">
        <v>98274.0</v>
      </c>
      <c r="N4535" s="2" t="s">
        <v>21</v>
      </c>
    </row>
    <row r="4536" ht="15.75" customHeight="1">
      <c r="A4536" s="2">
        <v>2015.0</v>
      </c>
      <c r="B4536" s="2" t="s">
        <v>20384</v>
      </c>
      <c r="C4536" s="2" t="s">
        <v>20385</v>
      </c>
      <c r="D4536" s="2" t="str">
        <f t="shared" ref="D4536:D4537" si="83">"203-595-1499"</f>
        <v>203-595-1499</v>
      </c>
      <c r="E4536" s="2" t="s">
        <v>20386</v>
      </c>
      <c r="F4536" s="2" t="s">
        <v>89</v>
      </c>
      <c r="G4536" s="2" t="str">
        <f>"SR-6292"</f>
        <v>SR-6292</v>
      </c>
      <c r="H4536" s="2" t="s">
        <v>20387</v>
      </c>
      <c r="I4536" s="2" t="s">
        <v>20388</v>
      </c>
      <c r="K4536" s="2" t="s">
        <v>6876</v>
      </c>
      <c r="L4536" s="2" t="s">
        <v>2613</v>
      </c>
      <c r="M4536" s="2">
        <v>83616.0</v>
      </c>
      <c r="N4536" s="2" t="s">
        <v>21</v>
      </c>
    </row>
    <row r="4537" ht="15.75" customHeight="1">
      <c r="A4537" s="2">
        <v>2015.0</v>
      </c>
      <c r="B4537" s="2" t="s">
        <v>20384</v>
      </c>
      <c r="C4537" s="2" t="s">
        <v>20389</v>
      </c>
      <c r="D4537" s="2" t="str">
        <f t="shared" si="83"/>
        <v>203-595-1499</v>
      </c>
      <c r="E4537" s="2" t="s">
        <v>3067</v>
      </c>
      <c r="F4537" s="2" t="s">
        <v>89</v>
      </c>
      <c r="G4537" s="2" t="str">
        <f>"SR-6289"</f>
        <v>SR-6289</v>
      </c>
      <c r="H4537" s="2" t="s">
        <v>20390</v>
      </c>
      <c r="I4537" s="2" t="s">
        <v>20388</v>
      </c>
      <c r="K4537" s="2" t="s">
        <v>6876</v>
      </c>
      <c r="L4537" s="2" t="s">
        <v>2613</v>
      </c>
      <c r="M4537" s="2">
        <v>83616.0</v>
      </c>
      <c r="N4537" s="2" t="s">
        <v>21</v>
      </c>
    </row>
    <row r="4538" ht="15.75" customHeight="1">
      <c r="A4538" s="2">
        <v>2015.0</v>
      </c>
      <c r="B4538" s="2" t="s">
        <v>20391</v>
      </c>
      <c r="C4538" s="2" t="s">
        <v>20392</v>
      </c>
      <c r="D4538" s="2" t="str">
        <f>"941-416-5030"</f>
        <v>941-416-5030</v>
      </c>
      <c r="E4538" s="2" t="s">
        <v>10131</v>
      </c>
      <c r="F4538" s="2" t="s">
        <v>20393</v>
      </c>
      <c r="G4538" s="2" t="str">
        <f>"SR-6140"</f>
        <v>SR-6140</v>
      </c>
      <c r="H4538" s="2" t="s">
        <v>20394</v>
      </c>
      <c r="I4538" s="2" t="s">
        <v>20395</v>
      </c>
      <c r="K4538" s="2" t="s">
        <v>330</v>
      </c>
      <c r="L4538" s="2" t="s">
        <v>208</v>
      </c>
      <c r="M4538" s="2">
        <v>34293.0</v>
      </c>
      <c r="N4538" s="2" t="s">
        <v>21</v>
      </c>
    </row>
    <row r="4539" ht="15.75" customHeight="1">
      <c r="A4539" s="2">
        <v>2015.0</v>
      </c>
      <c r="B4539" s="2" t="s">
        <v>20396</v>
      </c>
      <c r="C4539" s="2" t="s">
        <v>20397</v>
      </c>
      <c r="D4539" s="2" t="str">
        <f>"906-360-9012"</f>
        <v>906-360-9012</v>
      </c>
      <c r="E4539" s="2" t="s">
        <v>1324</v>
      </c>
      <c r="F4539" s="2" t="s">
        <v>20398</v>
      </c>
      <c r="G4539" s="2" t="str">
        <f>"SR-5817"</f>
        <v>SR-5817</v>
      </c>
      <c r="H4539" s="2" t="s">
        <v>20399</v>
      </c>
      <c r="I4539" s="2" t="s">
        <v>20400</v>
      </c>
      <c r="K4539" s="2" t="s">
        <v>8378</v>
      </c>
      <c r="L4539" s="2" t="s">
        <v>179</v>
      </c>
      <c r="M4539" s="2">
        <v>16844.0</v>
      </c>
      <c r="N4539" s="2" t="s">
        <v>21</v>
      </c>
    </row>
    <row r="4540" ht="15.75" customHeight="1">
      <c r="A4540" s="2">
        <v>2015.0</v>
      </c>
      <c r="B4540" s="2" t="s">
        <v>20401</v>
      </c>
      <c r="C4540" s="2" t="s">
        <v>20402</v>
      </c>
      <c r="D4540" s="2" t="str">
        <f>"5122436939"</f>
        <v>5122436939</v>
      </c>
      <c r="E4540" s="2" t="s">
        <v>1088</v>
      </c>
      <c r="F4540" s="2" t="s">
        <v>8513</v>
      </c>
      <c r="G4540" s="2" t="str">
        <f>"SR-6283"</f>
        <v>SR-6283</v>
      </c>
      <c r="H4540" s="2" t="s">
        <v>20403</v>
      </c>
      <c r="I4540" s="2" t="s">
        <v>20404</v>
      </c>
      <c r="K4540" s="2" t="s">
        <v>4687</v>
      </c>
      <c r="L4540" s="2" t="s">
        <v>172</v>
      </c>
      <c r="M4540" s="2">
        <v>78665.0</v>
      </c>
      <c r="N4540" s="2" t="s">
        <v>21</v>
      </c>
    </row>
    <row r="4541" ht="15.75" customHeight="1">
      <c r="A4541" s="2">
        <v>2015.0</v>
      </c>
      <c r="B4541" s="2" t="s">
        <v>20405</v>
      </c>
      <c r="C4541" s="2" t="s">
        <v>20406</v>
      </c>
      <c r="D4541" s="2" t="str">
        <f>"815-275-1700"</f>
        <v>815-275-1700</v>
      </c>
      <c r="E4541" s="2" t="s">
        <v>4769</v>
      </c>
      <c r="F4541" s="2" t="s">
        <v>20407</v>
      </c>
      <c r="G4541" s="2" t="str">
        <f>"SR-6303"</f>
        <v>SR-6303</v>
      </c>
      <c r="H4541" s="2" t="s">
        <v>20408</v>
      </c>
      <c r="I4541" s="2" t="s">
        <v>20409</v>
      </c>
      <c r="K4541" s="2" t="s">
        <v>20410</v>
      </c>
      <c r="L4541" s="2" t="s">
        <v>172</v>
      </c>
      <c r="M4541" s="2">
        <v>78130.0</v>
      </c>
      <c r="N4541" s="2" t="s">
        <v>21</v>
      </c>
    </row>
    <row r="4542" ht="15.75" customHeight="1">
      <c r="A4542" s="2">
        <v>2015.0</v>
      </c>
      <c r="B4542" s="2" t="s">
        <v>20411</v>
      </c>
      <c r="C4542" s="2" t="s">
        <v>20412</v>
      </c>
      <c r="D4542" s="2" t="str">
        <f>"402-426-5490"</f>
        <v>402-426-5490</v>
      </c>
      <c r="E4542" s="2" t="s">
        <v>4716</v>
      </c>
      <c r="F4542" s="2" t="s">
        <v>20413</v>
      </c>
      <c r="G4542" s="2" t="str">
        <f>"SR-6297"</f>
        <v>SR-6297</v>
      </c>
      <c r="H4542" s="2" t="s">
        <v>20414</v>
      </c>
      <c r="I4542" s="2" t="s">
        <v>20415</v>
      </c>
      <c r="K4542" s="2" t="s">
        <v>882</v>
      </c>
      <c r="L4542" s="2" t="s">
        <v>757</v>
      </c>
      <c r="M4542" s="2">
        <v>68002.0</v>
      </c>
      <c r="N4542" s="2" t="s">
        <v>21</v>
      </c>
    </row>
    <row r="4543" ht="15.75" customHeight="1">
      <c r="A4543" s="2">
        <v>2015.0</v>
      </c>
      <c r="B4543" s="2" t="s">
        <v>20416</v>
      </c>
      <c r="C4543" s="2" t="s">
        <v>20416</v>
      </c>
      <c r="D4543" s="2" t="str">
        <f>"9073943817"</f>
        <v>9073943817</v>
      </c>
      <c r="E4543" s="2" t="s">
        <v>3173</v>
      </c>
      <c r="F4543" s="2" t="s">
        <v>11892</v>
      </c>
      <c r="G4543" s="2" t="str">
        <f>"SR-6302"</f>
        <v>SR-6302</v>
      </c>
      <c r="H4543" s="2" t="s">
        <v>11893</v>
      </c>
      <c r="I4543" s="2" t="s">
        <v>20417</v>
      </c>
      <c r="K4543" s="2" t="s">
        <v>20418</v>
      </c>
      <c r="L4543" s="2" t="s">
        <v>2613</v>
      </c>
      <c r="M4543" s="2">
        <v>83687.0</v>
      </c>
      <c r="N4543" s="2" t="s">
        <v>21</v>
      </c>
    </row>
    <row r="4544" ht="15.75" customHeight="1">
      <c r="A4544" s="2">
        <v>2015.0</v>
      </c>
      <c r="B4544" s="2" t="s">
        <v>3104</v>
      </c>
      <c r="C4544" s="2" t="s">
        <v>3105</v>
      </c>
      <c r="D4544" s="2" t="str">
        <f>"9522208181"</f>
        <v>9522208181</v>
      </c>
      <c r="E4544" s="2" t="s">
        <v>1725</v>
      </c>
      <c r="F4544" s="2" t="s">
        <v>3106</v>
      </c>
      <c r="G4544" s="2" t="str">
        <f>"SR-997"</f>
        <v>SR-997</v>
      </c>
      <c r="H4544" s="2" t="s">
        <v>3107</v>
      </c>
      <c r="I4544" s="2" t="s">
        <v>3108</v>
      </c>
      <c r="K4544" s="2" t="s">
        <v>3109</v>
      </c>
      <c r="L4544" s="2" t="s">
        <v>62</v>
      </c>
      <c r="M4544" s="2">
        <v>55424.0</v>
      </c>
      <c r="N4544" s="2" t="s">
        <v>21</v>
      </c>
    </row>
    <row r="4545" ht="15.75" customHeight="1">
      <c r="A4545" s="2">
        <v>2015.0</v>
      </c>
      <c r="B4545" s="2" t="s">
        <v>20419</v>
      </c>
      <c r="C4545" s="2" t="s">
        <v>20420</v>
      </c>
      <c r="D4545" s="2" t="str">
        <f>"3167335833"</f>
        <v>3167335833</v>
      </c>
      <c r="E4545" s="2" t="s">
        <v>580</v>
      </c>
      <c r="F4545" s="2" t="s">
        <v>20421</v>
      </c>
      <c r="G4545" s="2" t="str">
        <f>"SR-6117"</f>
        <v>SR-6117</v>
      </c>
      <c r="H4545" s="2" t="s">
        <v>20422</v>
      </c>
      <c r="I4545" s="2" t="s">
        <v>20423</v>
      </c>
      <c r="K4545" s="2" t="s">
        <v>606</v>
      </c>
      <c r="L4545" s="2" t="s">
        <v>272</v>
      </c>
      <c r="M4545" s="2">
        <v>67230.0</v>
      </c>
      <c r="N4545" s="2" t="s">
        <v>21</v>
      </c>
    </row>
    <row r="4546" ht="15.75" customHeight="1">
      <c r="A4546" s="2">
        <v>2015.0</v>
      </c>
      <c r="B4546" s="2" t="s">
        <v>20424</v>
      </c>
      <c r="C4546" s="2" t="s">
        <v>20424</v>
      </c>
      <c r="D4546" s="2" t="str">
        <f>"828-808-2920"</f>
        <v>828-808-2920</v>
      </c>
      <c r="E4546" s="2" t="s">
        <v>1870</v>
      </c>
      <c r="F4546" s="2" t="s">
        <v>20425</v>
      </c>
      <c r="G4546" s="2" t="str">
        <f>"SR-6288"</f>
        <v>SR-6288</v>
      </c>
      <c r="H4546" s="2" t="s">
        <v>20426</v>
      </c>
      <c r="I4546" s="2" t="s">
        <v>20427</v>
      </c>
      <c r="K4546" s="2" t="s">
        <v>5988</v>
      </c>
      <c r="L4546" s="2" t="s">
        <v>20</v>
      </c>
      <c r="M4546" s="2">
        <v>29739.0</v>
      </c>
      <c r="N4546" s="2" t="s">
        <v>21</v>
      </c>
    </row>
    <row r="4547" ht="15.75" customHeight="1">
      <c r="A4547" s="2">
        <v>2015.0</v>
      </c>
      <c r="B4547" s="2" t="s">
        <v>20428</v>
      </c>
      <c r="C4547" s="2" t="s">
        <v>20428</v>
      </c>
      <c r="D4547" s="2" t="str">
        <f>"828 808 2920"</f>
        <v>828 808 2920</v>
      </c>
      <c r="E4547" s="2" t="s">
        <v>8378</v>
      </c>
      <c r="F4547" s="2" t="s">
        <v>20425</v>
      </c>
      <c r="G4547" s="2" t="str">
        <f>"SR-6197"</f>
        <v>SR-6197</v>
      </c>
      <c r="H4547" s="2" t="s">
        <v>20429</v>
      </c>
      <c r="I4547" s="2" t="s">
        <v>20427</v>
      </c>
      <c r="K4547" s="2" t="s">
        <v>5988</v>
      </c>
      <c r="L4547" s="2" t="s">
        <v>20</v>
      </c>
      <c r="M4547" s="2">
        <v>28739.0</v>
      </c>
      <c r="N4547" s="2" t="s">
        <v>21</v>
      </c>
    </row>
    <row r="4548" ht="15.75" customHeight="1">
      <c r="A4548" s="2">
        <v>2015.0</v>
      </c>
      <c r="B4548" s="2" t="s">
        <v>20430</v>
      </c>
      <c r="C4548" s="2" t="s">
        <v>20430</v>
      </c>
      <c r="D4548" s="2" t="str">
        <f>"205-702-4499"</f>
        <v>205-702-4499</v>
      </c>
      <c r="E4548" s="2" t="s">
        <v>225</v>
      </c>
      <c r="F4548" s="2" t="s">
        <v>7973</v>
      </c>
      <c r="G4548" s="2" t="str">
        <f>"SR-6294"</f>
        <v>SR-6294</v>
      </c>
      <c r="H4548" s="2" t="s">
        <v>20431</v>
      </c>
      <c r="I4548" s="2" t="s">
        <v>7975</v>
      </c>
      <c r="K4548" s="2" t="s">
        <v>20432</v>
      </c>
      <c r="L4548" s="2" t="s">
        <v>539</v>
      </c>
      <c r="M4548" s="2">
        <v>35094.0</v>
      </c>
      <c r="N4548" s="2" t="s">
        <v>21</v>
      </c>
    </row>
    <row r="4549" ht="15.75" customHeight="1">
      <c r="A4549" s="2">
        <v>2015.0</v>
      </c>
      <c r="B4549" s="2" t="s">
        <v>20433</v>
      </c>
      <c r="C4549" s="2" t="s">
        <v>20434</v>
      </c>
      <c r="D4549" s="2" t="str">
        <f>"239-253-5266"</f>
        <v>239-253-5266</v>
      </c>
      <c r="E4549" s="2" t="s">
        <v>7476</v>
      </c>
      <c r="F4549" s="2" t="s">
        <v>20435</v>
      </c>
      <c r="G4549" s="2" t="str">
        <f>"SR-6231"</f>
        <v>SR-6231</v>
      </c>
      <c r="H4549" s="2" t="s">
        <v>20436</v>
      </c>
      <c r="I4549" s="2" t="s">
        <v>20437</v>
      </c>
      <c r="K4549" s="2" t="s">
        <v>5046</v>
      </c>
      <c r="L4549" s="2" t="s">
        <v>208</v>
      </c>
      <c r="M4549" s="2">
        <v>34117.0</v>
      </c>
      <c r="N4549" s="2" t="s">
        <v>21</v>
      </c>
    </row>
    <row r="4550" ht="15.75" customHeight="1">
      <c r="A4550" s="2">
        <v>2015.0</v>
      </c>
      <c r="B4550" s="2" t="s">
        <v>20438</v>
      </c>
      <c r="C4550" s="2" t="s">
        <v>20438</v>
      </c>
      <c r="D4550" s="2" t="str">
        <f>"7872498226"</f>
        <v>7872498226</v>
      </c>
      <c r="E4550" s="2" t="s">
        <v>20439</v>
      </c>
      <c r="F4550" s="2" t="s">
        <v>20440</v>
      </c>
      <c r="G4550" s="2" t="str">
        <f>"SR-6311"</f>
        <v>SR-6311</v>
      </c>
      <c r="H4550" s="2" t="s">
        <v>20441</v>
      </c>
      <c r="I4550" s="2" t="s">
        <v>20442</v>
      </c>
      <c r="J4550" s="2" t="s">
        <v>20443</v>
      </c>
      <c r="K4550" s="2" t="s">
        <v>20444</v>
      </c>
      <c r="L4550" s="2" t="s">
        <v>208</v>
      </c>
      <c r="M4550" s="2">
        <v>33782.0</v>
      </c>
      <c r="N4550" s="2" t="s">
        <v>21</v>
      </c>
    </row>
    <row r="4551" ht="15.75" customHeight="1">
      <c r="A4551" s="2">
        <v>2015.0</v>
      </c>
      <c r="B4551" s="2" t="s">
        <v>20445</v>
      </c>
      <c r="C4551" s="2" t="s">
        <v>20446</v>
      </c>
      <c r="D4551" s="2" t="str">
        <f>"(303) 877-6745"</f>
        <v>(303) 877-6745</v>
      </c>
      <c r="E4551" s="2" t="s">
        <v>15</v>
      </c>
      <c r="F4551" s="2" t="s">
        <v>9115</v>
      </c>
      <c r="G4551" s="2" t="str">
        <f>"SR-6312"</f>
        <v>SR-6312</v>
      </c>
      <c r="H4551" s="2" t="s">
        <v>20447</v>
      </c>
      <c r="I4551" s="2" t="s">
        <v>20448</v>
      </c>
      <c r="K4551" s="2" t="s">
        <v>1889</v>
      </c>
      <c r="L4551" s="2" t="s">
        <v>157</v>
      </c>
      <c r="M4551" s="2">
        <v>80125.0</v>
      </c>
      <c r="N4551" s="2" t="s">
        <v>21</v>
      </c>
    </row>
    <row r="4552" ht="15.75" customHeight="1">
      <c r="A4552" s="2">
        <v>2015.0</v>
      </c>
      <c r="B4552" s="2" t="s">
        <v>20449</v>
      </c>
      <c r="C4552" s="2" t="s">
        <v>20450</v>
      </c>
      <c r="D4552" s="2" t="str">
        <f>"618-409-1610"</f>
        <v>618-409-1610</v>
      </c>
      <c r="E4552" s="2" t="s">
        <v>1015</v>
      </c>
      <c r="F4552" s="2" t="s">
        <v>20451</v>
      </c>
      <c r="G4552" s="2" t="str">
        <f>"SR-5845"</f>
        <v>SR-5845</v>
      </c>
      <c r="H4552" s="2" t="s">
        <v>20452</v>
      </c>
      <c r="I4552" s="2" t="s">
        <v>20453</v>
      </c>
      <c r="K4552" s="2" t="s">
        <v>20454</v>
      </c>
      <c r="L4552" s="2" t="s">
        <v>105</v>
      </c>
      <c r="M4552" s="2">
        <v>62010.0</v>
      </c>
      <c r="N4552" s="2" t="s">
        <v>21</v>
      </c>
    </row>
    <row r="4553" ht="15.75" customHeight="1">
      <c r="A4553" s="2">
        <v>2015.0</v>
      </c>
      <c r="B4553" s="2" t="s">
        <v>20455</v>
      </c>
      <c r="C4553" s="2" t="s">
        <v>20455</v>
      </c>
      <c r="D4553" s="2" t="str">
        <f>"4238278180"</f>
        <v>4238278180</v>
      </c>
      <c r="E4553" s="2" t="s">
        <v>584</v>
      </c>
      <c r="F4553" s="2" t="s">
        <v>5668</v>
      </c>
      <c r="G4553" s="2" t="str">
        <f>"SR-6154"</f>
        <v>SR-6154</v>
      </c>
      <c r="H4553" s="2" t="s">
        <v>20456</v>
      </c>
      <c r="I4553" s="2" t="s">
        <v>5670</v>
      </c>
      <c r="K4553" s="2" t="s">
        <v>5671</v>
      </c>
      <c r="L4553" s="2" t="s">
        <v>279</v>
      </c>
      <c r="M4553" s="2">
        <v>37377.0</v>
      </c>
      <c r="N4553" s="2" t="s">
        <v>21</v>
      </c>
    </row>
    <row r="4554" ht="15.75" customHeight="1">
      <c r="A4554" s="2">
        <v>2015.0</v>
      </c>
      <c r="B4554" s="2" t="s">
        <v>20457</v>
      </c>
      <c r="C4554" s="2" t="s">
        <v>20457</v>
      </c>
      <c r="D4554" s="2" t="str">
        <f>"303-695-6109"</f>
        <v>303-695-6109</v>
      </c>
      <c r="E4554" s="2" t="s">
        <v>1022</v>
      </c>
      <c r="F4554" s="2" t="s">
        <v>6633</v>
      </c>
      <c r="G4554" s="2" t="str">
        <f>"SR-6316"</f>
        <v>SR-6316</v>
      </c>
      <c r="H4554" s="2" t="s">
        <v>6634</v>
      </c>
      <c r="I4554" s="2" t="s">
        <v>6635</v>
      </c>
      <c r="K4554" s="2" t="s">
        <v>1520</v>
      </c>
      <c r="L4554" s="2" t="s">
        <v>157</v>
      </c>
      <c r="M4554" s="2">
        <v>80012.0</v>
      </c>
      <c r="N4554" s="2" t="s">
        <v>21</v>
      </c>
    </row>
    <row r="4555" ht="15.75" customHeight="1">
      <c r="A4555" s="2">
        <v>2015.0</v>
      </c>
      <c r="B4555" s="2" t="s">
        <v>20458</v>
      </c>
      <c r="C4555" s="2" t="s">
        <v>20459</v>
      </c>
      <c r="D4555" s="2" t="str">
        <f>"3364869844"</f>
        <v>3364869844</v>
      </c>
      <c r="E4555" s="2" t="s">
        <v>385</v>
      </c>
      <c r="F4555" s="2" t="s">
        <v>340</v>
      </c>
      <c r="G4555" s="2" t="str">
        <f>"SR-6048"</f>
        <v>SR-6048</v>
      </c>
      <c r="H4555" s="2" t="s">
        <v>20460</v>
      </c>
      <c r="I4555" s="2" t="s">
        <v>20461</v>
      </c>
      <c r="K4555" s="2" t="s">
        <v>20462</v>
      </c>
      <c r="L4555" s="2" t="s">
        <v>20</v>
      </c>
      <c r="M4555" s="2">
        <v>27012.0</v>
      </c>
      <c r="N4555" s="2" t="s">
        <v>21</v>
      </c>
    </row>
    <row r="4556" ht="15.75" customHeight="1">
      <c r="A4556" s="2">
        <v>2015.0</v>
      </c>
      <c r="B4556" s="2" t="s">
        <v>20463</v>
      </c>
      <c r="C4556" s="2" t="s">
        <v>20463</v>
      </c>
      <c r="D4556" s="2" t="str">
        <f>"204-434-9151"</f>
        <v>204-434-9151</v>
      </c>
      <c r="E4556" s="2" t="s">
        <v>20464</v>
      </c>
      <c r="F4556" s="2" t="s">
        <v>20465</v>
      </c>
      <c r="G4556" s="2" t="str">
        <f>"SR-6317"</f>
        <v>SR-6317</v>
      </c>
      <c r="H4556" s="2" t="s">
        <v>20466</v>
      </c>
      <c r="I4556" s="2" t="s">
        <v>1598</v>
      </c>
      <c r="K4556" s="2" t="s">
        <v>20467</v>
      </c>
      <c r="L4556" s="2" t="s">
        <v>1600</v>
      </c>
      <c r="M4556" s="2" t="s">
        <v>20468</v>
      </c>
      <c r="N4556" s="2" t="s">
        <v>1602</v>
      </c>
    </row>
    <row r="4557" ht="15.75" customHeight="1">
      <c r="A4557" s="2">
        <v>2015.0</v>
      </c>
      <c r="B4557" s="2" t="s">
        <v>20469</v>
      </c>
      <c r="C4557" s="2" t="s">
        <v>20470</v>
      </c>
      <c r="D4557" s="2" t="str">
        <f>"812-709-0905"</f>
        <v>812-709-0905</v>
      </c>
      <c r="E4557" s="2" t="s">
        <v>1928</v>
      </c>
      <c r="F4557" s="2" t="s">
        <v>20471</v>
      </c>
      <c r="G4557" s="2" t="str">
        <f>"SR-6315"</f>
        <v>SR-6315</v>
      </c>
      <c r="H4557" s="2" t="s">
        <v>20472</v>
      </c>
      <c r="I4557" s="2" t="s">
        <v>20473</v>
      </c>
      <c r="K4557" s="2" t="s">
        <v>12153</v>
      </c>
      <c r="L4557" s="2" t="s">
        <v>149</v>
      </c>
      <c r="M4557" s="2">
        <v>47553.0</v>
      </c>
      <c r="N4557" s="2" t="s">
        <v>21</v>
      </c>
    </row>
    <row r="4558" ht="15.75" customHeight="1">
      <c r="A4558" s="2">
        <v>2015.0</v>
      </c>
      <c r="B4558" s="2" t="s">
        <v>20474</v>
      </c>
      <c r="C4558" s="2" t="s">
        <v>20474</v>
      </c>
      <c r="D4558" s="2" t="str">
        <f>"(229)-288-9761"</f>
        <v>(229)-288-9761</v>
      </c>
      <c r="E4558" s="2" t="s">
        <v>1288</v>
      </c>
      <c r="F4558" s="2" t="s">
        <v>3551</v>
      </c>
      <c r="G4558" s="2" t="str">
        <f>"SR-4927"</f>
        <v>SR-4927</v>
      </c>
      <c r="H4558" s="2" t="s">
        <v>20475</v>
      </c>
      <c r="I4558" s="2" t="s">
        <v>8131</v>
      </c>
      <c r="K4558" s="2" t="s">
        <v>8132</v>
      </c>
      <c r="L4558" s="2" t="s">
        <v>200</v>
      </c>
      <c r="M4558" s="2">
        <v>31791.0</v>
      </c>
      <c r="N4558" s="2" t="s">
        <v>21</v>
      </c>
    </row>
    <row r="4559" ht="15.75" customHeight="1">
      <c r="A4559" s="2">
        <v>2015.0</v>
      </c>
      <c r="B4559" s="2" t="s">
        <v>13415</v>
      </c>
      <c r="C4559" s="2" t="s">
        <v>13416</v>
      </c>
      <c r="D4559" s="2" t="str">
        <f>"3364163967"</f>
        <v>3364163967</v>
      </c>
      <c r="E4559" s="2" t="s">
        <v>124</v>
      </c>
      <c r="F4559" s="2" t="s">
        <v>13417</v>
      </c>
      <c r="G4559" s="2" t="str">
        <f>"SR-3597"</f>
        <v>SR-3597</v>
      </c>
      <c r="H4559" s="2" t="s">
        <v>13418</v>
      </c>
      <c r="I4559" s="2" t="s">
        <v>13419</v>
      </c>
      <c r="K4559" s="2" t="s">
        <v>4174</v>
      </c>
      <c r="L4559" s="2" t="s">
        <v>20</v>
      </c>
      <c r="M4559" s="2">
        <v>27023.0</v>
      </c>
      <c r="N4559" s="2" t="s">
        <v>21</v>
      </c>
    </row>
    <row r="4560" ht="15.75" customHeight="1">
      <c r="A4560" s="2">
        <v>2015.0</v>
      </c>
      <c r="B4560" s="2" t="s">
        <v>20476</v>
      </c>
      <c r="C4560" s="2" t="s">
        <v>20476</v>
      </c>
      <c r="D4560" s="2" t="str">
        <f>"903-636-9888"</f>
        <v>903-636-9888</v>
      </c>
      <c r="E4560" s="2" t="s">
        <v>2438</v>
      </c>
      <c r="F4560" s="2" t="s">
        <v>19900</v>
      </c>
      <c r="G4560" s="2" t="str">
        <f>"SR-5235"</f>
        <v>SR-5235</v>
      </c>
      <c r="H4560" s="2" t="s">
        <v>20477</v>
      </c>
      <c r="I4560" s="2" t="s">
        <v>20478</v>
      </c>
      <c r="K4560" s="2" t="s">
        <v>20479</v>
      </c>
      <c r="L4560" s="2" t="s">
        <v>172</v>
      </c>
      <c r="M4560" s="2">
        <v>75755.0</v>
      </c>
      <c r="N4560" s="2" t="s">
        <v>21</v>
      </c>
    </row>
    <row r="4561" ht="15.75" customHeight="1">
      <c r="A4561" s="2">
        <v>2015.0</v>
      </c>
      <c r="B4561" s="2" t="s">
        <v>20480</v>
      </c>
      <c r="C4561" s="2" t="s">
        <v>20481</v>
      </c>
      <c r="D4561" s="2" t="str">
        <f>"208-866-6754"</f>
        <v>208-866-6754</v>
      </c>
      <c r="E4561" s="2" t="s">
        <v>4064</v>
      </c>
      <c r="F4561" s="2" t="s">
        <v>20482</v>
      </c>
      <c r="G4561" s="2" t="str">
        <f>"SR-5777"</f>
        <v>SR-5777</v>
      </c>
      <c r="H4561" s="2" t="s">
        <v>20483</v>
      </c>
      <c r="I4561" s="2" t="s">
        <v>20484</v>
      </c>
      <c r="K4561" s="2" t="s">
        <v>20485</v>
      </c>
      <c r="L4561" s="2" t="s">
        <v>2613</v>
      </c>
      <c r="M4561" s="2">
        <v>83642.0</v>
      </c>
      <c r="N4561" s="2" t="s">
        <v>21</v>
      </c>
    </row>
    <row r="4562" ht="15.75" customHeight="1">
      <c r="A4562" s="2">
        <v>2015.0</v>
      </c>
      <c r="B4562" s="2" t="s">
        <v>20486</v>
      </c>
      <c r="C4562" s="2" t="s">
        <v>20486</v>
      </c>
      <c r="D4562" s="2" t="str">
        <f>"6037782524"</f>
        <v>6037782524</v>
      </c>
      <c r="E4562" s="2" t="s">
        <v>20487</v>
      </c>
      <c r="F4562" s="2" t="s">
        <v>3320</v>
      </c>
      <c r="G4562" s="2" t="str">
        <f>"SR-6322"</f>
        <v>SR-6322</v>
      </c>
      <c r="H4562" s="2" t="s">
        <v>20488</v>
      </c>
      <c r="I4562" s="2" t="s">
        <v>20489</v>
      </c>
      <c r="K4562" s="2" t="s">
        <v>20490</v>
      </c>
      <c r="L4562" s="2" t="s">
        <v>19930</v>
      </c>
      <c r="M4562" s="2">
        <v>3833.0</v>
      </c>
      <c r="N4562" s="2" t="s">
        <v>21</v>
      </c>
    </row>
    <row r="4563" ht="15.75" customHeight="1">
      <c r="A4563" s="2">
        <v>2015.0</v>
      </c>
      <c r="B4563" s="2" t="s">
        <v>20491</v>
      </c>
      <c r="C4563" s="2" t="s">
        <v>20491</v>
      </c>
      <c r="D4563" s="2" t="str">
        <f>"317*587*0272"</f>
        <v>317*587*0272</v>
      </c>
      <c r="E4563" s="2" t="s">
        <v>1208</v>
      </c>
      <c r="F4563" s="2" t="s">
        <v>20492</v>
      </c>
      <c r="G4563" s="2" t="str">
        <f>"SR-6296"</f>
        <v>SR-6296</v>
      </c>
      <c r="H4563" s="2" t="s">
        <v>20493</v>
      </c>
      <c r="I4563" s="2" t="s">
        <v>20494</v>
      </c>
      <c r="K4563" s="2" t="s">
        <v>10407</v>
      </c>
      <c r="L4563" s="2" t="s">
        <v>149</v>
      </c>
      <c r="M4563" s="2">
        <v>46032.0</v>
      </c>
      <c r="N4563" s="2" t="s">
        <v>21</v>
      </c>
    </row>
    <row r="4564" ht="15.75" customHeight="1">
      <c r="A4564" s="2">
        <v>2015.0</v>
      </c>
      <c r="B4564" s="2" t="s">
        <v>20495</v>
      </c>
      <c r="C4564" s="2" t="s">
        <v>20496</v>
      </c>
      <c r="D4564" s="2" t="str">
        <f>"2016611138"</f>
        <v>2016611138</v>
      </c>
      <c r="E4564" s="2" t="s">
        <v>453</v>
      </c>
      <c r="F4564" s="2" t="s">
        <v>20497</v>
      </c>
      <c r="G4564" s="2" t="str">
        <f>"SR-6327"</f>
        <v>SR-6327</v>
      </c>
      <c r="H4564" s="2" t="s">
        <v>20498</v>
      </c>
      <c r="I4564" s="2" t="s">
        <v>20499</v>
      </c>
      <c r="K4564" s="2" t="s">
        <v>20500</v>
      </c>
      <c r="L4564" s="2" t="s">
        <v>3618</v>
      </c>
      <c r="M4564" s="2">
        <v>7642.0</v>
      </c>
      <c r="N4564" s="2" t="s">
        <v>21</v>
      </c>
    </row>
    <row r="4565" ht="15.75" customHeight="1">
      <c r="A4565" s="2">
        <v>2015.0</v>
      </c>
      <c r="B4565" s="2" t="s">
        <v>20501</v>
      </c>
      <c r="C4565" s="2" t="s">
        <v>20501</v>
      </c>
      <c r="D4565" s="2" t="str">
        <f>"989-277-8376"</f>
        <v>989-277-8376</v>
      </c>
      <c r="E4565" s="2" t="s">
        <v>1987</v>
      </c>
      <c r="F4565" s="2" t="s">
        <v>20502</v>
      </c>
      <c r="G4565" s="2" t="str">
        <f>"SR-6324"</f>
        <v>SR-6324</v>
      </c>
      <c r="H4565" s="2" t="s">
        <v>20503</v>
      </c>
      <c r="I4565" s="2" t="s">
        <v>20504</v>
      </c>
      <c r="K4565" s="2" t="s">
        <v>20505</v>
      </c>
      <c r="L4565" s="2" t="s">
        <v>29</v>
      </c>
      <c r="M4565" s="2">
        <v>48867.0</v>
      </c>
      <c r="N4565" s="2" t="s">
        <v>21</v>
      </c>
    </row>
    <row r="4566" ht="15.75" customHeight="1">
      <c r="A4566" s="2">
        <v>2015.0</v>
      </c>
      <c r="B4566" s="2" t="s">
        <v>20506</v>
      </c>
      <c r="C4566" s="2" t="s">
        <v>20506</v>
      </c>
      <c r="D4566" s="2" t="str">
        <f>"9523031578"</f>
        <v>9523031578</v>
      </c>
      <c r="E4566" s="2" t="s">
        <v>659</v>
      </c>
      <c r="F4566" s="2" t="s">
        <v>5205</v>
      </c>
      <c r="G4566" s="2" t="str">
        <f>"SR-6330"</f>
        <v>SR-6330</v>
      </c>
      <c r="H4566" s="2" t="s">
        <v>20507</v>
      </c>
      <c r="I4566" s="2" t="s">
        <v>20508</v>
      </c>
      <c r="K4566" s="2" t="s">
        <v>1032</v>
      </c>
      <c r="L4566" s="2" t="s">
        <v>62</v>
      </c>
      <c r="M4566" s="2">
        <v>55386.0</v>
      </c>
      <c r="N4566" s="2" t="s">
        <v>21</v>
      </c>
    </row>
    <row r="4567" ht="15.75" customHeight="1">
      <c r="A4567" s="2">
        <v>2015.0</v>
      </c>
      <c r="B4567" s="2" t="s">
        <v>6680</v>
      </c>
      <c r="C4567" s="2" t="s">
        <v>20509</v>
      </c>
      <c r="D4567" s="2" t="str">
        <f>"(480)892-6587"</f>
        <v>(480)892-6587</v>
      </c>
      <c r="E4567" s="2" t="s">
        <v>20510</v>
      </c>
      <c r="F4567" s="2" t="s">
        <v>6681</v>
      </c>
      <c r="G4567" s="2" t="str">
        <f>"SR-6333"</f>
        <v>SR-6333</v>
      </c>
      <c r="H4567" s="2" t="s">
        <v>20511</v>
      </c>
      <c r="I4567" s="2" t="s">
        <v>20512</v>
      </c>
      <c r="K4567" s="2" t="s">
        <v>4675</v>
      </c>
      <c r="L4567" s="2" t="s">
        <v>422</v>
      </c>
      <c r="M4567" s="2">
        <v>85234.0</v>
      </c>
      <c r="N4567" s="2" t="s">
        <v>21</v>
      </c>
    </row>
    <row r="4568" ht="15.75" customHeight="1">
      <c r="A4568" s="2">
        <v>2015.0</v>
      </c>
      <c r="B4568" s="2" t="s">
        <v>20513</v>
      </c>
      <c r="C4568" s="2" t="s">
        <v>20514</v>
      </c>
      <c r="D4568" s="2" t="str">
        <f>"9187046922"</f>
        <v>9187046922</v>
      </c>
      <c r="E4568" s="2" t="s">
        <v>261</v>
      </c>
      <c r="F4568" s="2" t="s">
        <v>17190</v>
      </c>
      <c r="G4568" s="2" t="str">
        <f>"SR-6323"</f>
        <v>SR-6323</v>
      </c>
      <c r="H4568" s="2" t="s">
        <v>20515</v>
      </c>
      <c r="I4568" s="2" t="s">
        <v>20516</v>
      </c>
      <c r="K4568" s="2" t="s">
        <v>20517</v>
      </c>
      <c r="L4568" s="2" t="s">
        <v>840</v>
      </c>
      <c r="M4568" s="2">
        <v>74137.0</v>
      </c>
      <c r="N4568" s="2" t="s">
        <v>21</v>
      </c>
    </row>
    <row r="4569" ht="15.75" customHeight="1">
      <c r="A4569" s="2">
        <v>2015.0</v>
      </c>
      <c r="B4569" s="2" t="s">
        <v>20518</v>
      </c>
      <c r="C4569" s="2" t="s">
        <v>20519</v>
      </c>
      <c r="D4569" s="2" t="str">
        <f>"505-850-0590"</f>
        <v>505-850-0590</v>
      </c>
      <c r="E4569" s="2" t="s">
        <v>2401</v>
      </c>
      <c r="F4569" s="2" t="s">
        <v>15730</v>
      </c>
      <c r="G4569" s="2" t="str">
        <f>"SR-6230"</f>
        <v>SR-6230</v>
      </c>
      <c r="H4569" s="2" t="s">
        <v>20520</v>
      </c>
      <c r="I4569" s="2" t="s">
        <v>20521</v>
      </c>
      <c r="K4569" s="2" t="s">
        <v>3705</v>
      </c>
      <c r="L4569" s="2" t="s">
        <v>789</v>
      </c>
      <c r="M4569" s="2">
        <v>87109.0</v>
      </c>
      <c r="N4569" s="2" t="s">
        <v>21</v>
      </c>
    </row>
    <row r="4570" ht="15.75" customHeight="1">
      <c r="A4570" s="2">
        <v>2015.0</v>
      </c>
      <c r="B4570" s="2" t="s">
        <v>20522</v>
      </c>
      <c r="C4570" s="2" t="s">
        <v>20523</v>
      </c>
      <c r="D4570" s="2" t="str">
        <f>"3167066151"</f>
        <v>3167066151</v>
      </c>
      <c r="E4570" s="2" t="s">
        <v>955</v>
      </c>
      <c r="F4570" s="2" t="s">
        <v>20524</v>
      </c>
      <c r="G4570" s="2" t="str">
        <f>"SR-6331"</f>
        <v>SR-6331</v>
      </c>
      <c r="H4570" s="2" t="s">
        <v>20525</v>
      </c>
      <c r="I4570" s="2" t="s">
        <v>20526</v>
      </c>
      <c r="K4570" s="2" t="s">
        <v>1991</v>
      </c>
      <c r="L4570" s="2" t="s">
        <v>272</v>
      </c>
      <c r="M4570" s="2">
        <v>67002.0</v>
      </c>
      <c r="N4570" s="2" t="s">
        <v>21</v>
      </c>
    </row>
    <row r="4571" ht="15.75" customHeight="1">
      <c r="A4571" s="2">
        <v>2015.0</v>
      </c>
      <c r="B4571" s="2" t="s">
        <v>20527</v>
      </c>
      <c r="C4571" s="2" t="s">
        <v>20527</v>
      </c>
      <c r="D4571" s="2" t="str">
        <f>"4439297651"</f>
        <v>4439297651</v>
      </c>
      <c r="E4571" s="2" t="s">
        <v>11010</v>
      </c>
      <c r="F4571" s="2" t="s">
        <v>1533</v>
      </c>
      <c r="G4571" s="2" t="str">
        <f>"SR-6229"</f>
        <v>SR-6229</v>
      </c>
      <c r="H4571" s="2" t="s">
        <v>20528</v>
      </c>
      <c r="I4571" s="2" t="s">
        <v>20529</v>
      </c>
      <c r="K4571" s="2" t="s">
        <v>20530</v>
      </c>
      <c r="L4571" s="2" t="s">
        <v>1868</v>
      </c>
      <c r="M4571" s="2">
        <v>21117.0</v>
      </c>
      <c r="N4571" s="2" t="s">
        <v>21</v>
      </c>
    </row>
    <row r="4572" ht="15.75" customHeight="1">
      <c r="A4572" s="2">
        <v>2015.0</v>
      </c>
      <c r="B4572" s="2" t="s">
        <v>20531</v>
      </c>
      <c r="C4572" s="2" t="s">
        <v>20531</v>
      </c>
      <c r="D4572" s="2" t="str">
        <f>"6625741889"</f>
        <v>6625741889</v>
      </c>
      <c r="E4572" s="2" t="s">
        <v>6098</v>
      </c>
      <c r="F4572" s="2" t="s">
        <v>3394</v>
      </c>
      <c r="G4572" s="2" t="str">
        <f>"SR-6335"</f>
        <v>SR-6335</v>
      </c>
      <c r="H4572" s="2" t="s">
        <v>20532</v>
      </c>
      <c r="I4572" s="2" t="s">
        <v>20533</v>
      </c>
      <c r="K4572" s="2" t="s">
        <v>20534</v>
      </c>
      <c r="L4572" s="2" t="s">
        <v>1722</v>
      </c>
      <c r="M4572" s="2">
        <v>39766.0</v>
      </c>
      <c r="N4572" s="2" t="s">
        <v>21</v>
      </c>
    </row>
    <row r="4573" ht="15.75" customHeight="1">
      <c r="A4573" s="2">
        <v>2015.0</v>
      </c>
      <c r="B4573" s="2" t="s">
        <v>20535</v>
      </c>
      <c r="C4573" s="2" t="s">
        <v>20536</v>
      </c>
      <c r="D4573" s="2" t="str">
        <f>"740-747-2220"</f>
        <v>740-747-2220</v>
      </c>
      <c r="E4573" s="2" t="s">
        <v>81</v>
      </c>
      <c r="F4573" s="2" t="s">
        <v>4337</v>
      </c>
      <c r="G4573" s="2" t="str">
        <f>"SR-6030"</f>
        <v>SR-6030</v>
      </c>
      <c r="H4573" s="2" t="s">
        <v>20537</v>
      </c>
      <c r="I4573" s="2" t="s">
        <v>20538</v>
      </c>
      <c r="K4573" s="2" t="s">
        <v>203</v>
      </c>
      <c r="L4573" s="2" t="s">
        <v>344</v>
      </c>
      <c r="M4573" s="2">
        <v>43003.0</v>
      </c>
      <c r="N4573" s="2" t="s">
        <v>21</v>
      </c>
    </row>
    <row r="4574" ht="15.75" customHeight="1">
      <c r="A4574" s="2">
        <v>2015.0</v>
      </c>
      <c r="B4574" s="2" t="s">
        <v>8719</v>
      </c>
      <c r="C4574" s="2" t="s">
        <v>8720</v>
      </c>
      <c r="D4574" s="2" t="str">
        <f>"231-215-8438"</f>
        <v>231-215-8438</v>
      </c>
      <c r="E4574" s="2" t="s">
        <v>6381</v>
      </c>
      <c r="F4574" s="2" t="s">
        <v>8721</v>
      </c>
      <c r="G4574" s="2" t="str">
        <f>"SR-2436"</f>
        <v>SR-2436</v>
      </c>
      <c r="H4574" s="2" t="s">
        <v>8722</v>
      </c>
      <c r="I4574" s="2" t="s">
        <v>8723</v>
      </c>
      <c r="K4574" s="2" t="s">
        <v>6649</v>
      </c>
      <c r="L4574" s="2" t="s">
        <v>29</v>
      </c>
      <c r="M4574" s="2">
        <v>49412.0</v>
      </c>
      <c r="N4574" s="2" t="s">
        <v>21</v>
      </c>
    </row>
    <row r="4575" ht="15.75" customHeight="1">
      <c r="A4575" s="2">
        <v>2015.0</v>
      </c>
      <c r="B4575" s="2" t="s">
        <v>20539</v>
      </c>
      <c r="C4575" s="2" t="s">
        <v>20540</v>
      </c>
      <c r="D4575" s="2" t="str">
        <f>"218-205-5923"</f>
        <v>218-205-5923</v>
      </c>
      <c r="E4575" s="2" t="s">
        <v>20541</v>
      </c>
      <c r="F4575" s="2" t="s">
        <v>20542</v>
      </c>
      <c r="G4575" s="2" t="str">
        <f>"SR-6344"</f>
        <v>SR-6344</v>
      </c>
      <c r="H4575" s="2" t="s">
        <v>20543</v>
      </c>
      <c r="I4575" s="2" t="s">
        <v>20544</v>
      </c>
      <c r="K4575" s="2" t="s">
        <v>20545</v>
      </c>
      <c r="L4575" s="2" t="s">
        <v>62</v>
      </c>
      <c r="M4575" s="2">
        <v>56543.0</v>
      </c>
      <c r="N4575" s="2" t="s">
        <v>21</v>
      </c>
    </row>
    <row r="4576" ht="15.75" customHeight="1">
      <c r="A4576" s="2">
        <v>2015.0</v>
      </c>
      <c r="B4576" s="2" t="s">
        <v>20546</v>
      </c>
      <c r="C4576" s="2" t="s">
        <v>20547</v>
      </c>
      <c r="D4576" s="2" t="str">
        <f>"678-943-3718"</f>
        <v>678-943-3718</v>
      </c>
      <c r="E4576" s="2" t="s">
        <v>4111</v>
      </c>
      <c r="F4576" s="2" t="s">
        <v>20548</v>
      </c>
      <c r="G4576" s="2" t="str">
        <f>"SR-6240"</f>
        <v>SR-6240</v>
      </c>
      <c r="H4576" s="2" t="s">
        <v>20549</v>
      </c>
      <c r="I4576" s="2" t="s">
        <v>20550</v>
      </c>
      <c r="K4576" s="2" t="s">
        <v>1612</v>
      </c>
      <c r="L4576" s="2" t="s">
        <v>20</v>
      </c>
      <c r="M4576" s="2">
        <v>28105.0</v>
      </c>
      <c r="N4576" s="2" t="s">
        <v>21</v>
      </c>
    </row>
    <row r="4577" ht="15.75" customHeight="1">
      <c r="A4577" s="2">
        <v>2015.0</v>
      </c>
      <c r="B4577" s="2" t="s">
        <v>20551</v>
      </c>
      <c r="C4577" s="2" t="s">
        <v>20552</v>
      </c>
      <c r="D4577" s="2" t="str">
        <f>"501-940-0691"</f>
        <v>501-940-0691</v>
      </c>
      <c r="E4577" s="2" t="s">
        <v>534</v>
      </c>
      <c r="F4577" s="2" t="s">
        <v>529</v>
      </c>
      <c r="G4577" s="2" t="str">
        <f>"SR-6193"</f>
        <v>SR-6193</v>
      </c>
      <c r="H4577" s="2" t="s">
        <v>20553</v>
      </c>
      <c r="I4577" s="2" t="s">
        <v>20554</v>
      </c>
      <c r="K4577" s="2" t="s">
        <v>20555</v>
      </c>
      <c r="L4577" s="2" t="s">
        <v>1012</v>
      </c>
      <c r="M4577" s="2">
        <v>72122.0</v>
      </c>
      <c r="N4577" s="2" t="s">
        <v>21</v>
      </c>
    </row>
    <row r="4578" ht="15.75" customHeight="1">
      <c r="A4578" s="2">
        <v>2015.0</v>
      </c>
      <c r="B4578" s="2" t="s">
        <v>20551</v>
      </c>
      <c r="C4578" s="2" t="s">
        <v>20551</v>
      </c>
      <c r="D4578" s="2" t="str">
        <f>"5012499046"</f>
        <v>5012499046</v>
      </c>
      <c r="E4578" s="2" t="s">
        <v>485</v>
      </c>
      <c r="F4578" s="2" t="s">
        <v>529</v>
      </c>
      <c r="G4578" s="2" t="str">
        <f>"SR-6185"</f>
        <v>SR-6185</v>
      </c>
      <c r="H4578" s="2" t="s">
        <v>20556</v>
      </c>
      <c r="I4578" s="2" t="s">
        <v>20554</v>
      </c>
      <c r="K4578" s="2" t="s">
        <v>20555</v>
      </c>
      <c r="L4578" s="2" t="s">
        <v>1012</v>
      </c>
      <c r="M4578" s="2">
        <v>72122.0</v>
      </c>
      <c r="N4578" s="2" t="s">
        <v>21</v>
      </c>
    </row>
    <row r="4579" ht="15.75" customHeight="1">
      <c r="A4579" s="2">
        <v>2015.0</v>
      </c>
      <c r="B4579" s="2" t="s">
        <v>20557</v>
      </c>
      <c r="C4579" s="2" t="s">
        <v>20558</v>
      </c>
      <c r="D4579" s="2" t="str">
        <f>"9728410676"</f>
        <v>9728410676</v>
      </c>
      <c r="E4579" s="2" t="s">
        <v>20559</v>
      </c>
      <c r="F4579" s="2" t="s">
        <v>20560</v>
      </c>
      <c r="G4579" s="2" t="str">
        <f>"SR-6347"</f>
        <v>SR-6347</v>
      </c>
      <c r="H4579" s="2" t="s">
        <v>20561</v>
      </c>
      <c r="I4579" s="2" t="s">
        <v>20562</v>
      </c>
      <c r="K4579" s="2" t="s">
        <v>7993</v>
      </c>
      <c r="L4579" s="2" t="s">
        <v>20</v>
      </c>
      <c r="M4579" s="2">
        <v>27616.0</v>
      </c>
      <c r="N4579" s="2" t="s">
        <v>21</v>
      </c>
    </row>
    <row r="4580" ht="15.75" customHeight="1">
      <c r="A4580" s="2">
        <v>2015.0</v>
      </c>
      <c r="B4580" s="2" t="s">
        <v>14211</v>
      </c>
      <c r="C4580" s="2" t="s">
        <v>14212</v>
      </c>
      <c r="D4580" s="2" t="str">
        <f>"406-669-3817"</f>
        <v>406-669-3817</v>
      </c>
      <c r="E4580" s="2" t="s">
        <v>2158</v>
      </c>
      <c r="F4580" s="2" t="s">
        <v>14213</v>
      </c>
      <c r="G4580" s="2" t="str">
        <f>"SR-4113"</f>
        <v>SR-4113</v>
      </c>
      <c r="H4580" s="2" t="s">
        <v>14214</v>
      </c>
      <c r="I4580" s="2" t="s">
        <v>14215</v>
      </c>
      <c r="K4580" s="2" t="s">
        <v>3548</v>
      </c>
      <c r="L4580" s="2" t="s">
        <v>2696</v>
      </c>
      <c r="M4580" s="2">
        <v>59102.0</v>
      </c>
      <c r="N4580" s="2" t="s">
        <v>21</v>
      </c>
    </row>
    <row r="4581" ht="15.75" customHeight="1">
      <c r="A4581" s="2">
        <v>2015.0</v>
      </c>
      <c r="B4581" s="2" t="s">
        <v>5180</v>
      </c>
      <c r="C4581" s="2" t="s">
        <v>5181</v>
      </c>
      <c r="D4581" s="2" t="str">
        <f>"850-292-3885"</f>
        <v>850-292-3885</v>
      </c>
      <c r="E4581" s="2" t="s">
        <v>5182</v>
      </c>
      <c r="F4581" s="2" t="s">
        <v>5183</v>
      </c>
      <c r="G4581" s="2" t="str">
        <f>"SR-1205"</f>
        <v>SR-1205</v>
      </c>
      <c r="H4581" s="2" t="s">
        <v>5184</v>
      </c>
      <c r="I4581" s="2" t="s">
        <v>5185</v>
      </c>
      <c r="K4581" s="2" t="s">
        <v>5186</v>
      </c>
      <c r="L4581" s="2" t="s">
        <v>208</v>
      </c>
      <c r="M4581" s="2">
        <v>32561.0</v>
      </c>
      <c r="N4581" s="2" t="s">
        <v>21</v>
      </c>
    </row>
    <row r="4582" ht="15.75" customHeight="1">
      <c r="A4582" s="2">
        <v>2015.0</v>
      </c>
      <c r="B4582" s="2" t="s">
        <v>20563</v>
      </c>
      <c r="C4582" s="2" t="s">
        <v>20564</v>
      </c>
      <c r="D4582" s="2" t="str">
        <f>"209-928-4001"</f>
        <v>209-928-4001</v>
      </c>
      <c r="E4582" s="2" t="s">
        <v>2126</v>
      </c>
      <c r="F4582" s="2" t="s">
        <v>20565</v>
      </c>
      <c r="G4582" s="2" t="str">
        <f>"SR-6334"</f>
        <v>SR-6334</v>
      </c>
      <c r="H4582" s="2" t="s">
        <v>20566</v>
      </c>
      <c r="I4582" s="2" t="s">
        <v>20567</v>
      </c>
      <c r="K4582" s="2" t="s">
        <v>20568</v>
      </c>
      <c r="L4582" s="2" t="s">
        <v>222</v>
      </c>
      <c r="M4582" s="2">
        <v>95383.0</v>
      </c>
      <c r="N4582" s="2" t="s">
        <v>21</v>
      </c>
    </row>
    <row r="4583" ht="15.75" customHeight="1">
      <c r="A4583" s="2">
        <v>2015.0</v>
      </c>
      <c r="B4583" s="2" t="s">
        <v>20569</v>
      </c>
      <c r="C4583" s="2" t="s">
        <v>20570</v>
      </c>
      <c r="D4583" s="2" t="str">
        <f>"707474-2379"</f>
        <v>707474-2379</v>
      </c>
      <c r="E4583" s="2" t="s">
        <v>2378</v>
      </c>
      <c r="F4583" s="2" t="s">
        <v>20571</v>
      </c>
      <c r="G4583" s="2" t="str">
        <f>"SR-5986"</f>
        <v>SR-5986</v>
      </c>
      <c r="H4583" s="2" t="s">
        <v>20572</v>
      </c>
      <c r="I4583" s="2" t="s">
        <v>20573</v>
      </c>
      <c r="K4583" s="2" t="s">
        <v>4330</v>
      </c>
      <c r="L4583" s="2" t="s">
        <v>222</v>
      </c>
      <c r="M4583" s="2">
        <v>95620.0</v>
      </c>
      <c r="N4583" s="2" t="s">
        <v>21</v>
      </c>
    </row>
    <row r="4584" ht="15.75" customHeight="1">
      <c r="A4584" s="2">
        <v>2015.0</v>
      </c>
      <c r="B4584" s="2" t="s">
        <v>13987</v>
      </c>
      <c r="C4584" s="2" t="s">
        <v>13988</v>
      </c>
      <c r="D4584" s="2" t="str">
        <f>"716 634-1089"</f>
        <v>716 634-1089</v>
      </c>
      <c r="E4584" s="2" t="s">
        <v>160</v>
      </c>
      <c r="F4584" s="2" t="s">
        <v>3816</v>
      </c>
      <c r="G4584" s="2" t="str">
        <f>"SR-4021"</f>
        <v>SR-4021</v>
      </c>
      <c r="H4584" s="2" t="s">
        <v>13989</v>
      </c>
      <c r="I4584" s="2" t="s">
        <v>12451</v>
      </c>
      <c r="K4584" s="2" t="s">
        <v>12452</v>
      </c>
      <c r="L4584" s="2" t="s">
        <v>142</v>
      </c>
      <c r="M4584" s="2">
        <v>14221.0</v>
      </c>
      <c r="N4584" s="2" t="s">
        <v>21</v>
      </c>
    </row>
    <row r="4585" ht="15.75" customHeight="1">
      <c r="A4585" s="2">
        <v>2015.0</v>
      </c>
      <c r="B4585" s="2" t="s">
        <v>20574</v>
      </c>
      <c r="C4585" s="2" t="s">
        <v>20575</v>
      </c>
      <c r="D4585" s="2" t="str">
        <f>"5153577482"</f>
        <v>5153577482</v>
      </c>
      <c r="E4585" s="2" t="s">
        <v>20576</v>
      </c>
      <c r="F4585" s="2" t="s">
        <v>962</v>
      </c>
      <c r="G4585" s="2" t="str">
        <f>"SR-6352"</f>
        <v>SR-6352</v>
      </c>
      <c r="H4585" s="2" t="s">
        <v>20577</v>
      </c>
      <c r="I4585" s="2" t="s">
        <v>20578</v>
      </c>
      <c r="K4585" s="2" t="s">
        <v>20579</v>
      </c>
      <c r="L4585" s="2" t="s">
        <v>560</v>
      </c>
      <c r="M4585" s="2">
        <v>50010.0</v>
      </c>
      <c r="N4585" s="2" t="s">
        <v>21</v>
      </c>
    </row>
    <row r="4586" ht="15.75" customHeight="1">
      <c r="A4586" s="2">
        <v>2015.0</v>
      </c>
      <c r="B4586" s="2" t="s">
        <v>20563</v>
      </c>
      <c r="C4586" s="2" t="s">
        <v>20580</v>
      </c>
      <c r="D4586" s="2" t="str">
        <f>"209-928-4001"</f>
        <v>209-928-4001</v>
      </c>
      <c r="E4586" s="2" t="s">
        <v>843</v>
      </c>
      <c r="F4586" s="2" t="s">
        <v>20565</v>
      </c>
      <c r="G4586" s="2" t="str">
        <f>"SR-6318"</f>
        <v>SR-6318</v>
      </c>
      <c r="H4586" s="2" t="s">
        <v>20581</v>
      </c>
      <c r="I4586" s="2" t="s">
        <v>20567</v>
      </c>
      <c r="K4586" s="2" t="s">
        <v>20568</v>
      </c>
      <c r="L4586" s="2" t="s">
        <v>222</v>
      </c>
      <c r="M4586" s="2">
        <v>95383.0</v>
      </c>
      <c r="N4586" s="2" t="s">
        <v>21</v>
      </c>
    </row>
    <row r="4587" ht="15.75" customHeight="1">
      <c r="A4587" s="2">
        <v>2015.0</v>
      </c>
      <c r="B4587" s="2" t="s">
        <v>20582</v>
      </c>
      <c r="C4587" s="2" t="s">
        <v>20583</v>
      </c>
      <c r="D4587" s="2" t="str">
        <f>"260-449-5420"</f>
        <v>260-449-5420</v>
      </c>
      <c r="E4587" s="2" t="s">
        <v>1076</v>
      </c>
      <c r="F4587" s="2" t="s">
        <v>20584</v>
      </c>
      <c r="G4587" s="2" t="str">
        <f>"SR-6349"</f>
        <v>SR-6349</v>
      </c>
      <c r="H4587" s="2" t="s">
        <v>20585</v>
      </c>
      <c r="I4587" s="2" t="s">
        <v>20586</v>
      </c>
      <c r="K4587" s="2" t="s">
        <v>6312</v>
      </c>
      <c r="L4587" s="2" t="s">
        <v>149</v>
      </c>
      <c r="M4587" s="2">
        <v>46706.0</v>
      </c>
      <c r="N4587" s="2" t="s">
        <v>21</v>
      </c>
    </row>
    <row r="4588" ht="15.75" customHeight="1">
      <c r="A4588" s="2">
        <v>2015.0</v>
      </c>
      <c r="B4588" s="2" t="s">
        <v>20587</v>
      </c>
      <c r="C4588" s="2" t="s">
        <v>20588</v>
      </c>
      <c r="D4588" s="2" t="str">
        <f>"8167853756"</f>
        <v>8167853756</v>
      </c>
      <c r="E4588" s="2" t="s">
        <v>2314</v>
      </c>
      <c r="F4588" s="2" t="s">
        <v>20589</v>
      </c>
      <c r="G4588" s="2" t="str">
        <f>"SR-6358"</f>
        <v>SR-6358</v>
      </c>
      <c r="H4588" s="2" t="s">
        <v>20590</v>
      </c>
      <c r="I4588" s="2" t="s">
        <v>20591</v>
      </c>
      <c r="K4588" s="2" t="s">
        <v>14870</v>
      </c>
      <c r="L4588" s="2" t="s">
        <v>214</v>
      </c>
      <c r="M4588" s="2">
        <v>64060.0</v>
      </c>
      <c r="N4588" s="2" t="s">
        <v>21</v>
      </c>
    </row>
    <row r="4589" ht="15.75" customHeight="1">
      <c r="A4589" s="2">
        <v>2015.0</v>
      </c>
      <c r="B4589" s="2" t="s">
        <v>20592</v>
      </c>
      <c r="C4589" s="2" t="s">
        <v>20593</v>
      </c>
      <c r="D4589" s="2" t="str">
        <f>"5858803725"</f>
        <v>5858803725</v>
      </c>
      <c r="E4589" s="2" t="s">
        <v>1682</v>
      </c>
      <c r="F4589" s="2" t="s">
        <v>20594</v>
      </c>
      <c r="G4589" s="2" t="str">
        <f>"SR-6359"</f>
        <v>SR-6359</v>
      </c>
      <c r="H4589" s="2" t="s">
        <v>20595</v>
      </c>
      <c r="I4589" s="2" t="s">
        <v>20596</v>
      </c>
      <c r="K4589" s="2" t="s">
        <v>20597</v>
      </c>
      <c r="L4589" s="2" t="s">
        <v>142</v>
      </c>
      <c r="M4589" s="2">
        <v>14450.0</v>
      </c>
      <c r="N4589" s="2" t="s">
        <v>21</v>
      </c>
    </row>
    <row r="4590" ht="15.75" customHeight="1">
      <c r="A4590" s="2">
        <v>2015.0</v>
      </c>
      <c r="B4590" s="2" t="s">
        <v>13987</v>
      </c>
      <c r="C4590" s="2" t="s">
        <v>13990</v>
      </c>
      <c r="D4590" s="2" t="str">
        <f>"716n634-1089"</f>
        <v>716n634-1089</v>
      </c>
      <c r="E4590" s="2" t="s">
        <v>13991</v>
      </c>
      <c r="F4590" s="2" t="s">
        <v>3816</v>
      </c>
      <c r="G4590" s="2" t="str">
        <f>"SR-4023"</f>
        <v>SR-4023</v>
      </c>
      <c r="H4590" s="2" t="s">
        <v>13992</v>
      </c>
      <c r="I4590" s="2" t="s">
        <v>12451</v>
      </c>
      <c r="K4590" s="2" t="s">
        <v>12452</v>
      </c>
      <c r="L4590" s="2" t="s">
        <v>142</v>
      </c>
      <c r="M4590" s="2">
        <v>14221.0</v>
      </c>
      <c r="N4590" s="2" t="s">
        <v>21</v>
      </c>
    </row>
    <row r="4591" ht="15.75" customHeight="1">
      <c r="A4591" s="2">
        <v>2015.0</v>
      </c>
      <c r="B4591" s="2" t="s">
        <v>20598</v>
      </c>
      <c r="C4591" s="2" t="s">
        <v>20598</v>
      </c>
      <c r="D4591" s="2" t="str">
        <f>"405-999-5375"</f>
        <v>405-999-5375</v>
      </c>
      <c r="E4591" s="2" t="s">
        <v>20599</v>
      </c>
      <c r="F4591" s="2" t="s">
        <v>20600</v>
      </c>
      <c r="G4591" s="2" t="str">
        <f>"SR-6270"</f>
        <v>SR-6270</v>
      </c>
      <c r="H4591" s="2" t="s">
        <v>20601</v>
      </c>
      <c r="I4591" s="2" t="s">
        <v>20602</v>
      </c>
      <c r="K4591" s="2" t="s">
        <v>2870</v>
      </c>
      <c r="L4591" s="2" t="s">
        <v>840</v>
      </c>
      <c r="M4591" s="2">
        <v>73072.0</v>
      </c>
      <c r="N4591" s="2" t="s">
        <v>21</v>
      </c>
    </row>
    <row r="4592" ht="15.75" customHeight="1">
      <c r="A4592" s="2">
        <v>2015.0</v>
      </c>
      <c r="B4592" s="2" t="s">
        <v>20603</v>
      </c>
      <c r="C4592" s="2" t="s">
        <v>20604</v>
      </c>
      <c r="D4592" s="2" t="str">
        <f>"269-649-5350"</f>
        <v>269-649-5350</v>
      </c>
      <c r="E4592" s="2" t="s">
        <v>1015</v>
      </c>
      <c r="F4592" s="2" t="s">
        <v>20605</v>
      </c>
      <c r="G4592" s="2" t="str">
        <f>"SR-6287"</f>
        <v>SR-6287</v>
      </c>
      <c r="H4592" s="2" t="s">
        <v>20606</v>
      </c>
      <c r="I4592" s="2" t="s">
        <v>20607</v>
      </c>
      <c r="K4592" s="2" t="s">
        <v>10044</v>
      </c>
      <c r="L4592" s="2" t="s">
        <v>29</v>
      </c>
      <c r="M4592" s="2">
        <v>49093.0</v>
      </c>
      <c r="N4592" s="2" t="s">
        <v>21</v>
      </c>
    </row>
    <row r="4593" ht="15.75" customHeight="1">
      <c r="A4593" s="2">
        <v>2015.0</v>
      </c>
      <c r="B4593" s="2" t="s">
        <v>9627</v>
      </c>
      <c r="C4593" s="2" t="s">
        <v>9628</v>
      </c>
      <c r="D4593" s="2" t="str">
        <f>"8652783975"</f>
        <v>8652783975</v>
      </c>
      <c r="E4593" s="2" t="s">
        <v>534</v>
      </c>
      <c r="F4593" s="2" t="s">
        <v>718</v>
      </c>
      <c r="G4593" s="2" t="str">
        <f>"SR-2847"</f>
        <v>SR-2847</v>
      </c>
      <c r="H4593" s="2" t="s">
        <v>719</v>
      </c>
      <c r="I4593" s="2" t="s">
        <v>9629</v>
      </c>
      <c r="K4593" s="2" t="s">
        <v>9630</v>
      </c>
      <c r="L4593" s="2" t="s">
        <v>279</v>
      </c>
      <c r="M4593" s="2">
        <v>37866.0</v>
      </c>
      <c r="N4593" s="2" t="s">
        <v>21</v>
      </c>
    </row>
    <row r="4594" ht="15.75" customHeight="1">
      <c r="A4594" s="2">
        <v>2015.0</v>
      </c>
      <c r="B4594" s="2" t="s">
        <v>20608</v>
      </c>
      <c r="C4594" s="2" t="s">
        <v>20608</v>
      </c>
      <c r="D4594" s="2" t="str">
        <f>"2604350777"</f>
        <v>2604350777</v>
      </c>
      <c r="E4594" s="2" t="s">
        <v>16650</v>
      </c>
      <c r="F4594" s="2" t="s">
        <v>20609</v>
      </c>
      <c r="G4594" s="2" t="str">
        <f>"SR-6363"</f>
        <v>SR-6363</v>
      </c>
      <c r="H4594" s="2" t="s">
        <v>20610</v>
      </c>
      <c r="I4594" s="2" t="s">
        <v>20611</v>
      </c>
      <c r="K4594" s="2" t="s">
        <v>20612</v>
      </c>
      <c r="L4594" s="2" t="s">
        <v>149</v>
      </c>
      <c r="M4594" s="2">
        <v>46777.0</v>
      </c>
      <c r="N4594" s="2" t="s">
        <v>21</v>
      </c>
    </row>
    <row r="4595" ht="15.75" customHeight="1">
      <c r="A4595" s="2">
        <v>2015.0</v>
      </c>
      <c r="B4595" s="2" t="s">
        <v>10145</v>
      </c>
      <c r="C4595" s="2" t="s">
        <v>10146</v>
      </c>
      <c r="D4595" s="2" t="str">
        <f>"920-750-2252"</f>
        <v>920-750-2252</v>
      </c>
      <c r="E4595" s="2" t="s">
        <v>908</v>
      </c>
      <c r="F4595" s="2" t="s">
        <v>10147</v>
      </c>
      <c r="G4595" s="2" t="str">
        <f>"SR-2972"</f>
        <v>SR-2972</v>
      </c>
      <c r="H4595" s="2" t="s">
        <v>10148</v>
      </c>
      <c r="I4595" s="2" t="s">
        <v>10149</v>
      </c>
      <c r="K4595" s="2" t="s">
        <v>7667</v>
      </c>
      <c r="L4595" s="2" t="s">
        <v>193</v>
      </c>
      <c r="M4595" s="2">
        <v>54915.0</v>
      </c>
      <c r="N4595" s="2" t="s">
        <v>21</v>
      </c>
    </row>
    <row r="4596" ht="15.75" customHeight="1">
      <c r="A4596" s="2">
        <v>2015.0</v>
      </c>
      <c r="B4596" s="2" t="s">
        <v>20613</v>
      </c>
      <c r="C4596" s="2" t="s">
        <v>20614</v>
      </c>
      <c r="D4596" s="2" t="str">
        <f>"719-209-8471"</f>
        <v>719-209-8471</v>
      </c>
      <c r="E4596" s="2" t="s">
        <v>453</v>
      </c>
      <c r="F4596" s="2" t="s">
        <v>1698</v>
      </c>
      <c r="G4596" s="2" t="str">
        <f>"SR-6111"</f>
        <v>SR-6111</v>
      </c>
      <c r="H4596" s="2" t="s">
        <v>20615</v>
      </c>
      <c r="I4596" s="2" t="s">
        <v>1700</v>
      </c>
      <c r="K4596" s="2" t="s">
        <v>809</v>
      </c>
      <c r="L4596" s="2" t="s">
        <v>157</v>
      </c>
      <c r="M4596" s="2">
        <v>80915.0</v>
      </c>
      <c r="N4596" s="2" t="s">
        <v>21</v>
      </c>
    </row>
    <row r="4597" ht="15.75" customHeight="1">
      <c r="A4597" s="2">
        <v>2015.0</v>
      </c>
      <c r="B4597" s="2" t="s">
        <v>20616</v>
      </c>
      <c r="C4597" s="2" t="s">
        <v>20617</v>
      </c>
      <c r="D4597" s="2" t="str">
        <f>"2166445108"</f>
        <v>2166445108</v>
      </c>
      <c r="E4597" s="2" t="s">
        <v>843</v>
      </c>
      <c r="F4597" s="2" t="s">
        <v>89</v>
      </c>
      <c r="G4597" s="2" t="str">
        <f>"SR-6194"</f>
        <v>SR-6194</v>
      </c>
      <c r="H4597" s="2" t="s">
        <v>20618</v>
      </c>
      <c r="I4597" s="2" t="s">
        <v>20619</v>
      </c>
      <c r="K4597" s="2" t="s">
        <v>20620</v>
      </c>
      <c r="L4597" s="2" t="s">
        <v>344</v>
      </c>
      <c r="M4597" s="2">
        <v>44026.0</v>
      </c>
      <c r="N4597" s="2" t="s">
        <v>21</v>
      </c>
    </row>
    <row r="4598" ht="15.75" customHeight="1">
      <c r="A4598" s="2">
        <v>2015.0</v>
      </c>
      <c r="B4598" s="2" t="s">
        <v>20621</v>
      </c>
      <c r="C4598" s="2" t="s">
        <v>20621</v>
      </c>
      <c r="D4598" s="2" t="str">
        <f>"805-462-1836"</f>
        <v>805-462-1836</v>
      </c>
      <c r="E4598" s="2" t="s">
        <v>261</v>
      </c>
      <c r="F4598" s="2" t="s">
        <v>20622</v>
      </c>
      <c r="G4598" s="2" t="str">
        <f>"SR-6360"</f>
        <v>SR-6360</v>
      </c>
      <c r="H4598" s="2" t="s">
        <v>20623</v>
      </c>
      <c r="I4598" s="2" t="s">
        <v>20624</v>
      </c>
      <c r="K4598" s="2" t="s">
        <v>10498</v>
      </c>
      <c r="L4598" s="2" t="s">
        <v>222</v>
      </c>
      <c r="M4598" s="2">
        <v>93422.0</v>
      </c>
      <c r="N4598" s="2" t="s">
        <v>21</v>
      </c>
    </row>
    <row r="4599" ht="15.75" customHeight="1">
      <c r="A4599" s="2">
        <v>2015.0</v>
      </c>
      <c r="B4599" s="2" t="s">
        <v>5448</v>
      </c>
      <c r="C4599" s="2" t="s">
        <v>5449</v>
      </c>
      <c r="D4599" s="2" t="str">
        <f>"9047103575"</f>
        <v>9047103575</v>
      </c>
      <c r="E4599" s="2" t="s">
        <v>57</v>
      </c>
      <c r="F4599" s="2" t="s">
        <v>5450</v>
      </c>
      <c r="G4599" s="2" t="str">
        <f>"SR-1542"</f>
        <v>SR-1542</v>
      </c>
      <c r="H4599" s="2" t="s">
        <v>5451</v>
      </c>
      <c r="I4599" s="2" t="s">
        <v>5452</v>
      </c>
      <c r="K4599" s="2" t="s">
        <v>5453</v>
      </c>
      <c r="L4599" s="2" t="s">
        <v>208</v>
      </c>
      <c r="M4599" s="2">
        <v>32081.0</v>
      </c>
      <c r="N4599" s="2" t="s">
        <v>21</v>
      </c>
    </row>
    <row r="4600" ht="15.75" customHeight="1">
      <c r="A4600" s="2">
        <v>2015.0</v>
      </c>
      <c r="B4600" s="2" t="s">
        <v>20563</v>
      </c>
      <c r="C4600" s="2" t="s">
        <v>20625</v>
      </c>
      <c r="D4600" s="2" t="str">
        <f>"209-928-4001"</f>
        <v>209-928-4001</v>
      </c>
      <c r="E4600" s="2" t="s">
        <v>9815</v>
      </c>
      <c r="F4600" s="2" t="s">
        <v>20565</v>
      </c>
      <c r="G4600" s="2" t="str">
        <f>"SR-6332"</f>
        <v>SR-6332</v>
      </c>
      <c r="H4600" s="2" t="s">
        <v>20626</v>
      </c>
      <c r="I4600" s="2" t="s">
        <v>20567</v>
      </c>
      <c r="K4600" s="2" t="s">
        <v>20568</v>
      </c>
      <c r="L4600" s="2" t="s">
        <v>222</v>
      </c>
      <c r="M4600" s="2">
        <v>95383.0</v>
      </c>
      <c r="N4600" s="2" t="s">
        <v>21</v>
      </c>
    </row>
    <row r="4601" ht="15.75" customHeight="1">
      <c r="A4601" s="2">
        <v>2015.0</v>
      </c>
      <c r="B4601" s="2" t="s">
        <v>20627</v>
      </c>
      <c r="C4601" s="2" t="s">
        <v>20628</v>
      </c>
      <c r="D4601" s="2" t="str">
        <f>"515-306-1930"</f>
        <v>515-306-1930</v>
      </c>
      <c r="E4601" s="2" t="s">
        <v>2361</v>
      </c>
      <c r="F4601" s="2" t="s">
        <v>20629</v>
      </c>
      <c r="G4601" s="2" t="str">
        <f>"SR-6362"</f>
        <v>SR-6362</v>
      </c>
      <c r="H4601" s="2" t="s">
        <v>20630</v>
      </c>
      <c r="I4601" s="2" t="s">
        <v>20631</v>
      </c>
      <c r="K4601" s="2" t="s">
        <v>20632</v>
      </c>
      <c r="L4601" s="2" t="s">
        <v>560</v>
      </c>
      <c r="M4601" s="2">
        <v>50263.0</v>
      </c>
      <c r="N4601" s="2" t="s">
        <v>21</v>
      </c>
    </row>
    <row r="4602" ht="15.75" customHeight="1">
      <c r="A4602" s="2">
        <v>2015.0</v>
      </c>
      <c r="B4602" s="2" t="s">
        <v>12296</v>
      </c>
      <c r="C4602" s="2" t="s">
        <v>12297</v>
      </c>
      <c r="D4602" s="2" t="str">
        <f>"8505705613"</f>
        <v>8505705613</v>
      </c>
      <c r="E4602" s="2" t="s">
        <v>585</v>
      </c>
      <c r="F4602" s="2" t="s">
        <v>3857</v>
      </c>
      <c r="G4602" s="2" t="str">
        <f>"SR-3397"</f>
        <v>SR-3397</v>
      </c>
      <c r="H4602" s="2" t="s">
        <v>12298</v>
      </c>
      <c r="I4602" s="2" t="s">
        <v>12299</v>
      </c>
      <c r="K4602" s="2" t="s">
        <v>2007</v>
      </c>
      <c r="L4602" s="2" t="s">
        <v>208</v>
      </c>
      <c r="M4602" s="2">
        <v>32309.0</v>
      </c>
      <c r="N4602" s="2" t="s">
        <v>21</v>
      </c>
    </row>
    <row r="4603" ht="15.75" customHeight="1">
      <c r="A4603" s="2">
        <v>2015.0</v>
      </c>
      <c r="B4603" s="2" t="s">
        <v>20633</v>
      </c>
      <c r="C4603" s="2" t="s">
        <v>20634</v>
      </c>
      <c r="D4603" s="2" t="str">
        <f>"613-821-3508"</f>
        <v>613-821-3508</v>
      </c>
      <c r="E4603" s="2" t="s">
        <v>301</v>
      </c>
      <c r="F4603" s="2" t="s">
        <v>20635</v>
      </c>
      <c r="G4603" s="2" t="str">
        <f>"SR-6367"</f>
        <v>SR-6367</v>
      </c>
      <c r="H4603" s="2" t="s">
        <v>20636</v>
      </c>
      <c r="I4603" s="2" t="s">
        <v>20637</v>
      </c>
      <c r="K4603" s="2" t="s">
        <v>7924</v>
      </c>
      <c r="L4603" s="2" t="s">
        <v>2015</v>
      </c>
      <c r="M4603" s="2" t="s">
        <v>20638</v>
      </c>
      <c r="N4603" s="2" t="s">
        <v>1602</v>
      </c>
    </row>
    <row r="4604" ht="15.75" customHeight="1">
      <c r="A4604" s="2">
        <v>2015.0</v>
      </c>
      <c r="B4604" s="2" t="s">
        <v>9627</v>
      </c>
      <c r="C4604" s="2" t="s">
        <v>9627</v>
      </c>
      <c r="D4604" s="2" t="str">
        <f>"865.278.3975"</f>
        <v>865.278.3975</v>
      </c>
      <c r="E4604" s="2" t="s">
        <v>250</v>
      </c>
      <c r="F4604" s="2" t="s">
        <v>718</v>
      </c>
      <c r="G4604" s="2" t="str">
        <f>"SR-6370"</f>
        <v>SR-6370</v>
      </c>
      <c r="H4604" s="2" t="s">
        <v>20639</v>
      </c>
      <c r="I4604" s="2" t="s">
        <v>20640</v>
      </c>
      <c r="K4604" s="2" t="s">
        <v>9630</v>
      </c>
      <c r="L4604" s="2" t="s">
        <v>279</v>
      </c>
      <c r="M4604" s="2">
        <v>37866.0</v>
      </c>
      <c r="N4604" s="2" t="s">
        <v>21</v>
      </c>
    </row>
    <row r="4605" ht="15.75" customHeight="1">
      <c r="A4605" s="2">
        <v>2015.0</v>
      </c>
      <c r="B4605" s="2" t="s">
        <v>12296</v>
      </c>
      <c r="C4605" s="2" t="s">
        <v>20641</v>
      </c>
      <c r="D4605" s="2" t="str">
        <f>"8505240156"</f>
        <v>8505240156</v>
      </c>
      <c r="E4605" s="2" t="s">
        <v>428</v>
      </c>
      <c r="F4605" s="2" t="s">
        <v>3857</v>
      </c>
      <c r="G4605" s="2" t="str">
        <f>"SR-6364"</f>
        <v>SR-6364</v>
      </c>
      <c r="H4605" s="2" t="s">
        <v>20642</v>
      </c>
      <c r="I4605" s="2" t="s">
        <v>12299</v>
      </c>
      <c r="K4605" s="2" t="s">
        <v>2007</v>
      </c>
      <c r="L4605" s="2" t="s">
        <v>208</v>
      </c>
      <c r="M4605" s="2">
        <v>32309.0</v>
      </c>
      <c r="N4605" s="2" t="s">
        <v>21</v>
      </c>
    </row>
    <row r="4606" ht="15.75" customHeight="1">
      <c r="A4606" s="2">
        <v>2015.0</v>
      </c>
      <c r="B4606" s="2" t="s">
        <v>5448</v>
      </c>
      <c r="C4606" s="2" t="s">
        <v>20643</v>
      </c>
      <c r="D4606" s="2" t="str">
        <f>"9044958409"</f>
        <v>9044958409</v>
      </c>
      <c r="E4606" s="2" t="s">
        <v>339</v>
      </c>
      <c r="F4606" s="2" t="s">
        <v>5450</v>
      </c>
      <c r="G4606" s="2" t="str">
        <f>"SR-6348"</f>
        <v>SR-6348</v>
      </c>
      <c r="H4606" s="2" t="s">
        <v>20644</v>
      </c>
      <c r="I4606" s="2" t="s">
        <v>5452</v>
      </c>
      <c r="K4606" s="2" t="s">
        <v>5453</v>
      </c>
      <c r="L4606" s="2" t="s">
        <v>208</v>
      </c>
      <c r="M4606" s="2">
        <v>32081.0</v>
      </c>
      <c r="N4606" s="2" t="s">
        <v>21</v>
      </c>
    </row>
    <row r="4607" ht="15.75" customHeight="1">
      <c r="A4607" s="2">
        <v>2015.0</v>
      </c>
      <c r="B4607" s="2" t="s">
        <v>20645</v>
      </c>
      <c r="C4607" s="2" t="s">
        <v>20646</v>
      </c>
      <c r="D4607" s="2" t="str">
        <f>"240-925-0181"</f>
        <v>240-925-0181</v>
      </c>
      <c r="E4607" s="2" t="s">
        <v>534</v>
      </c>
      <c r="F4607" s="2" t="s">
        <v>20647</v>
      </c>
      <c r="G4607" s="2" t="str">
        <f>"SR-6371"</f>
        <v>SR-6371</v>
      </c>
      <c r="H4607" s="2" t="s">
        <v>20648</v>
      </c>
      <c r="I4607" s="2" t="s">
        <v>20649</v>
      </c>
      <c r="K4607" s="2" t="s">
        <v>20650</v>
      </c>
      <c r="L4607" s="2" t="s">
        <v>1868</v>
      </c>
      <c r="M4607" s="2">
        <v>20653.0</v>
      </c>
      <c r="N4607" s="2" t="s">
        <v>21</v>
      </c>
    </row>
    <row r="4608" ht="15.75" customHeight="1">
      <c r="A4608" s="2">
        <v>2015.0</v>
      </c>
      <c r="B4608" s="2" t="s">
        <v>20651</v>
      </c>
      <c r="C4608" s="2" t="s">
        <v>20651</v>
      </c>
      <c r="D4608" s="2" t="str">
        <f>"(702) 335-7500"</f>
        <v>(702) 335-7500</v>
      </c>
      <c r="E4608" s="2" t="s">
        <v>14150</v>
      </c>
      <c r="F4608" s="2" t="s">
        <v>3903</v>
      </c>
      <c r="G4608" s="2" t="str">
        <f>"SR-5597"</f>
        <v>SR-5597</v>
      </c>
      <c r="H4608" s="2" t="s">
        <v>20652</v>
      </c>
      <c r="I4608" s="2" t="s">
        <v>20653</v>
      </c>
      <c r="K4608" s="2" t="s">
        <v>309</v>
      </c>
      <c r="L4608" s="2" t="s">
        <v>1419</v>
      </c>
      <c r="M4608" s="2">
        <v>89074.0</v>
      </c>
      <c r="N4608" s="2" t="s">
        <v>21</v>
      </c>
    </row>
    <row r="4609" ht="15.75" customHeight="1">
      <c r="A4609" s="2">
        <v>2015.0</v>
      </c>
      <c r="B4609" s="2" t="s">
        <v>20654</v>
      </c>
      <c r="C4609" s="2" t="s">
        <v>20655</v>
      </c>
      <c r="D4609" s="2" t="str">
        <f>"5404717902"</f>
        <v>5404717902</v>
      </c>
      <c r="E4609" s="2" t="s">
        <v>2941</v>
      </c>
      <c r="F4609" s="2" t="s">
        <v>5991</v>
      </c>
      <c r="G4609" s="2" t="str">
        <f>"SR-6376"</f>
        <v>SR-6376</v>
      </c>
      <c r="H4609" s="2" t="s">
        <v>20656</v>
      </c>
      <c r="I4609" s="2" t="s">
        <v>20657</v>
      </c>
      <c r="K4609" s="2" t="s">
        <v>20658</v>
      </c>
      <c r="L4609" s="2" t="s">
        <v>165</v>
      </c>
      <c r="M4609" s="2">
        <v>24486.0</v>
      </c>
      <c r="N4609" s="2" t="s">
        <v>21</v>
      </c>
    </row>
    <row r="4610" ht="15.75" customHeight="1">
      <c r="A4610" s="2">
        <v>2015.0</v>
      </c>
      <c r="B4610" s="2" t="s">
        <v>20659</v>
      </c>
      <c r="C4610" s="2" t="s">
        <v>20659</v>
      </c>
      <c r="D4610" s="2" t="str">
        <f>"1-618-206-8652"</f>
        <v>1-618-206-8652</v>
      </c>
      <c r="E4610" s="2" t="s">
        <v>50</v>
      </c>
      <c r="F4610" s="2" t="s">
        <v>711</v>
      </c>
      <c r="G4610" s="2" t="str">
        <f>"SR-6259"</f>
        <v>SR-6259</v>
      </c>
      <c r="H4610" s="2" t="s">
        <v>20660</v>
      </c>
      <c r="I4610" s="2" t="s">
        <v>20661</v>
      </c>
      <c r="K4610" s="2" t="s">
        <v>3229</v>
      </c>
      <c r="L4610" s="2" t="s">
        <v>105</v>
      </c>
      <c r="M4610" s="2">
        <v>62254.0</v>
      </c>
      <c r="N4610" s="2" t="s">
        <v>21</v>
      </c>
    </row>
    <row r="4611" ht="15.75" customHeight="1">
      <c r="A4611" s="2">
        <v>2015.0</v>
      </c>
      <c r="B4611" s="2" t="s">
        <v>20662</v>
      </c>
      <c r="C4611" s="2" t="s">
        <v>20662</v>
      </c>
      <c r="D4611" s="2" t="str">
        <f>"785.207.9993"</f>
        <v>785.207.9993</v>
      </c>
      <c r="E4611" s="2" t="s">
        <v>239</v>
      </c>
      <c r="F4611" s="2" t="s">
        <v>13690</v>
      </c>
      <c r="G4611" s="2" t="str">
        <f>"SR-6238"</f>
        <v>SR-6238</v>
      </c>
      <c r="H4611" s="2" t="s">
        <v>20663</v>
      </c>
      <c r="I4611" s="2" t="s">
        <v>20664</v>
      </c>
      <c r="K4611" s="2" t="s">
        <v>271</v>
      </c>
      <c r="L4611" s="2" t="s">
        <v>272</v>
      </c>
      <c r="M4611" s="2">
        <v>66621.0</v>
      </c>
      <c r="N4611" s="2" t="s">
        <v>21</v>
      </c>
    </row>
    <row r="4612" ht="15.75" customHeight="1">
      <c r="A4612" s="2">
        <v>2015.0</v>
      </c>
      <c r="B4612" s="2" t="s">
        <v>20665</v>
      </c>
      <c r="C4612" s="2" t="s">
        <v>20665</v>
      </c>
      <c r="D4612" s="2" t="str">
        <f>"3363377664"</f>
        <v>3363377664</v>
      </c>
      <c r="E4612" s="2" t="s">
        <v>843</v>
      </c>
      <c r="F4612" s="2" t="s">
        <v>20666</v>
      </c>
      <c r="G4612" s="2" t="str">
        <f>"SR-6033"</f>
        <v>SR-6033</v>
      </c>
      <c r="H4612" s="2" t="s">
        <v>20667</v>
      </c>
      <c r="I4612" s="2" t="s">
        <v>20668</v>
      </c>
      <c r="K4612" s="2" t="s">
        <v>3654</v>
      </c>
      <c r="L4612" s="2" t="s">
        <v>715</v>
      </c>
      <c r="M4612" s="2">
        <v>70817.0</v>
      </c>
      <c r="N4612" s="2" t="s">
        <v>21</v>
      </c>
    </row>
    <row r="4613" ht="15.75" customHeight="1">
      <c r="A4613" s="2">
        <v>2015.0</v>
      </c>
      <c r="B4613" s="2" t="s">
        <v>20669</v>
      </c>
      <c r="C4613" s="2" t="s">
        <v>20670</v>
      </c>
      <c r="D4613" s="2" t="str">
        <f>"719-322-1220"</f>
        <v>719-322-1220</v>
      </c>
      <c r="E4613" s="2" t="s">
        <v>1548</v>
      </c>
      <c r="F4613" s="2" t="s">
        <v>20671</v>
      </c>
      <c r="G4613" s="2" t="str">
        <f>"SR-6374"</f>
        <v>SR-6374</v>
      </c>
      <c r="H4613" s="2" t="s">
        <v>20672</v>
      </c>
      <c r="I4613" s="2" t="s">
        <v>20673</v>
      </c>
      <c r="K4613" s="2" t="s">
        <v>809</v>
      </c>
      <c r="L4613" s="2" t="s">
        <v>157</v>
      </c>
      <c r="M4613" s="2">
        <v>80907.0</v>
      </c>
      <c r="N4613" s="2" t="s">
        <v>21</v>
      </c>
    </row>
    <row r="4614" ht="15.75" customHeight="1">
      <c r="A4614" s="2">
        <v>2015.0</v>
      </c>
      <c r="B4614" s="2" t="s">
        <v>15078</v>
      </c>
      <c r="C4614" s="2" t="s">
        <v>15078</v>
      </c>
      <c r="D4614" s="2" t="str">
        <f>"7054244683"</f>
        <v>7054244683</v>
      </c>
      <c r="E4614" s="2" t="s">
        <v>1891</v>
      </c>
      <c r="F4614" s="2" t="s">
        <v>15080</v>
      </c>
      <c r="G4614" s="2" t="str">
        <f>"SR-6267"</f>
        <v>SR-6267</v>
      </c>
      <c r="H4614" s="2" t="s">
        <v>20674</v>
      </c>
      <c r="I4614" s="2" t="s">
        <v>20675</v>
      </c>
      <c r="K4614" s="2" t="s">
        <v>15084</v>
      </c>
      <c r="L4614" s="2" t="s">
        <v>2015</v>
      </c>
      <c r="M4614" s="2" t="s">
        <v>20676</v>
      </c>
      <c r="N4614" s="2" t="s">
        <v>1602</v>
      </c>
    </row>
    <row r="4615" ht="15.75" customHeight="1">
      <c r="A4615" s="2">
        <v>2015.0</v>
      </c>
      <c r="B4615" s="2" t="s">
        <v>20677</v>
      </c>
      <c r="C4615" s="2" t="s">
        <v>20677</v>
      </c>
      <c r="D4615" s="2" t="str">
        <f>"3344446804"</f>
        <v>3344446804</v>
      </c>
      <c r="E4615" s="2" t="s">
        <v>1190</v>
      </c>
      <c r="F4615" s="2" t="s">
        <v>5281</v>
      </c>
      <c r="G4615" s="2" t="str">
        <f>"SR-6186"</f>
        <v>SR-6186</v>
      </c>
      <c r="H4615" s="2" t="s">
        <v>20678</v>
      </c>
      <c r="I4615" s="2" t="s">
        <v>20679</v>
      </c>
      <c r="K4615" s="2" t="s">
        <v>659</v>
      </c>
      <c r="L4615" s="2" t="s">
        <v>539</v>
      </c>
      <c r="M4615" s="2">
        <v>35756.0</v>
      </c>
      <c r="N4615" s="2" t="s">
        <v>21</v>
      </c>
    </row>
    <row r="4616" ht="15.75" customHeight="1">
      <c r="A4616" s="2">
        <v>2015.0</v>
      </c>
      <c r="B4616" s="2" t="s">
        <v>20680</v>
      </c>
      <c r="D4616" s="2" t="str">
        <f>""</f>
        <v/>
      </c>
      <c r="E4616" s="2" t="s">
        <v>20681</v>
      </c>
      <c r="F4616" s="2" t="s">
        <v>14543</v>
      </c>
      <c r="G4616" s="2" t="str">
        <f>"SR-6313"</f>
        <v>SR-6313</v>
      </c>
      <c r="H4616" s="2" t="s">
        <v>20682</v>
      </c>
      <c r="N4616" s="2" t="s">
        <v>21</v>
      </c>
    </row>
    <row r="4617" ht="15.75" customHeight="1">
      <c r="A4617" s="2">
        <v>2015.0</v>
      </c>
      <c r="B4617" s="2" t="s">
        <v>20683</v>
      </c>
      <c r="C4617" s="2" t="s">
        <v>20683</v>
      </c>
      <c r="D4617" s="2" t="str">
        <f>"(405)613-7525"</f>
        <v>(405)613-7525</v>
      </c>
      <c r="E4617" s="2" t="s">
        <v>11981</v>
      </c>
      <c r="F4617" s="2" t="s">
        <v>12320</v>
      </c>
      <c r="G4617" s="2" t="str">
        <f>"SR-6373"</f>
        <v>SR-6373</v>
      </c>
      <c r="H4617" s="2" t="s">
        <v>20684</v>
      </c>
      <c r="I4617" s="2" t="s">
        <v>20685</v>
      </c>
      <c r="K4617" s="2" t="s">
        <v>20686</v>
      </c>
      <c r="L4617" s="2" t="s">
        <v>840</v>
      </c>
      <c r="M4617" s="2">
        <v>73064.0</v>
      </c>
      <c r="N4617" s="2" t="s">
        <v>21</v>
      </c>
    </row>
    <row r="4618" ht="15.75" customHeight="1">
      <c r="A4618" s="2">
        <v>2015.0</v>
      </c>
      <c r="B4618" s="2" t="s">
        <v>20687</v>
      </c>
      <c r="C4618" s="2" t="s">
        <v>20688</v>
      </c>
      <c r="D4618" s="2" t="str">
        <f>"218-267-2267"</f>
        <v>218-267-2267</v>
      </c>
      <c r="E4618" s="2" t="s">
        <v>4406</v>
      </c>
      <c r="F4618" s="2" t="s">
        <v>20689</v>
      </c>
      <c r="G4618" s="2" t="str">
        <f>"SR-6266"</f>
        <v>SR-6266</v>
      </c>
      <c r="H4618" s="2" t="s">
        <v>20690</v>
      </c>
      <c r="I4618" s="2" t="s">
        <v>20691</v>
      </c>
      <c r="K4618" s="2" t="s">
        <v>20692</v>
      </c>
      <c r="L4618" s="2" t="s">
        <v>62</v>
      </c>
      <c r="M4618" s="2">
        <v>56361.0</v>
      </c>
      <c r="N4618" s="2" t="s">
        <v>21</v>
      </c>
    </row>
    <row r="4619" ht="15.75" customHeight="1">
      <c r="A4619" s="2">
        <v>2015.0</v>
      </c>
      <c r="B4619" s="2" t="s">
        <v>20693</v>
      </c>
      <c r="C4619" s="2" t="s">
        <v>20694</v>
      </c>
      <c r="D4619" s="2" t="str">
        <f>"5613799889"</f>
        <v>5613799889</v>
      </c>
      <c r="E4619" s="2" t="s">
        <v>2361</v>
      </c>
      <c r="F4619" s="2" t="s">
        <v>20695</v>
      </c>
      <c r="G4619" s="2" t="str">
        <f>"SR-6378"</f>
        <v>SR-6378</v>
      </c>
      <c r="H4619" s="2" t="s">
        <v>20696</v>
      </c>
      <c r="I4619" s="2" t="s">
        <v>20697</v>
      </c>
      <c r="K4619" s="2" t="s">
        <v>8413</v>
      </c>
      <c r="L4619" s="2" t="s">
        <v>208</v>
      </c>
      <c r="M4619" s="2">
        <v>33414.0</v>
      </c>
      <c r="N4619" s="2" t="s">
        <v>21</v>
      </c>
    </row>
    <row r="4620" ht="15.75" customHeight="1">
      <c r="A4620" s="2">
        <v>2015.0</v>
      </c>
      <c r="B4620" s="2" t="s">
        <v>20698</v>
      </c>
      <c r="C4620" s="2" t="s">
        <v>20698</v>
      </c>
      <c r="D4620" s="2" t="str">
        <f>"9013054056"</f>
        <v>9013054056</v>
      </c>
      <c r="E4620" s="2" t="s">
        <v>160</v>
      </c>
      <c r="F4620" s="2" t="s">
        <v>5434</v>
      </c>
      <c r="G4620" s="2" t="str">
        <f>"SR-5713"</f>
        <v>SR-5713</v>
      </c>
      <c r="H4620" s="2" t="s">
        <v>20699</v>
      </c>
      <c r="I4620" s="2" t="s">
        <v>5436</v>
      </c>
      <c r="K4620" s="2" t="s">
        <v>5437</v>
      </c>
      <c r="L4620" s="2" t="s">
        <v>279</v>
      </c>
      <c r="M4620" s="2">
        <v>38135.0</v>
      </c>
      <c r="N4620" s="2" t="s">
        <v>21</v>
      </c>
    </row>
    <row r="4621" ht="15.75" customHeight="1">
      <c r="A4621" s="2">
        <v>2015.0</v>
      </c>
      <c r="B4621" s="2" t="s">
        <v>20700</v>
      </c>
      <c r="C4621" s="2" t="s">
        <v>20701</v>
      </c>
      <c r="D4621" s="2" t="str">
        <f>"813-812-0997"</f>
        <v>813-812-0997</v>
      </c>
      <c r="E4621" s="2" t="s">
        <v>339</v>
      </c>
      <c r="F4621" s="2" t="s">
        <v>2863</v>
      </c>
      <c r="G4621" s="2" t="str">
        <f>"SR-6379"</f>
        <v>SR-6379</v>
      </c>
      <c r="H4621" s="2" t="s">
        <v>8144</v>
      </c>
      <c r="I4621" s="2" t="s">
        <v>20702</v>
      </c>
      <c r="K4621" s="2" t="s">
        <v>2147</v>
      </c>
      <c r="L4621" s="2" t="s">
        <v>208</v>
      </c>
      <c r="M4621" s="2">
        <v>33511.0</v>
      </c>
      <c r="N4621" s="2" t="s">
        <v>21</v>
      </c>
    </row>
    <row r="4622" ht="15.75" customHeight="1">
      <c r="A4622" s="2">
        <v>2015.0</v>
      </c>
      <c r="B4622" s="2" t="s">
        <v>20703</v>
      </c>
      <c r="C4622" s="2" t="s">
        <v>20704</v>
      </c>
      <c r="D4622" s="2" t="str">
        <f>"720-981-9186"</f>
        <v>720-981-9186</v>
      </c>
      <c r="E4622" s="2" t="s">
        <v>19353</v>
      </c>
      <c r="F4622" s="2" t="s">
        <v>20705</v>
      </c>
      <c r="G4622" s="2" t="str">
        <f>"SR-6384"</f>
        <v>SR-6384</v>
      </c>
      <c r="H4622" s="2" t="s">
        <v>20706</v>
      </c>
      <c r="I4622" s="2" t="s">
        <v>20707</v>
      </c>
      <c r="K4622" s="2" t="s">
        <v>1398</v>
      </c>
      <c r="L4622" s="2" t="s">
        <v>157</v>
      </c>
      <c r="M4622" s="2">
        <v>80104.0</v>
      </c>
      <c r="N4622" s="2" t="s">
        <v>21</v>
      </c>
    </row>
    <row r="4623" ht="15.75" customHeight="1">
      <c r="A4623" s="2">
        <v>2015.0</v>
      </c>
      <c r="B4623" s="2" t="s">
        <v>20708</v>
      </c>
      <c r="C4623" s="2" t="s">
        <v>20709</v>
      </c>
      <c r="D4623" s="2" t="str">
        <f>"(630) 559-5668"</f>
        <v>(630) 559-5668</v>
      </c>
      <c r="E4623" s="2" t="s">
        <v>3305</v>
      </c>
      <c r="F4623" s="2" t="s">
        <v>20710</v>
      </c>
      <c r="G4623" s="2" t="str">
        <f>"SR-6383"</f>
        <v>SR-6383</v>
      </c>
      <c r="H4623" s="2" t="s">
        <v>20711</v>
      </c>
      <c r="I4623" s="2" t="s">
        <v>20712</v>
      </c>
      <c r="K4623" s="2" t="s">
        <v>1067</v>
      </c>
      <c r="L4623" s="2" t="s">
        <v>272</v>
      </c>
      <c r="M4623" s="2">
        <v>66062.0</v>
      </c>
      <c r="N4623" s="2" t="s">
        <v>21</v>
      </c>
    </row>
    <row r="4624" ht="15.75" customHeight="1">
      <c r="A4624" s="2">
        <v>2015.0</v>
      </c>
      <c r="B4624" s="2" t="s">
        <v>20713</v>
      </c>
      <c r="C4624" s="2" t="s">
        <v>20714</v>
      </c>
      <c r="D4624" s="2" t="str">
        <f>"916-752-4250"</f>
        <v>916-752-4250</v>
      </c>
      <c r="E4624" s="2" t="s">
        <v>20715</v>
      </c>
      <c r="F4624" s="2" t="s">
        <v>20716</v>
      </c>
      <c r="G4624" s="2" t="str">
        <f>"SR-6063"</f>
        <v>SR-6063</v>
      </c>
      <c r="H4624" s="2" t="s">
        <v>20717</v>
      </c>
      <c r="I4624" s="2" t="s">
        <v>20718</v>
      </c>
      <c r="K4624" s="2" t="s">
        <v>5924</v>
      </c>
      <c r="L4624" s="2" t="s">
        <v>222</v>
      </c>
      <c r="M4624" s="2">
        <v>95657.0</v>
      </c>
      <c r="N4624" s="2" t="s">
        <v>21</v>
      </c>
    </row>
    <row r="4625" ht="15.75" customHeight="1">
      <c r="A4625" s="2">
        <v>2015.0</v>
      </c>
      <c r="B4625" s="2" t="s">
        <v>20719</v>
      </c>
      <c r="C4625" s="2" t="s">
        <v>20720</v>
      </c>
      <c r="D4625" s="2" t="str">
        <f>"512 892-5253"</f>
        <v>512 892-5253</v>
      </c>
      <c r="E4625" s="2" t="s">
        <v>2361</v>
      </c>
      <c r="F4625" s="2" t="s">
        <v>20721</v>
      </c>
      <c r="G4625" s="2" t="str">
        <f>"SR-6387"</f>
        <v>SR-6387</v>
      </c>
      <c r="H4625" s="2" t="s">
        <v>20722</v>
      </c>
      <c r="I4625" s="2" t="s">
        <v>20723</v>
      </c>
      <c r="K4625" s="2" t="s">
        <v>1141</v>
      </c>
      <c r="L4625" s="2" t="s">
        <v>172</v>
      </c>
      <c r="M4625" s="2">
        <v>78749.0</v>
      </c>
      <c r="N4625" s="2" t="s">
        <v>21</v>
      </c>
    </row>
    <row r="4626" ht="15.75" customHeight="1">
      <c r="A4626" s="2">
        <v>2015.0</v>
      </c>
      <c r="B4626" s="2" t="s">
        <v>20724</v>
      </c>
      <c r="C4626" s="2" t="s">
        <v>20725</v>
      </c>
      <c r="D4626" s="2" t="str">
        <f>"614-315-7299"</f>
        <v>614-315-7299</v>
      </c>
      <c r="E4626" s="2" t="s">
        <v>20726</v>
      </c>
      <c r="F4626" s="2" t="s">
        <v>639</v>
      </c>
      <c r="G4626" s="2" t="str">
        <f>"SR-6375"</f>
        <v>SR-6375</v>
      </c>
      <c r="H4626" s="2" t="s">
        <v>20727</v>
      </c>
      <c r="I4626" s="2" t="s">
        <v>20728</v>
      </c>
      <c r="K4626" s="2" t="s">
        <v>20729</v>
      </c>
      <c r="L4626" s="2" t="s">
        <v>344</v>
      </c>
      <c r="M4626" s="2">
        <v>43220.0</v>
      </c>
      <c r="N4626" s="2" t="s">
        <v>21</v>
      </c>
    </row>
    <row r="4627" ht="15.75" customHeight="1">
      <c r="A4627" s="2">
        <v>2015.0</v>
      </c>
      <c r="B4627" s="2" t="s">
        <v>20730</v>
      </c>
      <c r="C4627" s="2" t="s">
        <v>20731</v>
      </c>
      <c r="D4627" s="2" t="str">
        <f>"4022382043"</f>
        <v>4022382043</v>
      </c>
      <c r="E4627" s="2" t="s">
        <v>2912</v>
      </c>
      <c r="F4627" s="2" t="s">
        <v>89</v>
      </c>
      <c r="G4627" s="2" t="str">
        <f>"SR-6386"</f>
        <v>SR-6386</v>
      </c>
      <c r="H4627" s="2" t="s">
        <v>20732</v>
      </c>
      <c r="I4627" s="2" t="s">
        <v>20733</v>
      </c>
      <c r="K4627" s="2" t="s">
        <v>2545</v>
      </c>
      <c r="L4627" s="2" t="s">
        <v>757</v>
      </c>
      <c r="M4627" s="2">
        <v>68007.0</v>
      </c>
      <c r="N4627" s="2" t="s">
        <v>21</v>
      </c>
    </row>
    <row r="4628" ht="15.75" customHeight="1">
      <c r="A4628" s="2">
        <v>2015.0</v>
      </c>
      <c r="B4628" s="2" t="s">
        <v>9176</v>
      </c>
      <c r="C4628" s="2" t="s">
        <v>9177</v>
      </c>
      <c r="D4628" s="2" t="str">
        <f>"8582123766"</f>
        <v>8582123766</v>
      </c>
      <c r="E4628" s="2" t="s">
        <v>580</v>
      </c>
      <c r="F4628" s="2" t="s">
        <v>9178</v>
      </c>
      <c r="G4628" s="2" t="str">
        <f>"SR-2710"</f>
        <v>SR-2710</v>
      </c>
      <c r="H4628" s="2" t="s">
        <v>9179</v>
      </c>
      <c r="I4628" s="2" t="s">
        <v>9180</v>
      </c>
      <c r="K4628" s="2" t="s">
        <v>8250</v>
      </c>
      <c r="L4628" s="2" t="s">
        <v>222</v>
      </c>
      <c r="M4628" s="2">
        <v>92129.0</v>
      </c>
      <c r="N4628" s="2" t="s">
        <v>21</v>
      </c>
    </row>
    <row r="4629" ht="15.75" customHeight="1">
      <c r="A4629" s="2">
        <v>2015.0</v>
      </c>
      <c r="B4629" s="2" t="s">
        <v>14211</v>
      </c>
      <c r="C4629" s="2" t="s">
        <v>20734</v>
      </c>
      <c r="D4629" s="2" t="str">
        <f>"406-669-3817"</f>
        <v>406-669-3817</v>
      </c>
      <c r="E4629" s="2" t="s">
        <v>20735</v>
      </c>
      <c r="F4629" s="2" t="s">
        <v>14213</v>
      </c>
      <c r="G4629" s="2" t="str">
        <f>"SR-6353"</f>
        <v>SR-6353</v>
      </c>
      <c r="H4629" s="2" t="s">
        <v>20736</v>
      </c>
      <c r="I4629" s="2" t="s">
        <v>20737</v>
      </c>
      <c r="K4629" s="2" t="s">
        <v>3548</v>
      </c>
      <c r="L4629" s="2" t="s">
        <v>2696</v>
      </c>
      <c r="M4629" s="2">
        <v>59102.0</v>
      </c>
      <c r="N4629" s="2" t="s">
        <v>21</v>
      </c>
    </row>
    <row r="4630" ht="15.75" customHeight="1">
      <c r="A4630" s="2">
        <v>2015.0</v>
      </c>
      <c r="B4630" s="2" t="s">
        <v>20738</v>
      </c>
      <c r="C4630" s="2" t="s">
        <v>20738</v>
      </c>
      <c r="D4630" s="2" t="str">
        <f>"817-596-5917"</f>
        <v>817-596-5917</v>
      </c>
      <c r="E4630" s="2" t="s">
        <v>6019</v>
      </c>
      <c r="F4630" s="2" t="s">
        <v>4839</v>
      </c>
      <c r="G4630" s="2" t="str">
        <f>"SR-5584"</f>
        <v>SR-5584</v>
      </c>
      <c r="H4630" s="2" t="s">
        <v>6020</v>
      </c>
      <c r="I4630" s="2" t="s">
        <v>20739</v>
      </c>
      <c r="K4630" s="2" t="s">
        <v>6017</v>
      </c>
      <c r="L4630" s="2" t="s">
        <v>172</v>
      </c>
      <c r="M4630" s="2">
        <v>76008.0</v>
      </c>
      <c r="N4630" s="2" t="s">
        <v>21</v>
      </c>
    </row>
    <row r="4631" ht="15.75" customHeight="1">
      <c r="A4631" s="2">
        <v>2015.0</v>
      </c>
      <c r="B4631" s="2" t="s">
        <v>20740</v>
      </c>
      <c r="C4631" s="2" t="s">
        <v>20741</v>
      </c>
      <c r="D4631" s="2" t="str">
        <f>"9048006351"</f>
        <v>9048006351</v>
      </c>
      <c r="E4631" s="2" t="s">
        <v>20742</v>
      </c>
      <c r="F4631" s="2" t="s">
        <v>275</v>
      </c>
      <c r="G4631" s="2" t="str">
        <f>"SR-6380"</f>
        <v>SR-6380</v>
      </c>
      <c r="H4631" s="2" t="s">
        <v>20743</v>
      </c>
      <c r="I4631" s="2" t="s">
        <v>20744</v>
      </c>
      <c r="K4631" s="2" t="s">
        <v>13593</v>
      </c>
      <c r="L4631" s="2" t="s">
        <v>208</v>
      </c>
      <c r="M4631" s="2">
        <v>32073.0</v>
      </c>
      <c r="N4631" s="2" t="s">
        <v>21</v>
      </c>
    </row>
    <row r="4632" ht="15.75" customHeight="1">
      <c r="A4632" s="2">
        <v>2015.0</v>
      </c>
      <c r="B4632" s="2" t="s">
        <v>20745</v>
      </c>
      <c r="C4632" s="2" t="s">
        <v>20746</v>
      </c>
      <c r="D4632" s="2" t="str">
        <f>"719-694-4179"</f>
        <v>719-694-4179</v>
      </c>
      <c r="E4632" s="2" t="s">
        <v>651</v>
      </c>
      <c r="F4632" s="2" t="s">
        <v>15730</v>
      </c>
      <c r="G4632" s="2" t="str">
        <f>"SR-6392"</f>
        <v>SR-6392</v>
      </c>
      <c r="H4632" s="2" t="s">
        <v>20747</v>
      </c>
      <c r="I4632" s="2" t="s">
        <v>20748</v>
      </c>
      <c r="K4632" s="2" t="s">
        <v>809</v>
      </c>
      <c r="L4632" s="2" t="s">
        <v>157</v>
      </c>
      <c r="M4632" s="2">
        <v>80920.0</v>
      </c>
      <c r="N4632" s="2" t="s">
        <v>21</v>
      </c>
    </row>
    <row r="4633" ht="15.75" customHeight="1">
      <c r="A4633" s="2">
        <v>2015.0</v>
      </c>
      <c r="B4633" s="2" t="s">
        <v>20749</v>
      </c>
      <c r="C4633" s="2" t="s">
        <v>20750</v>
      </c>
      <c r="D4633" s="2" t="str">
        <f>"2098638467"</f>
        <v>2098638467</v>
      </c>
      <c r="E4633" s="2" t="s">
        <v>843</v>
      </c>
      <c r="F4633" s="2" t="s">
        <v>16070</v>
      </c>
      <c r="G4633" s="2" t="str">
        <f>"SR-6307"</f>
        <v>SR-6307</v>
      </c>
      <c r="H4633" s="2" t="s">
        <v>20751</v>
      </c>
      <c r="I4633" s="2" t="s">
        <v>20752</v>
      </c>
      <c r="K4633" s="2" t="s">
        <v>20753</v>
      </c>
      <c r="L4633" s="2" t="s">
        <v>222</v>
      </c>
      <c r="M4633" s="2">
        <v>95367.0</v>
      </c>
      <c r="N4633" s="2" t="s">
        <v>21</v>
      </c>
    </row>
    <row r="4634" ht="15.75" customHeight="1">
      <c r="A4634" s="2">
        <v>2015.0</v>
      </c>
      <c r="B4634" s="2" t="s">
        <v>20754</v>
      </c>
      <c r="C4634" s="2" t="s">
        <v>20754</v>
      </c>
      <c r="D4634" s="2" t="str">
        <f>"(587) 991-2262"</f>
        <v>(587) 991-2262</v>
      </c>
      <c r="E4634" s="2" t="s">
        <v>2997</v>
      </c>
      <c r="F4634" s="2" t="s">
        <v>2998</v>
      </c>
      <c r="G4634" s="2" t="str">
        <f>"SR-6385"</f>
        <v>SR-6385</v>
      </c>
      <c r="H4634" s="2" t="s">
        <v>2999</v>
      </c>
      <c r="I4634" s="2" t="s">
        <v>20755</v>
      </c>
      <c r="K4634" s="2" t="s">
        <v>13836</v>
      </c>
      <c r="L4634" s="2" t="s">
        <v>2397</v>
      </c>
      <c r="M4634" s="2" t="s">
        <v>20756</v>
      </c>
      <c r="N4634" s="2" t="s">
        <v>1602</v>
      </c>
    </row>
    <row r="4635" ht="15.75" customHeight="1">
      <c r="A4635" s="2">
        <v>2015.0</v>
      </c>
      <c r="B4635" s="2" t="s">
        <v>20757</v>
      </c>
      <c r="C4635" s="2" t="s">
        <v>20758</v>
      </c>
      <c r="D4635" s="2" t="str">
        <f>"512-574-1657"</f>
        <v>512-574-1657</v>
      </c>
      <c r="E4635" s="2" t="s">
        <v>20759</v>
      </c>
      <c r="F4635" s="2" t="s">
        <v>20760</v>
      </c>
      <c r="G4635" s="2" t="str">
        <f>"SR-6388"</f>
        <v>SR-6388</v>
      </c>
      <c r="H4635" s="2" t="s">
        <v>20761</v>
      </c>
      <c r="I4635" s="2" t="s">
        <v>20762</v>
      </c>
      <c r="K4635" s="2" t="s">
        <v>13097</v>
      </c>
      <c r="L4635" s="2" t="s">
        <v>172</v>
      </c>
      <c r="M4635" s="2">
        <v>78660.0</v>
      </c>
      <c r="N4635" s="2" t="s">
        <v>21</v>
      </c>
    </row>
    <row r="4636" ht="15.75" customHeight="1">
      <c r="A4636" s="2">
        <v>2015.0</v>
      </c>
      <c r="B4636" s="2" t="s">
        <v>20763</v>
      </c>
      <c r="C4636" s="2" t="s">
        <v>20763</v>
      </c>
      <c r="D4636" s="2" t="str">
        <f>"805.479.4407"</f>
        <v>805.479.4407</v>
      </c>
      <c r="E4636" s="2" t="s">
        <v>282</v>
      </c>
      <c r="F4636" s="2" t="s">
        <v>12419</v>
      </c>
      <c r="G4636" s="2" t="str">
        <f>"SR-5784"</f>
        <v>SR-5784</v>
      </c>
      <c r="H4636" s="2" t="s">
        <v>20764</v>
      </c>
      <c r="I4636" s="2" t="s">
        <v>20765</v>
      </c>
      <c r="K4636" s="2" t="s">
        <v>1194</v>
      </c>
      <c r="L4636" s="2" t="s">
        <v>222</v>
      </c>
      <c r="M4636" s="2">
        <v>93065.0</v>
      </c>
      <c r="N4636" s="2" t="s">
        <v>21</v>
      </c>
    </row>
    <row r="4637" ht="15.75" customHeight="1">
      <c r="A4637" s="2">
        <v>2015.0</v>
      </c>
      <c r="B4637" s="2" t="s">
        <v>20757</v>
      </c>
      <c r="C4637" s="2" t="s">
        <v>20766</v>
      </c>
      <c r="D4637" s="2" t="str">
        <f>"512-574-1859"</f>
        <v>512-574-1859</v>
      </c>
      <c r="E4637" s="2" t="s">
        <v>20767</v>
      </c>
      <c r="F4637" s="2" t="s">
        <v>20760</v>
      </c>
      <c r="G4637" s="2" t="str">
        <f>"SR-6390"</f>
        <v>SR-6390</v>
      </c>
      <c r="H4637" s="2" t="s">
        <v>20768</v>
      </c>
      <c r="I4637" s="2" t="s">
        <v>20769</v>
      </c>
      <c r="K4637" s="2" t="s">
        <v>13097</v>
      </c>
      <c r="L4637" s="2" t="s">
        <v>172</v>
      </c>
      <c r="M4637" s="2">
        <v>78660.0</v>
      </c>
      <c r="N4637" s="2" t="s">
        <v>21</v>
      </c>
    </row>
    <row r="4638" ht="15.75" customHeight="1">
      <c r="A4638" s="2">
        <v>2015.0</v>
      </c>
      <c r="B4638" s="2" t="s">
        <v>4908</v>
      </c>
      <c r="C4638" s="2" t="s">
        <v>20770</v>
      </c>
      <c r="D4638" s="2" t="str">
        <f>"7025283141"</f>
        <v>7025283141</v>
      </c>
      <c r="E4638" s="2" t="s">
        <v>3434</v>
      </c>
      <c r="F4638" s="2" t="s">
        <v>4910</v>
      </c>
      <c r="G4638" s="2" t="str">
        <f>"SR-6354"</f>
        <v>SR-6354</v>
      </c>
      <c r="H4638" s="2" t="s">
        <v>20771</v>
      </c>
      <c r="I4638" s="2" t="s">
        <v>4912</v>
      </c>
      <c r="K4638" s="2" t="s">
        <v>4913</v>
      </c>
      <c r="L4638" s="2" t="s">
        <v>1419</v>
      </c>
      <c r="M4638" s="2">
        <v>89084.0</v>
      </c>
      <c r="N4638" s="2" t="s">
        <v>21</v>
      </c>
    </row>
    <row r="4639" ht="15.75" customHeight="1">
      <c r="A4639" s="2">
        <v>2015.0</v>
      </c>
      <c r="B4639" s="2" t="s">
        <v>20772</v>
      </c>
      <c r="C4639" s="2" t="s">
        <v>20773</v>
      </c>
      <c r="D4639" s="2" t="str">
        <f>"720 775 5461"</f>
        <v>720 775 5461</v>
      </c>
      <c r="E4639" s="2" t="s">
        <v>4115</v>
      </c>
      <c r="F4639" s="2" t="s">
        <v>20774</v>
      </c>
      <c r="G4639" s="2" t="str">
        <f>"SR-6391"</f>
        <v>SR-6391</v>
      </c>
      <c r="H4639" s="2" t="s">
        <v>20775</v>
      </c>
      <c r="I4639" s="2" t="s">
        <v>20776</v>
      </c>
      <c r="K4639" s="2" t="s">
        <v>1889</v>
      </c>
      <c r="L4639" s="2" t="s">
        <v>157</v>
      </c>
      <c r="M4639" s="2">
        <v>80124.0</v>
      </c>
      <c r="N4639" s="2" t="s">
        <v>21</v>
      </c>
    </row>
    <row r="4640" ht="15.75" customHeight="1">
      <c r="A4640" s="2">
        <v>2015.0</v>
      </c>
      <c r="B4640" s="2" t="s">
        <v>20777</v>
      </c>
      <c r="C4640" s="2" t="s">
        <v>20778</v>
      </c>
      <c r="D4640" s="2" t="str">
        <f>"5304011620"</f>
        <v>5304011620</v>
      </c>
      <c r="E4640" s="2" t="s">
        <v>20779</v>
      </c>
      <c r="F4640" s="2" t="s">
        <v>20780</v>
      </c>
      <c r="G4640" s="2" t="str">
        <f>"SR-6273"</f>
        <v>SR-6273</v>
      </c>
      <c r="H4640" s="2" t="s">
        <v>20781</v>
      </c>
      <c r="I4640" s="2" t="s">
        <v>20782</v>
      </c>
      <c r="K4640" s="2" t="s">
        <v>15823</v>
      </c>
      <c r="L4640" s="2" t="s">
        <v>222</v>
      </c>
      <c r="M4640" s="2">
        <v>95722.0</v>
      </c>
      <c r="N4640" s="2" t="s">
        <v>21</v>
      </c>
    </row>
    <row r="4641" ht="15.75" customHeight="1">
      <c r="A4641" s="2">
        <v>2015.0</v>
      </c>
      <c r="B4641" s="2" t="s">
        <v>20783</v>
      </c>
      <c r="C4641" s="2" t="s">
        <v>20784</v>
      </c>
      <c r="D4641" s="2" t="str">
        <f>"3103706668"</f>
        <v>3103706668</v>
      </c>
      <c r="E4641" s="2" t="s">
        <v>1094</v>
      </c>
      <c r="F4641" s="2" t="s">
        <v>2310</v>
      </c>
      <c r="G4641" s="2" t="str">
        <f>"SR-6397"</f>
        <v>SR-6397</v>
      </c>
      <c r="H4641" s="2" t="s">
        <v>20785</v>
      </c>
      <c r="I4641" s="2" t="s">
        <v>20786</v>
      </c>
      <c r="K4641" s="2" t="s">
        <v>5955</v>
      </c>
      <c r="L4641" s="2" t="s">
        <v>222</v>
      </c>
      <c r="M4641" s="2">
        <v>90503.0</v>
      </c>
      <c r="N4641" s="2" t="s">
        <v>21</v>
      </c>
    </row>
    <row r="4642" ht="15.75" customHeight="1">
      <c r="A4642" s="2">
        <v>2015.0</v>
      </c>
      <c r="B4642" s="2" t="s">
        <v>20787</v>
      </c>
      <c r="C4642" s="2" t="s">
        <v>20788</v>
      </c>
      <c r="D4642" s="2" t="str">
        <f>"2533473705"</f>
        <v>2533473705</v>
      </c>
      <c r="E4642" s="2" t="s">
        <v>2578</v>
      </c>
      <c r="F4642" s="2" t="s">
        <v>20789</v>
      </c>
      <c r="G4642" s="2" t="str">
        <f>"SR-6396"</f>
        <v>SR-6396</v>
      </c>
      <c r="H4642" s="2" t="s">
        <v>20790</v>
      </c>
      <c r="I4642" s="2" t="s">
        <v>20791</v>
      </c>
      <c r="K4642" s="2" t="s">
        <v>11995</v>
      </c>
      <c r="L4642" s="2" t="s">
        <v>86</v>
      </c>
      <c r="M4642" s="2">
        <v>98023.0</v>
      </c>
      <c r="N4642" s="2" t="s">
        <v>21</v>
      </c>
    </row>
    <row r="4643" ht="15.75" customHeight="1">
      <c r="A4643" s="2">
        <v>2015.0</v>
      </c>
      <c r="B4643" s="2" t="s">
        <v>20792</v>
      </c>
      <c r="C4643" s="2" t="s">
        <v>20793</v>
      </c>
      <c r="D4643" s="2" t="str">
        <f>"5627603966"</f>
        <v>5627603966</v>
      </c>
      <c r="E4643" s="2" t="s">
        <v>2760</v>
      </c>
      <c r="F4643" s="2" t="s">
        <v>4079</v>
      </c>
      <c r="G4643" s="2" t="str">
        <f>"SR-6399"</f>
        <v>SR-6399</v>
      </c>
      <c r="H4643" s="2" t="s">
        <v>20794</v>
      </c>
      <c r="I4643" s="2" t="s">
        <v>20795</v>
      </c>
      <c r="K4643" s="2" t="s">
        <v>20796</v>
      </c>
      <c r="L4643" s="2" t="s">
        <v>222</v>
      </c>
      <c r="M4643" s="2">
        <v>90720.0</v>
      </c>
      <c r="N4643" s="2" t="s">
        <v>21</v>
      </c>
    </row>
    <row r="4644" ht="15.75" customHeight="1">
      <c r="A4644" s="2">
        <v>2015.0</v>
      </c>
      <c r="B4644" s="2" t="s">
        <v>20797</v>
      </c>
      <c r="C4644" s="2" t="s">
        <v>20797</v>
      </c>
      <c r="D4644" s="2" t="str">
        <f>"817 565 2140"</f>
        <v>817 565 2140</v>
      </c>
      <c r="E4644" s="2" t="s">
        <v>339</v>
      </c>
      <c r="F4644" s="2" t="s">
        <v>20798</v>
      </c>
      <c r="G4644" s="2" t="str">
        <f>"SR-6398"</f>
        <v>SR-6398</v>
      </c>
      <c r="H4644" s="2" t="s">
        <v>20799</v>
      </c>
      <c r="I4644" s="2" t="s">
        <v>20800</v>
      </c>
      <c r="K4644" s="2" t="s">
        <v>5399</v>
      </c>
      <c r="L4644" s="2" t="s">
        <v>172</v>
      </c>
      <c r="M4644" s="2">
        <v>76021.0</v>
      </c>
      <c r="N4644" s="2" t="s">
        <v>21</v>
      </c>
    </row>
    <row r="4645" ht="15.75" customHeight="1">
      <c r="A4645" s="2">
        <v>2015.0</v>
      </c>
      <c r="B4645" s="2" t="s">
        <v>20792</v>
      </c>
      <c r="C4645" s="2" t="s">
        <v>20801</v>
      </c>
      <c r="D4645" s="2" t="str">
        <f>"5627603966"</f>
        <v>5627603966</v>
      </c>
      <c r="E4645" s="2" t="s">
        <v>20802</v>
      </c>
      <c r="F4645" s="2" t="s">
        <v>4079</v>
      </c>
      <c r="G4645" s="2" t="str">
        <f>"SR-6401"</f>
        <v>SR-6401</v>
      </c>
      <c r="H4645" s="2" t="s">
        <v>20803</v>
      </c>
      <c r="I4645" s="2" t="s">
        <v>20795</v>
      </c>
      <c r="K4645" s="2" t="s">
        <v>20796</v>
      </c>
      <c r="L4645" s="2" t="s">
        <v>222</v>
      </c>
      <c r="M4645" s="2">
        <v>90720.0</v>
      </c>
      <c r="N4645" s="2" t="s">
        <v>21</v>
      </c>
    </row>
    <row r="4646" ht="15.75" customHeight="1">
      <c r="A4646" s="2">
        <v>2015.0</v>
      </c>
      <c r="B4646" s="2" t="s">
        <v>13735</v>
      </c>
      <c r="C4646" s="2" t="s">
        <v>13736</v>
      </c>
      <c r="D4646" s="2" t="str">
        <f>"5629880403"</f>
        <v>5629880403</v>
      </c>
      <c r="E4646" s="2" t="s">
        <v>453</v>
      </c>
      <c r="F4646" s="2" t="s">
        <v>13737</v>
      </c>
      <c r="G4646" s="2" t="str">
        <f>"SR-3914"</f>
        <v>SR-3914</v>
      </c>
      <c r="H4646" s="2" t="s">
        <v>13738</v>
      </c>
      <c r="I4646" s="2" t="s">
        <v>13739</v>
      </c>
      <c r="K4646" s="2" t="s">
        <v>3950</v>
      </c>
      <c r="L4646" s="2" t="s">
        <v>222</v>
      </c>
      <c r="M4646" s="2">
        <v>90807.0</v>
      </c>
      <c r="N4646" s="2" t="s">
        <v>21</v>
      </c>
    </row>
    <row r="4647" ht="15.75" customHeight="1">
      <c r="A4647" s="2">
        <v>2015.0</v>
      </c>
      <c r="B4647" s="2" t="s">
        <v>20804</v>
      </c>
      <c r="C4647" s="2" t="s">
        <v>20804</v>
      </c>
      <c r="D4647" s="2" t="str">
        <f>"3103253167"</f>
        <v>3103253167</v>
      </c>
      <c r="E4647" s="2" t="s">
        <v>12551</v>
      </c>
      <c r="F4647" s="2" t="s">
        <v>20805</v>
      </c>
      <c r="G4647" s="2" t="str">
        <f>"SR-6400"</f>
        <v>SR-6400</v>
      </c>
      <c r="H4647" s="2" t="s">
        <v>20806</v>
      </c>
      <c r="I4647" s="2" t="s">
        <v>20807</v>
      </c>
      <c r="K4647" s="2" t="s">
        <v>20034</v>
      </c>
      <c r="L4647" s="2" t="s">
        <v>222</v>
      </c>
      <c r="M4647" s="2">
        <v>90717.0</v>
      </c>
      <c r="N4647" s="2" t="s">
        <v>21</v>
      </c>
    </row>
    <row r="4648" ht="15.75" customHeight="1">
      <c r="A4648" s="2">
        <v>2015.0</v>
      </c>
      <c r="B4648" s="2" t="s">
        <v>20808</v>
      </c>
      <c r="C4648" s="2" t="s">
        <v>20809</v>
      </c>
      <c r="D4648" s="2" t="str">
        <f>"+61-3-9877-1103"</f>
        <v>+61-3-9877-1103</v>
      </c>
      <c r="E4648" s="2" t="s">
        <v>250</v>
      </c>
      <c r="F4648" s="2" t="s">
        <v>20810</v>
      </c>
      <c r="G4648" s="2" t="str">
        <f>"SR-6404"</f>
        <v>SR-6404</v>
      </c>
      <c r="H4648" s="2" t="s">
        <v>20811</v>
      </c>
      <c r="I4648" s="2" t="s">
        <v>20812</v>
      </c>
      <c r="K4648" s="2" t="s">
        <v>20813</v>
      </c>
      <c r="L4648" s="2" t="s">
        <v>1032</v>
      </c>
      <c r="M4648" s="2">
        <v>3130.0</v>
      </c>
      <c r="N4648" s="2" t="s">
        <v>4442</v>
      </c>
    </row>
    <row r="4649" ht="15.75" customHeight="1">
      <c r="A4649" s="2">
        <v>2015.0</v>
      </c>
      <c r="B4649" s="2" t="s">
        <v>20814</v>
      </c>
      <c r="C4649" s="2" t="s">
        <v>20815</v>
      </c>
      <c r="D4649" s="2" t="str">
        <f>"+86 18930062320"</f>
        <v>+86 18930062320</v>
      </c>
      <c r="E4649" s="2" t="s">
        <v>5548</v>
      </c>
      <c r="F4649" s="2" t="s">
        <v>20816</v>
      </c>
      <c r="G4649" s="2" t="str">
        <f>"SR-5836"</f>
        <v>SR-5836</v>
      </c>
      <c r="H4649" s="2" t="s">
        <v>20817</v>
      </c>
      <c r="I4649" s="2" t="s">
        <v>20818</v>
      </c>
      <c r="J4649" s="2" t="s">
        <v>20819</v>
      </c>
      <c r="K4649" s="2" t="s">
        <v>20820</v>
      </c>
      <c r="M4649" s="2">
        <v>201802.0</v>
      </c>
      <c r="N4649" s="2" t="s">
        <v>20821</v>
      </c>
    </row>
    <row r="4650" ht="15.75" customHeight="1">
      <c r="A4650" s="2">
        <v>2015.0</v>
      </c>
      <c r="B4650" s="2" t="s">
        <v>20822</v>
      </c>
      <c r="C4650" s="2" t="s">
        <v>10368</v>
      </c>
      <c r="D4650" s="2" t="str">
        <f>"813-789-7928"</f>
        <v>813-789-7928</v>
      </c>
      <c r="E4650" s="2" t="s">
        <v>1585</v>
      </c>
      <c r="F4650" s="2" t="s">
        <v>690</v>
      </c>
      <c r="G4650" s="2" t="str">
        <f>"SR-6410"</f>
        <v>SR-6410</v>
      </c>
      <c r="H4650" s="2" t="s">
        <v>10369</v>
      </c>
      <c r="I4650" s="2" t="s">
        <v>10370</v>
      </c>
      <c r="K4650" s="2" t="s">
        <v>1576</v>
      </c>
      <c r="L4650" s="2" t="s">
        <v>208</v>
      </c>
      <c r="M4650" s="2">
        <v>33566.0</v>
      </c>
      <c r="N4650" s="2" t="s">
        <v>21</v>
      </c>
    </row>
    <row r="4651" ht="15.75" customHeight="1">
      <c r="A4651" s="2">
        <v>2015.0</v>
      </c>
      <c r="B4651" s="2" t="s">
        <v>7967</v>
      </c>
      <c r="C4651" s="2" t="s">
        <v>20823</v>
      </c>
      <c r="D4651" s="2" t="str">
        <f>"804-779-2049"</f>
        <v>804-779-2049</v>
      </c>
      <c r="E4651" s="2" t="s">
        <v>261</v>
      </c>
      <c r="F4651" s="2" t="s">
        <v>863</v>
      </c>
      <c r="G4651" s="2" t="str">
        <f>"SR-6412"</f>
        <v>SR-6412</v>
      </c>
      <c r="H4651" s="2" t="s">
        <v>20824</v>
      </c>
      <c r="I4651" s="2" t="s">
        <v>7970</v>
      </c>
      <c r="K4651" s="2" t="s">
        <v>7971</v>
      </c>
      <c r="L4651" s="2" t="s">
        <v>165</v>
      </c>
      <c r="M4651" s="2">
        <v>23111.0</v>
      </c>
      <c r="N4651" s="2" t="s">
        <v>21</v>
      </c>
    </row>
    <row r="4652" ht="15.75" customHeight="1">
      <c r="A4652" s="2">
        <v>2015.0</v>
      </c>
      <c r="B4652" s="2" t="s">
        <v>20825</v>
      </c>
      <c r="C4652" s="2" t="s">
        <v>20826</v>
      </c>
      <c r="D4652" s="2" t="str">
        <f>"410-350-5115"</f>
        <v>410-350-5115</v>
      </c>
      <c r="E4652" s="2" t="s">
        <v>2361</v>
      </c>
      <c r="F4652" s="2" t="s">
        <v>20827</v>
      </c>
      <c r="G4652" s="2" t="str">
        <f>"SR-6039"</f>
        <v>SR-6039</v>
      </c>
      <c r="H4652" s="2" t="s">
        <v>20828</v>
      </c>
      <c r="I4652" s="2" t="s">
        <v>20829</v>
      </c>
      <c r="K4652" s="2" t="s">
        <v>20830</v>
      </c>
      <c r="L4652" s="2" t="s">
        <v>1868</v>
      </c>
      <c r="M4652" s="2">
        <v>21236.0</v>
      </c>
      <c r="N4652" s="2" t="s">
        <v>21</v>
      </c>
    </row>
    <row r="4653" ht="15.75" customHeight="1">
      <c r="A4653" s="2">
        <v>2015.0</v>
      </c>
      <c r="B4653" s="2" t="s">
        <v>20831</v>
      </c>
      <c r="C4653" s="2" t="s">
        <v>20832</v>
      </c>
      <c r="D4653" s="2" t="str">
        <f>"715-506-0016"</f>
        <v>715-506-0016</v>
      </c>
      <c r="E4653" s="2" t="s">
        <v>100</v>
      </c>
      <c r="F4653" s="2" t="s">
        <v>20833</v>
      </c>
      <c r="G4653" s="2" t="str">
        <f>"SR-6031"</f>
        <v>SR-6031</v>
      </c>
      <c r="H4653" s="2" t="s">
        <v>20834</v>
      </c>
      <c r="I4653" s="2" t="s">
        <v>20835</v>
      </c>
      <c r="K4653" s="2" t="s">
        <v>669</v>
      </c>
      <c r="L4653" s="2" t="s">
        <v>193</v>
      </c>
      <c r="M4653" s="2">
        <v>54449.0</v>
      </c>
      <c r="N4653" s="2" t="s">
        <v>21</v>
      </c>
    </row>
    <row r="4654" ht="15.75" customHeight="1">
      <c r="A4654" s="2">
        <v>2015.0</v>
      </c>
      <c r="B4654" s="2" t="s">
        <v>20836</v>
      </c>
      <c r="C4654" s="2" t="s">
        <v>20836</v>
      </c>
      <c r="D4654" s="2" t="str">
        <f>"7049187106"</f>
        <v>7049187106</v>
      </c>
      <c r="E4654" s="2" t="s">
        <v>385</v>
      </c>
      <c r="F4654" s="2" t="s">
        <v>5025</v>
      </c>
      <c r="G4654" s="2" t="str">
        <f>"SR-6247"</f>
        <v>SR-6247</v>
      </c>
      <c r="H4654" s="2" t="s">
        <v>5026</v>
      </c>
      <c r="I4654" s="2" t="s">
        <v>20837</v>
      </c>
      <c r="K4654" s="2" t="s">
        <v>20500</v>
      </c>
      <c r="L4654" s="2" t="s">
        <v>29</v>
      </c>
      <c r="M4654" s="2">
        <v>49242.0</v>
      </c>
      <c r="N4654" s="2" t="s">
        <v>21</v>
      </c>
    </row>
    <row r="4655" ht="15.75" customHeight="1">
      <c r="A4655" s="2">
        <v>2015.0</v>
      </c>
      <c r="B4655" s="2" t="s">
        <v>20838</v>
      </c>
      <c r="C4655" s="2" t="s">
        <v>20839</v>
      </c>
      <c r="D4655" s="2" t="str">
        <f>"571-344-8384"</f>
        <v>571-344-8384</v>
      </c>
      <c r="E4655" s="2" t="s">
        <v>453</v>
      </c>
      <c r="F4655" s="2" t="s">
        <v>20840</v>
      </c>
      <c r="G4655" s="2" t="str">
        <f>"SR-6416"</f>
        <v>SR-6416</v>
      </c>
      <c r="H4655" s="2" t="s">
        <v>20841</v>
      </c>
      <c r="I4655" s="2" t="s">
        <v>20842</v>
      </c>
      <c r="K4655" s="2" t="s">
        <v>20843</v>
      </c>
      <c r="L4655" s="2" t="s">
        <v>165</v>
      </c>
      <c r="M4655" s="2">
        <v>20147.0</v>
      </c>
      <c r="N4655" s="2" t="s">
        <v>21</v>
      </c>
    </row>
    <row r="4656" ht="15.75" customHeight="1">
      <c r="A4656" s="2">
        <v>2015.0</v>
      </c>
      <c r="B4656" s="2" t="s">
        <v>20844</v>
      </c>
      <c r="C4656" s="2" t="s">
        <v>20845</v>
      </c>
      <c r="D4656" s="2" t="str">
        <f>"6152861589"</f>
        <v>6152861589</v>
      </c>
      <c r="E4656" s="2" t="s">
        <v>3342</v>
      </c>
      <c r="F4656" s="2" t="s">
        <v>3283</v>
      </c>
      <c r="G4656" s="2" t="str">
        <f>"SR-6417"</f>
        <v>SR-6417</v>
      </c>
      <c r="H4656" s="2" t="s">
        <v>20846</v>
      </c>
      <c r="I4656" s="2" t="s">
        <v>20847</v>
      </c>
      <c r="K4656" s="2" t="s">
        <v>20848</v>
      </c>
      <c r="L4656" s="2" t="s">
        <v>279</v>
      </c>
      <c r="M4656" s="2">
        <v>37085.0</v>
      </c>
      <c r="N4656" s="2" t="s">
        <v>21</v>
      </c>
    </row>
    <row r="4657" ht="15.75" customHeight="1">
      <c r="A4657" s="2">
        <v>2015.0</v>
      </c>
      <c r="B4657" s="2" t="s">
        <v>20849</v>
      </c>
      <c r="C4657" s="2" t="s">
        <v>20850</v>
      </c>
      <c r="D4657" s="2" t="str">
        <f>"(561) 358-8377"</f>
        <v>(561) 358-8377</v>
      </c>
      <c r="E4657" s="2" t="s">
        <v>705</v>
      </c>
      <c r="F4657" s="2" t="s">
        <v>31</v>
      </c>
      <c r="G4657" s="2" t="str">
        <f>"SR-6414"</f>
        <v>SR-6414</v>
      </c>
      <c r="H4657" s="2" t="s">
        <v>20851</v>
      </c>
      <c r="I4657" s="2" t="s">
        <v>20852</v>
      </c>
      <c r="K4657" s="2" t="s">
        <v>7012</v>
      </c>
      <c r="L4657" s="2" t="s">
        <v>200</v>
      </c>
      <c r="M4657" s="2">
        <v>30005.0</v>
      </c>
      <c r="N4657" s="2" t="s">
        <v>21</v>
      </c>
    </row>
    <row r="4658" ht="15.75" customHeight="1">
      <c r="A4658" s="2">
        <v>2015.0</v>
      </c>
      <c r="B4658" s="2" t="s">
        <v>20849</v>
      </c>
      <c r="C4658" s="2" t="s">
        <v>20853</v>
      </c>
      <c r="D4658" s="2" t="str">
        <f>"(717) 472-1921"</f>
        <v>(717) 472-1921</v>
      </c>
      <c r="E4658" s="2" t="s">
        <v>3434</v>
      </c>
      <c r="F4658" s="2" t="s">
        <v>20854</v>
      </c>
      <c r="G4658" s="2" t="str">
        <f>"SR-6422"</f>
        <v>SR-6422</v>
      </c>
      <c r="H4658" s="2" t="s">
        <v>20855</v>
      </c>
      <c r="I4658" s="2" t="s">
        <v>20856</v>
      </c>
      <c r="K4658" s="2" t="s">
        <v>10322</v>
      </c>
      <c r="L4658" s="2" t="s">
        <v>179</v>
      </c>
      <c r="M4658" s="2">
        <v>30005.0</v>
      </c>
      <c r="N4658" s="2" t="s">
        <v>21</v>
      </c>
    </row>
    <row r="4659" ht="15.75" customHeight="1">
      <c r="A4659" s="2">
        <v>2015.0</v>
      </c>
      <c r="B4659" s="2" t="s">
        <v>20857</v>
      </c>
      <c r="C4659" s="2" t="s">
        <v>20858</v>
      </c>
      <c r="D4659" s="2" t="str">
        <f>"(863) 529-5480"</f>
        <v>(863) 529-5480</v>
      </c>
      <c r="E4659" s="2" t="s">
        <v>824</v>
      </c>
      <c r="F4659" s="2" t="s">
        <v>1756</v>
      </c>
      <c r="G4659" s="2" t="str">
        <f>"SR-6420"</f>
        <v>SR-6420</v>
      </c>
      <c r="H4659" s="2" t="s">
        <v>20859</v>
      </c>
      <c r="I4659" s="2" t="s">
        <v>20860</v>
      </c>
      <c r="K4659" s="2" t="s">
        <v>1570</v>
      </c>
      <c r="L4659" s="2" t="s">
        <v>208</v>
      </c>
      <c r="M4659" s="2">
        <v>33811.0</v>
      </c>
      <c r="N4659" s="2" t="s">
        <v>21</v>
      </c>
    </row>
    <row r="4660" ht="15.75" customHeight="1">
      <c r="A4660" s="2">
        <v>2015.0</v>
      </c>
      <c r="B4660" s="2" t="s">
        <v>20861</v>
      </c>
      <c r="C4660" s="2" t="s">
        <v>20861</v>
      </c>
      <c r="D4660" s="2" t="str">
        <f>"806-786-7788"</f>
        <v>806-786-7788</v>
      </c>
      <c r="E4660" s="2" t="s">
        <v>20862</v>
      </c>
      <c r="F4660" s="2" t="s">
        <v>89</v>
      </c>
      <c r="G4660" s="2" t="str">
        <f>"SR-5481"</f>
        <v>SR-5481</v>
      </c>
      <c r="H4660" s="2" t="s">
        <v>20863</v>
      </c>
      <c r="I4660" s="2" t="s">
        <v>20864</v>
      </c>
      <c r="K4660" s="2" t="s">
        <v>1121</v>
      </c>
      <c r="L4660" s="2" t="s">
        <v>172</v>
      </c>
      <c r="M4660" s="2">
        <v>79413.0</v>
      </c>
      <c r="N4660" s="2" t="s">
        <v>21</v>
      </c>
    </row>
    <row r="4661" ht="15.75" customHeight="1">
      <c r="A4661" s="2">
        <v>2015.0</v>
      </c>
      <c r="B4661" s="2" t="s">
        <v>15366</v>
      </c>
      <c r="C4661" s="2" t="s">
        <v>15367</v>
      </c>
      <c r="D4661" s="2" t="str">
        <f>"774-573-4658"</f>
        <v>774-573-4658</v>
      </c>
      <c r="E4661" s="2" t="s">
        <v>1450</v>
      </c>
      <c r="F4661" s="2" t="s">
        <v>15368</v>
      </c>
      <c r="G4661" s="2" t="str">
        <f>"SR-4154"</f>
        <v>SR-4154</v>
      </c>
      <c r="H4661" s="2" t="s">
        <v>15369</v>
      </c>
      <c r="I4661" s="2" t="s">
        <v>15370</v>
      </c>
      <c r="K4661" s="2" t="s">
        <v>15371</v>
      </c>
      <c r="L4661" s="2" t="s">
        <v>4108</v>
      </c>
      <c r="M4661" s="2">
        <v>1747.0</v>
      </c>
      <c r="N4661" s="2" t="s">
        <v>21</v>
      </c>
    </row>
    <row r="4662" ht="15.75" customHeight="1">
      <c r="A4662" s="2">
        <v>2015.0</v>
      </c>
      <c r="B4662" s="2" t="s">
        <v>20713</v>
      </c>
      <c r="D4662" s="2" t="str">
        <f>""</f>
        <v/>
      </c>
      <c r="E4662" s="2" t="s">
        <v>6121</v>
      </c>
      <c r="F4662" s="2" t="s">
        <v>20716</v>
      </c>
      <c r="G4662" s="2" t="str">
        <f>"SR-6066"</f>
        <v>SR-6066</v>
      </c>
      <c r="H4662" s="2" t="s">
        <v>20865</v>
      </c>
      <c r="N4662" s="2" t="s">
        <v>21</v>
      </c>
    </row>
    <row r="4663" ht="15.75" customHeight="1">
      <c r="A4663" s="2">
        <v>2015.0</v>
      </c>
      <c r="B4663" s="2" t="s">
        <v>20866</v>
      </c>
      <c r="C4663" s="2" t="s">
        <v>20866</v>
      </c>
      <c r="D4663" s="2" t="str">
        <f>"405 256 0633"</f>
        <v>405 256 0633</v>
      </c>
      <c r="E4663" s="2" t="s">
        <v>1529</v>
      </c>
      <c r="F4663" s="2" t="s">
        <v>5365</v>
      </c>
      <c r="G4663" s="2" t="str">
        <f>"SR-6343"</f>
        <v>SR-6343</v>
      </c>
      <c r="H4663" s="2" t="s">
        <v>20867</v>
      </c>
      <c r="I4663" s="2" t="s">
        <v>20868</v>
      </c>
      <c r="K4663" s="2" t="s">
        <v>6622</v>
      </c>
      <c r="L4663" s="2" t="s">
        <v>840</v>
      </c>
      <c r="M4663" s="2">
        <v>73118.0</v>
      </c>
      <c r="N4663" s="2" t="s">
        <v>21</v>
      </c>
    </row>
    <row r="4664" ht="15.75" customHeight="1">
      <c r="A4664" s="2">
        <v>2015.0</v>
      </c>
      <c r="B4664" s="2" t="s">
        <v>13885</v>
      </c>
      <c r="C4664" s="2" t="s">
        <v>13886</v>
      </c>
      <c r="D4664" s="2" t="str">
        <f>"(909) 913-4117"</f>
        <v>(909) 913-4117</v>
      </c>
      <c r="E4664" s="2" t="s">
        <v>261</v>
      </c>
      <c r="F4664" s="2" t="s">
        <v>962</v>
      </c>
      <c r="G4664" s="2" t="str">
        <f>"SR-3965"</f>
        <v>SR-3965</v>
      </c>
      <c r="H4664" s="2" t="s">
        <v>13887</v>
      </c>
      <c r="I4664" s="2" t="s">
        <v>13888</v>
      </c>
      <c r="K4664" s="2" t="s">
        <v>13889</v>
      </c>
      <c r="L4664" s="2" t="s">
        <v>222</v>
      </c>
      <c r="M4664" s="2">
        <v>92373.0</v>
      </c>
      <c r="N4664" s="2" t="s">
        <v>21</v>
      </c>
    </row>
    <row r="4665" ht="15.75" customHeight="1">
      <c r="A4665" s="2">
        <v>2015.0</v>
      </c>
      <c r="B4665" s="2" t="s">
        <v>20869</v>
      </c>
      <c r="D4665" s="2" t="str">
        <f>""</f>
        <v/>
      </c>
      <c r="E4665" s="2" t="s">
        <v>7476</v>
      </c>
      <c r="F4665" s="2" t="s">
        <v>20870</v>
      </c>
      <c r="G4665" s="2" t="str">
        <f>"SR-6419"</f>
        <v>SR-6419</v>
      </c>
      <c r="H4665" s="2" t="s">
        <v>20871</v>
      </c>
      <c r="N4665" s="2" t="s">
        <v>21</v>
      </c>
    </row>
    <row r="4666" ht="15.75" customHeight="1">
      <c r="A4666" s="2">
        <v>2015.0</v>
      </c>
      <c r="B4666" s="2" t="s">
        <v>15692</v>
      </c>
      <c r="C4666" s="2" t="s">
        <v>15692</v>
      </c>
      <c r="D4666" s="2" t="str">
        <f>"309-678-7652"</f>
        <v>309-678-7652</v>
      </c>
      <c r="E4666" s="2" t="s">
        <v>6718</v>
      </c>
      <c r="F4666" s="2" t="s">
        <v>15693</v>
      </c>
      <c r="G4666" s="2" t="str">
        <f>"SR-6424"</f>
        <v>SR-6424</v>
      </c>
      <c r="H4666" s="2" t="s">
        <v>20872</v>
      </c>
      <c r="I4666" s="2" t="s">
        <v>20873</v>
      </c>
      <c r="K4666" s="2" t="s">
        <v>9237</v>
      </c>
      <c r="L4666" s="2" t="s">
        <v>105</v>
      </c>
      <c r="M4666" s="2">
        <v>61570.0</v>
      </c>
      <c r="N4666" s="2" t="s">
        <v>21</v>
      </c>
    </row>
    <row r="4667" ht="15.75" customHeight="1">
      <c r="A4667" s="2">
        <v>2015.0</v>
      </c>
      <c r="B4667" s="2" t="s">
        <v>20874</v>
      </c>
      <c r="C4667" s="2" t="s">
        <v>20875</v>
      </c>
      <c r="D4667" s="2" t="str">
        <f>"9793240030"</f>
        <v>9793240030</v>
      </c>
      <c r="E4667" s="2" t="s">
        <v>456</v>
      </c>
      <c r="F4667" s="2" t="s">
        <v>20876</v>
      </c>
      <c r="G4667" s="2" t="str">
        <f>"SR-5997"</f>
        <v>SR-5997</v>
      </c>
      <c r="H4667" s="2" t="s">
        <v>20877</v>
      </c>
      <c r="I4667" s="2" t="s">
        <v>20878</v>
      </c>
      <c r="K4667" s="2" t="s">
        <v>20879</v>
      </c>
      <c r="L4667" s="2" t="s">
        <v>172</v>
      </c>
      <c r="M4667" s="2">
        <v>77845.0</v>
      </c>
      <c r="N4667" s="2" t="s">
        <v>21</v>
      </c>
    </row>
    <row r="4668" ht="15.75" customHeight="1">
      <c r="A4668" s="2">
        <v>2015.0</v>
      </c>
      <c r="B4668" s="2" t="s">
        <v>20880</v>
      </c>
      <c r="C4668" s="2" t="s">
        <v>20881</v>
      </c>
      <c r="D4668" s="2" t="str">
        <f>"8063922151"</f>
        <v>8063922151</v>
      </c>
      <c r="E4668" s="2" t="s">
        <v>20882</v>
      </c>
      <c r="F4668" s="2" t="s">
        <v>20883</v>
      </c>
      <c r="G4668" s="2" t="str">
        <f>"SR-6408"</f>
        <v>SR-6408</v>
      </c>
      <c r="H4668" s="2" t="s">
        <v>20884</v>
      </c>
      <c r="I4668" s="2" t="s">
        <v>20885</v>
      </c>
      <c r="K4668" s="2" t="s">
        <v>20886</v>
      </c>
      <c r="L4668" s="2" t="s">
        <v>172</v>
      </c>
      <c r="M4668" s="2">
        <v>79235.0</v>
      </c>
      <c r="N4668" s="2" t="s">
        <v>21</v>
      </c>
    </row>
    <row r="4669" ht="15.75" customHeight="1">
      <c r="A4669" s="2">
        <v>2015.0</v>
      </c>
      <c r="B4669" s="2" t="s">
        <v>20887</v>
      </c>
      <c r="C4669" s="2" t="s">
        <v>20888</v>
      </c>
      <c r="D4669" s="2" t="str">
        <f>"501-834-0492"</f>
        <v>501-834-0492</v>
      </c>
      <c r="E4669" s="2" t="s">
        <v>250</v>
      </c>
      <c r="F4669" s="2" t="s">
        <v>16962</v>
      </c>
      <c r="G4669" s="2" t="str">
        <f>"SR-6426"</f>
        <v>SR-6426</v>
      </c>
      <c r="H4669" s="2" t="s">
        <v>20889</v>
      </c>
      <c r="I4669" s="2" t="s">
        <v>20890</v>
      </c>
      <c r="K4669" s="2" t="s">
        <v>20891</v>
      </c>
      <c r="L4669" s="2" t="s">
        <v>1012</v>
      </c>
      <c r="M4669" s="2">
        <v>72120.0</v>
      </c>
      <c r="N4669" s="2" t="s">
        <v>21</v>
      </c>
    </row>
    <row r="4670" ht="15.75" customHeight="1">
      <c r="A4670" s="2">
        <v>2015.0</v>
      </c>
      <c r="B4670" s="2" t="s">
        <v>20892</v>
      </c>
      <c r="C4670" s="2" t="s">
        <v>20893</v>
      </c>
      <c r="D4670" s="2" t="str">
        <f>"972-832-9606"</f>
        <v>972-832-9606</v>
      </c>
      <c r="E4670" s="2" t="s">
        <v>1548</v>
      </c>
      <c r="F4670" s="2" t="s">
        <v>2378</v>
      </c>
      <c r="G4670" s="2" t="str">
        <f>"SR-4026"</f>
        <v>SR-4026</v>
      </c>
      <c r="H4670" s="2" t="s">
        <v>20894</v>
      </c>
      <c r="I4670" s="2" t="s">
        <v>20895</v>
      </c>
      <c r="K4670" s="2" t="s">
        <v>615</v>
      </c>
      <c r="L4670" s="2" t="s">
        <v>172</v>
      </c>
      <c r="M4670" s="2">
        <v>75071.0</v>
      </c>
      <c r="N4670" s="2" t="s">
        <v>21</v>
      </c>
    </row>
    <row r="4671" ht="15.75" customHeight="1">
      <c r="A4671" s="2">
        <v>2015.0</v>
      </c>
      <c r="B4671" s="2" t="s">
        <v>20896</v>
      </c>
      <c r="C4671" s="2" t="s">
        <v>20897</v>
      </c>
      <c r="D4671" s="2" t="str">
        <f>"713-515-3560"</f>
        <v>713-515-3560</v>
      </c>
      <c r="E4671" s="2" t="s">
        <v>718</v>
      </c>
      <c r="F4671" s="2" t="s">
        <v>7702</v>
      </c>
      <c r="G4671" s="2" t="str">
        <f>"SR-6423"</f>
        <v>SR-6423</v>
      </c>
      <c r="H4671" s="2" t="s">
        <v>20898</v>
      </c>
      <c r="I4671" s="2" t="s">
        <v>20899</v>
      </c>
      <c r="K4671" s="2" t="s">
        <v>3548</v>
      </c>
      <c r="L4671" s="2" t="s">
        <v>2696</v>
      </c>
      <c r="M4671" s="2">
        <v>59105.0</v>
      </c>
      <c r="N4671" s="2" t="s">
        <v>21</v>
      </c>
    </row>
    <row r="4672" ht="15.75" customHeight="1">
      <c r="A4672" s="2">
        <v>2015.0</v>
      </c>
      <c r="B4672" s="2" t="s">
        <v>20900</v>
      </c>
      <c r="C4672" s="2" t="s">
        <v>20900</v>
      </c>
      <c r="D4672" s="2" t="str">
        <f>"7153387800"</f>
        <v>7153387800</v>
      </c>
      <c r="E4672" s="2" t="s">
        <v>1022</v>
      </c>
      <c r="F4672" s="2" t="s">
        <v>20901</v>
      </c>
      <c r="G4672" s="2" t="str">
        <f>"SR-6425"</f>
        <v>SR-6425</v>
      </c>
      <c r="H4672" s="2" t="s">
        <v>20902</v>
      </c>
      <c r="I4672" s="2" t="s">
        <v>20903</v>
      </c>
      <c r="K4672" s="2" t="s">
        <v>20904</v>
      </c>
      <c r="L4672" s="2" t="s">
        <v>193</v>
      </c>
      <c r="M4672" s="2">
        <v>54026.0</v>
      </c>
      <c r="N4672" s="2" t="s">
        <v>21</v>
      </c>
    </row>
    <row r="4673" ht="15.75" customHeight="1">
      <c r="A4673" s="2">
        <v>2015.0</v>
      </c>
      <c r="B4673" s="2" t="s">
        <v>20905</v>
      </c>
      <c r="C4673" s="2" t="s">
        <v>20906</v>
      </c>
      <c r="D4673" s="2" t="str">
        <f>"3178589504"</f>
        <v>3178589504</v>
      </c>
      <c r="E4673" s="2" t="s">
        <v>5872</v>
      </c>
      <c r="F4673" s="2" t="s">
        <v>20907</v>
      </c>
      <c r="G4673" s="2" t="str">
        <f>"SR-6368"</f>
        <v>SR-6368</v>
      </c>
      <c r="H4673" s="2" t="s">
        <v>20908</v>
      </c>
      <c r="I4673" s="2" t="s">
        <v>20909</v>
      </c>
      <c r="K4673" s="2" t="s">
        <v>389</v>
      </c>
      <c r="L4673" s="2" t="s">
        <v>149</v>
      </c>
      <c r="M4673" s="2">
        <v>46112.0</v>
      </c>
      <c r="N4673" s="2" t="s">
        <v>21</v>
      </c>
    </row>
    <row r="4674" ht="15.75" customHeight="1">
      <c r="A4674" s="2">
        <v>2015.0</v>
      </c>
      <c r="B4674" s="2" t="s">
        <v>13885</v>
      </c>
      <c r="C4674" s="2" t="s">
        <v>13890</v>
      </c>
      <c r="D4674" s="2" t="str">
        <f>"(909) 446-8177"</f>
        <v>(909) 446-8177</v>
      </c>
      <c r="E4674" s="2" t="s">
        <v>580</v>
      </c>
      <c r="F4674" s="2" t="s">
        <v>962</v>
      </c>
      <c r="G4674" s="2" t="str">
        <f>"SR-3972"</f>
        <v>SR-3972</v>
      </c>
      <c r="H4674" s="2" t="s">
        <v>13891</v>
      </c>
      <c r="I4674" s="2" t="s">
        <v>13888</v>
      </c>
      <c r="K4674" s="2" t="s">
        <v>13889</v>
      </c>
      <c r="L4674" s="2" t="s">
        <v>222</v>
      </c>
      <c r="M4674" s="2">
        <v>92373.0</v>
      </c>
      <c r="N4674" s="2" t="s">
        <v>21</v>
      </c>
    </row>
    <row r="4675" ht="15.75" customHeight="1">
      <c r="A4675" s="2">
        <v>2015.0</v>
      </c>
      <c r="B4675" s="2" t="s">
        <v>20910</v>
      </c>
      <c r="C4675" s="2" t="s">
        <v>20910</v>
      </c>
      <c r="D4675" s="2" t="str">
        <f>"9727656548"</f>
        <v>9727656548</v>
      </c>
      <c r="E4675" s="2" t="s">
        <v>696</v>
      </c>
      <c r="F4675" s="2" t="s">
        <v>1702</v>
      </c>
      <c r="G4675" s="2" t="str">
        <f>"SR-5927"</f>
        <v>SR-5927</v>
      </c>
      <c r="H4675" s="2" t="s">
        <v>20911</v>
      </c>
      <c r="I4675" s="2" t="s">
        <v>20912</v>
      </c>
      <c r="K4675" s="2" t="s">
        <v>3677</v>
      </c>
      <c r="L4675" s="2" t="s">
        <v>172</v>
      </c>
      <c r="M4675" s="2">
        <v>75167.0</v>
      </c>
      <c r="N4675" s="2" t="s">
        <v>21</v>
      </c>
    </row>
    <row r="4676" ht="15.75" customHeight="1">
      <c r="A4676" s="2">
        <v>2015.0</v>
      </c>
      <c r="B4676" s="2" t="s">
        <v>20913</v>
      </c>
      <c r="C4676" s="2" t="s">
        <v>20913</v>
      </c>
      <c r="D4676" s="2" t="str">
        <f>"(540) 591-9066"</f>
        <v>(540) 591-9066</v>
      </c>
      <c r="E4676" s="2" t="s">
        <v>3037</v>
      </c>
      <c r="F4676" s="2" t="s">
        <v>984</v>
      </c>
      <c r="G4676" s="2" t="str">
        <f>"SR-6025"</f>
        <v>SR-6025</v>
      </c>
      <c r="H4676" s="2" t="s">
        <v>20914</v>
      </c>
      <c r="I4676" s="2" t="s">
        <v>20915</v>
      </c>
      <c r="K4676" s="2" t="s">
        <v>20916</v>
      </c>
      <c r="L4676" s="2" t="s">
        <v>165</v>
      </c>
      <c r="M4676" s="2">
        <v>24090.0</v>
      </c>
      <c r="N4676" s="2" t="s">
        <v>21</v>
      </c>
    </row>
    <row r="4677" ht="15.75" customHeight="1">
      <c r="A4677" s="2">
        <v>2015.0</v>
      </c>
      <c r="B4677" s="2" t="s">
        <v>20869</v>
      </c>
      <c r="C4677" s="2" t="s">
        <v>20869</v>
      </c>
      <c r="D4677" s="2" t="str">
        <f>"2602102045"</f>
        <v>2602102045</v>
      </c>
      <c r="E4677" s="2" t="s">
        <v>824</v>
      </c>
      <c r="F4677" s="2" t="s">
        <v>20870</v>
      </c>
      <c r="G4677" s="2" t="str">
        <f>"SR-6427"</f>
        <v>SR-6427</v>
      </c>
      <c r="H4677" s="2" t="s">
        <v>20917</v>
      </c>
      <c r="I4677" s="2" t="s">
        <v>20918</v>
      </c>
      <c r="K4677" s="2" t="s">
        <v>3925</v>
      </c>
      <c r="L4677" s="2" t="s">
        <v>149</v>
      </c>
      <c r="M4677" s="2">
        <v>46723.0</v>
      </c>
      <c r="N4677" s="2" t="s">
        <v>21</v>
      </c>
    </row>
    <row r="4678" ht="15.75" customHeight="1">
      <c r="A4678" s="2">
        <v>2015.0</v>
      </c>
      <c r="B4678" s="2" t="s">
        <v>20919</v>
      </c>
      <c r="C4678" s="2" t="s">
        <v>20919</v>
      </c>
      <c r="D4678" s="2" t="str">
        <f>"1-507-215-2656"</f>
        <v>1-507-215-2656</v>
      </c>
      <c r="E4678" s="2" t="s">
        <v>20920</v>
      </c>
      <c r="F4678" s="2" t="s">
        <v>20921</v>
      </c>
      <c r="G4678" s="2" t="str">
        <f>"SR-5705"</f>
        <v>SR-5705</v>
      </c>
      <c r="H4678" s="2" t="s">
        <v>20922</v>
      </c>
      <c r="I4678" s="2" t="s">
        <v>20923</v>
      </c>
      <c r="K4678" s="2" t="s">
        <v>350</v>
      </c>
      <c r="L4678" s="2" t="s">
        <v>62</v>
      </c>
      <c r="M4678" s="2">
        <v>56164.0</v>
      </c>
      <c r="N4678" s="2" t="s">
        <v>21</v>
      </c>
    </row>
    <row r="4679" ht="15.75" customHeight="1">
      <c r="A4679" s="2">
        <v>2015.0</v>
      </c>
      <c r="B4679" s="2" t="s">
        <v>19231</v>
      </c>
      <c r="C4679" s="2" t="s">
        <v>20924</v>
      </c>
      <c r="D4679" s="2" t="str">
        <f>"719-495-9103"</f>
        <v>719-495-9103</v>
      </c>
      <c r="E4679" s="2" t="s">
        <v>862</v>
      </c>
      <c r="F4679" s="2" t="s">
        <v>19233</v>
      </c>
      <c r="G4679" s="2" t="str">
        <f>"SR-5981"</f>
        <v>SR-5981</v>
      </c>
      <c r="H4679" s="2" t="s">
        <v>20925</v>
      </c>
      <c r="I4679" s="2" t="s">
        <v>19235</v>
      </c>
      <c r="K4679" s="2" t="s">
        <v>809</v>
      </c>
      <c r="L4679" s="2" t="s">
        <v>157</v>
      </c>
      <c r="M4679" s="2">
        <v>80908.0</v>
      </c>
      <c r="N4679" s="2" t="s">
        <v>21</v>
      </c>
    </row>
    <row r="4680" ht="15.75" customHeight="1">
      <c r="A4680" s="2">
        <v>2015.0</v>
      </c>
      <c r="B4680" s="2" t="s">
        <v>20926</v>
      </c>
      <c r="C4680" s="2" t="s">
        <v>20926</v>
      </c>
      <c r="D4680" s="2" t="str">
        <f>"501-257-7109"</f>
        <v>501-257-7109</v>
      </c>
      <c r="E4680" s="2" t="s">
        <v>385</v>
      </c>
      <c r="F4680" s="2" t="s">
        <v>16962</v>
      </c>
      <c r="G4680" s="2" t="str">
        <f>"SR-6430"</f>
        <v>SR-6430</v>
      </c>
      <c r="H4680" s="2" t="s">
        <v>20927</v>
      </c>
      <c r="I4680" s="2" t="s">
        <v>20890</v>
      </c>
      <c r="K4680" s="2" t="s">
        <v>20891</v>
      </c>
      <c r="L4680" s="2" t="s">
        <v>1012</v>
      </c>
      <c r="M4680" s="2">
        <v>72120.0</v>
      </c>
      <c r="N4680" s="2" t="s">
        <v>21</v>
      </c>
    </row>
    <row r="4681" ht="15.75" customHeight="1">
      <c r="A4681" s="2">
        <v>2015.0</v>
      </c>
      <c r="B4681" s="2" t="s">
        <v>20928</v>
      </c>
      <c r="C4681" s="2" t="s">
        <v>20929</v>
      </c>
      <c r="D4681" s="2" t="str">
        <f>"770-546-5399"</f>
        <v>770-546-5399</v>
      </c>
      <c r="E4681" s="2" t="s">
        <v>1251</v>
      </c>
      <c r="F4681" s="2" t="s">
        <v>2078</v>
      </c>
      <c r="G4681" s="2" t="str">
        <f>"SR-6272"</f>
        <v>SR-6272</v>
      </c>
      <c r="H4681" s="2" t="s">
        <v>20930</v>
      </c>
      <c r="I4681" s="2" t="s">
        <v>20931</v>
      </c>
      <c r="K4681" s="2" t="s">
        <v>20932</v>
      </c>
      <c r="L4681" s="2" t="s">
        <v>200</v>
      </c>
      <c r="M4681" s="2">
        <v>30125.0</v>
      </c>
      <c r="N4681" s="2" t="s">
        <v>21</v>
      </c>
    </row>
    <row r="4682" ht="15.75" customHeight="1">
      <c r="A4682" s="2">
        <v>2015.0</v>
      </c>
      <c r="B4682" s="2" t="s">
        <v>20933</v>
      </c>
      <c r="C4682" s="2" t="s">
        <v>20934</v>
      </c>
      <c r="D4682" s="2" t="str">
        <f>"740-666-4062"</f>
        <v>740-666-4062</v>
      </c>
      <c r="E4682" s="2" t="s">
        <v>1135</v>
      </c>
      <c r="F4682" s="2" t="s">
        <v>7102</v>
      </c>
      <c r="G4682" s="2" t="str">
        <f>"SR-6436"</f>
        <v>SR-6436</v>
      </c>
      <c r="H4682" s="2" t="s">
        <v>20935</v>
      </c>
      <c r="I4682" s="2" t="s">
        <v>20936</v>
      </c>
      <c r="J4682" s="2" t="s">
        <v>20937</v>
      </c>
      <c r="K4682" s="2" t="s">
        <v>14781</v>
      </c>
      <c r="L4682" s="2" t="s">
        <v>344</v>
      </c>
      <c r="M4682" s="2">
        <v>43061.0</v>
      </c>
      <c r="N4682" s="2" t="s">
        <v>21</v>
      </c>
    </row>
    <row r="4683" ht="15.75" customHeight="1">
      <c r="A4683" s="2">
        <v>2015.0</v>
      </c>
      <c r="B4683" s="2" t="s">
        <v>20938</v>
      </c>
      <c r="C4683" s="2" t="s">
        <v>20939</v>
      </c>
      <c r="D4683" s="2" t="str">
        <f>"4234430751"</f>
        <v>4234430751</v>
      </c>
      <c r="E4683" s="2" t="s">
        <v>203</v>
      </c>
      <c r="F4683" s="2" t="s">
        <v>8255</v>
      </c>
      <c r="G4683" s="2" t="str">
        <f>"SR-6434"</f>
        <v>SR-6434</v>
      </c>
      <c r="H4683" s="2" t="s">
        <v>20940</v>
      </c>
      <c r="I4683" s="2" t="s">
        <v>20941</v>
      </c>
      <c r="K4683" s="2" t="s">
        <v>20942</v>
      </c>
      <c r="L4683" s="2" t="s">
        <v>279</v>
      </c>
      <c r="M4683" s="2">
        <v>37332.0</v>
      </c>
      <c r="N4683" s="2" t="s">
        <v>21</v>
      </c>
    </row>
    <row r="4684" ht="15.75" customHeight="1">
      <c r="A4684" s="2">
        <v>2015.0</v>
      </c>
      <c r="B4684" s="2" t="s">
        <v>20943</v>
      </c>
      <c r="C4684" s="2" t="s">
        <v>20944</v>
      </c>
      <c r="D4684" s="2" t="str">
        <f>"260-897-2254"</f>
        <v>260-897-2254</v>
      </c>
      <c r="E4684" s="2" t="s">
        <v>137</v>
      </c>
      <c r="F4684" s="2" t="s">
        <v>20945</v>
      </c>
      <c r="G4684" s="2" t="str">
        <f>"SR-6439"</f>
        <v>SR-6439</v>
      </c>
      <c r="H4684" s="2" t="s">
        <v>20946</v>
      </c>
      <c r="I4684" s="2" t="s">
        <v>20947</v>
      </c>
      <c r="K4684" s="2" t="s">
        <v>6994</v>
      </c>
      <c r="L4684" s="2" t="s">
        <v>149</v>
      </c>
      <c r="M4684" s="2">
        <v>46710.0</v>
      </c>
      <c r="N4684" s="2" t="s">
        <v>21</v>
      </c>
    </row>
    <row r="4685" ht="15.75" customHeight="1">
      <c r="A4685" s="2">
        <v>2015.0</v>
      </c>
      <c r="B4685" s="2" t="s">
        <v>14505</v>
      </c>
      <c r="C4685" s="2" t="s">
        <v>20948</v>
      </c>
      <c r="D4685" s="2" t="str">
        <f>"3109202785"</f>
        <v>3109202785</v>
      </c>
      <c r="E4685" s="2" t="s">
        <v>931</v>
      </c>
      <c r="F4685" s="2" t="s">
        <v>20949</v>
      </c>
      <c r="G4685" s="2" t="str">
        <f>"SR-4186"</f>
        <v>SR-4186</v>
      </c>
      <c r="H4685" s="2" t="s">
        <v>20950</v>
      </c>
      <c r="I4685" s="2" t="s">
        <v>14510</v>
      </c>
      <c r="K4685" s="2" t="s">
        <v>5955</v>
      </c>
      <c r="L4685" s="2" t="s">
        <v>222</v>
      </c>
      <c r="M4685" s="2">
        <v>90505.0</v>
      </c>
      <c r="N4685" s="2" t="s">
        <v>21</v>
      </c>
    </row>
    <row r="4686" ht="15.75" customHeight="1">
      <c r="A4686" s="2">
        <v>2015.0</v>
      </c>
      <c r="B4686" s="2" t="s">
        <v>20951</v>
      </c>
      <c r="C4686" s="2" t="s">
        <v>20951</v>
      </c>
      <c r="D4686" s="2" t="str">
        <f>"405.570.8586"</f>
        <v>405.570.8586</v>
      </c>
      <c r="E4686" s="2" t="s">
        <v>644</v>
      </c>
      <c r="F4686" s="2" t="s">
        <v>20952</v>
      </c>
      <c r="G4686" s="2" t="str">
        <f>"SR-6438"</f>
        <v>SR-6438</v>
      </c>
      <c r="H4686" s="2" t="s">
        <v>20953</v>
      </c>
      <c r="I4686" s="2" t="s">
        <v>20954</v>
      </c>
      <c r="K4686" s="2" t="s">
        <v>1546</v>
      </c>
      <c r="L4686" s="2" t="s">
        <v>840</v>
      </c>
      <c r="M4686" s="2">
        <v>73025.0</v>
      </c>
      <c r="N4686" s="2" t="s">
        <v>21</v>
      </c>
    </row>
    <row r="4687" ht="15.75" customHeight="1">
      <c r="A4687" s="2">
        <v>2015.0</v>
      </c>
      <c r="B4687" s="2" t="s">
        <v>20955</v>
      </c>
      <c r="C4687" s="2" t="s">
        <v>20956</v>
      </c>
      <c r="D4687" s="2" t="str">
        <f>"501-952-8782"</f>
        <v>501-952-8782</v>
      </c>
      <c r="E4687" s="2" t="s">
        <v>1946</v>
      </c>
      <c r="F4687" s="2" t="s">
        <v>20957</v>
      </c>
      <c r="G4687" s="2" t="str">
        <f>"SR-6301"</f>
        <v>SR-6301</v>
      </c>
      <c r="H4687" s="2" t="s">
        <v>20958</v>
      </c>
      <c r="I4687" s="2" t="s">
        <v>20959</v>
      </c>
      <c r="K4687" s="2" t="s">
        <v>13103</v>
      </c>
      <c r="L4687" s="2" t="s">
        <v>1012</v>
      </c>
      <c r="M4687" s="2">
        <v>72847.0</v>
      </c>
      <c r="N4687" s="2" t="s">
        <v>21</v>
      </c>
    </row>
    <row r="4688" ht="15.75" customHeight="1">
      <c r="A4688" s="2">
        <v>2015.0</v>
      </c>
      <c r="B4688" s="2" t="s">
        <v>20960</v>
      </c>
      <c r="C4688" s="2" t="s">
        <v>20961</v>
      </c>
      <c r="D4688" s="2" t="str">
        <f>"479-699-4612"</f>
        <v>479-699-4612</v>
      </c>
      <c r="E4688" s="2" t="s">
        <v>20962</v>
      </c>
      <c r="F4688" s="2" t="s">
        <v>5637</v>
      </c>
      <c r="G4688" s="2" t="str">
        <f>"SR-6304"</f>
        <v>SR-6304</v>
      </c>
      <c r="H4688" s="2" t="s">
        <v>20963</v>
      </c>
      <c r="I4688" s="2" t="s">
        <v>20964</v>
      </c>
      <c r="K4688" s="2" t="s">
        <v>20965</v>
      </c>
      <c r="L4688" s="2" t="s">
        <v>1012</v>
      </c>
      <c r="M4688" s="2">
        <v>72802.0</v>
      </c>
      <c r="N4688" s="2" t="s">
        <v>21</v>
      </c>
    </row>
    <row r="4689" ht="15.75" customHeight="1">
      <c r="A4689" s="2">
        <v>2015.0</v>
      </c>
      <c r="B4689" s="2" t="s">
        <v>20966</v>
      </c>
      <c r="D4689" s="2" t="str">
        <f>""</f>
        <v/>
      </c>
      <c r="E4689" s="2" t="s">
        <v>4665</v>
      </c>
      <c r="F4689" s="2" t="s">
        <v>20967</v>
      </c>
      <c r="G4689" s="2" t="str">
        <f>"SR-6403"</f>
        <v>SR-6403</v>
      </c>
      <c r="H4689" s="2" t="s">
        <v>20968</v>
      </c>
      <c r="N4689" s="2" t="s">
        <v>21</v>
      </c>
    </row>
    <row r="4690" ht="15.75" customHeight="1">
      <c r="A4690" s="2">
        <v>2015.0</v>
      </c>
      <c r="B4690" s="2" t="s">
        <v>20969</v>
      </c>
      <c r="C4690" s="2" t="s">
        <v>20970</v>
      </c>
      <c r="D4690" s="2" t="str">
        <f>"505-918-0566"</f>
        <v>505-918-0566</v>
      </c>
      <c r="E4690" s="2" t="s">
        <v>261</v>
      </c>
      <c r="F4690" s="2" t="s">
        <v>20971</v>
      </c>
      <c r="G4690" s="2" t="str">
        <f>"SR-6442"</f>
        <v>SR-6442</v>
      </c>
      <c r="H4690" s="2" t="s">
        <v>20972</v>
      </c>
      <c r="I4690" s="2" t="s">
        <v>20973</v>
      </c>
      <c r="K4690" s="2" t="s">
        <v>3705</v>
      </c>
      <c r="L4690" s="2" t="s">
        <v>789</v>
      </c>
      <c r="M4690" s="2">
        <v>87122.0</v>
      </c>
      <c r="N4690" s="2" t="s">
        <v>21</v>
      </c>
    </row>
    <row r="4691" ht="15.75" customHeight="1">
      <c r="A4691" s="2">
        <v>2015.0</v>
      </c>
      <c r="B4691" s="2" t="s">
        <v>20974</v>
      </c>
      <c r="D4691" s="2" t="str">
        <f>""</f>
        <v/>
      </c>
      <c r="E4691" s="2" t="s">
        <v>14988</v>
      </c>
      <c r="F4691" s="2" t="s">
        <v>81</v>
      </c>
      <c r="G4691" s="2" t="str">
        <f>"SR-6070"</f>
        <v>SR-6070</v>
      </c>
      <c r="H4691" s="2" t="s">
        <v>20975</v>
      </c>
      <c r="N4691" s="2" t="s">
        <v>21</v>
      </c>
    </row>
    <row r="4692" ht="15.75" customHeight="1">
      <c r="A4692" s="2">
        <v>2015.0</v>
      </c>
      <c r="B4692" s="2" t="s">
        <v>20951</v>
      </c>
      <c r="C4692" s="2" t="s">
        <v>20976</v>
      </c>
      <c r="D4692" s="2" t="str">
        <f>"(405) 313-3331"</f>
        <v>(405) 313-3331</v>
      </c>
      <c r="E4692" s="2" t="s">
        <v>24</v>
      </c>
      <c r="F4692" s="2" t="s">
        <v>20952</v>
      </c>
      <c r="G4692" s="2" t="str">
        <f>"SR-6445"</f>
        <v>SR-6445</v>
      </c>
      <c r="H4692" s="2" t="s">
        <v>20977</v>
      </c>
      <c r="I4692" s="2" t="s">
        <v>20954</v>
      </c>
      <c r="K4692" s="2" t="s">
        <v>1546</v>
      </c>
      <c r="L4692" s="2" t="s">
        <v>840</v>
      </c>
      <c r="M4692" s="2">
        <v>73025.0</v>
      </c>
      <c r="N4692" s="2" t="s">
        <v>21</v>
      </c>
    </row>
    <row r="4693" ht="15.75" customHeight="1">
      <c r="A4693" s="2">
        <v>2015.0</v>
      </c>
      <c r="B4693" s="2" t="s">
        <v>20978</v>
      </c>
      <c r="C4693" s="2" t="s">
        <v>20979</v>
      </c>
      <c r="D4693" s="2" t="str">
        <f>"706-339-0582"</f>
        <v>706-339-0582</v>
      </c>
      <c r="E4693" s="2" t="s">
        <v>7498</v>
      </c>
      <c r="F4693" s="2" t="s">
        <v>20980</v>
      </c>
      <c r="G4693" s="2" t="str">
        <f>"SR-6406"</f>
        <v>SR-6406</v>
      </c>
      <c r="H4693" s="2" t="s">
        <v>20981</v>
      </c>
      <c r="I4693" s="2" t="s">
        <v>20982</v>
      </c>
      <c r="K4693" s="2" t="s">
        <v>199</v>
      </c>
      <c r="L4693" s="2" t="s">
        <v>200</v>
      </c>
      <c r="M4693" s="2">
        <v>30907.0</v>
      </c>
      <c r="N4693" s="2" t="s">
        <v>21</v>
      </c>
    </row>
    <row r="4694" ht="15.75" customHeight="1">
      <c r="A4694" s="2">
        <v>2015.0</v>
      </c>
      <c r="B4694" s="2" t="s">
        <v>20983</v>
      </c>
      <c r="C4694" s="2" t="s">
        <v>20983</v>
      </c>
      <c r="D4694" s="2" t="str">
        <f>"402-490-9626"</f>
        <v>402-490-9626</v>
      </c>
      <c r="E4694" s="2" t="s">
        <v>20984</v>
      </c>
      <c r="F4694" s="2" t="s">
        <v>3903</v>
      </c>
      <c r="G4694" s="2" t="str">
        <f>"SR-6020"</f>
        <v>SR-6020</v>
      </c>
      <c r="H4694" s="2" t="s">
        <v>20985</v>
      </c>
      <c r="I4694" s="2" t="s">
        <v>20986</v>
      </c>
      <c r="K4694" s="2" t="s">
        <v>1470</v>
      </c>
      <c r="L4694" s="2" t="s">
        <v>757</v>
      </c>
      <c r="M4694" s="2">
        <v>68130.0</v>
      </c>
      <c r="N4694" s="2" t="s">
        <v>21</v>
      </c>
    </row>
    <row r="4695" ht="15.75" customHeight="1">
      <c r="A4695" s="2">
        <v>2015.0</v>
      </c>
      <c r="B4695" s="2" t="s">
        <v>13076</v>
      </c>
      <c r="C4695" s="2" t="s">
        <v>13077</v>
      </c>
      <c r="D4695" s="2" t="str">
        <f>"7608897466"</f>
        <v>7608897466</v>
      </c>
      <c r="E4695" s="2" t="s">
        <v>385</v>
      </c>
      <c r="F4695" s="2" t="s">
        <v>13078</v>
      </c>
      <c r="G4695" s="2" t="str">
        <f>"SR-3658"</f>
        <v>SR-3658</v>
      </c>
      <c r="H4695" s="2" t="s">
        <v>13079</v>
      </c>
      <c r="I4695" s="2" t="s">
        <v>13080</v>
      </c>
      <c r="K4695" s="2" t="s">
        <v>13081</v>
      </c>
      <c r="L4695" s="2" t="s">
        <v>222</v>
      </c>
      <c r="M4695" s="2">
        <v>92010.0</v>
      </c>
      <c r="N4695" s="2" t="s">
        <v>21</v>
      </c>
    </row>
    <row r="4696" ht="15.75" customHeight="1">
      <c r="A4696" s="2">
        <v>2015.0</v>
      </c>
      <c r="B4696" s="2" t="s">
        <v>7967</v>
      </c>
      <c r="C4696" s="2" t="s">
        <v>7968</v>
      </c>
      <c r="D4696" s="2" t="str">
        <f>"8047792049"</f>
        <v>8047792049</v>
      </c>
      <c r="E4696" s="2" t="s">
        <v>1946</v>
      </c>
      <c r="F4696" s="2" t="s">
        <v>863</v>
      </c>
      <c r="G4696" s="2" t="str">
        <f>"SR-2172"</f>
        <v>SR-2172</v>
      </c>
      <c r="H4696" s="2" t="s">
        <v>7969</v>
      </c>
      <c r="I4696" s="2" t="s">
        <v>7970</v>
      </c>
      <c r="K4696" s="2" t="s">
        <v>7971</v>
      </c>
      <c r="L4696" s="2" t="s">
        <v>165</v>
      </c>
      <c r="M4696" s="2">
        <v>23111.0</v>
      </c>
      <c r="N4696" s="2" t="s">
        <v>21</v>
      </c>
    </row>
    <row r="4697" ht="15.75" customHeight="1">
      <c r="A4697" s="2">
        <v>2015.0</v>
      </c>
      <c r="B4697" s="2" t="s">
        <v>20987</v>
      </c>
      <c r="C4697" s="2" t="s">
        <v>20988</v>
      </c>
      <c r="D4697" s="2" t="str">
        <f>"4066978676"</f>
        <v>4066978676</v>
      </c>
      <c r="E4697" s="2" t="s">
        <v>3888</v>
      </c>
      <c r="F4697" s="2" t="s">
        <v>20989</v>
      </c>
      <c r="G4697" s="2" t="str">
        <f>"SR-6129"</f>
        <v>SR-6129</v>
      </c>
      <c r="H4697" s="2" t="s">
        <v>20990</v>
      </c>
      <c r="I4697" s="2" t="s">
        <v>20991</v>
      </c>
      <c r="K4697" s="2" t="s">
        <v>3548</v>
      </c>
      <c r="L4697" s="2" t="s">
        <v>2696</v>
      </c>
      <c r="M4697" s="2">
        <v>59106.0</v>
      </c>
      <c r="N4697" s="2" t="s">
        <v>21</v>
      </c>
    </row>
    <row r="4698" ht="15.75" customHeight="1">
      <c r="A4698" s="2">
        <v>2015.0</v>
      </c>
      <c r="B4698" s="2" t="s">
        <v>20992</v>
      </c>
      <c r="C4698" s="2" t="s">
        <v>20993</v>
      </c>
      <c r="D4698" s="2" t="str">
        <f>"4792648049"</f>
        <v>4792648049</v>
      </c>
      <c r="E4698" s="2" t="s">
        <v>938</v>
      </c>
      <c r="F4698" s="2" t="s">
        <v>10566</v>
      </c>
      <c r="G4698" s="2" t="str">
        <f>"SR-6295"</f>
        <v>SR-6295</v>
      </c>
      <c r="H4698" s="2" t="s">
        <v>20994</v>
      </c>
      <c r="I4698" s="2" t="s">
        <v>20995</v>
      </c>
      <c r="K4698" s="2" t="s">
        <v>20965</v>
      </c>
      <c r="L4698" s="2" t="s">
        <v>1012</v>
      </c>
      <c r="M4698" s="2">
        <v>72801.0</v>
      </c>
      <c r="N4698" s="2" t="s">
        <v>21</v>
      </c>
    </row>
    <row r="4699" ht="15.75" customHeight="1">
      <c r="A4699" s="2">
        <v>2015.0</v>
      </c>
      <c r="B4699" s="2" t="s">
        <v>20996</v>
      </c>
      <c r="C4699" s="2" t="s">
        <v>20997</v>
      </c>
      <c r="D4699" s="2" t="str">
        <f>"5707211772"</f>
        <v>5707211772</v>
      </c>
      <c r="E4699" s="2" t="s">
        <v>1946</v>
      </c>
      <c r="F4699" s="2" t="s">
        <v>5105</v>
      </c>
      <c r="G4699" s="2" t="str">
        <f>"SR-6447"</f>
        <v>SR-6447</v>
      </c>
      <c r="H4699" s="2" t="s">
        <v>20998</v>
      </c>
      <c r="I4699" s="2" t="s">
        <v>20999</v>
      </c>
      <c r="K4699" s="2" t="s">
        <v>21000</v>
      </c>
      <c r="L4699" s="2" t="s">
        <v>179</v>
      </c>
      <c r="M4699" s="2">
        <v>18854.0</v>
      </c>
      <c r="N4699" s="2" t="s">
        <v>21</v>
      </c>
    </row>
    <row r="4700" ht="15.75" customHeight="1">
      <c r="A4700" s="2">
        <v>2015.0</v>
      </c>
      <c r="B4700" s="2" t="s">
        <v>20987</v>
      </c>
      <c r="C4700" s="2" t="s">
        <v>21001</v>
      </c>
      <c r="D4700" s="2" t="str">
        <f>"4065911311"</f>
        <v>4065911311</v>
      </c>
      <c r="E4700" s="2" t="s">
        <v>167</v>
      </c>
      <c r="F4700" s="2" t="s">
        <v>20989</v>
      </c>
      <c r="G4700" s="2" t="str">
        <f>"SR-6440"</f>
        <v>SR-6440</v>
      </c>
      <c r="H4700" s="2" t="s">
        <v>21002</v>
      </c>
      <c r="I4700" s="2" t="s">
        <v>20991</v>
      </c>
      <c r="K4700" s="2" t="s">
        <v>3548</v>
      </c>
      <c r="L4700" s="2" t="s">
        <v>2696</v>
      </c>
      <c r="M4700" s="2">
        <v>59106.0</v>
      </c>
      <c r="N4700" s="2" t="s">
        <v>21</v>
      </c>
    </row>
    <row r="4701" ht="15.75" customHeight="1">
      <c r="A4701" s="2">
        <v>2015.0</v>
      </c>
      <c r="B4701" s="2" t="s">
        <v>21003</v>
      </c>
      <c r="C4701" s="2" t="s">
        <v>21004</v>
      </c>
      <c r="D4701" s="2" t="str">
        <f>"(785)407-7193"</f>
        <v>(785)407-7193</v>
      </c>
      <c r="E4701" s="2" t="s">
        <v>9707</v>
      </c>
      <c r="F4701" s="2" t="s">
        <v>21005</v>
      </c>
      <c r="G4701" s="2" t="str">
        <f>"SR-6437"</f>
        <v>SR-6437</v>
      </c>
      <c r="H4701" s="2" t="s">
        <v>21006</v>
      </c>
      <c r="I4701" s="2" t="s">
        <v>21007</v>
      </c>
      <c r="K4701" s="2" t="s">
        <v>1073</v>
      </c>
      <c r="L4701" s="2" t="s">
        <v>272</v>
      </c>
      <c r="M4701" s="2">
        <v>67467.0</v>
      </c>
      <c r="N4701" s="2" t="s">
        <v>21</v>
      </c>
    </row>
    <row r="4702" ht="15.75" customHeight="1">
      <c r="A4702" s="2">
        <v>2015.0</v>
      </c>
      <c r="B4702" s="2" t="s">
        <v>20880</v>
      </c>
      <c r="C4702" s="2" t="s">
        <v>21008</v>
      </c>
      <c r="D4702" s="2" t="str">
        <f>"8062528108"</f>
        <v>8062528108</v>
      </c>
      <c r="E4702" s="2" t="s">
        <v>2598</v>
      </c>
      <c r="F4702" s="2" t="s">
        <v>863</v>
      </c>
      <c r="G4702" s="2" t="str">
        <f>"SR-6432"</f>
        <v>SR-6432</v>
      </c>
      <c r="H4702" s="2" t="s">
        <v>21009</v>
      </c>
      <c r="I4702" s="2" t="s">
        <v>21010</v>
      </c>
      <c r="K4702" s="2" t="s">
        <v>21011</v>
      </c>
      <c r="L4702" s="2" t="s">
        <v>172</v>
      </c>
      <c r="M4702" s="2">
        <v>79313.0</v>
      </c>
      <c r="N4702" s="2" t="s">
        <v>21</v>
      </c>
    </row>
    <row r="4703" ht="15.75" customHeight="1">
      <c r="A4703" s="2">
        <v>2015.0</v>
      </c>
      <c r="B4703" s="2" t="s">
        <v>21012</v>
      </c>
      <c r="C4703" s="2" t="s">
        <v>21013</v>
      </c>
      <c r="D4703" s="2" t="str">
        <f>"316-799-2819"</f>
        <v>316-799-2819</v>
      </c>
      <c r="E4703" s="2" t="s">
        <v>144</v>
      </c>
      <c r="F4703" s="2" t="s">
        <v>3376</v>
      </c>
      <c r="G4703" s="2" t="str">
        <f>"SR-6168"</f>
        <v>SR-6168</v>
      </c>
      <c r="H4703" s="2" t="s">
        <v>21014</v>
      </c>
      <c r="I4703" s="2" t="s">
        <v>21015</v>
      </c>
      <c r="K4703" s="2" t="s">
        <v>21016</v>
      </c>
      <c r="L4703" s="2" t="s">
        <v>272</v>
      </c>
      <c r="M4703" s="2">
        <v>67147.0</v>
      </c>
      <c r="N4703" s="2" t="s">
        <v>21</v>
      </c>
    </row>
    <row r="4704" ht="15.75" customHeight="1">
      <c r="A4704" s="2">
        <v>2015.0</v>
      </c>
      <c r="B4704" s="2" t="s">
        <v>16007</v>
      </c>
      <c r="C4704" s="2" t="s">
        <v>16008</v>
      </c>
      <c r="D4704" s="2" t="str">
        <f>"7155010926"</f>
        <v>7155010926</v>
      </c>
      <c r="E4704" s="2" t="s">
        <v>1725</v>
      </c>
      <c r="F4704" s="2" t="s">
        <v>16009</v>
      </c>
      <c r="G4704" s="2" t="str">
        <f>"SR-4703"</f>
        <v>SR-4703</v>
      </c>
      <c r="H4704" s="2" t="s">
        <v>16010</v>
      </c>
      <c r="I4704" s="2" t="s">
        <v>16011</v>
      </c>
      <c r="K4704" s="2" t="s">
        <v>16012</v>
      </c>
      <c r="L4704" s="2" t="s">
        <v>193</v>
      </c>
      <c r="M4704" s="2">
        <v>54009.0</v>
      </c>
      <c r="N4704" s="2" t="s">
        <v>21</v>
      </c>
    </row>
    <row r="4705" ht="15.75" customHeight="1">
      <c r="A4705" s="2">
        <v>2015.0</v>
      </c>
      <c r="B4705" s="2" t="s">
        <v>21017</v>
      </c>
      <c r="C4705" s="2" t="s">
        <v>21018</v>
      </c>
      <c r="D4705" s="2" t="str">
        <f>"6306685765"</f>
        <v>6306685765</v>
      </c>
      <c r="E4705" s="2" t="s">
        <v>15041</v>
      </c>
      <c r="F4705" s="2" t="s">
        <v>21019</v>
      </c>
      <c r="G4705" s="2" t="str">
        <f>"SR-6443"</f>
        <v>SR-6443</v>
      </c>
      <c r="H4705" s="2" t="s">
        <v>21020</v>
      </c>
      <c r="I4705" s="2" t="s">
        <v>21021</v>
      </c>
      <c r="K4705" s="2" t="s">
        <v>21022</v>
      </c>
      <c r="L4705" s="2" t="s">
        <v>105</v>
      </c>
      <c r="M4705" s="2">
        <v>60189.0</v>
      </c>
      <c r="N4705" s="2" t="s">
        <v>21</v>
      </c>
    </row>
    <row r="4706" ht="15.75" customHeight="1">
      <c r="A4706" s="2">
        <v>2015.0</v>
      </c>
      <c r="B4706" s="2" t="s">
        <v>21023</v>
      </c>
      <c r="C4706" s="2" t="s">
        <v>21024</v>
      </c>
      <c r="D4706" s="2" t="str">
        <f>"423-581-9779"</f>
        <v>423-581-9779</v>
      </c>
      <c r="E4706" s="2" t="s">
        <v>453</v>
      </c>
      <c r="F4706" s="2" t="s">
        <v>21025</v>
      </c>
      <c r="G4706" s="2" t="str">
        <f>"SR-6356"</f>
        <v>SR-6356</v>
      </c>
      <c r="H4706" s="2" t="s">
        <v>21026</v>
      </c>
      <c r="I4706" s="2" t="s">
        <v>21027</v>
      </c>
      <c r="K4706" s="2" t="s">
        <v>21028</v>
      </c>
      <c r="L4706" s="2" t="s">
        <v>279</v>
      </c>
      <c r="M4706" s="2">
        <v>37877.0</v>
      </c>
      <c r="N4706" s="2" t="s">
        <v>21</v>
      </c>
    </row>
    <row r="4707" ht="15.75" customHeight="1">
      <c r="A4707" s="2">
        <v>2015.0</v>
      </c>
      <c r="B4707" s="2" t="s">
        <v>21029</v>
      </c>
      <c r="C4707" s="2" t="s">
        <v>21029</v>
      </c>
      <c r="D4707" s="2" t="str">
        <f>"256-852-7649"</f>
        <v>256-852-7649</v>
      </c>
      <c r="E4707" s="2" t="s">
        <v>988</v>
      </c>
      <c r="F4707" s="2" t="s">
        <v>21030</v>
      </c>
      <c r="G4707" s="2" t="str">
        <f>"SR-6082"</f>
        <v>SR-6082</v>
      </c>
      <c r="H4707" s="2" t="s">
        <v>21031</v>
      </c>
      <c r="I4707" s="2" t="s">
        <v>21032</v>
      </c>
      <c r="K4707" s="2" t="s">
        <v>1953</v>
      </c>
      <c r="L4707" s="2" t="s">
        <v>539</v>
      </c>
      <c r="M4707" s="2">
        <v>35811.0</v>
      </c>
      <c r="N4707" s="2" t="s">
        <v>21</v>
      </c>
    </row>
    <row r="4708" ht="15.75" customHeight="1">
      <c r="A4708" s="2">
        <v>2015.0</v>
      </c>
      <c r="B4708" s="2" t="s">
        <v>21033</v>
      </c>
      <c r="C4708" s="2" t="s">
        <v>21033</v>
      </c>
      <c r="D4708" s="2" t="str">
        <f>"573-996-5333"</f>
        <v>573-996-5333</v>
      </c>
      <c r="E4708" s="2" t="s">
        <v>144</v>
      </c>
      <c r="F4708" s="2" t="s">
        <v>21034</v>
      </c>
      <c r="G4708" s="2" t="str">
        <f>"SR-6455"</f>
        <v>SR-6455</v>
      </c>
      <c r="H4708" s="2" t="s">
        <v>21035</v>
      </c>
      <c r="I4708" s="2" t="s">
        <v>21036</v>
      </c>
      <c r="K4708" s="2" t="s">
        <v>21037</v>
      </c>
      <c r="L4708" s="2" t="s">
        <v>214</v>
      </c>
      <c r="M4708" s="2">
        <v>63935.0</v>
      </c>
      <c r="N4708" s="2" t="s">
        <v>21</v>
      </c>
    </row>
    <row r="4709" ht="15.75" customHeight="1">
      <c r="A4709" s="2">
        <v>2015.0</v>
      </c>
      <c r="B4709" s="2" t="s">
        <v>21038</v>
      </c>
      <c r="C4709" s="2" t="s">
        <v>21039</v>
      </c>
      <c r="D4709" s="2" t="str">
        <f>"337-856-5012"</f>
        <v>337-856-5012</v>
      </c>
      <c r="E4709" s="2" t="s">
        <v>590</v>
      </c>
      <c r="F4709" s="2" t="s">
        <v>21040</v>
      </c>
      <c r="G4709" s="2" t="str">
        <f>"SR-6459"</f>
        <v>SR-6459</v>
      </c>
      <c r="H4709" s="2" t="s">
        <v>21041</v>
      </c>
      <c r="I4709" s="2" t="s">
        <v>21042</v>
      </c>
      <c r="K4709" s="2" t="s">
        <v>21043</v>
      </c>
      <c r="L4709" s="2" t="s">
        <v>715</v>
      </c>
      <c r="M4709" s="2">
        <v>70592.0</v>
      </c>
      <c r="N4709" s="2" t="s">
        <v>21</v>
      </c>
    </row>
    <row r="4710" ht="15.75" customHeight="1">
      <c r="A4710" s="2">
        <v>2015.0</v>
      </c>
      <c r="B4710" s="2" t="s">
        <v>13164</v>
      </c>
      <c r="C4710" s="2" t="s">
        <v>13165</v>
      </c>
      <c r="D4710" s="2" t="str">
        <f>"803-526-3599"</f>
        <v>803-526-3599</v>
      </c>
      <c r="E4710" s="2" t="s">
        <v>282</v>
      </c>
      <c r="F4710" s="2" t="s">
        <v>182</v>
      </c>
      <c r="G4710" s="2" t="str">
        <f>"SR-3724"</f>
        <v>SR-3724</v>
      </c>
      <c r="H4710" s="2" t="s">
        <v>13166</v>
      </c>
      <c r="I4710" s="2" t="s">
        <v>13167</v>
      </c>
      <c r="K4710" s="2" t="s">
        <v>12999</v>
      </c>
      <c r="L4710" s="2" t="s">
        <v>55</v>
      </c>
      <c r="M4710" s="2">
        <v>29710.0</v>
      </c>
      <c r="N4710" s="2" t="s">
        <v>21</v>
      </c>
    </row>
    <row r="4711" ht="15.75" customHeight="1">
      <c r="A4711" s="2">
        <v>2015.0</v>
      </c>
      <c r="B4711" s="2" t="s">
        <v>21044</v>
      </c>
      <c r="C4711" s="2" t="s">
        <v>21044</v>
      </c>
      <c r="D4711" s="2" t="str">
        <f>"1-479-8576616"</f>
        <v>1-479-8576616</v>
      </c>
      <c r="E4711" s="2" t="s">
        <v>7145</v>
      </c>
      <c r="F4711" s="2" t="s">
        <v>6008</v>
      </c>
      <c r="G4711" s="2" t="str">
        <f>"SR-6319"</f>
        <v>SR-6319</v>
      </c>
      <c r="H4711" s="2" t="s">
        <v>21045</v>
      </c>
      <c r="I4711" s="2" t="s">
        <v>21046</v>
      </c>
      <c r="K4711" s="2" t="s">
        <v>10322</v>
      </c>
      <c r="L4711" s="2" t="s">
        <v>1012</v>
      </c>
      <c r="M4711" s="2">
        <v>72837.0</v>
      </c>
      <c r="N4711" s="2" t="s">
        <v>21</v>
      </c>
    </row>
    <row r="4712" ht="15.75" customHeight="1">
      <c r="A4712" s="2">
        <v>2015.0</v>
      </c>
      <c r="B4712" s="2" t="s">
        <v>21047</v>
      </c>
      <c r="C4712" s="2" t="s">
        <v>21047</v>
      </c>
      <c r="D4712" s="2" t="str">
        <f>"(323) 962-0559"</f>
        <v>(323) 962-0559</v>
      </c>
      <c r="E4712" s="2" t="s">
        <v>21048</v>
      </c>
      <c r="F4712" s="2" t="s">
        <v>21049</v>
      </c>
      <c r="G4712" s="2" t="str">
        <f>"SR-6453"</f>
        <v>SR-6453</v>
      </c>
      <c r="H4712" s="2" t="s">
        <v>21050</v>
      </c>
      <c r="I4712" s="2" t="s">
        <v>21051</v>
      </c>
      <c r="J4712" s="2" t="s">
        <v>21052</v>
      </c>
      <c r="K4712" s="2" t="s">
        <v>21053</v>
      </c>
      <c r="L4712" s="2" t="s">
        <v>222</v>
      </c>
      <c r="M4712" s="2">
        <v>90038.0</v>
      </c>
      <c r="N4712" s="2" t="s">
        <v>21</v>
      </c>
    </row>
    <row r="4713" ht="15.75" customHeight="1">
      <c r="A4713" s="2">
        <v>2015.0</v>
      </c>
      <c r="B4713" s="2" t="s">
        <v>21054</v>
      </c>
      <c r="C4713" s="2" t="s">
        <v>13498</v>
      </c>
      <c r="D4713" s="2" t="str">
        <f>"5157298120"</f>
        <v>5157298120</v>
      </c>
      <c r="E4713" s="2" t="s">
        <v>705</v>
      </c>
      <c r="F4713" s="2" t="s">
        <v>13500</v>
      </c>
      <c r="G4713" s="2" t="str">
        <f>"SR-6174"</f>
        <v>SR-6174</v>
      </c>
      <c r="H4713" s="2" t="s">
        <v>21055</v>
      </c>
      <c r="I4713" s="2" t="s">
        <v>21056</v>
      </c>
      <c r="K4713" s="2" t="s">
        <v>13503</v>
      </c>
      <c r="L4713" s="2" t="s">
        <v>560</v>
      </c>
      <c r="M4713" s="2">
        <v>50049.0</v>
      </c>
      <c r="N4713" s="2" t="s">
        <v>21</v>
      </c>
    </row>
    <row r="4714" ht="15.75" customHeight="1">
      <c r="A4714" s="2">
        <v>2015.0</v>
      </c>
      <c r="B4714" s="2" t="s">
        <v>21057</v>
      </c>
      <c r="C4714" s="2" t="s">
        <v>21058</v>
      </c>
      <c r="D4714" s="2" t="str">
        <f>"407-765-6564"</f>
        <v>407-765-6564</v>
      </c>
      <c r="E4714" s="2" t="s">
        <v>385</v>
      </c>
      <c r="F4714" s="2" t="s">
        <v>21059</v>
      </c>
      <c r="G4714" s="2" t="str">
        <f>"SR-6462"</f>
        <v>SR-6462</v>
      </c>
      <c r="H4714" s="2" t="s">
        <v>21060</v>
      </c>
      <c r="I4714" s="2" t="s">
        <v>21061</v>
      </c>
      <c r="K4714" s="2" t="s">
        <v>21062</v>
      </c>
      <c r="L4714" s="2" t="s">
        <v>208</v>
      </c>
      <c r="M4714" s="2">
        <v>34787.0</v>
      </c>
      <c r="N4714" s="2" t="s">
        <v>21</v>
      </c>
    </row>
    <row r="4715" ht="15.75" customHeight="1">
      <c r="A4715" s="2">
        <v>2015.0</v>
      </c>
      <c r="B4715" s="2" t="s">
        <v>21063</v>
      </c>
      <c r="C4715" s="2" t="s">
        <v>21064</v>
      </c>
      <c r="D4715" s="2" t="str">
        <f>"919-753-5400"</f>
        <v>919-753-5400</v>
      </c>
      <c r="E4715" s="2" t="s">
        <v>1094</v>
      </c>
      <c r="F4715" s="2" t="s">
        <v>14507</v>
      </c>
      <c r="G4715" s="2" t="str">
        <f>"SR-6293"</f>
        <v>SR-6293</v>
      </c>
      <c r="H4715" s="2" t="s">
        <v>21065</v>
      </c>
      <c r="I4715" s="2" t="s">
        <v>21066</v>
      </c>
      <c r="K4715" s="2" t="s">
        <v>20129</v>
      </c>
      <c r="L4715" s="2" t="s">
        <v>20</v>
      </c>
      <c r="M4715" s="2">
        <v>27540.0</v>
      </c>
      <c r="N4715" s="2" t="s">
        <v>21</v>
      </c>
    </row>
    <row r="4716" ht="15.75" customHeight="1">
      <c r="A4716" s="2">
        <v>2015.0</v>
      </c>
      <c r="B4716" s="2" t="s">
        <v>6679</v>
      </c>
      <c r="C4716" s="2" t="s">
        <v>21067</v>
      </c>
      <c r="D4716" s="2" t="str">
        <f>"4802201792"</f>
        <v>4802201792</v>
      </c>
      <c r="E4716" s="2" t="s">
        <v>339</v>
      </c>
      <c r="F4716" s="2" t="s">
        <v>6681</v>
      </c>
      <c r="G4716" s="2" t="str">
        <f>"SR-6461"</f>
        <v>SR-6461</v>
      </c>
      <c r="H4716" s="2" t="s">
        <v>21068</v>
      </c>
      <c r="I4716" s="2" t="s">
        <v>21069</v>
      </c>
      <c r="K4716" s="2" t="s">
        <v>4675</v>
      </c>
      <c r="L4716" s="2" t="s">
        <v>422</v>
      </c>
      <c r="M4716" s="2">
        <v>85234.0</v>
      </c>
      <c r="N4716" s="2" t="s">
        <v>21</v>
      </c>
    </row>
    <row r="4717" ht="15.75" customHeight="1">
      <c r="A4717" s="2">
        <v>2015.0</v>
      </c>
      <c r="B4717" s="2" t="s">
        <v>21070</v>
      </c>
      <c r="C4717" s="2" t="s">
        <v>21070</v>
      </c>
      <c r="D4717" s="2" t="str">
        <f>"832-370-0105"</f>
        <v>832-370-0105</v>
      </c>
      <c r="E4717" s="2" t="s">
        <v>21071</v>
      </c>
      <c r="F4717" s="2" t="s">
        <v>17550</v>
      </c>
      <c r="G4717" s="2" t="str">
        <f>"SR-4734"</f>
        <v>SR-4734</v>
      </c>
      <c r="H4717" s="2" t="s">
        <v>21072</v>
      </c>
      <c r="I4717" s="2" t="s">
        <v>21073</v>
      </c>
      <c r="K4717" s="2" t="s">
        <v>444</v>
      </c>
      <c r="L4717" s="2" t="s">
        <v>172</v>
      </c>
      <c r="M4717" s="2">
        <v>77008.0</v>
      </c>
      <c r="N4717" s="2" t="s">
        <v>21</v>
      </c>
    </row>
    <row r="4718" ht="15.75" customHeight="1">
      <c r="A4718" s="2">
        <v>2015.0</v>
      </c>
      <c r="B4718" s="2" t="s">
        <v>4414</v>
      </c>
      <c r="C4718" s="2" t="s">
        <v>4415</v>
      </c>
      <c r="D4718" s="2" t="str">
        <f>"928-349-0504"</f>
        <v>928-349-0504</v>
      </c>
      <c r="E4718" s="2" t="s">
        <v>4416</v>
      </c>
      <c r="F4718" s="2" t="s">
        <v>4417</v>
      </c>
      <c r="G4718" s="2" t="str">
        <f>"SR-1322"</f>
        <v>SR-1322</v>
      </c>
      <c r="H4718" s="2" t="s">
        <v>4418</v>
      </c>
      <c r="I4718" s="2" t="s">
        <v>4419</v>
      </c>
      <c r="K4718" s="2" t="s">
        <v>4420</v>
      </c>
      <c r="L4718" s="2" t="s">
        <v>422</v>
      </c>
      <c r="M4718" s="2">
        <v>86503.0</v>
      </c>
      <c r="N4718" s="2" t="s">
        <v>21</v>
      </c>
    </row>
    <row r="4719" ht="15.75" customHeight="1">
      <c r="A4719" s="2">
        <v>2015.0</v>
      </c>
      <c r="B4719" s="2" t="s">
        <v>21074</v>
      </c>
      <c r="C4719" s="2" t="s">
        <v>21075</v>
      </c>
      <c r="D4719" s="2" t="str">
        <f>"515-225-0347"</f>
        <v>515-225-0347</v>
      </c>
      <c r="E4719" s="2" t="s">
        <v>2361</v>
      </c>
      <c r="F4719" s="2" t="s">
        <v>21076</v>
      </c>
      <c r="G4719" s="2" t="str">
        <f>"SR-6465"</f>
        <v>SR-6465</v>
      </c>
      <c r="H4719" s="2" t="s">
        <v>21077</v>
      </c>
      <c r="I4719" s="2" t="s">
        <v>21078</v>
      </c>
      <c r="K4719" s="2" t="s">
        <v>2066</v>
      </c>
      <c r="L4719" s="2" t="s">
        <v>560</v>
      </c>
      <c r="M4719" s="2">
        <v>50266.0</v>
      </c>
      <c r="N4719" s="2" t="s">
        <v>21</v>
      </c>
    </row>
    <row r="4720" ht="15.75" customHeight="1">
      <c r="A4720" s="2">
        <v>2015.0</v>
      </c>
      <c r="B4720" s="2" t="s">
        <v>21079</v>
      </c>
      <c r="C4720" s="2" t="s">
        <v>21080</v>
      </c>
      <c r="D4720" s="2" t="str">
        <f>"(402) 860-4416"</f>
        <v>(402) 860-4416</v>
      </c>
      <c r="E4720" s="2" t="s">
        <v>17798</v>
      </c>
      <c r="F4720" s="2" t="s">
        <v>10393</v>
      </c>
      <c r="G4720" s="2" t="str">
        <f>"SR-6466"</f>
        <v>SR-6466</v>
      </c>
      <c r="H4720" s="2" t="s">
        <v>21081</v>
      </c>
      <c r="I4720" s="2" t="s">
        <v>21082</v>
      </c>
      <c r="K4720" s="2" t="s">
        <v>21083</v>
      </c>
      <c r="L4720" s="2" t="s">
        <v>560</v>
      </c>
      <c r="M4720" s="2">
        <v>50211.0</v>
      </c>
      <c r="N4720" s="2" t="s">
        <v>21</v>
      </c>
    </row>
    <row r="4721" ht="15.75" customHeight="1">
      <c r="A4721" s="2">
        <v>2015.0</v>
      </c>
      <c r="B4721" s="2" t="s">
        <v>4414</v>
      </c>
      <c r="C4721" s="2" t="s">
        <v>15115</v>
      </c>
      <c r="D4721" s="2" t="str">
        <f>"928-674-2962"</f>
        <v>928-674-2962</v>
      </c>
      <c r="E4721" s="2" t="s">
        <v>651</v>
      </c>
      <c r="F4721" s="2" t="s">
        <v>4417</v>
      </c>
      <c r="G4721" s="2" t="str">
        <f>"SR-3482"</f>
        <v>SR-3482</v>
      </c>
      <c r="H4721" s="2" t="s">
        <v>15116</v>
      </c>
      <c r="I4721" s="2" t="s">
        <v>4419</v>
      </c>
      <c r="K4721" s="2" t="s">
        <v>4420</v>
      </c>
      <c r="L4721" s="2" t="s">
        <v>422</v>
      </c>
      <c r="M4721" s="2">
        <v>86503.0</v>
      </c>
      <c r="N4721" s="2" t="s">
        <v>21</v>
      </c>
    </row>
    <row r="4722" ht="15.75" customHeight="1">
      <c r="A4722" s="2">
        <v>2015.0</v>
      </c>
      <c r="B4722" s="2" t="s">
        <v>5149</v>
      </c>
      <c r="C4722" s="2" t="s">
        <v>21084</v>
      </c>
      <c r="D4722" s="2" t="str">
        <f>"321-459-9712"</f>
        <v>321-459-9712</v>
      </c>
      <c r="E4722" s="2" t="s">
        <v>2126</v>
      </c>
      <c r="F4722" s="2" t="s">
        <v>5150</v>
      </c>
      <c r="G4722" s="2" t="str">
        <f>"SR-6217"</f>
        <v>SR-6217</v>
      </c>
      <c r="H4722" s="2" t="s">
        <v>21085</v>
      </c>
      <c r="I4722" s="2" t="s">
        <v>21086</v>
      </c>
      <c r="K4722" s="2" t="s">
        <v>21087</v>
      </c>
      <c r="L4722" s="2" t="s">
        <v>208</v>
      </c>
      <c r="M4722" s="2">
        <v>32953.0</v>
      </c>
      <c r="N4722" s="2" t="s">
        <v>21</v>
      </c>
    </row>
    <row r="4723" ht="15.75" customHeight="1">
      <c r="A4723" s="2">
        <v>2015.0</v>
      </c>
      <c r="B4723" s="2" t="s">
        <v>6549</v>
      </c>
      <c r="C4723" s="2" t="s">
        <v>6549</v>
      </c>
      <c r="D4723" s="2" t="str">
        <f>"3378028677"</f>
        <v>3378028677</v>
      </c>
      <c r="E4723" s="2" t="s">
        <v>862</v>
      </c>
      <c r="F4723" s="2" t="s">
        <v>6550</v>
      </c>
      <c r="G4723" s="2" t="str">
        <f>"SR-1738"</f>
        <v>SR-1738</v>
      </c>
      <c r="H4723" s="2" t="s">
        <v>6551</v>
      </c>
      <c r="I4723" s="2" t="s">
        <v>6552</v>
      </c>
      <c r="K4723" s="2" t="s">
        <v>6553</v>
      </c>
      <c r="L4723" s="2" t="s">
        <v>715</v>
      </c>
      <c r="M4723" s="2">
        <v>70532.0</v>
      </c>
      <c r="N4723" s="2" t="s">
        <v>21</v>
      </c>
    </row>
    <row r="4724" ht="15.75" customHeight="1">
      <c r="A4724" s="2">
        <v>2015.0</v>
      </c>
      <c r="B4724" s="2" t="s">
        <v>21088</v>
      </c>
      <c r="C4724" s="2" t="s">
        <v>21088</v>
      </c>
      <c r="D4724" s="2" t="str">
        <f>"919-363-1503"</f>
        <v>919-363-1503</v>
      </c>
      <c r="E4724" s="2" t="s">
        <v>1387</v>
      </c>
      <c r="F4724" s="2" t="s">
        <v>21089</v>
      </c>
      <c r="G4724" s="2" t="str">
        <f>"SR-6306"</f>
        <v>SR-6306</v>
      </c>
      <c r="H4724" s="2" t="s">
        <v>21090</v>
      </c>
      <c r="I4724" s="2" t="s">
        <v>21091</v>
      </c>
      <c r="K4724" s="2" t="s">
        <v>14454</v>
      </c>
      <c r="L4724" s="2" t="s">
        <v>20</v>
      </c>
      <c r="M4724" s="2">
        <v>27523.0</v>
      </c>
      <c r="N4724" s="2" t="s">
        <v>21</v>
      </c>
    </row>
    <row r="4725" ht="15.75" customHeight="1">
      <c r="A4725" s="2">
        <v>2015.0</v>
      </c>
      <c r="B4725" s="2" t="s">
        <v>21092</v>
      </c>
      <c r="C4725" s="2" t="s">
        <v>21092</v>
      </c>
      <c r="D4725" s="2" t="str">
        <f>"720-210-7682"</f>
        <v>720-210-7682</v>
      </c>
      <c r="E4725" s="2" t="s">
        <v>5320</v>
      </c>
      <c r="F4725" s="2" t="s">
        <v>5321</v>
      </c>
      <c r="G4725" s="2" t="str">
        <f>"SR-6299"</f>
        <v>SR-6299</v>
      </c>
      <c r="H4725" s="2" t="s">
        <v>5322</v>
      </c>
      <c r="I4725" s="2" t="s">
        <v>5323</v>
      </c>
      <c r="K4725" s="2" t="s">
        <v>2527</v>
      </c>
      <c r="L4725" s="2" t="s">
        <v>157</v>
      </c>
      <c r="M4725" s="2">
        <v>80205.0</v>
      </c>
      <c r="N4725" s="2" t="s">
        <v>21</v>
      </c>
    </row>
    <row r="4726" ht="15.75" customHeight="1">
      <c r="A4726" s="2">
        <v>2015.0</v>
      </c>
      <c r="B4726" s="2" t="s">
        <v>21093</v>
      </c>
      <c r="C4726" s="2" t="s">
        <v>21094</v>
      </c>
      <c r="D4726" s="2" t="str">
        <f>"951-665-6731"</f>
        <v>951-665-6731</v>
      </c>
      <c r="E4726" s="2" t="s">
        <v>6526</v>
      </c>
      <c r="F4726" s="2" t="s">
        <v>5911</v>
      </c>
      <c r="G4726" s="2" t="str">
        <f>"SR-6467"</f>
        <v>SR-6467</v>
      </c>
      <c r="H4726" s="2" t="s">
        <v>21095</v>
      </c>
      <c r="I4726" s="2" t="s">
        <v>21096</v>
      </c>
      <c r="K4726" s="2" t="s">
        <v>21097</v>
      </c>
      <c r="L4726" s="2" t="s">
        <v>222</v>
      </c>
      <c r="M4726" s="2">
        <v>92545.0</v>
      </c>
      <c r="N4726" s="2" t="s">
        <v>21</v>
      </c>
    </row>
    <row r="4727" ht="15.75" customHeight="1">
      <c r="A4727" s="2">
        <v>2015.0</v>
      </c>
      <c r="B4727" s="2" t="s">
        <v>21098</v>
      </c>
      <c r="C4727" s="2" t="s">
        <v>21099</v>
      </c>
      <c r="D4727" s="2" t="str">
        <f>"6418444733"</f>
        <v>6418444733</v>
      </c>
      <c r="E4727" s="2" t="s">
        <v>250</v>
      </c>
      <c r="F4727" s="2" t="s">
        <v>7091</v>
      </c>
      <c r="G4727" s="2" t="str">
        <f>"SR-6450"</f>
        <v>SR-6450</v>
      </c>
      <c r="H4727" s="2" t="s">
        <v>21100</v>
      </c>
      <c r="I4727" s="2" t="s">
        <v>21101</v>
      </c>
      <c r="K4727" s="2" t="s">
        <v>5270</v>
      </c>
      <c r="L4727" s="2" t="s">
        <v>560</v>
      </c>
      <c r="M4727" s="2">
        <v>50158.0</v>
      </c>
      <c r="N4727" s="2" t="s">
        <v>21</v>
      </c>
    </row>
    <row r="4728" ht="15.75" customHeight="1">
      <c r="A4728" s="2">
        <v>2015.0</v>
      </c>
      <c r="B4728" s="2" t="s">
        <v>21102</v>
      </c>
      <c r="C4728" s="2" t="s">
        <v>21103</v>
      </c>
      <c r="D4728" s="2" t="str">
        <f>"(919)658-8658"</f>
        <v>(919)658-8658</v>
      </c>
      <c r="E4728" s="2" t="s">
        <v>2941</v>
      </c>
      <c r="F4728" s="2" t="s">
        <v>2753</v>
      </c>
      <c r="G4728" s="2" t="str">
        <f>"SR-6463"</f>
        <v>SR-6463</v>
      </c>
      <c r="H4728" s="2" t="s">
        <v>21104</v>
      </c>
      <c r="I4728" s="2" t="s">
        <v>21105</v>
      </c>
      <c r="K4728" s="2" t="s">
        <v>21106</v>
      </c>
      <c r="L4728" s="2" t="s">
        <v>20</v>
      </c>
      <c r="M4728" s="2">
        <v>28365.0</v>
      </c>
      <c r="N4728" s="2" t="s">
        <v>21</v>
      </c>
    </row>
    <row r="4729" ht="15.75" customHeight="1">
      <c r="A4729" s="2">
        <v>2015.0</v>
      </c>
      <c r="B4729" s="2" t="s">
        <v>21102</v>
      </c>
      <c r="C4729" s="2" t="s">
        <v>21107</v>
      </c>
      <c r="D4729" s="2" t="str">
        <f>"919-658-8658"</f>
        <v>919-658-8658</v>
      </c>
      <c r="E4729" s="2" t="s">
        <v>167</v>
      </c>
      <c r="F4729" s="2" t="s">
        <v>2753</v>
      </c>
      <c r="G4729" s="2" t="str">
        <f>"SR-6456"</f>
        <v>SR-6456</v>
      </c>
      <c r="H4729" s="2" t="s">
        <v>21108</v>
      </c>
      <c r="I4729" s="2" t="s">
        <v>21105</v>
      </c>
      <c r="K4729" s="2" t="s">
        <v>21106</v>
      </c>
      <c r="L4729" s="2" t="s">
        <v>20</v>
      </c>
      <c r="M4729" s="2">
        <v>28365.0</v>
      </c>
      <c r="N4729" s="2" t="s">
        <v>21</v>
      </c>
    </row>
    <row r="4730" ht="15.75" customHeight="1">
      <c r="A4730" s="2">
        <v>2015.0</v>
      </c>
      <c r="B4730" s="2" t="s">
        <v>21109</v>
      </c>
      <c r="C4730" s="2" t="s">
        <v>21110</v>
      </c>
      <c r="D4730" s="2" t="str">
        <f>"406-670-4989"</f>
        <v>406-670-4989</v>
      </c>
      <c r="E4730" s="2" t="s">
        <v>21111</v>
      </c>
      <c r="F4730" s="2" t="s">
        <v>13200</v>
      </c>
      <c r="G4730" s="2" t="str">
        <f>"SR-6469"</f>
        <v>SR-6469</v>
      </c>
      <c r="H4730" s="2" t="s">
        <v>21112</v>
      </c>
      <c r="I4730" s="2" t="s">
        <v>21113</v>
      </c>
      <c r="K4730" s="2" t="s">
        <v>3548</v>
      </c>
      <c r="L4730" s="2" t="s">
        <v>2696</v>
      </c>
      <c r="M4730" s="2">
        <v>59106.0</v>
      </c>
      <c r="N4730" s="2" t="s">
        <v>21</v>
      </c>
    </row>
    <row r="4731" ht="15.75" customHeight="1">
      <c r="A4731" s="2">
        <v>2015.0</v>
      </c>
      <c r="B4731" s="2" t="s">
        <v>19955</v>
      </c>
      <c r="C4731" s="2" t="s">
        <v>21114</v>
      </c>
      <c r="D4731" s="2" t="str">
        <f>"7706327445"</f>
        <v>7706327445</v>
      </c>
      <c r="E4731" s="2" t="s">
        <v>19125</v>
      </c>
      <c r="F4731" s="2" t="s">
        <v>19957</v>
      </c>
      <c r="G4731" s="2" t="str">
        <f>"SR-6198"</f>
        <v>SR-6198</v>
      </c>
      <c r="H4731" s="2" t="s">
        <v>21115</v>
      </c>
      <c r="I4731" s="2" t="s">
        <v>21116</v>
      </c>
      <c r="K4731" s="2" t="s">
        <v>2192</v>
      </c>
      <c r="L4731" s="2" t="s">
        <v>200</v>
      </c>
      <c r="M4731" s="2">
        <v>30269.0</v>
      </c>
      <c r="N4731" s="2" t="s">
        <v>21</v>
      </c>
    </row>
    <row r="4732" ht="15.75" customHeight="1">
      <c r="A4732" s="2">
        <v>2015.0</v>
      </c>
      <c r="B4732" s="2" t="s">
        <v>21117</v>
      </c>
      <c r="C4732" s="2" t="s">
        <v>21117</v>
      </c>
      <c r="D4732" s="2" t="str">
        <f>"605-786-4904"</f>
        <v>605-786-4904</v>
      </c>
      <c r="E4732" s="2" t="s">
        <v>6244</v>
      </c>
      <c r="F4732" s="2" t="s">
        <v>21118</v>
      </c>
      <c r="G4732" s="2" t="str">
        <f>"SR-6475"</f>
        <v>SR-6475</v>
      </c>
      <c r="H4732" s="2" t="s">
        <v>21119</v>
      </c>
      <c r="I4732" s="2" t="s">
        <v>21120</v>
      </c>
      <c r="K4732" s="2" t="s">
        <v>11510</v>
      </c>
      <c r="L4732" s="2" t="s">
        <v>920</v>
      </c>
      <c r="M4732" s="2">
        <v>57701.0</v>
      </c>
      <c r="N4732" s="2" t="s">
        <v>21</v>
      </c>
    </row>
    <row r="4733" ht="15.75" customHeight="1">
      <c r="A4733" s="2">
        <v>2015.0</v>
      </c>
      <c r="B4733" s="2" t="s">
        <v>14750</v>
      </c>
      <c r="C4733" s="2" t="s">
        <v>14751</v>
      </c>
      <c r="D4733" s="2" t="str">
        <f>"630-832-3364"</f>
        <v>630-832-3364</v>
      </c>
      <c r="E4733" s="2" t="s">
        <v>2259</v>
      </c>
      <c r="F4733" s="2" t="s">
        <v>14752</v>
      </c>
      <c r="G4733" s="2" t="str">
        <f>"SR-4306"</f>
        <v>SR-4306</v>
      </c>
      <c r="H4733" s="2" t="s">
        <v>14753</v>
      </c>
      <c r="I4733" s="2" t="s">
        <v>14754</v>
      </c>
      <c r="K4733" s="2" t="s">
        <v>14755</v>
      </c>
      <c r="L4733" s="2" t="s">
        <v>105</v>
      </c>
      <c r="M4733" s="2">
        <v>60181.0</v>
      </c>
      <c r="N4733" s="2" t="s">
        <v>21</v>
      </c>
    </row>
    <row r="4734" ht="15.75" customHeight="1">
      <c r="A4734" s="2">
        <v>2015.0</v>
      </c>
      <c r="B4734" s="2" t="s">
        <v>21012</v>
      </c>
      <c r="C4734" s="2" t="s">
        <v>21013</v>
      </c>
      <c r="D4734" s="2" t="str">
        <f>"316-799-2819"</f>
        <v>316-799-2819</v>
      </c>
      <c r="E4734" s="2" t="s">
        <v>11583</v>
      </c>
      <c r="F4734" s="2" t="s">
        <v>3376</v>
      </c>
      <c r="G4734" s="2" t="str">
        <f>"SR-6170"</f>
        <v>SR-6170</v>
      </c>
      <c r="H4734" s="2" t="s">
        <v>21121</v>
      </c>
      <c r="I4734" s="2" t="s">
        <v>21015</v>
      </c>
      <c r="K4734" s="2" t="s">
        <v>21016</v>
      </c>
      <c r="L4734" s="2" t="s">
        <v>272</v>
      </c>
      <c r="M4734" s="2">
        <v>67147.0</v>
      </c>
      <c r="N4734" s="2" t="s">
        <v>21</v>
      </c>
    </row>
    <row r="4735" ht="15.75" customHeight="1">
      <c r="A4735" s="2">
        <v>2015.0</v>
      </c>
      <c r="B4735" s="2" t="s">
        <v>21122</v>
      </c>
      <c r="C4735" s="2" t="s">
        <v>21122</v>
      </c>
      <c r="D4735" s="2" t="str">
        <f>"719-651-7815"</f>
        <v>719-651-7815</v>
      </c>
      <c r="E4735" s="2" t="s">
        <v>975</v>
      </c>
      <c r="F4735" s="2" t="s">
        <v>21123</v>
      </c>
      <c r="G4735" s="2" t="str">
        <f>"SR-6477"</f>
        <v>SR-6477</v>
      </c>
      <c r="H4735" s="2" t="s">
        <v>21124</v>
      </c>
      <c r="I4735" s="2" t="s">
        <v>21125</v>
      </c>
      <c r="K4735" s="2" t="s">
        <v>809</v>
      </c>
      <c r="L4735" s="2" t="s">
        <v>157</v>
      </c>
      <c r="M4735" s="2">
        <v>80907.0</v>
      </c>
      <c r="N4735" s="2" t="s">
        <v>21</v>
      </c>
    </row>
    <row r="4736" ht="15.75" customHeight="1">
      <c r="A4736" s="2">
        <v>2015.0</v>
      </c>
      <c r="B4736" s="2" t="s">
        <v>21126</v>
      </c>
      <c r="C4736" s="2" t="s">
        <v>21126</v>
      </c>
      <c r="D4736" s="2" t="str">
        <f>"9104885411"</f>
        <v>9104885411</v>
      </c>
      <c r="E4736" s="2" t="s">
        <v>659</v>
      </c>
      <c r="F4736" s="2" t="s">
        <v>2930</v>
      </c>
      <c r="G4736" s="2" t="str">
        <f>"SR-5966"</f>
        <v>SR-5966</v>
      </c>
      <c r="H4736" s="2" t="s">
        <v>21127</v>
      </c>
      <c r="I4736" s="2" t="s">
        <v>21128</v>
      </c>
      <c r="K4736" s="2" t="s">
        <v>3164</v>
      </c>
      <c r="L4736" s="2" t="s">
        <v>20</v>
      </c>
      <c r="M4736" s="2">
        <v>28311.0</v>
      </c>
      <c r="N4736" s="2" t="s">
        <v>21</v>
      </c>
    </row>
    <row r="4737" ht="15.75" customHeight="1">
      <c r="A4737" s="2">
        <v>2015.0</v>
      </c>
      <c r="B4737" s="2" t="s">
        <v>21129</v>
      </c>
      <c r="C4737" s="2" t="s">
        <v>21130</v>
      </c>
      <c r="D4737" s="2" t="str">
        <f>"760 234 6988"</f>
        <v>760 234 6988</v>
      </c>
      <c r="E4737" s="2" t="s">
        <v>580</v>
      </c>
      <c r="F4737" s="2" t="s">
        <v>15668</v>
      </c>
      <c r="G4737" s="2" t="str">
        <f>"SR-6471"</f>
        <v>SR-6471</v>
      </c>
      <c r="H4737" s="2" t="s">
        <v>21131</v>
      </c>
      <c r="I4737" s="2" t="s">
        <v>21132</v>
      </c>
      <c r="K4737" s="2" t="s">
        <v>21133</v>
      </c>
      <c r="L4737" s="2" t="s">
        <v>222</v>
      </c>
      <c r="M4737" s="2">
        <v>92251.0</v>
      </c>
      <c r="N4737" s="2" t="s">
        <v>21</v>
      </c>
    </row>
    <row r="4738" ht="15.75" customHeight="1">
      <c r="A4738" s="2">
        <v>2015.0</v>
      </c>
      <c r="B4738" s="2" t="s">
        <v>21134</v>
      </c>
      <c r="C4738" s="2" t="s">
        <v>21135</v>
      </c>
      <c r="D4738" s="2" t="str">
        <f>"6626078343"</f>
        <v>6626078343</v>
      </c>
      <c r="E4738" s="2" t="s">
        <v>705</v>
      </c>
      <c r="F4738" s="2" t="s">
        <v>21136</v>
      </c>
      <c r="G4738" s="2" t="str">
        <f>"SR-6369"</f>
        <v>SR-6369</v>
      </c>
      <c r="H4738" s="2" t="s">
        <v>21137</v>
      </c>
      <c r="I4738" s="2" t="s">
        <v>21138</v>
      </c>
      <c r="K4738" s="2" t="s">
        <v>2147</v>
      </c>
      <c r="L4738" s="2" t="s">
        <v>1722</v>
      </c>
      <c r="M4738" s="2">
        <v>39047.0</v>
      </c>
      <c r="N4738" s="2" t="s">
        <v>21</v>
      </c>
    </row>
    <row r="4739" ht="15.75" customHeight="1">
      <c r="A4739" s="2">
        <v>2015.0</v>
      </c>
      <c r="B4739" s="2" t="s">
        <v>21139</v>
      </c>
      <c r="C4739" s="2" t="s">
        <v>21139</v>
      </c>
      <c r="D4739" s="2" t="str">
        <f>"9513471188"</f>
        <v>9513471188</v>
      </c>
      <c r="E4739" s="2" t="s">
        <v>160</v>
      </c>
      <c r="F4739" s="2" t="s">
        <v>14100</v>
      </c>
      <c r="G4739" s="2" t="str">
        <f>"SR-6345"</f>
        <v>SR-6345</v>
      </c>
      <c r="H4739" s="2" t="s">
        <v>21140</v>
      </c>
      <c r="I4739" s="2" t="s">
        <v>21141</v>
      </c>
      <c r="K4739" s="2" t="s">
        <v>21142</v>
      </c>
      <c r="L4739" s="2" t="s">
        <v>222</v>
      </c>
      <c r="M4739" s="2">
        <v>92553.0</v>
      </c>
      <c r="N4739" s="2" t="s">
        <v>21</v>
      </c>
    </row>
    <row r="4740" ht="15.75" customHeight="1">
      <c r="A4740" s="2">
        <v>2015.0</v>
      </c>
      <c r="B4740" s="2" t="s">
        <v>21143</v>
      </c>
      <c r="C4740" s="2" t="s">
        <v>21144</v>
      </c>
      <c r="D4740" s="2" t="str">
        <f>"2293827913"</f>
        <v>2293827913</v>
      </c>
      <c r="E4740" s="2" t="s">
        <v>4750</v>
      </c>
      <c r="F4740" s="2" t="s">
        <v>1151</v>
      </c>
      <c r="G4740" s="2" t="str">
        <f>"SR-5946"</f>
        <v>SR-5946</v>
      </c>
      <c r="H4740" s="2" t="s">
        <v>21145</v>
      </c>
      <c r="I4740" s="2" t="s">
        <v>21146</v>
      </c>
      <c r="K4740" s="2" t="s">
        <v>21147</v>
      </c>
      <c r="L4740" s="2" t="s">
        <v>200</v>
      </c>
      <c r="M4740" s="2">
        <v>31793.0</v>
      </c>
      <c r="N4740" s="2" t="s">
        <v>21</v>
      </c>
    </row>
    <row r="4741" ht="15.75" customHeight="1">
      <c r="A4741" s="2">
        <v>2015.0</v>
      </c>
      <c r="B4741" s="2" t="s">
        <v>21148</v>
      </c>
      <c r="C4741" s="2" t="s">
        <v>21148</v>
      </c>
      <c r="D4741" s="2" t="str">
        <f>"207-256-2534"</f>
        <v>207-256-2534</v>
      </c>
      <c r="E4741" s="2" t="s">
        <v>12946</v>
      </c>
      <c r="F4741" s="2" t="s">
        <v>12947</v>
      </c>
      <c r="G4741" s="2" t="str">
        <f>"SR-6486"</f>
        <v>SR-6486</v>
      </c>
      <c r="H4741" s="2" t="s">
        <v>12948</v>
      </c>
      <c r="I4741" s="2" t="s">
        <v>21149</v>
      </c>
      <c r="K4741" s="2" t="s">
        <v>21150</v>
      </c>
      <c r="L4741" s="2" t="s">
        <v>208</v>
      </c>
      <c r="M4741" s="2">
        <v>33954.0</v>
      </c>
      <c r="N4741" s="2" t="s">
        <v>21</v>
      </c>
    </row>
    <row r="4742" ht="15.75" customHeight="1">
      <c r="A4742" s="2">
        <v>2015.0</v>
      </c>
      <c r="B4742" s="2" t="s">
        <v>21151</v>
      </c>
      <c r="C4742" s="2" t="s">
        <v>21152</v>
      </c>
      <c r="D4742" s="2" t="str">
        <f>"469-247-9845"</f>
        <v>469-247-9845</v>
      </c>
      <c r="E4742" s="2" t="s">
        <v>2885</v>
      </c>
      <c r="F4742" s="2" t="s">
        <v>21153</v>
      </c>
      <c r="G4742" s="2" t="str">
        <f>"SR-6470"</f>
        <v>SR-6470</v>
      </c>
      <c r="H4742" s="2" t="s">
        <v>21154</v>
      </c>
      <c r="I4742" s="2" t="s">
        <v>21155</v>
      </c>
      <c r="K4742" s="2" t="s">
        <v>2514</v>
      </c>
      <c r="L4742" s="2" t="s">
        <v>172</v>
      </c>
      <c r="M4742" s="2">
        <v>75009.0</v>
      </c>
      <c r="N4742" s="2" t="s">
        <v>21</v>
      </c>
    </row>
    <row r="4743" ht="15.75" customHeight="1">
      <c r="A4743" s="2">
        <v>2015.0</v>
      </c>
      <c r="B4743" s="2" t="s">
        <v>21126</v>
      </c>
      <c r="C4743" s="2" t="s">
        <v>21156</v>
      </c>
      <c r="D4743" s="2" t="str">
        <f>"9104885411"</f>
        <v>9104885411</v>
      </c>
      <c r="E4743" s="2" t="s">
        <v>456</v>
      </c>
      <c r="F4743" s="2" t="s">
        <v>2930</v>
      </c>
      <c r="G4743" s="2" t="str">
        <f>"SR-6091"</f>
        <v>SR-6091</v>
      </c>
      <c r="H4743" s="2" t="s">
        <v>21157</v>
      </c>
      <c r="I4743" s="2" t="s">
        <v>21158</v>
      </c>
      <c r="K4743" s="2" t="s">
        <v>3164</v>
      </c>
      <c r="L4743" s="2" t="s">
        <v>20</v>
      </c>
      <c r="M4743" s="2">
        <v>28311.0</v>
      </c>
      <c r="N4743" s="2" t="s">
        <v>21</v>
      </c>
    </row>
    <row r="4744" ht="15.75" customHeight="1">
      <c r="A4744" s="2">
        <v>2015.0</v>
      </c>
      <c r="B4744" s="2" t="s">
        <v>21159</v>
      </c>
      <c r="C4744" s="2" t="s">
        <v>21160</v>
      </c>
      <c r="D4744" s="2" t="str">
        <f>"8597349080"</f>
        <v>8597349080</v>
      </c>
      <c r="E4744" s="2" t="s">
        <v>705</v>
      </c>
      <c r="F4744" s="2" t="s">
        <v>21161</v>
      </c>
      <c r="G4744" s="2" t="str">
        <f>"SR-6460"</f>
        <v>SR-6460</v>
      </c>
      <c r="H4744" s="2" t="s">
        <v>21162</v>
      </c>
      <c r="I4744" s="2" t="s">
        <v>21163</v>
      </c>
      <c r="K4744" s="2" t="s">
        <v>21164</v>
      </c>
      <c r="L4744" s="2" t="s">
        <v>1236</v>
      </c>
      <c r="M4744" s="2">
        <v>40330.0</v>
      </c>
      <c r="N4744" s="2" t="s">
        <v>21</v>
      </c>
    </row>
    <row r="4745" ht="15.75" customHeight="1">
      <c r="A4745" s="2">
        <v>2015.0</v>
      </c>
      <c r="B4745" s="2" t="s">
        <v>21165</v>
      </c>
      <c r="C4745" s="2" t="s">
        <v>21166</v>
      </c>
      <c r="D4745" s="2" t="str">
        <f>"910-296-7771"</f>
        <v>910-296-7771</v>
      </c>
      <c r="E4745" s="2" t="s">
        <v>4401</v>
      </c>
      <c r="F4745" s="2" t="s">
        <v>3511</v>
      </c>
      <c r="G4745" s="2" t="str">
        <f>"SR-6476"</f>
        <v>SR-6476</v>
      </c>
      <c r="H4745" s="2" t="s">
        <v>21167</v>
      </c>
      <c r="I4745" s="2" t="s">
        <v>21168</v>
      </c>
      <c r="K4745" s="2" t="s">
        <v>21169</v>
      </c>
      <c r="L4745" s="2" t="s">
        <v>20</v>
      </c>
      <c r="M4745" s="2">
        <v>28443.0</v>
      </c>
      <c r="N4745" s="2" t="s">
        <v>21</v>
      </c>
    </row>
    <row r="4746" ht="15.75" customHeight="1">
      <c r="A4746" s="2">
        <v>2015.0</v>
      </c>
      <c r="B4746" s="2" t="s">
        <v>21139</v>
      </c>
      <c r="C4746" s="2" t="s">
        <v>21139</v>
      </c>
      <c r="D4746" s="2" t="str">
        <f>"9513471188"</f>
        <v>9513471188</v>
      </c>
      <c r="E4746" s="2" t="s">
        <v>6059</v>
      </c>
      <c r="F4746" s="2" t="s">
        <v>14100</v>
      </c>
      <c r="G4746" s="2" t="str">
        <f>"SR-6490"</f>
        <v>SR-6490</v>
      </c>
      <c r="H4746" s="2" t="s">
        <v>21170</v>
      </c>
      <c r="I4746" s="2" t="s">
        <v>21141</v>
      </c>
      <c r="K4746" s="2" t="s">
        <v>21142</v>
      </c>
      <c r="L4746" s="2" t="s">
        <v>222</v>
      </c>
      <c r="M4746" s="2">
        <v>92553.0</v>
      </c>
      <c r="N4746" s="2" t="s">
        <v>21</v>
      </c>
    </row>
    <row r="4747" ht="15.75" customHeight="1">
      <c r="A4747" s="2">
        <v>2015.0</v>
      </c>
      <c r="B4747" s="2" t="s">
        <v>21171</v>
      </c>
      <c r="C4747" s="2" t="s">
        <v>21172</v>
      </c>
      <c r="D4747" s="2" t="str">
        <f>"805 914-9212"</f>
        <v>805 914-9212</v>
      </c>
      <c r="E4747" s="2" t="s">
        <v>678</v>
      </c>
      <c r="F4747" s="2" t="s">
        <v>21173</v>
      </c>
      <c r="G4747" s="2" t="str">
        <f>"SR-6431"</f>
        <v>SR-6431</v>
      </c>
      <c r="H4747" s="2" t="s">
        <v>21174</v>
      </c>
      <c r="I4747" s="2" t="s">
        <v>21175</v>
      </c>
      <c r="K4747" s="2" t="s">
        <v>5168</v>
      </c>
      <c r="L4747" s="2" t="s">
        <v>222</v>
      </c>
      <c r="M4747" s="2">
        <v>91360.0</v>
      </c>
      <c r="N4747" s="2" t="s">
        <v>21</v>
      </c>
    </row>
    <row r="4748" ht="15.75" customHeight="1">
      <c r="A4748" s="2">
        <v>2015.0</v>
      </c>
      <c r="B4748" s="2" t="s">
        <v>21176</v>
      </c>
      <c r="C4748" s="2" t="s">
        <v>21176</v>
      </c>
      <c r="D4748" s="2" t="str">
        <f>"2184448120"</f>
        <v>2184448120</v>
      </c>
      <c r="E4748" s="2" t="s">
        <v>2857</v>
      </c>
      <c r="F4748" s="2" t="s">
        <v>21177</v>
      </c>
      <c r="G4748" s="2" t="str">
        <f>"SR-5614"</f>
        <v>SR-5614</v>
      </c>
      <c r="H4748" s="2" t="s">
        <v>21178</v>
      </c>
      <c r="I4748" s="2" t="s">
        <v>21179</v>
      </c>
      <c r="K4748" s="2" t="s">
        <v>21180</v>
      </c>
      <c r="L4748" s="2" t="s">
        <v>62</v>
      </c>
      <c r="M4748" s="2">
        <v>56601.0</v>
      </c>
      <c r="N4748" s="2" t="s">
        <v>21</v>
      </c>
    </row>
    <row r="4749" ht="15.75" customHeight="1">
      <c r="A4749" s="2">
        <v>2015.0</v>
      </c>
      <c r="B4749" s="2" t="s">
        <v>21181</v>
      </c>
      <c r="C4749" s="2" t="s">
        <v>21181</v>
      </c>
      <c r="D4749" s="2" t="str">
        <f>"423-762-1184"</f>
        <v>423-762-1184</v>
      </c>
      <c r="E4749" s="2" t="s">
        <v>13861</v>
      </c>
      <c r="F4749" s="2" t="s">
        <v>4566</v>
      </c>
      <c r="G4749" s="2" t="str">
        <f>"SR-6481"</f>
        <v>SR-6481</v>
      </c>
      <c r="H4749" s="2" t="s">
        <v>21182</v>
      </c>
      <c r="I4749" s="2" t="s">
        <v>21183</v>
      </c>
      <c r="K4749" s="2" t="s">
        <v>4569</v>
      </c>
      <c r="L4749" s="2" t="s">
        <v>200</v>
      </c>
      <c r="M4749" s="2">
        <v>30736.0</v>
      </c>
      <c r="N4749" s="2" t="s">
        <v>21</v>
      </c>
    </row>
    <row r="4750" ht="15.75" customHeight="1">
      <c r="A4750" s="2">
        <v>2015.0</v>
      </c>
      <c r="B4750" s="2" t="s">
        <v>21184</v>
      </c>
      <c r="C4750" s="2" t="s">
        <v>21184</v>
      </c>
      <c r="D4750" s="2" t="str">
        <f>"262-379-0423"</f>
        <v>262-379-0423</v>
      </c>
      <c r="E4750" s="2" t="s">
        <v>160</v>
      </c>
      <c r="F4750" s="2" t="s">
        <v>21185</v>
      </c>
      <c r="G4750" s="2" t="str">
        <f>"SR-6156"</f>
        <v>SR-6156</v>
      </c>
      <c r="H4750" s="2" t="s">
        <v>21186</v>
      </c>
      <c r="I4750" s="2" t="s">
        <v>21187</v>
      </c>
      <c r="K4750" s="2" t="s">
        <v>9635</v>
      </c>
      <c r="L4750" s="2" t="s">
        <v>193</v>
      </c>
      <c r="M4750" s="2">
        <v>53121.0</v>
      </c>
      <c r="N4750" s="2" t="s">
        <v>21</v>
      </c>
    </row>
    <row r="4751" ht="15.75" customHeight="1">
      <c r="A4751" s="2">
        <v>2015.0</v>
      </c>
      <c r="B4751" s="2" t="s">
        <v>21188</v>
      </c>
      <c r="C4751" s="2" t="s">
        <v>21189</v>
      </c>
      <c r="D4751" s="2" t="str">
        <f>"7202571712"</f>
        <v>7202571712</v>
      </c>
      <c r="E4751" s="2" t="s">
        <v>4406</v>
      </c>
      <c r="F4751" s="2" t="s">
        <v>386</v>
      </c>
      <c r="G4751" s="2" t="str">
        <f>"SR-6190"</f>
        <v>SR-6190</v>
      </c>
      <c r="H4751" s="2" t="s">
        <v>21190</v>
      </c>
      <c r="I4751" s="2" t="s">
        <v>21191</v>
      </c>
      <c r="K4751" s="2" t="s">
        <v>1889</v>
      </c>
      <c r="L4751" s="2" t="s">
        <v>157</v>
      </c>
      <c r="M4751" s="2">
        <v>80125.0</v>
      </c>
      <c r="N4751" s="2" t="s">
        <v>21</v>
      </c>
    </row>
    <row r="4752" ht="15.75" customHeight="1">
      <c r="A4752" s="2">
        <v>2015.0</v>
      </c>
      <c r="B4752" s="2" t="s">
        <v>21192</v>
      </c>
      <c r="C4752" s="2" t="s">
        <v>21193</v>
      </c>
      <c r="D4752" s="2" t="str">
        <f>"5593818116"</f>
        <v>5593818116</v>
      </c>
      <c r="E4752" s="2" t="s">
        <v>21194</v>
      </c>
      <c r="F4752" s="2" t="s">
        <v>21195</v>
      </c>
      <c r="G4752" s="2" t="str">
        <f>"SR-6458"</f>
        <v>SR-6458</v>
      </c>
      <c r="H4752" s="2" t="s">
        <v>21196</v>
      </c>
      <c r="I4752" s="2" t="s">
        <v>21197</v>
      </c>
      <c r="K4752" s="2" t="s">
        <v>12882</v>
      </c>
      <c r="L4752" s="2" t="s">
        <v>222</v>
      </c>
      <c r="M4752" s="2">
        <v>93230.0</v>
      </c>
      <c r="N4752" s="2" t="s">
        <v>21</v>
      </c>
    </row>
    <row r="4753" ht="15.75" customHeight="1">
      <c r="A4753" s="2">
        <v>2015.0</v>
      </c>
      <c r="B4753" s="2" t="s">
        <v>21198</v>
      </c>
      <c r="C4753" s="2" t="s">
        <v>21198</v>
      </c>
      <c r="D4753" s="2" t="str">
        <f>"(605)484-4922"</f>
        <v>(605)484-4922</v>
      </c>
      <c r="E4753" s="2" t="s">
        <v>21199</v>
      </c>
      <c r="F4753" s="2" t="s">
        <v>21200</v>
      </c>
      <c r="G4753" s="2" t="str">
        <f>"SR-5899"</f>
        <v>SR-5899</v>
      </c>
      <c r="H4753" s="2" t="s">
        <v>21201</v>
      </c>
      <c r="I4753" s="2" t="s">
        <v>21202</v>
      </c>
      <c r="K4753" s="2" t="s">
        <v>5667</v>
      </c>
      <c r="L4753" s="2" t="s">
        <v>920</v>
      </c>
      <c r="M4753" s="2">
        <v>57567.0</v>
      </c>
      <c r="N4753" s="2" t="s">
        <v>21</v>
      </c>
    </row>
    <row r="4754" ht="15.75" customHeight="1">
      <c r="A4754" s="2">
        <v>2015.0</v>
      </c>
      <c r="B4754" s="2" t="s">
        <v>21203</v>
      </c>
      <c r="C4754" s="2" t="s">
        <v>21204</v>
      </c>
      <c r="D4754" s="2" t="str">
        <f>"9203389494"</f>
        <v>9203389494</v>
      </c>
      <c r="E4754" s="2" t="s">
        <v>72</v>
      </c>
      <c r="F4754" s="2" t="s">
        <v>21205</v>
      </c>
      <c r="G4754" s="2" t="str">
        <f>"SR-6418"</f>
        <v>SR-6418</v>
      </c>
      <c r="H4754" s="2" t="s">
        <v>21206</v>
      </c>
      <c r="I4754" s="2" t="s">
        <v>21207</v>
      </c>
      <c r="K4754" s="2" t="s">
        <v>192</v>
      </c>
      <c r="L4754" s="2" t="s">
        <v>193</v>
      </c>
      <c r="M4754" s="2">
        <v>54935.0</v>
      </c>
      <c r="N4754" s="2" t="s">
        <v>21</v>
      </c>
    </row>
    <row r="4755" ht="15.75" customHeight="1">
      <c r="A4755" s="2">
        <v>2015.0</v>
      </c>
      <c r="B4755" s="2" t="s">
        <v>21208</v>
      </c>
      <c r="C4755" s="2" t="s">
        <v>21208</v>
      </c>
      <c r="D4755" s="2" t="str">
        <f>"3192962808"</f>
        <v>3192962808</v>
      </c>
      <c r="E4755" s="2" t="s">
        <v>1548</v>
      </c>
      <c r="F4755" s="2" t="s">
        <v>21209</v>
      </c>
      <c r="G4755" s="2" t="str">
        <f>"SR-6491"</f>
        <v>SR-6491</v>
      </c>
      <c r="H4755" s="2" t="s">
        <v>21210</v>
      </c>
      <c r="I4755" s="2" t="s">
        <v>21211</v>
      </c>
      <c r="K4755" s="2" t="s">
        <v>13967</v>
      </c>
      <c r="L4755" s="2" t="s">
        <v>560</v>
      </c>
      <c r="M4755" s="2">
        <v>50702.0</v>
      </c>
      <c r="N4755" s="2" t="s">
        <v>21</v>
      </c>
    </row>
    <row r="4756" ht="15.75" customHeight="1">
      <c r="A4756" s="2">
        <v>2015.0</v>
      </c>
      <c r="B4756" s="2" t="s">
        <v>21212</v>
      </c>
      <c r="C4756" s="2" t="s">
        <v>21213</v>
      </c>
      <c r="D4756" s="2" t="str">
        <f>"9722569243"</f>
        <v>9722569243</v>
      </c>
      <c r="E4756" s="2" t="s">
        <v>2361</v>
      </c>
      <c r="F4756" s="2" t="s">
        <v>3527</v>
      </c>
      <c r="G4756" s="2" t="str">
        <f>"SR-6411"</f>
        <v>SR-6411</v>
      </c>
      <c r="H4756" s="2" t="s">
        <v>21214</v>
      </c>
      <c r="I4756" s="2" t="s">
        <v>21215</v>
      </c>
      <c r="K4756" s="2" t="s">
        <v>171</v>
      </c>
      <c r="L4756" s="2" t="s">
        <v>172</v>
      </c>
      <c r="M4756" s="2">
        <v>75010.0</v>
      </c>
      <c r="N4756" s="2" t="s">
        <v>21</v>
      </c>
    </row>
    <row r="4757" ht="15.75" customHeight="1">
      <c r="A4757" s="2">
        <v>2015.0</v>
      </c>
      <c r="B4757" s="2" t="s">
        <v>21216</v>
      </c>
      <c r="C4757" s="2" t="s">
        <v>21216</v>
      </c>
      <c r="D4757" s="2" t="str">
        <f>"5126308804"</f>
        <v>5126308804</v>
      </c>
      <c r="E4757" s="2" t="s">
        <v>644</v>
      </c>
      <c r="F4757" s="2" t="s">
        <v>1859</v>
      </c>
      <c r="G4757" s="2" t="str">
        <f>"SR-6407"</f>
        <v>SR-6407</v>
      </c>
      <c r="H4757" s="2" t="s">
        <v>21217</v>
      </c>
      <c r="I4757" s="2" t="s">
        <v>21218</v>
      </c>
      <c r="K4757" s="2" t="s">
        <v>1141</v>
      </c>
      <c r="L4757" s="2" t="s">
        <v>172</v>
      </c>
      <c r="M4757" s="2">
        <v>78729.0</v>
      </c>
      <c r="N4757" s="2" t="s">
        <v>21</v>
      </c>
    </row>
    <row r="4758" ht="15.75" customHeight="1">
      <c r="A4758" s="2">
        <v>2015.0</v>
      </c>
      <c r="B4758" s="2" t="s">
        <v>21219</v>
      </c>
      <c r="C4758" s="2" t="s">
        <v>21219</v>
      </c>
      <c r="D4758" s="2" t="str">
        <f>"3206795136"</f>
        <v>3206795136</v>
      </c>
      <c r="E4758" s="2" t="s">
        <v>843</v>
      </c>
      <c r="F4758" s="2" t="s">
        <v>12544</v>
      </c>
      <c r="G4758" s="2" t="str">
        <f>"SR-6310"</f>
        <v>SR-6310</v>
      </c>
      <c r="H4758" s="2" t="s">
        <v>12545</v>
      </c>
      <c r="I4758" s="2" t="s">
        <v>21220</v>
      </c>
      <c r="K4758" s="2" t="s">
        <v>21221</v>
      </c>
      <c r="L4758" s="2" t="s">
        <v>62</v>
      </c>
      <c r="M4758" s="2">
        <v>55051.0</v>
      </c>
      <c r="N4758" s="2" t="s">
        <v>21</v>
      </c>
    </row>
    <row r="4759" ht="15.75" customHeight="1">
      <c r="A4759" s="2">
        <v>2015.0</v>
      </c>
      <c r="B4759" s="2" t="s">
        <v>21208</v>
      </c>
      <c r="C4759" s="2" t="s">
        <v>21208</v>
      </c>
      <c r="D4759" s="2" t="str">
        <f>"3192962028"</f>
        <v>3192962028</v>
      </c>
      <c r="E4759" s="2" t="s">
        <v>36</v>
      </c>
      <c r="F4759" s="2" t="s">
        <v>21209</v>
      </c>
      <c r="G4759" s="2" t="str">
        <f>"SR-6489"</f>
        <v>SR-6489</v>
      </c>
      <c r="H4759" s="2" t="s">
        <v>21222</v>
      </c>
      <c r="I4759" s="2" t="s">
        <v>21211</v>
      </c>
      <c r="K4759" s="2" t="s">
        <v>13967</v>
      </c>
      <c r="L4759" s="2" t="s">
        <v>560</v>
      </c>
      <c r="M4759" s="2">
        <v>50702.0</v>
      </c>
      <c r="N4759" s="2" t="s">
        <v>21</v>
      </c>
    </row>
    <row r="4760" ht="15.75" customHeight="1">
      <c r="A4760" s="2">
        <v>2015.0</v>
      </c>
      <c r="B4760" s="2" t="s">
        <v>21223</v>
      </c>
      <c r="C4760" s="2" t="s">
        <v>21224</v>
      </c>
      <c r="D4760" s="2" t="str">
        <f>"540-421-3067"</f>
        <v>540-421-3067</v>
      </c>
      <c r="E4760" s="2" t="s">
        <v>2083</v>
      </c>
      <c r="F4760" s="2" t="s">
        <v>1040</v>
      </c>
      <c r="G4760" s="2" t="str">
        <f>"SR-6468"</f>
        <v>SR-6468</v>
      </c>
      <c r="H4760" s="2" t="s">
        <v>21225</v>
      </c>
      <c r="I4760" s="2" t="s">
        <v>21226</v>
      </c>
      <c r="K4760" s="2" t="s">
        <v>10716</v>
      </c>
      <c r="L4760" s="2" t="s">
        <v>165</v>
      </c>
      <c r="M4760" s="2">
        <v>22801.0</v>
      </c>
      <c r="N4760" s="2" t="s">
        <v>21</v>
      </c>
    </row>
    <row r="4761" ht="15.75" customHeight="1">
      <c r="A4761" s="2">
        <v>2015.0</v>
      </c>
      <c r="B4761" s="2" t="s">
        <v>21227</v>
      </c>
      <c r="C4761" s="2" t="s">
        <v>21228</v>
      </c>
      <c r="D4761" s="2" t="str">
        <f>"4029333557"</f>
        <v>4029333557</v>
      </c>
      <c r="E4761" s="2" t="s">
        <v>2018</v>
      </c>
      <c r="F4761" s="2" t="s">
        <v>7477</v>
      </c>
      <c r="G4761" s="2" t="str">
        <f>"SR-6275"</f>
        <v>SR-6275</v>
      </c>
      <c r="H4761" s="2" t="s">
        <v>21229</v>
      </c>
      <c r="I4761" s="2" t="s">
        <v>21230</v>
      </c>
      <c r="K4761" s="2" t="s">
        <v>3438</v>
      </c>
      <c r="L4761" s="2" t="s">
        <v>757</v>
      </c>
      <c r="M4761" s="2">
        <v>68133.0</v>
      </c>
      <c r="N4761" s="2" t="s">
        <v>21</v>
      </c>
    </row>
    <row r="4762" ht="15.75" customHeight="1">
      <c r="A4762" s="2">
        <v>2015.0</v>
      </c>
      <c r="B4762" s="2" t="s">
        <v>21231</v>
      </c>
      <c r="C4762" s="2" t="s">
        <v>21232</v>
      </c>
      <c r="D4762" s="2" t="str">
        <f>"(619)792-6500"</f>
        <v>(619)792-6500</v>
      </c>
      <c r="E4762" s="2" t="s">
        <v>339</v>
      </c>
      <c r="F4762" s="2" t="s">
        <v>21233</v>
      </c>
      <c r="G4762" s="2" t="str">
        <f>"SR-6484"</f>
        <v>SR-6484</v>
      </c>
      <c r="H4762" s="2" t="s">
        <v>21234</v>
      </c>
      <c r="I4762" s="2" t="s">
        <v>21235</v>
      </c>
      <c r="K4762" s="2" t="s">
        <v>8444</v>
      </c>
      <c r="L4762" s="2" t="s">
        <v>222</v>
      </c>
      <c r="M4762" s="2">
        <v>92021.0</v>
      </c>
      <c r="N4762" s="2" t="s">
        <v>21</v>
      </c>
    </row>
    <row r="4763" ht="15.75" customHeight="1">
      <c r="A4763" s="2">
        <v>2015.0</v>
      </c>
      <c r="B4763" s="2" t="s">
        <v>4430</v>
      </c>
      <c r="C4763" s="2" t="s">
        <v>21236</v>
      </c>
      <c r="D4763" s="2" t="str">
        <f>"6263162558"</f>
        <v>6263162558</v>
      </c>
      <c r="E4763" s="2" t="s">
        <v>160</v>
      </c>
      <c r="F4763" s="2" t="s">
        <v>4432</v>
      </c>
      <c r="G4763" s="2" t="str">
        <f>"SR-6298"</f>
        <v>SR-6298</v>
      </c>
      <c r="H4763" s="2" t="s">
        <v>21237</v>
      </c>
      <c r="I4763" s="2" t="s">
        <v>21238</v>
      </c>
      <c r="K4763" s="2" t="s">
        <v>4435</v>
      </c>
      <c r="L4763" s="2" t="s">
        <v>222</v>
      </c>
      <c r="M4763" s="2">
        <v>91001.0</v>
      </c>
      <c r="N4763" s="2" t="s">
        <v>21</v>
      </c>
    </row>
    <row r="4764" ht="15.75" customHeight="1">
      <c r="A4764" s="2">
        <v>2015.0</v>
      </c>
      <c r="B4764" s="2" t="s">
        <v>21239</v>
      </c>
      <c r="C4764" s="2" t="s">
        <v>21239</v>
      </c>
      <c r="D4764" s="2" t="str">
        <f>"(309) 370-8008"</f>
        <v>(309) 370-8008</v>
      </c>
      <c r="E4764" s="2" t="s">
        <v>10825</v>
      </c>
      <c r="F4764" s="2" t="s">
        <v>1040</v>
      </c>
      <c r="G4764" s="2" t="str">
        <f>"SR-6492"</f>
        <v>SR-6492</v>
      </c>
      <c r="H4764" s="2" t="s">
        <v>21240</v>
      </c>
      <c r="I4764" s="2" t="s">
        <v>21241</v>
      </c>
      <c r="K4764" s="2" t="s">
        <v>21242</v>
      </c>
      <c r="L4764" s="2" t="s">
        <v>2534</v>
      </c>
      <c r="M4764" s="2">
        <v>58854.0</v>
      </c>
      <c r="N4764" s="2" t="s">
        <v>21</v>
      </c>
    </row>
    <row r="4765" ht="15.75" customHeight="1">
      <c r="A4765" s="2">
        <v>2015.0</v>
      </c>
      <c r="B4765" s="2" t="s">
        <v>21243</v>
      </c>
      <c r="C4765" s="2" t="s">
        <v>21244</v>
      </c>
      <c r="D4765" s="2" t="str">
        <f>"9155399193"</f>
        <v>9155399193</v>
      </c>
      <c r="E4765" s="2" t="s">
        <v>261</v>
      </c>
      <c r="F4765" s="2" t="s">
        <v>2063</v>
      </c>
      <c r="G4765" s="2" t="str">
        <f>"SR-5906"</f>
        <v>SR-5906</v>
      </c>
      <c r="H4765" s="2" t="s">
        <v>21245</v>
      </c>
      <c r="I4765" s="2" t="s">
        <v>21246</v>
      </c>
      <c r="K4765" s="2" t="s">
        <v>21247</v>
      </c>
      <c r="L4765" s="2" t="s">
        <v>172</v>
      </c>
      <c r="M4765" s="2">
        <v>79905.0</v>
      </c>
      <c r="N4765" s="2" t="s">
        <v>21</v>
      </c>
    </row>
    <row r="4766" ht="15.75" customHeight="1">
      <c r="A4766" s="2">
        <v>2015.0</v>
      </c>
      <c r="B4766" s="2" t="s">
        <v>21208</v>
      </c>
      <c r="C4766" s="2" t="s">
        <v>21208</v>
      </c>
      <c r="D4766" s="2" t="str">
        <f>"3192962028"</f>
        <v>3192962028</v>
      </c>
      <c r="E4766" s="2" t="s">
        <v>862</v>
      </c>
      <c r="F4766" s="2" t="s">
        <v>21209</v>
      </c>
      <c r="G4766" s="2" t="str">
        <f>"SR-6497"</f>
        <v>SR-6497</v>
      </c>
      <c r="H4766" s="2" t="s">
        <v>21248</v>
      </c>
      <c r="I4766" s="2" t="s">
        <v>21211</v>
      </c>
      <c r="K4766" s="2" t="s">
        <v>13967</v>
      </c>
      <c r="L4766" s="2" t="s">
        <v>560</v>
      </c>
      <c r="M4766" s="2">
        <v>50702.0</v>
      </c>
      <c r="N4766" s="2" t="s">
        <v>21</v>
      </c>
    </row>
    <row r="4767" ht="15.75" customHeight="1">
      <c r="A4767" s="2">
        <v>2015.0</v>
      </c>
      <c r="B4767" s="2" t="s">
        <v>21249</v>
      </c>
      <c r="C4767" s="2" t="s">
        <v>21250</v>
      </c>
      <c r="D4767" s="2" t="str">
        <f>"7204591501"</f>
        <v>7204591501</v>
      </c>
      <c r="E4767" s="2" t="s">
        <v>21251</v>
      </c>
      <c r="F4767" s="2" t="s">
        <v>1756</v>
      </c>
      <c r="G4767" s="2" t="str">
        <f>"SR-6428"</f>
        <v>SR-6428</v>
      </c>
      <c r="H4767" s="2" t="s">
        <v>21252</v>
      </c>
      <c r="I4767" s="2" t="s">
        <v>21253</v>
      </c>
      <c r="K4767" s="2" t="s">
        <v>1889</v>
      </c>
      <c r="L4767" s="2" t="s">
        <v>157</v>
      </c>
      <c r="M4767" s="2">
        <v>80127.0</v>
      </c>
      <c r="N4767" s="2" t="s">
        <v>21</v>
      </c>
    </row>
    <row r="4768" ht="15.75" customHeight="1">
      <c r="A4768" s="2">
        <v>2015.0</v>
      </c>
      <c r="B4768" s="2" t="s">
        <v>21254</v>
      </c>
      <c r="C4768" s="2" t="s">
        <v>21255</v>
      </c>
      <c r="D4768" s="2" t="str">
        <f>"2058225635"</f>
        <v>2058225635</v>
      </c>
      <c r="E4768" s="2" t="s">
        <v>21256</v>
      </c>
      <c r="F4768" s="2" t="s">
        <v>21257</v>
      </c>
      <c r="G4768" s="2" t="str">
        <f>"SR-5791"</f>
        <v>SR-5791</v>
      </c>
      <c r="H4768" s="2" t="s">
        <v>21258</v>
      </c>
      <c r="I4768" s="2" t="s">
        <v>21259</v>
      </c>
      <c r="K4768" s="2" t="s">
        <v>5600</v>
      </c>
      <c r="L4768" s="2" t="s">
        <v>539</v>
      </c>
      <c r="M4768" s="2">
        <v>35226.0</v>
      </c>
      <c r="N4768" s="2" t="s">
        <v>21</v>
      </c>
    </row>
    <row r="4769" ht="15.75" customHeight="1">
      <c r="A4769" s="2">
        <v>2015.0</v>
      </c>
      <c r="B4769" s="2" t="s">
        <v>21109</v>
      </c>
      <c r="C4769" s="2" t="s">
        <v>21260</v>
      </c>
      <c r="D4769" s="2" t="str">
        <f>"406-671-7706"</f>
        <v>406-671-7706</v>
      </c>
      <c r="E4769" s="2" t="s">
        <v>2259</v>
      </c>
      <c r="F4769" s="2" t="s">
        <v>3561</v>
      </c>
      <c r="G4769" s="2" t="str">
        <f>"SR-6493"</f>
        <v>SR-6493</v>
      </c>
      <c r="H4769" s="2" t="s">
        <v>21261</v>
      </c>
      <c r="I4769" s="2" t="s">
        <v>21262</v>
      </c>
      <c r="K4769" s="2" t="s">
        <v>3548</v>
      </c>
      <c r="L4769" s="2" t="s">
        <v>2696</v>
      </c>
      <c r="M4769" s="2">
        <v>59106.0</v>
      </c>
      <c r="N4769" s="2" t="s">
        <v>21</v>
      </c>
    </row>
    <row r="4770" ht="15.75" customHeight="1">
      <c r="A4770" s="2">
        <v>2015.0</v>
      </c>
      <c r="B4770" s="2" t="s">
        <v>21263</v>
      </c>
      <c r="C4770" s="2" t="s">
        <v>21264</v>
      </c>
      <c r="D4770" s="2" t="str">
        <f>"6414856603"</f>
        <v>6414856603</v>
      </c>
      <c r="E4770" s="2" t="s">
        <v>373</v>
      </c>
      <c r="F4770" s="2" t="s">
        <v>21265</v>
      </c>
      <c r="G4770" s="2" t="str">
        <f>"SR-6377"</f>
        <v>SR-6377</v>
      </c>
      <c r="H4770" s="2" t="s">
        <v>21266</v>
      </c>
      <c r="I4770" s="2" t="s">
        <v>21267</v>
      </c>
      <c r="J4770" s="2" t="s">
        <v>21268</v>
      </c>
      <c r="K4770" s="2" t="s">
        <v>21269</v>
      </c>
      <c r="L4770" s="2" t="s">
        <v>560</v>
      </c>
      <c r="M4770" s="2">
        <v>50120.0</v>
      </c>
      <c r="N4770" s="2" t="s">
        <v>21</v>
      </c>
    </row>
    <row r="4771" ht="15.75" customHeight="1">
      <c r="A4771" s="2">
        <v>2015.0</v>
      </c>
      <c r="B4771" s="2" t="s">
        <v>21270</v>
      </c>
      <c r="C4771" s="2" t="s">
        <v>21270</v>
      </c>
      <c r="D4771" s="2" t="str">
        <f>"12624987715"</f>
        <v>12624987715</v>
      </c>
      <c r="E4771" s="2" t="s">
        <v>5760</v>
      </c>
      <c r="F4771" s="2" t="s">
        <v>21271</v>
      </c>
      <c r="G4771" s="2" t="str">
        <f>"SR-6479"</f>
        <v>SR-6479</v>
      </c>
      <c r="H4771" s="2" t="s">
        <v>21272</v>
      </c>
      <c r="I4771" s="2" t="s">
        <v>21273</v>
      </c>
      <c r="K4771" s="2" t="s">
        <v>2198</v>
      </c>
      <c r="L4771" s="2" t="s">
        <v>193</v>
      </c>
      <c r="M4771" s="2">
        <v>53406.0</v>
      </c>
      <c r="N4771" s="2" t="s">
        <v>21</v>
      </c>
    </row>
    <row r="4772" ht="15.75" customHeight="1">
      <c r="A4772" s="2">
        <v>2015.0</v>
      </c>
      <c r="B4772" s="2" t="s">
        <v>21274</v>
      </c>
      <c r="C4772" s="2" t="s">
        <v>21275</v>
      </c>
      <c r="D4772" s="2" t="str">
        <f>"9139158607"</f>
        <v>9139158607</v>
      </c>
      <c r="E4772" s="2" t="s">
        <v>81</v>
      </c>
      <c r="F4772" s="2" t="s">
        <v>16668</v>
      </c>
      <c r="G4772" s="2" t="str">
        <f>"SR-6001"</f>
        <v>SR-6001</v>
      </c>
      <c r="H4772" s="2" t="s">
        <v>21276</v>
      </c>
      <c r="I4772" s="2" t="s">
        <v>21277</v>
      </c>
      <c r="K4772" s="2" t="s">
        <v>3103</v>
      </c>
      <c r="L4772" s="2" t="s">
        <v>272</v>
      </c>
      <c r="M4772" s="2">
        <v>66204.0</v>
      </c>
      <c r="N4772" s="2" t="s">
        <v>21</v>
      </c>
    </row>
    <row r="4773" ht="15.75" customHeight="1">
      <c r="A4773" s="2">
        <v>2015.0</v>
      </c>
      <c r="B4773" s="2" t="s">
        <v>21278</v>
      </c>
      <c r="C4773" s="2" t="s">
        <v>21278</v>
      </c>
      <c r="D4773" s="2" t="str">
        <f>"828-297-3613"</f>
        <v>828-297-3613</v>
      </c>
      <c r="E4773" s="2" t="s">
        <v>217</v>
      </c>
      <c r="F4773" s="2" t="s">
        <v>3964</v>
      </c>
      <c r="G4773" s="2" t="str">
        <f>"SR-6496"</f>
        <v>SR-6496</v>
      </c>
      <c r="H4773" s="2" t="s">
        <v>21279</v>
      </c>
      <c r="I4773" s="2" t="s">
        <v>21280</v>
      </c>
      <c r="J4773" s="2" t="s">
        <v>21281</v>
      </c>
      <c r="K4773" s="2" t="s">
        <v>21282</v>
      </c>
      <c r="L4773" s="2" t="s">
        <v>20</v>
      </c>
      <c r="M4773" s="2">
        <v>28692.0</v>
      </c>
      <c r="N4773" s="2" t="s">
        <v>21</v>
      </c>
    </row>
    <row r="4774" ht="15.75" customHeight="1">
      <c r="A4774" s="2">
        <v>2015.0</v>
      </c>
      <c r="B4774" s="2" t="s">
        <v>21283</v>
      </c>
      <c r="C4774" s="2" t="s">
        <v>21283</v>
      </c>
      <c r="D4774" s="2" t="str">
        <f>"7125400977"</f>
        <v>7125400977</v>
      </c>
      <c r="E4774" s="2" t="s">
        <v>2988</v>
      </c>
      <c r="F4774" s="2" t="s">
        <v>10530</v>
      </c>
      <c r="G4774" s="2" t="str">
        <f>"SR-6494"</f>
        <v>SR-6494</v>
      </c>
      <c r="H4774" s="2" t="s">
        <v>21284</v>
      </c>
      <c r="I4774" s="2" t="s">
        <v>10546</v>
      </c>
      <c r="K4774" s="2" t="s">
        <v>10533</v>
      </c>
      <c r="L4774" s="2" t="s">
        <v>560</v>
      </c>
      <c r="M4774" s="2">
        <v>51108.0</v>
      </c>
      <c r="N4774" s="2" t="s">
        <v>21</v>
      </c>
    </row>
    <row r="4775" ht="15.75" customHeight="1">
      <c r="A4775" s="2">
        <v>2015.0</v>
      </c>
      <c r="B4775" s="2" t="s">
        <v>21285</v>
      </c>
      <c r="C4775" s="2" t="s">
        <v>21285</v>
      </c>
      <c r="D4775" s="2" t="str">
        <f>"847-997-5376"</f>
        <v>847-997-5376</v>
      </c>
      <c r="E4775" s="2" t="s">
        <v>1799</v>
      </c>
      <c r="F4775" s="2" t="s">
        <v>21286</v>
      </c>
      <c r="G4775" s="2" t="str">
        <f>"SR-6474"</f>
        <v>SR-6474</v>
      </c>
      <c r="H4775" s="2" t="s">
        <v>21287</v>
      </c>
      <c r="I4775" s="2" t="s">
        <v>21288</v>
      </c>
      <c r="K4775" s="2" t="s">
        <v>18179</v>
      </c>
      <c r="L4775" s="2" t="s">
        <v>105</v>
      </c>
      <c r="M4775" s="2">
        <v>60096.0</v>
      </c>
      <c r="N4775" s="2" t="s">
        <v>21</v>
      </c>
    </row>
    <row r="4776" ht="15.75" customHeight="1">
      <c r="A4776" s="2">
        <v>2015.0</v>
      </c>
      <c r="B4776" s="2" t="s">
        <v>21289</v>
      </c>
      <c r="C4776" s="2" t="s">
        <v>21290</v>
      </c>
      <c r="D4776" s="2" t="str">
        <f>"5402888080"</f>
        <v>5402888080</v>
      </c>
      <c r="E4776" s="2" t="s">
        <v>843</v>
      </c>
      <c r="F4776" s="2" t="s">
        <v>15470</v>
      </c>
      <c r="G4776" s="2" t="str">
        <f>"SR-6498"</f>
        <v>SR-6498</v>
      </c>
      <c r="H4776" s="2" t="s">
        <v>21291</v>
      </c>
      <c r="I4776" s="2" t="s">
        <v>21292</v>
      </c>
      <c r="K4776" s="2" t="s">
        <v>5675</v>
      </c>
      <c r="L4776" s="2" t="s">
        <v>165</v>
      </c>
      <c r="M4776" s="2">
        <v>22554.0</v>
      </c>
      <c r="N4776" s="2" t="s">
        <v>21</v>
      </c>
    </row>
    <row r="4777" ht="15.75" customHeight="1">
      <c r="A4777" s="2">
        <v>2015.0</v>
      </c>
      <c r="B4777" s="2" t="s">
        <v>10544</v>
      </c>
      <c r="C4777" s="2" t="s">
        <v>10544</v>
      </c>
      <c r="D4777" s="2" t="str">
        <f>"7128986507"</f>
        <v>7128986507</v>
      </c>
      <c r="E4777" s="2" t="s">
        <v>1548</v>
      </c>
      <c r="F4777" s="2" t="s">
        <v>10530</v>
      </c>
      <c r="G4777" s="2" t="str">
        <f>"SR-6501"</f>
        <v>SR-6501</v>
      </c>
      <c r="H4777" s="2" t="s">
        <v>10545</v>
      </c>
      <c r="I4777" s="2" t="s">
        <v>10546</v>
      </c>
      <c r="K4777" s="2" t="s">
        <v>10533</v>
      </c>
      <c r="L4777" s="2" t="s">
        <v>560</v>
      </c>
      <c r="M4777" s="2">
        <v>51108.0</v>
      </c>
      <c r="N4777" s="2" t="s">
        <v>21</v>
      </c>
    </row>
    <row r="4778" ht="15.75" customHeight="1">
      <c r="A4778" s="2">
        <v>2015.0</v>
      </c>
      <c r="B4778" s="2" t="s">
        <v>21293</v>
      </c>
      <c r="C4778" s="2" t="s">
        <v>21294</v>
      </c>
      <c r="D4778" s="2" t="str">
        <f>"1-316-682-1378"</f>
        <v>1-316-682-1378</v>
      </c>
      <c r="E4778" s="2" t="s">
        <v>21295</v>
      </c>
      <c r="F4778" s="2" t="s">
        <v>4330</v>
      </c>
      <c r="G4778" s="2" t="str">
        <f>"SR-6500"</f>
        <v>SR-6500</v>
      </c>
      <c r="H4778" s="2" t="s">
        <v>21296</v>
      </c>
      <c r="I4778" s="2" t="s">
        <v>21297</v>
      </c>
      <c r="K4778" s="2" t="s">
        <v>606</v>
      </c>
      <c r="L4778" s="2" t="s">
        <v>272</v>
      </c>
      <c r="M4778" s="2">
        <v>67206.0</v>
      </c>
      <c r="N4778" s="2" t="s">
        <v>21</v>
      </c>
    </row>
    <row r="4779" ht="15.75" customHeight="1">
      <c r="A4779" s="2">
        <v>2015.0</v>
      </c>
      <c r="B4779" s="2" t="s">
        <v>5454</v>
      </c>
      <c r="C4779" s="2" t="s">
        <v>21298</v>
      </c>
      <c r="D4779" s="2" t="str">
        <f>"301-223-1237"</f>
        <v>301-223-1237</v>
      </c>
      <c r="E4779" s="2" t="s">
        <v>339</v>
      </c>
      <c r="F4779" s="2" t="s">
        <v>5457</v>
      </c>
      <c r="G4779" s="2" t="str">
        <f>"SR-6495"</f>
        <v>SR-6495</v>
      </c>
      <c r="H4779" s="2" t="s">
        <v>21299</v>
      </c>
      <c r="I4779" s="2" t="s">
        <v>12481</v>
      </c>
      <c r="K4779" s="2" t="s">
        <v>5460</v>
      </c>
      <c r="L4779" s="2" t="s">
        <v>1868</v>
      </c>
      <c r="M4779" s="2">
        <v>21795.0</v>
      </c>
      <c r="N4779" s="2" t="s">
        <v>21</v>
      </c>
    </row>
    <row r="4780" ht="15.75" customHeight="1">
      <c r="A4780" s="2">
        <v>2015.0</v>
      </c>
      <c r="B4780" s="2" t="s">
        <v>12467</v>
      </c>
      <c r="C4780" s="2" t="s">
        <v>12468</v>
      </c>
      <c r="D4780" s="2" t="str">
        <f>"2182340921"</f>
        <v>2182340921</v>
      </c>
      <c r="E4780" s="2" t="s">
        <v>15</v>
      </c>
      <c r="F4780" s="2" t="s">
        <v>12086</v>
      </c>
      <c r="G4780" s="2" t="str">
        <f>"SR-3499"</f>
        <v>SR-3499</v>
      </c>
      <c r="H4780" s="2" t="s">
        <v>12469</v>
      </c>
      <c r="I4780" s="2" t="s">
        <v>12470</v>
      </c>
      <c r="K4780" s="2" t="s">
        <v>12089</v>
      </c>
      <c r="L4780" s="2" t="s">
        <v>62</v>
      </c>
      <c r="M4780" s="2">
        <v>56544.0</v>
      </c>
      <c r="N4780" s="2" t="s">
        <v>21</v>
      </c>
    </row>
    <row r="4781" ht="15.75" customHeight="1">
      <c r="A4781" s="2">
        <v>2015.0</v>
      </c>
      <c r="B4781" s="2" t="s">
        <v>21293</v>
      </c>
      <c r="C4781" s="2" t="s">
        <v>21300</v>
      </c>
      <c r="D4781" s="2" t="str">
        <f>"316 519 5299"</f>
        <v>316 519 5299</v>
      </c>
      <c r="E4781" s="2" t="s">
        <v>217</v>
      </c>
      <c r="F4781" s="2" t="s">
        <v>4330</v>
      </c>
      <c r="G4781" s="2" t="str">
        <f>"SR-6503"</f>
        <v>SR-6503</v>
      </c>
      <c r="H4781" s="2" t="s">
        <v>21301</v>
      </c>
      <c r="I4781" s="2" t="s">
        <v>21297</v>
      </c>
      <c r="K4781" s="2" t="s">
        <v>606</v>
      </c>
      <c r="L4781" s="2" t="s">
        <v>272</v>
      </c>
      <c r="M4781" s="2">
        <v>67206.0</v>
      </c>
      <c r="N4781" s="2" t="s">
        <v>21</v>
      </c>
    </row>
    <row r="4782" ht="15.75" customHeight="1">
      <c r="A4782" s="2">
        <v>2015.0</v>
      </c>
      <c r="B4782" s="2" t="s">
        <v>21302</v>
      </c>
      <c r="C4782" s="2" t="s">
        <v>21302</v>
      </c>
      <c r="D4782" s="2" t="str">
        <f>"(626) 633-2718"</f>
        <v>(626) 633-2718</v>
      </c>
      <c r="E4782" s="2" t="s">
        <v>2147</v>
      </c>
      <c r="F4782" s="2" t="s">
        <v>21303</v>
      </c>
      <c r="G4782" s="2" t="str">
        <f>"SR-6505"</f>
        <v>SR-6505</v>
      </c>
      <c r="H4782" s="2" t="s">
        <v>21304</v>
      </c>
      <c r="I4782" s="2" t="s">
        <v>21305</v>
      </c>
      <c r="K4782" s="2" t="s">
        <v>7320</v>
      </c>
      <c r="L4782" s="2" t="s">
        <v>222</v>
      </c>
      <c r="M4782" s="2">
        <v>91741.0</v>
      </c>
      <c r="N4782" s="2" t="s">
        <v>21</v>
      </c>
    </row>
    <row r="4783" ht="15.75" customHeight="1">
      <c r="A4783" s="2">
        <v>2015.0</v>
      </c>
      <c r="B4783" s="2" t="s">
        <v>21306</v>
      </c>
      <c r="C4783" s="2" t="s">
        <v>21307</v>
      </c>
      <c r="D4783" s="2" t="str">
        <f>"904-541-0804"</f>
        <v>904-541-0804</v>
      </c>
      <c r="E4783" s="2" t="s">
        <v>21308</v>
      </c>
      <c r="F4783" s="2" t="s">
        <v>538</v>
      </c>
      <c r="G4783" s="2" t="str">
        <f>"SR-6346"</f>
        <v>SR-6346</v>
      </c>
      <c r="H4783" s="2" t="s">
        <v>21309</v>
      </c>
      <c r="I4783" s="2" t="s">
        <v>21310</v>
      </c>
      <c r="K4783" s="2" t="s">
        <v>21311</v>
      </c>
      <c r="L4783" s="2" t="s">
        <v>208</v>
      </c>
      <c r="M4783" s="2">
        <v>32003.0</v>
      </c>
      <c r="N4783" s="2" t="s">
        <v>21</v>
      </c>
    </row>
    <row r="4784" ht="15.75" customHeight="1">
      <c r="A4784" s="2">
        <v>2015.0</v>
      </c>
      <c r="B4784" s="2" t="s">
        <v>21312</v>
      </c>
      <c r="C4784" s="2" t="s">
        <v>21312</v>
      </c>
      <c r="D4784" s="2" t="str">
        <f>"7575622060"</f>
        <v>7575622060</v>
      </c>
      <c r="E4784" s="2" t="s">
        <v>1263</v>
      </c>
      <c r="F4784" s="2" t="s">
        <v>21313</v>
      </c>
      <c r="G4784" s="2" t="str">
        <f>"SR-6504"</f>
        <v>SR-6504</v>
      </c>
      <c r="H4784" s="2" t="s">
        <v>21314</v>
      </c>
      <c r="I4784" s="2" t="s">
        <v>21315</v>
      </c>
      <c r="K4784" s="2" t="s">
        <v>278</v>
      </c>
      <c r="L4784" s="2" t="s">
        <v>165</v>
      </c>
      <c r="M4784" s="2">
        <v>23851.0</v>
      </c>
      <c r="N4784" s="2" t="s">
        <v>21</v>
      </c>
    </row>
    <row r="4785" ht="15.75" customHeight="1">
      <c r="A4785" s="2">
        <v>2015.0</v>
      </c>
      <c r="B4785" s="2" t="s">
        <v>21316</v>
      </c>
      <c r="C4785" s="2" t="s">
        <v>21317</v>
      </c>
      <c r="D4785" s="2" t="str">
        <f>"702 747 0529"</f>
        <v>702 747 0529</v>
      </c>
      <c r="E4785" s="2" t="s">
        <v>16822</v>
      </c>
      <c r="F4785" s="2" t="s">
        <v>21318</v>
      </c>
      <c r="G4785" s="2" t="str">
        <f>"SR-6506"</f>
        <v>SR-6506</v>
      </c>
      <c r="H4785" s="2" t="s">
        <v>21319</v>
      </c>
      <c r="I4785" s="2" t="s">
        <v>21320</v>
      </c>
      <c r="K4785" s="2" t="s">
        <v>21321</v>
      </c>
      <c r="L4785" s="2" t="s">
        <v>1419</v>
      </c>
      <c r="M4785" s="2">
        <v>89131.0</v>
      </c>
      <c r="N4785" s="2" t="s">
        <v>21</v>
      </c>
    </row>
    <row r="4786" ht="15.75" customHeight="1">
      <c r="A4786" s="2">
        <v>2015.0</v>
      </c>
      <c r="B4786" s="2" t="s">
        <v>21322</v>
      </c>
      <c r="C4786" s="2" t="s">
        <v>21323</v>
      </c>
      <c r="D4786" s="2" t="str">
        <f>"615-975-1104"</f>
        <v>615-975-1104</v>
      </c>
      <c r="E4786" s="2" t="s">
        <v>217</v>
      </c>
      <c r="F4786" s="2" t="s">
        <v>21324</v>
      </c>
      <c r="G4786" s="2" t="str">
        <f>"SR-6507"</f>
        <v>SR-6507</v>
      </c>
      <c r="H4786" s="2" t="s">
        <v>21325</v>
      </c>
      <c r="I4786" s="2" t="s">
        <v>21326</v>
      </c>
      <c r="K4786" s="2" t="s">
        <v>278</v>
      </c>
      <c r="L4786" s="2" t="s">
        <v>279</v>
      </c>
      <c r="M4786" s="2">
        <v>37067.0</v>
      </c>
      <c r="N4786" s="2" t="s">
        <v>21</v>
      </c>
    </row>
    <row r="4787" ht="15.75" customHeight="1">
      <c r="A4787" s="2">
        <v>2015.0</v>
      </c>
      <c r="B4787" s="2" t="s">
        <v>21327</v>
      </c>
      <c r="C4787" s="2" t="s">
        <v>21327</v>
      </c>
      <c r="D4787" s="2" t="str">
        <f>"9174037450"</f>
        <v>9174037450</v>
      </c>
      <c r="E4787" s="2" t="s">
        <v>3460</v>
      </c>
      <c r="F4787" s="2" t="s">
        <v>21328</v>
      </c>
      <c r="G4787" s="2" t="str">
        <f>"SR-6394"</f>
        <v>SR-6394</v>
      </c>
      <c r="H4787" s="2" t="s">
        <v>21329</v>
      </c>
      <c r="I4787" s="2" t="s">
        <v>21330</v>
      </c>
      <c r="K4787" s="2" t="s">
        <v>21331</v>
      </c>
      <c r="L4787" s="2" t="s">
        <v>142</v>
      </c>
      <c r="M4787" s="2">
        <v>11104.0</v>
      </c>
      <c r="N4787" s="2" t="s">
        <v>21</v>
      </c>
    </row>
    <row r="4788" ht="15.75" customHeight="1">
      <c r="A4788" s="2">
        <v>2015.0</v>
      </c>
      <c r="B4788" s="2" t="s">
        <v>21332</v>
      </c>
      <c r="C4788" s="2" t="s">
        <v>21332</v>
      </c>
      <c r="D4788" s="2" t="str">
        <f>"704-535-5569"</f>
        <v>704-535-5569</v>
      </c>
      <c r="E4788" s="2" t="s">
        <v>1094</v>
      </c>
      <c r="F4788" s="2" t="s">
        <v>21333</v>
      </c>
      <c r="G4788" s="2" t="str">
        <f>"SR-6305"</f>
        <v>SR-6305</v>
      </c>
      <c r="H4788" s="2" t="s">
        <v>21334</v>
      </c>
      <c r="I4788" s="2" t="s">
        <v>21335</v>
      </c>
      <c r="K4788" s="2" t="s">
        <v>19</v>
      </c>
      <c r="L4788" s="2" t="s">
        <v>20</v>
      </c>
      <c r="M4788" s="2">
        <v>28227.0</v>
      </c>
      <c r="N4788" s="2" t="s">
        <v>21</v>
      </c>
    </row>
    <row r="4789" ht="15.75" customHeight="1">
      <c r="A4789" s="2">
        <v>2015.0</v>
      </c>
      <c r="B4789" s="2" t="s">
        <v>21336</v>
      </c>
      <c r="C4789" s="2" t="s">
        <v>21337</v>
      </c>
      <c r="D4789" s="2" t="str">
        <f>"(717)479-0733"</f>
        <v>(717)479-0733</v>
      </c>
      <c r="E4789" s="2" t="s">
        <v>9828</v>
      </c>
      <c r="F4789" s="2" t="s">
        <v>21338</v>
      </c>
      <c r="G4789" s="2" t="str">
        <f>"SR-6510"</f>
        <v>SR-6510</v>
      </c>
      <c r="H4789" s="2" t="s">
        <v>21339</v>
      </c>
      <c r="I4789" s="2" t="s">
        <v>21340</v>
      </c>
      <c r="K4789" s="2" t="s">
        <v>21341</v>
      </c>
      <c r="L4789" s="2" t="s">
        <v>179</v>
      </c>
      <c r="M4789" s="2">
        <v>17331.0</v>
      </c>
      <c r="N4789" s="2" t="s">
        <v>21</v>
      </c>
    </row>
    <row r="4790" ht="15.75" customHeight="1">
      <c r="A4790" s="2">
        <v>2015.0</v>
      </c>
      <c r="B4790" s="2" t="s">
        <v>21342</v>
      </c>
      <c r="C4790" s="2" t="s">
        <v>21343</v>
      </c>
      <c r="D4790" s="2" t="str">
        <f>"719-964-1112"</f>
        <v>719-964-1112</v>
      </c>
      <c r="E4790" s="2" t="s">
        <v>2147</v>
      </c>
      <c r="F4790" s="2" t="s">
        <v>6718</v>
      </c>
      <c r="G4790" s="2" t="str">
        <f>"SR-5222"</f>
        <v>SR-5222</v>
      </c>
      <c r="H4790" s="2" t="s">
        <v>21344</v>
      </c>
      <c r="I4790" s="2" t="s">
        <v>21345</v>
      </c>
      <c r="K4790" s="2" t="s">
        <v>809</v>
      </c>
      <c r="L4790" s="2" t="s">
        <v>157</v>
      </c>
      <c r="M4790" s="2">
        <v>80920.0</v>
      </c>
      <c r="N4790" s="2" t="s">
        <v>21</v>
      </c>
    </row>
    <row r="4791" ht="15.75" customHeight="1">
      <c r="A4791" s="2">
        <v>2015.0</v>
      </c>
      <c r="B4791" s="2" t="s">
        <v>21346</v>
      </c>
      <c r="C4791" s="2" t="s">
        <v>21347</v>
      </c>
      <c r="D4791" s="2" t="str">
        <f>"8103382216"</f>
        <v>8103382216</v>
      </c>
      <c r="E4791" s="2" t="s">
        <v>1197</v>
      </c>
      <c r="F4791" s="2" t="s">
        <v>11517</v>
      </c>
      <c r="G4791" s="2" t="str">
        <f>"SR-6512"</f>
        <v>SR-6512</v>
      </c>
      <c r="H4791" s="2" t="s">
        <v>21348</v>
      </c>
      <c r="I4791" s="2" t="s">
        <v>21349</v>
      </c>
      <c r="K4791" s="2" t="s">
        <v>21350</v>
      </c>
      <c r="L4791" s="2" t="s">
        <v>29</v>
      </c>
      <c r="M4791" s="2">
        <v>48412.0</v>
      </c>
      <c r="N4791" s="2" t="s">
        <v>21</v>
      </c>
    </row>
    <row r="4792" ht="15.75" customHeight="1">
      <c r="A4792" s="2">
        <v>2015.0</v>
      </c>
      <c r="B4792" s="2" t="s">
        <v>21351</v>
      </c>
      <c r="C4792" s="2" t="s">
        <v>21352</v>
      </c>
      <c r="D4792" s="2" t="str">
        <f>"7192634025"</f>
        <v>7192634025</v>
      </c>
      <c r="E4792" s="2" t="s">
        <v>1088</v>
      </c>
      <c r="F4792" s="2" t="s">
        <v>962</v>
      </c>
      <c r="G4792" s="2" t="str">
        <f>"SR-6513"</f>
        <v>SR-6513</v>
      </c>
      <c r="H4792" s="2" t="s">
        <v>21353</v>
      </c>
      <c r="I4792" s="2" t="s">
        <v>21354</v>
      </c>
      <c r="K4792" s="2" t="s">
        <v>12320</v>
      </c>
      <c r="L4792" s="2" t="s">
        <v>157</v>
      </c>
      <c r="M4792" s="2">
        <v>81039.0</v>
      </c>
      <c r="N4792" s="2" t="s">
        <v>21</v>
      </c>
    </row>
    <row r="4793" ht="15.75" customHeight="1">
      <c r="A4793" s="2">
        <v>2015.0</v>
      </c>
      <c r="B4793" s="2" t="s">
        <v>21355</v>
      </c>
      <c r="C4793" s="2" t="s">
        <v>21355</v>
      </c>
      <c r="D4793" s="2" t="str">
        <f>"9038188844"</f>
        <v>9038188844</v>
      </c>
      <c r="E4793" s="2" t="s">
        <v>1782</v>
      </c>
      <c r="F4793" s="2" t="s">
        <v>3842</v>
      </c>
      <c r="G4793" s="2" t="str">
        <f>"SR-6515"</f>
        <v>SR-6515</v>
      </c>
      <c r="H4793" s="2" t="s">
        <v>21356</v>
      </c>
      <c r="I4793" s="2" t="s">
        <v>21357</v>
      </c>
      <c r="K4793" s="2" t="s">
        <v>21358</v>
      </c>
      <c r="L4793" s="2" t="s">
        <v>172</v>
      </c>
      <c r="M4793" s="2">
        <v>75491.0</v>
      </c>
      <c r="N4793" s="2" t="s">
        <v>21</v>
      </c>
    </row>
    <row r="4794" ht="15.75" customHeight="1">
      <c r="A4794" s="2">
        <v>2015.0</v>
      </c>
      <c r="B4794" s="2" t="s">
        <v>21359</v>
      </c>
      <c r="C4794" s="2" t="s">
        <v>21360</v>
      </c>
      <c r="D4794" s="2" t="str">
        <f>"229-219-0288"</f>
        <v>229-219-0288</v>
      </c>
      <c r="E4794" s="2" t="s">
        <v>824</v>
      </c>
      <c r="F4794" s="2" t="s">
        <v>14100</v>
      </c>
      <c r="G4794" s="2" t="str">
        <f>"SR-6514"</f>
        <v>SR-6514</v>
      </c>
      <c r="H4794" s="2" t="s">
        <v>21361</v>
      </c>
      <c r="I4794" s="2" t="s">
        <v>21362</v>
      </c>
      <c r="K4794" s="2" t="s">
        <v>21363</v>
      </c>
      <c r="L4794" s="2" t="s">
        <v>200</v>
      </c>
      <c r="M4794" s="2">
        <v>31602.0</v>
      </c>
      <c r="N4794" s="2" t="s">
        <v>21</v>
      </c>
    </row>
    <row r="4795" ht="15.75" customHeight="1">
      <c r="A4795" s="2">
        <v>2015.0</v>
      </c>
      <c r="B4795" s="2" t="s">
        <v>21364</v>
      </c>
      <c r="C4795" s="2" t="s">
        <v>21365</v>
      </c>
      <c r="D4795" s="2" t="str">
        <f>"507-269-6335"</f>
        <v>507-269-6335</v>
      </c>
      <c r="E4795" s="2" t="s">
        <v>137</v>
      </c>
      <c r="F4795" s="2" t="s">
        <v>21366</v>
      </c>
      <c r="G4795" s="2" t="str">
        <f>"SR-6517"</f>
        <v>SR-6517</v>
      </c>
      <c r="H4795" s="2" t="s">
        <v>21367</v>
      </c>
      <c r="I4795" s="2" t="s">
        <v>21368</v>
      </c>
      <c r="K4795" s="2" t="s">
        <v>2804</v>
      </c>
      <c r="L4795" s="2" t="s">
        <v>62</v>
      </c>
      <c r="M4795" s="2">
        <v>55906.0</v>
      </c>
      <c r="N4795" s="2" t="s">
        <v>21</v>
      </c>
    </row>
    <row r="4796" ht="15.75" customHeight="1">
      <c r="A4796" s="2">
        <v>2015.0</v>
      </c>
      <c r="B4796" s="2" t="s">
        <v>21369</v>
      </c>
      <c r="C4796" s="2" t="s">
        <v>21370</v>
      </c>
      <c r="D4796" s="2" t="str">
        <f>"256-7090602"</f>
        <v>256-7090602</v>
      </c>
      <c r="E4796" s="2" t="s">
        <v>21371</v>
      </c>
      <c r="F4796" s="2" t="s">
        <v>21372</v>
      </c>
      <c r="G4796" s="2" t="str">
        <f>"SR-5607"</f>
        <v>SR-5607</v>
      </c>
      <c r="H4796" s="2" t="s">
        <v>21373</v>
      </c>
      <c r="I4796" s="2" t="s">
        <v>21374</v>
      </c>
      <c r="K4796" s="2" t="s">
        <v>21375</v>
      </c>
      <c r="L4796" s="2" t="s">
        <v>539</v>
      </c>
      <c r="M4796" s="2">
        <v>35055.0</v>
      </c>
      <c r="N4796" s="2" t="s">
        <v>21</v>
      </c>
    </row>
    <row r="4797" ht="15.75" customHeight="1">
      <c r="A4797" s="2">
        <v>2015.0</v>
      </c>
      <c r="B4797" s="2" t="s">
        <v>21351</v>
      </c>
      <c r="C4797" s="2" t="s">
        <v>21351</v>
      </c>
      <c r="D4797" s="2" t="str">
        <f>"7192634025"</f>
        <v>7192634025</v>
      </c>
      <c r="E4797" s="2" t="s">
        <v>2162</v>
      </c>
      <c r="F4797" s="2" t="s">
        <v>962</v>
      </c>
      <c r="G4797" s="2" t="str">
        <f>"SR-3503"</f>
        <v>SR-3503</v>
      </c>
      <c r="H4797" s="2" t="s">
        <v>12318</v>
      </c>
      <c r="I4797" s="2" t="s">
        <v>21354</v>
      </c>
      <c r="K4797" s="2" t="s">
        <v>12320</v>
      </c>
      <c r="L4797" s="2" t="s">
        <v>157</v>
      </c>
      <c r="M4797" s="2">
        <v>81039.0</v>
      </c>
      <c r="N4797" s="2" t="s">
        <v>21</v>
      </c>
    </row>
    <row r="4798" ht="15.75" customHeight="1">
      <c r="A4798" s="2">
        <v>2015.0</v>
      </c>
      <c r="B4798" s="2" t="s">
        <v>21376</v>
      </c>
      <c r="C4798" s="2" t="s">
        <v>21377</v>
      </c>
      <c r="D4798" s="2" t="str">
        <f>"865-850-6615"</f>
        <v>865-850-6615</v>
      </c>
      <c r="E4798" s="2" t="s">
        <v>50</v>
      </c>
      <c r="F4798" s="2" t="s">
        <v>21378</v>
      </c>
      <c r="G4798" s="2" t="str">
        <f>"SR-5008"</f>
        <v>SR-5008</v>
      </c>
      <c r="H4798" s="2" t="s">
        <v>21379</v>
      </c>
      <c r="I4798" s="2" t="s">
        <v>21380</v>
      </c>
      <c r="K4798" s="2" t="s">
        <v>2771</v>
      </c>
      <c r="L4798" s="2" t="s">
        <v>279</v>
      </c>
      <c r="M4798" s="2">
        <v>37849.0</v>
      </c>
      <c r="N4798" s="2" t="s">
        <v>21</v>
      </c>
    </row>
    <row r="4799" ht="15.75" customHeight="1">
      <c r="A4799" s="2">
        <v>2015.0</v>
      </c>
      <c r="B4799" s="2" t="s">
        <v>6443</v>
      </c>
      <c r="C4799" s="2" t="s">
        <v>6444</v>
      </c>
      <c r="D4799" s="2" t="str">
        <f>"304-776-6592"</f>
        <v>304-776-6592</v>
      </c>
      <c r="E4799" s="2" t="s">
        <v>1054</v>
      </c>
      <c r="F4799" s="2" t="s">
        <v>6445</v>
      </c>
      <c r="G4799" s="2" t="str">
        <f>"SR-1703"</f>
        <v>SR-1703</v>
      </c>
      <c r="H4799" s="2" t="s">
        <v>6446</v>
      </c>
      <c r="I4799" s="2" t="s">
        <v>6447</v>
      </c>
      <c r="K4799" s="2" t="s">
        <v>6448</v>
      </c>
      <c r="L4799" s="2" t="s">
        <v>6449</v>
      </c>
      <c r="M4799" s="2">
        <v>25313.0</v>
      </c>
      <c r="N4799" s="2" t="s">
        <v>21</v>
      </c>
    </row>
    <row r="4800" ht="15.75" customHeight="1">
      <c r="A4800" s="2">
        <v>2015.0</v>
      </c>
      <c r="B4800" s="2" t="s">
        <v>21381</v>
      </c>
      <c r="C4800" s="2" t="s">
        <v>21381</v>
      </c>
      <c r="D4800" s="2" t="str">
        <f>"503 615 8686"</f>
        <v>503 615 8686</v>
      </c>
      <c r="E4800" s="2" t="s">
        <v>36</v>
      </c>
      <c r="F4800" s="2" t="s">
        <v>21382</v>
      </c>
      <c r="G4800" s="2" t="str">
        <f>"SR-6207"</f>
        <v>SR-6207</v>
      </c>
      <c r="H4800" s="2" t="s">
        <v>21383</v>
      </c>
      <c r="I4800" s="2" t="s">
        <v>21384</v>
      </c>
      <c r="K4800" s="2" t="s">
        <v>12356</v>
      </c>
      <c r="L4800" s="2" t="s">
        <v>2389</v>
      </c>
      <c r="M4800" s="2">
        <v>97003.0</v>
      </c>
      <c r="N4800" s="2" t="s">
        <v>21</v>
      </c>
    </row>
    <row r="4801" ht="15.75" customHeight="1">
      <c r="A4801" s="2">
        <v>2015.0</v>
      </c>
      <c r="B4801" s="2" t="s">
        <v>21385</v>
      </c>
      <c r="C4801" s="2" t="s">
        <v>21386</v>
      </c>
      <c r="D4801" s="2" t="str">
        <f>"352-283-1143"</f>
        <v>352-283-1143</v>
      </c>
      <c r="E4801" s="2" t="s">
        <v>5906</v>
      </c>
      <c r="F4801" s="2" t="s">
        <v>1170</v>
      </c>
      <c r="G4801" s="2" t="str">
        <f>"SR-6511"</f>
        <v>SR-6511</v>
      </c>
      <c r="H4801" s="2" t="s">
        <v>21387</v>
      </c>
      <c r="I4801" s="2" t="s">
        <v>21388</v>
      </c>
      <c r="K4801" s="2" t="s">
        <v>21389</v>
      </c>
      <c r="L4801" s="2" t="s">
        <v>208</v>
      </c>
      <c r="M4801" s="2">
        <v>32607.0</v>
      </c>
      <c r="N4801" s="2" t="s">
        <v>21</v>
      </c>
    </row>
    <row r="4802" ht="15.75" customHeight="1">
      <c r="A4802" s="2">
        <v>2015.0</v>
      </c>
      <c r="B4802" s="2" t="s">
        <v>21390</v>
      </c>
      <c r="C4802" s="2" t="s">
        <v>21390</v>
      </c>
      <c r="D4802" s="2" t="str">
        <f>"612-812-0883"</f>
        <v>612-812-0883</v>
      </c>
      <c r="E4802" s="2" t="s">
        <v>2598</v>
      </c>
      <c r="F4802" s="2" t="s">
        <v>701</v>
      </c>
      <c r="G4802" s="2" t="str">
        <f>"SR-6366"</f>
        <v>SR-6366</v>
      </c>
      <c r="H4802" s="2" t="s">
        <v>21391</v>
      </c>
      <c r="I4802" s="2" t="s">
        <v>21392</v>
      </c>
      <c r="K4802" s="2" t="s">
        <v>21393</v>
      </c>
      <c r="L4802" s="2" t="s">
        <v>62</v>
      </c>
      <c r="M4802" s="2">
        <v>55330.0</v>
      </c>
      <c r="N4802" s="2" t="s">
        <v>21</v>
      </c>
    </row>
    <row r="4803" ht="15.75" customHeight="1">
      <c r="A4803" s="2">
        <v>2015.0</v>
      </c>
      <c r="B4803" s="2" t="s">
        <v>21394</v>
      </c>
      <c r="C4803" s="2" t="s">
        <v>21395</v>
      </c>
      <c r="D4803" s="2" t="str">
        <f>"8654753333"</f>
        <v>8654753333</v>
      </c>
      <c r="E4803" s="2" t="s">
        <v>2361</v>
      </c>
      <c r="F4803" s="2" t="s">
        <v>21396</v>
      </c>
      <c r="G4803" s="2" t="str">
        <f>"SR-6524"</f>
        <v>SR-6524</v>
      </c>
      <c r="H4803" s="2" t="s">
        <v>21397</v>
      </c>
      <c r="I4803" s="2" t="s">
        <v>21398</v>
      </c>
      <c r="K4803" s="2" t="s">
        <v>3630</v>
      </c>
      <c r="L4803" s="2" t="s">
        <v>279</v>
      </c>
      <c r="M4803" s="2">
        <v>37820.0</v>
      </c>
      <c r="N4803" s="2" t="s">
        <v>21</v>
      </c>
    </row>
    <row r="4804" ht="15.75" customHeight="1">
      <c r="A4804" s="2">
        <v>2015.0</v>
      </c>
      <c r="B4804" s="2" t="s">
        <v>16013</v>
      </c>
      <c r="C4804" s="2" t="s">
        <v>16014</v>
      </c>
      <c r="D4804" s="2" t="str">
        <f>"6788806613"</f>
        <v>6788806613</v>
      </c>
      <c r="E4804" s="2" t="s">
        <v>428</v>
      </c>
      <c r="F4804" s="2" t="s">
        <v>13073</v>
      </c>
      <c r="G4804" s="2" t="str">
        <f>"SR-4700"</f>
        <v>SR-4700</v>
      </c>
      <c r="H4804" s="2" t="s">
        <v>16015</v>
      </c>
      <c r="I4804" s="2" t="s">
        <v>16016</v>
      </c>
      <c r="K4804" s="2" t="s">
        <v>16017</v>
      </c>
      <c r="L4804" s="2" t="s">
        <v>200</v>
      </c>
      <c r="M4804" s="2">
        <v>30114.0</v>
      </c>
      <c r="N4804" s="2" t="s">
        <v>21</v>
      </c>
    </row>
    <row r="4805" ht="15.75" customHeight="1">
      <c r="A4805" s="2">
        <v>2015.0</v>
      </c>
      <c r="B4805" s="2" t="s">
        <v>21399</v>
      </c>
      <c r="C4805" s="2" t="s">
        <v>21400</v>
      </c>
      <c r="D4805" s="2" t="str">
        <f>"9513134897"</f>
        <v>9513134897</v>
      </c>
      <c r="E4805" s="2" t="s">
        <v>1278</v>
      </c>
      <c r="F4805" s="2" t="s">
        <v>21401</v>
      </c>
      <c r="G4805" s="2" t="str">
        <f>"SR-6300"</f>
        <v>SR-6300</v>
      </c>
      <c r="H4805" s="2" t="s">
        <v>21402</v>
      </c>
      <c r="I4805" s="2" t="s">
        <v>21403</v>
      </c>
      <c r="K4805" s="2" t="s">
        <v>13793</v>
      </c>
      <c r="L4805" s="2" t="s">
        <v>222</v>
      </c>
      <c r="M4805" s="2">
        <v>92562.0</v>
      </c>
      <c r="N4805" s="2" t="s">
        <v>21</v>
      </c>
    </row>
    <row r="4806" ht="15.75" customHeight="1">
      <c r="A4806" s="2">
        <v>2015.0</v>
      </c>
      <c r="B4806" s="2" t="s">
        <v>21404</v>
      </c>
      <c r="C4806" s="2" t="s">
        <v>21404</v>
      </c>
      <c r="D4806" s="2" t="str">
        <f>"5058926788"</f>
        <v>5058926788</v>
      </c>
      <c r="E4806" s="2" t="s">
        <v>4604</v>
      </c>
      <c r="F4806" s="2" t="s">
        <v>256</v>
      </c>
      <c r="G4806" s="2" t="str">
        <f>"SR-6522"</f>
        <v>SR-6522</v>
      </c>
      <c r="H4806" s="2" t="s">
        <v>21405</v>
      </c>
      <c r="I4806" s="2" t="s">
        <v>21406</v>
      </c>
      <c r="K4806" s="2" t="s">
        <v>3803</v>
      </c>
      <c r="L4806" s="2" t="s">
        <v>789</v>
      </c>
      <c r="M4806" s="2">
        <v>87124.0</v>
      </c>
      <c r="N4806" s="2" t="s">
        <v>21</v>
      </c>
    </row>
    <row r="4807" ht="15.75" customHeight="1">
      <c r="A4807" s="2">
        <v>2015.0</v>
      </c>
      <c r="B4807" s="2" t="s">
        <v>21407</v>
      </c>
      <c r="C4807" s="2" t="s">
        <v>21408</v>
      </c>
      <c r="D4807" s="2" t="str">
        <f>"901-239-6712"</f>
        <v>901-239-6712</v>
      </c>
      <c r="E4807" s="2" t="s">
        <v>21409</v>
      </c>
      <c r="F4807" s="2" t="s">
        <v>21410</v>
      </c>
      <c r="G4807" s="2" t="str">
        <f>"SR-6016"</f>
        <v>SR-6016</v>
      </c>
      <c r="H4807" s="2" t="s">
        <v>21411</v>
      </c>
      <c r="I4807" s="2" t="s">
        <v>21412</v>
      </c>
      <c r="K4807" s="2" t="s">
        <v>5437</v>
      </c>
      <c r="L4807" s="2" t="s">
        <v>279</v>
      </c>
      <c r="M4807" s="2">
        <v>38134.0</v>
      </c>
      <c r="N4807" s="2" t="s">
        <v>21</v>
      </c>
    </row>
    <row r="4808" ht="15.75" customHeight="1">
      <c r="A4808" s="2">
        <v>2015.0</v>
      </c>
      <c r="B4808" s="2" t="s">
        <v>21413</v>
      </c>
      <c r="C4808" s="2" t="s">
        <v>21414</v>
      </c>
      <c r="D4808" s="2" t="str">
        <f>"425-917-3331"</f>
        <v>425-917-3331</v>
      </c>
      <c r="E4808" s="2" t="s">
        <v>21415</v>
      </c>
      <c r="F4808" s="2" t="s">
        <v>21416</v>
      </c>
      <c r="G4808" s="2" t="str">
        <f>"SR-6523"</f>
        <v>SR-6523</v>
      </c>
      <c r="H4808" s="2" t="s">
        <v>21417</v>
      </c>
      <c r="I4808" s="2" t="s">
        <v>21418</v>
      </c>
      <c r="K4808" s="2" t="s">
        <v>21419</v>
      </c>
      <c r="L4808" s="2" t="s">
        <v>86</v>
      </c>
      <c r="M4808" s="2">
        <v>98058.0</v>
      </c>
      <c r="N4808" s="2" t="s">
        <v>21</v>
      </c>
    </row>
    <row r="4809" ht="15.75" customHeight="1">
      <c r="A4809" s="2">
        <v>2015.0</v>
      </c>
      <c r="B4809" s="2" t="s">
        <v>21420</v>
      </c>
      <c r="C4809" s="2" t="s">
        <v>21421</v>
      </c>
      <c r="D4809" s="2" t="str">
        <f>"7209391832"</f>
        <v>7209391832</v>
      </c>
      <c r="E4809" s="2" t="s">
        <v>21422</v>
      </c>
      <c r="F4809" s="2" t="s">
        <v>3161</v>
      </c>
      <c r="G4809" s="2" t="str">
        <f>"SR-6521"</f>
        <v>SR-6521</v>
      </c>
      <c r="H4809" s="2" t="s">
        <v>21423</v>
      </c>
      <c r="I4809" s="2" t="s">
        <v>21424</v>
      </c>
      <c r="K4809" s="2" t="s">
        <v>7480</v>
      </c>
      <c r="L4809" s="2" t="s">
        <v>157</v>
      </c>
      <c r="M4809" s="2">
        <v>80229.0</v>
      </c>
      <c r="N4809" s="2" t="s">
        <v>21</v>
      </c>
    </row>
    <row r="4810" ht="15.75" customHeight="1">
      <c r="A4810" s="2">
        <v>2015.0</v>
      </c>
      <c r="B4810" s="2" t="s">
        <v>21425</v>
      </c>
      <c r="C4810" s="2" t="s">
        <v>21426</v>
      </c>
      <c r="D4810" s="2" t="str">
        <f>"7047285800"</f>
        <v>7047285800</v>
      </c>
      <c r="E4810" s="2" t="s">
        <v>1141</v>
      </c>
      <c r="F4810" s="2" t="s">
        <v>4065</v>
      </c>
      <c r="G4810" s="2" t="str">
        <f>"SR-6527"</f>
        <v>SR-6527</v>
      </c>
      <c r="H4810" s="2" t="s">
        <v>21427</v>
      </c>
      <c r="I4810" s="2" t="s">
        <v>21428</v>
      </c>
      <c r="K4810" s="2" t="s">
        <v>21429</v>
      </c>
      <c r="L4810" s="2" t="s">
        <v>20</v>
      </c>
      <c r="M4810" s="2">
        <v>28036.0</v>
      </c>
      <c r="N4810" s="2" t="s">
        <v>21</v>
      </c>
    </row>
    <row r="4811" ht="15.75" customHeight="1">
      <c r="A4811" s="2">
        <v>2015.0</v>
      </c>
      <c r="B4811" s="2" t="s">
        <v>21430</v>
      </c>
      <c r="C4811" s="2" t="s">
        <v>21430</v>
      </c>
      <c r="D4811" s="2" t="str">
        <f>"8175384853"</f>
        <v>8175384853</v>
      </c>
      <c r="E4811" s="2" t="s">
        <v>3743</v>
      </c>
      <c r="F4811" s="2" t="s">
        <v>5981</v>
      </c>
      <c r="G4811" s="2" t="str">
        <f>"SR-6143"</f>
        <v>SR-6143</v>
      </c>
      <c r="H4811" s="2" t="s">
        <v>21431</v>
      </c>
      <c r="I4811" s="2" t="s">
        <v>21432</v>
      </c>
      <c r="K4811" s="2" t="s">
        <v>1260</v>
      </c>
      <c r="L4811" s="2" t="s">
        <v>172</v>
      </c>
      <c r="M4811" s="2">
        <v>76108.0</v>
      </c>
      <c r="N4811" s="2" t="s">
        <v>21</v>
      </c>
    </row>
    <row r="4812" ht="15.75" customHeight="1">
      <c r="A4812" s="2">
        <v>2015.0</v>
      </c>
      <c r="B4812" s="2" t="s">
        <v>21433</v>
      </c>
      <c r="C4812" s="2" t="s">
        <v>21434</v>
      </c>
      <c r="D4812" s="2" t="str">
        <f>"360-736-8061"</f>
        <v>360-736-8061</v>
      </c>
      <c r="E4812" s="2" t="s">
        <v>21435</v>
      </c>
      <c r="F4812" s="2" t="s">
        <v>2032</v>
      </c>
      <c r="G4812" s="2" t="str">
        <f>"SR-6528"</f>
        <v>SR-6528</v>
      </c>
      <c r="H4812" s="2" t="s">
        <v>21436</v>
      </c>
      <c r="I4812" s="2" t="s">
        <v>21437</v>
      </c>
      <c r="K4812" s="2" t="s">
        <v>21438</v>
      </c>
      <c r="L4812" s="2" t="s">
        <v>86</v>
      </c>
      <c r="M4812" s="2">
        <v>98531.0</v>
      </c>
      <c r="N4812" s="2" t="s">
        <v>21</v>
      </c>
    </row>
    <row r="4813" ht="15.75" customHeight="1">
      <c r="A4813" s="2">
        <v>2015.0</v>
      </c>
      <c r="B4813" s="2" t="s">
        <v>21439</v>
      </c>
      <c r="C4813" s="2" t="s">
        <v>21440</v>
      </c>
      <c r="D4813" s="2" t="str">
        <f>"4026401872"</f>
        <v>4026401872</v>
      </c>
      <c r="E4813" s="2" t="s">
        <v>21441</v>
      </c>
      <c r="F4813" s="2" t="s">
        <v>21442</v>
      </c>
      <c r="G4813" s="2" t="str">
        <f>"SR-6529"</f>
        <v>SR-6529</v>
      </c>
      <c r="H4813" s="2" t="s">
        <v>21443</v>
      </c>
      <c r="I4813" s="2" t="s">
        <v>21444</v>
      </c>
      <c r="K4813" s="2" t="s">
        <v>21445</v>
      </c>
      <c r="L4813" s="2" t="s">
        <v>757</v>
      </c>
      <c r="M4813" s="2">
        <v>68730.0</v>
      </c>
      <c r="N4813" s="2" t="s">
        <v>21</v>
      </c>
    </row>
    <row r="4814" ht="15.75" customHeight="1">
      <c r="A4814" s="2">
        <v>2015.0</v>
      </c>
      <c r="B4814" s="2" t="s">
        <v>21446</v>
      </c>
      <c r="C4814" s="2" t="s">
        <v>21447</v>
      </c>
      <c r="D4814" s="2" t="str">
        <f>"864-444-0334"</f>
        <v>864-444-0334</v>
      </c>
      <c r="E4814" s="2" t="s">
        <v>15</v>
      </c>
      <c r="F4814" s="2" t="s">
        <v>21448</v>
      </c>
      <c r="G4814" s="2" t="str">
        <f>"SR-6509"</f>
        <v>SR-6509</v>
      </c>
      <c r="H4814" s="2" t="s">
        <v>21449</v>
      </c>
      <c r="I4814" s="2" t="s">
        <v>21450</v>
      </c>
      <c r="K4814" s="2" t="s">
        <v>10102</v>
      </c>
      <c r="L4814" s="2" t="s">
        <v>55</v>
      </c>
      <c r="M4814" s="2">
        <v>29673.0</v>
      </c>
      <c r="N4814" s="2" t="s">
        <v>21</v>
      </c>
    </row>
    <row r="4815" ht="15.75" customHeight="1">
      <c r="A4815" s="2">
        <v>2015.0</v>
      </c>
      <c r="B4815" s="2" t="s">
        <v>21446</v>
      </c>
      <c r="C4815" s="2" t="s">
        <v>21451</v>
      </c>
      <c r="D4815" s="2" t="str">
        <f>"8649011227"</f>
        <v>8649011227</v>
      </c>
      <c r="E4815" s="2" t="s">
        <v>250</v>
      </c>
      <c r="F4815" s="2" t="s">
        <v>21448</v>
      </c>
      <c r="G4815" s="2" t="str">
        <f>"SR-6508"</f>
        <v>SR-6508</v>
      </c>
      <c r="H4815" s="2" t="s">
        <v>21452</v>
      </c>
      <c r="I4815" s="2" t="s">
        <v>21450</v>
      </c>
      <c r="K4815" s="2" t="s">
        <v>10102</v>
      </c>
      <c r="L4815" s="2" t="s">
        <v>55</v>
      </c>
      <c r="M4815" s="2">
        <v>29673.0</v>
      </c>
      <c r="N4815" s="2" t="s">
        <v>21</v>
      </c>
    </row>
    <row r="4816" ht="15.75" customHeight="1">
      <c r="A4816" s="2">
        <v>2015.0</v>
      </c>
      <c r="B4816" s="2" t="s">
        <v>21453</v>
      </c>
      <c r="C4816" s="2" t="s">
        <v>21454</v>
      </c>
      <c r="D4816" s="2" t="str">
        <f>"7034098302"</f>
        <v>7034098302</v>
      </c>
      <c r="E4816" s="2" t="s">
        <v>1548</v>
      </c>
      <c r="F4816" s="2" t="s">
        <v>21455</v>
      </c>
      <c r="G4816" s="2" t="str">
        <f>"SR-6058"</f>
        <v>SR-6058</v>
      </c>
      <c r="H4816" s="2" t="s">
        <v>21456</v>
      </c>
      <c r="I4816" s="2" t="s">
        <v>21457</v>
      </c>
      <c r="K4816" s="2" t="s">
        <v>3385</v>
      </c>
      <c r="L4816" s="2" t="s">
        <v>55</v>
      </c>
      <c r="M4816" s="2">
        <v>29651.0</v>
      </c>
      <c r="N4816" s="2" t="s">
        <v>21</v>
      </c>
    </row>
    <row r="4817" ht="15.75" customHeight="1">
      <c r="A4817" s="2">
        <v>2015.0</v>
      </c>
      <c r="B4817" s="2" t="s">
        <v>21458</v>
      </c>
      <c r="C4817" s="2" t="s">
        <v>21459</v>
      </c>
      <c r="D4817" s="2" t="str">
        <f>"719-593-2233"</f>
        <v>719-593-2233</v>
      </c>
      <c r="E4817" s="2" t="s">
        <v>696</v>
      </c>
      <c r="F4817" s="2" t="s">
        <v>2863</v>
      </c>
      <c r="G4817" s="2" t="str">
        <f>"SR-5649"</f>
        <v>SR-5649</v>
      </c>
      <c r="H4817" s="2" t="s">
        <v>21460</v>
      </c>
      <c r="I4817" s="2" t="s">
        <v>21461</v>
      </c>
      <c r="K4817" s="2" t="s">
        <v>809</v>
      </c>
      <c r="L4817" s="2" t="s">
        <v>157</v>
      </c>
      <c r="M4817" s="2">
        <v>80920.0</v>
      </c>
      <c r="N4817" s="2" t="s">
        <v>21</v>
      </c>
    </row>
    <row r="4818" ht="15.75" customHeight="1">
      <c r="A4818" s="2">
        <v>2015.0</v>
      </c>
      <c r="B4818" s="2" t="s">
        <v>21462</v>
      </c>
      <c r="C4818" s="2" t="s">
        <v>21463</v>
      </c>
      <c r="D4818" s="2" t="str">
        <f>"815-680-6157"</f>
        <v>815-680-6157</v>
      </c>
      <c r="E4818" s="2" t="s">
        <v>7476</v>
      </c>
      <c r="F4818" s="2" t="s">
        <v>21464</v>
      </c>
      <c r="G4818" s="2" t="str">
        <f>"SR-5647"</f>
        <v>SR-5647</v>
      </c>
      <c r="H4818" s="2" t="s">
        <v>21465</v>
      </c>
      <c r="I4818" s="2" t="s">
        <v>21466</v>
      </c>
      <c r="K4818" s="2" t="s">
        <v>2217</v>
      </c>
      <c r="L4818" s="2" t="s">
        <v>105</v>
      </c>
      <c r="M4818" s="2">
        <v>60099.0</v>
      </c>
      <c r="N4818" s="2" t="s">
        <v>21</v>
      </c>
    </row>
    <row r="4819" ht="15.75" customHeight="1">
      <c r="A4819" s="2">
        <v>2015.0</v>
      </c>
      <c r="B4819" s="2" t="s">
        <v>21467</v>
      </c>
      <c r="C4819" s="2" t="s">
        <v>21468</v>
      </c>
      <c r="D4819" s="2" t="str">
        <f>"719-694-8699"</f>
        <v>719-694-8699</v>
      </c>
      <c r="E4819" s="2" t="s">
        <v>2598</v>
      </c>
      <c r="F4819" s="2" t="s">
        <v>21469</v>
      </c>
      <c r="G4819" s="2" t="str">
        <f>"SR-6435"</f>
        <v>SR-6435</v>
      </c>
      <c r="H4819" s="2" t="s">
        <v>21470</v>
      </c>
      <c r="I4819" s="2" t="s">
        <v>21471</v>
      </c>
      <c r="K4819" s="2" t="s">
        <v>809</v>
      </c>
      <c r="L4819" s="2" t="s">
        <v>157</v>
      </c>
      <c r="M4819" s="2">
        <v>80920.0</v>
      </c>
      <c r="N4819" s="2" t="s">
        <v>21</v>
      </c>
    </row>
    <row r="4820" ht="15.75" customHeight="1">
      <c r="A4820" s="2">
        <v>2015.0</v>
      </c>
      <c r="B4820" s="2" t="s">
        <v>21472</v>
      </c>
      <c r="C4820" s="2" t="s">
        <v>21473</v>
      </c>
      <c r="D4820" s="2" t="str">
        <f>"970-370-3641"</f>
        <v>970-370-3641</v>
      </c>
      <c r="E4820" s="2" t="s">
        <v>705</v>
      </c>
      <c r="F4820" s="2" t="s">
        <v>9856</v>
      </c>
      <c r="G4820" s="2" t="str">
        <f>"SR-6454"</f>
        <v>SR-6454</v>
      </c>
      <c r="H4820" s="2" t="s">
        <v>21474</v>
      </c>
      <c r="I4820" s="2" t="s">
        <v>21475</v>
      </c>
      <c r="K4820" s="2" t="s">
        <v>21476</v>
      </c>
      <c r="L4820" s="2" t="s">
        <v>157</v>
      </c>
      <c r="M4820" s="2">
        <v>80701.0</v>
      </c>
      <c r="N4820" s="2" t="s">
        <v>21</v>
      </c>
    </row>
    <row r="4821" ht="15.75" customHeight="1">
      <c r="A4821" s="2">
        <v>2015.0</v>
      </c>
      <c r="B4821" s="2" t="s">
        <v>19241</v>
      </c>
      <c r="C4821" s="2" t="s">
        <v>21477</v>
      </c>
      <c r="D4821" s="2" t="str">
        <f>"719-487-7665"</f>
        <v>719-487-7665</v>
      </c>
      <c r="E4821" s="2" t="s">
        <v>21478</v>
      </c>
      <c r="F4821" s="2" t="s">
        <v>19243</v>
      </c>
      <c r="G4821" s="2" t="str">
        <f>"SR-5980"</f>
        <v>SR-5980</v>
      </c>
      <c r="H4821" s="2" t="s">
        <v>21479</v>
      </c>
      <c r="I4821" s="2" t="s">
        <v>19245</v>
      </c>
      <c r="K4821" s="2" t="s">
        <v>809</v>
      </c>
      <c r="L4821" s="2" t="s">
        <v>157</v>
      </c>
      <c r="M4821" s="2">
        <v>80921.0</v>
      </c>
      <c r="N4821" s="2" t="s">
        <v>21</v>
      </c>
    </row>
    <row r="4822" ht="15.75" customHeight="1">
      <c r="A4822" s="2">
        <v>2015.0</v>
      </c>
      <c r="B4822" s="2" t="s">
        <v>21480</v>
      </c>
      <c r="C4822" s="2" t="s">
        <v>21481</v>
      </c>
      <c r="D4822" s="2" t="str">
        <f>"8059079368"</f>
        <v>8059079368</v>
      </c>
      <c r="E4822" s="2" t="s">
        <v>471</v>
      </c>
      <c r="F4822" s="2" t="s">
        <v>21482</v>
      </c>
      <c r="G4822" s="2" t="str">
        <f>"SR-6534"</f>
        <v>SR-6534</v>
      </c>
      <c r="H4822" s="2" t="s">
        <v>21483</v>
      </c>
      <c r="I4822" s="2" t="s">
        <v>21484</v>
      </c>
      <c r="K4822" s="2" t="s">
        <v>21485</v>
      </c>
      <c r="L4822" s="2" t="s">
        <v>222</v>
      </c>
      <c r="M4822" s="2">
        <v>95037.0</v>
      </c>
      <c r="N4822" s="2" t="s">
        <v>21</v>
      </c>
    </row>
    <row r="4823" ht="15.75" customHeight="1">
      <c r="A4823" s="2">
        <v>2015.0</v>
      </c>
      <c r="B4823" s="2" t="s">
        <v>21486</v>
      </c>
      <c r="C4823" s="2" t="s">
        <v>13919</v>
      </c>
      <c r="D4823" s="2" t="str">
        <f>"8056519339"</f>
        <v>8056519339</v>
      </c>
      <c r="E4823" s="2" t="s">
        <v>282</v>
      </c>
      <c r="F4823" s="2" t="s">
        <v>13920</v>
      </c>
      <c r="G4823" s="2" t="str">
        <f>"SR-5876"</f>
        <v>SR-5876</v>
      </c>
      <c r="H4823" s="2" t="s">
        <v>13921</v>
      </c>
      <c r="I4823" s="2" t="s">
        <v>21487</v>
      </c>
      <c r="K4823" s="2" t="s">
        <v>21488</v>
      </c>
      <c r="L4823" s="2" t="s">
        <v>222</v>
      </c>
      <c r="M4823" s="2">
        <v>93022.0</v>
      </c>
      <c r="N4823" s="2" t="s">
        <v>21</v>
      </c>
    </row>
    <row r="4824" ht="15.75" customHeight="1">
      <c r="A4824" s="2">
        <v>2015.0</v>
      </c>
      <c r="B4824" s="2" t="s">
        <v>21489</v>
      </c>
      <c r="C4824" s="2" t="s">
        <v>21490</v>
      </c>
      <c r="D4824" s="2" t="str">
        <f>"903-815-4113"</f>
        <v>903-815-4113</v>
      </c>
      <c r="E4824" s="2" t="s">
        <v>1767</v>
      </c>
      <c r="F4824" s="2" t="s">
        <v>3842</v>
      </c>
      <c r="G4824" s="2" t="str">
        <f>"SR-6516"</f>
        <v>SR-6516</v>
      </c>
      <c r="H4824" s="2" t="s">
        <v>21491</v>
      </c>
      <c r="I4824" s="2" t="s">
        <v>21492</v>
      </c>
      <c r="K4824" s="2" t="s">
        <v>21493</v>
      </c>
      <c r="L4824" s="2" t="s">
        <v>172</v>
      </c>
      <c r="M4824" s="2">
        <v>75491.0</v>
      </c>
      <c r="N4824" s="2" t="s">
        <v>21</v>
      </c>
    </row>
    <row r="4825" ht="15.75" customHeight="1">
      <c r="A4825" s="2">
        <v>2015.0</v>
      </c>
      <c r="B4825" s="2" t="s">
        <v>21494</v>
      </c>
      <c r="C4825" s="2" t="s">
        <v>21495</v>
      </c>
      <c r="D4825" s="2" t="str">
        <f>"605-224-9566"</f>
        <v>605-224-9566</v>
      </c>
      <c r="E4825" s="2" t="s">
        <v>72</v>
      </c>
      <c r="F4825" s="2" t="s">
        <v>21496</v>
      </c>
      <c r="G4825" s="2" t="str">
        <f>"SR-6536"</f>
        <v>SR-6536</v>
      </c>
      <c r="H4825" s="2" t="s">
        <v>21497</v>
      </c>
      <c r="I4825" s="2" t="s">
        <v>21498</v>
      </c>
      <c r="K4825" s="2" t="s">
        <v>4355</v>
      </c>
      <c r="L4825" s="2" t="s">
        <v>920</v>
      </c>
      <c r="M4825" s="2">
        <v>57501.0</v>
      </c>
      <c r="N4825" s="2" t="s">
        <v>21</v>
      </c>
    </row>
    <row r="4826" ht="15.75" customHeight="1">
      <c r="A4826" s="2">
        <v>2015.0</v>
      </c>
      <c r="B4826" s="2" t="s">
        <v>21499</v>
      </c>
      <c r="C4826" s="2" t="s">
        <v>21499</v>
      </c>
      <c r="D4826" s="2" t="str">
        <f>"859-327-0875"</f>
        <v>859-327-0875</v>
      </c>
      <c r="E4826" s="2" t="s">
        <v>2338</v>
      </c>
      <c r="F4826" s="2" t="s">
        <v>21500</v>
      </c>
      <c r="G4826" s="2" t="str">
        <f>"SR-6537"</f>
        <v>SR-6537</v>
      </c>
      <c r="H4826" s="2" t="s">
        <v>21501</v>
      </c>
      <c r="I4826" s="2" t="s">
        <v>21502</v>
      </c>
      <c r="K4826" s="2" t="s">
        <v>21503</v>
      </c>
      <c r="L4826" s="2" t="s">
        <v>1236</v>
      </c>
      <c r="M4826" s="2">
        <v>40390.0</v>
      </c>
      <c r="N4826" s="2" t="s">
        <v>21</v>
      </c>
    </row>
    <row r="4827" ht="15.75" customHeight="1">
      <c r="A4827" s="2">
        <v>2015.0</v>
      </c>
      <c r="B4827" s="2" t="s">
        <v>21504</v>
      </c>
      <c r="C4827" s="2" t="s">
        <v>21505</v>
      </c>
      <c r="D4827" s="2" t="str">
        <f>"320-267-4171"</f>
        <v>320-267-4171</v>
      </c>
      <c r="E4827" s="2" t="s">
        <v>580</v>
      </c>
      <c r="F4827" s="2" t="s">
        <v>21506</v>
      </c>
      <c r="G4827" s="2" t="str">
        <f>"SR-6124"</f>
        <v>SR-6124</v>
      </c>
      <c r="H4827" s="2" t="s">
        <v>21507</v>
      </c>
      <c r="I4827" s="2" t="s">
        <v>21508</v>
      </c>
      <c r="K4827" s="2" t="s">
        <v>11526</v>
      </c>
      <c r="L4827" s="2" t="s">
        <v>62</v>
      </c>
      <c r="M4827" s="2">
        <v>56303.0</v>
      </c>
      <c r="N4827" s="2" t="s">
        <v>21</v>
      </c>
    </row>
    <row r="4828" ht="15.75" customHeight="1">
      <c r="A4828" s="2">
        <v>2015.0</v>
      </c>
      <c r="B4828" s="2" t="s">
        <v>21509</v>
      </c>
      <c r="C4828" s="2" t="s">
        <v>21510</v>
      </c>
      <c r="D4828" s="2" t="str">
        <f>"785-694-2627"</f>
        <v>785-694-2627</v>
      </c>
      <c r="E4828" s="2" t="s">
        <v>1974</v>
      </c>
      <c r="F4828" s="2" t="s">
        <v>21511</v>
      </c>
      <c r="G4828" s="2" t="str">
        <f>"SR-6538"</f>
        <v>SR-6538</v>
      </c>
      <c r="H4828" s="2" t="s">
        <v>21512</v>
      </c>
      <c r="I4828" s="2" t="s">
        <v>21513</v>
      </c>
      <c r="K4828" s="2" t="s">
        <v>9998</v>
      </c>
      <c r="L4828" s="2" t="s">
        <v>272</v>
      </c>
      <c r="M4828" s="2">
        <v>67732.0</v>
      </c>
      <c r="N4828" s="2" t="s">
        <v>21</v>
      </c>
    </row>
    <row r="4829" ht="15.75" customHeight="1">
      <c r="A4829" s="2">
        <v>2015.0</v>
      </c>
      <c r="B4829" s="2" t="s">
        <v>21514</v>
      </c>
      <c r="C4829" s="2" t="s">
        <v>21515</v>
      </c>
      <c r="D4829" s="2" t="str">
        <f>"3363806594"</f>
        <v>3363806594</v>
      </c>
      <c r="E4829" s="2" t="s">
        <v>21516</v>
      </c>
      <c r="F4829" s="2" t="s">
        <v>428</v>
      </c>
      <c r="G4829" s="2" t="str">
        <f>"SR-6340"</f>
        <v>SR-6340</v>
      </c>
      <c r="H4829" s="2" t="s">
        <v>21517</v>
      </c>
      <c r="I4829" s="2" t="s">
        <v>21518</v>
      </c>
      <c r="K4829" s="2" t="s">
        <v>1243</v>
      </c>
      <c r="L4829" s="2" t="s">
        <v>20</v>
      </c>
      <c r="M4829" s="2">
        <v>27253.0</v>
      </c>
      <c r="N4829" s="2" t="s">
        <v>21</v>
      </c>
    </row>
    <row r="4830" ht="15.75" customHeight="1">
      <c r="A4830" s="2">
        <v>2015.0</v>
      </c>
      <c r="B4830" s="2" t="s">
        <v>21519</v>
      </c>
      <c r="C4830" s="2" t="s">
        <v>21520</v>
      </c>
      <c r="D4830" s="2" t="str">
        <f>"317-800-8063"</f>
        <v>317-800-8063</v>
      </c>
      <c r="E4830" s="2" t="s">
        <v>1251</v>
      </c>
      <c r="F4830" s="2" t="s">
        <v>3253</v>
      </c>
      <c r="G4830" s="2" t="str">
        <f>"SR-5316"</f>
        <v>SR-5316</v>
      </c>
      <c r="H4830" s="2" t="s">
        <v>21521</v>
      </c>
      <c r="I4830" s="2" t="s">
        <v>21522</v>
      </c>
      <c r="K4830" s="2" t="s">
        <v>2660</v>
      </c>
      <c r="L4830" s="2" t="s">
        <v>149</v>
      </c>
      <c r="M4830" s="2">
        <v>46038.0</v>
      </c>
      <c r="N4830" s="2" t="s">
        <v>21</v>
      </c>
    </row>
    <row r="4831" ht="15.75" customHeight="1">
      <c r="A4831" s="2">
        <v>2015.0</v>
      </c>
      <c r="B4831" s="2" t="s">
        <v>21509</v>
      </c>
      <c r="C4831" s="2" t="s">
        <v>21523</v>
      </c>
      <c r="D4831" s="2" t="str">
        <f t="shared" ref="D4831:D4832" si="84">"785-694-2627"</f>
        <v>785-694-2627</v>
      </c>
      <c r="E4831" s="2" t="s">
        <v>21524</v>
      </c>
      <c r="F4831" s="2" t="s">
        <v>21511</v>
      </c>
      <c r="G4831" s="2" t="str">
        <f>"SR-6543"</f>
        <v>SR-6543</v>
      </c>
      <c r="H4831" s="2" t="s">
        <v>21525</v>
      </c>
      <c r="I4831" s="2" t="s">
        <v>21513</v>
      </c>
      <c r="K4831" s="2" t="s">
        <v>9998</v>
      </c>
      <c r="L4831" s="2" t="s">
        <v>272</v>
      </c>
      <c r="M4831" s="2">
        <v>67732.0</v>
      </c>
      <c r="N4831" s="2" t="s">
        <v>21</v>
      </c>
    </row>
    <row r="4832" ht="15.75" customHeight="1">
      <c r="A4832" s="2">
        <v>2015.0</v>
      </c>
      <c r="B4832" s="2" t="s">
        <v>21509</v>
      </c>
      <c r="C4832" s="2" t="s">
        <v>21509</v>
      </c>
      <c r="D4832" s="2" t="str">
        <f t="shared" si="84"/>
        <v>785-694-2627</v>
      </c>
      <c r="E4832" s="2" t="s">
        <v>21526</v>
      </c>
      <c r="F4832" s="2" t="s">
        <v>21511</v>
      </c>
      <c r="G4832" s="2" t="str">
        <f>"SR-6545"</f>
        <v>SR-6545</v>
      </c>
      <c r="H4832" s="2" t="s">
        <v>21527</v>
      </c>
      <c r="I4832" s="2" t="s">
        <v>21513</v>
      </c>
      <c r="K4832" s="2" t="s">
        <v>9998</v>
      </c>
      <c r="L4832" s="2" t="s">
        <v>272</v>
      </c>
      <c r="M4832" s="2">
        <v>67732.0</v>
      </c>
      <c r="N4832" s="2" t="s">
        <v>21</v>
      </c>
    </row>
    <row r="4833" ht="15.75" customHeight="1">
      <c r="A4833" s="2">
        <v>2015.0</v>
      </c>
      <c r="B4833" s="2" t="s">
        <v>21528</v>
      </c>
      <c r="C4833" s="2" t="s">
        <v>21529</v>
      </c>
      <c r="D4833" s="2" t="str">
        <f>"9712279771"</f>
        <v>9712279771</v>
      </c>
      <c r="E4833" s="2" t="s">
        <v>705</v>
      </c>
      <c r="F4833" s="2" t="s">
        <v>21530</v>
      </c>
      <c r="G4833" s="2" t="str">
        <f>"SR-5859"</f>
        <v>SR-5859</v>
      </c>
      <c r="H4833" s="2" t="s">
        <v>21531</v>
      </c>
      <c r="I4833" s="2" t="s">
        <v>21532</v>
      </c>
      <c r="K4833" s="2" t="s">
        <v>2828</v>
      </c>
      <c r="L4833" s="2" t="s">
        <v>2389</v>
      </c>
      <c r="M4833" s="2">
        <v>97229.0</v>
      </c>
      <c r="N4833" s="2" t="s">
        <v>21</v>
      </c>
    </row>
    <row r="4834" ht="15.75" customHeight="1">
      <c r="A4834" s="2">
        <v>2015.0</v>
      </c>
      <c r="B4834" s="2" t="s">
        <v>21533</v>
      </c>
      <c r="C4834" s="2" t="s">
        <v>21534</v>
      </c>
      <c r="D4834" s="2" t="str">
        <f>"2198388425"</f>
        <v>2198388425</v>
      </c>
      <c r="E4834" s="2" t="s">
        <v>339</v>
      </c>
      <c r="F4834" s="2" t="s">
        <v>591</v>
      </c>
      <c r="G4834" s="2" t="str">
        <f>"SR-6549"</f>
        <v>SR-6549</v>
      </c>
      <c r="H4834" s="2" t="s">
        <v>21535</v>
      </c>
      <c r="I4834" s="2" t="s">
        <v>21536</v>
      </c>
      <c r="K4834" s="2" t="s">
        <v>21537</v>
      </c>
      <c r="L4834" s="2" t="s">
        <v>149</v>
      </c>
      <c r="M4834" s="2">
        <v>46321.0</v>
      </c>
      <c r="N4834" s="2" t="s">
        <v>21</v>
      </c>
    </row>
    <row r="4835" ht="15.75" customHeight="1">
      <c r="A4835" s="2">
        <v>2015.0</v>
      </c>
      <c r="B4835" s="2" t="s">
        <v>21538</v>
      </c>
      <c r="C4835" s="2" t="s">
        <v>21539</v>
      </c>
      <c r="D4835" s="2" t="str">
        <f>"9723328211"</f>
        <v>9723328211</v>
      </c>
      <c r="E4835" s="2" t="s">
        <v>21540</v>
      </c>
      <c r="F4835" s="2" t="s">
        <v>10775</v>
      </c>
      <c r="G4835" s="2" t="str">
        <f>"SR-6551"</f>
        <v>SR-6551</v>
      </c>
      <c r="H4835" s="2" t="s">
        <v>21541</v>
      </c>
      <c r="I4835" s="2" t="s">
        <v>21542</v>
      </c>
      <c r="K4835" s="2" t="s">
        <v>3144</v>
      </c>
      <c r="L4835" s="2" t="s">
        <v>172</v>
      </c>
      <c r="M4835" s="2">
        <v>75013.0</v>
      </c>
      <c r="N4835" s="2" t="s">
        <v>21</v>
      </c>
    </row>
    <row r="4836" ht="15.75" customHeight="1">
      <c r="A4836" s="2">
        <v>2015.0</v>
      </c>
      <c r="B4836" s="2" t="s">
        <v>21543</v>
      </c>
      <c r="C4836" s="2" t="s">
        <v>21544</v>
      </c>
      <c r="D4836" s="2" t="str">
        <f>"404-617-8609"</f>
        <v>404-617-8609</v>
      </c>
      <c r="E4836" s="2" t="s">
        <v>3336</v>
      </c>
      <c r="F4836" s="2" t="s">
        <v>2936</v>
      </c>
      <c r="G4836" s="2" t="str">
        <f>"SR-5879"</f>
        <v>SR-5879</v>
      </c>
      <c r="H4836" s="2" t="s">
        <v>21545</v>
      </c>
      <c r="I4836" s="2" t="s">
        <v>21546</v>
      </c>
      <c r="K4836" s="2" t="s">
        <v>21547</v>
      </c>
      <c r="L4836" s="2" t="s">
        <v>539</v>
      </c>
      <c r="M4836" s="2">
        <v>35622.0</v>
      </c>
      <c r="N4836" s="2" t="s">
        <v>21</v>
      </c>
    </row>
    <row r="4837" ht="15.75" customHeight="1">
      <c r="A4837" s="2">
        <v>2015.0</v>
      </c>
      <c r="B4837" s="2" t="s">
        <v>21543</v>
      </c>
      <c r="C4837" s="2" t="s">
        <v>21543</v>
      </c>
      <c r="D4837" s="2" t="str">
        <f>"404-313-7816"</f>
        <v>404-313-7816</v>
      </c>
      <c r="E4837" s="2" t="s">
        <v>580</v>
      </c>
      <c r="F4837" s="2" t="s">
        <v>21548</v>
      </c>
      <c r="G4837" s="2" t="str">
        <f>"SR-6062"</f>
        <v>SR-6062</v>
      </c>
      <c r="H4837" s="2" t="s">
        <v>21549</v>
      </c>
      <c r="I4837" s="2" t="s">
        <v>21546</v>
      </c>
      <c r="K4837" s="2" t="s">
        <v>21547</v>
      </c>
      <c r="L4837" s="2" t="s">
        <v>539</v>
      </c>
      <c r="M4837" s="2">
        <v>35622.0</v>
      </c>
      <c r="N4837" s="2" t="s">
        <v>21</v>
      </c>
    </row>
    <row r="4838" ht="15.75" customHeight="1">
      <c r="A4838" s="2">
        <v>2015.0</v>
      </c>
      <c r="B4838" s="2" t="s">
        <v>21550</v>
      </c>
      <c r="D4838" s="2" t="str">
        <f>""</f>
        <v/>
      </c>
      <c r="E4838" s="2" t="s">
        <v>339</v>
      </c>
      <c r="F4838" s="2" t="s">
        <v>9904</v>
      </c>
      <c r="G4838" s="2" t="str">
        <f>"SR-6540"</f>
        <v>SR-6540</v>
      </c>
      <c r="H4838" s="2" t="s">
        <v>21551</v>
      </c>
      <c r="N4838" s="2" t="s">
        <v>21</v>
      </c>
    </row>
    <row r="4839" ht="15.75" customHeight="1">
      <c r="A4839" s="2">
        <v>2015.0</v>
      </c>
      <c r="B4839" s="2" t="s">
        <v>21552</v>
      </c>
      <c r="C4839" s="2" t="s">
        <v>21552</v>
      </c>
      <c r="D4839" s="2" t="str">
        <f>"210 464 5908"</f>
        <v>210 464 5908</v>
      </c>
      <c r="E4839" s="2" t="s">
        <v>1007</v>
      </c>
      <c r="F4839" s="2" t="s">
        <v>20502</v>
      </c>
      <c r="G4839" s="2" t="str">
        <f>"SR-6553"</f>
        <v>SR-6553</v>
      </c>
      <c r="H4839" s="2" t="s">
        <v>21553</v>
      </c>
      <c r="I4839" s="2" t="s">
        <v>21554</v>
      </c>
      <c r="K4839" s="2" t="s">
        <v>632</v>
      </c>
      <c r="L4839" s="2" t="s">
        <v>172</v>
      </c>
      <c r="M4839" s="2">
        <v>78240.0</v>
      </c>
      <c r="N4839" s="2" t="s">
        <v>21</v>
      </c>
    </row>
    <row r="4840" ht="15.75" customHeight="1">
      <c r="A4840" s="2">
        <v>2015.0</v>
      </c>
      <c r="B4840" s="2" t="s">
        <v>21555</v>
      </c>
      <c r="C4840" s="2" t="s">
        <v>21555</v>
      </c>
      <c r="D4840" s="2" t="str">
        <f>"760-713-4559"</f>
        <v>760-713-4559</v>
      </c>
      <c r="E4840" s="2" t="s">
        <v>2412</v>
      </c>
      <c r="F4840" s="2" t="s">
        <v>21556</v>
      </c>
      <c r="G4840" s="2" t="str">
        <f>"SR-6555"</f>
        <v>SR-6555</v>
      </c>
      <c r="H4840" s="2" t="s">
        <v>21557</v>
      </c>
      <c r="I4840" s="2" t="s">
        <v>21558</v>
      </c>
      <c r="K4840" s="2" t="s">
        <v>9150</v>
      </c>
      <c r="L4840" s="2" t="s">
        <v>222</v>
      </c>
      <c r="M4840" s="2">
        <v>92345.0</v>
      </c>
      <c r="N4840" s="2" t="s">
        <v>21</v>
      </c>
    </row>
    <row r="4841" ht="15.75" customHeight="1">
      <c r="A4841" s="2">
        <v>2015.0</v>
      </c>
      <c r="B4841" s="2" t="s">
        <v>21559</v>
      </c>
      <c r="C4841" s="2" t="s">
        <v>21560</v>
      </c>
      <c r="D4841" s="2" t="str">
        <f>"972-880-69940"</f>
        <v>972-880-69940</v>
      </c>
      <c r="E4841" s="2" t="s">
        <v>373</v>
      </c>
      <c r="F4841" s="2" t="s">
        <v>203</v>
      </c>
      <c r="G4841" s="2" t="str">
        <f>"SR-6556"</f>
        <v>SR-6556</v>
      </c>
      <c r="H4841" s="2" t="s">
        <v>21561</v>
      </c>
      <c r="I4841" s="2" t="s">
        <v>21562</v>
      </c>
      <c r="K4841" s="2" t="s">
        <v>54</v>
      </c>
      <c r="L4841" s="2" t="s">
        <v>172</v>
      </c>
      <c r="M4841" s="2">
        <v>75404.0</v>
      </c>
      <c r="N4841" s="2" t="s">
        <v>21</v>
      </c>
    </row>
    <row r="4842" ht="15.75" customHeight="1">
      <c r="A4842" s="2">
        <v>2015.0</v>
      </c>
      <c r="B4842" s="2" t="s">
        <v>21563</v>
      </c>
      <c r="C4842" s="2" t="s">
        <v>21564</v>
      </c>
      <c r="D4842" s="2" t="str">
        <f>"612-991-1317"</f>
        <v>612-991-1317</v>
      </c>
      <c r="E4842" s="2" t="s">
        <v>456</v>
      </c>
      <c r="F4842" s="2" t="s">
        <v>21565</v>
      </c>
      <c r="G4842" s="2" t="str">
        <f>"SR-6560"</f>
        <v>SR-6560</v>
      </c>
      <c r="H4842" s="2" t="s">
        <v>21566</v>
      </c>
      <c r="I4842" s="2" t="s">
        <v>21567</v>
      </c>
      <c r="J4842" s="2" t="s">
        <v>21568</v>
      </c>
      <c r="K4842" s="2" t="s">
        <v>626</v>
      </c>
      <c r="L4842" s="2" t="s">
        <v>62</v>
      </c>
      <c r="M4842" s="2">
        <v>55388.0</v>
      </c>
      <c r="N4842" s="2" t="s">
        <v>21</v>
      </c>
    </row>
    <row r="4843" ht="15.75" customHeight="1">
      <c r="A4843" s="2">
        <v>2015.0</v>
      </c>
      <c r="B4843" s="2" t="s">
        <v>21563</v>
      </c>
      <c r="C4843" s="2" t="s">
        <v>21569</v>
      </c>
      <c r="D4843" s="2" t="str">
        <f>"612-991-8571"</f>
        <v>612-991-8571</v>
      </c>
      <c r="E4843" s="2" t="s">
        <v>678</v>
      </c>
      <c r="F4843" s="2" t="s">
        <v>21565</v>
      </c>
      <c r="G4843" s="2" t="str">
        <f>"SR-6561"</f>
        <v>SR-6561</v>
      </c>
      <c r="H4843" s="2" t="s">
        <v>21570</v>
      </c>
      <c r="I4843" s="2" t="s">
        <v>21567</v>
      </c>
      <c r="J4843" s="2" t="s">
        <v>21568</v>
      </c>
      <c r="K4843" s="2" t="s">
        <v>626</v>
      </c>
      <c r="L4843" s="2" t="s">
        <v>62</v>
      </c>
      <c r="M4843" s="2">
        <v>55388.0</v>
      </c>
      <c r="N4843" s="2" t="s">
        <v>21</v>
      </c>
    </row>
    <row r="4844" ht="15.75" customHeight="1">
      <c r="A4844" s="2">
        <v>2015.0</v>
      </c>
      <c r="B4844" s="2" t="s">
        <v>16007</v>
      </c>
      <c r="C4844" s="2" t="s">
        <v>21571</v>
      </c>
      <c r="D4844" s="2" t="str">
        <f>"7154172724"</f>
        <v>7154172724</v>
      </c>
      <c r="E4844" s="2" t="s">
        <v>373</v>
      </c>
      <c r="F4844" s="2" t="s">
        <v>21572</v>
      </c>
      <c r="G4844" s="2" t="str">
        <f>"SR-6451"</f>
        <v>SR-6451</v>
      </c>
      <c r="H4844" s="2" t="s">
        <v>21573</v>
      </c>
      <c r="I4844" s="2" t="s">
        <v>21574</v>
      </c>
      <c r="K4844" s="2" t="s">
        <v>6438</v>
      </c>
      <c r="L4844" s="2" t="s">
        <v>193</v>
      </c>
      <c r="M4844" s="2">
        <v>54020.0</v>
      </c>
      <c r="N4844" s="2" t="s">
        <v>21</v>
      </c>
    </row>
    <row r="4845" ht="15.75" customHeight="1">
      <c r="A4845" s="2">
        <v>2015.0</v>
      </c>
      <c r="B4845" s="2" t="s">
        <v>21575</v>
      </c>
      <c r="C4845" s="2" t="s">
        <v>21575</v>
      </c>
      <c r="D4845" s="2" t="str">
        <f>"7195020926"</f>
        <v>7195020926</v>
      </c>
      <c r="E4845" s="2" t="s">
        <v>21576</v>
      </c>
      <c r="F4845" s="2" t="s">
        <v>21577</v>
      </c>
      <c r="G4845" s="2" t="str">
        <f>"SR-6566"</f>
        <v>SR-6566</v>
      </c>
      <c r="H4845" s="2" t="s">
        <v>21578</v>
      </c>
      <c r="I4845" s="2" t="s">
        <v>21579</v>
      </c>
      <c r="K4845" s="2" t="s">
        <v>21580</v>
      </c>
      <c r="L4845" s="2" t="s">
        <v>157</v>
      </c>
      <c r="M4845" s="2">
        <v>80906.0</v>
      </c>
      <c r="N4845" s="2" t="s">
        <v>21</v>
      </c>
    </row>
    <row r="4846" ht="15.75" customHeight="1">
      <c r="A4846" s="2">
        <v>2015.0</v>
      </c>
      <c r="B4846" s="2" t="s">
        <v>21581</v>
      </c>
      <c r="C4846" s="2" t="s">
        <v>21582</v>
      </c>
      <c r="D4846" s="2" t="str">
        <f>"7195201687"</f>
        <v>7195201687</v>
      </c>
      <c r="E4846" s="2" t="s">
        <v>2852</v>
      </c>
      <c r="F4846" s="2" t="s">
        <v>2598</v>
      </c>
      <c r="G4846" s="2" t="str">
        <f>"SR-5843"</f>
        <v>SR-5843</v>
      </c>
      <c r="H4846" s="2" t="s">
        <v>21583</v>
      </c>
      <c r="I4846" s="2" t="s">
        <v>21584</v>
      </c>
      <c r="K4846" s="2" t="s">
        <v>809</v>
      </c>
      <c r="L4846" s="2" t="s">
        <v>157</v>
      </c>
      <c r="M4846" s="2">
        <v>80906.0</v>
      </c>
      <c r="N4846" s="2" t="s">
        <v>21</v>
      </c>
    </row>
    <row r="4847" ht="15.75" customHeight="1">
      <c r="A4847" s="2">
        <v>2015.0</v>
      </c>
      <c r="B4847" s="2" t="s">
        <v>21585</v>
      </c>
      <c r="D4847" s="2" t="str">
        <f>""</f>
        <v/>
      </c>
      <c r="E4847" s="2" t="s">
        <v>1999</v>
      </c>
      <c r="F4847" s="2" t="s">
        <v>21586</v>
      </c>
      <c r="G4847" s="2" t="str">
        <f>"SR-2960"</f>
        <v>SR-2960</v>
      </c>
      <c r="H4847" s="2" t="s">
        <v>21587</v>
      </c>
      <c r="N4847" s="2" t="s">
        <v>21</v>
      </c>
    </row>
    <row r="4848" ht="15.75" customHeight="1">
      <c r="A4848" s="2">
        <v>2015.0</v>
      </c>
      <c r="B4848" s="2" t="s">
        <v>21588</v>
      </c>
      <c r="C4848" s="2" t="s">
        <v>21589</v>
      </c>
      <c r="D4848" s="2" t="str">
        <f>"856-468-7979"</f>
        <v>856-468-7979</v>
      </c>
      <c r="E4848" s="2" t="s">
        <v>5420</v>
      </c>
      <c r="F4848" s="2" t="s">
        <v>21590</v>
      </c>
      <c r="G4848" s="2" t="str">
        <f>"SR-6571"</f>
        <v>SR-6571</v>
      </c>
      <c r="H4848" s="2" t="s">
        <v>21591</v>
      </c>
      <c r="I4848" s="2" t="s">
        <v>21592</v>
      </c>
      <c r="K4848" s="2" t="s">
        <v>21593</v>
      </c>
      <c r="L4848" s="2" t="s">
        <v>3618</v>
      </c>
      <c r="M4848" s="2">
        <v>8090.0</v>
      </c>
      <c r="N4848" s="2" t="s">
        <v>21</v>
      </c>
    </row>
    <row r="4849" ht="15.75" customHeight="1">
      <c r="A4849" s="2">
        <v>2015.0</v>
      </c>
      <c r="B4849" s="2" t="s">
        <v>21594</v>
      </c>
      <c r="C4849" s="2" t="s">
        <v>21595</v>
      </c>
      <c r="D4849" s="2" t="str">
        <f>"(406)530-4609"</f>
        <v>(406)530-4609</v>
      </c>
      <c r="E4849" s="2" t="s">
        <v>1076</v>
      </c>
      <c r="F4849" s="2" t="s">
        <v>21596</v>
      </c>
      <c r="G4849" s="2" t="str">
        <f>"SR-6576"</f>
        <v>SR-6576</v>
      </c>
      <c r="H4849" s="2" t="s">
        <v>21597</v>
      </c>
      <c r="I4849" s="2" t="s">
        <v>21598</v>
      </c>
      <c r="K4849" s="2" t="s">
        <v>3548</v>
      </c>
      <c r="L4849" s="2" t="s">
        <v>2696</v>
      </c>
      <c r="M4849" s="2">
        <v>59106.0</v>
      </c>
      <c r="N4849" s="2" t="s">
        <v>21</v>
      </c>
    </row>
    <row r="4850" ht="15.75" customHeight="1">
      <c r="A4850" s="2">
        <v>2015.0</v>
      </c>
      <c r="B4850" s="2" t="s">
        <v>21599</v>
      </c>
      <c r="C4850" s="2" t="s">
        <v>21600</v>
      </c>
      <c r="D4850" s="2" t="str">
        <f>"7076012568"</f>
        <v>7076012568</v>
      </c>
      <c r="E4850" s="2" t="s">
        <v>1440</v>
      </c>
      <c r="F4850" s="2" t="s">
        <v>21601</v>
      </c>
      <c r="G4850" s="2" t="str">
        <f>"SR-6575"</f>
        <v>SR-6575</v>
      </c>
      <c r="H4850" s="2" t="s">
        <v>21602</v>
      </c>
      <c r="I4850" s="2" t="s">
        <v>21603</v>
      </c>
      <c r="K4850" s="2" t="s">
        <v>21604</v>
      </c>
      <c r="L4850" s="2" t="s">
        <v>222</v>
      </c>
      <c r="M4850" s="2">
        <v>95519.0</v>
      </c>
      <c r="N4850" s="2" t="s">
        <v>21</v>
      </c>
    </row>
    <row r="4851" ht="15.75" customHeight="1">
      <c r="A4851" s="2">
        <v>2015.0</v>
      </c>
      <c r="B4851" s="2" t="s">
        <v>15486</v>
      </c>
      <c r="C4851" s="2" t="s">
        <v>15487</v>
      </c>
      <c r="D4851" s="2" t="str">
        <f>"3076314272"</f>
        <v>3076314272</v>
      </c>
      <c r="E4851" s="2" t="s">
        <v>57</v>
      </c>
      <c r="F4851" s="2" t="s">
        <v>15488</v>
      </c>
      <c r="G4851" s="2" t="str">
        <f>"SR-4501"</f>
        <v>SR-4501</v>
      </c>
      <c r="H4851" s="2" t="s">
        <v>15489</v>
      </c>
      <c r="I4851" s="2" t="s">
        <v>15490</v>
      </c>
      <c r="K4851" s="2" t="s">
        <v>10638</v>
      </c>
      <c r="L4851" s="2" t="s">
        <v>1540</v>
      </c>
      <c r="M4851" s="2">
        <v>82009.0</v>
      </c>
      <c r="N4851" s="2" t="s">
        <v>21</v>
      </c>
    </row>
    <row r="4852" ht="15.75" customHeight="1">
      <c r="A4852" s="2">
        <v>2015.0</v>
      </c>
      <c r="B4852" s="2" t="s">
        <v>6443</v>
      </c>
      <c r="C4852" s="2" t="s">
        <v>6443</v>
      </c>
      <c r="D4852" s="2" t="str">
        <f>"304-776-6592"</f>
        <v>304-776-6592</v>
      </c>
      <c r="E4852" s="2" t="s">
        <v>485</v>
      </c>
      <c r="F4852" s="2" t="s">
        <v>6445</v>
      </c>
      <c r="G4852" s="2" t="str">
        <f>"SR-6520"</f>
        <v>SR-6520</v>
      </c>
      <c r="H4852" s="2" t="s">
        <v>21605</v>
      </c>
      <c r="I4852" s="2" t="s">
        <v>6447</v>
      </c>
      <c r="K4852" s="2" t="s">
        <v>6448</v>
      </c>
      <c r="L4852" s="2" t="s">
        <v>6449</v>
      </c>
      <c r="M4852" s="2">
        <v>25313.0</v>
      </c>
      <c r="N4852" s="2" t="s">
        <v>21</v>
      </c>
    </row>
    <row r="4853" ht="15.75" customHeight="1">
      <c r="A4853" s="2">
        <v>2015.0</v>
      </c>
      <c r="B4853" s="2" t="s">
        <v>21606</v>
      </c>
      <c r="C4853" s="2" t="s">
        <v>21606</v>
      </c>
      <c r="D4853" s="2" t="str">
        <f>"(916) 303-6316"</f>
        <v>(916) 303-6316</v>
      </c>
      <c r="E4853" s="2" t="s">
        <v>21607</v>
      </c>
      <c r="F4853" s="2" t="s">
        <v>1185</v>
      </c>
      <c r="G4853" s="2" t="str">
        <f>"SR-6584"</f>
        <v>SR-6584</v>
      </c>
      <c r="H4853" s="2" t="s">
        <v>21608</v>
      </c>
      <c r="I4853" s="2" t="s">
        <v>21609</v>
      </c>
      <c r="K4853" s="2" t="s">
        <v>18471</v>
      </c>
      <c r="L4853" s="2" t="s">
        <v>222</v>
      </c>
      <c r="M4853" s="2">
        <v>95692.0</v>
      </c>
      <c r="N4853" s="2" t="s">
        <v>21</v>
      </c>
    </row>
    <row r="4854" ht="15.75" customHeight="1">
      <c r="A4854" s="2">
        <v>2015.0</v>
      </c>
      <c r="B4854" s="2" t="s">
        <v>4447</v>
      </c>
      <c r="C4854" s="2" t="s">
        <v>12265</v>
      </c>
      <c r="D4854" s="2" t="str">
        <f>"7314233407"</f>
        <v>7314233407</v>
      </c>
      <c r="E4854" s="2" t="s">
        <v>160</v>
      </c>
      <c r="F4854" s="2" t="s">
        <v>962</v>
      </c>
      <c r="G4854" s="2" t="str">
        <f>"SR-3537"</f>
        <v>SR-3537</v>
      </c>
      <c r="H4854" s="2" t="s">
        <v>12266</v>
      </c>
      <c r="I4854" s="2" t="s">
        <v>12267</v>
      </c>
      <c r="K4854" s="2" t="s">
        <v>1257</v>
      </c>
      <c r="L4854" s="2" t="s">
        <v>279</v>
      </c>
      <c r="M4854" s="2">
        <v>38301.0</v>
      </c>
      <c r="N4854" s="2" t="s">
        <v>21</v>
      </c>
    </row>
    <row r="4855" ht="15.75" customHeight="1">
      <c r="A4855" s="2">
        <v>2015.0</v>
      </c>
      <c r="B4855" s="2" t="s">
        <v>21610</v>
      </c>
      <c r="C4855" s="2" t="s">
        <v>21610</v>
      </c>
      <c r="D4855" s="2" t="str">
        <f>"828-466-0048"</f>
        <v>828-466-0048</v>
      </c>
      <c r="E4855" s="2" t="s">
        <v>705</v>
      </c>
      <c r="F4855" s="2" t="s">
        <v>718</v>
      </c>
      <c r="G4855" s="2" t="str">
        <f>"SR-5934"</f>
        <v>SR-5934</v>
      </c>
      <c r="H4855" s="2" t="s">
        <v>21611</v>
      </c>
      <c r="I4855" s="2" t="s">
        <v>21612</v>
      </c>
      <c r="K4855" s="2" t="s">
        <v>3212</v>
      </c>
      <c r="L4855" s="2" t="s">
        <v>20</v>
      </c>
      <c r="M4855" s="2">
        <v>28658.0</v>
      </c>
      <c r="N4855" s="2" t="s">
        <v>21</v>
      </c>
    </row>
    <row r="4856" ht="15.75" customHeight="1">
      <c r="A4856" s="2">
        <v>2015.0</v>
      </c>
      <c r="B4856" s="2" t="s">
        <v>21613</v>
      </c>
      <c r="C4856" s="2" t="s">
        <v>21614</v>
      </c>
      <c r="D4856" s="2" t="str">
        <f>"256-520-8007"</f>
        <v>256-520-8007</v>
      </c>
      <c r="E4856" s="2" t="s">
        <v>1088</v>
      </c>
      <c r="F4856" s="2" t="s">
        <v>21615</v>
      </c>
      <c r="G4856" s="2" t="str">
        <f>"SR-5496"</f>
        <v>SR-5496</v>
      </c>
      <c r="H4856" s="2" t="s">
        <v>21616</v>
      </c>
      <c r="I4856" s="2" t="s">
        <v>21617</v>
      </c>
      <c r="K4856" s="2" t="s">
        <v>1953</v>
      </c>
      <c r="L4856" s="2" t="s">
        <v>539</v>
      </c>
      <c r="M4856" s="2">
        <v>35811.0</v>
      </c>
      <c r="N4856" s="2" t="s">
        <v>21</v>
      </c>
    </row>
    <row r="4857" ht="15.75" customHeight="1">
      <c r="A4857" s="2">
        <v>2015.0</v>
      </c>
      <c r="B4857" s="2" t="s">
        <v>21613</v>
      </c>
      <c r="C4857" s="2" t="s">
        <v>21618</v>
      </c>
      <c r="D4857" s="2" t="str">
        <f>"256-698-0746"</f>
        <v>256-698-0746</v>
      </c>
      <c r="E4857" s="2" t="s">
        <v>21619</v>
      </c>
      <c r="F4857" s="2" t="s">
        <v>17713</v>
      </c>
      <c r="G4857" s="2" t="str">
        <f>"SR-5494"</f>
        <v>SR-5494</v>
      </c>
      <c r="H4857" s="2" t="s">
        <v>21620</v>
      </c>
      <c r="I4857" s="2" t="s">
        <v>21621</v>
      </c>
      <c r="K4857" s="2" t="s">
        <v>1953</v>
      </c>
      <c r="L4857" s="2" t="s">
        <v>539</v>
      </c>
      <c r="M4857" s="2">
        <v>35801.0</v>
      </c>
      <c r="N4857" s="2" t="s">
        <v>21</v>
      </c>
    </row>
    <row r="4858" ht="15.75" customHeight="1">
      <c r="A4858" s="2">
        <v>2015.0</v>
      </c>
      <c r="B4858" s="2" t="s">
        <v>21622</v>
      </c>
      <c r="C4858" s="2" t="s">
        <v>21623</v>
      </c>
      <c r="D4858" s="2" t="str">
        <f>"801-432-8601"</f>
        <v>801-432-8601</v>
      </c>
      <c r="E4858" s="2" t="s">
        <v>167</v>
      </c>
      <c r="F4858" s="2" t="s">
        <v>962</v>
      </c>
      <c r="G4858" s="2" t="str">
        <f>"SR-6589"</f>
        <v>SR-6589</v>
      </c>
      <c r="H4858" s="2" t="s">
        <v>5948</v>
      </c>
      <c r="I4858" s="2" t="s">
        <v>21624</v>
      </c>
      <c r="K4858" s="2" t="s">
        <v>21625</v>
      </c>
      <c r="L4858" s="2" t="s">
        <v>763</v>
      </c>
      <c r="M4858" s="2">
        <v>84092.0</v>
      </c>
      <c r="N4858" s="2" t="s">
        <v>21</v>
      </c>
    </row>
    <row r="4859" ht="15.75" customHeight="1">
      <c r="A4859" s="2">
        <v>2015.0</v>
      </c>
      <c r="B4859" s="2" t="s">
        <v>21626</v>
      </c>
      <c r="C4859" s="2" t="s">
        <v>21626</v>
      </c>
      <c r="D4859" s="2" t="str">
        <f>"505-414-2459"</f>
        <v>505-414-2459</v>
      </c>
      <c r="E4859" s="2" t="s">
        <v>3555</v>
      </c>
      <c r="F4859" s="2" t="s">
        <v>5981</v>
      </c>
      <c r="G4859" s="2" t="str">
        <f>"SR-6591"</f>
        <v>SR-6591</v>
      </c>
      <c r="H4859" s="2" t="s">
        <v>21627</v>
      </c>
      <c r="I4859" s="2" t="s">
        <v>21628</v>
      </c>
      <c r="K4859" s="2" t="s">
        <v>3705</v>
      </c>
      <c r="L4859" s="2" t="s">
        <v>789</v>
      </c>
      <c r="M4859" s="2">
        <v>87110.0</v>
      </c>
      <c r="N4859" s="2" t="s">
        <v>21</v>
      </c>
    </row>
    <row r="4860" ht="15.75" customHeight="1">
      <c r="A4860" s="2">
        <v>2015.0</v>
      </c>
      <c r="B4860" s="2" t="s">
        <v>21629</v>
      </c>
      <c r="C4860" s="2" t="s">
        <v>21629</v>
      </c>
      <c r="D4860" s="2" t="str">
        <f>"505-414-2373"</f>
        <v>505-414-2373</v>
      </c>
      <c r="E4860" s="2" t="s">
        <v>590</v>
      </c>
      <c r="F4860" s="2" t="s">
        <v>5981</v>
      </c>
      <c r="G4860" s="2" t="str">
        <f>"SR-6592"</f>
        <v>SR-6592</v>
      </c>
      <c r="H4860" s="2" t="s">
        <v>21630</v>
      </c>
      <c r="I4860" s="2" t="s">
        <v>21628</v>
      </c>
      <c r="K4860" s="2" t="s">
        <v>3705</v>
      </c>
      <c r="L4860" s="2" t="s">
        <v>789</v>
      </c>
      <c r="M4860" s="2">
        <v>87110.0</v>
      </c>
      <c r="N4860" s="2" t="s">
        <v>21</v>
      </c>
    </row>
    <row r="4861" ht="15.75" customHeight="1">
      <c r="A4861" s="2">
        <v>2015.0</v>
      </c>
      <c r="B4861" s="2" t="s">
        <v>21631</v>
      </c>
      <c r="C4861" s="2" t="s">
        <v>21632</v>
      </c>
      <c r="D4861" s="2" t="str">
        <f>"858-692-6531"</f>
        <v>858-692-6531</v>
      </c>
      <c r="E4861" s="2" t="s">
        <v>21633</v>
      </c>
      <c r="F4861" s="2" t="s">
        <v>3674</v>
      </c>
      <c r="G4861" s="2" t="str">
        <f>"SR-6590"</f>
        <v>SR-6590</v>
      </c>
      <c r="H4861" s="2" t="s">
        <v>21634</v>
      </c>
      <c r="I4861" s="2" t="s">
        <v>21635</v>
      </c>
      <c r="K4861" s="2" t="s">
        <v>8250</v>
      </c>
      <c r="L4861" s="2" t="s">
        <v>222</v>
      </c>
      <c r="M4861" s="2">
        <v>92127.0</v>
      </c>
      <c r="N4861" s="2" t="s">
        <v>21</v>
      </c>
    </row>
    <row r="4862" ht="15.75" customHeight="1">
      <c r="A4862" s="2">
        <v>2015.0</v>
      </c>
      <c r="B4862" s="2" t="s">
        <v>21636</v>
      </c>
      <c r="C4862" s="2" t="s">
        <v>21637</v>
      </c>
      <c r="D4862" s="2" t="str">
        <f>"907 822 3717"</f>
        <v>907 822 3717</v>
      </c>
      <c r="E4862" s="2" t="s">
        <v>9351</v>
      </c>
      <c r="F4862" s="2" t="s">
        <v>6833</v>
      </c>
      <c r="G4862" s="2" t="str">
        <f>"SR-6577"</f>
        <v>SR-6577</v>
      </c>
      <c r="H4862" s="2" t="s">
        <v>21638</v>
      </c>
      <c r="I4862" s="2" t="s">
        <v>6835</v>
      </c>
      <c r="K4862" s="2" t="s">
        <v>6837</v>
      </c>
      <c r="L4862" s="2" t="s">
        <v>70</v>
      </c>
      <c r="M4862" s="2">
        <v>99573.0</v>
      </c>
      <c r="N4862" s="2" t="s">
        <v>21</v>
      </c>
    </row>
    <row r="4863" ht="15.75" customHeight="1">
      <c r="A4863" s="2">
        <v>2015.0</v>
      </c>
      <c r="B4863" s="2" t="s">
        <v>21639</v>
      </c>
      <c r="C4863" s="2" t="s">
        <v>21640</v>
      </c>
      <c r="D4863" s="2" t="str">
        <f>"503-846-9180"</f>
        <v>503-846-9180</v>
      </c>
      <c r="E4863" s="2" t="s">
        <v>3434</v>
      </c>
      <c r="F4863" s="2" t="s">
        <v>4011</v>
      </c>
      <c r="G4863" s="2" t="str">
        <f>"SR-6596"</f>
        <v>SR-6596</v>
      </c>
      <c r="H4863" s="2" t="s">
        <v>21641</v>
      </c>
      <c r="I4863" s="2" t="s">
        <v>21642</v>
      </c>
      <c r="K4863" s="2" t="s">
        <v>788</v>
      </c>
      <c r="L4863" s="2" t="s">
        <v>2389</v>
      </c>
      <c r="M4863" s="2">
        <v>97124.0</v>
      </c>
      <c r="N4863" s="2" t="s">
        <v>21</v>
      </c>
    </row>
    <row r="4864" ht="15.75" customHeight="1">
      <c r="A4864" s="2">
        <v>2015.0</v>
      </c>
      <c r="B4864" s="2" t="s">
        <v>17024</v>
      </c>
      <c r="C4864" s="2" t="s">
        <v>21643</v>
      </c>
      <c r="D4864" s="2" t="str">
        <f>"4058883439"</f>
        <v>4058883439</v>
      </c>
      <c r="E4864" s="2" t="s">
        <v>1141</v>
      </c>
      <c r="F4864" s="2" t="s">
        <v>283</v>
      </c>
      <c r="G4864" s="2" t="str">
        <f>"SR-6158"</f>
        <v>SR-6158</v>
      </c>
      <c r="H4864" s="2" t="s">
        <v>4914</v>
      </c>
      <c r="I4864" s="2" t="s">
        <v>17028</v>
      </c>
      <c r="K4864" s="2" t="s">
        <v>1546</v>
      </c>
      <c r="L4864" s="2" t="s">
        <v>840</v>
      </c>
      <c r="M4864" s="2">
        <v>73034.0</v>
      </c>
      <c r="N4864" s="2" t="s">
        <v>21</v>
      </c>
    </row>
    <row r="4865" ht="15.75" customHeight="1">
      <c r="A4865" s="2">
        <v>2015.0</v>
      </c>
      <c r="B4865" s="2" t="s">
        <v>21644</v>
      </c>
      <c r="C4865" s="2" t="s">
        <v>21645</v>
      </c>
      <c r="D4865" s="2" t="str">
        <f>"303-779-9602"</f>
        <v>303-779-9602</v>
      </c>
      <c r="E4865" s="2" t="s">
        <v>440</v>
      </c>
      <c r="F4865" s="2" t="s">
        <v>21646</v>
      </c>
      <c r="G4865" s="2" t="str">
        <f>"SR-6065"</f>
        <v>SR-6065</v>
      </c>
      <c r="H4865" s="2" t="s">
        <v>21647</v>
      </c>
      <c r="I4865" s="2" t="s">
        <v>21648</v>
      </c>
      <c r="K4865" s="2" t="s">
        <v>992</v>
      </c>
      <c r="L4865" s="2" t="s">
        <v>157</v>
      </c>
      <c r="M4865" s="2">
        <v>80122.0</v>
      </c>
      <c r="N4865" s="2" t="s">
        <v>21</v>
      </c>
    </row>
    <row r="4866" ht="15.75" customHeight="1">
      <c r="A4866" s="2">
        <v>2015.0</v>
      </c>
      <c r="B4866" s="2" t="s">
        <v>21649</v>
      </c>
      <c r="C4866" s="2" t="s">
        <v>21650</v>
      </c>
      <c r="D4866" s="2" t="str">
        <f>"(912) 484-1256"</f>
        <v>(912) 484-1256</v>
      </c>
      <c r="E4866" s="2" t="s">
        <v>1810</v>
      </c>
      <c r="F4866" s="2" t="s">
        <v>21651</v>
      </c>
      <c r="G4866" s="2" t="str">
        <f>"SR-5814"</f>
        <v>SR-5814</v>
      </c>
      <c r="H4866" s="2" t="s">
        <v>21652</v>
      </c>
      <c r="I4866" s="2" t="s">
        <v>21653</v>
      </c>
      <c r="K4866" s="2" t="s">
        <v>4552</v>
      </c>
      <c r="L4866" s="2" t="s">
        <v>55</v>
      </c>
      <c r="M4866" s="2">
        <v>29910.0</v>
      </c>
      <c r="N4866" s="2" t="s">
        <v>21</v>
      </c>
    </row>
    <row r="4867" ht="15.75" customHeight="1">
      <c r="A4867" s="2">
        <v>2015.0</v>
      </c>
      <c r="B4867" s="2" t="s">
        <v>9777</v>
      </c>
      <c r="C4867" s="2" t="s">
        <v>9777</v>
      </c>
      <c r="D4867" s="2" t="str">
        <f>"316-880-9032"</f>
        <v>316-880-9032</v>
      </c>
      <c r="E4867" s="2" t="s">
        <v>9778</v>
      </c>
      <c r="F4867" s="2" t="s">
        <v>9779</v>
      </c>
      <c r="G4867" s="2" t="str">
        <f>"SR-2677"</f>
        <v>SR-2677</v>
      </c>
      <c r="H4867" s="2" t="s">
        <v>9780</v>
      </c>
      <c r="I4867" s="2" t="s">
        <v>9781</v>
      </c>
      <c r="K4867" s="2" t="s">
        <v>1026</v>
      </c>
      <c r="L4867" s="2" t="s">
        <v>272</v>
      </c>
      <c r="M4867" s="2">
        <v>67037.0</v>
      </c>
      <c r="N4867" s="2" t="s">
        <v>21</v>
      </c>
    </row>
    <row r="4868" ht="15.75" customHeight="1">
      <c r="A4868" s="2">
        <v>2015.0</v>
      </c>
      <c r="B4868" s="2" t="s">
        <v>21654</v>
      </c>
      <c r="D4868" s="2" t="str">
        <f>""</f>
        <v/>
      </c>
      <c r="E4868" s="2" t="s">
        <v>1088</v>
      </c>
      <c r="F4868" s="2" t="s">
        <v>89</v>
      </c>
      <c r="G4868" s="2" t="str">
        <f>"SR-6602"</f>
        <v>SR-6602</v>
      </c>
      <c r="H4868" s="2" t="s">
        <v>21655</v>
      </c>
      <c r="N4868" s="2" t="s">
        <v>21</v>
      </c>
    </row>
    <row r="4869" ht="15.75" customHeight="1">
      <c r="A4869" s="2">
        <v>2015.0</v>
      </c>
      <c r="B4869" s="2" t="s">
        <v>21656</v>
      </c>
      <c r="C4869" s="2" t="s">
        <v>21657</v>
      </c>
      <c r="D4869" s="2" t="str">
        <f>"4795953759"</f>
        <v>4795953759</v>
      </c>
      <c r="E4869" s="2" t="s">
        <v>2753</v>
      </c>
      <c r="F4869" s="2" t="s">
        <v>21658</v>
      </c>
      <c r="G4869" s="2" t="str">
        <f>"SR-4698"</f>
        <v>SR-4698</v>
      </c>
      <c r="H4869" s="2" t="s">
        <v>21659</v>
      </c>
      <c r="I4869" s="2" t="s">
        <v>21660</v>
      </c>
      <c r="K4869" s="2" t="s">
        <v>3164</v>
      </c>
      <c r="L4869" s="2" t="s">
        <v>1012</v>
      </c>
      <c r="M4869" s="2">
        <v>72704.0</v>
      </c>
      <c r="N4869" s="2" t="s">
        <v>21</v>
      </c>
    </row>
    <row r="4870" ht="15.75" customHeight="1">
      <c r="A4870" s="2">
        <v>2015.0</v>
      </c>
      <c r="B4870" s="2" t="s">
        <v>21661</v>
      </c>
      <c r="C4870" s="2" t="s">
        <v>21661</v>
      </c>
      <c r="D4870" s="2" t="str">
        <f>"410-529-3070"</f>
        <v>410-529-3070</v>
      </c>
      <c r="E4870" s="2" t="s">
        <v>7336</v>
      </c>
      <c r="F4870" s="2" t="s">
        <v>21662</v>
      </c>
      <c r="G4870" s="2" t="str">
        <f>"SR-5662"</f>
        <v>SR-5662</v>
      </c>
      <c r="H4870" s="2" t="s">
        <v>21663</v>
      </c>
      <c r="I4870" s="2" t="s">
        <v>21664</v>
      </c>
      <c r="K4870" s="2" t="s">
        <v>21665</v>
      </c>
      <c r="L4870" s="2" t="s">
        <v>1868</v>
      </c>
      <c r="M4870" s="2">
        <v>21128.0</v>
      </c>
      <c r="N4870" s="2" t="s">
        <v>21</v>
      </c>
    </row>
    <row r="4871" ht="15.75" customHeight="1">
      <c r="A4871" s="2">
        <v>2015.0</v>
      </c>
      <c r="B4871" s="2" t="s">
        <v>21666</v>
      </c>
      <c r="C4871" s="2" t="s">
        <v>21667</v>
      </c>
      <c r="D4871" s="2" t="str">
        <f>"309-229-1737"</f>
        <v>309-229-1737</v>
      </c>
      <c r="E4871" s="2" t="s">
        <v>8378</v>
      </c>
      <c r="F4871" s="2" t="s">
        <v>128</v>
      </c>
      <c r="G4871" s="2" t="str">
        <f>"SR-5090"</f>
        <v>SR-5090</v>
      </c>
      <c r="H4871" s="2" t="s">
        <v>21668</v>
      </c>
      <c r="I4871" s="2" t="s">
        <v>21669</v>
      </c>
      <c r="K4871" s="2" t="s">
        <v>104</v>
      </c>
      <c r="L4871" s="2" t="s">
        <v>105</v>
      </c>
      <c r="M4871" s="2">
        <v>61614.0</v>
      </c>
      <c r="N4871" s="2" t="s">
        <v>21</v>
      </c>
    </row>
    <row r="4872" ht="15.75" customHeight="1">
      <c r="A4872" s="2">
        <v>2015.0</v>
      </c>
      <c r="B4872" s="2" t="s">
        <v>21670</v>
      </c>
      <c r="C4872" s="2" t="s">
        <v>21671</v>
      </c>
      <c r="D4872" s="2" t="str">
        <f>"9204611286"</f>
        <v>9204611286</v>
      </c>
      <c r="E4872" s="2" t="s">
        <v>453</v>
      </c>
      <c r="F4872" s="2" t="s">
        <v>7337</v>
      </c>
      <c r="G4872" s="2" t="str">
        <f>"SR-6607"</f>
        <v>SR-6607</v>
      </c>
      <c r="H4872" s="2" t="s">
        <v>21672</v>
      </c>
      <c r="I4872" s="2" t="s">
        <v>21673</v>
      </c>
      <c r="K4872" s="2" t="s">
        <v>10273</v>
      </c>
      <c r="L4872" s="2" t="s">
        <v>193</v>
      </c>
      <c r="M4872" s="2">
        <v>54981.0</v>
      </c>
      <c r="N4872" s="2" t="s">
        <v>21</v>
      </c>
    </row>
    <row r="4873" ht="15.75" customHeight="1">
      <c r="A4873" s="2">
        <v>2015.0</v>
      </c>
      <c r="B4873" s="2" t="s">
        <v>21674</v>
      </c>
      <c r="C4873" s="2" t="s">
        <v>21674</v>
      </c>
      <c r="D4873" s="2" t="str">
        <f>"2077293580"</f>
        <v>2077293580</v>
      </c>
      <c r="E4873" s="2" t="s">
        <v>3400</v>
      </c>
      <c r="F4873" s="2" t="s">
        <v>1756</v>
      </c>
      <c r="G4873" s="2" t="str">
        <f>"SR-6595"</f>
        <v>SR-6595</v>
      </c>
      <c r="H4873" s="2" t="s">
        <v>21675</v>
      </c>
      <c r="I4873" s="2" t="s">
        <v>21676</v>
      </c>
      <c r="K4873" s="2" t="s">
        <v>21677</v>
      </c>
      <c r="L4873" s="2" t="s">
        <v>3737</v>
      </c>
      <c r="M4873" s="2">
        <v>4079.0</v>
      </c>
      <c r="N4873" s="2" t="s">
        <v>21</v>
      </c>
    </row>
    <row r="4874" ht="15.75" customHeight="1">
      <c r="A4874" s="2">
        <v>2015.0</v>
      </c>
      <c r="B4874" s="2" t="s">
        <v>21678</v>
      </c>
      <c r="D4874" s="2" t="str">
        <f t="shared" ref="D4874:D4875" si="85">""</f>
        <v/>
      </c>
      <c r="E4874" s="2" t="s">
        <v>217</v>
      </c>
      <c r="F4874" s="2" t="s">
        <v>21679</v>
      </c>
      <c r="G4874" s="2" t="str">
        <f>"SR-6603"</f>
        <v>SR-6603</v>
      </c>
      <c r="H4874" s="2" t="s">
        <v>21680</v>
      </c>
    </row>
    <row r="4875" ht="15.75" customHeight="1">
      <c r="A4875" s="2">
        <v>2015.0</v>
      </c>
      <c r="B4875" s="2" t="s">
        <v>21678</v>
      </c>
      <c r="D4875" s="2" t="str">
        <f t="shared" si="85"/>
        <v/>
      </c>
      <c r="E4875" s="2" t="s">
        <v>10350</v>
      </c>
      <c r="F4875" s="2" t="s">
        <v>21679</v>
      </c>
      <c r="G4875" s="2" t="str">
        <f>"SR-6604"</f>
        <v>SR-6604</v>
      </c>
      <c r="H4875" s="2" t="s">
        <v>21681</v>
      </c>
    </row>
    <row r="4876" ht="15.75" customHeight="1">
      <c r="A4876" s="2">
        <v>2015.0</v>
      </c>
      <c r="B4876" s="2" t="s">
        <v>21656</v>
      </c>
      <c r="C4876" s="2" t="s">
        <v>21682</v>
      </c>
      <c r="D4876" s="2" t="str">
        <f>"4795953759"</f>
        <v>4795953759</v>
      </c>
      <c r="E4876" s="2" t="s">
        <v>2243</v>
      </c>
      <c r="F4876" s="2" t="s">
        <v>21658</v>
      </c>
      <c r="G4876" s="2" t="str">
        <f>"SR-6612"</f>
        <v>SR-6612</v>
      </c>
      <c r="H4876" s="2" t="s">
        <v>21683</v>
      </c>
      <c r="I4876" s="2" t="s">
        <v>21660</v>
      </c>
      <c r="K4876" s="2" t="s">
        <v>3164</v>
      </c>
      <c r="L4876" s="2" t="s">
        <v>1012</v>
      </c>
      <c r="M4876" s="2">
        <v>72704.0</v>
      </c>
      <c r="N4876" s="2" t="s">
        <v>21</v>
      </c>
    </row>
    <row r="4877" ht="15.75" customHeight="1">
      <c r="A4877" s="2">
        <v>2015.0</v>
      </c>
      <c r="B4877" s="2" t="s">
        <v>21684</v>
      </c>
      <c r="C4877" s="2" t="s">
        <v>21685</v>
      </c>
      <c r="D4877" s="2" t="str">
        <f>"2149296576"</f>
        <v>2149296576</v>
      </c>
      <c r="E4877" s="2" t="s">
        <v>261</v>
      </c>
      <c r="F4877" s="2" t="s">
        <v>196</v>
      </c>
      <c r="G4877" s="2" t="str">
        <f>"SR-6611"</f>
        <v>SR-6611</v>
      </c>
      <c r="H4877" s="2" t="s">
        <v>21686</v>
      </c>
      <c r="I4877" s="2" t="s">
        <v>21687</v>
      </c>
      <c r="K4877" s="2" t="s">
        <v>21688</v>
      </c>
      <c r="L4877" s="2" t="s">
        <v>172</v>
      </c>
      <c r="M4877" s="2">
        <v>75135.0</v>
      </c>
      <c r="N4877" s="2" t="s">
        <v>21</v>
      </c>
    </row>
    <row r="4878" ht="15.75" customHeight="1">
      <c r="A4878" s="2">
        <v>2015.0</v>
      </c>
      <c r="B4878" s="2" t="s">
        <v>21689</v>
      </c>
      <c r="C4878" s="2" t="s">
        <v>21689</v>
      </c>
      <c r="D4878" s="2" t="str">
        <f>"219-477-5596"</f>
        <v>219-477-5596</v>
      </c>
      <c r="E4878" s="2" t="s">
        <v>3342</v>
      </c>
      <c r="F4878" s="2" t="s">
        <v>639</v>
      </c>
      <c r="G4878" s="2" t="str">
        <f>"SR-6616"</f>
        <v>SR-6616</v>
      </c>
      <c r="H4878" s="2" t="s">
        <v>21690</v>
      </c>
      <c r="I4878" s="2" t="s">
        <v>21691</v>
      </c>
      <c r="K4878" s="2" t="s">
        <v>21692</v>
      </c>
      <c r="L4878" s="2" t="s">
        <v>149</v>
      </c>
      <c r="M4878" s="2">
        <v>46383.0</v>
      </c>
      <c r="N4878" s="2" t="s">
        <v>21</v>
      </c>
    </row>
    <row r="4879" ht="15.75" customHeight="1">
      <c r="A4879" s="2">
        <v>2015.0</v>
      </c>
      <c r="B4879" s="2" t="s">
        <v>21693</v>
      </c>
      <c r="C4879" s="2" t="s">
        <v>21694</v>
      </c>
      <c r="D4879" s="2" t="str">
        <f>"612-839-4131"</f>
        <v>612-839-4131</v>
      </c>
      <c r="E4879" s="2" t="s">
        <v>137</v>
      </c>
      <c r="F4879" s="2" t="s">
        <v>21695</v>
      </c>
      <c r="G4879" s="2" t="str">
        <f>"SR-5694"</f>
        <v>SR-5694</v>
      </c>
      <c r="H4879" s="2" t="s">
        <v>21696</v>
      </c>
      <c r="I4879" s="2" t="s">
        <v>21697</v>
      </c>
      <c r="K4879" s="2" t="s">
        <v>2909</v>
      </c>
      <c r="L4879" s="2" t="s">
        <v>62</v>
      </c>
      <c r="M4879" s="2">
        <v>55447.0</v>
      </c>
      <c r="N4879" s="2" t="s">
        <v>21</v>
      </c>
    </row>
    <row r="4880" ht="15.75" customHeight="1">
      <c r="A4880" s="2">
        <v>2015.0</v>
      </c>
      <c r="B4880" s="2" t="s">
        <v>21698</v>
      </c>
      <c r="C4880" s="2" t="s">
        <v>21699</v>
      </c>
      <c r="D4880" s="2" t="str">
        <f>"817-404-9259"</f>
        <v>817-404-9259</v>
      </c>
      <c r="E4880" s="2" t="s">
        <v>890</v>
      </c>
      <c r="F4880" s="2" t="s">
        <v>3144</v>
      </c>
      <c r="G4880" s="2" t="str">
        <f>"SR-6620"</f>
        <v>SR-6620</v>
      </c>
      <c r="H4880" s="2" t="s">
        <v>21700</v>
      </c>
      <c r="I4880" s="2" t="s">
        <v>21701</v>
      </c>
      <c r="K4880" s="2" t="s">
        <v>6030</v>
      </c>
      <c r="L4880" s="2" t="s">
        <v>172</v>
      </c>
      <c r="M4880" s="2">
        <v>76244.0</v>
      </c>
      <c r="N4880" s="2" t="s">
        <v>21</v>
      </c>
    </row>
    <row r="4881" ht="15.75" customHeight="1">
      <c r="A4881" s="2">
        <v>2015.0</v>
      </c>
      <c r="B4881" s="2" t="s">
        <v>21702</v>
      </c>
      <c r="C4881" s="2" t="s">
        <v>21703</v>
      </c>
      <c r="D4881" s="2" t="str">
        <f t="shared" ref="D4881:D4882" si="86">"706-820-6073"</f>
        <v>706-820-6073</v>
      </c>
      <c r="E4881" s="2" t="s">
        <v>2314</v>
      </c>
      <c r="F4881" s="2" t="s">
        <v>21704</v>
      </c>
      <c r="G4881" s="2" t="str">
        <f>"SR-6622"</f>
        <v>SR-6622</v>
      </c>
      <c r="H4881" s="2" t="s">
        <v>21705</v>
      </c>
      <c r="I4881" s="2" t="s">
        <v>21706</v>
      </c>
      <c r="K4881" s="2" t="s">
        <v>21707</v>
      </c>
      <c r="L4881" s="2" t="s">
        <v>200</v>
      </c>
      <c r="M4881" s="2">
        <v>30750.0</v>
      </c>
      <c r="N4881" s="2" t="s">
        <v>21</v>
      </c>
    </row>
    <row r="4882" ht="15.75" customHeight="1">
      <c r="A4882" s="2">
        <v>2015.0</v>
      </c>
      <c r="B4882" s="2" t="s">
        <v>21702</v>
      </c>
      <c r="C4882" s="2" t="s">
        <v>21703</v>
      </c>
      <c r="D4882" s="2" t="str">
        <f t="shared" si="86"/>
        <v>706-820-6073</v>
      </c>
      <c r="E4882" s="2" t="s">
        <v>428</v>
      </c>
      <c r="F4882" s="2" t="s">
        <v>21704</v>
      </c>
      <c r="G4882" s="2" t="str">
        <f>"SR-6628"</f>
        <v>SR-6628</v>
      </c>
      <c r="H4882" s="2" t="s">
        <v>21708</v>
      </c>
      <c r="I4882" s="2" t="s">
        <v>21706</v>
      </c>
      <c r="K4882" s="2" t="s">
        <v>21707</v>
      </c>
      <c r="L4882" s="2" t="s">
        <v>200</v>
      </c>
      <c r="M4882" s="2">
        <v>30750.0</v>
      </c>
      <c r="N4882" s="2" t="s">
        <v>21</v>
      </c>
    </row>
    <row r="4883" ht="15.75" customHeight="1">
      <c r="A4883" s="2">
        <v>2015.0</v>
      </c>
      <c r="B4883" s="2" t="s">
        <v>21709</v>
      </c>
      <c r="C4883" s="2" t="s">
        <v>21709</v>
      </c>
      <c r="D4883" s="2" t="str">
        <f>"832-244-8754"</f>
        <v>832-244-8754</v>
      </c>
      <c r="E4883" s="2" t="s">
        <v>4871</v>
      </c>
      <c r="F4883" s="2" t="s">
        <v>6760</v>
      </c>
      <c r="G4883" s="2" t="str">
        <f>"SR-6627"</f>
        <v>SR-6627</v>
      </c>
      <c r="H4883" s="2" t="s">
        <v>21710</v>
      </c>
      <c r="I4883" s="2" t="s">
        <v>21711</v>
      </c>
      <c r="K4883" s="2" t="s">
        <v>6499</v>
      </c>
      <c r="L4883" s="2" t="s">
        <v>172</v>
      </c>
      <c r="M4883" s="2">
        <v>77494.0</v>
      </c>
      <c r="N4883" s="2" t="s">
        <v>21</v>
      </c>
    </row>
    <row r="4884" ht="15.75" customHeight="1">
      <c r="A4884" s="2">
        <v>2015.0</v>
      </c>
      <c r="B4884" s="2" t="s">
        <v>21712</v>
      </c>
      <c r="C4884" s="2" t="s">
        <v>21712</v>
      </c>
      <c r="D4884" s="2" t="str">
        <f>"2814094827"</f>
        <v>2814094827</v>
      </c>
      <c r="E4884" s="2" t="s">
        <v>21713</v>
      </c>
      <c r="F4884" s="2" t="s">
        <v>7953</v>
      </c>
      <c r="G4884" s="2" t="str">
        <f>"SR-6625"</f>
        <v>SR-6625</v>
      </c>
      <c r="H4884" s="2" t="s">
        <v>21714</v>
      </c>
      <c r="I4884" s="2" t="s">
        <v>21715</v>
      </c>
      <c r="K4884" s="2" t="s">
        <v>21716</v>
      </c>
      <c r="L4884" s="2" t="s">
        <v>172</v>
      </c>
      <c r="M4884" s="2">
        <v>76401.0</v>
      </c>
      <c r="N4884" s="2" t="s">
        <v>21</v>
      </c>
    </row>
    <row r="4885" ht="15.75" customHeight="1">
      <c r="A4885" s="2">
        <v>2015.0</v>
      </c>
      <c r="B4885" s="2" t="s">
        <v>21717</v>
      </c>
      <c r="C4885" s="2" t="s">
        <v>21717</v>
      </c>
      <c r="D4885" s="2" t="str">
        <f>"2192630188"</f>
        <v>2192630188</v>
      </c>
      <c r="E4885" s="2" t="s">
        <v>14532</v>
      </c>
      <c r="F4885" s="2" t="s">
        <v>21718</v>
      </c>
      <c r="G4885" s="2" t="str">
        <f>"SR-6634"</f>
        <v>SR-6634</v>
      </c>
      <c r="H4885" s="2" t="s">
        <v>21719</v>
      </c>
      <c r="I4885" s="2" t="s">
        <v>21720</v>
      </c>
      <c r="K4885" s="2" t="s">
        <v>10088</v>
      </c>
      <c r="L4885" s="2" t="s">
        <v>149</v>
      </c>
      <c r="M4885" s="2">
        <v>46341.0</v>
      </c>
      <c r="N4885" s="2" t="s">
        <v>21</v>
      </c>
    </row>
    <row r="4886" ht="15.75" customHeight="1">
      <c r="A4886" s="2">
        <v>2015.0</v>
      </c>
      <c r="B4886" s="2" t="s">
        <v>21721</v>
      </c>
      <c r="C4886" s="2" t="s">
        <v>21722</v>
      </c>
      <c r="D4886" s="2" t="str">
        <f>"662-728-6421"</f>
        <v>662-728-6421</v>
      </c>
      <c r="E4886" s="2" t="s">
        <v>534</v>
      </c>
      <c r="F4886" s="2" t="s">
        <v>21723</v>
      </c>
      <c r="G4886" s="2" t="str">
        <f>"SR-6631"</f>
        <v>SR-6631</v>
      </c>
      <c r="H4886" s="2" t="s">
        <v>21724</v>
      </c>
      <c r="I4886" s="2" t="s">
        <v>21725</v>
      </c>
      <c r="K4886" s="2" t="s">
        <v>21726</v>
      </c>
      <c r="L4886" s="2" t="s">
        <v>1722</v>
      </c>
      <c r="M4886" s="2">
        <v>38829.0</v>
      </c>
      <c r="N4886" s="2" t="s">
        <v>21</v>
      </c>
    </row>
    <row r="4887" ht="15.75" customHeight="1">
      <c r="A4887" s="2">
        <v>2015.0</v>
      </c>
      <c r="B4887" s="2" t="s">
        <v>21727</v>
      </c>
      <c r="C4887" s="2" t="s">
        <v>21728</v>
      </c>
      <c r="D4887" s="2" t="str">
        <f>"6128405621"</f>
        <v>6128405621</v>
      </c>
      <c r="E4887" s="2" t="s">
        <v>2306</v>
      </c>
      <c r="F4887" s="2" t="s">
        <v>21729</v>
      </c>
      <c r="G4887" s="2" t="str">
        <f>"SR-6635"</f>
        <v>SR-6635</v>
      </c>
      <c r="H4887" s="2" t="s">
        <v>21730</v>
      </c>
      <c r="I4887" s="2" t="s">
        <v>21731</v>
      </c>
      <c r="K4887" s="2" t="s">
        <v>16172</v>
      </c>
      <c r="L4887" s="2" t="s">
        <v>62</v>
      </c>
      <c r="M4887" s="2">
        <v>55092.0</v>
      </c>
      <c r="N4887" s="2" t="s">
        <v>21</v>
      </c>
    </row>
    <row r="4888" ht="15.75" customHeight="1">
      <c r="A4888" s="2">
        <v>2015.0</v>
      </c>
      <c r="B4888" s="2" t="s">
        <v>21732</v>
      </c>
      <c r="C4888" s="2" t="s">
        <v>21732</v>
      </c>
      <c r="D4888" s="2" t="str">
        <f>"707-839-1207"</f>
        <v>707-839-1207</v>
      </c>
      <c r="E4888" s="2" t="s">
        <v>217</v>
      </c>
      <c r="F4888" s="2" t="s">
        <v>3668</v>
      </c>
      <c r="G4888" s="2" t="str">
        <f>"SR-6597"</f>
        <v>SR-6597</v>
      </c>
      <c r="H4888" s="2" t="s">
        <v>21733</v>
      </c>
      <c r="I4888" s="2" t="s">
        <v>21734</v>
      </c>
      <c r="K4888" s="2" t="s">
        <v>21604</v>
      </c>
      <c r="L4888" s="2" t="s">
        <v>222</v>
      </c>
      <c r="M4888" s="2">
        <v>95519.0</v>
      </c>
      <c r="N4888" s="2" t="s">
        <v>21</v>
      </c>
    </row>
    <row r="4889" ht="15.75" customHeight="1">
      <c r="A4889" s="2">
        <v>2015.0</v>
      </c>
      <c r="B4889" s="2" t="s">
        <v>21735</v>
      </c>
      <c r="C4889" s="2" t="s">
        <v>21736</v>
      </c>
      <c r="D4889" s="2" t="str">
        <f>"7039634803"</f>
        <v>7039634803</v>
      </c>
      <c r="E4889" s="2" t="s">
        <v>503</v>
      </c>
      <c r="F4889" s="2" t="s">
        <v>21737</v>
      </c>
      <c r="G4889" s="2" t="str">
        <f>"SR-6580"</f>
        <v>SR-6580</v>
      </c>
      <c r="H4889" s="2" t="s">
        <v>21738</v>
      </c>
      <c r="I4889" s="2" t="s">
        <v>21739</v>
      </c>
      <c r="K4889" s="2" t="s">
        <v>21740</v>
      </c>
      <c r="L4889" s="2" t="s">
        <v>165</v>
      </c>
      <c r="M4889" s="2">
        <v>20181.0</v>
      </c>
      <c r="N4889" s="2" t="s">
        <v>21</v>
      </c>
    </row>
    <row r="4890" ht="15.75" customHeight="1">
      <c r="A4890" s="2">
        <v>2015.0</v>
      </c>
      <c r="B4890" s="2" t="s">
        <v>21741</v>
      </c>
      <c r="C4890" s="2" t="s">
        <v>21742</v>
      </c>
      <c r="D4890" s="2" t="str">
        <f>"7164380272"</f>
        <v>7164380272</v>
      </c>
      <c r="E4890" s="2" t="s">
        <v>5760</v>
      </c>
      <c r="F4890" s="2" t="s">
        <v>21743</v>
      </c>
      <c r="G4890" s="2" t="str">
        <f>"SR-6636"</f>
        <v>SR-6636</v>
      </c>
      <c r="H4890" s="2" t="s">
        <v>21744</v>
      </c>
      <c r="I4890" s="2" t="s">
        <v>21745</v>
      </c>
      <c r="K4890" s="2" t="s">
        <v>21746</v>
      </c>
      <c r="L4890" s="2" t="s">
        <v>142</v>
      </c>
      <c r="M4890" s="2">
        <v>14094.0</v>
      </c>
      <c r="N4890" s="2" t="s">
        <v>21</v>
      </c>
    </row>
    <row r="4891" ht="15.75" customHeight="1">
      <c r="A4891" s="2">
        <v>2015.0</v>
      </c>
      <c r="B4891" s="2" t="s">
        <v>21747</v>
      </c>
      <c r="C4891" s="2" t="s">
        <v>21747</v>
      </c>
      <c r="D4891" s="2" t="str">
        <f>"2145633346"</f>
        <v>2145633346</v>
      </c>
      <c r="E4891" s="2" t="s">
        <v>2997</v>
      </c>
      <c r="F4891" s="2" t="s">
        <v>1252</v>
      </c>
      <c r="G4891" s="2" t="str">
        <f>"SR-6626"</f>
        <v>SR-6626</v>
      </c>
      <c r="H4891" s="2" t="s">
        <v>21748</v>
      </c>
      <c r="I4891" s="2" t="s">
        <v>21749</v>
      </c>
      <c r="K4891" s="2" t="s">
        <v>1255</v>
      </c>
      <c r="L4891" s="2" t="s">
        <v>172</v>
      </c>
      <c r="M4891" s="2">
        <v>75225.0</v>
      </c>
      <c r="N4891" s="2" t="s">
        <v>21</v>
      </c>
    </row>
    <row r="4892" ht="15.75" customHeight="1">
      <c r="A4892" s="2">
        <v>2015.0</v>
      </c>
      <c r="B4892" s="2" t="s">
        <v>21750</v>
      </c>
      <c r="C4892" s="2" t="s">
        <v>21751</v>
      </c>
      <c r="D4892" s="2" t="str">
        <f>"870-462-0713"</f>
        <v>870-462-0713</v>
      </c>
      <c r="E4892" s="2" t="s">
        <v>2162</v>
      </c>
      <c r="F4892" s="2" t="s">
        <v>21752</v>
      </c>
      <c r="G4892" s="2" t="str">
        <f>"SR-6645"</f>
        <v>SR-6645</v>
      </c>
      <c r="H4892" s="2" t="s">
        <v>21753</v>
      </c>
      <c r="I4892" s="2" t="s">
        <v>21754</v>
      </c>
      <c r="K4892" s="2" t="s">
        <v>21755</v>
      </c>
      <c r="L4892" s="2" t="s">
        <v>1012</v>
      </c>
      <c r="M4892" s="2">
        <v>72069.0</v>
      </c>
      <c r="N4892" s="2" t="s">
        <v>21</v>
      </c>
    </row>
    <row r="4893" ht="15.75" customHeight="1">
      <c r="A4893" s="2">
        <v>2015.0</v>
      </c>
      <c r="B4893" s="2" t="s">
        <v>21756</v>
      </c>
      <c r="C4893" s="2" t="s">
        <v>21757</v>
      </c>
      <c r="D4893" s="2" t="str">
        <f>"573-437-8733"</f>
        <v>573-437-8733</v>
      </c>
      <c r="E4893" s="2" t="s">
        <v>21758</v>
      </c>
      <c r="F4893" s="2" t="s">
        <v>1870</v>
      </c>
      <c r="G4893" s="2" t="str">
        <f>"SR-6646"</f>
        <v>SR-6646</v>
      </c>
      <c r="H4893" s="2" t="s">
        <v>21759</v>
      </c>
      <c r="I4893" s="2" t="s">
        <v>21760</v>
      </c>
      <c r="K4893" s="2" t="s">
        <v>21761</v>
      </c>
      <c r="L4893" s="2" t="s">
        <v>214</v>
      </c>
      <c r="M4893" s="2">
        <v>65066.0</v>
      </c>
      <c r="N4893" s="2" t="s">
        <v>21</v>
      </c>
    </row>
    <row r="4894" ht="15.75" customHeight="1">
      <c r="A4894" s="2">
        <v>2015.0</v>
      </c>
      <c r="B4894" s="2" t="s">
        <v>21762</v>
      </c>
      <c r="C4894" s="2" t="s">
        <v>21762</v>
      </c>
      <c r="D4894" s="2" t="str">
        <f>"615-542-7116"</f>
        <v>615-542-7116</v>
      </c>
      <c r="E4894" s="2" t="s">
        <v>428</v>
      </c>
      <c r="F4894" s="2" t="s">
        <v>21763</v>
      </c>
      <c r="G4894" s="2" t="str">
        <f>"SR-6638"</f>
        <v>SR-6638</v>
      </c>
      <c r="H4894" s="2" t="s">
        <v>21764</v>
      </c>
      <c r="I4894" s="2" t="s">
        <v>21765</v>
      </c>
      <c r="K4894" s="2" t="s">
        <v>11520</v>
      </c>
      <c r="L4894" s="2" t="s">
        <v>279</v>
      </c>
      <c r="M4894" s="2">
        <v>37128.0</v>
      </c>
      <c r="N4894" s="2" t="s">
        <v>21</v>
      </c>
    </row>
    <row r="4895" ht="15.75" customHeight="1">
      <c r="A4895" s="2">
        <v>2015.0</v>
      </c>
      <c r="B4895" s="2" t="s">
        <v>21766</v>
      </c>
      <c r="C4895" s="2" t="s">
        <v>21767</v>
      </c>
      <c r="D4895" s="2" t="str">
        <f>"720-224-6272"</f>
        <v>720-224-6272</v>
      </c>
      <c r="E4895" s="2" t="s">
        <v>584</v>
      </c>
      <c r="F4895" s="2" t="s">
        <v>2138</v>
      </c>
      <c r="G4895" s="2" t="str">
        <f>"SR-6441"</f>
        <v>SR-6441</v>
      </c>
      <c r="H4895" s="2" t="s">
        <v>21768</v>
      </c>
      <c r="I4895" s="2" t="s">
        <v>2140</v>
      </c>
      <c r="K4895" s="2" t="s">
        <v>1054</v>
      </c>
      <c r="L4895" s="2" t="s">
        <v>157</v>
      </c>
      <c r="M4895" s="2">
        <v>80138.0</v>
      </c>
      <c r="N4895" s="2" t="s">
        <v>21</v>
      </c>
    </row>
    <row r="4896" ht="15.75" customHeight="1">
      <c r="A4896" s="2">
        <v>2015.0</v>
      </c>
      <c r="B4896" s="2" t="s">
        <v>3962</v>
      </c>
      <c r="C4896" s="2" t="s">
        <v>21769</v>
      </c>
      <c r="D4896" s="2" t="str">
        <f>"813-495-8615"</f>
        <v>813-495-8615</v>
      </c>
      <c r="E4896" s="2" t="s">
        <v>9455</v>
      </c>
      <c r="F4896" s="2" t="s">
        <v>3964</v>
      </c>
      <c r="G4896" s="2" t="str">
        <f>"SR-6649"</f>
        <v>SR-6649</v>
      </c>
      <c r="H4896" s="2" t="s">
        <v>21770</v>
      </c>
      <c r="I4896" s="2" t="s">
        <v>3966</v>
      </c>
      <c r="K4896" s="2" t="s">
        <v>3431</v>
      </c>
      <c r="L4896" s="2" t="s">
        <v>208</v>
      </c>
      <c r="M4896" s="2">
        <v>33629.0</v>
      </c>
      <c r="N4896" s="2" t="s">
        <v>21</v>
      </c>
    </row>
    <row r="4897" ht="15.75" customHeight="1">
      <c r="A4897" s="2">
        <v>2015.0</v>
      </c>
      <c r="B4897" s="2" t="s">
        <v>21771</v>
      </c>
      <c r="C4897" s="2" t="s">
        <v>21772</v>
      </c>
      <c r="D4897" s="2" t="str">
        <f>"8315662470"</f>
        <v>8315662470</v>
      </c>
      <c r="E4897" s="2" t="s">
        <v>261</v>
      </c>
      <c r="F4897" s="2" t="s">
        <v>16639</v>
      </c>
      <c r="G4897" s="2" t="str">
        <f>"SR-6650"</f>
        <v>SR-6650</v>
      </c>
      <c r="H4897" s="2" t="s">
        <v>21773</v>
      </c>
      <c r="I4897" s="2" t="s">
        <v>21774</v>
      </c>
      <c r="K4897" s="2" t="s">
        <v>21775</v>
      </c>
      <c r="L4897" s="2" t="s">
        <v>222</v>
      </c>
      <c r="M4897" s="2">
        <v>95066.0</v>
      </c>
      <c r="N4897" s="2" t="s">
        <v>21</v>
      </c>
    </row>
    <row r="4898" ht="15.75" customHeight="1">
      <c r="A4898" s="2">
        <v>2015.0</v>
      </c>
      <c r="B4898" s="2" t="s">
        <v>21776</v>
      </c>
      <c r="C4898" s="2" t="s">
        <v>21777</v>
      </c>
      <c r="D4898" s="2" t="str">
        <f>"585-468-2832"</f>
        <v>585-468-2832</v>
      </c>
      <c r="E4898" s="2" t="s">
        <v>21778</v>
      </c>
      <c r="F4898" s="2" t="s">
        <v>21779</v>
      </c>
      <c r="G4898" s="2" t="str">
        <f>"SR-5210"</f>
        <v>SR-5210</v>
      </c>
      <c r="H4898" s="2" t="s">
        <v>21780</v>
      </c>
      <c r="I4898" s="2" t="s">
        <v>21781</v>
      </c>
      <c r="J4898" s="2" t="s">
        <v>21782</v>
      </c>
      <c r="K4898" s="2" t="s">
        <v>21783</v>
      </c>
      <c r="L4898" s="2" t="s">
        <v>142</v>
      </c>
      <c r="M4898" s="2">
        <v>14517.0</v>
      </c>
      <c r="N4898" s="2" t="s">
        <v>21</v>
      </c>
    </row>
    <row r="4899" ht="15.75" customHeight="1">
      <c r="A4899" s="2">
        <v>2015.0</v>
      </c>
      <c r="B4899" s="2" t="s">
        <v>5278</v>
      </c>
      <c r="C4899" s="2" t="s">
        <v>12585</v>
      </c>
      <c r="D4899" s="2" t="str">
        <f>"7208381736"</f>
        <v>7208381736</v>
      </c>
      <c r="E4899" s="2" t="s">
        <v>203</v>
      </c>
      <c r="F4899" s="2" t="s">
        <v>5281</v>
      </c>
      <c r="G4899" s="2" t="str">
        <f>"SR-2949"</f>
        <v>SR-2949</v>
      </c>
      <c r="H4899" s="2" t="s">
        <v>12586</v>
      </c>
      <c r="I4899" s="2" t="s">
        <v>12587</v>
      </c>
      <c r="K4899" s="2" t="s">
        <v>1520</v>
      </c>
      <c r="L4899" s="2" t="s">
        <v>157</v>
      </c>
      <c r="M4899" s="2">
        <v>80015.0</v>
      </c>
      <c r="N4899" s="2" t="s">
        <v>21</v>
      </c>
    </row>
    <row r="4900" ht="15.75" customHeight="1">
      <c r="A4900" s="2">
        <v>2015.0</v>
      </c>
      <c r="B4900" s="2" t="s">
        <v>21784</v>
      </c>
      <c r="C4900" s="2" t="s">
        <v>21784</v>
      </c>
      <c r="D4900" s="2" t="str">
        <f>"9529130612"</f>
        <v>9529130612</v>
      </c>
      <c r="E4900" s="2" t="s">
        <v>16529</v>
      </c>
      <c r="F4900" s="2" t="s">
        <v>21785</v>
      </c>
      <c r="G4900" s="2" t="str">
        <f>"SR-6565"</f>
        <v>SR-6565</v>
      </c>
      <c r="H4900" s="2" t="s">
        <v>21786</v>
      </c>
      <c r="I4900" s="2" t="s">
        <v>21787</v>
      </c>
      <c r="K4900" s="2" t="s">
        <v>15133</v>
      </c>
      <c r="L4900" s="2" t="s">
        <v>62</v>
      </c>
      <c r="M4900" s="2">
        <v>55379.0</v>
      </c>
      <c r="N4900" s="2" t="s">
        <v>21</v>
      </c>
    </row>
    <row r="4901" ht="15.75" customHeight="1">
      <c r="A4901" s="2">
        <v>2015.0</v>
      </c>
      <c r="B4901" s="2" t="s">
        <v>21771</v>
      </c>
      <c r="C4901" s="2" t="s">
        <v>21788</v>
      </c>
      <c r="D4901" s="2" t="str">
        <f>"8314387591"</f>
        <v>8314387591</v>
      </c>
      <c r="E4901" s="2" t="s">
        <v>1483</v>
      </c>
      <c r="F4901" s="2" t="s">
        <v>16639</v>
      </c>
      <c r="G4901" s="2" t="str">
        <f>"SR-6653"</f>
        <v>SR-6653</v>
      </c>
      <c r="H4901" s="2" t="s">
        <v>21789</v>
      </c>
      <c r="I4901" s="2" t="s">
        <v>21790</v>
      </c>
      <c r="K4901" s="2" t="s">
        <v>21775</v>
      </c>
      <c r="L4901" s="2" t="s">
        <v>222</v>
      </c>
      <c r="M4901" s="2">
        <v>95066.0</v>
      </c>
      <c r="N4901" s="2" t="s">
        <v>21</v>
      </c>
    </row>
    <row r="4902" ht="15.75" customHeight="1">
      <c r="A4902" s="2">
        <v>2015.0</v>
      </c>
      <c r="B4902" s="2" t="s">
        <v>21791</v>
      </c>
      <c r="C4902" s="2" t="s">
        <v>21791</v>
      </c>
      <c r="D4902" s="2" t="str">
        <f>"2146218132"</f>
        <v>2146218132</v>
      </c>
      <c r="E4902" s="2" t="s">
        <v>1263</v>
      </c>
      <c r="F4902" s="2" t="s">
        <v>21792</v>
      </c>
      <c r="G4902" s="2" t="str">
        <f>"SR-6569"</f>
        <v>SR-6569</v>
      </c>
      <c r="H4902" s="2" t="s">
        <v>21793</v>
      </c>
      <c r="I4902" s="2" t="s">
        <v>21794</v>
      </c>
      <c r="K4902" s="2" t="s">
        <v>17947</v>
      </c>
      <c r="L4902" s="2" t="s">
        <v>172</v>
      </c>
      <c r="M4902" s="2">
        <v>75069.0</v>
      </c>
      <c r="N4902" s="2" t="s">
        <v>21</v>
      </c>
    </row>
    <row r="4903" ht="15.75" customHeight="1">
      <c r="A4903" s="2">
        <v>2015.0</v>
      </c>
      <c r="B4903" s="2" t="s">
        <v>21795</v>
      </c>
      <c r="C4903" s="2" t="s">
        <v>21796</v>
      </c>
      <c r="D4903" s="2" t="str">
        <f>"5714312862"</f>
        <v>5714312862</v>
      </c>
      <c r="E4903" s="2" t="s">
        <v>843</v>
      </c>
      <c r="F4903" s="2" t="s">
        <v>15689</v>
      </c>
      <c r="G4903" s="2" t="str">
        <f>"SR-6581"</f>
        <v>SR-6581</v>
      </c>
      <c r="H4903" s="2" t="s">
        <v>21797</v>
      </c>
      <c r="I4903" s="2" t="s">
        <v>15691</v>
      </c>
      <c r="K4903" s="2" t="s">
        <v>12253</v>
      </c>
      <c r="L4903" s="2" t="s">
        <v>165</v>
      </c>
      <c r="M4903" s="2">
        <v>22181.0</v>
      </c>
      <c r="N4903" s="2" t="s">
        <v>21</v>
      </c>
    </row>
    <row r="4904" ht="15.75" customHeight="1">
      <c r="A4904" s="2">
        <v>2015.0</v>
      </c>
      <c r="B4904" s="2" t="s">
        <v>21798</v>
      </c>
      <c r="C4904" s="2" t="s">
        <v>21799</v>
      </c>
      <c r="D4904" s="2" t="str">
        <f>"714 903-8816"</f>
        <v>714 903-8816</v>
      </c>
      <c r="E4904" s="2" t="s">
        <v>21800</v>
      </c>
      <c r="F4904" s="2" t="s">
        <v>21801</v>
      </c>
      <c r="G4904" s="2" t="str">
        <f>"SR-6662"</f>
        <v>SR-6662</v>
      </c>
      <c r="H4904" s="2" t="s">
        <v>21802</v>
      </c>
      <c r="I4904" s="2" t="s">
        <v>21803</v>
      </c>
      <c r="K4904" s="2" t="s">
        <v>12522</v>
      </c>
      <c r="L4904" s="2" t="s">
        <v>222</v>
      </c>
      <c r="M4904" s="2">
        <v>90630.0</v>
      </c>
      <c r="N4904" s="2" t="s">
        <v>21</v>
      </c>
    </row>
    <row r="4905" ht="15.75" customHeight="1">
      <c r="A4905" s="2">
        <v>2015.0</v>
      </c>
      <c r="B4905" s="2" t="s">
        <v>21804</v>
      </c>
      <c r="C4905" s="2" t="s">
        <v>21805</v>
      </c>
      <c r="D4905" s="2" t="str">
        <f>"(716) 507-2146"</f>
        <v>(716) 507-2146</v>
      </c>
      <c r="E4905" s="2" t="s">
        <v>21806</v>
      </c>
      <c r="F4905" s="2" t="s">
        <v>21807</v>
      </c>
      <c r="G4905" s="2" t="str">
        <f>"SR-6664"</f>
        <v>SR-6664</v>
      </c>
      <c r="H4905" s="2" t="s">
        <v>21808</v>
      </c>
      <c r="I4905" s="2" t="s">
        <v>21809</v>
      </c>
      <c r="K4905" s="2" t="s">
        <v>12452</v>
      </c>
      <c r="L4905" s="2" t="s">
        <v>142</v>
      </c>
      <c r="M4905" s="2">
        <v>14221.0</v>
      </c>
      <c r="N4905" s="2" t="s">
        <v>21</v>
      </c>
    </row>
    <row r="4906" ht="15.75" customHeight="1">
      <c r="A4906" s="2">
        <v>2015.0</v>
      </c>
      <c r="B4906" s="2" t="s">
        <v>21810</v>
      </c>
      <c r="C4906" s="2" t="s">
        <v>21811</v>
      </c>
      <c r="D4906" s="2" t="str">
        <f>"813-975-0949"</f>
        <v>813-975-0949</v>
      </c>
      <c r="E4906" s="2" t="s">
        <v>21812</v>
      </c>
      <c r="F4906" s="2" t="s">
        <v>21813</v>
      </c>
      <c r="G4906" s="2" t="str">
        <f>"SR-6651"</f>
        <v>SR-6651</v>
      </c>
      <c r="H4906" s="2" t="s">
        <v>21814</v>
      </c>
      <c r="I4906" s="2" t="s">
        <v>21815</v>
      </c>
      <c r="K4906" s="2" t="s">
        <v>3431</v>
      </c>
      <c r="L4906" s="2" t="s">
        <v>208</v>
      </c>
      <c r="M4906" s="2">
        <v>33647.0</v>
      </c>
      <c r="N4906" s="2" t="s">
        <v>21</v>
      </c>
    </row>
    <row r="4907" ht="15.75" customHeight="1">
      <c r="A4907" s="2">
        <v>2015.0</v>
      </c>
      <c r="B4907" s="2" t="s">
        <v>21816</v>
      </c>
      <c r="C4907" s="2" t="s">
        <v>21817</v>
      </c>
      <c r="D4907" s="2" t="str">
        <f>"910231-7210"</f>
        <v>910231-7210</v>
      </c>
      <c r="E4907" s="2" t="s">
        <v>585</v>
      </c>
      <c r="F4907" s="2" t="s">
        <v>21818</v>
      </c>
      <c r="G4907" s="2" t="str">
        <f>"SR-6657"</f>
        <v>SR-6657</v>
      </c>
      <c r="H4907" s="2" t="s">
        <v>21819</v>
      </c>
      <c r="I4907" s="2" t="s">
        <v>21820</v>
      </c>
      <c r="K4907" s="2" t="s">
        <v>11784</v>
      </c>
      <c r="L4907" s="2" t="s">
        <v>20</v>
      </c>
      <c r="M4907" s="2">
        <v>28411.0</v>
      </c>
      <c r="N4907" s="2" t="s">
        <v>21</v>
      </c>
    </row>
    <row r="4908" ht="15.75" customHeight="1">
      <c r="A4908" s="2">
        <v>2015.0</v>
      </c>
      <c r="B4908" s="2" t="s">
        <v>21821</v>
      </c>
      <c r="C4908" s="2" t="s">
        <v>21822</v>
      </c>
      <c r="D4908" s="2" t="str">
        <f>"4027150589"</f>
        <v>4027150589</v>
      </c>
      <c r="E4908" s="2" t="s">
        <v>21823</v>
      </c>
      <c r="F4908" s="2" t="s">
        <v>21824</v>
      </c>
      <c r="G4908" s="2" t="str">
        <f>"SR-6670"</f>
        <v>SR-6670</v>
      </c>
      <c r="H4908" s="2" t="s">
        <v>21825</v>
      </c>
      <c r="I4908" s="2" t="s">
        <v>21826</v>
      </c>
      <c r="K4908" s="2" t="s">
        <v>7879</v>
      </c>
      <c r="L4908" s="2" t="s">
        <v>757</v>
      </c>
      <c r="M4908" s="2">
        <v>68801.0</v>
      </c>
      <c r="N4908" s="2" t="s">
        <v>21</v>
      </c>
    </row>
    <row r="4909" ht="15.75" customHeight="1">
      <c r="A4909" s="2">
        <v>2015.0</v>
      </c>
      <c r="B4909" s="2" t="s">
        <v>21827</v>
      </c>
      <c r="C4909" s="2" t="s">
        <v>21828</v>
      </c>
      <c r="D4909" s="2" t="str">
        <f>"920 450 1888"</f>
        <v>920 450 1888</v>
      </c>
      <c r="E4909" s="2" t="s">
        <v>21829</v>
      </c>
      <c r="F4909" s="2" t="s">
        <v>21830</v>
      </c>
      <c r="G4909" s="2" t="str">
        <f>"SR-6671"</f>
        <v>SR-6671</v>
      </c>
      <c r="H4909" s="2" t="s">
        <v>21831</v>
      </c>
      <c r="I4909" s="2" t="s">
        <v>21832</v>
      </c>
      <c r="K4909" s="2" t="s">
        <v>6649</v>
      </c>
      <c r="L4909" s="2" t="s">
        <v>193</v>
      </c>
      <c r="M4909" s="2">
        <v>54940.0</v>
      </c>
      <c r="N4909" s="2" t="s">
        <v>21</v>
      </c>
    </row>
    <row r="4910" ht="15.75" customHeight="1">
      <c r="A4910" s="2">
        <v>2015.0</v>
      </c>
      <c r="B4910" s="2" t="s">
        <v>21833</v>
      </c>
      <c r="C4910" s="2" t="s">
        <v>21833</v>
      </c>
      <c r="D4910" s="2" t="str">
        <f>"4026041785"</f>
        <v>4026041785</v>
      </c>
      <c r="E4910" s="2" t="s">
        <v>6365</v>
      </c>
      <c r="F4910" s="2" t="s">
        <v>10090</v>
      </c>
      <c r="G4910" s="2" t="str">
        <f>"SR-6675"</f>
        <v>SR-6675</v>
      </c>
      <c r="H4910" s="2" t="s">
        <v>21834</v>
      </c>
      <c r="I4910" s="2" t="s">
        <v>21835</v>
      </c>
      <c r="K4910" s="2" t="s">
        <v>21836</v>
      </c>
      <c r="L4910" s="2" t="s">
        <v>757</v>
      </c>
      <c r="M4910" s="2">
        <v>68841.0</v>
      </c>
      <c r="N4910" s="2" t="s">
        <v>21</v>
      </c>
    </row>
    <row r="4911" ht="15.75" customHeight="1">
      <c r="A4911" s="2">
        <v>2015.0</v>
      </c>
      <c r="B4911" s="2" t="s">
        <v>21837</v>
      </c>
      <c r="C4911" s="2" t="s">
        <v>21837</v>
      </c>
      <c r="D4911" s="2" t="str">
        <f>"3369892747"</f>
        <v>3369892747</v>
      </c>
      <c r="E4911" s="2" t="s">
        <v>824</v>
      </c>
      <c r="F4911" s="2" t="s">
        <v>21838</v>
      </c>
      <c r="G4911" s="2" t="str">
        <f>"SR-6676"</f>
        <v>SR-6676</v>
      </c>
      <c r="H4911" s="2" t="s">
        <v>21839</v>
      </c>
      <c r="I4911" s="2" t="s">
        <v>21840</v>
      </c>
      <c r="K4911" s="2" t="s">
        <v>21841</v>
      </c>
      <c r="L4911" s="2" t="s">
        <v>20</v>
      </c>
      <c r="M4911" s="2">
        <v>27205.0</v>
      </c>
      <c r="N4911" s="2" t="s">
        <v>21</v>
      </c>
    </row>
    <row r="4912" ht="15.75" customHeight="1">
      <c r="A4912" s="2">
        <v>2015.0</v>
      </c>
      <c r="B4912" s="2" t="s">
        <v>21842</v>
      </c>
      <c r="C4912" s="2" t="s">
        <v>21843</v>
      </c>
      <c r="D4912" s="2" t="str">
        <f>"301-977-7497"</f>
        <v>301-977-7497</v>
      </c>
      <c r="E4912" s="2" t="s">
        <v>3650</v>
      </c>
      <c r="F4912" s="2" t="s">
        <v>8787</v>
      </c>
      <c r="G4912" s="2" t="str">
        <f>"SR-6654"</f>
        <v>SR-6654</v>
      </c>
      <c r="H4912" s="2" t="s">
        <v>21844</v>
      </c>
      <c r="I4912" s="2" t="s">
        <v>21845</v>
      </c>
      <c r="K4912" s="2" t="s">
        <v>9323</v>
      </c>
      <c r="L4912" s="2" t="s">
        <v>1868</v>
      </c>
      <c r="M4912" s="2">
        <v>20882.0</v>
      </c>
      <c r="N4912" s="2" t="s">
        <v>21</v>
      </c>
    </row>
    <row r="4913" ht="15.75" customHeight="1">
      <c r="A4913" s="2">
        <v>2015.0</v>
      </c>
      <c r="B4913" s="2" t="s">
        <v>21846</v>
      </c>
      <c r="C4913" s="2" t="s">
        <v>21847</v>
      </c>
      <c r="D4913" s="2" t="str">
        <f>"316-265-8065"</f>
        <v>316-265-8065</v>
      </c>
      <c r="E4913" s="2" t="s">
        <v>843</v>
      </c>
      <c r="F4913" s="2" t="s">
        <v>21848</v>
      </c>
      <c r="G4913" s="2" t="str">
        <f>"SR-6677"</f>
        <v>SR-6677</v>
      </c>
      <c r="H4913" s="2" t="s">
        <v>21849</v>
      </c>
      <c r="I4913" s="2" t="s">
        <v>21850</v>
      </c>
      <c r="K4913" s="2" t="s">
        <v>606</v>
      </c>
      <c r="L4913" s="2" t="s">
        <v>272</v>
      </c>
      <c r="M4913" s="2">
        <v>67203.0</v>
      </c>
      <c r="N4913" s="2" t="s">
        <v>21</v>
      </c>
    </row>
    <row r="4914" ht="15.75" customHeight="1">
      <c r="A4914" s="2">
        <v>2015.0</v>
      </c>
      <c r="B4914" s="2" t="s">
        <v>21851</v>
      </c>
      <c r="C4914" s="2" t="s">
        <v>21852</v>
      </c>
      <c r="D4914" s="2" t="str">
        <f>"8083511787"</f>
        <v>8083511787</v>
      </c>
      <c r="E4914" s="2" t="s">
        <v>678</v>
      </c>
      <c r="F4914" s="2" t="s">
        <v>5632</v>
      </c>
      <c r="G4914" s="2" t="str">
        <f>"SR-6681"</f>
        <v>SR-6681</v>
      </c>
      <c r="H4914" s="2" t="s">
        <v>21853</v>
      </c>
      <c r="I4914" s="2" t="s">
        <v>21854</v>
      </c>
      <c r="K4914" s="2" t="s">
        <v>975</v>
      </c>
      <c r="L4914" s="2" t="s">
        <v>157</v>
      </c>
      <c r="M4914" s="2">
        <v>80831.0</v>
      </c>
      <c r="N4914" s="2" t="s">
        <v>21</v>
      </c>
    </row>
    <row r="4915" ht="15.75" customHeight="1">
      <c r="A4915" s="2">
        <v>2015.0</v>
      </c>
      <c r="B4915" s="2" t="s">
        <v>21855</v>
      </c>
      <c r="C4915" s="2" t="s">
        <v>21856</v>
      </c>
      <c r="D4915" s="2" t="str">
        <f>"336-293-4866"</f>
        <v>336-293-4866</v>
      </c>
      <c r="E4915" s="2" t="s">
        <v>339</v>
      </c>
      <c r="F4915" s="2" t="s">
        <v>21857</v>
      </c>
      <c r="G4915" s="2" t="str">
        <f>"SR-6488"</f>
        <v>SR-6488</v>
      </c>
      <c r="H4915" s="2" t="s">
        <v>21858</v>
      </c>
      <c r="I4915" s="2" t="s">
        <v>21859</v>
      </c>
      <c r="K4915" s="2" t="s">
        <v>7630</v>
      </c>
      <c r="L4915" s="2" t="s">
        <v>20</v>
      </c>
      <c r="M4915" s="2">
        <v>27107.0</v>
      </c>
      <c r="N4915" s="2" t="s">
        <v>21</v>
      </c>
    </row>
    <row r="4916" ht="15.75" customHeight="1">
      <c r="A4916" s="2">
        <v>2015.0</v>
      </c>
      <c r="B4916" s="2" t="s">
        <v>21860</v>
      </c>
      <c r="C4916" s="2" t="s">
        <v>21860</v>
      </c>
      <c r="D4916" s="2" t="str">
        <f>"8105648075"</f>
        <v>8105648075</v>
      </c>
      <c r="E4916" s="2" t="s">
        <v>1263</v>
      </c>
      <c r="F4916" s="2" t="s">
        <v>18150</v>
      </c>
      <c r="G4916" s="2" t="str">
        <f>"SR-5904"</f>
        <v>SR-5904</v>
      </c>
      <c r="H4916" s="2" t="s">
        <v>21861</v>
      </c>
      <c r="I4916" s="2" t="s">
        <v>21862</v>
      </c>
      <c r="K4916" s="2" t="s">
        <v>21863</v>
      </c>
      <c r="L4916" s="2" t="s">
        <v>29</v>
      </c>
      <c r="M4916" s="2">
        <v>48420.0</v>
      </c>
      <c r="N4916" s="2" t="s">
        <v>21</v>
      </c>
    </row>
    <row r="4917" ht="15.75" customHeight="1">
      <c r="A4917" s="2">
        <v>2015.0</v>
      </c>
      <c r="B4917" s="2" t="s">
        <v>21864</v>
      </c>
      <c r="C4917" s="2" t="s">
        <v>21864</v>
      </c>
      <c r="D4917" s="2" t="str">
        <f>"(419)-606-6025"</f>
        <v>(419)-606-6025</v>
      </c>
      <c r="E4917" s="2" t="s">
        <v>678</v>
      </c>
      <c r="F4917" s="2" t="s">
        <v>21865</v>
      </c>
      <c r="G4917" s="2" t="str">
        <f>"SR-6672"</f>
        <v>SR-6672</v>
      </c>
      <c r="H4917" s="2" t="s">
        <v>21866</v>
      </c>
      <c r="I4917" s="2" t="s">
        <v>21867</v>
      </c>
      <c r="K4917" s="2" t="s">
        <v>1154</v>
      </c>
      <c r="L4917" s="2" t="s">
        <v>344</v>
      </c>
      <c r="M4917" s="2">
        <v>44805.0</v>
      </c>
      <c r="N4917" s="2" t="s">
        <v>21</v>
      </c>
    </row>
    <row r="4918" ht="15.75" customHeight="1">
      <c r="A4918" s="2">
        <v>2015.0</v>
      </c>
      <c r="B4918" s="2" t="s">
        <v>21868</v>
      </c>
      <c r="C4918" s="2" t="s">
        <v>21869</v>
      </c>
      <c r="D4918" s="2" t="str">
        <f>"574-250-6525"</f>
        <v>574-250-6525</v>
      </c>
      <c r="E4918" s="2" t="s">
        <v>21870</v>
      </c>
      <c r="F4918" s="2" t="s">
        <v>21871</v>
      </c>
      <c r="G4918" s="2" t="str">
        <f>"SR-6668"</f>
        <v>SR-6668</v>
      </c>
      <c r="H4918" s="2" t="s">
        <v>21872</v>
      </c>
      <c r="I4918" s="2" t="s">
        <v>21873</v>
      </c>
      <c r="K4918" s="2" t="s">
        <v>6438</v>
      </c>
      <c r="L4918" s="2" t="s">
        <v>149</v>
      </c>
      <c r="M4918" s="2">
        <v>46561.0</v>
      </c>
      <c r="N4918" s="2" t="s">
        <v>21</v>
      </c>
    </row>
    <row r="4919" ht="15.75" customHeight="1">
      <c r="A4919" s="2">
        <v>2015.0</v>
      </c>
      <c r="B4919" s="2" t="s">
        <v>21874</v>
      </c>
      <c r="C4919" s="2" t="s">
        <v>21875</v>
      </c>
      <c r="D4919" s="2" t="str">
        <f>"704-843-1720"</f>
        <v>704-843-1720</v>
      </c>
      <c r="E4919" s="2" t="s">
        <v>1767</v>
      </c>
      <c r="F4919" s="2" t="s">
        <v>21876</v>
      </c>
      <c r="G4919" s="2" t="str">
        <f>"SR-6688"</f>
        <v>SR-6688</v>
      </c>
      <c r="H4919" s="2" t="s">
        <v>21877</v>
      </c>
      <c r="I4919" s="2" t="s">
        <v>21878</v>
      </c>
      <c r="K4919" s="2" t="s">
        <v>4304</v>
      </c>
      <c r="L4919" s="2" t="s">
        <v>20</v>
      </c>
      <c r="M4919" s="2">
        <v>28173.0</v>
      </c>
      <c r="N4919" s="2" t="s">
        <v>21</v>
      </c>
    </row>
    <row r="4920" ht="15.75" customHeight="1">
      <c r="A4920" s="2">
        <v>2015.0</v>
      </c>
      <c r="B4920" s="2" t="s">
        <v>21879</v>
      </c>
      <c r="C4920" s="2" t="s">
        <v>21880</v>
      </c>
      <c r="D4920" s="2" t="str">
        <f>"(520) 721-7540"</f>
        <v>(520) 721-7540</v>
      </c>
      <c r="E4920" s="2" t="s">
        <v>485</v>
      </c>
      <c r="F4920" s="2" t="s">
        <v>21881</v>
      </c>
      <c r="G4920" s="2" t="str">
        <f>"SR-6689"</f>
        <v>SR-6689</v>
      </c>
      <c r="H4920" s="2" t="s">
        <v>21882</v>
      </c>
      <c r="I4920" s="2" t="s">
        <v>21883</v>
      </c>
      <c r="K4920" s="2" t="s">
        <v>5946</v>
      </c>
      <c r="L4920" s="2" t="s">
        <v>422</v>
      </c>
      <c r="M4920" s="2">
        <v>85629.0</v>
      </c>
      <c r="N4920" s="2" t="s">
        <v>21</v>
      </c>
    </row>
    <row r="4921" ht="15.75" customHeight="1">
      <c r="A4921" s="2">
        <v>2015.0</v>
      </c>
      <c r="B4921" s="2" t="s">
        <v>21884</v>
      </c>
      <c r="C4921" s="2" t="s">
        <v>21885</v>
      </c>
      <c r="D4921" s="2" t="str">
        <f>"336465057"</f>
        <v>336465057</v>
      </c>
      <c r="E4921" s="2" t="s">
        <v>167</v>
      </c>
      <c r="F4921" s="2" t="s">
        <v>21886</v>
      </c>
      <c r="G4921" s="2" t="str">
        <f>"SR-6647"</f>
        <v>SR-6647</v>
      </c>
      <c r="H4921" s="2" t="s">
        <v>21887</v>
      </c>
      <c r="I4921" s="2" t="s">
        <v>21888</v>
      </c>
      <c r="K4921" s="2" t="s">
        <v>21841</v>
      </c>
      <c r="L4921" s="2" t="s">
        <v>20</v>
      </c>
      <c r="M4921" s="2">
        <v>27205.0</v>
      </c>
      <c r="N4921" s="2" t="s">
        <v>21</v>
      </c>
    </row>
    <row r="4922" ht="15.75" customHeight="1">
      <c r="A4922" s="2">
        <v>2015.0</v>
      </c>
      <c r="B4922" s="2" t="s">
        <v>21889</v>
      </c>
      <c r="C4922" s="2" t="s">
        <v>21890</v>
      </c>
      <c r="D4922" s="2" t="str">
        <f>"323-325-8336"</f>
        <v>323-325-8336</v>
      </c>
      <c r="E4922" s="2" t="s">
        <v>385</v>
      </c>
      <c r="F4922" s="2" t="s">
        <v>21891</v>
      </c>
      <c r="G4922" s="2" t="str">
        <f>"SR-6697"</f>
        <v>SR-6697</v>
      </c>
      <c r="H4922" s="2" t="s">
        <v>21892</v>
      </c>
      <c r="I4922" s="2" t="s">
        <v>21893</v>
      </c>
      <c r="K4922" s="2" t="s">
        <v>21053</v>
      </c>
      <c r="L4922" s="2" t="s">
        <v>222</v>
      </c>
      <c r="M4922" s="2">
        <v>90065.0</v>
      </c>
      <c r="N4922" s="2" t="s">
        <v>21</v>
      </c>
    </row>
    <row r="4923" ht="15.75" customHeight="1">
      <c r="A4923" s="2">
        <v>2015.0</v>
      </c>
      <c r="B4923" s="2" t="s">
        <v>21894</v>
      </c>
      <c r="C4923" s="2" t="s">
        <v>21895</v>
      </c>
      <c r="D4923" s="2" t="str">
        <f>"4046430094"</f>
        <v>4046430094</v>
      </c>
      <c r="E4923" s="2" t="s">
        <v>1141</v>
      </c>
      <c r="F4923" s="2" t="s">
        <v>666</v>
      </c>
      <c r="G4923" s="2" t="str">
        <f>"SR-6698"</f>
        <v>SR-6698</v>
      </c>
      <c r="H4923" s="2" t="s">
        <v>21896</v>
      </c>
      <c r="I4923" s="2" t="s">
        <v>21897</v>
      </c>
      <c r="K4923" s="2" t="s">
        <v>21898</v>
      </c>
      <c r="L4923" s="2" t="s">
        <v>200</v>
      </c>
      <c r="M4923" s="2">
        <v>30188.0</v>
      </c>
      <c r="N4923" s="2" t="s">
        <v>21</v>
      </c>
    </row>
    <row r="4924" ht="15.75" customHeight="1">
      <c r="A4924" s="2">
        <v>2015.0</v>
      </c>
      <c r="B4924" s="2" t="s">
        <v>21899</v>
      </c>
      <c r="C4924" s="2" t="s">
        <v>21899</v>
      </c>
      <c r="D4924" s="2" t="str">
        <f>"952-715-1677"</f>
        <v>952-715-1677</v>
      </c>
      <c r="E4924" s="2" t="s">
        <v>12491</v>
      </c>
      <c r="F4924" s="2" t="s">
        <v>21900</v>
      </c>
      <c r="G4924" s="2" t="str">
        <f>"SR-6552"</f>
        <v>SR-6552</v>
      </c>
      <c r="H4924" s="2" t="s">
        <v>21901</v>
      </c>
      <c r="I4924" s="2" t="s">
        <v>21902</v>
      </c>
      <c r="K4924" s="2" t="s">
        <v>1490</v>
      </c>
      <c r="L4924" s="2" t="s">
        <v>62</v>
      </c>
      <c r="M4924" s="2">
        <v>55346.0</v>
      </c>
      <c r="N4924" s="2" t="s">
        <v>21</v>
      </c>
    </row>
    <row r="4925" ht="15.75" customHeight="1">
      <c r="A4925" s="2">
        <v>2015.0</v>
      </c>
      <c r="B4925" s="2" t="s">
        <v>14492</v>
      </c>
      <c r="C4925" s="2" t="s">
        <v>21903</v>
      </c>
      <c r="D4925" s="2" t="str">
        <f>"574-686-2889"</f>
        <v>574-686-2889</v>
      </c>
      <c r="E4925" s="2" t="s">
        <v>160</v>
      </c>
      <c r="F4925" s="2" t="s">
        <v>14493</v>
      </c>
      <c r="G4925" s="2" t="str">
        <f>"SR-5833"</f>
        <v>SR-5833</v>
      </c>
      <c r="H4925" s="2" t="s">
        <v>21904</v>
      </c>
      <c r="I4925" s="2" t="s">
        <v>14495</v>
      </c>
      <c r="K4925" s="2" t="s">
        <v>14496</v>
      </c>
      <c r="L4925" s="2" t="s">
        <v>149</v>
      </c>
      <c r="M4925" s="2">
        <v>47926.0</v>
      </c>
      <c r="N4925" s="2" t="s">
        <v>21</v>
      </c>
    </row>
    <row r="4926" ht="15.75" customHeight="1">
      <c r="A4926" s="2">
        <v>2015.0</v>
      </c>
      <c r="B4926" s="2" t="s">
        <v>7535</v>
      </c>
      <c r="C4926" s="2" t="s">
        <v>7536</v>
      </c>
      <c r="D4926" s="2" t="str">
        <f>"2603381530"</f>
        <v>2603381530</v>
      </c>
      <c r="E4926" s="2" t="s">
        <v>301</v>
      </c>
      <c r="F4926" s="2" t="s">
        <v>7537</v>
      </c>
      <c r="G4926" s="2" t="str">
        <f>"SR-2049"</f>
        <v>SR-2049</v>
      </c>
      <c r="H4926" s="2" t="s">
        <v>7538</v>
      </c>
      <c r="I4926" s="2" t="s">
        <v>7539</v>
      </c>
      <c r="K4926" s="2" t="s">
        <v>7540</v>
      </c>
      <c r="L4926" s="2" t="s">
        <v>165</v>
      </c>
      <c r="M4926" s="2">
        <v>22625.0</v>
      </c>
      <c r="N4926" s="2" t="s">
        <v>21</v>
      </c>
    </row>
    <row r="4927" ht="15.75" customHeight="1">
      <c r="A4927" s="2">
        <v>2015.0</v>
      </c>
      <c r="B4927" s="2" t="s">
        <v>21905</v>
      </c>
      <c r="C4927" s="2" t="s">
        <v>21906</v>
      </c>
      <c r="D4927" s="2" t="str">
        <f>"6024127903"</f>
        <v>6024127903</v>
      </c>
      <c r="E4927" s="2" t="s">
        <v>339</v>
      </c>
      <c r="F4927" s="2" t="s">
        <v>21907</v>
      </c>
      <c r="G4927" s="2" t="str">
        <f>"SR-6690"</f>
        <v>SR-6690</v>
      </c>
      <c r="H4927" s="2" t="s">
        <v>21908</v>
      </c>
      <c r="I4927" s="2" t="s">
        <v>21909</v>
      </c>
      <c r="K4927" s="2" t="s">
        <v>421</v>
      </c>
      <c r="L4927" s="2" t="s">
        <v>422</v>
      </c>
      <c r="M4927" s="2">
        <v>85083.0</v>
      </c>
      <c r="N4927" s="2" t="s">
        <v>21</v>
      </c>
    </row>
    <row r="4928" ht="15.75" customHeight="1">
      <c r="A4928" s="2">
        <v>2015.0</v>
      </c>
      <c r="B4928" s="2" t="s">
        <v>21910</v>
      </c>
      <c r="C4928" s="2" t="s">
        <v>21911</v>
      </c>
      <c r="D4928" s="2" t="str">
        <f>"541 490-7183"</f>
        <v>541 490-7183</v>
      </c>
      <c r="E4928" s="2" t="s">
        <v>8364</v>
      </c>
      <c r="F4928" s="2" t="s">
        <v>8365</v>
      </c>
      <c r="G4928" s="2" t="str">
        <f>"SR-6531"</f>
        <v>SR-6531</v>
      </c>
      <c r="H4928" s="2" t="s">
        <v>8366</v>
      </c>
      <c r="I4928" s="2">
        <v>3206.0</v>
      </c>
      <c r="J4928" s="2" t="s">
        <v>21912</v>
      </c>
      <c r="K4928" s="2" t="s">
        <v>8368</v>
      </c>
      <c r="L4928" s="2" t="s">
        <v>2389</v>
      </c>
      <c r="M4928" s="2">
        <v>97031.0</v>
      </c>
      <c r="N4928" s="2" t="s">
        <v>21</v>
      </c>
    </row>
    <row r="4929" ht="15.75" customHeight="1">
      <c r="A4929" s="2">
        <v>2015.0</v>
      </c>
      <c r="B4929" s="2" t="s">
        <v>21913</v>
      </c>
      <c r="C4929" s="2" t="s">
        <v>21913</v>
      </c>
      <c r="D4929" s="2" t="str">
        <f>"814-797-5211"</f>
        <v>814-797-5211</v>
      </c>
      <c r="E4929" s="2" t="s">
        <v>19353</v>
      </c>
      <c r="F4929" s="2" t="s">
        <v>639</v>
      </c>
      <c r="G4929" s="2" t="str">
        <f>"SR-6544"</f>
        <v>SR-6544</v>
      </c>
      <c r="H4929" s="2" t="s">
        <v>21914</v>
      </c>
      <c r="I4929" s="2" t="s">
        <v>21915</v>
      </c>
      <c r="K4929" s="2" t="s">
        <v>2336</v>
      </c>
      <c r="L4929" s="2" t="s">
        <v>179</v>
      </c>
      <c r="M4929" s="2">
        <v>16232.0</v>
      </c>
      <c r="N4929" s="2" t="s">
        <v>21</v>
      </c>
    </row>
    <row r="4930" ht="15.75" customHeight="1">
      <c r="A4930" s="2">
        <v>2015.0</v>
      </c>
      <c r="B4930" s="2" t="s">
        <v>21916</v>
      </c>
      <c r="C4930" s="2" t="s">
        <v>21917</v>
      </c>
      <c r="D4930" s="2" t="str">
        <f>"9163903112"</f>
        <v>9163903112</v>
      </c>
      <c r="E4930" s="2" t="s">
        <v>21918</v>
      </c>
      <c r="F4930" s="2" t="s">
        <v>486</v>
      </c>
      <c r="G4930" s="2" t="str">
        <f>"SR-6703"</f>
        <v>SR-6703</v>
      </c>
      <c r="H4930" s="2" t="s">
        <v>21919</v>
      </c>
      <c r="I4930" s="2" t="s">
        <v>21920</v>
      </c>
      <c r="K4930" s="2" t="s">
        <v>7867</v>
      </c>
      <c r="L4930" s="2" t="s">
        <v>222</v>
      </c>
      <c r="M4930" s="2">
        <v>95678.0</v>
      </c>
      <c r="N4930" s="2" t="s">
        <v>21</v>
      </c>
    </row>
    <row r="4931" ht="15.75" customHeight="1">
      <c r="A4931" s="2">
        <v>2015.0</v>
      </c>
      <c r="B4931" s="2" t="s">
        <v>21921</v>
      </c>
      <c r="C4931" s="2" t="s">
        <v>21922</v>
      </c>
      <c r="D4931" s="2" t="str">
        <f>"7727788672"</f>
        <v>7727788672</v>
      </c>
      <c r="E4931" s="2" t="s">
        <v>261</v>
      </c>
      <c r="F4931" s="2" t="s">
        <v>11586</v>
      </c>
      <c r="G4931" s="2" t="str">
        <f>"SR-6119"</f>
        <v>SR-6119</v>
      </c>
      <c r="H4931" s="2" t="s">
        <v>21923</v>
      </c>
      <c r="I4931" s="2" t="s">
        <v>21924</v>
      </c>
      <c r="K4931" s="2" t="s">
        <v>11560</v>
      </c>
      <c r="L4931" s="2" t="s">
        <v>208</v>
      </c>
      <c r="M4931" s="2">
        <v>32960.0</v>
      </c>
      <c r="N4931" s="2" t="s">
        <v>21</v>
      </c>
    </row>
    <row r="4932" ht="15.75" customHeight="1">
      <c r="A4932" s="2">
        <v>2015.0</v>
      </c>
      <c r="B4932" s="2" t="s">
        <v>4892</v>
      </c>
      <c r="D4932" s="2" t="str">
        <f>""</f>
        <v/>
      </c>
      <c r="E4932" s="2" t="s">
        <v>1243</v>
      </c>
      <c r="F4932" s="2" t="s">
        <v>4893</v>
      </c>
      <c r="G4932" s="2" t="str">
        <f>"SR-746"</f>
        <v>SR-746</v>
      </c>
      <c r="H4932" s="2" t="s">
        <v>4894</v>
      </c>
    </row>
    <row r="4933" ht="15.75" customHeight="1">
      <c r="A4933" s="2">
        <v>2015.0</v>
      </c>
      <c r="B4933" s="2" t="s">
        <v>21925</v>
      </c>
      <c r="C4933" s="2" t="s">
        <v>21926</v>
      </c>
      <c r="D4933" s="2" t="str">
        <f>"8439879410"</f>
        <v>8439879410</v>
      </c>
      <c r="E4933" s="2" t="s">
        <v>1263</v>
      </c>
      <c r="F4933" s="2" t="s">
        <v>21927</v>
      </c>
      <c r="G4933" s="2" t="str">
        <f>"SR-6024"</f>
        <v>SR-6024</v>
      </c>
      <c r="H4933" s="2" t="s">
        <v>21928</v>
      </c>
      <c r="I4933" s="2" t="s">
        <v>21929</v>
      </c>
      <c r="K4933" s="2" t="s">
        <v>21930</v>
      </c>
      <c r="L4933" s="2" t="s">
        <v>55</v>
      </c>
      <c r="M4933" s="2">
        <v>29909.0</v>
      </c>
      <c r="N4933" s="2" t="s">
        <v>21</v>
      </c>
    </row>
    <row r="4934" ht="15.75" customHeight="1">
      <c r="A4934" s="2">
        <v>2015.0</v>
      </c>
      <c r="B4934" s="2" t="s">
        <v>11516</v>
      </c>
      <c r="C4934" s="2" t="s">
        <v>11516</v>
      </c>
      <c r="D4934" s="2" t="str">
        <f>"6157390958"</f>
        <v>6157390958</v>
      </c>
      <c r="E4934" s="2" t="s">
        <v>282</v>
      </c>
      <c r="F4934" s="2" t="s">
        <v>11517</v>
      </c>
      <c r="G4934" s="2" t="str">
        <f>"SR-3411"</f>
        <v>SR-3411</v>
      </c>
      <c r="H4934" s="2" t="s">
        <v>11518</v>
      </c>
      <c r="I4934" s="2" t="s">
        <v>11519</v>
      </c>
      <c r="K4934" s="2" t="s">
        <v>11520</v>
      </c>
      <c r="L4934" s="2" t="s">
        <v>279</v>
      </c>
      <c r="M4934" s="2">
        <v>37128.0</v>
      </c>
      <c r="N4934" s="2" t="s">
        <v>21</v>
      </c>
    </row>
    <row r="4935" ht="15.75" customHeight="1">
      <c r="A4935" s="2">
        <v>2015.0</v>
      </c>
      <c r="B4935" s="2" t="s">
        <v>21931</v>
      </c>
      <c r="C4935" s="2" t="s">
        <v>21931</v>
      </c>
      <c r="D4935" s="2" t="str">
        <f>"972-533-4646"</f>
        <v>972-533-4646</v>
      </c>
      <c r="E4935" s="2" t="s">
        <v>137</v>
      </c>
      <c r="F4935" s="2" t="s">
        <v>21932</v>
      </c>
      <c r="G4935" s="2" t="str">
        <f>"SR-6613"</f>
        <v>SR-6613</v>
      </c>
      <c r="H4935" s="2" t="s">
        <v>21933</v>
      </c>
      <c r="I4935" s="2" t="s">
        <v>21934</v>
      </c>
      <c r="K4935" s="2" t="s">
        <v>21935</v>
      </c>
      <c r="L4935" s="2" t="s">
        <v>172</v>
      </c>
      <c r="M4935" s="2">
        <v>75070.0</v>
      </c>
      <c r="N4935" s="2" t="s">
        <v>21</v>
      </c>
    </row>
    <row r="4936" ht="15.75" customHeight="1">
      <c r="A4936" s="2">
        <v>2015.0</v>
      </c>
      <c r="B4936" s="2" t="s">
        <v>21936</v>
      </c>
      <c r="C4936" s="2" t="s">
        <v>21937</v>
      </c>
      <c r="D4936" s="2" t="str">
        <f>"318-422-7206"</f>
        <v>318-422-7206</v>
      </c>
      <c r="E4936" s="2" t="s">
        <v>250</v>
      </c>
      <c r="F4936" s="2" t="s">
        <v>21938</v>
      </c>
      <c r="G4936" s="2" t="str">
        <f>"SR-6708"</f>
        <v>SR-6708</v>
      </c>
      <c r="H4936" s="2" t="s">
        <v>21939</v>
      </c>
      <c r="I4936" s="2" t="s">
        <v>21940</v>
      </c>
      <c r="K4936" s="2" t="s">
        <v>21941</v>
      </c>
      <c r="L4936" s="2" t="s">
        <v>715</v>
      </c>
      <c r="M4936" s="2">
        <v>71047.0</v>
      </c>
      <c r="N4936" s="2" t="s">
        <v>21</v>
      </c>
    </row>
    <row r="4937" ht="15.75" customHeight="1">
      <c r="A4937" s="2">
        <v>2015.0</v>
      </c>
      <c r="B4937" s="2" t="s">
        <v>21942</v>
      </c>
      <c r="C4937" s="2" t="s">
        <v>21942</v>
      </c>
      <c r="D4937" s="2" t="str">
        <f>"9288922054"</f>
        <v>9288922054</v>
      </c>
      <c r="E4937" s="2" t="s">
        <v>18027</v>
      </c>
      <c r="F4937" s="2" t="s">
        <v>6494</v>
      </c>
      <c r="G4937" s="2" t="str">
        <f>"SR-6618"</f>
        <v>SR-6618</v>
      </c>
      <c r="H4937" s="2" t="s">
        <v>21943</v>
      </c>
      <c r="I4937" s="2" t="s">
        <v>21944</v>
      </c>
      <c r="K4937" s="2" t="s">
        <v>21945</v>
      </c>
      <c r="L4937" s="2" t="s">
        <v>422</v>
      </c>
      <c r="M4937" s="2">
        <v>85901.0</v>
      </c>
      <c r="N4937" s="2" t="s">
        <v>21</v>
      </c>
    </row>
    <row r="4938" ht="15.75" customHeight="1">
      <c r="A4938" s="2">
        <v>2015.0</v>
      </c>
      <c r="B4938" s="2" t="s">
        <v>21946</v>
      </c>
      <c r="C4938" s="2" t="s">
        <v>21946</v>
      </c>
      <c r="D4938" s="2" t="str">
        <f>"3162936263"</f>
        <v>3162936263</v>
      </c>
      <c r="E4938" s="2" t="s">
        <v>2632</v>
      </c>
      <c r="F4938" s="2" t="s">
        <v>21947</v>
      </c>
      <c r="G4938" s="2" t="str">
        <f>"SR-6691"</f>
        <v>SR-6691</v>
      </c>
      <c r="H4938" s="2" t="s">
        <v>21948</v>
      </c>
      <c r="I4938" s="2" t="s">
        <v>21949</v>
      </c>
      <c r="K4938" s="2" t="s">
        <v>606</v>
      </c>
      <c r="L4938" s="2" t="s">
        <v>272</v>
      </c>
      <c r="M4938" s="2">
        <v>67204.0</v>
      </c>
      <c r="N4938" s="2" t="s">
        <v>21</v>
      </c>
    </row>
    <row r="4939" ht="15.75" customHeight="1">
      <c r="A4939" s="2">
        <v>2015.0</v>
      </c>
      <c r="B4939" s="2" t="s">
        <v>21950</v>
      </c>
      <c r="C4939" s="2" t="s">
        <v>21951</v>
      </c>
      <c r="D4939" s="2" t="str">
        <f>"425-379-9757"</f>
        <v>425-379-9757</v>
      </c>
      <c r="E4939" s="2" t="s">
        <v>13620</v>
      </c>
      <c r="F4939" s="2" t="s">
        <v>8025</v>
      </c>
      <c r="G4939" s="2" t="str">
        <f>"SR-6696"</f>
        <v>SR-6696</v>
      </c>
      <c r="H4939" s="2" t="s">
        <v>21952</v>
      </c>
      <c r="I4939" s="2" t="s">
        <v>21953</v>
      </c>
      <c r="K4939" s="2" t="s">
        <v>21954</v>
      </c>
      <c r="L4939" s="2" t="s">
        <v>86</v>
      </c>
      <c r="M4939" s="2">
        <v>98082.0</v>
      </c>
      <c r="N4939" s="2" t="s">
        <v>21</v>
      </c>
    </row>
    <row r="4940" ht="15.75" customHeight="1">
      <c r="A4940" s="2">
        <v>2015.0</v>
      </c>
      <c r="B4940" s="2" t="s">
        <v>21955</v>
      </c>
      <c r="C4940" s="2" t="s">
        <v>21955</v>
      </c>
      <c r="D4940" s="2" t="str">
        <f>"614-949-9717"</f>
        <v>614-949-9717</v>
      </c>
      <c r="E4940" s="2" t="s">
        <v>72</v>
      </c>
      <c r="F4940" s="2" t="s">
        <v>21956</v>
      </c>
      <c r="G4940" s="2" t="str">
        <f>"SR-6719"</f>
        <v>SR-6719</v>
      </c>
      <c r="H4940" s="2" t="s">
        <v>21957</v>
      </c>
      <c r="I4940" s="2" t="s">
        <v>21958</v>
      </c>
      <c r="K4940" s="2" t="s">
        <v>20729</v>
      </c>
      <c r="L4940" s="2" t="s">
        <v>344</v>
      </c>
      <c r="M4940" s="2">
        <v>43221.0</v>
      </c>
      <c r="N4940" s="2" t="s">
        <v>21</v>
      </c>
    </row>
    <row r="4941" ht="15.75" customHeight="1">
      <c r="A4941" s="2">
        <v>2015.0</v>
      </c>
      <c r="B4941" s="2" t="s">
        <v>21959</v>
      </c>
      <c r="C4941" s="2" t="s">
        <v>21960</v>
      </c>
      <c r="D4941" s="2" t="str">
        <f>"716-639-9800"</f>
        <v>716-639-9800</v>
      </c>
      <c r="E4941" s="2" t="s">
        <v>261</v>
      </c>
      <c r="F4941" s="2" t="s">
        <v>836</v>
      </c>
      <c r="G4941" s="2" t="str">
        <f>"SR-6724"</f>
        <v>SR-6724</v>
      </c>
      <c r="H4941" s="2" t="s">
        <v>21961</v>
      </c>
      <c r="I4941" s="2" t="s">
        <v>21962</v>
      </c>
      <c r="K4941" s="2" t="s">
        <v>12452</v>
      </c>
      <c r="L4941" s="2" t="s">
        <v>142</v>
      </c>
      <c r="M4941" s="2">
        <v>14221.0</v>
      </c>
      <c r="N4941" s="2" t="s">
        <v>21</v>
      </c>
    </row>
    <row r="4942" ht="15.75" customHeight="1">
      <c r="A4942" s="2">
        <v>2015.0</v>
      </c>
      <c r="B4942" s="2" t="s">
        <v>21963</v>
      </c>
      <c r="C4942" s="2" t="s">
        <v>21964</v>
      </c>
      <c r="D4942" s="2" t="str">
        <f>"803-364-3683"</f>
        <v>803-364-3683</v>
      </c>
      <c r="E4942" s="2" t="s">
        <v>5637</v>
      </c>
      <c r="F4942" s="2" t="s">
        <v>21965</v>
      </c>
      <c r="G4942" s="2" t="str">
        <f>"SR-6726"</f>
        <v>SR-6726</v>
      </c>
      <c r="H4942" s="2" t="s">
        <v>21966</v>
      </c>
      <c r="I4942" s="2" t="s">
        <v>21967</v>
      </c>
      <c r="K4942" s="2" t="s">
        <v>21968</v>
      </c>
      <c r="L4942" s="2" t="s">
        <v>55</v>
      </c>
      <c r="M4942" s="2">
        <v>29127.0</v>
      </c>
      <c r="N4942" s="2" t="s">
        <v>21</v>
      </c>
    </row>
    <row r="4943" ht="15.75" customHeight="1">
      <c r="A4943" s="2">
        <v>2015.0</v>
      </c>
      <c r="B4943" s="2" t="s">
        <v>21969</v>
      </c>
      <c r="C4943" s="2" t="s">
        <v>21970</v>
      </c>
      <c r="D4943" s="2" t="str">
        <f>"817-879-1574"</f>
        <v>817-879-1574</v>
      </c>
      <c r="E4943" s="2" t="s">
        <v>1782</v>
      </c>
      <c r="F4943" s="2" t="s">
        <v>21971</v>
      </c>
      <c r="G4943" s="2" t="str">
        <f>"SR-6728"</f>
        <v>SR-6728</v>
      </c>
      <c r="H4943" s="2" t="s">
        <v>21972</v>
      </c>
      <c r="I4943" s="2" t="s">
        <v>21973</v>
      </c>
      <c r="K4943" s="2" t="s">
        <v>1260</v>
      </c>
      <c r="L4943" s="2" t="s">
        <v>172</v>
      </c>
      <c r="M4943" s="2">
        <v>76116.0</v>
      </c>
      <c r="N4943" s="2" t="s">
        <v>21</v>
      </c>
    </row>
    <row r="4944" ht="15.75" customHeight="1">
      <c r="A4944" s="2">
        <v>2015.0</v>
      </c>
      <c r="B4944" s="2" t="s">
        <v>21974</v>
      </c>
      <c r="C4944" s="2" t="s">
        <v>21974</v>
      </c>
      <c r="D4944" s="2" t="str">
        <f>"8127861489"</f>
        <v>8127861489</v>
      </c>
      <c r="E4944" s="2" t="s">
        <v>2309</v>
      </c>
      <c r="F4944" s="2" t="s">
        <v>15594</v>
      </c>
      <c r="G4944" s="2" t="str">
        <f>"SR-6350"</f>
        <v>SR-6350</v>
      </c>
      <c r="H4944" s="2" t="s">
        <v>21975</v>
      </c>
      <c r="I4944" s="2" t="s">
        <v>15596</v>
      </c>
      <c r="K4944" s="2" t="s">
        <v>15597</v>
      </c>
      <c r="L4944" s="2" t="s">
        <v>149</v>
      </c>
      <c r="M4944" s="2">
        <v>47150.0</v>
      </c>
      <c r="N4944" s="2" t="s">
        <v>21</v>
      </c>
    </row>
    <row r="4945" ht="15.75" customHeight="1">
      <c r="A4945" s="2">
        <v>2015.0</v>
      </c>
      <c r="B4945" s="2" t="s">
        <v>21766</v>
      </c>
      <c r="C4945" s="2" t="s">
        <v>21976</v>
      </c>
      <c r="D4945" s="2" t="str">
        <f>"303-523-3672"</f>
        <v>303-523-3672</v>
      </c>
      <c r="E4945" s="2" t="s">
        <v>977</v>
      </c>
      <c r="F4945" s="2" t="s">
        <v>2138</v>
      </c>
      <c r="G4945" s="2" t="str">
        <f>"SR-6444"</f>
        <v>SR-6444</v>
      </c>
      <c r="H4945" s="2" t="s">
        <v>21977</v>
      </c>
      <c r="I4945" s="2" t="s">
        <v>2140</v>
      </c>
      <c r="K4945" s="2" t="s">
        <v>1054</v>
      </c>
      <c r="L4945" s="2" t="s">
        <v>157</v>
      </c>
      <c r="M4945" s="2">
        <v>80138.0</v>
      </c>
      <c r="N4945" s="2" t="s">
        <v>21</v>
      </c>
    </row>
    <row r="4946" ht="15.75" customHeight="1">
      <c r="A4946" s="2">
        <v>2015.0</v>
      </c>
      <c r="B4946" s="2" t="s">
        <v>21978</v>
      </c>
      <c r="C4946" s="2" t="s">
        <v>21979</v>
      </c>
      <c r="D4946" s="2" t="str">
        <f>"(952) 937-0286"</f>
        <v>(952) 937-0286</v>
      </c>
      <c r="E4946" s="2" t="s">
        <v>21980</v>
      </c>
      <c r="F4946" s="2" t="s">
        <v>21981</v>
      </c>
      <c r="G4946" s="2" t="str">
        <f>"SR-6722"</f>
        <v>SR-6722</v>
      </c>
      <c r="H4946" s="2" t="s">
        <v>21982</v>
      </c>
      <c r="I4946" s="2" t="s">
        <v>21983</v>
      </c>
      <c r="K4946" s="2" t="s">
        <v>1490</v>
      </c>
      <c r="L4946" s="2" t="s">
        <v>29</v>
      </c>
      <c r="M4946" s="2">
        <v>55347.0</v>
      </c>
      <c r="N4946" s="2" t="s">
        <v>21</v>
      </c>
    </row>
    <row r="4947" ht="15.75" customHeight="1">
      <c r="A4947" s="2">
        <v>2015.0</v>
      </c>
      <c r="B4947" s="2" t="s">
        <v>21984</v>
      </c>
      <c r="C4947" s="2" t="s">
        <v>21984</v>
      </c>
      <c r="D4947" s="2" t="str">
        <f>"6162095204"</f>
        <v>6162095204</v>
      </c>
      <c r="E4947" s="2" t="s">
        <v>21985</v>
      </c>
      <c r="F4947" s="2" t="s">
        <v>3323</v>
      </c>
      <c r="G4947" s="2" t="str">
        <f>"SR-6731"</f>
        <v>SR-6731</v>
      </c>
      <c r="H4947" s="2" t="s">
        <v>21986</v>
      </c>
      <c r="I4947" s="2" t="s">
        <v>21987</v>
      </c>
      <c r="K4947" s="2" t="s">
        <v>21988</v>
      </c>
      <c r="L4947" s="2" t="s">
        <v>29</v>
      </c>
      <c r="M4947" s="2">
        <v>49426.0</v>
      </c>
      <c r="N4947" s="2" t="s">
        <v>21</v>
      </c>
    </row>
    <row r="4948" ht="15.75" customHeight="1">
      <c r="A4948" s="2">
        <v>2015.0</v>
      </c>
      <c r="B4948" s="2" t="s">
        <v>21989</v>
      </c>
      <c r="C4948" s="2" t="s">
        <v>21990</v>
      </c>
      <c r="D4948" s="2" t="str">
        <f>"8147975872"</f>
        <v>8147975872</v>
      </c>
      <c r="E4948" s="2" t="s">
        <v>21991</v>
      </c>
      <c r="F4948" s="2" t="s">
        <v>21992</v>
      </c>
      <c r="G4948" s="2" t="str">
        <f>"SR-6733"</f>
        <v>SR-6733</v>
      </c>
      <c r="H4948" s="2" t="s">
        <v>21993</v>
      </c>
      <c r="I4948" s="2" t="s">
        <v>21994</v>
      </c>
      <c r="K4948" s="2" t="s">
        <v>21995</v>
      </c>
      <c r="L4948" s="2" t="s">
        <v>179</v>
      </c>
      <c r="M4948" s="2">
        <v>16373.0</v>
      </c>
      <c r="N4948" s="2" t="s">
        <v>21</v>
      </c>
    </row>
    <row r="4949" ht="15.75" customHeight="1">
      <c r="A4949" s="2">
        <v>2015.0</v>
      </c>
      <c r="B4949" s="2" t="s">
        <v>21996</v>
      </c>
      <c r="C4949" s="2" t="s">
        <v>21997</v>
      </c>
      <c r="D4949" s="2" t="str">
        <f>"573-308-9378"</f>
        <v>573-308-9378</v>
      </c>
      <c r="E4949" s="2" t="s">
        <v>21998</v>
      </c>
      <c r="F4949" s="2" t="s">
        <v>21999</v>
      </c>
      <c r="G4949" s="2" t="str">
        <f>"SR-6644"</f>
        <v>SR-6644</v>
      </c>
      <c r="H4949" s="2" t="s">
        <v>22000</v>
      </c>
      <c r="I4949" s="2">
        <v>1216.0</v>
      </c>
      <c r="J4949" s="2" t="s">
        <v>22001</v>
      </c>
      <c r="K4949" s="2" t="s">
        <v>22002</v>
      </c>
      <c r="L4949" s="2" t="s">
        <v>214</v>
      </c>
      <c r="M4949" s="2">
        <v>65401.0</v>
      </c>
      <c r="N4949" s="2" t="s">
        <v>21</v>
      </c>
    </row>
    <row r="4950" ht="15.75" customHeight="1">
      <c r="A4950" s="2">
        <v>2015.0</v>
      </c>
      <c r="B4950" s="2" t="s">
        <v>13180</v>
      </c>
      <c r="C4950" s="2" t="s">
        <v>22003</v>
      </c>
      <c r="D4950" s="2" t="str">
        <f>"5126397263"</f>
        <v>5126397263</v>
      </c>
      <c r="E4950" s="2" t="s">
        <v>5548</v>
      </c>
      <c r="F4950" s="2" t="s">
        <v>9267</v>
      </c>
      <c r="G4950" s="2" t="str">
        <f>"SR-6730"</f>
        <v>SR-6730</v>
      </c>
      <c r="H4950" s="2" t="s">
        <v>22004</v>
      </c>
      <c r="I4950" s="2" t="s">
        <v>22005</v>
      </c>
      <c r="K4950" s="2" t="s">
        <v>4482</v>
      </c>
      <c r="L4950" s="2" t="s">
        <v>172</v>
      </c>
      <c r="M4950" s="2">
        <v>78628.0</v>
      </c>
      <c r="N4950" s="2" t="s">
        <v>21</v>
      </c>
    </row>
    <row r="4951" ht="15.75" customHeight="1">
      <c r="A4951" s="2">
        <v>2015.0</v>
      </c>
      <c r="B4951" s="2" t="s">
        <v>22006</v>
      </c>
      <c r="C4951" s="2" t="s">
        <v>22006</v>
      </c>
      <c r="D4951" s="2" t="str">
        <f>"4127224354"</f>
        <v>4127224354</v>
      </c>
      <c r="E4951" s="2" t="s">
        <v>1263</v>
      </c>
      <c r="F4951" s="2" t="s">
        <v>2752</v>
      </c>
      <c r="G4951" s="2" t="str">
        <f>"SR-6715"</f>
        <v>SR-6715</v>
      </c>
      <c r="H4951" s="2" t="s">
        <v>22007</v>
      </c>
      <c r="I4951" s="2" t="s">
        <v>22008</v>
      </c>
      <c r="K4951" s="2" t="s">
        <v>3205</v>
      </c>
      <c r="L4951" s="2" t="s">
        <v>179</v>
      </c>
      <c r="M4951" s="2">
        <v>15142.0</v>
      </c>
      <c r="N4951" s="2" t="s">
        <v>21</v>
      </c>
    </row>
    <row r="4952" ht="15.75" customHeight="1">
      <c r="A4952" s="2">
        <v>2015.0</v>
      </c>
      <c r="B4952" s="2" t="s">
        <v>22009</v>
      </c>
      <c r="C4952" s="2" t="s">
        <v>22009</v>
      </c>
      <c r="D4952" s="2" t="str">
        <f>"913-360-2235"</f>
        <v>913-360-2235</v>
      </c>
      <c r="E4952" s="2" t="s">
        <v>9455</v>
      </c>
      <c r="F4952" s="2" t="s">
        <v>9976</v>
      </c>
      <c r="G4952" s="2" t="str">
        <f>"SR-6738"</f>
        <v>SR-6738</v>
      </c>
      <c r="H4952" s="2" t="s">
        <v>22010</v>
      </c>
      <c r="I4952" s="2" t="s">
        <v>22011</v>
      </c>
      <c r="K4952" s="2" t="s">
        <v>22002</v>
      </c>
      <c r="L4952" s="2" t="s">
        <v>214</v>
      </c>
      <c r="M4952" s="2">
        <v>65401.0</v>
      </c>
      <c r="N4952" s="2" t="s">
        <v>21</v>
      </c>
    </row>
    <row r="4953" ht="15.75" customHeight="1">
      <c r="A4953" s="2">
        <v>2015.0</v>
      </c>
      <c r="B4953" s="2" t="s">
        <v>22012</v>
      </c>
      <c r="C4953" s="2" t="s">
        <v>22012</v>
      </c>
      <c r="D4953" s="2" t="str">
        <f>"9725334656"</f>
        <v>9725334656</v>
      </c>
      <c r="E4953" s="2" t="s">
        <v>2433</v>
      </c>
      <c r="F4953" s="2" t="s">
        <v>21932</v>
      </c>
      <c r="G4953" s="2" t="str">
        <f>"SR-6614"</f>
        <v>SR-6614</v>
      </c>
      <c r="H4953" s="2" t="s">
        <v>22013</v>
      </c>
      <c r="I4953" s="2" t="s">
        <v>22014</v>
      </c>
      <c r="K4953" s="2" t="s">
        <v>22015</v>
      </c>
      <c r="L4953" s="2" t="s">
        <v>172</v>
      </c>
      <c r="M4953" s="2">
        <v>75070.0</v>
      </c>
      <c r="N4953" s="2" t="s">
        <v>21</v>
      </c>
    </row>
    <row r="4954" ht="15.75" customHeight="1">
      <c r="A4954" s="2">
        <v>2015.0</v>
      </c>
      <c r="B4954" s="2" t="s">
        <v>22016</v>
      </c>
      <c r="C4954" s="2" t="s">
        <v>22017</v>
      </c>
      <c r="D4954" s="2" t="str">
        <f>"386-848-6167"</f>
        <v>386-848-6167</v>
      </c>
      <c r="E4954" s="2" t="s">
        <v>14988</v>
      </c>
      <c r="F4954" s="2" t="s">
        <v>8787</v>
      </c>
      <c r="G4954" s="2" t="str">
        <f>"SR-5271"</f>
        <v>SR-5271</v>
      </c>
      <c r="H4954" s="2" t="s">
        <v>22018</v>
      </c>
      <c r="I4954" s="2" t="s">
        <v>22019</v>
      </c>
      <c r="K4954" s="2" t="s">
        <v>7620</v>
      </c>
      <c r="L4954" s="2" t="s">
        <v>208</v>
      </c>
      <c r="M4954" s="2">
        <v>32724.0</v>
      </c>
      <c r="N4954" s="2" t="s">
        <v>21</v>
      </c>
    </row>
    <row r="4955" ht="15.75" customHeight="1">
      <c r="A4955" s="2">
        <v>2015.0</v>
      </c>
      <c r="B4955" s="2" t="s">
        <v>22020</v>
      </c>
      <c r="C4955" s="2" t="s">
        <v>22020</v>
      </c>
      <c r="D4955" s="2" t="str">
        <f>"814/797/2217"</f>
        <v>814/797/2217</v>
      </c>
      <c r="E4955" s="2" t="s">
        <v>167</v>
      </c>
      <c r="F4955" s="2" t="s">
        <v>22021</v>
      </c>
      <c r="G4955" s="2" t="str">
        <f>"SR-6734"</f>
        <v>SR-6734</v>
      </c>
      <c r="H4955" s="2" t="s">
        <v>22022</v>
      </c>
      <c r="I4955" s="2" t="s">
        <v>22023</v>
      </c>
      <c r="K4955" s="2" t="s">
        <v>21995</v>
      </c>
      <c r="L4955" s="2" t="s">
        <v>179</v>
      </c>
      <c r="M4955" s="2">
        <v>16373.0</v>
      </c>
      <c r="N4955" s="2" t="s">
        <v>21</v>
      </c>
    </row>
    <row r="4956" ht="15.75" customHeight="1">
      <c r="A4956" s="2">
        <v>2015.0</v>
      </c>
      <c r="B4956" s="2" t="s">
        <v>22024</v>
      </c>
      <c r="C4956" s="2" t="s">
        <v>22025</v>
      </c>
      <c r="D4956" s="2" t="str">
        <f>"3372784622"</f>
        <v>3372784622</v>
      </c>
      <c r="E4956" s="2" t="s">
        <v>11043</v>
      </c>
      <c r="F4956" s="2" t="s">
        <v>3533</v>
      </c>
      <c r="G4956" s="2" t="str">
        <f>"SR-6546"</f>
        <v>SR-6546</v>
      </c>
      <c r="H4956" s="2" t="s">
        <v>22026</v>
      </c>
      <c r="I4956" s="2" t="s">
        <v>22027</v>
      </c>
      <c r="K4956" s="2" t="s">
        <v>21043</v>
      </c>
      <c r="L4956" s="2" t="s">
        <v>715</v>
      </c>
      <c r="M4956" s="2">
        <v>70592.0</v>
      </c>
      <c r="N4956" s="2" t="s">
        <v>21</v>
      </c>
    </row>
    <row r="4957" ht="15.75" customHeight="1">
      <c r="A4957" s="2">
        <v>2015.0</v>
      </c>
      <c r="B4957" s="2" t="s">
        <v>22028</v>
      </c>
      <c r="C4957" s="2" t="s">
        <v>22029</v>
      </c>
      <c r="D4957" s="2" t="str">
        <f>"4026495193"</f>
        <v>4026495193</v>
      </c>
      <c r="E4957" s="2" t="s">
        <v>385</v>
      </c>
      <c r="F4957" s="2" t="s">
        <v>22030</v>
      </c>
      <c r="G4957" s="2" t="str">
        <f>"SR-6078"</f>
        <v>SR-6078</v>
      </c>
      <c r="H4957" s="2" t="s">
        <v>22031</v>
      </c>
      <c r="I4957" s="2" t="s">
        <v>22032</v>
      </c>
      <c r="K4957" s="2" t="s">
        <v>11726</v>
      </c>
      <c r="L4957" s="2" t="s">
        <v>757</v>
      </c>
      <c r="M4957" s="2">
        <v>68701.0</v>
      </c>
      <c r="N4957" s="2" t="s">
        <v>21</v>
      </c>
    </row>
    <row r="4958" ht="15.75" customHeight="1">
      <c r="A4958" s="2">
        <v>2015.0</v>
      </c>
      <c r="B4958" s="2" t="s">
        <v>22033</v>
      </c>
      <c r="D4958" s="2" t="str">
        <f>""</f>
        <v/>
      </c>
      <c r="E4958" s="2" t="s">
        <v>2243</v>
      </c>
      <c r="F4958" s="2" t="s">
        <v>22034</v>
      </c>
      <c r="G4958" s="2" t="str">
        <f>"SR-6748"</f>
        <v>SR-6748</v>
      </c>
      <c r="H4958" s="2" t="s">
        <v>22035</v>
      </c>
      <c r="N4958" s="2" t="s">
        <v>21</v>
      </c>
    </row>
    <row r="4959" ht="15.75" customHeight="1">
      <c r="A4959" s="2">
        <v>2015.0</v>
      </c>
      <c r="B4959" s="2" t="s">
        <v>22036</v>
      </c>
      <c r="C4959" s="2" t="s">
        <v>22036</v>
      </c>
      <c r="D4959" s="2" t="str">
        <f>"402-669-8203"</f>
        <v>402-669-8203</v>
      </c>
      <c r="E4959" s="2" t="s">
        <v>22037</v>
      </c>
      <c r="F4959" s="2" t="s">
        <v>10003</v>
      </c>
      <c r="G4959" s="2" t="str">
        <f>"SR-5917"</f>
        <v>SR-5917</v>
      </c>
      <c r="H4959" s="2" t="s">
        <v>22038</v>
      </c>
      <c r="I4959" s="2" t="s">
        <v>22039</v>
      </c>
      <c r="K4959" s="2" t="s">
        <v>22040</v>
      </c>
      <c r="L4959" s="2" t="s">
        <v>757</v>
      </c>
      <c r="M4959" s="2">
        <v>68045.0</v>
      </c>
      <c r="N4959" s="2" t="s">
        <v>21</v>
      </c>
    </row>
    <row r="4960" ht="15.75" customHeight="1">
      <c r="A4960" s="2">
        <v>2015.0</v>
      </c>
      <c r="B4960" s="2" t="s">
        <v>22041</v>
      </c>
      <c r="C4960" s="2" t="s">
        <v>22041</v>
      </c>
      <c r="D4960" s="2" t="str">
        <f>"18157877075"</f>
        <v>18157877075</v>
      </c>
      <c r="E4960" s="2" t="s">
        <v>611</v>
      </c>
      <c r="F4960" s="2" t="s">
        <v>19878</v>
      </c>
      <c r="G4960" s="2" t="str">
        <f>"SR-5659"</f>
        <v>SR-5659</v>
      </c>
      <c r="H4960" s="2" t="s">
        <v>22042</v>
      </c>
      <c r="I4960" s="2" t="s">
        <v>22043</v>
      </c>
      <c r="K4960" s="2" t="s">
        <v>912</v>
      </c>
      <c r="L4960" s="2" t="s">
        <v>105</v>
      </c>
      <c r="M4960" s="2">
        <v>60115.0</v>
      </c>
      <c r="N4960" s="2" t="s">
        <v>21</v>
      </c>
    </row>
    <row r="4961" ht="15.75" customHeight="1">
      <c r="A4961" s="2">
        <v>2015.0</v>
      </c>
      <c r="B4961" s="2" t="s">
        <v>22044</v>
      </c>
      <c r="C4961" s="2" t="s">
        <v>22044</v>
      </c>
      <c r="D4961" s="2" t="str">
        <f>"2298053570"</f>
        <v>2298053570</v>
      </c>
      <c r="E4961" s="2" t="s">
        <v>19713</v>
      </c>
      <c r="F4961" s="2" t="s">
        <v>22045</v>
      </c>
      <c r="G4961" s="2" t="str">
        <f>"SR-6757"</f>
        <v>SR-6757</v>
      </c>
      <c r="H4961" s="2" t="s">
        <v>22046</v>
      </c>
      <c r="I4961" s="2" t="s">
        <v>22047</v>
      </c>
      <c r="K4961" s="2" t="s">
        <v>22048</v>
      </c>
      <c r="L4961" s="2" t="s">
        <v>200</v>
      </c>
      <c r="M4961" s="2">
        <v>31714.0</v>
      </c>
      <c r="N4961" s="2" t="s">
        <v>21</v>
      </c>
    </row>
    <row r="4962" ht="15.75" customHeight="1">
      <c r="A4962" s="2">
        <v>2015.0</v>
      </c>
      <c r="B4962" s="2" t="s">
        <v>22049</v>
      </c>
      <c r="C4962" s="2" t="s">
        <v>22050</v>
      </c>
      <c r="D4962" s="2" t="str">
        <f>"8587561605"</f>
        <v>8587561605</v>
      </c>
      <c r="E4962" s="2" t="s">
        <v>2314</v>
      </c>
      <c r="F4962" s="2" t="s">
        <v>283</v>
      </c>
      <c r="G4962" s="2" t="str">
        <f>"SR-6449"</f>
        <v>SR-6449</v>
      </c>
      <c r="H4962" s="2" t="s">
        <v>22051</v>
      </c>
      <c r="I4962" s="2" t="s">
        <v>22052</v>
      </c>
      <c r="K4962" s="2" t="s">
        <v>22053</v>
      </c>
      <c r="L4962" s="2" t="s">
        <v>222</v>
      </c>
      <c r="M4962" s="2">
        <v>92014.0</v>
      </c>
      <c r="N4962" s="2" t="s">
        <v>21</v>
      </c>
    </row>
    <row r="4963" ht="15.75" customHeight="1">
      <c r="A4963" s="2">
        <v>2015.0</v>
      </c>
      <c r="B4963" s="2" t="s">
        <v>22054</v>
      </c>
      <c r="C4963" s="2" t="s">
        <v>22055</v>
      </c>
      <c r="D4963" s="2" t="str">
        <f>"6128053584"</f>
        <v>6128053584</v>
      </c>
      <c r="E4963" s="2" t="s">
        <v>22056</v>
      </c>
      <c r="F4963" s="2" t="s">
        <v>22057</v>
      </c>
      <c r="G4963" s="2" t="str">
        <f>"SR-6760"</f>
        <v>SR-6760</v>
      </c>
      <c r="H4963" s="2" t="s">
        <v>22058</v>
      </c>
      <c r="I4963" s="2" t="s">
        <v>22059</v>
      </c>
      <c r="K4963" s="2" t="s">
        <v>1321</v>
      </c>
      <c r="L4963" s="2" t="s">
        <v>62</v>
      </c>
      <c r="M4963" s="2">
        <v>55372.0</v>
      </c>
      <c r="N4963" s="2" t="s">
        <v>21</v>
      </c>
    </row>
    <row r="4964" ht="15.75" customHeight="1">
      <c r="A4964" s="2">
        <v>2015.0</v>
      </c>
      <c r="B4964" s="2" t="s">
        <v>11141</v>
      </c>
      <c r="C4964" s="2" t="s">
        <v>22060</v>
      </c>
      <c r="D4964" s="2" t="str">
        <f>"901-857-9721"</f>
        <v>901-857-9721</v>
      </c>
      <c r="E4964" s="2" t="s">
        <v>2412</v>
      </c>
      <c r="F4964" s="2" t="s">
        <v>22061</v>
      </c>
      <c r="G4964" s="2" t="str">
        <f>"SR-6720"</f>
        <v>SR-6720</v>
      </c>
      <c r="H4964" s="2" t="s">
        <v>22062</v>
      </c>
      <c r="I4964" s="2" t="s">
        <v>22063</v>
      </c>
      <c r="K4964" s="2" t="s">
        <v>22064</v>
      </c>
      <c r="L4964" s="2" t="s">
        <v>279</v>
      </c>
      <c r="M4964" s="2">
        <v>38018.0</v>
      </c>
      <c r="N4964" s="2" t="s">
        <v>21</v>
      </c>
    </row>
    <row r="4965" ht="15.75" customHeight="1">
      <c r="A4965" s="2">
        <v>2015.0</v>
      </c>
      <c r="B4965" s="2" t="s">
        <v>22065</v>
      </c>
      <c r="C4965" s="2" t="s">
        <v>22066</v>
      </c>
      <c r="D4965" s="2" t="str">
        <f>"847-372-3934"</f>
        <v>847-372-3934</v>
      </c>
      <c r="E4965" s="2" t="s">
        <v>1306</v>
      </c>
      <c r="F4965" s="2" t="s">
        <v>22067</v>
      </c>
      <c r="G4965" s="2" t="str">
        <f>"SR-6526"</f>
        <v>SR-6526</v>
      </c>
      <c r="H4965" s="2" t="s">
        <v>22068</v>
      </c>
      <c r="I4965" s="2" t="s">
        <v>22069</v>
      </c>
      <c r="K4965" s="2" t="s">
        <v>16116</v>
      </c>
      <c r="L4965" s="2" t="s">
        <v>105</v>
      </c>
      <c r="M4965" s="2">
        <v>60045.0</v>
      </c>
      <c r="N4965" s="2" t="s">
        <v>21</v>
      </c>
    </row>
    <row r="4966" ht="15.75" customHeight="1">
      <c r="A4966" s="2">
        <v>2015.0</v>
      </c>
      <c r="B4966" s="2" t="s">
        <v>22070</v>
      </c>
      <c r="C4966" s="2" t="s">
        <v>22070</v>
      </c>
      <c r="D4966" s="2" t="str">
        <f>"7634165225"</f>
        <v>7634165225</v>
      </c>
      <c r="E4966" s="2" t="s">
        <v>339</v>
      </c>
      <c r="F4966" s="2" t="s">
        <v>22071</v>
      </c>
      <c r="G4966" s="2" t="str">
        <f>"SR-6774"</f>
        <v>SR-6774</v>
      </c>
      <c r="H4966" s="2" t="s">
        <v>22072</v>
      </c>
      <c r="I4966" s="2" t="s">
        <v>22073</v>
      </c>
      <c r="K4966" s="2" t="s">
        <v>8609</v>
      </c>
      <c r="L4966" s="2" t="s">
        <v>62</v>
      </c>
      <c r="M4966" s="2">
        <v>55311.0</v>
      </c>
      <c r="N4966" s="2" t="s">
        <v>21</v>
      </c>
    </row>
    <row r="4967" ht="15.75" customHeight="1">
      <c r="A4967" s="2">
        <v>2015.0</v>
      </c>
      <c r="B4967" s="2" t="s">
        <v>22074</v>
      </c>
      <c r="C4967" s="2" t="s">
        <v>22075</v>
      </c>
      <c r="D4967" s="2" t="str">
        <f>"719-281-5634"</f>
        <v>719-281-5634</v>
      </c>
      <c r="E4967" s="2" t="s">
        <v>503</v>
      </c>
      <c r="F4967" s="2" t="s">
        <v>22076</v>
      </c>
      <c r="G4967" s="2" t="str">
        <f>"SR-6778"</f>
        <v>SR-6778</v>
      </c>
      <c r="H4967" s="2" t="s">
        <v>22077</v>
      </c>
      <c r="I4967" s="2" t="s">
        <v>22078</v>
      </c>
      <c r="K4967" s="2" t="s">
        <v>8308</v>
      </c>
      <c r="L4967" s="2" t="s">
        <v>157</v>
      </c>
      <c r="M4967" s="2">
        <v>81006.0</v>
      </c>
      <c r="N4967" s="2" t="s">
        <v>21</v>
      </c>
    </row>
    <row r="4968" ht="15.75" customHeight="1">
      <c r="A4968" s="2">
        <v>2015.0</v>
      </c>
      <c r="B4968" s="2" t="s">
        <v>7535</v>
      </c>
      <c r="C4968" s="2" t="s">
        <v>14219</v>
      </c>
      <c r="D4968" s="2" t="str">
        <f>"260-515-7152"</f>
        <v>260-515-7152</v>
      </c>
      <c r="E4968" s="2" t="s">
        <v>705</v>
      </c>
      <c r="F4968" s="2" t="s">
        <v>7537</v>
      </c>
      <c r="G4968" s="2" t="str">
        <f>"SR-3519"</f>
        <v>SR-3519</v>
      </c>
      <c r="H4968" s="2" t="s">
        <v>14220</v>
      </c>
      <c r="I4968" s="2" t="s">
        <v>14221</v>
      </c>
      <c r="K4968" s="2" t="s">
        <v>14222</v>
      </c>
      <c r="L4968" s="2" t="s">
        <v>165</v>
      </c>
      <c r="M4968" s="2">
        <v>22625.0</v>
      </c>
      <c r="N4968" s="2" t="s">
        <v>21</v>
      </c>
    </row>
    <row r="4969" ht="15.75" customHeight="1">
      <c r="A4969" s="2">
        <v>2015.0</v>
      </c>
      <c r="B4969" s="2" t="s">
        <v>22079</v>
      </c>
      <c r="C4969" s="2" t="s">
        <v>14173</v>
      </c>
      <c r="D4969" s="2" t="str">
        <f>"817-946-0691"</f>
        <v>817-946-0691</v>
      </c>
      <c r="E4969" s="2" t="s">
        <v>14174</v>
      </c>
      <c r="F4969" s="2" t="s">
        <v>14146</v>
      </c>
      <c r="G4969" s="2" t="str">
        <f>"SR-6770"</f>
        <v>SR-6770</v>
      </c>
      <c r="H4969" s="2" t="s">
        <v>14175</v>
      </c>
      <c r="I4969" s="2" t="s">
        <v>22080</v>
      </c>
      <c r="K4969" s="2" t="s">
        <v>6017</v>
      </c>
      <c r="L4969" s="2" t="s">
        <v>172</v>
      </c>
      <c r="M4969" s="2">
        <v>76008.0</v>
      </c>
      <c r="N4969" s="2" t="s">
        <v>21</v>
      </c>
    </row>
    <row r="4970" ht="15.75" customHeight="1">
      <c r="A4970" s="2">
        <v>2015.0</v>
      </c>
      <c r="B4970" s="2" t="s">
        <v>22081</v>
      </c>
      <c r="D4970" s="2" t="str">
        <f>""</f>
        <v/>
      </c>
      <c r="E4970" s="2" t="s">
        <v>678</v>
      </c>
      <c r="F4970" s="2" t="s">
        <v>22082</v>
      </c>
      <c r="G4970" s="2" t="str">
        <f>"SR-6711"</f>
        <v>SR-6711</v>
      </c>
      <c r="H4970" s="2" t="s">
        <v>22083</v>
      </c>
      <c r="N4970" s="2" t="s">
        <v>21</v>
      </c>
    </row>
    <row r="4971" ht="15.75" customHeight="1">
      <c r="A4971" s="2">
        <v>2015.0</v>
      </c>
      <c r="B4971" s="2" t="s">
        <v>22084</v>
      </c>
      <c r="C4971" s="2" t="s">
        <v>22084</v>
      </c>
      <c r="D4971" s="2" t="str">
        <f>"5055532031"</f>
        <v>5055532031</v>
      </c>
      <c r="E4971" s="2" t="s">
        <v>1664</v>
      </c>
      <c r="F4971" s="2" t="s">
        <v>22085</v>
      </c>
      <c r="G4971" s="2" t="str">
        <f>"SR-6781"</f>
        <v>SR-6781</v>
      </c>
      <c r="H4971" s="2" t="s">
        <v>22086</v>
      </c>
      <c r="I4971" s="2" t="s">
        <v>22087</v>
      </c>
      <c r="K4971" s="2" t="s">
        <v>3705</v>
      </c>
      <c r="L4971" s="2" t="s">
        <v>789</v>
      </c>
      <c r="M4971" s="2">
        <v>87112.0</v>
      </c>
      <c r="N4971" s="2" t="s">
        <v>21</v>
      </c>
    </row>
    <row r="4972" ht="15.75" customHeight="1">
      <c r="A4972" s="2">
        <v>2015.0</v>
      </c>
      <c r="B4972" s="2" t="s">
        <v>22088</v>
      </c>
      <c r="C4972" s="2" t="s">
        <v>22088</v>
      </c>
      <c r="D4972" s="2" t="str">
        <f>"09212151877"</f>
        <v>09212151877</v>
      </c>
      <c r="E4972" s="2" t="s">
        <v>22089</v>
      </c>
      <c r="F4972" s="2" t="s">
        <v>22090</v>
      </c>
      <c r="G4972" s="2" t="str">
        <f>"SR-6693"</f>
        <v>SR-6693</v>
      </c>
      <c r="H4972" s="2" t="s">
        <v>22091</v>
      </c>
      <c r="I4972" s="2" t="s">
        <v>22092</v>
      </c>
      <c r="J4972" s="2" t="s">
        <v>22093</v>
      </c>
      <c r="K4972" s="2" t="s">
        <v>22094</v>
      </c>
      <c r="M4972" s="2">
        <v>2500.0</v>
      </c>
      <c r="N4972" s="2" t="s">
        <v>15515</v>
      </c>
    </row>
    <row r="4973" ht="15.75" customHeight="1">
      <c r="A4973" s="2">
        <v>2015.0</v>
      </c>
      <c r="B4973" s="2" t="s">
        <v>22095</v>
      </c>
      <c r="C4973" s="2" t="s">
        <v>22095</v>
      </c>
      <c r="D4973" s="2" t="str">
        <f>"244-1641"</f>
        <v>244-1641</v>
      </c>
      <c r="E4973" s="2" t="s">
        <v>22096</v>
      </c>
      <c r="F4973" s="2" t="s">
        <v>22097</v>
      </c>
      <c r="G4973" s="2" t="str">
        <f>"SR-6705"</f>
        <v>SR-6705</v>
      </c>
      <c r="H4973" s="2" t="s">
        <v>22098</v>
      </c>
      <c r="I4973" s="2" t="s">
        <v>22099</v>
      </c>
      <c r="K4973" s="2" t="s">
        <v>22100</v>
      </c>
      <c r="M4973" s="2">
        <v>2600.0</v>
      </c>
      <c r="N4973" s="2" t="s">
        <v>15515</v>
      </c>
    </row>
    <row r="4974" ht="15.75" customHeight="1">
      <c r="A4974" s="2">
        <v>2015.0</v>
      </c>
      <c r="B4974" s="2" t="s">
        <v>22101</v>
      </c>
      <c r="C4974" s="2" t="s">
        <v>22102</v>
      </c>
      <c r="D4974" s="2" t="str">
        <f>"5039850099"</f>
        <v>5039850099</v>
      </c>
      <c r="E4974" s="2" t="s">
        <v>22103</v>
      </c>
      <c r="F4974" s="2" t="s">
        <v>13200</v>
      </c>
      <c r="G4974" s="2" t="str">
        <f>"SR-5855"</f>
        <v>SR-5855</v>
      </c>
      <c r="H4974" s="2" t="s">
        <v>22104</v>
      </c>
      <c r="I4974" s="2" t="s">
        <v>22105</v>
      </c>
      <c r="K4974" s="2" t="s">
        <v>4054</v>
      </c>
      <c r="L4974" s="2" t="s">
        <v>2389</v>
      </c>
      <c r="M4974" s="2">
        <v>97119.0</v>
      </c>
      <c r="N4974" s="2" t="s">
        <v>21</v>
      </c>
    </row>
    <row r="4975" ht="15.75" customHeight="1">
      <c r="A4975" s="2">
        <v>2015.0</v>
      </c>
      <c r="B4975" s="2" t="s">
        <v>22106</v>
      </c>
      <c r="C4975" s="2" t="s">
        <v>22106</v>
      </c>
      <c r="D4975" s="2" t="str">
        <f>"7857768533"</f>
        <v>7857768533</v>
      </c>
      <c r="E4975" s="2" t="s">
        <v>239</v>
      </c>
      <c r="F4975" s="2" t="s">
        <v>22107</v>
      </c>
      <c r="G4975" s="2" t="str">
        <f>"SR-6594"</f>
        <v>SR-6594</v>
      </c>
      <c r="H4975" s="2" t="s">
        <v>22108</v>
      </c>
      <c r="I4975" s="2" t="s">
        <v>22109</v>
      </c>
      <c r="K4975" s="2" t="s">
        <v>1807</v>
      </c>
      <c r="L4975" s="2" t="s">
        <v>272</v>
      </c>
      <c r="M4975" s="2">
        <v>66503.0</v>
      </c>
      <c r="N4975" s="2" t="s">
        <v>21</v>
      </c>
    </row>
    <row r="4976" ht="15.75" customHeight="1">
      <c r="A4976" s="2">
        <v>2015.0</v>
      </c>
      <c r="B4976" s="2" t="s">
        <v>21776</v>
      </c>
      <c r="C4976" s="2" t="s">
        <v>21776</v>
      </c>
      <c r="D4976" s="2" t="str">
        <f>"585-468-2832"</f>
        <v>585-468-2832</v>
      </c>
      <c r="E4976" s="2" t="s">
        <v>15498</v>
      </c>
      <c r="F4976" s="2" t="s">
        <v>22110</v>
      </c>
      <c r="G4976" s="2" t="str">
        <f>"SR-6658"</f>
        <v>SR-6658</v>
      </c>
      <c r="H4976" s="2" t="s">
        <v>22111</v>
      </c>
      <c r="I4976" s="2" t="s">
        <v>21781</v>
      </c>
      <c r="J4976" s="2" t="s">
        <v>21782</v>
      </c>
      <c r="K4976" s="2" t="s">
        <v>21783</v>
      </c>
      <c r="L4976" s="2" t="s">
        <v>142</v>
      </c>
      <c r="M4976" s="2">
        <v>14517.0</v>
      </c>
      <c r="N4976" s="2" t="s">
        <v>21</v>
      </c>
    </row>
    <row r="4977" ht="15.75" customHeight="1">
      <c r="A4977" s="2">
        <v>2015.0</v>
      </c>
      <c r="B4977" s="2" t="s">
        <v>22112</v>
      </c>
      <c r="C4977" s="2" t="s">
        <v>22113</v>
      </c>
      <c r="D4977" s="2" t="str">
        <f>"8182684615"</f>
        <v>8182684615</v>
      </c>
      <c r="E4977" s="2" t="s">
        <v>22114</v>
      </c>
      <c r="F4977" s="2" t="s">
        <v>22115</v>
      </c>
      <c r="G4977" s="2" t="str">
        <f>"SR-6784"</f>
        <v>SR-6784</v>
      </c>
      <c r="H4977" s="2" t="s">
        <v>22116</v>
      </c>
      <c r="I4977" s="2">
        <v>28920.0</v>
      </c>
      <c r="J4977" s="2" t="s">
        <v>22117</v>
      </c>
      <c r="K4977" s="2" t="s">
        <v>22118</v>
      </c>
      <c r="L4977" s="2" t="s">
        <v>222</v>
      </c>
      <c r="M4977" s="2">
        <v>91354.0</v>
      </c>
      <c r="N4977" s="2" t="s">
        <v>21</v>
      </c>
    </row>
    <row r="4978" ht="15.75" customHeight="1">
      <c r="A4978" s="2">
        <v>2015.0</v>
      </c>
      <c r="B4978" s="2" t="s">
        <v>22119</v>
      </c>
      <c r="C4978" s="2" t="s">
        <v>22119</v>
      </c>
      <c r="D4978" s="2" t="str">
        <f>"507-491-6528"</f>
        <v>507-491-6528</v>
      </c>
      <c r="E4978" s="2" t="s">
        <v>22120</v>
      </c>
      <c r="F4978" s="2" t="s">
        <v>4750</v>
      </c>
      <c r="G4978" s="2" t="str">
        <f>"SR-6769"</f>
        <v>SR-6769</v>
      </c>
      <c r="H4978" s="2" t="s">
        <v>22121</v>
      </c>
      <c r="I4978" s="2" t="s">
        <v>22122</v>
      </c>
      <c r="K4978" s="2" t="s">
        <v>5763</v>
      </c>
      <c r="L4978" s="2" t="s">
        <v>62</v>
      </c>
      <c r="M4978" s="2">
        <v>55087.0</v>
      </c>
      <c r="N4978" s="2" t="s">
        <v>21</v>
      </c>
    </row>
    <row r="4979" ht="15.75" customHeight="1">
      <c r="A4979" s="2">
        <v>2015.0</v>
      </c>
      <c r="B4979" s="2" t="s">
        <v>22123</v>
      </c>
      <c r="C4979" s="2" t="s">
        <v>22123</v>
      </c>
      <c r="D4979" s="2" t="str">
        <f>"8147975551"</f>
        <v>8147975551</v>
      </c>
      <c r="E4979" s="2" t="s">
        <v>6244</v>
      </c>
      <c r="F4979" s="2" t="s">
        <v>5632</v>
      </c>
      <c r="G4979" s="2" t="str">
        <f>"SR-6753"</f>
        <v>SR-6753</v>
      </c>
      <c r="H4979" s="2" t="s">
        <v>22124</v>
      </c>
      <c r="I4979" s="2" t="s">
        <v>22125</v>
      </c>
      <c r="K4979" s="2" t="s">
        <v>2336</v>
      </c>
      <c r="L4979" s="2" t="s">
        <v>179</v>
      </c>
      <c r="M4979" s="2">
        <v>16232.0</v>
      </c>
      <c r="N4979" s="2" t="s">
        <v>21</v>
      </c>
    </row>
    <row r="4980" ht="15.75" customHeight="1">
      <c r="A4980" s="2">
        <v>2015.0</v>
      </c>
      <c r="B4980" s="2" t="s">
        <v>22126</v>
      </c>
      <c r="C4980" s="2" t="s">
        <v>22127</v>
      </c>
      <c r="D4980" s="2" t="str">
        <f>"231-369-3699"</f>
        <v>231-369-3699</v>
      </c>
      <c r="E4980" s="2" t="s">
        <v>22128</v>
      </c>
      <c r="F4980" s="2" t="s">
        <v>22129</v>
      </c>
      <c r="G4980" s="2" t="str">
        <f>"SR-6686"</f>
        <v>SR-6686</v>
      </c>
      <c r="H4980" s="2" t="s">
        <v>22130</v>
      </c>
      <c r="I4980" s="2">
        <v>10075.0</v>
      </c>
      <c r="J4980" s="2" t="s">
        <v>22131</v>
      </c>
      <c r="K4980" s="2" t="s">
        <v>7662</v>
      </c>
      <c r="L4980" s="2" t="s">
        <v>29</v>
      </c>
      <c r="M4980" s="2">
        <v>49696.0</v>
      </c>
      <c r="N4980" s="2" t="s">
        <v>21</v>
      </c>
    </row>
    <row r="4981" ht="15.75" customHeight="1">
      <c r="A4981" s="2">
        <v>2015.0</v>
      </c>
      <c r="B4981" s="2" t="s">
        <v>22132</v>
      </c>
      <c r="C4981" s="2" t="s">
        <v>22132</v>
      </c>
      <c r="D4981" s="2" t="str">
        <f>"7178811201"</f>
        <v>7178811201</v>
      </c>
      <c r="E4981" s="2" t="s">
        <v>4224</v>
      </c>
      <c r="F4981" s="2" t="s">
        <v>639</v>
      </c>
      <c r="G4981" s="2" t="str">
        <f>"SR-6725"</f>
        <v>SR-6725</v>
      </c>
      <c r="H4981" s="2" t="s">
        <v>22133</v>
      </c>
      <c r="I4981" s="2" t="s">
        <v>22134</v>
      </c>
      <c r="K4981" s="2" t="s">
        <v>22135</v>
      </c>
      <c r="L4981" s="2" t="s">
        <v>179</v>
      </c>
      <c r="M4981" s="2">
        <v>17313.0</v>
      </c>
      <c r="N4981" s="2" t="s">
        <v>21</v>
      </c>
    </row>
    <row r="4982" ht="15.75" customHeight="1">
      <c r="A4982" s="2">
        <v>2015.0</v>
      </c>
      <c r="B4982" s="2" t="s">
        <v>13193</v>
      </c>
      <c r="C4982" s="2" t="s">
        <v>13194</v>
      </c>
      <c r="D4982" s="2" t="str">
        <f>"5126892419"</f>
        <v>5126892419</v>
      </c>
      <c r="E4982" s="2" t="s">
        <v>1306</v>
      </c>
      <c r="F4982" s="2" t="s">
        <v>13195</v>
      </c>
      <c r="G4982" s="2" t="str">
        <f>"SR-3367"</f>
        <v>SR-3367</v>
      </c>
      <c r="H4982" s="2" t="s">
        <v>13196</v>
      </c>
      <c r="I4982" s="2" t="s">
        <v>13197</v>
      </c>
      <c r="K4982" s="2" t="s">
        <v>1141</v>
      </c>
      <c r="L4982" s="2" t="s">
        <v>172</v>
      </c>
      <c r="M4982" s="2">
        <v>78716.0</v>
      </c>
      <c r="N4982" s="2" t="s">
        <v>21</v>
      </c>
    </row>
    <row r="4983" ht="15.75" customHeight="1">
      <c r="A4983" s="2">
        <v>2015.0</v>
      </c>
      <c r="B4983" s="2" t="s">
        <v>22136</v>
      </c>
      <c r="C4983" s="2" t="s">
        <v>22137</v>
      </c>
      <c r="D4983" s="2" t="str">
        <f>"(509) 455-3904"</f>
        <v>(509) 455-3904</v>
      </c>
      <c r="E4983" s="2" t="s">
        <v>137</v>
      </c>
      <c r="F4983" s="2" t="s">
        <v>6655</v>
      </c>
      <c r="G4983" s="2" t="str">
        <f>"SR-6799"</f>
        <v>SR-6799</v>
      </c>
      <c r="H4983" s="2" t="s">
        <v>22138</v>
      </c>
      <c r="I4983" s="2" t="s">
        <v>22139</v>
      </c>
      <c r="K4983" s="2" t="s">
        <v>1413</v>
      </c>
      <c r="L4983" s="2" t="s">
        <v>86</v>
      </c>
      <c r="M4983" s="2">
        <v>99204.0</v>
      </c>
      <c r="N4983" s="2" t="s">
        <v>21</v>
      </c>
    </row>
    <row r="4984" ht="15.75" customHeight="1">
      <c r="A4984" s="2">
        <v>2015.0</v>
      </c>
      <c r="B4984" s="2" t="s">
        <v>22140</v>
      </c>
      <c r="C4984" s="2" t="s">
        <v>22140</v>
      </c>
      <c r="D4984" s="2" t="str">
        <f>"251.284.0081"</f>
        <v>251.284.0081</v>
      </c>
      <c r="E4984" s="2" t="s">
        <v>6966</v>
      </c>
      <c r="F4984" s="2" t="s">
        <v>22141</v>
      </c>
      <c r="G4984" s="2" t="str">
        <f>"SR-6788"</f>
        <v>SR-6788</v>
      </c>
      <c r="H4984" s="2" t="s">
        <v>22142</v>
      </c>
      <c r="I4984" s="2" t="s">
        <v>22143</v>
      </c>
      <c r="K4984" s="2" t="s">
        <v>12059</v>
      </c>
      <c r="L4984" s="2" t="s">
        <v>539</v>
      </c>
      <c r="M4984" s="2">
        <v>36535.0</v>
      </c>
      <c r="N4984" s="2" t="s">
        <v>21</v>
      </c>
    </row>
    <row r="4985" ht="15.75" customHeight="1">
      <c r="A4985" s="2">
        <v>2015.0</v>
      </c>
      <c r="B4985" s="2" t="s">
        <v>22144</v>
      </c>
      <c r="C4985" s="2" t="s">
        <v>22144</v>
      </c>
      <c r="D4985" s="2" t="str">
        <f>"8057968948"</f>
        <v>8057968948</v>
      </c>
      <c r="E4985" s="2" t="s">
        <v>132</v>
      </c>
      <c r="F4985" s="2" t="s">
        <v>19848</v>
      </c>
      <c r="G4985" s="2" t="str">
        <f>"SR-6802"</f>
        <v>SR-6802</v>
      </c>
      <c r="H4985" s="2" t="s">
        <v>22145</v>
      </c>
      <c r="I4985" s="2" t="s">
        <v>22146</v>
      </c>
      <c r="K4985" s="2" t="s">
        <v>22147</v>
      </c>
      <c r="L4985" s="2" t="s">
        <v>222</v>
      </c>
      <c r="M4985" s="2">
        <v>93012.0</v>
      </c>
      <c r="N4985" s="2" t="s">
        <v>21</v>
      </c>
    </row>
    <row r="4986" ht="15.75" customHeight="1">
      <c r="A4986" s="2">
        <v>2015.0</v>
      </c>
      <c r="B4986" s="2" t="s">
        <v>22148</v>
      </c>
      <c r="C4986" s="2" t="s">
        <v>22149</v>
      </c>
      <c r="D4986" s="2" t="str">
        <f>"321-961-4037"</f>
        <v>321-961-4037</v>
      </c>
      <c r="E4986" s="2" t="s">
        <v>2412</v>
      </c>
      <c r="F4986" s="2" t="s">
        <v>19914</v>
      </c>
      <c r="G4986" s="2" t="str">
        <f>"SR-6789"</f>
        <v>SR-6789</v>
      </c>
      <c r="H4986" s="2" t="s">
        <v>22150</v>
      </c>
      <c r="I4986" s="2" t="s">
        <v>22151</v>
      </c>
      <c r="K4986" s="2" t="s">
        <v>6842</v>
      </c>
      <c r="L4986" s="2" t="s">
        <v>208</v>
      </c>
      <c r="M4986" s="2">
        <v>32926.0</v>
      </c>
      <c r="N4986" s="2" t="s">
        <v>21</v>
      </c>
    </row>
    <row r="4987" ht="15.75" customHeight="1">
      <c r="A4987" s="2">
        <v>2015.0</v>
      </c>
      <c r="B4987" s="2" t="s">
        <v>22152</v>
      </c>
      <c r="C4987" s="2" t="s">
        <v>22152</v>
      </c>
      <c r="D4987" s="2" t="str">
        <f>"248-342-8286"</f>
        <v>248-342-8286</v>
      </c>
      <c r="E4987" s="2" t="s">
        <v>1548</v>
      </c>
      <c r="F4987" s="2" t="s">
        <v>22153</v>
      </c>
      <c r="G4987" s="2" t="str">
        <f>"SR-6805"</f>
        <v>SR-6805</v>
      </c>
      <c r="H4987" s="2" t="s">
        <v>22154</v>
      </c>
      <c r="I4987" s="2" t="s">
        <v>22155</v>
      </c>
      <c r="K4987" s="2" t="s">
        <v>4115</v>
      </c>
      <c r="L4987" s="2" t="s">
        <v>29</v>
      </c>
      <c r="M4987" s="2">
        <v>48083.0</v>
      </c>
      <c r="N4987" s="2" t="s">
        <v>21</v>
      </c>
    </row>
    <row r="4988" ht="15.75" customHeight="1">
      <c r="A4988" s="2">
        <v>2015.0</v>
      </c>
      <c r="B4988" s="2" t="s">
        <v>22156</v>
      </c>
      <c r="C4988" s="2" t="s">
        <v>22156</v>
      </c>
      <c r="D4988" s="2" t="str">
        <f>"360-354-5917"</f>
        <v>360-354-5917</v>
      </c>
      <c r="E4988" s="2" t="s">
        <v>2243</v>
      </c>
      <c r="F4988" s="2" t="s">
        <v>31</v>
      </c>
      <c r="G4988" s="2" t="str">
        <f>"SR-6806"</f>
        <v>SR-6806</v>
      </c>
      <c r="H4988" s="2" t="s">
        <v>22157</v>
      </c>
      <c r="I4988" s="2" t="s">
        <v>22158</v>
      </c>
      <c r="K4988" s="2" t="s">
        <v>22159</v>
      </c>
      <c r="L4988" s="2" t="s">
        <v>86</v>
      </c>
      <c r="M4988" s="2">
        <v>98264.0</v>
      </c>
      <c r="N4988" s="2" t="s">
        <v>21</v>
      </c>
    </row>
    <row r="4989" ht="15.75" customHeight="1">
      <c r="A4989" s="2">
        <v>2015.0</v>
      </c>
      <c r="B4989" s="2" t="s">
        <v>22160</v>
      </c>
      <c r="C4989" s="2" t="s">
        <v>22161</v>
      </c>
      <c r="D4989" s="2" t="str">
        <f>"714-640-4541"</f>
        <v>714-640-4541</v>
      </c>
      <c r="E4989" s="2" t="s">
        <v>1848</v>
      </c>
      <c r="F4989" s="2" t="s">
        <v>603</v>
      </c>
      <c r="G4989" s="2" t="str">
        <f>"SR-6810"</f>
        <v>SR-6810</v>
      </c>
      <c r="H4989" s="2" t="s">
        <v>22162</v>
      </c>
      <c r="I4989" s="2" t="s">
        <v>22163</v>
      </c>
      <c r="K4989" s="2" t="s">
        <v>11684</v>
      </c>
      <c r="L4989" s="2" t="s">
        <v>222</v>
      </c>
      <c r="M4989" s="2">
        <v>92704.0</v>
      </c>
      <c r="N4989" s="2" t="s">
        <v>21</v>
      </c>
    </row>
    <row r="4990" ht="15.75" customHeight="1">
      <c r="A4990" s="2">
        <v>2015.0</v>
      </c>
      <c r="B4990" s="2" t="s">
        <v>22164</v>
      </c>
      <c r="C4990" s="2" t="s">
        <v>22164</v>
      </c>
      <c r="D4990" s="2" t="str">
        <f>"8657247923"</f>
        <v>8657247923</v>
      </c>
      <c r="E4990" s="2" t="s">
        <v>428</v>
      </c>
      <c r="F4990" s="2" t="s">
        <v>1001</v>
      </c>
      <c r="G4990" s="2" t="str">
        <f>"SR-6721"</f>
        <v>SR-6721</v>
      </c>
      <c r="H4990" s="2" t="s">
        <v>22165</v>
      </c>
      <c r="I4990" s="2" t="s">
        <v>22166</v>
      </c>
      <c r="K4990" s="2" t="s">
        <v>22167</v>
      </c>
      <c r="L4990" s="2" t="s">
        <v>279</v>
      </c>
      <c r="M4990" s="2">
        <v>37803.0</v>
      </c>
      <c r="N4990" s="2" t="s">
        <v>21</v>
      </c>
    </row>
    <row r="4991" ht="15.75" customHeight="1">
      <c r="A4991" s="2">
        <v>2015.0</v>
      </c>
      <c r="B4991" s="2" t="s">
        <v>22168</v>
      </c>
      <c r="C4991" s="2" t="s">
        <v>22169</v>
      </c>
      <c r="D4991" s="2" t="str">
        <f>"4782780114"</f>
        <v>4782780114</v>
      </c>
      <c r="E4991" s="2" t="s">
        <v>15</v>
      </c>
      <c r="F4991" s="2" t="s">
        <v>9052</v>
      </c>
      <c r="G4991" s="2" t="str">
        <f>"SR-6587"</f>
        <v>SR-6587</v>
      </c>
      <c r="H4991" s="2" t="s">
        <v>22170</v>
      </c>
      <c r="I4991" s="2" t="s">
        <v>22171</v>
      </c>
      <c r="K4991" s="2" t="s">
        <v>11222</v>
      </c>
      <c r="L4991" s="2" t="s">
        <v>200</v>
      </c>
      <c r="M4991" s="2">
        <v>31021.0</v>
      </c>
      <c r="N4991" s="2" t="s">
        <v>21</v>
      </c>
    </row>
    <row r="4992" ht="15.75" customHeight="1">
      <c r="A4992" s="2">
        <v>2015.0</v>
      </c>
      <c r="B4992" s="2" t="s">
        <v>22172</v>
      </c>
      <c r="C4992" s="2" t="s">
        <v>22172</v>
      </c>
      <c r="D4992" s="2" t="str">
        <f>"6789003793"</f>
        <v>6789003793</v>
      </c>
      <c r="E4992" s="2" t="s">
        <v>2243</v>
      </c>
      <c r="F4992" s="2" t="s">
        <v>18027</v>
      </c>
      <c r="G4992" s="2" t="str">
        <f>"SR-6814"</f>
        <v>SR-6814</v>
      </c>
      <c r="H4992" s="2" t="s">
        <v>22173</v>
      </c>
      <c r="I4992" s="2" t="s">
        <v>22174</v>
      </c>
      <c r="K4992" s="2" t="s">
        <v>22175</v>
      </c>
      <c r="L4992" s="2" t="s">
        <v>200</v>
      </c>
      <c r="M4992" s="2">
        <v>30097.0</v>
      </c>
      <c r="N4992" s="2" t="s">
        <v>21</v>
      </c>
    </row>
    <row r="4993" ht="15.75" customHeight="1">
      <c r="A4993" s="2">
        <v>2015.0</v>
      </c>
      <c r="B4993" s="2" t="s">
        <v>22176</v>
      </c>
      <c r="C4993" s="2" t="s">
        <v>22177</v>
      </c>
      <c r="D4993" s="2" t="str">
        <f>"832-331-1518"</f>
        <v>832-331-1518</v>
      </c>
      <c r="E4993" s="2" t="s">
        <v>3434</v>
      </c>
      <c r="F4993" s="2" t="s">
        <v>22178</v>
      </c>
      <c r="G4993" s="2" t="str">
        <f>"SR-6815"</f>
        <v>SR-6815</v>
      </c>
      <c r="H4993" s="2" t="s">
        <v>22179</v>
      </c>
      <c r="I4993" s="2" t="s">
        <v>22180</v>
      </c>
      <c r="K4993" s="2" t="s">
        <v>444</v>
      </c>
      <c r="L4993" s="2" t="s">
        <v>172</v>
      </c>
      <c r="M4993" s="2">
        <v>77009.0</v>
      </c>
      <c r="N4993" s="2" t="s">
        <v>21</v>
      </c>
    </row>
    <row r="4994" ht="15.75" customHeight="1">
      <c r="A4994" s="2">
        <v>2015.0</v>
      </c>
      <c r="B4994" s="2" t="s">
        <v>22181</v>
      </c>
      <c r="C4994" s="2" t="s">
        <v>22182</v>
      </c>
      <c r="D4994" s="2" t="str">
        <f>"5039903506"</f>
        <v>5039903506</v>
      </c>
      <c r="E4994" s="2" t="s">
        <v>22183</v>
      </c>
      <c r="F4994" s="2" t="s">
        <v>17530</v>
      </c>
      <c r="G4994" s="2" t="str">
        <f>"SR-6820"</f>
        <v>SR-6820</v>
      </c>
      <c r="H4994" s="2" t="s">
        <v>22184</v>
      </c>
      <c r="I4994" s="2" t="s">
        <v>22185</v>
      </c>
      <c r="K4994" s="2" t="s">
        <v>11515</v>
      </c>
      <c r="L4994" s="2" t="s">
        <v>2389</v>
      </c>
      <c r="M4994" s="2">
        <v>97381.0</v>
      </c>
      <c r="N4994" s="2" t="s">
        <v>21</v>
      </c>
    </row>
    <row r="4995" ht="15.75" customHeight="1">
      <c r="A4995" s="2">
        <v>2015.0</v>
      </c>
      <c r="B4995" s="2" t="s">
        <v>22186</v>
      </c>
      <c r="C4995" s="2" t="s">
        <v>22186</v>
      </c>
      <c r="D4995" s="2" t="str">
        <f>"931-220-2631"</f>
        <v>931-220-2631</v>
      </c>
      <c r="E4995" s="2" t="s">
        <v>6059</v>
      </c>
      <c r="F4995" s="2" t="s">
        <v>1744</v>
      </c>
      <c r="G4995" s="2" t="str">
        <f>"SR-6803"</f>
        <v>SR-6803</v>
      </c>
      <c r="H4995" s="2" t="s">
        <v>22187</v>
      </c>
      <c r="I4995" s="2" t="s">
        <v>22188</v>
      </c>
      <c r="K4995" s="2" t="s">
        <v>3671</v>
      </c>
      <c r="L4995" s="2" t="s">
        <v>279</v>
      </c>
      <c r="M4995" s="2">
        <v>37043.0</v>
      </c>
      <c r="N4995" s="2" t="s">
        <v>21</v>
      </c>
    </row>
    <row r="4996" ht="15.75" customHeight="1">
      <c r="A4996" s="2">
        <v>2015.0</v>
      </c>
      <c r="B4996" s="2" t="s">
        <v>22189</v>
      </c>
      <c r="C4996" s="2" t="s">
        <v>22189</v>
      </c>
      <c r="D4996" s="2" t="str">
        <f>"(425) 379-9757"</f>
        <v>(425) 379-9757</v>
      </c>
      <c r="E4996" s="2" t="s">
        <v>2433</v>
      </c>
      <c r="F4996" s="2" t="s">
        <v>8025</v>
      </c>
      <c r="G4996" s="2" t="str">
        <f>"SR-6795"</f>
        <v>SR-6795</v>
      </c>
      <c r="H4996" s="2" t="s">
        <v>22190</v>
      </c>
      <c r="I4996" s="2" t="s">
        <v>22191</v>
      </c>
      <c r="K4996" s="2" t="s">
        <v>10295</v>
      </c>
      <c r="L4996" s="2" t="s">
        <v>86</v>
      </c>
      <c r="M4996" s="2">
        <v>98208.0</v>
      </c>
      <c r="N4996" s="2" t="s">
        <v>21</v>
      </c>
    </row>
    <row r="4997" ht="15.75" customHeight="1">
      <c r="A4997" s="2">
        <v>2015.0</v>
      </c>
      <c r="B4997" s="2" t="s">
        <v>22192</v>
      </c>
      <c r="C4997" s="2" t="s">
        <v>22193</v>
      </c>
      <c r="D4997" s="2" t="str">
        <f>"6019546727"</f>
        <v>6019546727</v>
      </c>
      <c r="E4997" s="2" t="s">
        <v>22194</v>
      </c>
      <c r="F4997" s="2" t="s">
        <v>22195</v>
      </c>
      <c r="G4997" s="2" t="str">
        <f>"SR-6824"</f>
        <v>SR-6824</v>
      </c>
      <c r="H4997" s="2" t="s">
        <v>22196</v>
      </c>
      <c r="I4997" s="2" t="s">
        <v>22197</v>
      </c>
      <c r="K4997" s="2" t="s">
        <v>22198</v>
      </c>
      <c r="L4997" s="2" t="s">
        <v>1722</v>
      </c>
      <c r="M4997" s="2">
        <v>39059.0</v>
      </c>
      <c r="N4997" s="2" t="s">
        <v>21</v>
      </c>
    </row>
    <row r="4998" ht="15.75" customHeight="1">
      <c r="A4998" s="2">
        <v>2015.0</v>
      </c>
      <c r="B4998" s="2" t="s">
        <v>22199</v>
      </c>
      <c r="C4998" s="2" t="s">
        <v>22200</v>
      </c>
      <c r="D4998" s="2" t="str">
        <f>"770-881-4240"</f>
        <v>770-881-4240</v>
      </c>
      <c r="E4998" s="2" t="s">
        <v>385</v>
      </c>
      <c r="F4998" s="2" t="s">
        <v>22201</v>
      </c>
      <c r="G4998" s="2" t="str">
        <f>"SR-6826"</f>
        <v>SR-6826</v>
      </c>
      <c r="H4998" s="2" t="s">
        <v>22202</v>
      </c>
      <c r="I4998" s="2" t="s">
        <v>22203</v>
      </c>
      <c r="K4998" s="2" t="s">
        <v>15205</v>
      </c>
      <c r="L4998" s="2" t="s">
        <v>222</v>
      </c>
      <c r="M4998" s="2">
        <v>92027.0</v>
      </c>
      <c r="N4998" s="2" t="s">
        <v>21</v>
      </c>
    </row>
    <row r="4999" ht="15.75" customHeight="1">
      <c r="A4999" s="2">
        <v>2015.0</v>
      </c>
      <c r="B4999" s="2" t="s">
        <v>22204</v>
      </c>
      <c r="C4999" s="2" t="s">
        <v>22205</v>
      </c>
      <c r="D4999" s="2" t="str">
        <f>"817.862.7514"</f>
        <v>817.862.7514</v>
      </c>
      <c r="E4999" s="2" t="s">
        <v>7145</v>
      </c>
      <c r="F4999" s="2" t="s">
        <v>22206</v>
      </c>
      <c r="G4999" s="2" t="str">
        <f>"SR-6709"</f>
        <v>SR-6709</v>
      </c>
      <c r="H4999" s="2" t="s">
        <v>22207</v>
      </c>
      <c r="I4999" s="2" t="s">
        <v>22208</v>
      </c>
      <c r="K4999" s="2" t="s">
        <v>1260</v>
      </c>
      <c r="L4999" s="2" t="s">
        <v>172</v>
      </c>
      <c r="M4999" s="2">
        <v>76177.0</v>
      </c>
      <c r="N4999" s="2" t="s">
        <v>21</v>
      </c>
    </row>
    <row r="5000" ht="15.75" customHeight="1">
      <c r="A5000" s="2">
        <v>2015.0</v>
      </c>
      <c r="B5000" s="2" t="s">
        <v>22209</v>
      </c>
      <c r="C5000" s="2" t="s">
        <v>22210</v>
      </c>
      <c r="D5000" s="2" t="str">
        <f>"9105842201"</f>
        <v>9105842201</v>
      </c>
      <c r="E5000" s="2" t="s">
        <v>1032</v>
      </c>
      <c r="F5000" s="2" t="s">
        <v>22211</v>
      </c>
      <c r="G5000" s="2" t="str">
        <f>"SR-6829"</f>
        <v>SR-6829</v>
      </c>
      <c r="H5000" s="2" t="s">
        <v>22212</v>
      </c>
      <c r="I5000" s="2" t="s">
        <v>22213</v>
      </c>
      <c r="K5000" s="2" t="s">
        <v>3164</v>
      </c>
      <c r="L5000" s="2" t="s">
        <v>20</v>
      </c>
      <c r="M5000" s="2">
        <v>28303.0</v>
      </c>
      <c r="N5000" s="2" t="s">
        <v>21</v>
      </c>
    </row>
    <row r="5001" ht="15.75" customHeight="1">
      <c r="A5001" s="2">
        <v>2015.0</v>
      </c>
      <c r="B5001" s="2" t="s">
        <v>22214</v>
      </c>
      <c r="C5001" s="2" t="s">
        <v>22214</v>
      </c>
      <c r="D5001" s="2" t="str">
        <f>"9175244687"</f>
        <v>9175244687</v>
      </c>
      <c r="E5001" s="2" t="s">
        <v>22215</v>
      </c>
      <c r="F5001" s="2" t="s">
        <v>486</v>
      </c>
      <c r="G5001" s="2" t="str">
        <f>"SR-6830"</f>
        <v>SR-6830</v>
      </c>
      <c r="H5001" s="2" t="s">
        <v>22216</v>
      </c>
      <c r="I5001" s="2" t="s">
        <v>22217</v>
      </c>
      <c r="K5001" s="2" t="s">
        <v>22218</v>
      </c>
      <c r="L5001" s="2" t="s">
        <v>3618</v>
      </c>
      <c r="M5001" s="2">
        <v>7003.0</v>
      </c>
      <c r="N5001" s="2" t="s">
        <v>21</v>
      </c>
    </row>
    <row r="5002" ht="15.75" customHeight="1">
      <c r="A5002" s="2">
        <v>2015.0</v>
      </c>
      <c r="B5002" s="2" t="s">
        <v>22219</v>
      </c>
      <c r="C5002" s="2" t="s">
        <v>22220</v>
      </c>
      <c r="D5002" s="2" t="str">
        <f>"908 378 5618"</f>
        <v>908 378 5618</v>
      </c>
      <c r="E5002" s="2" t="s">
        <v>22221</v>
      </c>
      <c r="F5002" s="2" t="s">
        <v>4011</v>
      </c>
      <c r="G5002" s="2" t="str">
        <f>"SR-6831"</f>
        <v>SR-6831</v>
      </c>
      <c r="H5002" s="2" t="s">
        <v>22222</v>
      </c>
      <c r="I5002" s="2" t="s">
        <v>22223</v>
      </c>
      <c r="K5002" s="2" t="s">
        <v>22224</v>
      </c>
      <c r="L5002" s="2" t="s">
        <v>3618</v>
      </c>
      <c r="M5002" s="2">
        <v>7002.0</v>
      </c>
      <c r="N5002" s="2" t="s">
        <v>21</v>
      </c>
    </row>
    <row r="5003" ht="15.75" customHeight="1">
      <c r="A5003" s="2">
        <v>2015.0</v>
      </c>
      <c r="B5003" s="2" t="s">
        <v>22225</v>
      </c>
      <c r="C5003" s="2" t="s">
        <v>22226</v>
      </c>
      <c r="D5003" s="2" t="str">
        <f>"219 877 5673"</f>
        <v>219 877 5673</v>
      </c>
      <c r="E5003" s="2" t="s">
        <v>580</v>
      </c>
      <c r="F5003" s="2" t="s">
        <v>22227</v>
      </c>
      <c r="G5003" s="2" t="str">
        <f>"SR-6707"</f>
        <v>SR-6707</v>
      </c>
      <c r="H5003" s="2" t="s">
        <v>22228</v>
      </c>
      <c r="I5003" s="2" t="s">
        <v>22229</v>
      </c>
      <c r="K5003" s="2" t="s">
        <v>4298</v>
      </c>
      <c r="L5003" s="2" t="s">
        <v>149</v>
      </c>
      <c r="M5003" s="2">
        <v>46804.0</v>
      </c>
      <c r="N5003" s="2" t="s">
        <v>21</v>
      </c>
    </row>
    <row r="5004" ht="15.75" customHeight="1">
      <c r="A5004" s="2">
        <v>2015.0</v>
      </c>
      <c r="B5004" s="2" t="s">
        <v>22230</v>
      </c>
      <c r="C5004" s="2" t="s">
        <v>22230</v>
      </c>
      <c r="D5004" s="2" t="str">
        <f>"4125833518"</f>
        <v>4125833518</v>
      </c>
      <c r="E5004" s="2" t="s">
        <v>3512</v>
      </c>
      <c r="F5004" s="2" t="s">
        <v>22231</v>
      </c>
      <c r="G5004" s="2" t="str">
        <f>"SR-6823"</f>
        <v>SR-6823</v>
      </c>
      <c r="H5004" s="2" t="s">
        <v>22232</v>
      </c>
      <c r="I5004" s="2" t="s">
        <v>22233</v>
      </c>
      <c r="K5004" s="2" t="s">
        <v>8733</v>
      </c>
      <c r="L5004" s="2" t="s">
        <v>179</v>
      </c>
      <c r="M5004" s="2">
        <v>15221.0</v>
      </c>
      <c r="N5004" s="2" t="s">
        <v>21</v>
      </c>
    </row>
    <row r="5005" ht="15.75" customHeight="1">
      <c r="A5005" s="2">
        <v>2015.0</v>
      </c>
      <c r="B5005" s="2" t="s">
        <v>22234</v>
      </c>
      <c r="C5005" s="2" t="s">
        <v>22234</v>
      </c>
      <c r="D5005" s="2" t="str">
        <f>"240-372-8806"</f>
        <v>240-372-8806</v>
      </c>
      <c r="E5005" s="2" t="s">
        <v>22235</v>
      </c>
      <c r="F5005" s="2" t="s">
        <v>22236</v>
      </c>
      <c r="G5005" s="2" t="str">
        <f>"SR-6797"</f>
        <v>SR-6797</v>
      </c>
      <c r="H5005" s="2" t="s">
        <v>22237</v>
      </c>
      <c r="I5005" s="2" t="s">
        <v>22238</v>
      </c>
      <c r="K5005" s="2" t="s">
        <v>1260</v>
      </c>
      <c r="L5005" s="2" t="s">
        <v>172</v>
      </c>
      <c r="M5005" s="2">
        <v>76133.0</v>
      </c>
      <c r="N5005" s="2" t="s">
        <v>21</v>
      </c>
    </row>
    <row r="5006" ht="15.75" customHeight="1">
      <c r="A5006" s="2">
        <v>2015.0</v>
      </c>
      <c r="B5006" s="2" t="s">
        <v>22239</v>
      </c>
      <c r="C5006" s="2" t="s">
        <v>22239</v>
      </c>
      <c r="D5006" s="2" t="str">
        <f>"623-249-9994"</f>
        <v>623-249-9994</v>
      </c>
      <c r="E5006" s="2" t="s">
        <v>373</v>
      </c>
      <c r="F5006" s="2" t="s">
        <v>22240</v>
      </c>
      <c r="G5006" s="2" t="str">
        <f>"SR-5458"</f>
        <v>SR-5458</v>
      </c>
      <c r="H5006" s="2" t="s">
        <v>22241</v>
      </c>
      <c r="I5006" s="2" t="s">
        <v>22242</v>
      </c>
      <c r="J5006" s="2" t="s">
        <v>22243</v>
      </c>
      <c r="K5006" s="2" t="s">
        <v>1133</v>
      </c>
      <c r="L5006" s="2" t="s">
        <v>422</v>
      </c>
      <c r="M5006" s="2">
        <v>85308.0</v>
      </c>
      <c r="N5006" s="2" t="s">
        <v>21</v>
      </c>
    </row>
    <row r="5007" ht="15.75" customHeight="1">
      <c r="A5007" s="2">
        <v>2015.0</v>
      </c>
      <c r="B5007" s="2" t="s">
        <v>22244</v>
      </c>
      <c r="C5007" s="2" t="s">
        <v>22245</v>
      </c>
      <c r="D5007" s="2" t="str">
        <f>"9544838837"</f>
        <v>9544838837</v>
      </c>
      <c r="E5007" s="2" t="s">
        <v>19289</v>
      </c>
      <c r="F5007" s="2" t="s">
        <v>22246</v>
      </c>
      <c r="G5007" s="2" t="str">
        <f>"SR-6816"</f>
        <v>SR-6816</v>
      </c>
      <c r="H5007" s="2" t="s">
        <v>22247</v>
      </c>
      <c r="I5007" s="2" t="s">
        <v>22248</v>
      </c>
      <c r="K5007" s="2" t="s">
        <v>22249</v>
      </c>
      <c r="L5007" s="2" t="s">
        <v>715</v>
      </c>
      <c r="M5007" s="2">
        <v>70056.0</v>
      </c>
      <c r="N5007" s="2" t="s">
        <v>21</v>
      </c>
    </row>
    <row r="5008" ht="15.75" customHeight="1">
      <c r="A5008" s="2">
        <v>2015.0</v>
      </c>
      <c r="B5008" s="2" t="s">
        <v>22181</v>
      </c>
      <c r="C5008" s="2" t="s">
        <v>22250</v>
      </c>
      <c r="D5008" s="2" t="str">
        <f>"5038748404"</f>
        <v>5038748404</v>
      </c>
      <c r="E5008" s="2" t="s">
        <v>8148</v>
      </c>
      <c r="F5008" s="2" t="s">
        <v>22251</v>
      </c>
      <c r="G5008" s="2" t="str">
        <f>"SR-3258"</f>
        <v>SR-3258</v>
      </c>
      <c r="H5008" s="2" t="s">
        <v>22252</v>
      </c>
      <c r="I5008" s="2" t="s">
        <v>22253</v>
      </c>
      <c r="K5008" s="2" t="s">
        <v>11515</v>
      </c>
      <c r="L5008" s="2" t="s">
        <v>2389</v>
      </c>
      <c r="M5008" s="2">
        <v>97381.0</v>
      </c>
      <c r="N5008" s="2" t="s">
        <v>21</v>
      </c>
    </row>
    <row r="5009" ht="15.75" customHeight="1">
      <c r="A5009" s="2">
        <v>2015.0</v>
      </c>
      <c r="B5009" s="2" t="s">
        <v>22254</v>
      </c>
      <c r="C5009" s="2" t="s">
        <v>22254</v>
      </c>
      <c r="D5009" s="2" t="str">
        <f>"224-436-2309"</f>
        <v>224-436-2309</v>
      </c>
      <c r="E5009" s="2" t="s">
        <v>22255</v>
      </c>
      <c r="F5009" s="2" t="s">
        <v>22256</v>
      </c>
      <c r="G5009" s="2" t="str">
        <f>"SR-6833"</f>
        <v>SR-6833</v>
      </c>
      <c r="H5009" s="2" t="s">
        <v>22257</v>
      </c>
      <c r="I5009" s="2" t="s">
        <v>22258</v>
      </c>
      <c r="K5009" s="2" t="s">
        <v>22259</v>
      </c>
      <c r="L5009" s="2" t="s">
        <v>105</v>
      </c>
      <c r="M5009" s="2">
        <v>60081.0</v>
      </c>
      <c r="N5009" s="2" t="s">
        <v>21</v>
      </c>
    </row>
    <row r="5010" ht="15.75" customHeight="1">
      <c r="A5010" s="2">
        <v>2015.0</v>
      </c>
      <c r="B5010" s="2" t="s">
        <v>22181</v>
      </c>
      <c r="C5010" s="2" t="s">
        <v>22250</v>
      </c>
      <c r="D5010" s="2" t="str">
        <f>"5035804797"</f>
        <v>5035804797</v>
      </c>
      <c r="E5010" s="2" t="s">
        <v>22260</v>
      </c>
      <c r="F5010" s="2" t="s">
        <v>22251</v>
      </c>
      <c r="G5010" s="2" t="str">
        <f>"SR-6773"</f>
        <v>SR-6773</v>
      </c>
      <c r="H5010" s="2" t="s">
        <v>22261</v>
      </c>
      <c r="I5010" s="2" t="s">
        <v>22262</v>
      </c>
      <c r="K5010" s="2" t="s">
        <v>11515</v>
      </c>
      <c r="L5010" s="2" t="s">
        <v>2389</v>
      </c>
      <c r="M5010" s="2">
        <v>97381.0</v>
      </c>
      <c r="N5010" s="2" t="s">
        <v>21</v>
      </c>
    </row>
    <row r="5011" ht="15.75" customHeight="1">
      <c r="A5011" s="2">
        <v>2015.0</v>
      </c>
      <c r="B5011" s="2" t="s">
        <v>13180</v>
      </c>
      <c r="C5011" s="2" t="s">
        <v>22263</v>
      </c>
      <c r="D5011" s="2" t="str">
        <f>"5129665214"</f>
        <v>5129665214</v>
      </c>
      <c r="E5011" s="2" t="s">
        <v>22264</v>
      </c>
      <c r="F5011" s="2" t="s">
        <v>22265</v>
      </c>
      <c r="G5011" s="2" t="str">
        <f>"SR-6840"</f>
        <v>SR-6840</v>
      </c>
      <c r="H5011" s="2" t="s">
        <v>22266</v>
      </c>
      <c r="I5011" s="2" t="s">
        <v>22267</v>
      </c>
      <c r="K5011" s="2" t="s">
        <v>4482</v>
      </c>
      <c r="L5011" s="2" t="s">
        <v>172</v>
      </c>
      <c r="M5011" s="2">
        <v>78628.0</v>
      </c>
      <c r="N5011" s="2" t="s">
        <v>21</v>
      </c>
    </row>
    <row r="5012" ht="15.75" customHeight="1">
      <c r="A5012" s="2">
        <v>2015.0</v>
      </c>
      <c r="B5012" s="2" t="s">
        <v>22268</v>
      </c>
      <c r="C5012" s="2" t="s">
        <v>22268</v>
      </c>
      <c r="D5012" s="2" t="str">
        <f>"3044394698"</f>
        <v>3044394698</v>
      </c>
      <c r="E5012" s="2" t="s">
        <v>2147</v>
      </c>
      <c r="F5012" s="2" t="s">
        <v>22269</v>
      </c>
      <c r="G5012" s="2" t="str">
        <f>"SR-6838"</f>
        <v>SR-6838</v>
      </c>
      <c r="H5012" s="2" t="s">
        <v>22270</v>
      </c>
      <c r="I5012" s="2" t="s">
        <v>22271</v>
      </c>
      <c r="K5012" s="2" t="s">
        <v>22272</v>
      </c>
      <c r="L5012" s="2" t="s">
        <v>6449</v>
      </c>
      <c r="M5012" s="2">
        <v>26201.0</v>
      </c>
      <c r="N5012" s="2" t="s">
        <v>21</v>
      </c>
    </row>
    <row r="5013" ht="15.75" customHeight="1">
      <c r="A5013" s="2">
        <v>2015.0</v>
      </c>
      <c r="B5013" s="2" t="s">
        <v>22273</v>
      </c>
      <c r="C5013" s="2" t="s">
        <v>22274</v>
      </c>
      <c r="D5013" s="2" t="str">
        <f>"7066220891"</f>
        <v>7066220891</v>
      </c>
      <c r="E5013" s="2" t="s">
        <v>167</v>
      </c>
      <c r="F5013" s="2" t="s">
        <v>22275</v>
      </c>
      <c r="G5013" s="2" t="str">
        <f>"SR-6822"</f>
        <v>SR-6822</v>
      </c>
      <c r="H5013" s="2" t="s">
        <v>22276</v>
      </c>
      <c r="I5013" s="2" t="s">
        <v>22277</v>
      </c>
      <c r="K5013" s="2" t="s">
        <v>22278</v>
      </c>
      <c r="L5013" s="2" t="s">
        <v>200</v>
      </c>
      <c r="M5013" s="2">
        <v>30165.0</v>
      </c>
      <c r="N5013" s="2" t="s">
        <v>21</v>
      </c>
    </row>
    <row r="5014" ht="15.75" customHeight="1">
      <c r="A5014" s="2">
        <v>2015.0</v>
      </c>
      <c r="B5014" s="2" t="s">
        <v>22279</v>
      </c>
      <c r="C5014" s="2" t="s">
        <v>22279</v>
      </c>
      <c r="D5014" s="2" t="str">
        <f>"231-715-0510"</f>
        <v>231-715-0510</v>
      </c>
      <c r="E5014" s="2" t="s">
        <v>843</v>
      </c>
      <c r="F5014" s="2" t="s">
        <v>22280</v>
      </c>
      <c r="G5014" s="2" t="str">
        <f>"SR-6842"</f>
        <v>SR-6842</v>
      </c>
      <c r="H5014" s="2" t="s">
        <v>22281</v>
      </c>
      <c r="I5014" s="2" t="s">
        <v>22282</v>
      </c>
      <c r="K5014" s="2" t="s">
        <v>8475</v>
      </c>
      <c r="L5014" s="2" t="s">
        <v>29</v>
      </c>
      <c r="M5014" s="2">
        <v>49690.0</v>
      </c>
      <c r="N5014" s="2" t="s">
        <v>21</v>
      </c>
    </row>
    <row r="5015" ht="15.75" customHeight="1">
      <c r="A5015" s="2">
        <v>2015.0</v>
      </c>
      <c r="B5015" s="2" t="s">
        <v>22268</v>
      </c>
      <c r="C5015" s="2" t="s">
        <v>22283</v>
      </c>
      <c r="D5015" s="2" t="str">
        <f>"3044394698"</f>
        <v>3044394698</v>
      </c>
      <c r="E5015" s="2" t="s">
        <v>4064</v>
      </c>
      <c r="F5015" s="2" t="s">
        <v>22269</v>
      </c>
      <c r="G5015" s="2" t="str">
        <f>"SR-6843"</f>
        <v>SR-6843</v>
      </c>
      <c r="H5015" s="2" t="s">
        <v>22284</v>
      </c>
      <c r="I5015" s="2" t="s">
        <v>22285</v>
      </c>
      <c r="K5015" s="2" t="s">
        <v>22286</v>
      </c>
      <c r="L5015" s="2" t="s">
        <v>6449</v>
      </c>
      <c r="M5015" s="2">
        <v>26201.0</v>
      </c>
      <c r="N5015" s="2" t="s">
        <v>21</v>
      </c>
    </row>
    <row r="5016" ht="15.75" customHeight="1">
      <c r="A5016" s="2">
        <v>2015.0</v>
      </c>
      <c r="B5016" s="2" t="s">
        <v>22287</v>
      </c>
      <c r="C5016" s="2" t="s">
        <v>22287</v>
      </c>
      <c r="D5016" s="2" t="str">
        <f>"714-665-8888"</f>
        <v>714-665-8888</v>
      </c>
      <c r="E5016" s="2" t="s">
        <v>4775</v>
      </c>
      <c r="F5016" s="2" t="s">
        <v>4941</v>
      </c>
      <c r="G5016" s="2" t="str">
        <f>"SR-6852"</f>
        <v>SR-6852</v>
      </c>
      <c r="H5016" s="2" t="s">
        <v>22288</v>
      </c>
      <c r="I5016" s="2" t="s">
        <v>22289</v>
      </c>
      <c r="K5016" s="2" t="s">
        <v>22290</v>
      </c>
      <c r="L5016" s="2" t="s">
        <v>222</v>
      </c>
      <c r="M5016" s="2">
        <v>92782.0</v>
      </c>
      <c r="N5016" s="2" t="s">
        <v>21</v>
      </c>
    </row>
    <row r="5017" ht="15.75" customHeight="1">
      <c r="A5017" s="2">
        <v>2015.0</v>
      </c>
      <c r="B5017" s="2" t="s">
        <v>22291</v>
      </c>
      <c r="C5017" s="2" t="s">
        <v>22292</v>
      </c>
      <c r="D5017" s="2" t="str">
        <f>"01160124106674"</f>
        <v>01160124106674</v>
      </c>
      <c r="E5017" s="2" t="s">
        <v>3434</v>
      </c>
      <c r="F5017" s="2" t="s">
        <v>16295</v>
      </c>
      <c r="G5017" s="2" t="str">
        <f>"SR-6853"</f>
        <v>SR-6853</v>
      </c>
      <c r="H5017" s="2" t="s">
        <v>22293</v>
      </c>
      <c r="I5017" s="2" t="s">
        <v>22294</v>
      </c>
      <c r="K5017" s="2" t="s">
        <v>2073</v>
      </c>
      <c r="L5017" s="2" t="s">
        <v>2074</v>
      </c>
      <c r="M5017" s="2">
        <v>11200.0</v>
      </c>
      <c r="N5017" s="2" t="s">
        <v>2075</v>
      </c>
    </row>
    <row r="5018" ht="15.75" customHeight="1">
      <c r="A5018" s="2">
        <v>2015.0</v>
      </c>
      <c r="B5018" s="2" t="s">
        <v>22295</v>
      </c>
      <c r="C5018" s="2" t="s">
        <v>22296</v>
      </c>
      <c r="D5018" s="2" t="str">
        <f>"912-429-1976"</f>
        <v>912-429-1976</v>
      </c>
      <c r="E5018" s="2" t="s">
        <v>144</v>
      </c>
      <c r="F5018" s="2" t="s">
        <v>16703</v>
      </c>
      <c r="G5018" s="2" t="str">
        <f>"SR-5116"</f>
        <v>SR-5116</v>
      </c>
      <c r="H5018" s="2" t="s">
        <v>22297</v>
      </c>
      <c r="I5018" s="2" t="s">
        <v>22298</v>
      </c>
      <c r="K5018" s="2" t="s">
        <v>1239</v>
      </c>
      <c r="L5018" s="2" t="s">
        <v>200</v>
      </c>
      <c r="M5018" s="2">
        <v>31419.0</v>
      </c>
      <c r="N5018" s="2" t="s">
        <v>21</v>
      </c>
    </row>
    <row r="5019" ht="15.75" customHeight="1">
      <c r="A5019" s="2">
        <v>2015.0</v>
      </c>
      <c r="B5019" s="2" t="s">
        <v>22299</v>
      </c>
      <c r="C5019" s="2" t="s">
        <v>22300</v>
      </c>
      <c r="D5019" s="2" t="str">
        <f>"(912)658-0958"</f>
        <v>(912)658-0958</v>
      </c>
      <c r="E5019" s="2" t="s">
        <v>22301</v>
      </c>
      <c r="F5019" s="2" t="s">
        <v>13666</v>
      </c>
      <c r="G5019" s="2" t="str">
        <f>"SR-5413"</f>
        <v>SR-5413</v>
      </c>
      <c r="H5019" s="2" t="s">
        <v>22302</v>
      </c>
      <c r="I5019" s="2" t="s">
        <v>22303</v>
      </c>
      <c r="K5019" s="2" t="s">
        <v>22304</v>
      </c>
      <c r="L5019" s="2" t="s">
        <v>200</v>
      </c>
      <c r="M5019" s="2">
        <v>31302.0</v>
      </c>
      <c r="N5019" s="2" t="s">
        <v>21</v>
      </c>
    </row>
    <row r="5020" ht="15.75" customHeight="1">
      <c r="A5020" s="2">
        <v>2015.0</v>
      </c>
      <c r="B5020" s="2" t="s">
        <v>21644</v>
      </c>
      <c r="C5020" s="2" t="s">
        <v>22305</v>
      </c>
      <c r="D5020" s="2" t="str">
        <f>"303-779-9602"</f>
        <v>303-779-9602</v>
      </c>
      <c r="E5020" s="2" t="s">
        <v>453</v>
      </c>
      <c r="F5020" s="2" t="s">
        <v>21646</v>
      </c>
      <c r="G5020" s="2" t="str">
        <f>"SR-6064"</f>
        <v>SR-6064</v>
      </c>
      <c r="H5020" s="2" t="s">
        <v>22306</v>
      </c>
      <c r="I5020" s="2" t="s">
        <v>22307</v>
      </c>
      <c r="K5020" s="2" t="s">
        <v>992</v>
      </c>
      <c r="L5020" s="2" t="s">
        <v>157</v>
      </c>
      <c r="M5020" s="2">
        <v>80122.0</v>
      </c>
      <c r="N5020" s="2" t="s">
        <v>21</v>
      </c>
    </row>
    <row r="5021" ht="15.75" customHeight="1">
      <c r="A5021" s="2">
        <v>2015.0</v>
      </c>
      <c r="B5021" s="2" t="s">
        <v>22308</v>
      </c>
      <c r="C5021" s="2" t="s">
        <v>22308</v>
      </c>
      <c r="D5021" s="2" t="str">
        <f>"8325179155"</f>
        <v>8325179155</v>
      </c>
      <c r="E5021" s="2" t="s">
        <v>2296</v>
      </c>
      <c r="F5021" s="2" t="s">
        <v>22178</v>
      </c>
      <c r="G5021" s="2" t="str">
        <f>"SR-6856"</f>
        <v>SR-6856</v>
      </c>
      <c r="H5021" s="2" t="s">
        <v>22309</v>
      </c>
      <c r="I5021" s="2" t="s">
        <v>22180</v>
      </c>
      <c r="K5021" s="2" t="s">
        <v>444</v>
      </c>
      <c r="L5021" s="2" t="s">
        <v>172</v>
      </c>
      <c r="M5021" s="2">
        <v>77009.0</v>
      </c>
      <c r="N5021" s="2" t="s">
        <v>21</v>
      </c>
    </row>
    <row r="5022" ht="15.75" customHeight="1">
      <c r="A5022" s="2">
        <v>2015.0</v>
      </c>
      <c r="B5022" s="2" t="s">
        <v>22310</v>
      </c>
      <c r="C5022" s="2" t="s">
        <v>22310</v>
      </c>
      <c r="D5022" s="2" t="str">
        <f>"503-829-5096"</f>
        <v>503-829-5096</v>
      </c>
      <c r="E5022" s="2" t="s">
        <v>22311</v>
      </c>
      <c r="F5022" s="2" t="s">
        <v>22312</v>
      </c>
      <c r="G5022" s="2" t="str">
        <f>"SR-6857"</f>
        <v>SR-6857</v>
      </c>
      <c r="H5022" s="2" t="s">
        <v>22313</v>
      </c>
      <c r="I5022" s="2" t="s">
        <v>22314</v>
      </c>
      <c r="K5022" s="2" t="s">
        <v>22315</v>
      </c>
      <c r="L5022" s="2" t="s">
        <v>2389</v>
      </c>
      <c r="M5022" s="2">
        <v>97038.0</v>
      </c>
      <c r="N5022" s="2" t="s">
        <v>21</v>
      </c>
    </row>
    <row r="5023" ht="15.75" customHeight="1">
      <c r="A5023" s="2">
        <v>2015.0</v>
      </c>
      <c r="B5023" s="2" t="s">
        <v>22316</v>
      </c>
      <c r="C5023" s="2" t="s">
        <v>22317</v>
      </c>
      <c r="D5023" s="2" t="str">
        <f>"9496106344"</f>
        <v>9496106344</v>
      </c>
      <c r="E5023" s="2" t="s">
        <v>428</v>
      </c>
      <c r="F5023" s="2" t="s">
        <v>22318</v>
      </c>
      <c r="G5023" s="2" t="str">
        <f>"SR-6665"</f>
        <v>SR-6665</v>
      </c>
      <c r="H5023" s="2" t="s">
        <v>22319</v>
      </c>
      <c r="I5023" s="2" t="s">
        <v>22320</v>
      </c>
      <c r="K5023" s="2" t="s">
        <v>16116</v>
      </c>
      <c r="L5023" s="2" t="s">
        <v>222</v>
      </c>
      <c r="M5023" s="2">
        <v>92630.0</v>
      </c>
      <c r="N5023" s="2" t="s">
        <v>21</v>
      </c>
    </row>
    <row r="5024" ht="15.75" customHeight="1">
      <c r="A5024" s="2">
        <v>2015.0</v>
      </c>
      <c r="B5024" s="2" t="s">
        <v>22321</v>
      </c>
      <c r="D5024" s="2" t="str">
        <f>""</f>
        <v/>
      </c>
      <c r="E5024" s="2" t="s">
        <v>22322</v>
      </c>
      <c r="F5024" s="2" t="s">
        <v>22323</v>
      </c>
      <c r="G5024" s="2" t="str">
        <f>"SR-6309"</f>
        <v>SR-6309</v>
      </c>
      <c r="H5024" s="2" t="s">
        <v>22324</v>
      </c>
      <c r="N5024" s="2" t="s">
        <v>21</v>
      </c>
    </row>
    <row r="5025" ht="15.75" customHeight="1">
      <c r="A5025" s="2">
        <v>2015.0</v>
      </c>
      <c r="B5025" s="2" t="s">
        <v>22325</v>
      </c>
      <c r="C5025" s="2" t="s">
        <v>22326</v>
      </c>
      <c r="D5025" s="2" t="str">
        <f>"5209904602"</f>
        <v>5209904602</v>
      </c>
      <c r="E5025" s="2" t="s">
        <v>22327</v>
      </c>
      <c r="F5025" s="2" t="s">
        <v>1175</v>
      </c>
      <c r="G5025" s="2" t="str">
        <f>"SR-6863"</f>
        <v>SR-6863</v>
      </c>
      <c r="H5025" s="2" t="s">
        <v>22328</v>
      </c>
      <c r="I5025" s="2" t="s">
        <v>22329</v>
      </c>
      <c r="K5025" s="2" t="s">
        <v>5946</v>
      </c>
      <c r="L5025" s="2" t="s">
        <v>422</v>
      </c>
      <c r="M5025" s="2">
        <v>85715.0</v>
      </c>
      <c r="N5025" s="2" t="s">
        <v>21</v>
      </c>
    </row>
    <row r="5026" ht="15.75" customHeight="1">
      <c r="A5026" s="2">
        <v>2015.0</v>
      </c>
      <c r="B5026" s="2" t="s">
        <v>22330</v>
      </c>
      <c r="C5026" s="2" t="s">
        <v>22330</v>
      </c>
      <c r="D5026" s="2" t="str">
        <f>"3096789630"</f>
        <v>3096789630</v>
      </c>
      <c r="E5026" s="2" t="s">
        <v>22331</v>
      </c>
      <c r="F5026" s="2" t="s">
        <v>22332</v>
      </c>
      <c r="G5026" s="2" t="str">
        <f>"SR-6866"</f>
        <v>SR-6866</v>
      </c>
      <c r="H5026" s="2" t="s">
        <v>22333</v>
      </c>
      <c r="I5026" s="2" t="s">
        <v>22334</v>
      </c>
      <c r="K5026" s="2" t="s">
        <v>22335</v>
      </c>
      <c r="L5026" s="2" t="s">
        <v>105</v>
      </c>
      <c r="M5026" s="2">
        <v>61427.0</v>
      </c>
      <c r="N5026" s="2" t="s">
        <v>21</v>
      </c>
    </row>
    <row r="5027" ht="15.75" customHeight="1">
      <c r="A5027" s="2">
        <v>2015.0</v>
      </c>
      <c r="B5027" s="2" t="s">
        <v>22336</v>
      </c>
      <c r="C5027" s="2" t="s">
        <v>22337</v>
      </c>
      <c r="D5027" s="2" t="str">
        <f>"541-951-3041"</f>
        <v>541-951-3041</v>
      </c>
      <c r="E5027" s="2" t="s">
        <v>1239</v>
      </c>
      <c r="F5027" s="2" t="s">
        <v>22338</v>
      </c>
      <c r="G5027" s="2" t="str">
        <f>"SR-6869"</f>
        <v>SR-6869</v>
      </c>
      <c r="H5027" s="2" t="s">
        <v>22339</v>
      </c>
      <c r="I5027" s="2" t="s">
        <v>22340</v>
      </c>
      <c r="K5027" s="2" t="s">
        <v>22341</v>
      </c>
      <c r="L5027" s="2" t="s">
        <v>2389</v>
      </c>
      <c r="M5027" s="2">
        <v>97524.0</v>
      </c>
      <c r="N5027" s="2" t="s">
        <v>21</v>
      </c>
    </row>
    <row r="5028" ht="15.75" customHeight="1">
      <c r="A5028" s="2">
        <v>2015.0</v>
      </c>
      <c r="B5028" s="2" t="s">
        <v>12713</v>
      </c>
      <c r="C5028" s="2" t="s">
        <v>12713</v>
      </c>
      <c r="D5028" s="2" t="str">
        <f>"1 704 401 9755"</f>
        <v>1 704 401 9755</v>
      </c>
      <c r="E5028" s="2" t="s">
        <v>217</v>
      </c>
      <c r="F5028" s="2" t="s">
        <v>12715</v>
      </c>
      <c r="G5028" s="2" t="str">
        <f>"SR-6687"</f>
        <v>SR-6687</v>
      </c>
      <c r="H5028" s="2" t="s">
        <v>22342</v>
      </c>
      <c r="I5028" s="2" t="s">
        <v>12717</v>
      </c>
      <c r="K5028" s="2" t="s">
        <v>5028</v>
      </c>
      <c r="L5028" s="2" t="s">
        <v>20</v>
      </c>
      <c r="M5028" s="2">
        <v>28078.0</v>
      </c>
      <c r="N5028" s="2" t="s">
        <v>21</v>
      </c>
    </row>
    <row r="5029" ht="15.75" customHeight="1">
      <c r="A5029" s="2">
        <v>2015.0</v>
      </c>
      <c r="B5029" s="2" t="s">
        <v>21585</v>
      </c>
      <c r="C5029" s="2" t="s">
        <v>22343</v>
      </c>
      <c r="D5029" s="2" t="str">
        <f>"601-720-5496"</f>
        <v>601-720-5496</v>
      </c>
      <c r="E5029" s="2" t="s">
        <v>4501</v>
      </c>
      <c r="F5029" s="2" t="s">
        <v>21586</v>
      </c>
      <c r="G5029" s="2" t="str">
        <f>"SR-6845"</f>
        <v>SR-6845</v>
      </c>
      <c r="H5029" s="2" t="s">
        <v>22344</v>
      </c>
      <c r="I5029" s="2" t="s">
        <v>22345</v>
      </c>
      <c r="K5029" s="2" t="s">
        <v>1257</v>
      </c>
      <c r="L5029" s="2" t="s">
        <v>1722</v>
      </c>
      <c r="M5029" s="2">
        <v>39206.0</v>
      </c>
      <c r="N5029" s="2" t="s">
        <v>21</v>
      </c>
    </row>
    <row r="5030" ht="15.75" customHeight="1">
      <c r="A5030" s="2">
        <v>2015.0</v>
      </c>
      <c r="B5030" s="2" t="s">
        <v>22346</v>
      </c>
      <c r="C5030" s="2" t="s">
        <v>22347</v>
      </c>
      <c r="D5030" s="2" t="str">
        <f>"7194943824"</f>
        <v>7194943824</v>
      </c>
      <c r="E5030" s="2" t="s">
        <v>1032</v>
      </c>
      <c r="F5030" s="2" t="s">
        <v>22348</v>
      </c>
      <c r="G5030" s="2" t="str">
        <f>"SR-6864"</f>
        <v>SR-6864</v>
      </c>
      <c r="H5030" s="2" t="s">
        <v>22349</v>
      </c>
      <c r="I5030" s="2" t="s">
        <v>22350</v>
      </c>
      <c r="K5030" s="2" t="s">
        <v>809</v>
      </c>
      <c r="L5030" s="2" t="s">
        <v>157</v>
      </c>
      <c r="M5030" s="2">
        <v>80907.0</v>
      </c>
      <c r="N5030" s="2" t="s">
        <v>21</v>
      </c>
    </row>
    <row r="5031" ht="15.75" customHeight="1">
      <c r="A5031" s="2">
        <v>2015.0</v>
      </c>
      <c r="B5031" s="2" t="s">
        <v>22351</v>
      </c>
      <c r="C5031" s="2" t="s">
        <v>22352</v>
      </c>
      <c r="D5031" s="2" t="str">
        <f>"9496160526"</f>
        <v>9496160526</v>
      </c>
      <c r="E5031" s="2" t="s">
        <v>22353</v>
      </c>
      <c r="F5031" s="2" t="s">
        <v>22354</v>
      </c>
      <c r="G5031" s="2" t="str">
        <f>"SR-6871"</f>
        <v>SR-6871</v>
      </c>
      <c r="H5031" s="2" t="s">
        <v>22355</v>
      </c>
      <c r="I5031" s="2" t="s">
        <v>22356</v>
      </c>
      <c r="K5031" s="2" t="s">
        <v>22357</v>
      </c>
      <c r="L5031" s="2" t="s">
        <v>222</v>
      </c>
      <c r="M5031" s="2">
        <v>92692.0</v>
      </c>
      <c r="N5031" s="2" t="s">
        <v>21</v>
      </c>
    </row>
    <row r="5032" ht="15.75" customHeight="1">
      <c r="A5032" s="2">
        <v>2015.0</v>
      </c>
      <c r="B5032" s="2" t="s">
        <v>22358</v>
      </c>
      <c r="C5032" s="2" t="s">
        <v>22359</v>
      </c>
      <c r="D5032" s="2" t="str">
        <f>"702-241-2195"</f>
        <v>702-241-2195</v>
      </c>
      <c r="E5032" s="2" t="s">
        <v>22360</v>
      </c>
      <c r="F5032" s="2" t="s">
        <v>22361</v>
      </c>
      <c r="G5032" s="2" t="str">
        <f>"SR-6846"</f>
        <v>SR-6846</v>
      </c>
      <c r="H5032" s="2" t="s">
        <v>22362</v>
      </c>
      <c r="I5032" s="2" t="s">
        <v>22363</v>
      </c>
      <c r="K5032" s="2" t="s">
        <v>21321</v>
      </c>
      <c r="L5032" s="2" t="s">
        <v>1419</v>
      </c>
      <c r="M5032" s="2">
        <v>89104.0</v>
      </c>
      <c r="N5032" s="2" t="s">
        <v>21</v>
      </c>
    </row>
    <row r="5033" ht="15.75" customHeight="1">
      <c r="A5033" s="2">
        <v>2015.0</v>
      </c>
      <c r="B5033" s="2" t="s">
        <v>22364</v>
      </c>
      <c r="C5033" s="2" t="s">
        <v>22365</v>
      </c>
      <c r="D5033" s="2" t="str">
        <f>"910-515-0916"</f>
        <v>910-515-0916</v>
      </c>
      <c r="E5033" s="2" t="s">
        <v>1799</v>
      </c>
      <c r="F5033" s="2" t="s">
        <v>22366</v>
      </c>
      <c r="G5033" s="2" t="str">
        <f>"SR-6872"</f>
        <v>SR-6872</v>
      </c>
      <c r="H5033" s="2" t="s">
        <v>22367</v>
      </c>
      <c r="I5033" s="2" t="s">
        <v>22368</v>
      </c>
      <c r="K5033" s="2" t="s">
        <v>22369</v>
      </c>
      <c r="L5033" s="2" t="s">
        <v>20</v>
      </c>
      <c r="M5033" s="2">
        <v>28467.0</v>
      </c>
      <c r="N5033" s="2" t="s">
        <v>21</v>
      </c>
    </row>
    <row r="5034" ht="15.75" customHeight="1">
      <c r="A5034" s="2">
        <v>2015.0</v>
      </c>
      <c r="B5034" s="2" t="s">
        <v>22370</v>
      </c>
      <c r="C5034" s="2" t="s">
        <v>22371</v>
      </c>
      <c r="D5034" s="2" t="str">
        <f>"541-366-1386"</f>
        <v>541-366-1386</v>
      </c>
      <c r="E5034" s="2" t="s">
        <v>261</v>
      </c>
      <c r="F5034" s="2" t="s">
        <v>5637</v>
      </c>
      <c r="G5034" s="2" t="str">
        <f>"SR-6873"</f>
        <v>SR-6873</v>
      </c>
      <c r="H5034" s="2" t="s">
        <v>22372</v>
      </c>
      <c r="I5034" s="2" t="s">
        <v>22373</v>
      </c>
      <c r="K5034" s="2" t="s">
        <v>22374</v>
      </c>
      <c r="L5034" s="2" t="s">
        <v>2389</v>
      </c>
      <c r="M5034" s="2">
        <v>97411.0</v>
      </c>
      <c r="N5034" s="2" t="s">
        <v>21</v>
      </c>
    </row>
    <row r="5035" ht="15.75" customHeight="1">
      <c r="A5035" s="2">
        <v>2015.0</v>
      </c>
      <c r="B5035" s="2" t="s">
        <v>22375</v>
      </c>
      <c r="C5035" s="2" t="s">
        <v>22376</v>
      </c>
      <c r="D5035" s="2" t="str">
        <f>"8502746344"</f>
        <v>8502746344</v>
      </c>
      <c r="E5035" s="2" t="s">
        <v>1257</v>
      </c>
      <c r="F5035" s="2" t="s">
        <v>22377</v>
      </c>
      <c r="G5035" s="2" t="str">
        <f>"SR-5888"</f>
        <v>SR-5888</v>
      </c>
      <c r="H5035" s="2" t="s">
        <v>22378</v>
      </c>
      <c r="I5035" s="2" t="s">
        <v>22379</v>
      </c>
      <c r="K5035" s="2" t="s">
        <v>2007</v>
      </c>
      <c r="L5035" s="2" t="s">
        <v>208</v>
      </c>
      <c r="M5035" s="2">
        <v>32309.0</v>
      </c>
      <c r="N5035" s="2" t="s">
        <v>21</v>
      </c>
    </row>
    <row r="5036" ht="15.75" customHeight="1">
      <c r="A5036" s="2">
        <v>2015.0</v>
      </c>
      <c r="B5036" s="2" t="s">
        <v>22380</v>
      </c>
      <c r="C5036" s="2" t="s">
        <v>22381</v>
      </c>
      <c r="D5036" s="2" t="str">
        <f>"3864736944"</f>
        <v>3864736944</v>
      </c>
      <c r="E5036" s="2" t="s">
        <v>678</v>
      </c>
      <c r="F5036" s="2" t="s">
        <v>22382</v>
      </c>
      <c r="G5036" s="2" t="str">
        <f>"SR-6849"</f>
        <v>SR-6849</v>
      </c>
      <c r="H5036" s="2" t="s">
        <v>22383</v>
      </c>
      <c r="I5036" s="2" t="s">
        <v>22384</v>
      </c>
      <c r="K5036" s="2" t="s">
        <v>22385</v>
      </c>
      <c r="L5036" s="2" t="s">
        <v>208</v>
      </c>
      <c r="M5036" s="2">
        <v>32713.0</v>
      </c>
      <c r="N5036" s="2" t="s">
        <v>21</v>
      </c>
    </row>
    <row r="5037" ht="15.75" customHeight="1">
      <c r="A5037" s="2">
        <v>2015.0</v>
      </c>
      <c r="B5037" s="2" t="s">
        <v>22386</v>
      </c>
      <c r="C5037" s="2" t="s">
        <v>22387</v>
      </c>
      <c r="D5037" s="2" t="str">
        <f>"6194716121"</f>
        <v>6194716121</v>
      </c>
      <c r="E5037" s="2" t="s">
        <v>908</v>
      </c>
      <c r="F5037" s="2" t="s">
        <v>2302</v>
      </c>
      <c r="G5037" s="2" t="str">
        <f>"SR-6858"</f>
        <v>SR-6858</v>
      </c>
      <c r="H5037" s="2" t="s">
        <v>22388</v>
      </c>
      <c r="I5037" s="2" t="s">
        <v>22389</v>
      </c>
      <c r="K5037" s="2" t="s">
        <v>8639</v>
      </c>
      <c r="L5037" s="2" t="s">
        <v>222</v>
      </c>
      <c r="M5037" s="2">
        <v>92071.0</v>
      </c>
      <c r="N5037" s="2" t="s">
        <v>21</v>
      </c>
    </row>
    <row r="5038" ht="15.75" customHeight="1">
      <c r="A5038" s="2">
        <v>2015.0</v>
      </c>
      <c r="B5038" s="2" t="s">
        <v>22390</v>
      </c>
      <c r="C5038" s="2" t="s">
        <v>22390</v>
      </c>
      <c r="D5038" s="2" t="str">
        <f>"208-315-5580"</f>
        <v>208-315-5580</v>
      </c>
      <c r="E5038" s="2" t="s">
        <v>20742</v>
      </c>
      <c r="F5038" s="2" t="s">
        <v>22391</v>
      </c>
      <c r="G5038" s="2" t="str">
        <f>"SR-6502"</f>
        <v>SR-6502</v>
      </c>
      <c r="H5038" s="2" t="s">
        <v>22392</v>
      </c>
      <c r="I5038" s="2" t="s">
        <v>22393</v>
      </c>
      <c r="K5038" s="2" t="s">
        <v>22394</v>
      </c>
      <c r="L5038" s="2" t="s">
        <v>422</v>
      </c>
      <c r="M5038" s="2">
        <v>85606.0</v>
      </c>
      <c r="N5038" s="2" t="s">
        <v>21</v>
      </c>
    </row>
    <row r="5039" ht="15.75" customHeight="1">
      <c r="A5039" s="2">
        <v>2015.0</v>
      </c>
      <c r="B5039" s="2" t="s">
        <v>22395</v>
      </c>
      <c r="C5039" s="2" t="s">
        <v>22396</v>
      </c>
      <c r="D5039" s="2" t="str">
        <f>"218-937-5650"</f>
        <v>218-937-5650</v>
      </c>
      <c r="E5039" s="2" t="s">
        <v>471</v>
      </c>
      <c r="F5039" s="2" t="s">
        <v>22397</v>
      </c>
      <c r="G5039" s="2" t="str">
        <f>"SR-6712"</f>
        <v>SR-6712</v>
      </c>
      <c r="H5039" s="2" t="s">
        <v>22398</v>
      </c>
      <c r="I5039" s="2" t="s">
        <v>22399</v>
      </c>
      <c r="K5039" s="2" t="s">
        <v>21076</v>
      </c>
      <c r="L5039" s="2" t="s">
        <v>62</v>
      </c>
      <c r="M5039" s="2">
        <v>56549.0</v>
      </c>
      <c r="N5039" s="2" t="s">
        <v>21</v>
      </c>
    </row>
    <row r="5040" ht="15.75" customHeight="1">
      <c r="A5040" s="2">
        <v>2015.0</v>
      </c>
      <c r="B5040" s="2" t="s">
        <v>22400</v>
      </c>
      <c r="C5040" s="2" t="s">
        <v>22401</v>
      </c>
      <c r="D5040" s="2" t="str">
        <f>"5106836117"</f>
        <v>5106836117</v>
      </c>
      <c r="E5040" s="2" t="s">
        <v>339</v>
      </c>
      <c r="F5040" s="2" t="s">
        <v>585</v>
      </c>
      <c r="G5040" s="2" t="str">
        <f>"SR-6877"</f>
        <v>SR-6877</v>
      </c>
      <c r="H5040" s="2" t="s">
        <v>22402</v>
      </c>
      <c r="I5040" s="2" t="s">
        <v>22403</v>
      </c>
      <c r="K5040" s="2" t="s">
        <v>6649</v>
      </c>
      <c r="L5040" s="2" t="s">
        <v>222</v>
      </c>
      <c r="M5040" s="2">
        <v>94539.0</v>
      </c>
      <c r="N5040" s="2" t="s">
        <v>21</v>
      </c>
    </row>
    <row r="5041" ht="15.75" customHeight="1">
      <c r="A5041" s="2">
        <v>2015.0</v>
      </c>
      <c r="B5041" s="2" t="s">
        <v>21913</v>
      </c>
      <c r="C5041" s="2" t="s">
        <v>21913</v>
      </c>
      <c r="D5041" s="2" t="str">
        <f>"8147975211"</f>
        <v>8147975211</v>
      </c>
      <c r="E5041" s="2" t="s">
        <v>14671</v>
      </c>
      <c r="F5041" s="2" t="s">
        <v>639</v>
      </c>
      <c r="G5041" s="2" t="str">
        <f>"SR-6880"</f>
        <v>SR-6880</v>
      </c>
      <c r="H5041" s="2" t="s">
        <v>22404</v>
      </c>
      <c r="I5041" s="2" t="s">
        <v>21915</v>
      </c>
      <c r="K5041" s="2" t="s">
        <v>2336</v>
      </c>
      <c r="L5041" s="2" t="s">
        <v>179</v>
      </c>
      <c r="M5041" s="2">
        <v>16232.0</v>
      </c>
      <c r="N5041" s="2" t="s">
        <v>21</v>
      </c>
    </row>
    <row r="5042" ht="15.75" customHeight="1">
      <c r="A5042" s="2">
        <v>2015.0</v>
      </c>
      <c r="B5042" s="2" t="s">
        <v>22405</v>
      </c>
      <c r="C5042" s="2" t="s">
        <v>22405</v>
      </c>
      <c r="D5042" s="2" t="str">
        <f>"(616) 875-2172"</f>
        <v>(616) 875-2172</v>
      </c>
      <c r="E5042" s="2" t="s">
        <v>584</v>
      </c>
      <c r="F5042" s="2" t="s">
        <v>22406</v>
      </c>
      <c r="G5042" s="2" t="str">
        <f>"SR-6882"</f>
        <v>SR-6882</v>
      </c>
      <c r="H5042" s="2" t="s">
        <v>22407</v>
      </c>
      <c r="I5042" s="2" t="s">
        <v>22408</v>
      </c>
      <c r="K5042" s="2" t="s">
        <v>4869</v>
      </c>
      <c r="L5042" s="2" t="s">
        <v>29</v>
      </c>
      <c r="M5042" s="2">
        <v>49464.0</v>
      </c>
      <c r="N5042" s="2" t="s">
        <v>21</v>
      </c>
    </row>
    <row r="5043" ht="15.75" customHeight="1">
      <c r="A5043" s="2">
        <v>2015.0</v>
      </c>
      <c r="B5043" s="2" t="s">
        <v>22409</v>
      </c>
      <c r="C5043" s="2" t="s">
        <v>22410</v>
      </c>
      <c r="D5043" s="2" t="str">
        <f>"231-276-0114"</f>
        <v>231-276-0114</v>
      </c>
      <c r="E5043" s="2" t="s">
        <v>2988</v>
      </c>
      <c r="F5043" s="2" t="s">
        <v>16181</v>
      </c>
      <c r="G5043" s="2" t="str">
        <f>"SR-6883"</f>
        <v>SR-6883</v>
      </c>
      <c r="H5043" s="2" t="s">
        <v>22411</v>
      </c>
      <c r="I5043" s="2" t="s">
        <v>22412</v>
      </c>
      <c r="K5043" s="2" t="s">
        <v>22413</v>
      </c>
      <c r="L5043" s="2" t="s">
        <v>29</v>
      </c>
      <c r="M5043" s="2">
        <v>49637.0</v>
      </c>
      <c r="N5043" s="2" t="s">
        <v>21</v>
      </c>
    </row>
    <row r="5044" ht="15.75" customHeight="1">
      <c r="A5044" s="2">
        <v>2015.0</v>
      </c>
      <c r="B5044" s="2" t="s">
        <v>22414</v>
      </c>
      <c r="C5044" s="2" t="s">
        <v>7429</v>
      </c>
      <c r="D5044" s="2" t="str">
        <f>"9704056405"</f>
        <v>9704056405</v>
      </c>
      <c r="E5044" s="2" t="s">
        <v>1362</v>
      </c>
      <c r="F5044" s="2" t="s">
        <v>1185</v>
      </c>
      <c r="G5044" s="2" t="str">
        <f>"SR-6875"</f>
        <v>SR-6875</v>
      </c>
      <c r="H5044" s="2" t="s">
        <v>22415</v>
      </c>
      <c r="I5044" s="2" t="s">
        <v>22416</v>
      </c>
      <c r="K5044" s="2" t="s">
        <v>1558</v>
      </c>
      <c r="L5044" s="2" t="s">
        <v>157</v>
      </c>
      <c r="M5044" s="2">
        <v>80631.0</v>
      </c>
      <c r="N5044" s="2" t="s">
        <v>21</v>
      </c>
    </row>
    <row r="5045" ht="15.75" customHeight="1">
      <c r="A5045" s="2">
        <v>2015.0</v>
      </c>
      <c r="B5045" s="2" t="s">
        <v>22417</v>
      </c>
      <c r="C5045" s="2" t="s">
        <v>22417</v>
      </c>
      <c r="D5045" s="2" t="str">
        <f>"347 458 5604"</f>
        <v>347 458 5604</v>
      </c>
      <c r="E5045" s="2" t="s">
        <v>22418</v>
      </c>
      <c r="F5045" s="2" t="s">
        <v>1423</v>
      </c>
      <c r="G5045" s="2" t="str">
        <f>"SR-6885"</f>
        <v>SR-6885</v>
      </c>
      <c r="H5045" s="2" t="s">
        <v>22419</v>
      </c>
      <c r="I5045" s="2" t="s">
        <v>22420</v>
      </c>
      <c r="K5045" s="2" t="s">
        <v>18981</v>
      </c>
      <c r="L5045" s="2" t="s">
        <v>142</v>
      </c>
      <c r="M5045" s="2">
        <v>10468.0</v>
      </c>
      <c r="N5045" s="2" t="s">
        <v>21</v>
      </c>
    </row>
    <row r="5046" ht="15.75" customHeight="1">
      <c r="A5046" s="2">
        <v>2015.0</v>
      </c>
      <c r="B5046" s="2" t="s">
        <v>22421</v>
      </c>
      <c r="C5046" s="2" t="s">
        <v>22422</v>
      </c>
      <c r="D5046" s="2" t="str">
        <f>"8505019131"</f>
        <v>8505019131</v>
      </c>
      <c r="E5046" s="2" t="s">
        <v>2083</v>
      </c>
      <c r="F5046" s="2" t="s">
        <v>16822</v>
      </c>
      <c r="G5046" s="2" t="str">
        <f>"SR-6870"</f>
        <v>SR-6870</v>
      </c>
      <c r="H5046" s="2" t="s">
        <v>22423</v>
      </c>
      <c r="I5046" s="2" t="s">
        <v>22424</v>
      </c>
      <c r="K5046" s="2" t="s">
        <v>22425</v>
      </c>
      <c r="L5046" s="2" t="s">
        <v>208</v>
      </c>
      <c r="M5046" s="2">
        <v>32514.0</v>
      </c>
      <c r="N5046" s="2" t="s">
        <v>21</v>
      </c>
    </row>
    <row r="5047" ht="15.75" customHeight="1">
      <c r="A5047" s="2">
        <v>2015.0</v>
      </c>
      <c r="B5047" s="2" t="s">
        <v>22426</v>
      </c>
      <c r="C5047" s="2" t="s">
        <v>22427</v>
      </c>
      <c r="D5047" s="2" t="str">
        <f>"931-273-1141"</f>
        <v>931-273-1141</v>
      </c>
      <c r="E5047" s="2" t="s">
        <v>225</v>
      </c>
      <c r="F5047" s="2" t="s">
        <v>22428</v>
      </c>
      <c r="G5047" s="2" t="str">
        <f>"SR-6794"</f>
        <v>SR-6794</v>
      </c>
      <c r="H5047" s="2" t="s">
        <v>22429</v>
      </c>
      <c r="I5047" s="2" t="s">
        <v>22430</v>
      </c>
      <c r="K5047" s="2" t="s">
        <v>8351</v>
      </c>
      <c r="L5047" s="2" t="s">
        <v>279</v>
      </c>
      <c r="M5047" s="2">
        <v>37388.0</v>
      </c>
      <c r="N5047" s="2" t="s">
        <v>21</v>
      </c>
    </row>
    <row r="5048" ht="15.75" customHeight="1">
      <c r="A5048" s="2">
        <v>2015.0</v>
      </c>
      <c r="B5048" s="2" t="s">
        <v>22431</v>
      </c>
      <c r="C5048" s="2" t="s">
        <v>22432</v>
      </c>
      <c r="D5048" s="2" t="str">
        <f>"603-664-6949"</f>
        <v>603-664-6949</v>
      </c>
      <c r="E5048" s="2" t="s">
        <v>22433</v>
      </c>
      <c r="F5048" s="2" t="s">
        <v>22434</v>
      </c>
      <c r="G5048" s="2" t="str">
        <f>"SR-6246"</f>
        <v>SR-6246</v>
      </c>
      <c r="H5048" s="2" t="s">
        <v>22435</v>
      </c>
      <c r="I5048" s="2" t="s">
        <v>22436</v>
      </c>
      <c r="K5048" s="2" t="s">
        <v>22437</v>
      </c>
      <c r="L5048" s="2" t="s">
        <v>19930</v>
      </c>
      <c r="M5048" s="2">
        <v>3884.0</v>
      </c>
      <c r="N5048" s="2" t="s">
        <v>21</v>
      </c>
    </row>
    <row r="5049" ht="15.75" customHeight="1">
      <c r="A5049" s="2">
        <v>2015.0</v>
      </c>
      <c r="B5049" s="2" t="s">
        <v>22438</v>
      </c>
      <c r="C5049" s="2" t="s">
        <v>22439</v>
      </c>
      <c r="D5049" s="2" t="str">
        <f>"5597391077"</f>
        <v>5597391077</v>
      </c>
      <c r="E5049" s="2" t="s">
        <v>705</v>
      </c>
      <c r="F5049" s="2" t="s">
        <v>465</v>
      </c>
      <c r="G5049" s="2" t="str">
        <f>"SR-6881"</f>
        <v>SR-6881</v>
      </c>
      <c r="H5049" s="2" t="s">
        <v>22440</v>
      </c>
      <c r="I5049" s="2" t="s">
        <v>22441</v>
      </c>
      <c r="K5049" s="2" t="s">
        <v>9776</v>
      </c>
      <c r="L5049" s="2" t="s">
        <v>222</v>
      </c>
      <c r="M5049" s="2">
        <v>93292.0</v>
      </c>
      <c r="N5049" s="2" t="s">
        <v>21</v>
      </c>
    </row>
    <row r="5050" ht="15.75" customHeight="1">
      <c r="A5050" s="2">
        <v>2015.0</v>
      </c>
      <c r="B5050" s="2" t="s">
        <v>22442</v>
      </c>
      <c r="C5050" s="2" t="s">
        <v>22443</v>
      </c>
      <c r="D5050" s="2" t="str">
        <f>"719-358-6382"</f>
        <v>719-358-6382</v>
      </c>
      <c r="E5050" s="2" t="s">
        <v>778</v>
      </c>
      <c r="F5050" s="2" t="s">
        <v>22444</v>
      </c>
      <c r="G5050" s="2" t="str">
        <f>"SR-6890"</f>
        <v>SR-6890</v>
      </c>
      <c r="H5050" s="2" t="s">
        <v>22445</v>
      </c>
      <c r="I5050" s="2" t="s">
        <v>22446</v>
      </c>
      <c r="K5050" s="2" t="s">
        <v>6998</v>
      </c>
      <c r="L5050" s="2" t="s">
        <v>157</v>
      </c>
      <c r="M5050" s="2">
        <v>80829.0</v>
      </c>
      <c r="N5050" s="2" t="s">
        <v>21</v>
      </c>
    </row>
    <row r="5051" ht="15.75" customHeight="1">
      <c r="A5051" s="2">
        <v>2015.0</v>
      </c>
      <c r="B5051" s="2" t="s">
        <v>22447</v>
      </c>
      <c r="C5051" s="2" t="s">
        <v>22448</v>
      </c>
      <c r="D5051" s="2" t="str">
        <f>"4086744446"</f>
        <v>4086744446</v>
      </c>
      <c r="E5051" s="2" t="s">
        <v>4782</v>
      </c>
      <c r="F5051" s="2" t="s">
        <v>22449</v>
      </c>
      <c r="G5051" s="2" t="str">
        <f>"SR-6836"</f>
        <v>SR-6836</v>
      </c>
      <c r="H5051" s="2" t="s">
        <v>22450</v>
      </c>
      <c r="I5051" s="2" t="s">
        <v>22451</v>
      </c>
      <c r="K5051" s="2" t="s">
        <v>5826</v>
      </c>
      <c r="L5051" s="2" t="s">
        <v>222</v>
      </c>
      <c r="M5051" s="2">
        <v>95124.0</v>
      </c>
      <c r="N5051" s="2" t="s">
        <v>21</v>
      </c>
    </row>
    <row r="5052" ht="15.75" customHeight="1">
      <c r="A5052" s="2">
        <v>2015.0</v>
      </c>
      <c r="B5052" s="2" t="s">
        <v>22452</v>
      </c>
      <c r="C5052" s="2" t="s">
        <v>22453</v>
      </c>
      <c r="D5052" s="2" t="str">
        <f>"3032375767"</f>
        <v>3032375767</v>
      </c>
      <c r="E5052" s="2" t="s">
        <v>22454</v>
      </c>
      <c r="F5052" s="2" t="s">
        <v>22455</v>
      </c>
      <c r="G5052" s="2" t="str">
        <f>"SR-6891"</f>
        <v>SR-6891</v>
      </c>
      <c r="H5052" s="2" t="s">
        <v>22456</v>
      </c>
      <c r="I5052" s="2" t="s">
        <v>22457</v>
      </c>
      <c r="K5052" s="2" t="s">
        <v>1502</v>
      </c>
      <c r="L5052" s="2" t="s">
        <v>157</v>
      </c>
      <c r="M5052" s="2">
        <v>80007.0</v>
      </c>
      <c r="N5052" s="2" t="s">
        <v>21</v>
      </c>
    </row>
    <row r="5053" ht="15.75" customHeight="1">
      <c r="A5053" s="2">
        <v>2015.0</v>
      </c>
      <c r="B5053" s="2" t="s">
        <v>22458</v>
      </c>
      <c r="C5053" s="2" t="s">
        <v>22459</v>
      </c>
      <c r="D5053" s="2" t="str">
        <f>"7602136214"</f>
        <v>7602136214</v>
      </c>
      <c r="E5053" s="2" t="s">
        <v>225</v>
      </c>
      <c r="F5053" s="2" t="s">
        <v>6923</v>
      </c>
      <c r="G5053" s="2" t="str">
        <f>"SR-6786"</f>
        <v>SR-6786</v>
      </c>
      <c r="H5053" s="2" t="s">
        <v>22460</v>
      </c>
      <c r="I5053" s="2" t="s">
        <v>22461</v>
      </c>
      <c r="K5053" s="2" t="s">
        <v>22462</v>
      </c>
      <c r="L5053" s="2" t="s">
        <v>222</v>
      </c>
      <c r="M5053" s="2">
        <v>92028.0</v>
      </c>
      <c r="N5053" s="2" t="s">
        <v>21</v>
      </c>
    </row>
    <row r="5054" ht="15.75" customHeight="1">
      <c r="A5054" s="2">
        <v>2015.0</v>
      </c>
      <c r="B5054" s="2" t="s">
        <v>12271</v>
      </c>
      <c r="C5054" s="2" t="s">
        <v>22463</v>
      </c>
      <c r="D5054" s="2" t="str">
        <f>"2075140558"</f>
        <v>2075140558</v>
      </c>
      <c r="E5054" s="2" t="s">
        <v>22464</v>
      </c>
      <c r="F5054" s="2" t="s">
        <v>12274</v>
      </c>
      <c r="G5054" s="2" t="str">
        <f>"SR-6893"</f>
        <v>SR-6893</v>
      </c>
      <c r="H5054" s="2" t="s">
        <v>22465</v>
      </c>
      <c r="I5054" s="2" t="s">
        <v>12276</v>
      </c>
      <c r="K5054" s="2" t="s">
        <v>12277</v>
      </c>
      <c r="L5054" s="2" t="s">
        <v>3737</v>
      </c>
      <c r="M5054" s="2">
        <v>4276.0</v>
      </c>
      <c r="N5054" s="2" t="s">
        <v>21</v>
      </c>
    </row>
    <row r="5055" ht="15.75" customHeight="1">
      <c r="A5055" s="2">
        <v>2015.0</v>
      </c>
      <c r="B5055" s="2" t="s">
        <v>22466</v>
      </c>
      <c r="C5055" s="2" t="s">
        <v>22467</v>
      </c>
      <c r="D5055" s="2" t="str">
        <f>"432-934-4688"</f>
        <v>432-934-4688</v>
      </c>
      <c r="E5055" s="2" t="s">
        <v>1529</v>
      </c>
      <c r="F5055" s="2" t="s">
        <v>128</v>
      </c>
      <c r="G5055" s="2" t="str">
        <f>"SR-5937"</f>
        <v>SR-5937</v>
      </c>
      <c r="H5055" s="2" t="s">
        <v>11337</v>
      </c>
      <c r="I5055" s="2" t="s">
        <v>22468</v>
      </c>
      <c r="K5055" s="2" t="s">
        <v>5833</v>
      </c>
      <c r="L5055" s="2" t="s">
        <v>172</v>
      </c>
      <c r="M5055" s="2">
        <v>79703.0</v>
      </c>
      <c r="N5055" s="2" t="s">
        <v>21</v>
      </c>
    </row>
    <row r="5056" ht="15.75" customHeight="1">
      <c r="A5056" s="2">
        <v>2015.0</v>
      </c>
      <c r="B5056" s="2" t="s">
        <v>22469</v>
      </c>
      <c r="C5056" s="2" t="s">
        <v>22470</v>
      </c>
      <c r="D5056" s="2" t="str">
        <f>"4348232384"</f>
        <v>4348232384</v>
      </c>
      <c r="E5056" s="2" t="s">
        <v>167</v>
      </c>
      <c r="F5056" s="2" t="s">
        <v>22471</v>
      </c>
      <c r="G5056" s="2" t="str">
        <f>"SR-6888"</f>
        <v>SR-6888</v>
      </c>
      <c r="H5056" s="2" t="s">
        <v>22472</v>
      </c>
      <c r="I5056" s="2" t="s">
        <v>22473</v>
      </c>
      <c r="K5056" s="2" t="s">
        <v>11041</v>
      </c>
      <c r="L5056" s="2" t="s">
        <v>165</v>
      </c>
      <c r="M5056" s="2">
        <v>22901.0</v>
      </c>
      <c r="N5056" s="2" t="s">
        <v>21</v>
      </c>
    </row>
    <row r="5057" ht="15.75" customHeight="1">
      <c r="A5057" s="2">
        <v>2015.0</v>
      </c>
      <c r="B5057" s="2" t="s">
        <v>22474</v>
      </c>
      <c r="C5057" s="2" t="s">
        <v>22475</v>
      </c>
      <c r="D5057" s="2" t="str">
        <f>"513-574-3060"</f>
        <v>513-574-3060</v>
      </c>
      <c r="E5057" s="2" t="s">
        <v>137</v>
      </c>
      <c r="F5057" s="2" t="s">
        <v>10116</v>
      </c>
      <c r="G5057" s="2" t="str">
        <f>"SR-6896"</f>
        <v>SR-6896</v>
      </c>
      <c r="H5057" s="2" t="s">
        <v>22476</v>
      </c>
      <c r="I5057" s="2" t="s">
        <v>10118</v>
      </c>
      <c r="K5057" s="2" t="s">
        <v>10119</v>
      </c>
      <c r="L5057" s="2" t="s">
        <v>344</v>
      </c>
      <c r="M5057" s="2">
        <v>45248.0</v>
      </c>
      <c r="N5057" s="2" t="s">
        <v>21</v>
      </c>
    </row>
    <row r="5058" ht="15.75" customHeight="1">
      <c r="A5058" s="2">
        <v>2015.0</v>
      </c>
      <c r="B5058" s="2" t="s">
        <v>22477</v>
      </c>
      <c r="C5058" s="2" t="s">
        <v>22478</v>
      </c>
      <c r="D5058" s="2" t="str">
        <f>"479-886-5215"</f>
        <v>479-886-5215</v>
      </c>
      <c r="E5058" s="2" t="s">
        <v>705</v>
      </c>
      <c r="F5058" s="2" t="s">
        <v>22479</v>
      </c>
      <c r="G5058" s="2" t="str">
        <f>"SR-6749"</f>
        <v>SR-6749</v>
      </c>
      <c r="H5058" s="2" t="s">
        <v>22480</v>
      </c>
      <c r="I5058" s="2" t="s">
        <v>22481</v>
      </c>
      <c r="K5058" s="2" t="s">
        <v>20965</v>
      </c>
      <c r="L5058" s="2" t="s">
        <v>1012</v>
      </c>
      <c r="M5058" s="2">
        <v>72802.0</v>
      </c>
      <c r="N5058" s="2" t="s">
        <v>21</v>
      </c>
    </row>
    <row r="5059" ht="15.75" customHeight="1">
      <c r="A5059" s="2">
        <v>2015.0</v>
      </c>
      <c r="B5059" s="2" t="s">
        <v>22482</v>
      </c>
      <c r="C5059" s="2" t="s">
        <v>22483</v>
      </c>
      <c r="D5059" s="2" t="str">
        <f>"7065875704"</f>
        <v>7065875704</v>
      </c>
      <c r="E5059" s="2" t="s">
        <v>22484</v>
      </c>
      <c r="F5059" s="2" t="s">
        <v>22485</v>
      </c>
      <c r="G5059" s="2" t="str">
        <f>"SR-6900"</f>
        <v>SR-6900</v>
      </c>
      <c r="H5059" s="2" t="s">
        <v>22486</v>
      </c>
      <c r="I5059" s="2" t="s">
        <v>22487</v>
      </c>
      <c r="K5059" s="2" t="s">
        <v>286</v>
      </c>
      <c r="L5059" s="2" t="s">
        <v>200</v>
      </c>
      <c r="M5059" s="2">
        <v>31820.0</v>
      </c>
      <c r="N5059" s="2" t="s">
        <v>21</v>
      </c>
    </row>
    <row r="5060" ht="15.75" customHeight="1">
      <c r="A5060" s="2">
        <v>2015.0</v>
      </c>
      <c r="B5060" s="2" t="s">
        <v>21192</v>
      </c>
      <c r="C5060" s="2" t="s">
        <v>22488</v>
      </c>
      <c r="D5060" s="2" t="str">
        <f>"559-381-1733"</f>
        <v>559-381-1733</v>
      </c>
      <c r="E5060" s="2" t="s">
        <v>9162</v>
      </c>
      <c r="F5060" s="2" t="s">
        <v>21195</v>
      </c>
      <c r="G5060" s="2" t="str">
        <f>"SR-6457"</f>
        <v>SR-6457</v>
      </c>
      <c r="H5060" s="2" t="s">
        <v>22489</v>
      </c>
      <c r="I5060" s="2" t="s">
        <v>21197</v>
      </c>
      <c r="K5060" s="2" t="s">
        <v>12882</v>
      </c>
      <c r="L5060" s="2" t="s">
        <v>222</v>
      </c>
      <c r="M5060" s="2">
        <v>93230.0</v>
      </c>
      <c r="N5060" s="2" t="s">
        <v>21</v>
      </c>
    </row>
    <row r="5061" ht="15.75" customHeight="1">
      <c r="A5061" s="2">
        <v>2015.0</v>
      </c>
      <c r="B5061" s="2" t="s">
        <v>22490</v>
      </c>
      <c r="C5061" s="2" t="s">
        <v>22491</v>
      </c>
      <c r="D5061" s="2" t="str">
        <f>"3346633995"</f>
        <v>3346633995</v>
      </c>
      <c r="E5061" s="2" t="s">
        <v>4968</v>
      </c>
      <c r="F5061" s="2" t="s">
        <v>10501</v>
      </c>
      <c r="G5061" s="2" t="str">
        <f>"SR-6389"</f>
        <v>SR-6389</v>
      </c>
      <c r="H5061" s="2" t="s">
        <v>22492</v>
      </c>
      <c r="I5061" s="2" t="s">
        <v>22493</v>
      </c>
      <c r="K5061" s="2" t="s">
        <v>5288</v>
      </c>
      <c r="L5061" s="2" t="s">
        <v>157</v>
      </c>
      <c r="M5061" s="2">
        <v>80027.0</v>
      </c>
      <c r="N5061" s="2" t="s">
        <v>21</v>
      </c>
    </row>
    <row r="5062" ht="15.75" customHeight="1">
      <c r="A5062" s="2">
        <v>2015.0</v>
      </c>
      <c r="B5062" s="2" t="s">
        <v>22494</v>
      </c>
      <c r="C5062" s="2" t="s">
        <v>22494</v>
      </c>
      <c r="D5062" s="2" t="str">
        <f>"8284079630"</f>
        <v>8284079630</v>
      </c>
      <c r="E5062" s="2" t="s">
        <v>580</v>
      </c>
      <c r="F5062" s="2" t="s">
        <v>22495</v>
      </c>
      <c r="G5062" s="2" t="str">
        <f>"SR-6910"</f>
        <v>SR-6910</v>
      </c>
      <c r="H5062" s="2" t="s">
        <v>22496</v>
      </c>
      <c r="I5062" s="2" t="s">
        <v>22497</v>
      </c>
      <c r="K5062" s="2" t="s">
        <v>22498</v>
      </c>
      <c r="L5062" s="2" t="s">
        <v>20</v>
      </c>
      <c r="M5062" s="2">
        <v>28757.0</v>
      </c>
      <c r="N5062" s="2" t="s">
        <v>21</v>
      </c>
    </row>
    <row r="5063" ht="15.75" customHeight="1">
      <c r="A5063" s="2">
        <v>2015.0</v>
      </c>
      <c r="B5063" s="2" t="s">
        <v>22499</v>
      </c>
      <c r="C5063" s="2" t="s">
        <v>22500</v>
      </c>
      <c r="D5063" s="2" t="str">
        <f>"3035870334"</f>
        <v>3035870334</v>
      </c>
      <c r="E5063" s="2" t="s">
        <v>2891</v>
      </c>
      <c r="F5063" s="2" t="s">
        <v>89</v>
      </c>
      <c r="G5063" s="2" t="str">
        <f>"SR-5809"</f>
        <v>SR-5809</v>
      </c>
      <c r="H5063" s="2" t="s">
        <v>22501</v>
      </c>
      <c r="I5063" s="2" t="s">
        <v>22502</v>
      </c>
      <c r="K5063" s="2" t="s">
        <v>22503</v>
      </c>
      <c r="L5063" s="2" t="s">
        <v>2389</v>
      </c>
      <c r="M5063" s="2">
        <v>97701.0</v>
      </c>
      <c r="N5063" s="2" t="s">
        <v>21</v>
      </c>
    </row>
    <row r="5064" ht="15.75" customHeight="1">
      <c r="A5064" s="2">
        <v>2015.0</v>
      </c>
      <c r="B5064" s="2" t="s">
        <v>22504</v>
      </c>
      <c r="C5064" s="2" t="s">
        <v>22505</v>
      </c>
      <c r="D5064" s="2" t="str">
        <f>"858-755-5856"</f>
        <v>858-755-5856</v>
      </c>
      <c r="E5064" s="2" t="s">
        <v>1088</v>
      </c>
      <c r="F5064" s="2" t="s">
        <v>2753</v>
      </c>
      <c r="G5064" s="2" t="str">
        <f>"SR-6446"</f>
        <v>SR-6446</v>
      </c>
      <c r="H5064" s="2" t="s">
        <v>22506</v>
      </c>
      <c r="I5064" s="2" t="s">
        <v>22507</v>
      </c>
      <c r="K5064" s="2" t="s">
        <v>8250</v>
      </c>
      <c r="L5064" s="2" t="s">
        <v>222</v>
      </c>
      <c r="M5064" s="2">
        <v>92130.0</v>
      </c>
      <c r="N5064" s="2" t="s">
        <v>21</v>
      </c>
    </row>
    <row r="5065" ht="15.75" customHeight="1">
      <c r="A5065" s="2">
        <v>2015.0</v>
      </c>
      <c r="B5065" s="2" t="s">
        <v>22508</v>
      </c>
      <c r="C5065" s="2" t="s">
        <v>22509</v>
      </c>
      <c r="D5065" s="2" t="str">
        <f>"2532674552"</f>
        <v>2532674552</v>
      </c>
      <c r="E5065" s="2" t="s">
        <v>465</v>
      </c>
      <c r="F5065" s="2" t="s">
        <v>22510</v>
      </c>
      <c r="G5065" s="2" t="str">
        <f>"SR-6848"</f>
        <v>SR-6848</v>
      </c>
      <c r="H5065" s="2" t="s">
        <v>22511</v>
      </c>
      <c r="I5065" s="2" t="s">
        <v>22512</v>
      </c>
      <c r="K5065" s="2" t="s">
        <v>22513</v>
      </c>
      <c r="L5065" s="2" t="s">
        <v>86</v>
      </c>
      <c r="M5065" s="2">
        <v>98407.0</v>
      </c>
      <c r="N5065" s="2" t="s">
        <v>21</v>
      </c>
    </row>
    <row r="5066" ht="15.75" customHeight="1">
      <c r="A5066" s="2">
        <v>2015.0</v>
      </c>
      <c r="B5066" s="2" t="s">
        <v>22514</v>
      </c>
      <c r="C5066" s="2" t="s">
        <v>22514</v>
      </c>
      <c r="D5066" s="2" t="str">
        <f>"+447472232738"</f>
        <v>+447472232738</v>
      </c>
      <c r="E5066" s="2" t="s">
        <v>22515</v>
      </c>
      <c r="F5066" s="2" t="s">
        <v>22516</v>
      </c>
      <c r="G5066" s="2" t="str">
        <f>"SR-6674"</f>
        <v>SR-6674</v>
      </c>
      <c r="H5066" s="2" t="s">
        <v>22517</v>
      </c>
      <c r="I5066" s="2" t="s">
        <v>22518</v>
      </c>
      <c r="J5066" s="2" t="s">
        <v>22519</v>
      </c>
      <c r="K5066" s="2" t="s">
        <v>22520</v>
      </c>
      <c r="L5066" s="2" t="s">
        <v>22521</v>
      </c>
      <c r="M5066" s="2" t="s">
        <v>22522</v>
      </c>
      <c r="N5066" s="2" t="s">
        <v>22523</v>
      </c>
    </row>
    <row r="5067" ht="15.75" customHeight="1">
      <c r="A5067" s="2">
        <v>2015.0</v>
      </c>
      <c r="B5067" s="2" t="s">
        <v>22524</v>
      </c>
      <c r="C5067" s="2" t="s">
        <v>22525</v>
      </c>
      <c r="D5067" s="2" t="str">
        <f>"858-249-9499"</f>
        <v>858-249-9499</v>
      </c>
      <c r="E5067" s="2" t="s">
        <v>10295</v>
      </c>
      <c r="F5067" s="2" t="s">
        <v>22526</v>
      </c>
      <c r="G5067" s="2" t="str">
        <f>"SR-6835"</f>
        <v>SR-6835</v>
      </c>
      <c r="H5067" s="2" t="s">
        <v>22527</v>
      </c>
      <c r="I5067" s="2" t="s">
        <v>22528</v>
      </c>
      <c r="K5067" s="2" t="s">
        <v>8250</v>
      </c>
      <c r="L5067" s="2" t="s">
        <v>222</v>
      </c>
      <c r="M5067" s="2">
        <v>92130.0</v>
      </c>
      <c r="N5067" s="2" t="s">
        <v>21</v>
      </c>
    </row>
    <row r="5068" ht="15.75" customHeight="1">
      <c r="A5068" s="2">
        <v>2015.0</v>
      </c>
      <c r="B5068" s="2" t="s">
        <v>13374</v>
      </c>
      <c r="C5068" s="2" t="s">
        <v>13375</v>
      </c>
      <c r="D5068" s="2" t="str">
        <f>"512-587-6795"</f>
        <v>512-587-6795</v>
      </c>
      <c r="E5068" s="2" t="s">
        <v>4637</v>
      </c>
      <c r="F5068" s="2" t="s">
        <v>2063</v>
      </c>
      <c r="G5068" s="2" t="str">
        <f>"SR-3458"</f>
        <v>SR-3458</v>
      </c>
      <c r="H5068" s="2" t="s">
        <v>13376</v>
      </c>
      <c r="I5068" s="2" t="s">
        <v>13377</v>
      </c>
      <c r="K5068" s="2" t="s">
        <v>12777</v>
      </c>
      <c r="L5068" s="2" t="s">
        <v>172</v>
      </c>
      <c r="M5068" s="2">
        <v>78669.0</v>
      </c>
      <c r="N5068" s="2" t="s">
        <v>21</v>
      </c>
    </row>
    <row r="5069" ht="15.75" customHeight="1">
      <c r="A5069" s="2">
        <v>2015.0</v>
      </c>
      <c r="B5069" s="2" t="s">
        <v>22529</v>
      </c>
      <c r="C5069" s="2" t="s">
        <v>22529</v>
      </c>
      <c r="D5069" s="2" t="str">
        <f>"505-515-4533"</f>
        <v>505-515-4533</v>
      </c>
      <c r="E5069" s="2" t="s">
        <v>9605</v>
      </c>
      <c r="F5069" s="2" t="s">
        <v>22530</v>
      </c>
      <c r="G5069" s="2" t="str">
        <f>"SR-6912"</f>
        <v>SR-6912</v>
      </c>
      <c r="H5069" s="2" t="s">
        <v>22531</v>
      </c>
      <c r="I5069" s="2" t="s">
        <v>22532</v>
      </c>
      <c r="K5069" s="2" t="s">
        <v>3705</v>
      </c>
      <c r="L5069" s="2" t="s">
        <v>789</v>
      </c>
      <c r="M5069" s="2">
        <v>87109.0</v>
      </c>
      <c r="N5069" s="2" t="s">
        <v>21</v>
      </c>
    </row>
    <row r="5070" ht="15.75" customHeight="1">
      <c r="A5070" s="2">
        <v>2015.0</v>
      </c>
      <c r="B5070" s="2" t="s">
        <v>20351</v>
      </c>
      <c r="C5070" s="2" t="s">
        <v>22533</v>
      </c>
      <c r="D5070" s="2" t="str">
        <f>"8022349462"</f>
        <v>8022349462</v>
      </c>
      <c r="E5070" s="2" t="s">
        <v>1257</v>
      </c>
      <c r="F5070" s="2" t="s">
        <v>3320</v>
      </c>
      <c r="G5070" s="2" t="str">
        <f>"SR-6813"</f>
        <v>SR-6813</v>
      </c>
      <c r="H5070" s="2" t="s">
        <v>22534</v>
      </c>
      <c r="I5070" s="2" t="s">
        <v>20354</v>
      </c>
      <c r="K5070" s="2" t="s">
        <v>18705</v>
      </c>
      <c r="L5070" s="2" t="s">
        <v>9264</v>
      </c>
      <c r="M5070" s="2">
        <v>5032.0</v>
      </c>
      <c r="N5070" s="2" t="s">
        <v>21</v>
      </c>
    </row>
    <row r="5071" ht="15.75" customHeight="1">
      <c r="A5071" s="2">
        <v>2015.0</v>
      </c>
      <c r="B5071" s="2" t="s">
        <v>22535</v>
      </c>
      <c r="C5071" s="2" t="s">
        <v>22536</v>
      </c>
      <c r="D5071" s="2" t="str">
        <f>"905-628-5124"</f>
        <v>905-628-5124</v>
      </c>
      <c r="E5071" s="2" t="s">
        <v>339</v>
      </c>
      <c r="F5071" s="2" t="s">
        <v>22537</v>
      </c>
      <c r="G5071" s="2" t="str">
        <f>"SR-6914"</f>
        <v>SR-6914</v>
      </c>
      <c r="H5071" s="2" t="s">
        <v>22538</v>
      </c>
      <c r="I5071" s="2" t="s">
        <v>22539</v>
      </c>
      <c r="K5071" s="2" t="s">
        <v>22540</v>
      </c>
      <c r="N5071" s="2" t="s">
        <v>1602</v>
      </c>
    </row>
    <row r="5072" ht="15.75" customHeight="1">
      <c r="A5072" s="2">
        <v>2015.0</v>
      </c>
      <c r="B5072" s="2" t="s">
        <v>22541</v>
      </c>
      <c r="C5072" s="2" t="s">
        <v>22541</v>
      </c>
      <c r="D5072" s="2" t="str">
        <f>"9726796529"</f>
        <v>9726796529</v>
      </c>
      <c r="E5072" s="2" t="s">
        <v>22542</v>
      </c>
      <c r="F5072" s="2" t="s">
        <v>22543</v>
      </c>
      <c r="G5072" s="2" t="str">
        <f>"SR-5731"</f>
        <v>SR-5731</v>
      </c>
      <c r="H5072" s="2" t="s">
        <v>22544</v>
      </c>
      <c r="I5072" s="2" t="s">
        <v>22545</v>
      </c>
      <c r="K5072" s="2" t="s">
        <v>1054</v>
      </c>
      <c r="L5072" s="2" t="s">
        <v>172</v>
      </c>
      <c r="M5072" s="2">
        <v>75002.0</v>
      </c>
      <c r="N5072" s="2" t="s">
        <v>21</v>
      </c>
    </row>
    <row r="5073" ht="15.75" customHeight="1">
      <c r="A5073" s="2">
        <v>2015.0</v>
      </c>
      <c r="B5073" s="2" t="s">
        <v>22546</v>
      </c>
      <c r="C5073" s="2" t="s">
        <v>22546</v>
      </c>
      <c r="D5073" s="2" t="str">
        <f>"614-348-2332"</f>
        <v>614-348-2332</v>
      </c>
      <c r="E5073" s="2" t="s">
        <v>3597</v>
      </c>
      <c r="F5073" s="2" t="s">
        <v>21956</v>
      </c>
      <c r="G5073" s="2" t="str">
        <f>"SR-6850"</f>
        <v>SR-6850</v>
      </c>
      <c r="H5073" s="2" t="s">
        <v>22547</v>
      </c>
      <c r="I5073" s="2" t="s">
        <v>22548</v>
      </c>
      <c r="K5073" s="2" t="s">
        <v>2421</v>
      </c>
      <c r="L5073" s="2" t="s">
        <v>344</v>
      </c>
      <c r="M5073" s="2">
        <v>43221.0</v>
      </c>
      <c r="N5073" s="2" t="s">
        <v>21</v>
      </c>
    </row>
    <row r="5074" ht="15.75" customHeight="1">
      <c r="A5074" s="2">
        <v>2015.0</v>
      </c>
      <c r="B5074" s="2" t="s">
        <v>22549</v>
      </c>
      <c r="C5074" s="2" t="s">
        <v>22549</v>
      </c>
      <c r="D5074" s="2" t="str">
        <f>"719-377-7040"</f>
        <v>719-377-7040</v>
      </c>
      <c r="E5074" s="2" t="s">
        <v>13027</v>
      </c>
      <c r="F5074" s="2" t="s">
        <v>962</v>
      </c>
      <c r="G5074" s="2" t="str">
        <f>"SR-6395"</f>
        <v>SR-6395</v>
      </c>
      <c r="H5074" s="2" t="s">
        <v>13028</v>
      </c>
      <c r="I5074" s="2" t="s">
        <v>22550</v>
      </c>
      <c r="K5074" s="2" t="s">
        <v>809</v>
      </c>
      <c r="L5074" s="2" t="s">
        <v>157</v>
      </c>
      <c r="M5074" s="2">
        <v>80908.0</v>
      </c>
      <c r="N5074" s="2" t="s">
        <v>21</v>
      </c>
    </row>
    <row r="5075" ht="15.75" customHeight="1">
      <c r="A5075" s="2">
        <v>2015.0</v>
      </c>
      <c r="B5075" s="2" t="s">
        <v>22551</v>
      </c>
      <c r="C5075" s="2" t="s">
        <v>22552</v>
      </c>
      <c r="D5075" s="2" t="str">
        <f>"5138017055"</f>
        <v>5138017055</v>
      </c>
      <c r="E5075" s="2" t="s">
        <v>453</v>
      </c>
      <c r="F5075" s="2" t="s">
        <v>486</v>
      </c>
      <c r="G5075" s="2" t="str">
        <f>"SR-6919"</f>
        <v>SR-6919</v>
      </c>
      <c r="H5075" s="2" t="s">
        <v>22553</v>
      </c>
      <c r="I5075" s="2" t="s">
        <v>22554</v>
      </c>
      <c r="K5075" s="2" t="s">
        <v>22555</v>
      </c>
      <c r="L5075" s="2" t="s">
        <v>214</v>
      </c>
      <c r="M5075" s="2">
        <v>65020.0</v>
      </c>
      <c r="N5075" s="2" t="s">
        <v>21</v>
      </c>
    </row>
    <row r="5076" ht="15.75" customHeight="1">
      <c r="A5076" s="2">
        <v>2015.0</v>
      </c>
      <c r="B5076" s="2" t="s">
        <v>22556</v>
      </c>
      <c r="C5076" s="2" t="s">
        <v>22557</v>
      </c>
      <c r="D5076" s="2" t="str">
        <f>"210-497-2626"</f>
        <v>210-497-2626</v>
      </c>
      <c r="E5076" s="2" t="s">
        <v>22558</v>
      </c>
      <c r="F5076" s="2" t="s">
        <v>10653</v>
      </c>
      <c r="G5076" s="2" t="str">
        <f>"SR-6325"</f>
        <v>SR-6325</v>
      </c>
      <c r="H5076" s="2" t="s">
        <v>22559</v>
      </c>
      <c r="I5076" s="2" t="s">
        <v>22560</v>
      </c>
      <c r="K5076" s="2" t="s">
        <v>632</v>
      </c>
      <c r="L5076" s="2" t="s">
        <v>172</v>
      </c>
      <c r="M5076" s="2">
        <v>78258.0</v>
      </c>
      <c r="N5076" s="2" t="s">
        <v>21</v>
      </c>
    </row>
    <row r="5077" ht="15.75" customHeight="1">
      <c r="A5077" s="2">
        <v>2015.0</v>
      </c>
      <c r="B5077" s="2" t="s">
        <v>22561</v>
      </c>
      <c r="C5077" s="2" t="s">
        <v>22562</v>
      </c>
      <c r="D5077" s="2" t="str">
        <f>"8137516685"</f>
        <v>8137516685</v>
      </c>
      <c r="E5077" s="2" t="s">
        <v>15</v>
      </c>
      <c r="F5077" s="2" t="s">
        <v>22563</v>
      </c>
      <c r="G5077" s="2" t="str">
        <f>"SR-5066"</f>
        <v>SR-5066</v>
      </c>
      <c r="H5077" s="2" t="s">
        <v>22564</v>
      </c>
      <c r="I5077" s="2" t="s">
        <v>22565</v>
      </c>
      <c r="J5077" s="2" t="s">
        <v>22566</v>
      </c>
      <c r="K5077" s="2" t="s">
        <v>15291</v>
      </c>
      <c r="L5077" s="2" t="s">
        <v>172</v>
      </c>
      <c r="M5077" s="2">
        <v>76040.0</v>
      </c>
      <c r="N5077" s="2" t="s">
        <v>21</v>
      </c>
    </row>
    <row r="5078" ht="15.75" customHeight="1">
      <c r="A5078" s="2">
        <v>2015.0</v>
      </c>
      <c r="B5078" s="2" t="s">
        <v>22567</v>
      </c>
      <c r="C5078" s="2" t="s">
        <v>22567</v>
      </c>
      <c r="D5078" s="2" t="str">
        <f>"(423) 745-5661"</f>
        <v>(423) 745-5661</v>
      </c>
      <c r="E5078" s="2" t="s">
        <v>57</v>
      </c>
      <c r="F5078" s="2" t="s">
        <v>5105</v>
      </c>
      <c r="G5078" s="2" t="str">
        <f>"SR-6127"</f>
        <v>SR-6127</v>
      </c>
      <c r="H5078" s="2" t="s">
        <v>22568</v>
      </c>
      <c r="I5078" s="2" t="s">
        <v>5107</v>
      </c>
      <c r="K5078" s="2" t="s">
        <v>5108</v>
      </c>
      <c r="L5078" s="2" t="s">
        <v>279</v>
      </c>
      <c r="M5078" s="2">
        <v>37303.0</v>
      </c>
      <c r="N5078" s="2" t="s">
        <v>21</v>
      </c>
    </row>
    <row r="5079" ht="15.75" customHeight="1">
      <c r="A5079" s="2">
        <v>2015.0</v>
      </c>
      <c r="B5079" s="2" t="s">
        <v>22504</v>
      </c>
      <c r="C5079" s="2" t="s">
        <v>22569</v>
      </c>
      <c r="D5079" s="2" t="str">
        <f>"858-755-5856"</f>
        <v>858-755-5856</v>
      </c>
      <c r="E5079" s="2" t="s">
        <v>261</v>
      </c>
      <c r="F5079" s="2" t="s">
        <v>2753</v>
      </c>
      <c r="G5079" s="2" t="str">
        <f>"SR-6904"</f>
        <v>SR-6904</v>
      </c>
      <c r="H5079" s="2" t="s">
        <v>22570</v>
      </c>
      <c r="I5079" s="2" t="s">
        <v>22571</v>
      </c>
      <c r="K5079" s="2" t="s">
        <v>8250</v>
      </c>
      <c r="L5079" s="2" t="s">
        <v>222</v>
      </c>
      <c r="M5079" s="2">
        <v>92130.0</v>
      </c>
      <c r="N5079" s="2" t="s">
        <v>21</v>
      </c>
    </row>
    <row r="5080" ht="15.75" customHeight="1">
      <c r="A5080" s="2">
        <v>2015.0</v>
      </c>
      <c r="B5080" s="2" t="s">
        <v>22572</v>
      </c>
      <c r="C5080" s="2" t="s">
        <v>22573</v>
      </c>
      <c r="D5080" s="2" t="str">
        <f>"971-272-5587"</f>
        <v>971-272-5587</v>
      </c>
      <c r="E5080" s="2" t="s">
        <v>72</v>
      </c>
      <c r="F5080" s="2" t="s">
        <v>5300</v>
      </c>
      <c r="G5080" s="2" t="str">
        <f>"SR-6925"</f>
        <v>SR-6925</v>
      </c>
      <c r="H5080" s="2" t="s">
        <v>22574</v>
      </c>
      <c r="I5080" s="2" t="s">
        <v>22575</v>
      </c>
      <c r="K5080" s="2" t="s">
        <v>22576</v>
      </c>
      <c r="L5080" s="2" t="s">
        <v>2389</v>
      </c>
      <c r="M5080" s="2">
        <v>97070.0</v>
      </c>
      <c r="N5080" s="2" t="s">
        <v>21</v>
      </c>
    </row>
    <row r="5081" ht="15.75" customHeight="1">
      <c r="A5081" s="2">
        <v>2015.0</v>
      </c>
      <c r="B5081" s="2" t="s">
        <v>22577</v>
      </c>
      <c r="C5081" s="2" t="s">
        <v>22578</v>
      </c>
      <c r="D5081" s="2" t="str">
        <f>"423-949-6433"</f>
        <v>423-949-6433</v>
      </c>
      <c r="E5081" s="2" t="s">
        <v>456</v>
      </c>
      <c r="F5081" s="2" t="s">
        <v>22579</v>
      </c>
      <c r="G5081" s="2" t="str">
        <f>"SR-6876"</f>
        <v>SR-6876</v>
      </c>
      <c r="H5081" s="2" t="s">
        <v>22580</v>
      </c>
      <c r="I5081" s="2" t="s">
        <v>22581</v>
      </c>
      <c r="K5081" s="2" t="s">
        <v>16736</v>
      </c>
      <c r="L5081" s="2" t="s">
        <v>279</v>
      </c>
      <c r="M5081" s="2">
        <v>37327.0</v>
      </c>
      <c r="N5081" s="2" t="s">
        <v>21</v>
      </c>
    </row>
    <row r="5082" ht="15.75" customHeight="1">
      <c r="A5082" s="2">
        <v>2015.0</v>
      </c>
      <c r="B5082" s="2" t="s">
        <v>12357</v>
      </c>
      <c r="C5082" s="2" t="s">
        <v>12357</v>
      </c>
      <c r="D5082" s="2" t="str">
        <f>"513 484 7145"</f>
        <v>513 484 7145</v>
      </c>
      <c r="E5082" s="2" t="s">
        <v>938</v>
      </c>
      <c r="F5082" s="2" t="s">
        <v>12358</v>
      </c>
      <c r="G5082" s="2" t="str">
        <f>"SR-3619"</f>
        <v>SR-3619</v>
      </c>
      <c r="H5082" s="2" t="s">
        <v>12359</v>
      </c>
      <c r="I5082" s="2" t="s">
        <v>12360</v>
      </c>
      <c r="K5082" s="2" t="s">
        <v>12361</v>
      </c>
      <c r="L5082" s="2" t="s">
        <v>344</v>
      </c>
      <c r="M5082" s="2">
        <v>45242.0</v>
      </c>
      <c r="N5082" s="2" t="s">
        <v>21</v>
      </c>
    </row>
    <row r="5083" ht="15.75" customHeight="1">
      <c r="A5083" s="2">
        <v>2015.0</v>
      </c>
      <c r="B5083" s="2" t="s">
        <v>22582</v>
      </c>
      <c r="C5083" s="2" t="s">
        <v>22583</v>
      </c>
      <c r="D5083" s="2" t="str">
        <f>"8433838556"</f>
        <v>8433838556</v>
      </c>
      <c r="E5083" s="2" t="s">
        <v>485</v>
      </c>
      <c r="F5083" s="2" t="s">
        <v>22584</v>
      </c>
      <c r="G5083" s="2" t="str">
        <f>"SR-6931"</f>
        <v>SR-6931</v>
      </c>
      <c r="H5083" s="2" t="s">
        <v>22585</v>
      </c>
      <c r="I5083" s="2" t="s">
        <v>22586</v>
      </c>
      <c r="K5083" s="2" t="s">
        <v>22587</v>
      </c>
      <c r="L5083" s="2" t="s">
        <v>55</v>
      </c>
      <c r="M5083" s="2">
        <v>29069.0</v>
      </c>
      <c r="N5083" s="2" t="s">
        <v>21</v>
      </c>
    </row>
    <row r="5084" ht="15.75" customHeight="1">
      <c r="A5084" s="2">
        <v>2015.0</v>
      </c>
      <c r="B5084" s="2" t="s">
        <v>12357</v>
      </c>
      <c r="C5084" s="2" t="s">
        <v>12357</v>
      </c>
      <c r="D5084" s="2" t="str">
        <f>"513 484 7145"</f>
        <v>513 484 7145</v>
      </c>
      <c r="E5084" s="2" t="s">
        <v>2598</v>
      </c>
      <c r="F5084" s="2" t="s">
        <v>12358</v>
      </c>
      <c r="G5084" s="2" t="str">
        <f>"SR-6923"</f>
        <v>SR-6923</v>
      </c>
      <c r="H5084" s="2" t="s">
        <v>22588</v>
      </c>
      <c r="I5084" s="2" t="s">
        <v>22589</v>
      </c>
      <c r="K5084" s="2" t="s">
        <v>10119</v>
      </c>
      <c r="L5084" s="2" t="s">
        <v>344</v>
      </c>
      <c r="M5084" s="2">
        <v>45242.0</v>
      </c>
      <c r="N5084" s="2" t="s">
        <v>21</v>
      </c>
    </row>
    <row r="5085" ht="15.75" customHeight="1">
      <c r="A5085" s="2">
        <v>2015.0</v>
      </c>
      <c r="B5085" s="2" t="s">
        <v>22590</v>
      </c>
      <c r="C5085" s="2" t="s">
        <v>22591</v>
      </c>
      <c r="D5085" s="2" t="str">
        <f>"7065507795"</f>
        <v>7065507795</v>
      </c>
      <c r="E5085" s="2" t="s">
        <v>1257</v>
      </c>
      <c r="F5085" s="2" t="s">
        <v>2936</v>
      </c>
      <c r="G5085" s="2" t="str">
        <f>"SR-6548"</f>
        <v>SR-6548</v>
      </c>
      <c r="H5085" s="2" t="s">
        <v>22592</v>
      </c>
      <c r="I5085" s="2" t="s">
        <v>22593</v>
      </c>
      <c r="K5085" s="2" t="s">
        <v>199</v>
      </c>
      <c r="L5085" s="2" t="s">
        <v>200</v>
      </c>
      <c r="M5085" s="2">
        <v>30907.0</v>
      </c>
      <c r="N5085" s="2" t="s">
        <v>21</v>
      </c>
    </row>
    <row r="5086" ht="15.75" customHeight="1">
      <c r="A5086" s="2">
        <v>2015.0</v>
      </c>
      <c r="B5086" s="2" t="s">
        <v>15921</v>
      </c>
      <c r="C5086" s="2" t="s">
        <v>15922</v>
      </c>
      <c r="D5086" s="2" t="str">
        <f>"720-937-6722"</f>
        <v>720-937-6722</v>
      </c>
      <c r="E5086" s="2" t="s">
        <v>2912</v>
      </c>
      <c r="F5086" s="2" t="s">
        <v>15923</v>
      </c>
      <c r="G5086" s="2" t="str">
        <f>"SR-4350"</f>
        <v>SR-4350</v>
      </c>
      <c r="H5086" s="2" t="s">
        <v>15924</v>
      </c>
      <c r="I5086" s="2" t="s">
        <v>15925</v>
      </c>
      <c r="K5086" s="2" t="s">
        <v>992</v>
      </c>
      <c r="L5086" s="2" t="s">
        <v>157</v>
      </c>
      <c r="M5086" s="2">
        <v>80112.0</v>
      </c>
      <c r="N5086" s="2" t="s">
        <v>21</v>
      </c>
    </row>
    <row r="5087" ht="15.75" customHeight="1">
      <c r="A5087" s="2">
        <v>2015.0</v>
      </c>
      <c r="B5087" s="2" t="s">
        <v>22594</v>
      </c>
      <c r="C5087" s="2" t="s">
        <v>22595</v>
      </c>
      <c r="D5087" s="2" t="str">
        <f>"6155856170"</f>
        <v>6155856170</v>
      </c>
      <c r="E5087" s="2" t="s">
        <v>453</v>
      </c>
      <c r="F5087" s="2" t="s">
        <v>1988</v>
      </c>
      <c r="G5087" s="2" t="str">
        <f>"SR-6887"</f>
        <v>SR-6887</v>
      </c>
      <c r="H5087" s="2" t="s">
        <v>22596</v>
      </c>
      <c r="I5087" s="2" t="s">
        <v>22597</v>
      </c>
      <c r="K5087" s="2" t="s">
        <v>7445</v>
      </c>
      <c r="L5087" s="2" t="s">
        <v>279</v>
      </c>
      <c r="M5087" s="2">
        <v>37174.0</v>
      </c>
      <c r="N5087" s="2" t="s">
        <v>21</v>
      </c>
    </row>
    <row r="5088" ht="15.75" customHeight="1">
      <c r="A5088" s="2">
        <v>2015.0</v>
      </c>
      <c r="B5088" s="2" t="s">
        <v>22598</v>
      </c>
      <c r="C5088" s="2" t="s">
        <v>22599</v>
      </c>
      <c r="D5088" s="2" t="str">
        <f>"6784453381"</f>
        <v>6784453381</v>
      </c>
      <c r="E5088" s="2" t="s">
        <v>534</v>
      </c>
      <c r="F5088" s="2" t="s">
        <v>1101</v>
      </c>
      <c r="G5088" s="2" t="str">
        <f>"SR-4654"</f>
        <v>SR-4654</v>
      </c>
      <c r="H5088" s="2" t="s">
        <v>22600</v>
      </c>
      <c r="I5088" s="2" t="s">
        <v>22601</v>
      </c>
      <c r="K5088" s="2" t="s">
        <v>16017</v>
      </c>
      <c r="L5088" s="2" t="s">
        <v>200</v>
      </c>
      <c r="M5088" s="2">
        <v>30114.0</v>
      </c>
      <c r="N5088" s="2" t="s">
        <v>21</v>
      </c>
    </row>
    <row r="5089" ht="15.75" customHeight="1">
      <c r="A5089" s="2">
        <v>2015.0</v>
      </c>
      <c r="B5089" s="2" t="s">
        <v>12115</v>
      </c>
      <c r="D5089" s="2" t="str">
        <f>""</f>
        <v/>
      </c>
      <c r="E5089" s="2" t="s">
        <v>12116</v>
      </c>
      <c r="F5089" s="2" t="s">
        <v>2902</v>
      </c>
      <c r="G5089" s="2" t="str">
        <f>"SR-3334"</f>
        <v>SR-3334</v>
      </c>
      <c r="H5089" s="2" t="s">
        <v>12117</v>
      </c>
      <c r="N5089" s="2" t="s">
        <v>21</v>
      </c>
    </row>
    <row r="5090" ht="15.75" customHeight="1">
      <c r="A5090" s="2">
        <v>2015.0</v>
      </c>
      <c r="B5090" s="2" t="s">
        <v>22602</v>
      </c>
      <c r="C5090" s="2" t="s">
        <v>22603</v>
      </c>
      <c r="D5090" s="2" t="str">
        <f>"936-273-6477"</f>
        <v>936-273-6477</v>
      </c>
      <c r="E5090" s="2" t="s">
        <v>22604</v>
      </c>
      <c r="F5090" s="2" t="s">
        <v>711</v>
      </c>
      <c r="G5090" s="2" t="str">
        <f>"SR-6937"</f>
        <v>SR-6937</v>
      </c>
      <c r="H5090" s="2" t="s">
        <v>22605</v>
      </c>
      <c r="I5090" s="2" t="s">
        <v>22606</v>
      </c>
      <c r="K5090" s="2" t="s">
        <v>5404</v>
      </c>
      <c r="L5090" s="2" t="s">
        <v>172</v>
      </c>
      <c r="M5090" s="2">
        <v>77354.0</v>
      </c>
      <c r="N5090" s="2" t="s">
        <v>21</v>
      </c>
    </row>
    <row r="5091" ht="15.75" customHeight="1">
      <c r="A5091" s="2">
        <v>2015.0</v>
      </c>
      <c r="B5091" s="2" t="s">
        <v>22607</v>
      </c>
      <c r="C5091" s="2" t="s">
        <v>22608</v>
      </c>
      <c r="D5091" s="2" t="str">
        <f>"515-266-5519"</f>
        <v>515-266-5519</v>
      </c>
      <c r="E5091" s="2" t="s">
        <v>22609</v>
      </c>
      <c r="F5091" s="2" t="s">
        <v>19878</v>
      </c>
      <c r="G5091" s="2" t="str">
        <f>"SR-6913"</f>
        <v>SR-6913</v>
      </c>
      <c r="H5091" s="2" t="s">
        <v>22610</v>
      </c>
      <c r="I5091" s="2" t="s">
        <v>22611</v>
      </c>
      <c r="K5091" s="2" t="s">
        <v>1996</v>
      </c>
      <c r="L5091" s="2" t="s">
        <v>560</v>
      </c>
      <c r="M5091" s="2">
        <v>50310.0</v>
      </c>
      <c r="N5091" s="2" t="s">
        <v>21</v>
      </c>
    </row>
    <row r="5092" ht="15.75" customHeight="1">
      <c r="A5092" s="2">
        <v>2015.0</v>
      </c>
      <c r="B5092" s="2" t="s">
        <v>22612</v>
      </c>
      <c r="C5092" s="2" t="s">
        <v>22613</v>
      </c>
      <c r="D5092" s="2" t="str">
        <f>"9524041345"</f>
        <v>9524041345</v>
      </c>
      <c r="E5092" s="2" t="s">
        <v>651</v>
      </c>
      <c r="F5092" s="2" t="s">
        <v>22614</v>
      </c>
      <c r="G5092" s="2" t="str">
        <f>"SR-6918"</f>
        <v>SR-6918</v>
      </c>
      <c r="H5092" s="2" t="s">
        <v>22615</v>
      </c>
      <c r="I5092" s="2" t="s">
        <v>22616</v>
      </c>
      <c r="K5092" s="2" t="s">
        <v>4944</v>
      </c>
      <c r="L5092" s="2" t="s">
        <v>62</v>
      </c>
      <c r="M5092" s="2">
        <v>55345.0</v>
      </c>
      <c r="N5092" s="2" t="s">
        <v>21</v>
      </c>
    </row>
    <row r="5093" ht="15.75" customHeight="1">
      <c r="A5093" s="2">
        <v>2015.0</v>
      </c>
      <c r="B5093" s="2" t="s">
        <v>22617</v>
      </c>
      <c r="C5093" s="2" t="s">
        <v>22617</v>
      </c>
      <c r="D5093" s="2" t="str">
        <f>"(281) 431-7331"</f>
        <v>(281) 431-7331</v>
      </c>
      <c r="E5093" s="2" t="s">
        <v>4782</v>
      </c>
      <c r="F5093" s="2" t="s">
        <v>22618</v>
      </c>
      <c r="G5093" s="2" t="str">
        <f>"SR-6938"</f>
        <v>SR-6938</v>
      </c>
      <c r="H5093" s="2" t="s">
        <v>22619</v>
      </c>
      <c r="I5093" s="2" t="s">
        <v>22620</v>
      </c>
      <c r="K5093" s="2" t="s">
        <v>22621</v>
      </c>
      <c r="L5093" s="2" t="s">
        <v>172</v>
      </c>
      <c r="M5093" s="2">
        <v>77583.0</v>
      </c>
      <c r="N5093" s="2" t="s">
        <v>21</v>
      </c>
    </row>
    <row r="5094" ht="15.75" customHeight="1">
      <c r="A5094" s="2">
        <v>2015.0</v>
      </c>
      <c r="B5094" s="2" t="s">
        <v>22622</v>
      </c>
      <c r="C5094" s="2" t="s">
        <v>22623</v>
      </c>
      <c r="D5094" s="2" t="str">
        <f>"360-791-5115"</f>
        <v>360-791-5115</v>
      </c>
      <c r="E5094" s="2" t="s">
        <v>1585</v>
      </c>
      <c r="F5094" s="2" t="s">
        <v>493</v>
      </c>
      <c r="G5094" s="2" t="str">
        <f>"SR-6942"</f>
        <v>SR-6942</v>
      </c>
      <c r="H5094" s="2" t="s">
        <v>22624</v>
      </c>
      <c r="I5094" s="2" t="s">
        <v>22625</v>
      </c>
      <c r="K5094" s="2" t="s">
        <v>22626</v>
      </c>
      <c r="L5094" s="2" t="s">
        <v>86</v>
      </c>
      <c r="M5094" s="2">
        <v>98506.0</v>
      </c>
      <c r="N5094" s="2" t="s">
        <v>21</v>
      </c>
    </row>
    <row r="5095" ht="15.75" customHeight="1">
      <c r="A5095" s="2">
        <v>2015.0</v>
      </c>
      <c r="B5095" s="2" t="s">
        <v>22627</v>
      </c>
      <c r="C5095" s="2" t="s">
        <v>22627</v>
      </c>
      <c r="D5095" s="2" t="str">
        <f>"2294544622"</f>
        <v>2294544622</v>
      </c>
      <c r="E5095" s="2" t="s">
        <v>22628</v>
      </c>
      <c r="F5095" s="2" t="s">
        <v>6655</v>
      </c>
      <c r="G5095" s="2" t="str">
        <f>"SR-6939"</f>
        <v>SR-6939</v>
      </c>
      <c r="H5095" s="2" t="s">
        <v>22629</v>
      </c>
      <c r="I5095" s="2" t="s">
        <v>22630</v>
      </c>
      <c r="K5095" s="2" t="s">
        <v>5600</v>
      </c>
      <c r="L5095" s="2" t="s">
        <v>539</v>
      </c>
      <c r="M5095" s="2">
        <v>35226.0</v>
      </c>
      <c r="N5095" s="2" t="s">
        <v>21</v>
      </c>
    </row>
    <row r="5096" ht="15.75" customHeight="1">
      <c r="A5096" s="2">
        <v>2015.0</v>
      </c>
      <c r="B5096" s="2" t="s">
        <v>22631</v>
      </c>
      <c r="C5096" s="2" t="s">
        <v>22631</v>
      </c>
      <c r="D5096" s="2" t="str">
        <f>"3302454665"</f>
        <v>3302454665</v>
      </c>
      <c r="E5096" s="2" t="s">
        <v>22632</v>
      </c>
      <c r="F5096" s="2" t="s">
        <v>22633</v>
      </c>
      <c r="G5096" s="2" t="str">
        <f>"SR-6941"</f>
        <v>SR-6941</v>
      </c>
      <c r="H5096" s="2" t="s">
        <v>22634</v>
      </c>
      <c r="I5096" s="2" t="s">
        <v>22635</v>
      </c>
      <c r="K5096" s="2" t="s">
        <v>22636</v>
      </c>
      <c r="L5096" s="2" t="s">
        <v>344</v>
      </c>
      <c r="M5096" s="2">
        <v>44321.0</v>
      </c>
      <c r="N5096" s="2" t="s">
        <v>21</v>
      </c>
    </row>
    <row r="5097" ht="15.75" customHeight="1">
      <c r="A5097" s="2">
        <v>2015.0</v>
      </c>
      <c r="B5097" s="2" t="s">
        <v>22637</v>
      </c>
      <c r="C5097" s="2" t="s">
        <v>22637</v>
      </c>
      <c r="D5097" s="2" t="str">
        <f>"2259073115"</f>
        <v>2259073115</v>
      </c>
      <c r="E5097" s="2" t="s">
        <v>2243</v>
      </c>
      <c r="F5097" s="2" t="s">
        <v>2598</v>
      </c>
      <c r="G5097" s="2" t="str">
        <f>"SR-6600"</f>
        <v>SR-6600</v>
      </c>
      <c r="H5097" s="2" t="s">
        <v>22638</v>
      </c>
      <c r="I5097" s="2" t="s">
        <v>22639</v>
      </c>
      <c r="K5097" s="2" t="s">
        <v>2784</v>
      </c>
      <c r="L5097" s="2" t="s">
        <v>715</v>
      </c>
      <c r="M5097" s="2">
        <v>70754.0</v>
      </c>
      <c r="N5097" s="2" t="s">
        <v>21</v>
      </c>
    </row>
    <row r="5098" ht="15.75" customHeight="1">
      <c r="A5098" s="2">
        <v>2015.0</v>
      </c>
      <c r="B5098" s="2" t="s">
        <v>22640</v>
      </c>
      <c r="C5098" s="2" t="s">
        <v>22641</v>
      </c>
      <c r="D5098" s="2" t="str">
        <f>"7194882344"</f>
        <v>7194882344</v>
      </c>
      <c r="E5098" s="2" t="s">
        <v>144</v>
      </c>
      <c r="F5098" s="2" t="s">
        <v>6655</v>
      </c>
      <c r="G5098" s="2" t="str">
        <f>"SR-6945"</f>
        <v>SR-6945</v>
      </c>
      <c r="H5098" s="2" t="s">
        <v>22642</v>
      </c>
      <c r="I5098" s="2" t="s">
        <v>22643</v>
      </c>
      <c r="K5098" s="2" t="s">
        <v>809</v>
      </c>
      <c r="L5098" s="2" t="s">
        <v>157</v>
      </c>
      <c r="M5098" s="2">
        <v>80921.0</v>
      </c>
      <c r="N5098" s="2" t="s">
        <v>21</v>
      </c>
    </row>
    <row r="5099" ht="15.75" customHeight="1">
      <c r="A5099" s="2">
        <v>2015.0</v>
      </c>
      <c r="B5099" s="2" t="s">
        <v>22644</v>
      </c>
      <c r="C5099" s="2" t="s">
        <v>22644</v>
      </c>
      <c r="D5099" s="2" t="str">
        <f>"6617476008"</f>
        <v>6617476008</v>
      </c>
      <c r="E5099" s="2" t="s">
        <v>644</v>
      </c>
      <c r="F5099" s="2" t="s">
        <v>1870</v>
      </c>
      <c r="G5099" s="2" t="str">
        <f>"SR-6947"</f>
        <v>SR-6947</v>
      </c>
      <c r="H5099" s="2" t="s">
        <v>22645</v>
      </c>
      <c r="I5099" s="2" t="s">
        <v>22646</v>
      </c>
      <c r="K5099" s="2" t="s">
        <v>11198</v>
      </c>
      <c r="L5099" s="2" t="s">
        <v>222</v>
      </c>
      <c r="M5099" s="2">
        <v>93306.0</v>
      </c>
      <c r="N5099" s="2" t="s">
        <v>21</v>
      </c>
    </row>
    <row r="5100" ht="15.75" customHeight="1">
      <c r="A5100" s="2">
        <v>2015.0</v>
      </c>
      <c r="B5100" s="2" t="s">
        <v>22647</v>
      </c>
      <c r="C5100" s="2" t="s">
        <v>22648</v>
      </c>
      <c r="D5100" s="2" t="str">
        <f>"2147694593"</f>
        <v>2147694593</v>
      </c>
      <c r="E5100" s="2" t="s">
        <v>22649</v>
      </c>
      <c r="F5100" s="2" t="s">
        <v>15923</v>
      </c>
      <c r="G5100" s="2" t="str">
        <f>"SR-6922"</f>
        <v>SR-6922</v>
      </c>
      <c r="H5100" s="2" t="s">
        <v>22650</v>
      </c>
      <c r="I5100" s="2" t="s">
        <v>22651</v>
      </c>
      <c r="K5100" s="2" t="s">
        <v>740</v>
      </c>
      <c r="L5100" s="2" t="s">
        <v>172</v>
      </c>
      <c r="M5100" s="2">
        <v>75050.0</v>
      </c>
      <c r="N5100" s="2" t="s">
        <v>21</v>
      </c>
    </row>
    <row r="5101" ht="15.75" customHeight="1">
      <c r="A5101" s="2">
        <v>2015.0</v>
      </c>
      <c r="B5101" s="2" t="s">
        <v>22652</v>
      </c>
      <c r="C5101" s="2" t="s">
        <v>22652</v>
      </c>
      <c r="D5101" s="2" t="str">
        <f>"2283245195"</f>
        <v>2283245195</v>
      </c>
      <c r="E5101" s="2" t="s">
        <v>22653</v>
      </c>
      <c r="F5101" s="2" t="s">
        <v>1257</v>
      </c>
      <c r="G5101" s="2" t="str">
        <f>"SR-4921"</f>
        <v>SR-4921</v>
      </c>
      <c r="H5101" s="2" t="s">
        <v>22654</v>
      </c>
      <c r="I5101" s="2" t="s">
        <v>22655</v>
      </c>
      <c r="K5101" s="2" t="s">
        <v>22656</v>
      </c>
      <c r="L5101" s="2" t="s">
        <v>1722</v>
      </c>
      <c r="M5101" s="2">
        <v>39571.0</v>
      </c>
      <c r="N5101" s="2" t="s">
        <v>21</v>
      </c>
    </row>
    <row r="5102" ht="15.75" customHeight="1">
      <c r="A5102" s="2">
        <v>2015.0</v>
      </c>
      <c r="B5102" s="2" t="s">
        <v>22657</v>
      </c>
      <c r="C5102" s="2" t="s">
        <v>22658</v>
      </c>
      <c r="D5102" s="2" t="str">
        <f>"8033482773"</f>
        <v>8033482773</v>
      </c>
      <c r="E5102" s="2" t="s">
        <v>2841</v>
      </c>
      <c r="F5102" s="2" t="s">
        <v>21651</v>
      </c>
      <c r="G5102" s="2" t="str">
        <f>"SR-6936"</f>
        <v>SR-6936</v>
      </c>
      <c r="H5102" s="2" t="s">
        <v>22659</v>
      </c>
      <c r="I5102" s="2" t="s">
        <v>22660</v>
      </c>
      <c r="K5102" s="2" t="s">
        <v>8479</v>
      </c>
      <c r="L5102" s="2" t="s">
        <v>55</v>
      </c>
      <c r="M5102" s="2">
        <v>29016.0</v>
      </c>
      <c r="N5102" s="2" t="s">
        <v>21</v>
      </c>
    </row>
    <row r="5103" ht="15.75" customHeight="1">
      <c r="A5103" s="2">
        <v>2015.0</v>
      </c>
      <c r="B5103" s="2" t="s">
        <v>22661</v>
      </c>
      <c r="C5103" s="2" t="s">
        <v>22662</v>
      </c>
      <c r="D5103" s="2" t="str">
        <f>"972-567-3710"</f>
        <v>972-567-3710</v>
      </c>
      <c r="E5103" s="2" t="s">
        <v>1548</v>
      </c>
      <c r="F5103" s="2" t="s">
        <v>22663</v>
      </c>
      <c r="G5103" s="2" t="str">
        <f>"SR-6085"</f>
        <v>SR-6085</v>
      </c>
      <c r="H5103" s="2" t="s">
        <v>22664</v>
      </c>
      <c r="I5103" s="2" t="s">
        <v>22665</v>
      </c>
      <c r="K5103" s="2" t="s">
        <v>6718</v>
      </c>
      <c r="L5103" s="2" t="s">
        <v>172</v>
      </c>
      <c r="M5103" s="2">
        <v>75002.0</v>
      </c>
      <c r="N5103" s="2" t="s">
        <v>21</v>
      </c>
    </row>
    <row r="5104" ht="15.75" customHeight="1">
      <c r="A5104" s="2">
        <v>2015.0</v>
      </c>
      <c r="B5104" s="2" t="s">
        <v>22666</v>
      </c>
      <c r="C5104" s="2" t="s">
        <v>22667</v>
      </c>
      <c r="D5104" s="2" t="str">
        <f>"205-999-1285"</f>
        <v>205-999-1285</v>
      </c>
      <c r="E5104" s="2" t="s">
        <v>908</v>
      </c>
      <c r="F5104" s="2" t="s">
        <v>8906</v>
      </c>
      <c r="G5104" s="2" t="str">
        <f>"SR-6944"</f>
        <v>SR-6944</v>
      </c>
      <c r="H5104" s="2" t="s">
        <v>22668</v>
      </c>
      <c r="I5104" s="2" t="s">
        <v>22669</v>
      </c>
      <c r="K5104" s="2" t="s">
        <v>1173</v>
      </c>
      <c r="L5104" s="2" t="s">
        <v>539</v>
      </c>
      <c r="M5104" s="2">
        <v>35205.0</v>
      </c>
      <c r="N5104" s="2" t="s">
        <v>21</v>
      </c>
    </row>
    <row r="5105" ht="15.75" customHeight="1">
      <c r="A5105" s="2">
        <v>2015.0</v>
      </c>
      <c r="B5105" s="2" t="s">
        <v>22670</v>
      </c>
      <c r="C5105" s="2" t="s">
        <v>22671</v>
      </c>
      <c r="D5105" s="2" t="str">
        <f>"8652551638"</f>
        <v>8652551638</v>
      </c>
      <c r="E5105" s="2" t="s">
        <v>11423</v>
      </c>
      <c r="F5105" s="2" t="s">
        <v>5035</v>
      </c>
      <c r="G5105" s="2" t="str">
        <f>"SR-6955"</f>
        <v>SR-6955</v>
      </c>
      <c r="H5105" s="2" t="s">
        <v>22672</v>
      </c>
      <c r="I5105" s="2" t="s">
        <v>22673</v>
      </c>
      <c r="K5105" s="2" t="s">
        <v>22167</v>
      </c>
      <c r="L5105" s="2" t="s">
        <v>279</v>
      </c>
      <c r="M5105" s="2">
        <v>37803.0</v>
      </c>
      <c r="N5105" s="2" t="s">
        <v>21</v>
      </c>
    </row>
    <row r="5106" ht="15.75" customHeight="1">
      <c r="A5106" s="2">
        <v>2015.0</v>
      </c>
      <c r="B5106" s="2" t="s">
        <v>22674</v>
      </c>
      <c r="C5106" s="2" t="s">
        <v>22674</v>
      </c>
      <c r="D5106" s="2" t="str">
        <f>"7206354619"</f>
        <v>7206354619</v>
      </c>
      <c r="E5106" s="2" t="s">
        <v>890</v>
      </c>
      <c r="F5106" s="2" t="s">
        <v>22675</v>
      </c>
      <c r="G5106" s="2" t="str">
        <f>"SR-6599"</f>
        <v>SR-6599</v>
      </c>
      <c r="H5106" s="2" t="s">
        <v>22676</v>
      </c>
      <c r="I5106" s="2" t="s">
        <v>22677</v>
      </c>
      <c r="K5106" s="2" t="s">
        <v>5179</v>
      </c>
      <c r="L5106" s="2" t="s">
        <v>157</v>
      </c>
      <c r="M5106" s="2">
        <v>80305.0</v>
      </c>
      <c r="N5106" s="2" t="s">
        <v>21</v>
      </c>
    </row>
    <row r="5107" ht="15.75" customHeight="1">
      <c r="A5107" s="2">
        <v>2015.0</v>
      </c>
      <c r="B5107" s="2" t="s">
        <v>22678</v>
      </c>
      <c r="C5107" s="2" t="s">
        <v>22679</v>
      </c>
      <c r="D5107" s="2" t="str">
        <f>"3309035749"</f>
        <v>3309035749</v>
      </c>
      <c r="E5107" s="2" t="s">
        <v>4322</v>
      </c>
      <c r="F5107" s="2" t="s">
        <v>22680</v>
      </c>
      <c r="G5107" s="2" t="str">
        <f>"SR-6962"</f>
        <v>SR-6962</v>
      </c>
      <c r="H5107" s="2" t="s">
        <v>22681</v>
      </c>
      <c r="I5107" s="2" t="s">
        <v>22682</v>
      </c>
      <c r="K5107" s="2" t="s">
        <v>11068</v>
      </c>
      <c r="L5107" s="2" t="s">
        <v>344</v>
      </c>
      <c r="M5107" s="2">
        <v>44720.0</v>
      </c>
      <c r="N5107" s="2" t="s">
        <v>21</v>
      </c>
    </row>
    <row r="5108" ht="15.75" customHeight="1">
      <c r="A5108" s="2">
        <v>2015.0</v>
      </c>
      <c r="B5108" s="2" t="s">
        <v>22683</v>
      </c>
      <c r="C5108" s="2" t="s">
        <v>22683</v>
      </c>
      <c r="D5108" s="2" t="str">
        <f>"9092234009"</f>
        <v>9092234009</v>
      </c>
      <c r="E5108" s="2" t="s">
        <v>9828</v>
      </c>
      <c r="F5108" s="2" t="s">
        <v>22684</v>
      </c>
      <c r="G5108" s="2" t="str">
        <f>"SR-6933"</f>
        <v>SR-6933</v>
      </c>
      <c r="H5108" s="2" t="s">
        <v>22685</v>
      </c>
      <c r="I5108" s="2" t="s">
        <v>22686</v>
      </c>
      <c r="K5108" s="2" t="s">
        <v>2015</v>
      </c>
      <c r="L5108" s="2" t="s">
        <v>222</v>
      </c>
      <c r="M5108" s="2">
        <v>91761.0</v>
      </c>
      <c r="N5108" s="2" t="s">
        <v>21</v>
      </c>
    </row>
    <row r="5109" ht="15.75" customHeight="1">
      <c r="A5109" s="2">
        <v>2015.0</v>
      </c>
      <c r="B5109" s="2" t="s">
        <v>22687</v>
      </c>
      <c r="C5109" s="2" t="s">
        <v>22687</v>
      </c>
      <c r="D5109" s="2" t="str">
        <f>"9096577687"</f>
        <v>9096577687</v>
      </c>
      <c r="E5109" s="2" t="s">
        <v>4787</v>
      </c>
      <c r="F5109" s="2" t="s">
        <v>22688</v>
      </c>
      <c r="G5109" s="2" t="str">
        <f>"SR-6934"</f>
        <v>SR-6934</v>
      </c>
      <c r="H5109" s="2" t="s">
        <v>22689</v>
      </c>
      <c r="I5109" s="2" t="s">
        <v>22690</v>
      </c>
      <c r="K5109" s="2" t="s">
        <v>2015</v>
      </c>
      <c r="L5109" s="2" t="s">
        <v>222</v>
      </c>
      <c r="M5109" s="2">
        <v>91762.0</v>
      </c>
      <c r="N5109" s="2" t="s">
        <v>21</v>
      </c>
    </row>
    <row r="5110" ht="15.75" customHeight="1">
      <c r="A5110" s="2">
        <v>2015.0</v>
      </c>
      <c r="B5110" s="2" t="s">
        <v>22691</v>
      </c>
      <c r="C5110" s="2" t="s">
        <v>22691</v>
      </c>
      <c r="D5110" s="2" t="str">
        <f>"3377816643"</f>
        <v>3377816643</v>
      </c>
      <c r="E5110" s="2" t="s">
        <v>2598</v>
      </c>
      <c r="F5110" s="2" t="s">
        <v>22692</v>
      </c>
      <c r="G5110" s="2" t="str">
        <f>"SR-6965"</f>
        <v>SR-6965</v>
      </c>
      <c r="H5110" s="2" t="s">
        <v>22693</v>
      </c>
      <c r="I5110" s="2" t="s">
        <v>22694</v>
      </c>
      <c r="K5110" s="2" t="s">
        <v>1178</v>
      </c>
      <c r="L5110" s="2" t="s">
        <v>715</v>
      </c>
      <c r="M5110" s="2">
        <v>70505.0</v>
      </c>
      <c r="N5110" s="2" t="s">
        <v>21</v>
      </c>
    </row>
    <row r="5111" ht="15.75" customHeight="1">
      <c r="A5111" s="2">
        <v>2015.0</v>
      </c>
      <c r="B5111" s="2" t="s">
        <v>22695</v>
      </c>
      <c r="C5111" s="2" t="s">
        <v>22695</v>
      </c>
      <c r="D5111" s="2" t="str">
        <f>"2523788900"</f>
        <v>2523788900</v>
      </c>
      <c r="E5111" s="2" t="s">
        <v>20920</v>
      </c>
      <c r="F5111" s="2" t="s">
        <v>11388</v>
      </c>
      <c r="G5111" s="2" t="str">
        <f>"SR-6851"</f>
        <v>SR-6851</v>
      </c>
      <c r="H5111" s="2" t="s">
        <v>22696</v>
      </c>
      <c r="I5111" s="2" t="s">
        <v>22697</v>
      </c>
      <c r="K5111" s="2" t="s">
        <v>22698</v>
      </c>
      <c r="L5111" s="2" t="s">
        <v>20</v>
      </c>
      <c r="M5111" s="2">
        <v>27837.0</v>
      </c>
      <c r="N5111" s="2" t="s">
        <v>21</v>
      </c>
    </row>
    <row r="5112" ht="15.75" customHeight="1">
      <c r="A5112" s="2">
        <v>2015.0</v>
      </c>
      <c r="B5112" s="2" t="s">
        <v>22699</v>
      </c>
      <c r="C5112" s="2" t="s">
        <v>22700</v>
      </c>
      <c r="D5112" s="2" t="str">
        <f>"7743924055"</f>
        <v>7743924055</v>
      </c>
      <c r="E5112" s="2" t="s">
        <v>22701</v>
      </c>
      <c r="F5112" s="2" t="s">
        <v>22702</v>
      </c>
      <c r="G5112" s="2" t="str">
        <f>"SR-6867"</f>
        <v>SR-6867</v>
      </c>
      <c r="H5112" s="2" t="s">
        <v>22703</v>
      </c>
      <c r="I5112" s="2" t="s">
        <v>22704</v>
      </c>
      <c r="K5112" s="2" t="s">
        <v>22705</v>
      </c>
      <c r="L5112" s="2" t="s">
        <v>4108</v>
      </c>
      <c r="M5112" s="2">
        <v>2536.0</v>
      </c>
      <c r="N5112" s="2" t="s">
        <v>21</v>
      </c>
    </row>
    <row r="5113" ht="15.75" customHeight="1">
      <c r="A5113" s="2">
        <v>2015.0</v>
      </c>
      <c r="B5113" s="2" t="s">
        <v>22706</v>
      </c>
      <c r="C5113" s="2" t="s">
        <v>22707</v>
      </c>
      <c r="D5113" s="2" t="str">
        <f>"2515641171"</f>
        <v>2515641171</v>
      </c>
      <c r="E5113" s="2" t="s">
        <v>7754</v>
      </c>
      <c r="F5113" s="2" t="s">
        <v>22708</v>
      </c>
      <c r="G5113" s="2" t="str">
        <f>"SR-6967"</f>
        <v>SR-6967</v>
      </c>
      <c r="H5113" s="2" t="s">
        <v>22709</v>
      </c>
      <c r="I5113" s="2" t="s">
        <v>22710</v>
      </c>
      <c r="K5113" s="2" t="s">
        <v>5293</v>
      </c>
      <c r="L5113" s="2" t="s">
        <v>539</v>
      </c>
      <c r="M5113" s="2">
        <v>36608.0</v>
      </c>
      <c r="N5113" s="2" t="s">
        <v>21</v>
      </c>
    </row>
    <row r="5114" ht="15.75" customHeight="1">
      <c r="A5114" s="2">
        <v>2015.0</v>
      </c>
      <c r="B5114" s="2" t="s">
        <v>22711</v>
      </c>
      <c r="C5114" s="2" t="s">
        <v>22711</v>
      </c>
      <c r="D5114" s="2" t="str">
        <f>"8065433303"</f>
        <v>8065433303</v>
      </c>
      <c r="E5114" s="2" t="s">
        <v>5991</v>
      </c>
      <c r="F5114" s="2" t="s">
        <v>22712</v>
      </c>
      <c r="G5114" s="2" t="str">
        <f>"SR-6924"</f>
        <v>SR-6924</v>
      </c>
      <c r="H5114" s="2" t="s">
        <v>22713</v>
      </c>
      <c r="I5114" s="2" t="s">
        <v>22714</v>
      </c>
      <c r="K5114" s="2" t="s">
        <v>1121</v>
      </c>
      <c r="L5114" s="2" t="s">
        <v>172</v>
      </c>
      <c r="M5114" s="2">
        <v>79424.0</v>
      </c>
      <c r="N5114" s="2" t="s">
        <v>21</v>
      </c>
    </row>
    <row r="5115" ht="15.75" customHeight="1">
      <c r="A5115" s="2">
        <v>2015.0</v>
      </c>
      <c r="B5115" s="2" t="s">
        <v>22715</v>
      </c>
      <c r="C5115" s="2" t="s">
        <v>22716</v>
      </c>
      <c r="D5115" s="2" t="str">
        <f>"864-313-0674"</f>
        <v>864-313-0674</v>
      </c>
      <c r="E5115" s="2" t="s">
        <v>72</v>
      </c>
      <c r="F5115" s="2" t="s">
        <v>1151</v>
      </c>
      <c r="G5115" s="2" t="str">
        <f>"SR-6971"</f>
        <v>SR-6971</v>
      </c>
      <c r="H5115" s="2" t="s">
        <v>22717</v>
      </c>
      <c r="I5115" s="2" t="s">
        <v>22718</v>
      </c>
      <c r="K5115" s="2" t="s">
        <v>54</v>
      </c>
      <c r="L5115" s="2" t="s">
        <v>55</v>
      </c>
      <c r="M5115" s="2">
        <v>29601.0</v>
      </c>
      <c r="N5115" s="2" t="s">
        <v>21</v>
      </c>
    </row>
    <row r="5116" ht="15.75" customHeight="1">
      <c r="A5116" s="2">
        <v>2015.0</v>
      </c>
      <c r="B5116" s="2" t="s">
        <v>22719</v>
      </c>
      <c r="C5116" s="2" t="s">
        <v>22719</v>
      </c>
      <c r="D5116" s="2" t="str">
        <f>"(209)536-1450"</f>
        <v>(209)536-1450</v>
      </c>
      <c r="E5116" s="2" t="s">
        <v>22720</v>
      </c>
      <c r="F5116" s="2" t="s">
        <v>22721</v>
      </c>
      <c r="G5116" s="2" t="str">
        <f>"SR-6365"</f>
        <v>SR-6365</v>
      </c>
      <c r="H5116" s="2" t="s">
        <v>22722</v>
      </c>
      <c r="I5116" s="2" t="s">
        <v>22723</v>
      </c>
      <c r="K5116" s="2" t="s">
        <v>22724</v>
      </c>
      <c r="L5116" s="2" t="s">
        <v>222</v>
      </c>
      <c r="M5116" s="2">
        <v>95370.0</v>
      </c>
      <c r="N5116" s="2" t="s">
        <v>21</v>
      </c>
    </row>
    <row r="5117" ht="15.75" customHeight="1">
      <c r="A5117" s="2">
        <v>2015.0</v>
      </c>
      <c r="B5117" s="2" t="s">
        <v>2655</v>
      </c>
      <c r="C5117" s="2" t="s">
        <v>22725</v>
      </c>
      <c r="D5117" s="2" t="str">
        <f>"3176919127"</f>
        <v>3176919127</v>
      </c>
      <c r="E5117" s="2" t="s">
        <v>57</v>
      </c>
      <c r="F5117" s="2" t="s">
        <v>2174</v>
      </c>
      <c r="G5117" s="2" t="str">
        <f>"SR-6959"</f>
        <v>SR-6959</v>
      </c>
      <c r="H5117" s="2" t="s">
        <v>22726</v>
      </c>
      <c r="I5117" s="2" t="s">
        <v>22727</v>
      </c>
      <c r="K5117" s="2" t="s">
        <v>1188</v>
      </c>
      <c r="L5117" s="2" t="s">
        <v>149</v>
      </c>
      <c r="M5117" s="2">
        <v>46229.0</v>
      </c>
      <c r="N5117" s="2" t="s">
        <v>21</v>
      </c>
    </row>
    <row r="5118" ht="15.75" customHeight="1">
      <c r="A5118" s="2">
        <v>2015.0</v>
      </c>
      <c r="B5118" s="2" t="s">
        <v>22728</v>
      </c>
      <c r="C5118" s="2" t="s">
        <v>22728</v>
      </c>
      <c r="D5118" s="2" t="str">
        <f>"8478268446"</f>
        <v>8478268446</v>
      </c>
      <c r="E5118" s="2" t="s">
        <v>81</v>
      </c>
      <c r="F5118" s="2" t="s">
        <v>22729</v>
      </c>
      <c r="G5118" s="2" t="str">
        <f>"SR-6976"</f>
        <v>SR-6976</v>
      </c>
      <c r="H5118" s="2" t="s">
        <v>22730</v>
      </c>
      <c r="I5118" s="2" t="s">
        <v>22731</v>
      </c>
      <c r="K5118" s="2" t="s">
        <v>22732</v>
      </c>
      <c r="L5118" s="2" t="s">
        <v>105</v>
      </c>
      <c r="M5118" s="2">
        <v>60156.0</v>
      </c>
      <c r="N5118" s="2" t="s">
        <v>21</v>
      </c>
    </row>
    <row r="5119" ht="15.75" customHeight="1">
      <c r="A5119" s="2">
        <v>2015.0</v>
      </c>
      <c r="B5119" s="2" t="s">
        <v>22733</v>
      </c>
      <c r="C5119" s="2" t="s">
        <v>22734</v>
      </c>
      <c r="D5119" s="2" t="str">
        <f>"763-213-7059"</f>
        <v>763-213-7059</v>
      </c>
      <c r="E5119" s="2" t="s">
        <v>22735</v>
      </c>
      <c r="F5119" s="2" t="s">
        <v>22736</v>
      </c>
      <c r="G5119" s="2" t="str">
        <f>"SR-6978"</f>
        <v>SR-6978</v>
      </c>
      <c r="H5119" s="2" t="s">
        <v>22737</v>
      </c>
      <c r="I5119" s="2" t="s">
        <v>22738</v>
      </c>
      <c r="K5119" s="2" t="s">
        <v>22739</v>
      </c>
      <c r="L5119" s="2" t="s">
        <v>62</v>
      </c>
      <c r="M5119" s="2">
        <v>55311.0</v>
      </c>
      <c r="N5119" s="2" t="s">
        <v>21</v>
      </c>
    </row>
    <row r="5120" ht="15.75" customHeight="1">
      <c r="A5120" s="2">
        <v>2015.0</v>
      </c>
      <c r="B5120" s="2" t="s">
        <v>22740</v>
      </c>
      <c r="C5120" s="2" t="s">
        <v>22741</v>
      </c>
      <c r="D5120" s="2" t="str">
        <f>"530-249-2325"</f>
        <v>530-249-2325</v>
      </c>
      <c r="E5120" s="2" t="s">
        <v>10225</v>
      </c>
      <c r="F5120" s="2" t="s">
        <v>22742</v>
      </c>
      <c r="G5120" s="2" t="str">
        <f>"SR-6979"</f>
        <v>SR-6979</v>
      </c>
      <c r="H5120" s="2" t="s">
        <v>22743</v>
      </c>
      <c r="I5120" s="2" t="s">
        <v>22744</v>
      </c>
      <c r="K5120" s="2" t="s">
        <v>22745</v>
      </c>
      <c r="L5120" s="2" t="s">
        <v>222</v>
      </c>
      <c r="M5120" s="2">
        <v>95695.0</v>
      </c>
      <c r="N5120" s="2" t="s">
        <v>21</v>
      </c>
    </row>
    <row r="5121" ht="15.75" customHeight="1">
      <c r="A5121" s="2">
        <v>2015.0</v>
      </c>
      <c r="B5121" s="2" t="s">
        <v>22746</v>
      </c>
      <c r="C5121" s="2" t="s">
        <v>22746</v>
      </c>
      <c r="D5121" s="2" t="str">
        <f>"678-628-9612"</f>
        <v>678-628-9612</v>
      </c>
      <c r="E5121" s="2" t="s">
        <v>2752</v>
      </c>
      <c r="F5121" s="2" t="s">
        <v>1101</v>
      </c>
      <c r="G5121" s="2" t="str">
        <f>"SR-6954"</f>
        <v>SR-6954</v>
      </c>
      <c r="H5121" s="2" t="s">
        <v>22747</v>
      </c>
      <c r="I5121" s="2" t="s">
        <v>22748</v>
      </c>
      <c r="K5121" s="2" t="s">
        <v>11963</v>
      </c>
      <c r="L5121" s="2" t="s">
        <v>200</v>
      </c>
      <c r="M5121" s="2">
        <v>30114.0</v>
      </c>
      <c r="N5121" s="2" t="s">
        <v>21</v>
      </c>
    </row>
    <row r="5122" ht="15.75" customHeight="1">
      <c r="A5122" s="2">
        <v>2015.0</v>
      </c>
      <c r="B5122" s="2" t="s">
        <v>22749</v>
      </c>
      <c r="C5122" s="2" t="s">
        <v>22750</v>
      </c>
      <c r="D5122" s="2" t="str">
        <f>"847-436-0718"</f>
        <v>847-436-0718</v>
      </c>
      <c r="E5122" s="2" t="s">
        <v>373</v>
      </c>
      <c r="F5122" s="2" t="s">
        <v>22751</v>
      </c>
      <c r="G5122" s="2" t="str">
        <f>"SR-6983"</f>
        <v>SR-6983</v>
      </c>
      <c r="H5122" s="2" t="s">
        <v>22752</v>
      </c>
      <c r="I5122" s="2" t="s">
        <v>22753</v>
      </c>
      <c r="K5122" s="2" t="s">
        <v>6095</v>
      </c>
      <c r="L5122" s="2" t="s">
        <v>105</v>
      </c>
      <c r="M5122" s="2">
        <v>60013.0</v>
      </c>
      <c r="N5122" s="2" t="s">
        <v>21</v>
      </c>
    </row>
    <row r="5123" ht="15.75" customHeight="1">
      <c r="A5123" s="2">
        <v>2015.0</v>
      </c>
      <c r="B5123" s="2" t="s">
        <v>22754</v>
      </c>
      <c r="C5123" s="2" t="s">
        <v>22754</v>
      </c>
      <c r="D5123" s="2" t="str">
        <f>"8054070487"</f>
        <v>8054070487</v>
      </c>
      <c r="E5123" s="2" t="s">
        <v>15</v>
      </c>
      <c r="F5123" s="2" t="s">
        <v>22755</v>
      </c>
      <c r="G5123" s="2" t="str">
        <f>"SR-6985"</f>
        <v>SR-6985</v>
      </c>
      <c r="H5123" s="2" t="s">
        <v>22756</v>
      </c>
      <c r="I5123" s="2" t="s">
        <v>22757</v>
      </c>
      <c r="K5123" s="2" t="s">
        <v>22758</v>
      </c>
      <c r="L5123" s="2" t="s">
        <v>222</v>
      </c>
      <c r="M5123" s="2">
        <v>93035.0</v>
      </c>
      <c r="N5123" s="2" t="s">
        <v>21</v>
      </c>
    </row>
    <row r="5124" ht="15.75" customHeight="1">
      <c r="A5124" s="2">
        <v>2015.0</v>
      </c>
      <c r="B5124" s="2" t="s">
        <v>8387</v>
      </c>
      <c r="C5124" s="2" t="s">
        <v>8388</v>
      </c>
      <c r="D5124" s="2" t="str">
        <f>"405-627-4079"</f>
        <v>405-627-4079</v>
      </c>
      <c r="E5124" s="2" t="s">
        <v>8389</v>
      </c>
      <c r="F5124" s="2" t="s">
        <v>8390</v>
      </c>
      <c r="G5124" s="2" t="str">
        <f>"SR-2305"</f>
        <v>SR-2305</v>
      </c>
      <c r="H5124" s="2" t="s">
        <v>8391</v>
      </c>
      <c r="I5124" s="2" t="s">
        <v>8392</v>
      </c>
      <c r="K5124" s="2" t="s">
        <v>1546</v>
      </c>
      <c r="L5124" s="2" t="s">
        <v>840</v>
      </c>
      <c r="M5124" s="2">
        <v>73025.0</v>
      </c>
      <c r="N5124" s="2" t="s">
        <v>21</v>
      </c>
    </row>
    <row r="5125" ht="15.75" customHeight="1">
      <c r="A5125" s="2">
        <v>2015.0</v>
      </c>
      <c r="B5125" s="2" t="s">
        <v>22759</v>
      </c>
      <c r="C5125" s="2" t="s">
        <v>22760</v>
      </c>
      <c r="D5125" s="2" t="str">
        <f>"6128176826"</f>
        <v>6128176826</v>
      </c>
      <c r="E5125" s="2" t="s">
        <v>339</v>
      </c>
      <c r="F5125" s="2" t="s">
        <v>22761</v>
      </c>
      <c r="G5125" s="2" t="str">
        <f>"SR-6977"</f>
        <v>SR-6977</v>
      </c>
      <c r="H5125" s="2" t="s">
        <v>22762</v>
      </c>
      <c r="I5125" s="2" t="s">
        <v>22763</v>
      </c>
      <c r="K5125" s="2" t="s">
        <v>8609</v>
      </c>
      <c r="L5125" s="2" t="s">
        <v>62</v>
      </c>
      <c r="M5125" s="2">
        <v>55311.0</v>
      </c>
      <c r="N5125" s="2" t="s">
        <v>21</v>
      </c>
    </row>
    <row r="5126" ht="15.75" customHeight="1">
      <c r="A5126" s="2">
        <v>2015.0</v>
      </c>
      <c r="B5126" s="2" t="s">
        <v>22764</v>
      </c>
      <c r="C5126" s="2" t="s">
        <v>22765</v>
      </c>
      <c r="D5126" s="2" t="str">
        <f>"8056078778"</f>
        <v>8056078778</v>
      </c>
      <c r="E5126" s="2" t="s">
        <v>3539</v>
      </c>
      <c r="F5126" s="2" t="s">
        <v>199</v>
      </c>
      <c r="G5126" s="2" t="str">
        <f>"SR-6982"</f>
        <v>SR-6982</v>
      </c>
      <c r="H5126" s="2" t="s">
        <v>22766</v>
      </c>
      <c r="I5126" s="2" t="s">
        <v>22767</v>
      </c>
      <c r="K5126" s="2" t="s">
        <v>22758</v>
      </c>
      <c r="L5126" s="2" t="s">
        <v>222</v>
      </c>
      <c r="M5126" s="2">
        <v>93036.0</v>
      </c>
      <c r="N5126" s="2" t="s">
        <v>21</v>
      </c>
    </row>
    <row r="5127" ht="15.75" customHeight="1">
      <c r="A5127" s="2">
        <v>2015.0</v>
      </c>
      <c r="B5127" s="2" t="s">
        <v>22764</v>
      </c>
      <c r="C5127" s="2" t="s">
        <v>22768</v>
      </c>
      <c r="D5127" s="2" t="str">
        <f>"805-814-4168"</f>
        <v>805-814-4168</v>
      </c>
      <c r="E5127" s="2" t="s">
        <v>1529</v>
      </c>
      <c r="F5127" s="2" t="s">
        <v>128</v>
      </c>
      <c r="G5127" s="2" t="str">
        <f>"SR-6984"</f>
        <v>SR-6984</v>
      </c>
      <c r="H5127" s="2" t="s">
        <v>11337</v>
      </c>
      <c r="I5127" s="2" t="s">
        <v>22769</v>
      </c>
      <c r="K5127" s="2" t="s">
        <v>22758</v>
      </c>
      <c r="L5127" s="2" t="s">
        <v>222</v>
      </c>
      <c r="M5127" s="2">
        <v>93036.0</v>
      </c>
      <c r="N5127" s="2" t="s">
        <v>21</v>
      </c>
    </row>
    <row r="5128" ht="15.75" customHeight="1">
      <c r="A5128" s="2">
        <v>2015.0</v>
      </c>
      <c r="B5128" s="2" t="s">
        <v>22764</v>
      </c>
      <c r="C5128" s="2" t="s">
        <v>22770</v>
      </c>
      <c r="D5128" s="2" t="str">
        <f>"8059280769"</f>
        <v>8059280769</v>
      </c>
      <c r="E5128" s="2" t="s">
        <v>22771</v>
      </c>
      <c r="F5128" s="2" t="s">
        <v>22772</v>
      </c>
      <c r="G5128" s="2" t="str">
        <f>"SR-6986"</f>
        <v>SR-6986</v>
      </c>
      <c r="H5128" s="2" t="s">
        <v>22773</v>
      </c>
      <c r="I5128" s="2" t="s">
        <v>22774</v>
      </c>
      <c r="K5128" s="2" t="s">
        <v>22775</v>
      </c>
      <c r="L5128" s="2" t="s">
        <v>222</v>
      </c>
      <c r="M5128" s="2">
        <v>93001.0</v>
      </c>
      <c r="N5128" s="2" t="s">
        <v>21</v>
      </c>
    </row>
    <row r="5129" ht="15.75" customHeight="1">
      <c r="A5129" s="2">
        <v>2015.0</v>
      </c>
      <c r="B5129" s="2" t="s">
        <v>22776</v>
      </c>
      <c r="C5129" s="2" t="s">
        <v>22777</v>
      </c>
      <c r="D5129" s="2" t="str">
        <f>"8599792488"</f>
        <v>8599792488</v>
      </c>
      <c r="E5129" s="2" t="s">
        <v>72</v>
      </c>
      <c r="F5129" s="2" t="s">
        <v>22778</v>
      </c>
      <c r="G5129" s="2" t="str">
        <f>"SR-6993"</f>
        <v>SR-6993</v>
      </c>
      <c r="H5129" s="2" t="s">
        <v>22779</v>
      </c>
      <c r="I5129" s="2" t="s">
        <v>22780</v>
      </c>
      <c r="K5129" s="2" t="s">
        <v>4216</v>
      </c>
      <c r="L5129" s="2" t="s">
        <v>1236</v>
      </c>
      <c r="M5129" s="2">
        <v>40475.0</v>
      </c>
      <c r="N5129" s="2" t="s">
        <v>21</v>
      </c>
    </row>
    <row r="5130" ht="15.75" customHeight="1">
      <c r="A5130" s="2">
        <v>2015.0</v>
      </c>
      <c r="B5130" s="2" t="s">
        <v>22781</v>
      </c>
      <c r="C5130" s="2" t="s">
        <v>22782</v>
      </c>
      <c r="D5130" s="2" t="str">
        <f>"9492125970"</f>
        <v>9492125970</v>
      </c>
      <c r="E5130" s="2" t="s">
        <v>977</v>
      </c>
      <c r="F5130" s="2" t="s">
        <v>22783</v>
      </c>
      <c r="G5130" s="2" t="str">
        <f>"SR-6956"</f>
        <v>SR-6956</v>
      </c>
      <c r="H5130" s="2" t="s">
        <v>22784</v>
      </c>
      <c r="I5130" s="2" t="s">
        <v>22785</v>
      </c>
      <c r="K5130" s="2" t="s">
        <v>2186</v>
      </c>
      <c r="L5130" s="2" t="s">
        <v>222</v>
      </c>
      <c r="M5130" s="2">
        <v>92675.0</v>
      </c>
      <c r="N5130" s="2" t="s">
        <v>21</v>
      </c>
    </row>
    <row r="5131" ht="15.75" customHeight="1">
      <c r="A5131" s="2">
        <v>2015.0</v>
      </c>
      <c r="B5131" s="2" t="s">
        <v>22786</v>
      </c>
      <c r="C5131" s="2" t="s">
        <v>22787</v>
      </c>
      <c r="D5131" s="2" t="str">
        <f>"951-688-8208"</f>
        <v>951-688-8208</v>
      </c>
      <c r="E5131" s="2" t="s">
        <v>843</v>
      </c>
      <c r="F5131" s="2" t="s">
        <v>2852</v>
      </c>
      <c r="G5131" s="2" t="str">
        <f>"SR-6974"</f>
        <v>SR-6974</v>
      </c>
      <c r="H5131" s="2" t="s">
        <v>22788</v>
      </c>
      <c r="I5131" s="2" t="s">
        <v>22789</v>
      </c>
      <c r="K5131" s="2" t="s">
        <v>9348</v>
      </c>
      <c r="L5131" s="2" t="s">
        <v>222</v>
      </c>
      <c r="M5131" s="2">
        <v>92504.0</v>
      </c>
      <c r="N5131" s="2" t="s">
        <v>21</v>
      </c>
    </row>
    <row r="5132" ht="15.75" customHeight="1">
      <c r="A5132" s="2">
        <v>2015.0</v>
      </c>
      <c r="B5132" s="2" t="s">
        <v>22790</v>
      </c>
      <c r="C5132" s="2" t="s">
        <v>22791</v>
      </c>
      <c r="D5132" s="2" t="str">
        <f>"619-721-5454"</f>
        <v>619-721-5454</v>
      </c>
      <c r="E5132" s="2" t="s">
        <v>22792</v>
      </c>
      <c r="F5132" s="2" t="s">
        <v>22793</v>
      </c>
      <c r="G5132" s="2" t="str">
        <f>"SR-6989"</f>
        <v>SR-6989</v>
      </c>
      <c r="H5132" s="2" t="s">
        <v>22794</v>
      </c>
      <c r="I5132" s="2" t="s">
        <v>22795</v>
      </c>
      <c r="K5132" s="2" t="s">
        <v>8250</v>
      </c>
      <c r="L5132" s="2" t="s">
        <v>222</v>
      </c>
      <c r="M5132" s="2">
        <v>92105.0</v>
      </c>
      <c r="N5132" s="2" t="s">
        <v>21</v>
      </c>
    </row>
    <row r="5133" ht="15.75" customHeight="1">
      <c r="A5133" s="2">
        <v>2015.0</v>
      </c>
      <c r="B5133" s="2" t="s">
        <v>22790</v>
      </c>
      <c r="C5133" s="2" t="s">
        <v>22796</v>
      </c>
      <c r="D5133" s="2" t="str">
        <f>"619-396-0438"</f>
        <v>619-396-0438</v>
      </c>
      <c r="E5133" s="2" t="s">
        <v>282</v>
      </c>
      <c r="F5133" s="2" t="s">
        <v>22797</v>
      </c>
      <c r="G5133" s="2" t="str">
        <f>"SR-6992"</f>
        <v>SR-6992</v>
      </c>
      <c r="H5133" s="2" t="s">
        <v>22798</v>
      </c>
      <c r="I5133" s="2" t="s">
        <v>22799</v>
      </c>
      <c r="K5133" s="2" t="s">
        <v>22800</v>
      </c>
      <c r="L5133" s="2" t="s">
        <v>222</v>
      </c>
      <c r="M5133" s="2">
        <v>91941.0</v>
      </c>
      <c r="N5133" s="2" t="s">
        <v>21</v>
      </c>
    </row>
    <row r="5134" ht="15.75" customHeight="1">
      <c r="A5134" s="2">
        <v>2015.0</v>
      </c>
      <c r="B5134" s="2" t="s">
        <v>22801</v>
      </c>
      <c r="C5134" s="2" t="s">
        <v>22802</v>
      </c>
      <c r="D5134" s="2" t="str">
        <f>"9253605720"</f>
        <v>9253605720</v>
      </c>
      <c r="E5134" s="2" t="s">
        <v>6174</v>
      </c>
      <c r="F5134" s="2" t="s">
        <v>22803</v>
      </c>
      <c r="G5134" s="2" t="str">
        <f>"SR-6999"</f>
        <v>SR-6999</v>
      </c>
      <c r="H5134" s="2" t="s">
        <v>22804</v>
      </c>
      <c r="I5134" s="2" t="s">
        <v>22805</v>
      </c>
      <c r="K5134" s="2" t="s">
        <v>22806</v>
      </c>
      <c r="L5134" s="2" t="s">
        <v>222</v>
      </c>
      <c r="M5134" s="2">
        <v>94568.0</v>
      </c>
      <c r="N5134" s="2" t="s">
        <v>21</v>
      </c>
    </row>
    <row r="5135" ht="15.75" customHeight="1">
      <c r="A5135" s="2">
        <v>2015.0</v>
      </c>
      <c r="B5135" s="2" t="s">
        <v>22807</v>
      </c>
      <c r="C5135" s="2" t="s">
        <v>22808</v>
      </c>
      <c r="D5135" s="2" t="str">
        <f>"6613137529"</f>
        <v>6613137529</v>
      </c>
      <c r="E5135" s="2" t="s">
        <v>373</v>
      </c>
      <c r="F5135" s="2" t="s">
        <v>14629</v>
      </c>
      <c r="G5135" s="2" t="str">
        <f>"SR-6988"</f>
        <v>SR-6988</v>
      </c>
      <c r="H5135" s="2" t="s">
        <v>22809</v>
      </c>
      <c r="I5135" s="2" t="s">
        <v>22810</v>
      </c>
      <c r="K5135" s="2" t="s">
        <v>13472</v>
      </c>
      <c r="L5135" s="2" t="s">
        <v>222</v>
      </c>
      <c r="M5135" s="2">
        <v>91355.0</v>
      </c>
      <c r="N5135" s="2" t="s">
        <v>21</v>
      </c>
    </row>
    <row r="5136" ht="15.75" customHeight="1">
      <c r="A5136" s="2">
        <v>2015.0</v>
      </c>
      <c r="B5136" s="2" t="s">
        <v>22811</v>
      </c>
      <c r="C5136" s="2" t="s">
        <v>22811</v>
      </c>
      <c r="D5136" s="2" t="str">
        <f>"8179807620"</f>
        <v>8179807620</v>
      </c>
      <c r="E5136" s="2" t="s">
        <v>1039</v>
      </c>
      <c r="F5136" s="2" t="s">
        <v>22812</v>
      </c>
      <c r="G5136" s="2" t="str">
        <f>"SR-6996"</f>
        <v>SR-6996</v>
      </c>
      <c r="H5136" s="2" t="s">
        <v>22813</v>
      </c>
      <c r="I5136" s="2" t="s">
        <v>22814</v>
      </c>
      <c r="K5136" s="2" t="s">
        <v>6017</v>
      </c>
      <c r="L5136" s="2" t="s">
        <v>172</v>
      </c>
      <c r="M5136" s="2">
        <v>76008.0</v>
      </c>
      <c r="N5136" s="2" t="s">
        <v>21</v>
      </c>
    </row>
    <row r="5137" ht="15.75" customHeight="1">
      <c r="A5137" s="2">
        <v>2015.0</v>
      </c>
      <c r="B5137" s="2" t="s">
        <v>22815</v>
      </c>
      <c r="C5137" s="2" t="s">
        <v>22816</v>
      </c>
      <c r="D5137" s="2" t="str">
        <f>"2146087133"</f>
        <v>2146087133</v>
      </c>
      <c r="E5137" s="2" t="s">
        <v>22817</v>
      </c>
      <c r="F5137" s="2" t="s">
        <v>22818</v>
      </c>
      <c r="G5137" s="2" t="str">
        <f>"SR-7001"</f>
        <v>SR-7001</v>
      </c>
      <c r="H5137" s="2" t="s">
        <v>22819</v>
      </c>
      <c r="I5137" s="2" t="s">
        <v>22820</v>
      </c>
      <c r="K5137" s="2" t="s">
        <v>1255</v>
      </c>
      <c r="L5137" s="2" t="s">
        <v>172</v>
      </c>
      <c r="M5137" s="2">
        <v>75220.0</v>
      </c>
      <c r="N5137" s="2" t="s">
        <v>21</v>
      </c>
    </row>
    <row r="5138" ht="15.75" customHeight="1">
      <c r="A5138" s="2">
        <v>2015.0</v>
      </c>
      <c r="B5138" s="2" t="s">
        <v>22821</v>
      </c>
      <c r="C5138" s="2" t="s">
        <v>22821</v>
      </c>
      <c r="D5138" s="2" t="str">
        <f>"9092685670"</f>
        <v>9092685670</v>
      </c>
      <c r="E5138" s="2" t="s">
        <v>22822</v>
      </c>
      <c r="F5138" s="2" t="s">
        <v>15631</v>
      </c>
      <c r="G5138" s="2" t="str">
        <f>"SR-7004"</f>
        <v>SR-7004</v>
      </c>
      <c r="H5138" s="2" t="s">
        <v>22823</v>
      </c>
      <c r="I5138" s="2" t="s">
        <v>22824</v>
      </c>
      <c r="K5138" s="2" t="s">
        <v>18637</v>
      </c>
      <c r="L5138" s="2" t="s">
        <v>222</v>
      </c>
      <c r="M5138" s="2">
        <v>92336.0</v>
      </c>
      <c r="N5138" s="2" t="s">
        <v>21</v>
      </c>
    </row>
    <row r="5139" ht="15.75" customHeight="1">
      <c r="A5139" s="2">
        <v>2015.0</v>
      </c>
      <c r="B5139" s="2" t="s">
        <v>22825</v>
      </c>
      <c r="C5139" s="2" t="s">
        <v>22826</v>
      </c>
      <c r="D5139" s="2" t="str">
        <f>"859-321-9392"</f>
        <v>859-321-9392</v>
      </c>
      <c r="E5139" s="2" t="s">
        <v>36</v>
      </c>
      <c r="F5139" s="2" t="s">
        <v>12419</v>
      </c>
      <c r="G5139" s="2" t="str">
        <f>"SR-7000"</f>
        <v>SR-7000</v>
      </c>
      <c r="H5139" s="2" t="s">
        <v>22827</v>
      </c>
      <c r="I5139" s="2" t="s">
        <v>22828</v>
      </c>
      <c r="K5139" s="2" t="s">
        <v>254</v>
      </c>
      <c r="L5139" s="2" t="s">
        <v>1236</v>
      </c>
      <c r="M5139" s="2">
        <v>40502.0</v>
      </c>
      <c r="N5139" s="2" t="s">
        <v>21</v>
      </c>
    </row>
    <row r="5140" ht="15.75" customHeight="1">
      <c r="A5140" s="2">
        <v>2015.0</v>
      </c>
      <c r="B5140" s="2" t="s">
        <v>3887</v>
      </c>
      <c r="C5140" s="2" t="s">
        <v>3887</v>
      </c>
      <c r="D5140" s="2" t="str">
        <f>"979-345-6078"</f>
        <v>979-345-6078</v>
      </c>
      <c r="E5140" s="2" t="s">
        <v>3888</v>
      </c>
      <c r="F5140" s="2" t="s">
        <v>3889</v>
      </c>
      <c r="G5140" s="2" t="str">
        <f>"SR-1215"</f>
        <v>SR-1215</v>
      </c>
      <c r="H5140" s="2" t="s">
        <v>3890</v>
      </c>
      <c r="I5140" s="2" t="s">
        <v>22829</v>
      </c>
      <c r="K5140" s="2" t="s">
        <v>22830</v>
      </c>
      <c r="L5140" s="2" t="s">
        <v>172</v>
      </c>
      <c r="M5140" s="2">
        <v>77430.0</v>
      </c>
      <c r="N5140" s="2" t="s">
        <v>21</v>
      </c>
    </row>
    <row r="5141" ht="15.75" customHeight="1">
      <c r="A5141" s="2">
        <v>2015.0</v>
      </c>
      <c r="B5141" s="2" t="s">
        <v>22831</v>
      </c>
      <c r="C5141" s="2" t="s">
        <v>22831</v>
      </c>
      <c r="D5141" s="2" t="str">
        <f>"(912)412-6800"</f>
        <v>(912)412-6800</v>
      </c>
      <c r="E5141" s="2" t="s">
        <v>2851</v>
      </c>
      <c r="F5141" s="2" t="s">
        <v>22832</v>
      </c>
      <c r="G5141" s="2" t="str">
        <f>"SR-6892"</f>
        <v>SR-6892</v>
      </c>
      <c r="H5141" s="2" t="s">
        <v>22833</v>
      </c>
      <c r="I5141" s="2" t="s">
        <v>22834</v>
      </c>
      <c r="K5141" s="2" t="s">
        <v>1239</v>
      </c>
      <c r="L5141" s="2" t="s">
        <v>200</v>
      </c>
      <c r="M5141" s="2">
        <v>31419.0</v>
      </c>
      <c r="N5141" s="2" t="s">
        <v>21</v>
      </c>
    </row>
    <row r="5142" ht="15.75" customHeight="1">
      <c r="A5142" s="2">
        <v>2015.0</v>
      </c>
      <c r="B5142" s="2" t="s">
        <v>22835</v>
      </c>
      <c r="C5142" s="2" t="s">
        <v>22836</v>
      </c>
      <c r="D5142" s="2" t="str">
        <f>"4053402537"</f>
        <v>4053402537</v>
      </c>
      <c r="E5142" s="2" t="s">
        <v>4501</v>
      </c>
      <c r="F5142" s="2" t="s">
        <v>22837</v>
      </c>
      <c r="G5142" s="2" t="str">
        <f>"SR-6995"</f>
        <v>SR-6995</v>
      </c>
      <c r="H5142" s="2" t="s">
        <v>22838</v>
      </c>
      <c r="I5142" s="2" t="s">
        <v>22839</v>
      </c>
      <c r="K5142" s="2" t="s">
        <v>1546</v>
      </c>
      <c r="L5142" s="2" t="s">
        <v>840</v>
      </c>
      <c r="M5142" s="2">
        <v>73013.0</v>
      </c>
      <c r="N5142" s="2" t="s">
        <v>21</v>
      </c>
    </row>
    <row r="5143" ht="15.75" customHeight="1">
      <c r="A5143" s="2">
        <v>2015.0</v>
      </c>
      <c r="B5143" s="2" t="s">
        <v>22835</v>
      </c>
      <c r="C5143" s="2" t="s">
        <v>22840</v>
      </c>
      <c r="D5143" s="2" t="str">
        <f>"4053435574"</f>
        <v>4053435574</v>
      </c>
      <c r="E5143" s="2" t="s">
        <v>22841</v>
      </c>
      <c r="F5143" s="2" t="s">
        <v>22837</v>
      </c>
      <c r="G5143" s="2" t="str">
        <f>"SR-6998"</f>
        <v>SR-6998</v>
      </c>
      <c r="H5143" s="2" t="s">
        <v>22842</v>
      </c>
      <c r="I5143" s="2" t="s">
        <v>22843</v>
      </c>
      <c r="K5143" s="2" t="s">
        <v>1546</v>
      </c>
      <c r="L5143" s="2" t="s">
        <v>840</v>
      </c>
      <c r="M5143" s="2">
        <v>73013.0</v>
      </c>
      <c r="N5143" s="2" t="s">
        <v>21</v>
      </c>
    </row>
    <row r="5144" ht="15.75" customHeight="1">
      <c r="A5144" s="2">
        <v>2015.0</v>
      </c>
      <c r="B5144" s="2" t="s">
        <v>22844</v>
      </c>
      <c r="C5144" s="2" t="s">
        <v>22844</v>
      </c>
      <c r="D5144" s="2" t="str">
        <f>"(850) 933-0216"</f>
        <v>(850) 933-0216</v>
      </c>
      <c r="E5144" s="2" t="s">
        <v>22845</v>
      </c>
      <c r="F5144" s="2" t="s">
        <v>3394</v>
      </c>
      <c r="G5144" s="2" t="str">
        <f>"SR-6960"</f>
        <v>SR-6960</v>
      </c>
      <c r="H5144" s="2" t="s">
        <v>22846</v>
      </c>
      <c r="I5144" s="2" t="s">
        <v>22847</v>
      </c>
      <c r="K5144" s="2" t="s">
        <v>22848</v>
      </c>
      <c r="L5144" s="2" t="s">
        <v>208</v>
      </c>
      <c r="M5144" s="2">
        <v>32333.0</v>
      </c>
      <c r="N5144" s="2" t="s">
        <v>21</v>
      </c>
    </row>
    <row r="5145" ht="15.75" customHeight="1">
      <c r="A5145" s="2">
        <v>2015.0</v>
      </c>
      <c r="B5145" s="2" t="s">
        <v>22849</v>
      </c>
      <c r="C5145" s="2" t="s">
        <v>22849</v>
      </c>
      <c r="D5145" s="2" t="str">
        <f>"615-613-3893"</f>
        <v>615-613-3893</v>
      </c>
      <c r="E5145" s="2" t="s">
        <v>19780</v>
      </c>
      <c r="F5145" s="2" t="s">
        <v>1461</v>
      </c>
      <c r="G5145" s="2" t="str">
        <f>"SR-6750"</f>
        <v>SR-6750</v>
      </c>
      <c r="H5145" s="2" t="s">
        <v>22850</v>
      </c>
      <c r="I5145" s="2" t="s">
        <v>22851</v>
      </c>
      <c r="K5145" s="2" t="s">
        <v>22852</v>
      </c>
      <c r="L5145" s="2" t="s">
        <v>279</v>
      </c>
      <c r="M5145" s="2">
        <v>37015.0</v>
      </c>
      <c r="N5145" s="2" t="s">
        <v>21</v>
      </c>
    </row>
    <row r="5146" ht="15.75" customHeight="1">
      <c r="A5146" s="2">
        <v>2015.0</v>
      </c>
      <c r="B5146" s="2" t="s">
        <v>22853</v>
      </c>
      <c r="C5146" s="2" t="s">
        <v>22854</v>
      </c>
      <c r="D5146" s="2" t="str">
        <f>"423 580 0404"</f>
        <v>423 580 0404</v>
      </c>
      <c r="E5146" s="2" t="s">
        <v>22855</v>
      </c>
      <c r="F5146" s="2" t="s">
        <v>22856</v>
      </c>
      <c r="G5146" s="2" t="str">
        <f>"SR-7008"</f>
        <v>SR-7008</v>
      </c>
      <c r="H5146" s="2" t="s">
        <v>22857</v>
      </c>
      <c r="I5146" s="2">
        <v>946.0</v>
      </c>
      <c r="J5146" s="2" t="s">
        <v>22858</v>
      </c>
      <c r="K5146" s="2" t="s">
        <v>22859</v>
      </c>
      <c r="L5146" s="2" t="s">
        <v>279</v>
      </c>
      <c r="M5146" s="2">
        <v>37377.0</v>
      </c>
      <c r="N5146" s="2" t="s">
        <v>21</v>
      </c>
    </row>
    <row r="5147" ht="15.75" customHeight="1">
      <c r="A5147" s="2">
        <v>2015.0</v>
      </c>
      <c r="B5147" s="2" t="s">
        <v>22860</v>
      </c>
      <c r="C5147" s="2" t="s">
        <v>22861</v>
      </c>
      <c r="D5147" s="2" t="str">
        <f>"989-285-6647"</f>
        <v>989-285-6647</v>
      </c>
      <c r="E5147" s="2" t="s">
        <v>22558</v>
      </c>
      <c r="F5147" s="2" t="s">
        <v>22862</v>
      </c>
      <c r="G5147" s="2" t="str">
        <f>"SR-7009"</f>
        <v>SR-7009</v>
      </c>
      <c r="H5147" s="2" t="s">
        <v>22863</v>
      </c>
      <c r="I5147" s="2" t="s">
        <v>22864</v>
      </c>
      <c r="K5147" s="2" t="s">
        <v>22865</v>
      </c>
      <c r="L5147" s="2" t="s">
        <v>29</v>
      </c>
      <c r="M5147" s="2">
        <v>48880.0</v>
      </c>
      <c r="N5147" s="2" t="s">
        <v>21</v>
      </c>
    </row>
    <row r="5148" ht="15.75" customHeight="1">
      <c r="A5148" s="2">
        <v>2015.0</v>
      </c>
      <c r="B5148" s="2" t="s">
        <v>22866</v>
      </c>
      <c r="C5148" s="2" t="s">
        <v>22867</v>
      </c>
      <c r="D5148" s="2" t="str">
        <f>"(360) 546-1723"</f>
        <v>(360) 546-1723</v>
      </c>
      <c r="E5148" s="2" t="s">
        <v>4300</v>
      </c>
      <c r="F5148" s="2" t="s">
        <v>16064</v>
      </c>
      <c r="G5148" s="2" t="str">
        <f>"SR-7012"</f>
        <v>SR-7012</v>
      </c>
      <c r="H5148" s="2" t="s">
        <v>22868</v>
      </c>
      <c r="I5148" s="2" t="s">
        <v>22869</v>
      </c>
      <c r="K5148" s="2" t="s">
        <v>13145</v>
      </c>
      <c r="L5148" s="2" t="s">
        <v>86</v>
      </c>
      <c r="M5148" s="2">
        <v>98664.0</v>
      </c>
      <c r="N5148" s="2" t="s">
        <v>21</v>
      </c>
    </row>
    <row r="5149" ht="15.75" customHeight="1">
      <c r="A5149" s="2">
        <v>2015.0</v>
      </c>
      <c r="B5149" s="2" t="s">
        <v>22870</v>
      </c>
      <c r="C5149" s="2" t="s">
        <v>22871</v>
      </c>
      <c r="D5149" s="2" t="str">
        <f>"2056256049"</f>
        <v>2056256049</v>
      </c>
      <c r="E5149" s="2" t="s">
        <v>339</v>
      </c>
      <c r="F5149" s="2" t="s">
        <v>22872</v>
      </c>
      <c r="G5149" s="2" t="str">
        <f>"SR-6605"</f>
        <v>SR-6605</v>
      </c>
      <c r="H5149" s="2" t="s">
        <v>22873</v>
      </c>
      <c r="I5149" s="2" t="s">
        <v>22874</v>
      </c>
      <c r="K5149" s="2" t="s">
        <v>11486</v>
      </c>
      <c r="L5149" s="2" t="s">
        <v>539</v>
      </c>
      <c r="M5149" s="2">
        <v>35121.0</v>
      </c>
      <c r="N5149" s="2" t="s">
        <v>21</v>
      </c>
    </row>
    <row r="5150" ht="15.75" customHeight="1">
      <c r="A5150" s="2">
        <v>2015.0</v>
      </c>
      <c r="B5150" s="2" t="s">
        <v>22875</v>
      </c>
      <c r="C5150" s="2" t="s">
        <v>22876</v>
      </c>
      <c r="D5150" s="2" t="str">
        <f>"205/629/7020"</f>
        <v>205/629/7020</v>
      </c>
      <c r="E5150" s="2" t="s">
        <v>72</v>
      </c>
      <c r="F5150" s="2" t="s">
        <v>14352</v>
      </c>
      <c r="G5150" s="2" t="str">
        <f>"SR-6226"</f>
        <v>SR-6226</v>
      </c>
      <c r="H5150" s="2" t="s">
        <v>22877</v>
      </c>
      <c r="I5150" s="2" t="s">
        <v>22878</v>
      </c>
      <c r="K5150" s="2" t="s">
        <v>20122</v>
      </c>
      <c r="L5150" s="2" t="s">
        <v>539</v>
      </c>
      <c r="M5150" s="2">
        <v>35120.0</v>
      </c>
      <c r="N5150" s="2" t="s">
        <v>21</v>
      </c>
    </row>
    <row r="5151" ht="15.75" customHeight="1">
      <c r="A5151" s="2">
        <v>2015.0</v>
      </c>
      <c r="B5151" s="2" t="s">
        <v>22879</v>
      </c>
      <c r="C5151" s="2" t="s">
        <v>22879</v>
      </c>
      <c r="D5151" s="2" t="str">
        <f>"8139922414"</f>
        <v>8139922414</v>
      </c>
      <c r="E5151" s="2" t="s">
        <v>9924</v>
      </c>
      <c r="F5151" s="2" t="s">
        <v>8565</v>
      </c>
      <c r="G5151" s="2" t="str">
        <f>"SR-7019"</f>
        <v>SR-7019</v>
      </c>
      <c r="H5151" s="2" t="s">
        <v>22880</v>
      </c>
      <c r="I5151" s="2" t="s">
        <v>8567</v>
      </c>
      <c r="K5151" s="2" t="s">
        <v>3431</v>
      </c>
      <c r="L5151" s="2" t="s">
        <v>208</v>
      </c>
      <c r="M5151" s="2">
        <v>33629.0</v>
      </c>
      <c r="N5151" s="2" t="s">
        <v>21</v>
      </c>
    </row>
    <row r="5152" ht="15.75" customHeight="1">
      <c r="A5152" s="2">
        <v>2015.0</v>
      </c>
      <c r="B5152" s="2" t="s">
        <v>7935</v>
      </c>
      <c r="C5152" s="2" t="s">
        <v>7935</v>
      </c>
      <c r="D5152" s="2" t="str">
        <f>"6784149360"</f>
        <v>6784149360</v>
      </c>
      <c r="E5152" s="2" t="s">
        <v>651</v>
      </c>
      <c r="F5152" s="2" t="s">
        <v>3106</v>
      </c>
      <c r="G5152" s="2" t="str">
        <f>"SR-7018"</f>
        <v>SR-7018</v>
      </c>
      <c r="H5152" s="2" t="s">
        <v>7936</v>
      </c>
      <c r="I5152" s="2" t="s">
        <v>7937</v>
      </c>
      <c r="K5152" s="2" t="s">
        <v>7938</v>
      </c>
      <c r="L5152" s="2" t="s">
        <v>200</v>
      </c>
      <c r="M5152" s="2">
        <v>30101.0</v>
      </c>
      <c r="N5152" s="2" t="s">
        <v>21</v>
      </c>
    </row>
    <row r="5153" ht="15.75" customHeight="1">
      <c r="A5153" s="2">
        <v>2015.0</v>
      </c>
      <c r="B5153" s="2" t="s">
        <v>22881</v>
      </c>
      <c r="C5153" s="2" t="s">
        <v>22882</v>
      </c>
      <c r="D5153" s="2" t="str">
        <f>"705-606-6472"</f>
        <v>705-606-6472</v>
      </c>
      <c r="E5153" s="2" t="s">
        <v>584</v>
      </c>
      <c r="F5153" s="2" t="s">
        <v>22883</v>
      </c>
      <c r="G5153" s="2" t="str">
        <f>"SR-7025"</f>
        <v>SR-7025</v>
      </c>
      <c r="H5153" s="2" t="s">
        <v>22884</v>
      </c>
      <c r="I5153" s="2" t="s">
        <v>22885</v>
      </c>
      <c r="K5153" s="2" t="s">
        <v>2632</v>
      </c>
      <c r="L5153" s="2" t="s">
        <v>2015</v>
      </c>
      <c r="M5153" s="2" t="s">
        <v>22886</v>
      </c>
      <c r="N5153" s="2" t="s">
        <v>1602</v>
      </c>
    </row>
    <row r="5154" ht="15.75" customHeight="1">
      <c r="A5154" s="2">
        <v>2015.0</v>
      </c>
      <c r="B5154" s="2" t="s">
        <v>22887</v>
      </c>
      <c r="C5154" s="2" t="s">
        <v>22887</v>
      </c>
      <c r="D5154" s="2" t="str">
        <f>"4692076865"</f>
        <v>4692076865</v>
      </c>
      <c r="E5154" s="2" t="s">
        <v>167</v>
      </c>
      <c r="F5154" s="2" t="s">
        <v>22888</v>
      </c>
      <c r="G5154" s="2" t="str">
        <f>"SR-7017"</f>
        <v>SR-7017</v>
      </c>
      <c r="H5154" s="2" t="s">
        <v>22889</v>
      </c>
      <c r="I5154" s="2" t="s">
        <v>22890</v>
      </c>
      <c r="K5154" s="2" t="s">
        <v>2514</v>
      </c>
      <c r="L5154" s="2" t="s">
        <v>172</v>
      </c>
      <c r="M5154" s="2">
        <v>75009.0</v>
      </c>
      <c r="N5154" s="2" t="s">
        <v>21</v>
      </c>
    </row>
    <row r="5155" ht="15.75" customHeight="1">
      <c r="A5155" s="2">
        <v>2015.0</v>
      </c>
      <c r="B5155" s="2" t="s">
        <v>22891</v>
      </c>
      <c r="C5155" s="2" t="s">
        <v>22892</v>
      </c>
      <c r="D5155" s="2" t="str">
        <f>"662-489-0246"</f>
        <v>662-489-0246</v>
      </c>
      <c r="E5155" s="2" t="s">
        <v>1088</v>
      </c>
      <c r="F5155" s="2" t="s">
        <v>22893</v>
      </c>
      <c r="G5155" s="2" t="str">
        <f>"SR-7021"</f>
        <v>SR-7021</v>
      </c>
      <c r="H5155" s="2" t="s">
        <v>22894</v>
      </c>
      <c r="I5155" s="2" t="s">
        <v>22895</v>
      </c>
      <c r="K5155" s="2" t="s">
        <v>22896</v>
      </c>
      <c r="L5155" s="2" t="s">
        <v>1722</v>
      </c>
      <c r="M5155" s="2">
        <v>38826.0</v>
      </c>
      <c r="N5155" s="2" t="s">
        <v>21</v>
      </c>
    </row>
    <row r="5156" ht="15.75" customHeight="1">
      <c r="A5156" s="2">
        <v>2015.0</v>
      </c>
      <c r="B5156" s="2" t="s">
        <v>22897</v>
      </c>
      <c r="C5156" s="2" t="s">
        <v>22897</v>
      </c>
      <c r="D5156" s="2" t="str">
        <f>"910-323-5761"</f>
        <v>910-323-5761</v>
      </c>
      <c r="E5156" s="2" t="s">
        <v>3743</v>
      </c>
      <c r="F5156" s="2" t="s">
        <v>4941</v>
      </c>
      <c r="G5156" s="2" t="str">
        <f>"SR-7030"</f>
        <v>SR-7030</v>
      </c>
      <c r="H5156" s="2" t="s">
        <v>22898</v>
      </c>
      <c r="I5156" s="2" t="s">
        <v>22899</v>
      </c>
      <c r="K5156" s="2" t="s">
        <v>22900</v>
      </c>
      <c r="L5156" s="2" t="s">
        <v>20</v>
      </c>
      <c r="M5156" s="2">
        <v>28391.0</v>
      </c>
      <c r="N5156" s="2" t="s">
        <v>21</v>
      </c>
    </row>
    <row r="5157" ht="15.75" customHeight="1">
      <c r="A5157" s="2">
        <v>2015.0</v>
      </c>
      <c r="B5157" s="2" t="s">
        <v>7701</v>
      </c>
      <c r="C5157" s="2" t="s">
        <v>7701</v>
      </c>
      <c r="D5157" s="2" t="str">
        <f>"(910)485-3309"</f>
        <v>(910)485-3309</v>
      </c>
      <c r="E5157" s="2" t="s">
        <v>1928</v>
      </c>
      <c r="F5157" s="2" t="s">
        <v>7702</v>
      </c>
      <c r="G5157" s="2" t="str">
        <f>"SR-7029"</f>
        <v>SR-7029</v>
      </c>
      <c r="H5157" s="2" t="s">
        <v>7703</v>
      </c>
      <c r="I5157" s="2" t="s">
        <v>7704</v>
      </c>
      <c r="K5157" s="2" t="s">
        <v>3164</v>
      </c>
      <c r="L5157" s="2" t="s">
        <v>20</v>
      </c>
      <c r="M5157" s="2">
        <v>28304.0</v>
      </c>
      <c r="N5157" s="2" t="s">
        <v>21</v>
      </c>
    </row>
    <row r="5158" ht="15.75" customHeight="1">
      <c r="A5158" s="2">
        <v>2015.0</v>
      </c>
      <c r="B5158" s="2" t="s">
        <v>22901</v>
      </c>
      <c r="C5158" s="2" t="s">
        <v>22901</v>
      </c>
      <c r="D5158" s="2" t="str">
        <f>"570-939-5982"</f>
        <v>570-939-5982</v>
      </c>
      <c r="E5158" s="2" t="s">
        <v>4115</v>
      </c>
      <c r="F5158" s="2" t="s">
        <v>22902</v>
      </c>
      <c r="G5158" s="2" t="str">
        <f>"SR-7031"</f>
        <v>SR-7031</v>
      </c>
      <c r="H5158" s="2" t="s">
        <v>22903</v>
      </c>
      <c r="I5158" s="2" t="s">
        <v>22904</v>
      </c>
      <c r="K5158" s="2" t="s">
        <v>3671</v>
      </c>
      <c r="L5158" s="2" t="s">
        <v>279</v>
      </c>
      <c r="M5158" s="2">
        <v>37043.0</v>
      </c>
      <c r="N5158" s="2" t="s">
        <v>21</v>
      </c>
    </row>
    <row r="5159" ht="15.75" customHeight="1">
      <c r="A5159" s="2">
        <v>2015.0</v>
      </c>
      <c r="B5159" s="2" t="s">
        <v>14695</v>
      </c>
      <c r="C5159" s="2" t="s">
        <v>14696</v>
      </c>
      <c r="D5159" s="2" t="str">
        <f>"2562499533"</f>
        <v>2562499533</v>
      </c>
      <c r="E5159" s="2" t="s">
        <v>580</v>
      </c>
      <c r="F5159" s="2" t="s">
        <v>2648</v>
      </c>
      <c r="G5159" s="2" t="str">
        <f>"SR-4251"</f>
        <v>SR-4251</v>
      </c>
      <c r="H5159" s="2" t="s">
        <v>14697</v>
      </c>
      <c r="I5159" s="2" t="s">
        <v>14698</v>
      </c>
      <c r="K5159" s="2" t="s">
        <v>14699</v>
      </c>
      <c r="L5159" s="2" t="s">
        <v>539</v>
      </c>
      <c r="M5159" s="2">
        <v>35151.0</v>
      </c>
      <c r="N5159" s="2" t="s">
        <v>21</v>
      </c>
    </row>
    <row r="5160" ht="15.75" customHeight="1">
      <c r="A5160" s="2">
        <v>2015.0</v>
      </c>
      <c r="B5160" s="2" t="s">
        <v>22905</v>
      </c>
      <c r="C5160" s="2" t="s">
        <v>22905</v>
      </c>
      <c r="D5160" s="2" t="str">
        <f>"6104626344"</f>
        <v>6104626344</v>
      </c>
      <c r="E5160" s="2" t="s">
        <v>22906</v>
      </c>
      <c r="F5160" s="2" t="s">
        <v>22902</v>
      </c>
      <c r="G5160" s="2" t="str">
        <f>"SR-7033"</f>
        <v>SR-7033</v>
      </c>
      <c r="H5160" s="2" t="s">
        <v>22907</v>
      </c>
      <c r="I5160" s="2" t="s">
        <v>22904</v>
      </c>
      <c r="K5160" s="2" t="s">
        <v>3671</v>
      </c>
      <c r="L5160" s="2" t="s">
        <v>279</v>
      </c>
      <c r="M5160" s="2">
        <v>37043.0</v>
      </c>
      <c r="N5160" s="2" t="s">
        <v>21</v>
      </c>
    </row>
    <row r="5161" ht="15.75" customHeight="1">
      <c r="A5161" s="2">
        <v>2015.0</v>
      </c>
      <c r="B5161" s="2" t="s">
        <v>22908</v>
      </c>
      <c r="C5161" s="2" t="s">
        <v>22909</v>
      </c>
      <c r="D5161" s="2" t="str">
        <f>"2677077643"</f>
        <v>2677077643</v>
      </c>
      <c r="E5161" s="2" t="s">
        <v>22910</v>
      </c>
      <c r="F5161" s="2" t="s">
        <v>22911</v>
      </c>
      <c r="G5161" s="2" t="str">
        <f>"SR-6179"</f>
        <v>SR-6179</v>
      </c>
      <c r="H5161" s="2" t="s">
        <v>22912</v>
      </c>
      <c r="I5161" s="2" t="s">
        <v>22913</v>
      </c>
      <c r="J5161" s="2" t="s">
        <v>22914</v>
      </c>
      <c r="K5161" s="2" t="s">
        <v>22915</v>
      </c>
      <c r="L5161" s="2" t="s">
        <v>179</v>
      </c>
      <c r="M5161" s="2">
        <v>19111.0</v>
      </c>
      <c r="N5161" s="2" t="s">
        <v>21</v>
      </c>
    </row>
    <row r="5162" ht="15.75" customHeight="1">
      <c r="A5162" s="2">
        <v>2015.0</v>
      </c>
      <c r="B5162" s="2" t="s">
        <v>22916</v>
      </c>
      <c r="C5162" s="2" t="s">
        <v>22916</v>
      </c>
      <c r="D5162" s="2" t="str">
        <f>"3202836132"</f>
        <v>3202836132</v>
      </c>
      <c r="E5162" s="2" t="s">
        <v>8649</v>
      </c>
      <c r="F5162" s="2" t="s">
        <v>22917</v>
      </c>
      <c r="G5162" s="2" t="str">
        <f>"SR-7013"</f>
        <v>SR-7013</v>
      </c>
      <c r="H5162" s="2" t="s">
        <v>22918</v>
      </c>
      <c r="I5162" s="2" t="s">
        <v>22919</v>
      </c>
      <c r="K5162" s="2" t="s">
        <v>404</v>
      </c>
      <c r="L5162" s="2" t="s">
        <v>62</v>
      </c>
      <c r="M5162" s="2">
        <v>56308.0</v>
      </c>
      <c r="N5162" s="2" t="s">
        <v>21</v>
      </c>
    </row>
    <row r="5163" ht="15.75" customHeight="1">
      <c r="A5163" s="2">
        <v>2015.0</v>
      </c>
      <c r="B5163" s="2" t="s">
        <v>22920</v>
      </c>
      <c r="C5163" s="2" t="s">
        <v>22921</v>
      </c>
      <c r="D5163" s="2" t="str">
        <f>"815-824-2895"</f>
        <v>815-824-2895</v>
      </c>
      <c r="E5163" s="2" t="s">
        <v>160</v>
      </c>
      <c r="F5163" s="2" t="s">
        <v>3964</v>
      </c>
      <c r="G5163" s="2" t="str">
        <f>"SR-7037"</f>
        <v>SR-7037</v>
      </c>
      <c r="H5163" s="2" t="s">
        <v>22922</v>
      </c>
      <c r="I5163" s="2" t="s">
        <v>22923</v>
      </c>
      <c r="K5163" s="2" t="s">
        <v>2753</v>
      </c>
      <c r="L5163" s="2" t="s">
        <v>105</v>
      </c>
      <c r="M5163" s="2">
        <v>60530.0</v>
      </c>
      <c r="N5163" s="2" t="s">
        <v>21</v>
      </c>
    </row>
    <row r="5164" ht="15.75" customHeight="1">
      <c r="A5164" s="2">
        <v>2015.0</v>
      </c>
      <c r="B5164" s="2" t="s">
        <v>22924</v>
      </c>
      <c r="C5164" s="2" t="s">
        <v>22924</v>
      </c>
      <c r="D5164" s="2" t="str">
        <f>"719-534-3291"</f>
        <v>719-534-3291</v>
      </c>
      <c r="E5164" s="2" t="s">
        <v>3336</v>
      </c>
      <c r="F5164" s="2" t="s">
        <v>22925</v>
      </c>
      <c r="G5164" s="2" t="str">
        <f>"SR-7042"</f>
        <v>SR-7042</v>
      </c>
      <c r="H5164" s="2" t="s">
        <v>22926</v>
      </c>
      <c r="I5164" s="2" t="s">
        <v>22927</v>
      </c>
      <c r="K5164" s="2" t="s">
        <v>507</v>
      </c>
      <c r="L5164" s="2" t="s">
        <v>157</v>
      </c>
      <c r="M5164" s="2">
        <v>80132.0</v>
      </c>
      <c r="N5164" s="2" t="s">
        <v>21</v>
      </c>
    </row>
    <row r="5165" ht="15.75" customHeight="1">
      <c r="A5165" s="2">
        <v>2015.0</v>
      </c>
      <c r="B5165" s="2" t="s">
        <v>22928</v>
      </c>
      <c r="C5165" s="2" t="s">
        <v>22928</v>
      </c>
      <c r="D5165" s="2" t="str">
        <f>"7069794171"</f>
        <v>7069794171</v>
      </c>
      <c r="E5165" s="2" t="s">
        <v>3201</v>
      </c>
      <c r="F5165" s="2" t="s">
        <v>22929</v>
      </c>
      <c r="G5165" s="2" t="str">
        <f>"SR-7044"</f>
        <v>SR-7044</v>
      </c>
      <c r="H5165" s="2" t="s">
        <v>22930</v>
      </c>
      <c r="I5165" s="2" t="s">
        <v>22931</v>
      </c>
      <c r="J5165" s="2" t="s">
        <v>22931</v>
      </c>
      <c r="K5165" s="2" t="s">
        <v>22932</v>
      </c>
      <c r="L5165" s="2" t="s">
        <v>200</v>
      </c>
      <c r="M5165" s="2">
        <v>3013.0</v>
      </c>
      <c r="N5165" s="2" t="s">
        <v>21</v>
      </c>
    </row>
    <row r="5166" ht="15.75" customHeight="1">
      <c r="A5166" s="2">
        <v>2015.0</v>
      </c>
      <c r="B5166" s="2" t="s">
        <v>22933</v>
      </c>
      <c r="C5166" s="2" t="s">
        <v>22933</v>
      </c>
      <c r="D5166" s="2" t="str">
        <f>"541-292-4737"</f>
        <v>541-292-4737</v>
      </c>
      <c r="E5166" s="2" t="s">
        <v>1548</v>
      </c>
      <c r="F5166" s="2" t="s">
        <v>22751</v>
      </c>
      <c r="G5166" s="2" t="str">
        <f>"SR-7043"</f>
        <v>SR-7043</v>
      </c>
      <c r="H5166" s="2" t="s">
        <v>22934</v>
      </c>
      <c r="I5166" s="2" t="s">
        <v>22935</v>
      </c>
      <c r="K5166" s="2" t="s">
        <v>22936</v>
      </c>
      <c r="L5166" s="2" t="s">
        <v>2389</v>
      </c>
      <c r="M5166" s="2">
        <v>97504.0</v>
      </c>
      <c r="N5166" s="2" t="s">
        <v>21</v>
      </c>
    </row>
    <row r="5167" ht="15.75" customHeight="1">
      <c r="A5167" s="2">
        <v>2015.0</v>
      </c>
      <c r="B5167" s="2" t="s">
        <v>22937</v>
      </c>
      <c r="C5167" s="2" t="s">
        <v>22937</v>
      </c>
      <c r="D5167" s="2" t="str">
        <f>"719-534-3291"</f>
        <v>719-534-3291</v>
      </c>
      <c r="E5167" s="2" t="s">
        <v>15752</v>
      </c>
      <c r="F5167" s="2" t="s">
        <v>22925</v>
      </c>
      <c r="G5167" s="2" t="str">
        <f>"SR-7046"</f>
        <v>SR-7046</v>
      </c>
      <c r="H5167" s="2" t="s">
        <v>22938</v>
      </c>
      <c r="I5167" s="2" t="s">
        <v>22939</v>
      </c>
      <c r="K5167" s="2" t="s">
        <v>507</v>
      </c>
      <c r="L5167" s="2" t="s">
        <v>157</v>
      </c>
      <c r="M5167" s="2">
        <v>80132.0</v>
      </c>
      <c r="N5167" s="2" t="s">
        <v>21</v>
      </c>
    </row>
    <row r="5168" ht="15.75" customHeight="1">
      <c r="A5168" s="2">
        <v>2015.0</v>
      </c>
      <c r="B5168" s="2" t="s">
        <v>22940</v>
      </c>
      <c r="C5168" s="2" t="s">
        <v>22941</v>
      </c>
      <c r="D5168" s="2" t="str">
        <f>"8642078796"</f>
        <v>8642078796</v>
      </c>
      <c r="E5168" s="2" t="s">
        <v>22942</v>
      </c>
      <c r="F5168" s="2" t="s">
        <v>962</v>
      </c>
      <c r="G5168" s="2" t="str">
        <f>"SR-7045"</f>
        <v>SR-7045</v>
      </c>
      <c r="H5168" s="2" t="s">
        <v>22943</v>
      </c>
      <c r="I5168" s="2" t="s">
        <v>22944</v>
      </c>
      <c r="K5168" s="2" t="s">
        <v>19801</v>
      </c>
      <c r="L5168" s="2" t="s">
        <v>55</v>
      </c>
      <c r="M5168" s="2">
        <v>29640.0</v>
      </c>
      <c r="N5168" s="2" t="s">
        <v>21</v>
      </c>
    </row>
    <row r="5169" ht="15.75" customHeight="1">
      <c r="A5169" s="2">
        <v>2015.0</v>
      </c>
      <c r="B5169" s="2" t="s">
        <v>22940</v>
      </c>
      <c r="C5169" s="2" t="s">
        <v>22945</v>
      </c>
      <c r="D5169" s="2" t="str">
        <f>"8643800122"</f>
        <v>8643800122</v>
      </c>
      <c r="E5169" s="2" t="s">
        <v>580</v>
      </c>
      <c r="F5169" s="2" t="s">
        <v>962</v>
      </c>
      <c r="G5169" s="2" t="str">
        <f>"SR-7048"</f>
        <v>SR-7048</v>
      </c>
      <c r="H5169" s="2" t="s">
        <v>13891</v>
      </c>
      <c r="I5169" s="2" t="s">
        <v>22944</v>
      </c>
      <c r="K5169" s="2" t="s">
        <v>19801</v>
      </c>
      <c r="L5169" s="2" t="s">
        <v>55</v>
      </c>
      <c r="M5169" s="2">
        <v>29640.0</v>
      </c>
      <c r="N5169" s="2" t="s">
        <v>21</v>
      </c>
    </row>
    <row r="5170" ht="15.75" customHeight="1">
      <c r="A5170" s="2">
        <v>2015.0</v>
      </c>
      <c r="B5170" s="2" t="s">
        <v>22940</v>
      </c>
      <c r="C5170" s="2" t="s">
        <v>22946</v>
      </c>
      <c r="D5170" s="2" t="str">
        <f t="shared" ref="D5170:D5171" si="87">"8643809463"</f>
        <v>8643809463</v>
      </c>
      <c r="E5170" s="2" t="s">
        <v>1208</v>
      </c>
      <c r="F5170" s="2" t="s">
        <v>962</v>
      </c>
      <c r="G5170" s="2" t="str">
        <f>"SR-7049"</f>
        <v>SR-7049</v>
      </c>
      <c r="H5170" s="2" t="s">
        <v>22947</v>
      </c>
      <c r="I5170" s="2" t="s">
        <v>22944</v>
      </c>
      <c r="K5170" s="2" t="s">
        <v>19801</v>
      </c>
      <c r="L5170" s="2" t="s">
        <v>55</v>
      </c>
      <c r="M5170" s="2">
        <v>29640.0</v>
      </c>
      <c r="N5170" s="2" t="s">
        <v>21</v>
      </c>
    </row>
    <row r="5171" ht="15.75" customHeight="1">
      <c r="A5171" s="2">
        <v>2015.0</v>
      </c>
      <c r="B5171" s="2" t="s">
        <v>22940</v>
      </c>
      <c r="C5171" s="2" t="s">
        <v>22948</v>
      </c>
      <c r="D5171" s="2" t="str">
        <f t="shared" si="87"/>
        <v>8643809463</v>
      </c>
      <c r="E5171" s="2" t="s">
        <v>9513</v>
      </c>
      <c r="F5171" s="2" t="s">
        <v>962</v>
      </c>
      <c r="G5171" s="2" t="str">
        <f>"SR-7050"</f>
        <v>SR-7050</v>
      </c>
      <c r="H5171" s="2" t="s">
        <v>22949</v>
      </c>
      <c r="I5171" s="2" t="s">
        <v>22944</v>
      </c>
      <c r="K5171" s="2" t="s">
        <v>19801</v>
      </c>
      <c r="L5171" s="2" t="s">
        <v>55</v>
      </c>
      <c r="M5171" s="2">
        <v>29640.0</v>
      </c>
      <c r="N5171" s="2" t="s">
        <v>21</v>
      </c>
    </row>
    <row r="5172" ht="15.75" customHeight="1">
      <c r="A5172" s="2">
        <v>2015.0</v>
      </c>
      <c r="B5172" s="2" t="s">
        <v>8387</v>
      </c>
      <c r="C5172" s="2" t="s">
        <v>22950</v>
      </c>
      <c r="D5172" s="2" t="str">
        <f>"405-627-4079"</f>
        <v>405-627-4079</v>
      </c>
      <c r="E5172" s="2" t="s">
        <v>88</v>
      </c>
      <c r="F5172" s="2" t="s">
        <v>8390</v>
      </c>
      <c r="G5172" s="2" t="str">
        <f>"SR-4702"</f>
        <v>SR-4702</v>
      </c>
      <c r="H5172" s="2" t="s">
        <v>22951</v>
      </c>
      <c r="I5172" s="2" t="s">
        <v>22952</v>
      </c>
      <c r="K5172" s="2" t="s">
        <v>1546</v>
      </c>
      <c r="L5172" s="2" t="s">
        <v>840</v>
      </c>
      <c r="M5172" s="2">
        <v>73025.0</v>
      </c>
      <c r="N5172" s="2" t="s">
        <v>21</v>
      </c>
    </row>
    <row r="5173" ht="15.75" customHeight="1">
      <c r="A5173" s="2">
        <v>2015.0</v>
      </c>
      <c r="B5173" s="2" t="s">
        <v>22953</v>
      </c>
      <c r="C5173" s="2" t="s">
        <v>22953</v>
      </c>
      <c r="D5173" s="2" t="str">
        <f>"614-348-1083"</f>
        <v>614-348-1083</v>
      </c>
      <c r="E5173" s="2" t="s">
        <v>15908</v>
      </c>
      <c r="F5173" s="2" t="s">
        <v>21956</v>
      </c>
      <c r="G5173" s="2" t="str">
        <f>"SR-7041"</f>
        <v>SR-7041</v>
      </c>
      <c r="H5173" s="2" t="s">
        <v>22954</v>
      </c>
      <c r="I5173" s="2" t="s">
        <v>22955</v>
      </c>
      <c r="K5173" s="2" t="s">
        <v>20729</v>
      </c>
      <c r="L5173" s="2" t="s">
        <v>344</v>
      </c>
      <c r="M5173" s="2">
        <v>43221.0</v>
      </c>
      <c r="N5173" s="2" t="s">
        <v>21</v>
      </c>
    </row>
    <row r="5174" ht="15.75" customHeight="1">
      <c r="A5174" s="2">
        <v>2015.0</v>
      </c>
      <c r="B5174" s="2" t="s">
        <v>22956</v>
      </c>
      <c r="C5174" s="2" t="s">
        <v>22957</v>
      </c>
      <c r="D5174" s="2" t="str">
        <f>"615-785-6061"</f>
        <v>615-785-6061</v>
      </c>
      <c r="E5174" s="2" t="s">
        <v>373</v>
      </c>
      <c r="F5174" s="2" t="s">
        <v>22958</v>
      </c>
      <c r="G5174" s="2" t="str">
        <f>"SR-7052"</f>
        <v>SR-7052</v>
      </c>
      <c r="H5174" s="2" t="s">
        <v>22959</v>
      </c>
      <c r="I5174" s="2" t="s">
        <v>22960</v>
      </c>
      <c r="K5174" s="2" t="s">
        <v>9868</v>
      </c>
      <c r="L5174" s="2" t="s">
        <v>279</v>
      </c>
      <c r="M5174" s="2">
        <v>37027.0</v>
      </c>
      <c r="N5174" s="2" t="s">
        <v>21</v>
      </c>
    </row>
    <row r="5175" ht="15.75" customHeight="1">
      <c r="A5175" s="2">
        <v>2015.0</v>
      </c>
      <c r="B5175" s="2" t="s">
        <v>22961</v>
      </c>
      <c r="C5175" s="2" t="s">
        <v>22962</v>
      </c>
      <c r="D5175" s="2" t="str">
        <f>"4178509702"</f>
        <v>4178509702</v>
      </c>
      <c r="E5175" s="2" t="s">
        <v>2162</v>
      </c>
      <c r="F5175" s="2" t="s">
        <v>22963</v>
      </c>
      <c r="G5175" s="2" t="str">
        <f>"SR-4616"</f>
        <v>SR-4616</v>
      </c>
      <c r="H5175" s="2" t="s">
        <v>22964</v>
      </c>
      <c r="I5175" s="2" t="s">
        <v>22965</v>
      </c>
      <c r="K5175" s="2" t="s">
        <v>22966</v>
      </c>
      <c r="L5175" s="2" t="s">
        <v>214</v>
      </c>
      <c r="M5175" s="2">
        <v>64801.0</v>
      </c>
      <c r="N5175" s="2" t="s">
        <v>21</v>
      </c>
    </row>
    <row r="5176" ht="15.75" customHeight="1">
      <c r="A5176" s="2">
        <v>2015.0</v>
      </c>
      <c r="B5176" s="2" t="s">
        <v>22967</v>
      </c>
      <c r="C5176" s="2" t="s">
        <v>22968</v>
      </c>
      <c r="D5176" s="2" t="str">
        <f>"703-938-1981"</f>
        <v>703-938-1981</v>
      </c>
      <c r="E5176" s="2" t="s">
        <v>705</v>
      </c>
      <c r="F5176" s="2" t="s">
        <v>22969</v>
      </c>
      <c r="G5176" s="2" t="str">
        <f>"SR-6695"</f>
        <v>SR-6695</v>
      </c>
      <c r="H5176" s="2" t="s">
        <v>22970</v>
      </c>
      <c r="I5176" s="2" t="s">
        <v>22971</v>
      </c>
      <c r="K5176" s="2" t="s">
        <v>12253</v>
      </c>
      <c r="L5176" s="2" t="s">
        <v>165</v>
      </c>
      <c r="M5176" s="2">
        <v>22180.0</v>
      </c>
      <c r="N5176" s="2" t="s">
        <v>21</v>
      </c>
    </row>
    <row r="5177" ht="15.75" customHeight="1">
      <c r="A5177" s="2">
        <v>2015.0</v>
      </c>
      <c r="B5177" s="2" t="s">
        <v>22972</v>
      </c>
      <c r="C5177" s="2" t="s">
        <v>22972</v>
      </c>
      <c r="D5177" s="2" t="str">
        <f>"8134548061"</f>
        <v>8134548061</v>
      </c>
      <c r="E5177" s="2" t="s">
        <v>908</v>
      </c>
      <c r="F5177" s="2" t="s">
        <v>15402</v>
      </c>
      <c r="G5177" s="2" t="str">
        <f>"SR-5532"</f>
        <v>SR-5532</v>
      </c>
      <c r="H5177" s="2" t="s">
        <v>22973</v>
      </c>
      <c r="I5177" s="2" t="s">
        <v>15404</v>
      </c>
      <c r="K5177" s="2" t="s">
        <v>5683</v>
      </c>
      <c r="L5177" s="2" t="s">
        <v>208</v>
      </c>
      <c r="M5177" s="2">
        <v>33596.0</v>
      </c>
      <c r="N5177" s="2" t="s">
        <v>21</v>
      </c>
    </row>
    <row r="5178" ht="15.75" customHeight="1">
      <c r="A5178" s="2">
        <v>2015.0</v>
      </c>
      <c r="B5178" s="2" t="s">
        <v>15400</v>
      </c>
      <c r="C5178" s="2" t="s">
        <v>15401</v>
      </c>
      <c r="D5178" s="2" t="str">
        <f>"813-454-8421"</f>
        <v>813-454-8421</v>
      </c>
      <c r="E5178" s="2" t="s">
        <v>1946</v>
      </c>
      <c r="F5178" s="2" t="s">
        <v>15402</v>
      </c>
      <c r="G5178" s="2" t="str">
        <f>"SR-4466"</f>
        <v>SR-4466</v>
      </c>
      <c r="H5178" s="2" t="s">
        <v>15403</v>
      </c>
      <c r="I5178" s="2" t="s">
        <v>15404</v>
      </c>
      <c r="K5178" s="2" t="s">
        <v>5683</v>
      </c>
      <c r="L5178" s="2" t="s">
        <v>208</v>
      </c>
      <c r="M5178" s="2">
        <v>33596.0</v>
      </c>
      <c r="N5178" s="2" t="s">
        <v>21</v>
      </c>
    </row>
    <row r="5179" ht="15.75" customHeight="1">
      <c r="A5179" s="2">
        <v>2015.0</v>
      </c>
      <c r="B5179" s="2" t="s">
        <v>22974</v>
      </c>
      <c r="C5179" s="2" t="s">
        <v>22975</v>
      </c>
      <c r="D5179" s="2" t="str">
        <f>"256-298-3143"</f>
        <v>256-298-3143</v>
      </c>
      <c r="E5179" s="2" t="s">
        <v>386</v>
      </c>
      <c r="F5179" s="2" t="s">
        <v>1275</v>
      </c>
      <c r="G5179" s="2" t="str">
        <f>"SR-6558"</f>
        <v>SR-6558</v>
      </c>
      <c r="H5179" s="2" t="s">
        <v>22976</v>
      </c>
      <c r="I5179" s="2" t="s">
        <v>22977</v>
      </c>
      <c r="K5179" s="2" t="s">
        <v>5345</v>
      </c>
      <c r="L5179" s="2" t="s">
        <v>539</v>
      </c>
      <c r="M5179" s="2">
        <v>35957.0</v>
      </c>
      <c r="N5179" s="2" t="s">
        <v>21</v>
      </c>
    </row>
    <row r="5180" ht="15.75" customHeight="1">
      <c r="A5180" s="2">
        <v>2015.0</v>
      </c>
      <c r="B5180" s="2" t="s">
        <v>22978</v>
      </c>
      <c r="C5180" s="2" t="s">
        <v>22978</v>
      </c>
      <c r="D5180" s="2" t="str">
        <f>"(309) 692-0912"</f>
        <v>(309) 692-0912</v>
      </c>
      <c r="E5180" s="2" t="s">
        <v>250</v>
      </c>
      <c r="F5180" s="2" t="s">
        <v>22979</v>
      </c>
      <c r="G5180" s="2" t="str">
        <f>"SR-6963"</f>
        <v>SR-6963</v>
      </c>
      <c r="H5180" s="2" t="s">
        <v>22980</v>
      </c>
      <c r="I5180" s="2" t="s">
        <v>22981</v>
      </c>
      <c r="K5180" s="2" t="s">
        <v>104</v>
      </c>
      <c r="L5180" s="2" t="s">
        <v>105</v>
      </c>
      <c r="M5180" s="2">
        <v>61614.0</v>
      </c>
      <c r="N5180" s="2" t="s">
        <v>21</v>
      </c>
    </row>
    <row r="5181" ht="15.75" customHeight="1">
      <c r="A5181" s="2">
        <v>2015.0</v>
      </c>
      <c r="B5181" s="2" t="s">
        <v>22982</v>
      </c>
      <c r="C5181" s="2" t="s">
        <v>22982</v>
      </c>
      <c r="D5181" s="2" t="str">
        <f>"8178412544"</f>
        <v>8178412544</v>
      </c>
      <c r="E5181" s="2" t="s">
        <v>22983</v>
      </c>
      <c r="F5181" s="2" t="s">
        <v>22984</v>
      </c>
      <c r="G5181" s="2" t="str">
        <f>"SR-5930"</f>
        <v>SR-5930</v>
      </c>
      <c r="H5181" s="2" t="s">
        <v>22985</v>
      </c>
      <c r="I5181" s="2" t="s">
        <v>22986</v>
      </c>
      <c r="K5181" s="2" t="s">
        <v>1260</v>
      </c>
      <c r="L5181" s="2" t="s">
        <v>172</v>
      </c>
      <c r="M5181" s="2">
        <v>76134.0</v>
      </c>
      <c r="N5181" s="2" t="s">
        <v>21</v>
      </c>
    </row>
    <row r="5182" ht="15.75" customHeight="1">
      <c r="A5182" s="2">
        <v>2015.0</v>
      </c>
      <c r="B5182" s="2" t="s">
        <v>22987</v>
      </c>
      <c r="C5182" s="2" t="s">
        <v>22987</v>
      </c>
      <c r="D5182" s="2" t="str">
        <f>"4257915891"</f>
        <v>4257915891</v>
      </c>
      <c r="E5182" s="2" t="s">
        <v>1278</v>
      </c>
      <c r="F5182" s="2" t="s">
        <v>9611</v>
      </c>
      <c r="G5182" s="2" t="str">
        <f>"SR-6791"</f>
        <v>SR-6791</v>
      </c>
      <c r="H5182" s="2" t="s">
        <v>22988</v>
      </c>
      <c r="I5182" s="2" t="s">
        <v>22989</v>
      </c>
      <c r="J5182" s="2" t="s">
        <v>22990</v>
      </c>
      <c r="K5182" s="2" t="s">
        <v>10295</v>
      </c>
      <c r="L5182" s="2" t="s">
        <v>86</v>
      </c>
      <c r="M5182" s="2">
        <v>98208.0</v>
      </c>
      <c r="N5182" s="2" t="s">
        <v>21</v>
      </c>
    </row>
    <row r="5183" ht="15.75" customHeight="1">
      <c r="A5183" s="2">
        <v>2015.0</v>
      </c>
      <c r="B5183" s="2" t="s">
        <v>22991</v>
      </c>
      <c r="C5183" s="2" t="s">
        <v>22991</v>
      </c>
      <c r="D5183" s="2" t="str">
        <f>"2488602667"</f>
        <v>2488602667</v>
      </c>
      <c r="E5183" s="2" t="s">
        <v>2361</v>
      </c>
      <c r="F5183" s="2" t="s">
        <v>17530</v>
      </c>
      <c r="G5183" s="2" t="str">
        <f>"SR-7023"</f>
        <v>SR-7023</v>
      </c>
      <c r="H5183" s="2" t="s">
        <v>22992</v>
      </c>
      <c r="I5183" s="2" t="s">
        <v>22993</v>
      </c>
      <c r="K5183" s="2" t="s">
        <v>22994</v>
      </c>
      <c r="L5183" s="2" t="s">
        <v>29</v>
      </c>
      <c r="M5183" s="2">
        <v>48462.0</v>
      </c>
      <c r="N5183" s="2" t="s">
        <v>21</v>
      </c>
    </row>
    <row r="5184" ht="15.75" customHeight="1">
      <c r="A5184" s="2">
        <v>2015.0</v>
      </c>
      <c r="B5184" s="2" t="s">
        <v>22995</v>
      </c>
      <c r="C5184" s="2" t="s">
        <v>22995</v>
      </c>
      <c r="D5184" s="2" t="str">
        <f>"6154262787"</f>
        <v>6154262787</v>
      </c>
      <c r="E5184" s="2" t="s">
        <v>4763</v>
      </c>
      <c r="F5184" s="2" t="s">
        <v>690</v>
      </c>
      <c r="G5184" s="2" t="str">
        <f>"SR-6487"</f>
        <v>SR-6487</v>
      </c>
      <c r="H5184" s="2" t="s">
        <v>22996</v>
      </c>
      <c r="I5184" s="2" t="s">
        <v>19153</v>
      </c>
      <c r="K5184" s="2" t="s">
        <v>731</v>
      </c>
      <c r="L5184" s="2" t="s">
        <v>279</v>
      </c>
      <c r="M5184" s="2">
        <v>37215.0</v>
      </c>
      <c r="N5184" s="2" t="s">
        <v>21</v>
      </c>
    </row>
    <row r="5185" ht="15.75" customHeight="1">
      <c r="A5185" s="2">
        <v>2015.0</v>
      </c>
      <c r="B5185" s="2" t="s">
        <v>22997</v>
      </c>
      <c r="D5185" s="2" t="str">
        <f>""</f>
        <v/>
      </c>
      <c r="E5185" s="2" t="s">
        <v>12075</v>
      </c>
      <c r="F5185" s="2" t="s">
        <v>2063</v>
      </c>
      <c r="G5185" s="2" t="str">
        <f>"SR-7066"</f>
        <v>SR-7066</v>
      </c>
      <c r="H5185" s="2" t="s">
        <v>22998</v>
      </c>
      <c r="N5185" s="2" t="s">
        <v>21</v>
      </c>
    </row>
    <row r="5186" ht="15.75" customHeight="1">
      <c r="A5186" s="2">
        <v>2015.0</v>
      </c>
      <c r="B5186" s="2" t="s">
        <v>22999</v>
      </c>
      <c r="C5186" s="2" t="s">
        <v>23000</v>
      </c>
      <c r="D5186" s="2" t="str">
        <f>"(325) 896-2299"</f>
        <v>(325) 896-2299</v>
      </c>
      <c r="E5186" s="2" t="s">
        <v>7046</v>
      </c>
      <c r="F5186" s="2" t="s">
        <v>23001</v>
      </c>
      <c r="G5186" s="2" t="str">
        <f>"SR-7064"</f>
        <v>SR-7064</v>
      </c>
      <c r="H5186" s="2" t="s">
        <v>23002</v>
      </c>
      <c r="I5186" s="2" t="s">
        <v>23003</v>
      </c>
      <c r="K5186" s="2" t="s">
        <v>23004</v>
      </c>
      <c r="L5186" s="2" t="s">
        <v>172</v>
      </c>
      <c r="M5186" s="2">
        <v>76935.0</v>
      </c>
      <c r="N5186" s="2" t="s">
        <v>21</v>
      </c>
    </row>
    <row r="5187" ht="15.75" customHeight="1">
      <c r="A5187" s="2">
        <v>2015.0</v>
      </c>
      <c r="B5187" s="2" t="s">
        <v>22999</v>
      </c>
      <c r="C5187" s="2" t="s">
        <v>23005</v>
      </c>
      <c r="D5187" s="2" t="str">
        <f>"325-896-2299"</f>
        <v>325-896-2299</v>
      </c>
      <c r="E5187" s="2" t="s">
        <v>160</v>
      </c>
      <c r="F5187" s="2" t="s">
        <v>23001</v>
      </c>
      <c r="G5187" s="2" t="str">
        <f>"SR-7065"</f>
        <v>SR-7065</v>
      </c>
      <c r="H5187" s="2" t="s">
        <v>23006</v>
      </c>
      <c r="I5187" s="2" t="s">
        <v>23003</v>
      </c>
      <c r="K5187" s="2" t="s">
        <v>23004</v>
      </c>
      <c r="L5187" s="2" t="s">
        <v>172</v>
      </c>
      <c r="M5187" s="2">
        <v>76935.0</v>
      </c>
      <c r="N5187" s="2" t="s">
        <v>21</v>
      </c>
    </row>
    <row r="5188" ht="15.75" customHeight="1">
      <c r="A5188" s="2">
        <v>2015.0</v>
      </c>
      <c r="B5188" s="2" t="s">
        <v>11002</v>
      </c>
      <c r="C5188" s="2" t="s">
        <v>11002</v>
      </c>
      <c r="D5188" s="2" t="str">
        <f>"2055651314"</f>
        <v>2055651314</v>
      </c>
      <c r="E5188" s="2" t="s">
        <v>11003</v>
      </c>
      <c r="F5188" s="2" t="s">
        <v>11004</v>
      </c>
      <c r="G5188" s="2" t="str">
        <f>"SR-3147"</f>
        <v>SR-3147</v>
      </c>
      <c r="H5188" s="2" t="s">
        <v>11005</v>
      </c>
      <c r="I5188" s="2" t="s">
        <v>11006</v>
      </c>
      <c r="K5188" s="2" t="s">
        <v>11007</v>
      </c>
      <c r="L5188" s="2" t="s">
        <v>539</v>
      </c>
      <c r="M5188" s="2">
        <v>35007.0</v>
      </c>
      <c r="N5188" s="2" t="s">
        <v>21</v>
      </c>
    </row>
    <row r="5189" ht="15.75" customHeight="1">
      <c r="A5189" s="2">
        <v>2015.0</v>
      </c>
      <c r="B5189" s="2" t="s">
        <v>23007</v>
      </c>
      <c r="C5189" s="2" t="s">
        <v>23007</v>
      </c>
      <c r="D5189" s="2" t="str">
        <f>"9035042366"</f>
        <v>9035042366</v>
      </c>
      <c r="E5189" s="2" t="s">
        <v>1810</v>
      </c>
      <c r="F5189" s="2" t="s">
        <v>1214</v>
      </c>
      <c r="G5189" s="2" t="str">
        <f>"SR-7073"</f>
        <v>SR-7073</v>
      </c>
      <c r="H5189" s="2" t="s">
        <v>23008</v>
      </c>
      <c r="I5189" s="2" t="s">
        <v>23009</v>
      </c>
      <c r="K5189" s="2" t="s">
        <v>465</v>
      </c>
      <c r="L5189" s="2" t="s">
        <v>172</v>
      </c>
      <c r="M5189" s="2">
        <v>75703.0</v>
      </c>
      <c r="N5189" s="2" t="s">
        <v>21</v>
      </c>
    </row>
    <row r="5190" ht="15.75" customHeight="1">
      <c r="A5190" s="2">
        <v>2015.0</v>
      </c>
      <c r="B5190" s="2" t="s">
        <v>23010</v>
      </c>
      <c r="C5190" s="2" t="s">
        <v>23010</v>
      </c>
      <c r="D5190" s="2" t="str">
        <f>"9706412564"</f>
        <v>9706412564</v>
      </c>
      <c r="E5190" s="2" t="s">
        <v>2314</v>
      </c>
      <c r="F5190" s="2" t="s">
        <v>23011</v>
      </c>
      <c r="G5190" s="2" t="str">
        <f>"SR-7035"</f>
        <v>SR-7035</v>
      </c>
      <c r="H5190" s="2" t="s">
        <v>23012</v>
      </c>
      <c r="I5190" s="2" t="s">
        <v>23013</v>
      </c>
      <c r="J5190" s="2" t="s">
        <v>23014</v>
      </c>
      <c r="K5190" s="2" t="s">
        <v>23015</v>
      </c>
      <c r="L5190" s="2" t="s">
        <v>157</v>
      </c>
      <c r="M5190" s="2">
        <v>81237.0</v>
      </c>
      <c r="N5190" s="2" t="s">
        <v>21</v>
      </c>
    </row>
    <row r="5191" ht="15.75" customHeight="1">
      <c r="A5191" s="2">
        <v>2015.0</v>
      </c>
      <c r="B5191" s="2" t="s">
        <v>23016</v>
      </c>
      <c r="C5191" s="2" t="s">
        <v>23017</v>
      </c>
      <c r="D5191" s="2" t="str">
        <f>"208-972-2218"</f>
        <v>208-972-2218</v>
      </c>
      <c r="E5191" s="2" t="s">
        <v>1987</v>
      </c>
      <c r="F5191" s="2" t="s">
        <v>23018</v>
      </c>
      <c r="G5191" s="2" t="str">
        <f>"SR-7076"</f>
        <v>SR-7076</v>
      </c>
      <c r="H5191" s="2" t="s">
        <v>23019</v>
      </c>
      <c r="I5191" s="2" t="s">
        <v>23020</v>
      </c>
      <c r="K5191" s="2" t="s">
        <v>20485</v>
      </c>
      <c r="L5191" s="2" t="s">
        <v>2613</v>
      </c>
      <c r="M5191" s="2">
        <v>83646.0</v>
      </c>
      <c r="N5191" s="2" t="s">
        <v>21</v>
      </c>
    </row>
    <row r="5192" ht="15.75" customHeight="1">
      <c r="A5192" s="2">
        <v>2015.0</v>
      </c>
      <c r="B5192" s="2" t="s">
        <v>14628</v>
      </c>
      <c r="C5192" s="2" t="s">
        <v>14628</v>
      </c>
      <c r="D5192" s="2" t="str">
        <f>"2533894221"</f>
        <v>2533894221</v>
      </c>
      <c r="E5192" s="2" t="s">
        <v>50</v>
      </c>
      <c r="F5192" s="2" t="s">
        <v>14629</v>
      </c>
      <c r="G5192" s="2" t="str">
        <f>"SR-4230"</f>
        <v>SR-4230</v>
      </c>
      <c r="H5192" s="2" t="s">
        <v>14630</v>
      </c>
      <c r="I5192" s="2" t="s">
        <v>14631</v>
      </c>
      <c r="K5192" s="2" t="s">
        <v>14632</v>
      </c>
      <c r="L5192" s="2" t="s">
        <v>86</v>
      </c>
      <c r="M5192" s="2">
        <v>98466.0</v>
      </c>
      <c r="N5192" s="2" t="s">
        <v>21</v>
      </c>
    </row>
    <row r="5193" ht="15.75" customHeight="1">
      <c r="A5193" s="2">
        <v>2015.0</v>
      </c>
      <c r="B5193" s="2" t="s">
        <v>23021</v>
      </c>
      <c r="C5193" s="2" t="s">
        <v>23022</v>
      </c>
      <c r="D5193" s="2" t="str">
        <f>"3175189591"</f>
        <v>3175189591</v>
      </c>
      <c r="E5193" s="2" t="s">
        <v>5194</v>
      </c>
      <c r="F5193" s="2" t="s">
        <v>23023</v>
      </c>
      <c r="G5193" s="2" t="str">
        <f>"SR-5967"</f>
        <v>SR-5967</v>
      </c>
      <c r="H5193" s="2" t="s">
        <v>23024</v>
      </c>
      <c r="I5193" s="2" t="s">
        <v>23025</v>
      </c>
      <c r="K5193" s="2" t="s">
        <v>3464</v>
      </c>
      <c r="L5193" s="2" t="s">
        <v>149</v>
      </c>
      <c r="M5193" s="2">
        <v>46158.0</v>
      </c>
      <c r="N5193" s="2" t="s">
        <v>21</v>
      </c>
    </row>
    <row r="5194" ht="15.75" customHeight="1">
      <c r="A5194" s="2">
        <v>2015.0</v>
      </c>
      <c r="B5194" s="2" t="s">
        <v>23026</v>
      </c>
      <c r="C5194" s="2" t="s">
        <v>23027</v>
      </c>
      <c r="D5194" s="2" t="str">
        <f>"719-742-3597"</f>
        <v>719-742-3597</v>
      </c>
      <c r="E5194" s="2" t="s">
        <v>13309</v>
      </c>
      <c r="F5194" s="2" t="s">
        <v>7940</v>
      </c>
      <c r="G5194" s="2" t="str">
        <f>"SR-7077"</f>
        <v>SR-7077</v>
      </c>
      <c r="H5194" s="2" t="s">
        <v>23028</v>
      </c>
      <c r="I5194" s="2" t="s">
        <v>23029</v>
      </c>
      <c r="K5194" s="2" t="s">
        <v>23030</v>
      </c>
      <c r="L5194" s="2" t="s">
        <v>157</v>
      </c>
      <c r="M5194" s="2">
        <v>81055.0</v>
      </c>
      <c r="N5194" s="2" t="s">
        <v>21</v>
      </c>
    </row>
    <row r="5195" ht="15.75" customHeight="1">
      <c r="A5195" s="2">
        <v>2015.0</v>
      </c>
      <c r="B5195" s="2" t="s">
        <v>1219</v>
      </c>
      <c r="C5195" s="2" t="s">
        <v>1219</v>
      </c>
      <c r="D5195" s="2" t="str">
        <f>"(303)-408-6184"</f>
        <v>(303)-408-6184</v>
      </c>
      <c r="E5195" s="2" t="s">
        <v>1015</v>
      </c>
      <c r="F5195" s="2" t="s">
        <v>1220</v>
      </c>
      <c r="G5195" s="2" t="str">
        <f>"SR-7084"</f>
        <v>SR-7084</v>
      </c>
      <c r="H5195" s="2" t="s">
        <v>1221</v>
      </c>
      <c r="I5195" s="2" t="s">
        <v>1222</v>
      </c>
      <c r="K5195" s="2" t="s">
        <v>1223</v>
      </c>
      <c r="L5195" s="2" t="s">
        <v>157</v>
      </c>
      <c r="M5195" s="2">
        <v>80433.0</v>
      </c>
      <c r="N5195" s="2" t="s">
        <v>21</v>
      </c>
    </row>
    <row r="5196" ht="15.75" customHeight="1">
      <c r="A5196" s="2">
        <v>2015.0</v>
      </c>
      <c r="B5196" s="2" t="s">
        <v>15111</v>
      </c>
      <c r="C5196" s="2" t="s">
        <v>23031</v>
      </c>
      <c r="D5196" s="2" t="str">
        <f>"5078296495"</f>
        <v>5078296495</v>
      </c>
      <c r="E5196" s="2" t="s">
        <v>367</v>
      </c>
      <c r="F5196" s="2" t="s">
        <v>3394</v>
      </c>
      <c r="G5196" s="2" t="str">
        <f>"SR-4772"</f>
        <v>SR-4772</v>
      </c>
      <c r="H5196" s="2" t="s">
        <v>23032</v>
      </c>
      <c r="I5196" s="2" t="s">
        <v>23033</v>
      </c>
      <c r="K5196" s="2" t="s">
        <v>133</v>
      </c>
      <c r="L5196" s="2" t="s">
        <v>62</v>
      </c>
      <c r="M5196" s="2">
        <v>56175.0</v>
      </c>
      <c r="N5196" s="2" t="s">
        <v>21</v>
      </c>
    </row>
    <row r="5197" ht="15.75" customHeight="1">
      <c r="A5197" s="2">
        <v>2015.0</v>
      </c>
      <c r="B5197" s="2" t="s">
        <v>5592</v>
      </c>
      <c r="C5197" s="2" t="s">
        <v>5592</v>
      </c>
      <c r="D5197" s="2" t="str">
        <f>"7208415972"</f>
        <v>7208415972</v>
      </c>
      <c r="E5197" s="2" t="s">
        <v>1782</v>
      </c>
      <c r="F5197" s="2" t="s">
        <v>5593</v>
      </c>
      <c r="G5197" s="2" t="str">
        <f>"SR-1578"</f>
        <v>SR-1578</v>
      </c>
      <c r="H5197" s="2" t="s">
        <v>5594</v>
      </c>
      <c r="I5197" s="2" t="s">
        <v>5595</v>
      </c>
      <c r="K5197" s="2" t="s">
        <v>1558</v>
      </c>
      <c r="L5197" s="2" t="s">
        <v>157</v>
      </c>
      <c r="M5197" s="2">
        <v>80631.0</v>
      </c>
      <c r="N5197" s="2" t="s">
        <v>21</v>
      </c>
    </row>
    <row r="5198" ht="15.75" customHeight="1">
      <c r="A5198" s="2">
        <v>2015.0</v>
      </c>
      <c r="B5198" s="2" t="s">
        <v>17024</v>
      </c>
      <c r="C5198" s="2" t="s">
        <v>23034</v>
      </c>
      <c r="D5198" s="2" t="str">
        <f>"4053888559"</f>
        <v>4053888559</v>
      </c>
      <c r="E5198" s="2" t="s">
        <v>3434</v>
      </c>
      <c r="F5198" s="2" t="s">
        <v>283</v>
      </c>
      <c r="G5198" s="2" t="str">
        <f>"SR-4549"</f>
        <v>SR-4549</v>
      </c>
      <c r="H5198" s="2" t="s">
        <v>23035</v>
      </c>
      <c r="I5198" s="2" t="s">
        <v>17028</v>
      </c>
      <c r="K5198" s="2" t="s">
        <v>1546</v>
      </c>
      <c r="L5198" s="2" t="s">
        <v>840</v>
      </c>
      <c r="M5198" s="2">
        <v>73034.0</v>
      </c>
      <c r="N5198" s="2" t="s">
        <v>21</v>
      </c>
    </row>
    <row r="5199" ht="15.75" customHeight="1">
      <c r="A5199" s="2">
        <v>2015.0</v>
      </c>
      <c r="B5199" s="2" t="s">
        <v>23036</v>
      </c>
      <c r="C5199" s="2" t="s">
        <v>23037</v>
      </c>
      <c r="D5199" s="2" t="str">
        <f>"9254086889"</f>
        <v>9254086889</v>
      </c>
      <c r="E5199" s="2" t="s">
        <v>2179</v>
      </c>
      <c r="F5199" s="2" t="s">
        <v>23038</v>
      </c>
      <c r="G5199" s="2" t="str">
        <f>"SR-7095"</f>
        <v>SR-7095</v>
      </c>
      <c r="H5199" s="2" t="s">
        <v>23039</v>
      </c>
      <c r="I5199" s="2" t="s">
        <v>23040</v>
      </c>
      <c r="K5199" s="2" t="s">
        <v>23041</v>
      </c>
      <c r="L5199" s="2" t="s">
        <v>222</v>
      </c>
      <c r="M5199" s="2">
        <v>91803.0</v>
      </c>
      <c r="N5199" s="2" t="s">
        <v>21</v>
      </c>
    </row>
    <row r="5200" ht="15.75" customHeight="1">
      <c r="A5200" s="2">
        <v>2015.0</v>
      </c>
      <c r="B5200" s="2" t="s">
        <v>23042</v>
      </c>
      <c r="C5200" s="2" t="s">
        <v>23042</v>
      </c>
      <c r="D5200" s="2" t="str">
        <f>"214-906-5510"</f>
        <v>214-906-5510</v>
      </c>
      <c r="E5200" s="2" t="s">
        <v>1548</v>
      </c>
      <c r="F5200" s="2" t="s">
        <v>1849</v>
      </c>
      <c r="G5200" s="2" t="str">
        <f>"SR-6609"</f>
        <v>SR-6609</v>
      </c>
      <c r="H5200" s="2" t="s">
        <v>23043</v>
      </c>
      <c r="I5200" s="2" t="s">
        <v>23044</v>
      </c>
      <c r="K5200" s="2" t="s">
        <v>1255</v>
      </c>
      <c r="L5200" s="2" t="s">
        <v>172</v>
      </c>
      <c r="M5200" s="2">
        <v>75225.0</v>
      </c>
      <c r="N5200" s="2" t="s">
        <v>21</v>
      </c>
    </row>
    <row r="5201" ht="15.75" customHeight="1">
      <c r="A5201" s="2">
        <v>2015.0</v>
      </c>
      <c r="B5201" s="2" t="s">
        <v>6722</v>
      </c>
      <c r="C5201" s="2" t="s">
        <v>10244</v>
      </c>
      <c r="D5201" s="2" t="str">
        <f t="shared" ref="D5201:D5202" si="88">"4034377336"</f>
        <v>4034377336</v>
      </c>
      <c r="E5201" s="2" t="s">
        <v>1725</v>
      </c>
      <c r="F5201" s="2" t="s">
        <v>3978</v>
      </c>
      <c r="G5201" s="2" t="str">
        <f>"SR-3012"</f>
        <v>SR-3012</v>
      </c>
      <c r="H5201" s="2" t="s">
        <v>10245</v>
      </c>
      <c r="I5201" s="2" t="s">
        <v>10246</v>
      </c>
      <c r="K5201" s="2" t="s">
        <v>6725</v>
      </c>
      <c r="L5201" s="2" t="s">
        <v>6726</v>
      </c>
      <c r="M5201" s="2" t="s">
        <v>10247</v>
      </c>
      <c r="N5201" s="2" t="s">
        <v>1602</v>
      </c>
    </row>
    <row r="5202" ht="15.75" customHeight="1">
      <c r="A5202" s="2">
        <v>2015.0</v>
      </c>
      <c r="B5202" s="2" t="s">
        <v>6722</v>
      </c>
      <c r="C5202" s="2" t="s">
        <v>23045</v>
      </c>
      <c r="D5202" s="2" t="str">
        <f t="shared" si="88"/>
        <v>4034377336</v>
      </c>
      <c r="E5202" s="2" t="s">
        <v>8316</v>
      </c>
      <c r="F5202" s="2" t="s">
        <v>3978</v>
      </c>
      <c r="G5202" s="2" t="str">
        <f>"SR-7094"</f>
        <v>SR-7094</v>
      </c>
      <c r="H5202" s="2" t="s">
        <v>23046</v>
      </c>
      <c r="I5202" s="2" t="s">
        <v>23047</v>
      </c>
      <c r="K5202" s="2" t="s">
        <v>6725</v>
      </c>
      <c r="L5202" s="2" t="s">
        <v>6726</v>
      </c>
      <c r="M5202" s="2" t="s">
        <v>10247</v>
      </c>
      <c r="N5202" s="2" t="s">
        <v>1602</v>
      </c>
    </row>
    <row r="5203" ht="15.75" customHeight="1">
      <c r="A5203" s="2">
        <v>2015.0</v>
      </c>
      <c r="B5203" s="2" t="s">
        <v>23048</v>
      </c>
      <c r="C5203" s="2" t="s">
        <v>23049</v>
      </c>
      <c r="D5203" s="2" t="str">
        <f>"989-307-0924"</f>
        <v>989-307-0924</v>
      </c>
      <c r="E5203" s="2" t="s">
        <v>23050</v>
      </c>
      <c r="F5203" s="2" t="s">
        <v>543</v>
      </c>
      <c r="G5203" s="2" t="str">
        <f>"SR-7101"</f>
        <v>SR-7101</v>
      </c>
      <c r="H5203" s="2" t="s">
        <v>23051</v>
      </c>
      <c r="I5203" s="2" t="s">
        <v>23052</v>
      </c>
      <c r="K5203" s="2" t="s">
        <v>54</v>
      </c>
      <c r="L5203" s="2" t="s">
        <v>29</v>
      </c>
      <c r="M5203" s="2">
        <v>48838.0</v>
      </c>
      <c r="N5203" s="2" t="s">
        <v>21</v>
      </c>
    </row>
    <row r="5204" ht="15.75" customHeight="1">
      <c r="A5204" s="2">
        <v>2015.0</v>
      </c>
      <c r="B5204" s="2" t="s">
        <v>6822</v>
      </c>
      <c r="C5204" s="2" t="s">
        <v>23053</v>
      </c>
      <c r="D5204" s="2" t="str">
        <f>"707-812-4189"</f>
        <v>707-812-4189</v>
      </c>
      <c r="E5204" s="2" t="s">
        <v>1356</v>
      </c>
      <c r="F5204" s="2" t="s">
        <v>6824</v>
      </c>
      <c r="G5204" s="2" t="str">
        <f>"SR-4017"</f>
        <v>SR-4017</v>
      </c>
      <c r="H5204" s="2" t="s">
        <v>23054</v>
      </c>
      <c r="I5204" s="2" t="s">
        <v>6826</v>
      </c>
      <c r="K5204" s="2" t="s">
        <v>6827</v>
      </c>
      <c r="L5204" s="2" t="s">
        <v>222</v>
      </c>
      <c r="M5204" s="2">
        <v>94503.0</v>
      </c>
      <c r="N5204" s="2" t="s">
        <v>21</v>
      </c>
    </row>
    <row r="5205" ht="15.75" customHeight="1">
      <c r="A5205" s="2">
        <v>2015.0</v>
      </c>
      <c r="B5205" s="2" t="s">
        <v>23055</v>
      </c>
      <c r="C5205" s="2" t="s">
        <v>23055</v>
      </c>
      <c r="D5205" s="2" t="str">
        <f>"719-531-5651"</f>
        <v>719-531-5651</v>
      </c>
      <c r="E5205" s="2" t="s">
        <v>23056</v>
      </c>
      <c r="F5205" s="2" t="s">
        <v>16482</v>
      </c>
      <c r="G5205" s="2" t="str">
        <f>"SR-7110"</f>
        <v>SR-7110</v>
      </c>
      <c r="H5205" s="2" t="s">
        <v>23057</v>
      </c>
      <c r="I5205" s="2" t="s">
        <v>23058</v>
      </c>
      <c r="K5205" s="2" t="s">
        <v>809</v>
      </c>
      <c r="L5205" s="2" t="s">
        <v>157</v>
      </c>
      <c r="M5205" s="2">
        <v>80918.0</v>
      </c>
      <c r="N5205" s="2" t="s">
        <v>21</v>
      </c>
    </row>
    <row r="5206" ht="15.75" customHeight="1">
      <c r="A5206" s="2">
        <v>2015.0</v>
      </c>
      <c r="B5206" s="2" t="s">
        <v>23059</v>
      </c>
      <c r="C5206" s="2" t="s">
        <v>23059</v>
      </c>
      <c r="D5206" s="2" t="str">
        <f>"9366523391"</f>
        <v>9366523391</v>
      </c>
      <c r="E5206" s="2" t="s">
        <v>1094</v>
      </c>
      <c r="F5206" s="2" t="s">
        <v>1151</v>
      </c>
      <c r="G5206" s="2" t="str">
        <f>"SR-7078"</f>
        <v>SR-7078</v>
      </c>
      <c r="H5206" s="2" t="s">
        <v>23060</v>
      </c>
      <c r="I5206" s="2" t="s">
        <v>23061</v>
      </c>
      <c r="K5206" s="2" t="s">
        <v>23062</v>
      </c>
      <c r="L5206" s="2" t="s">
        <v>172</v>
      </c>
      <c r="M5206" s="2">
        <v>75961.0</v>
      </c>
      <c r="N5206" s="2" t="s">
        <v>21</v>
      </c>
    </row>
    <row r="5207" ht="15.75" customHeight="1">
      <c r="A5207" s="2">
        <v>2015.0</v>
      </c>
      <c r="B5207" s="2" t="s">
        <v>23063</v>
      </c>
      <c r="C5207" s="2" t="s">
        <v>23064</v>
      </c>
      <c r="D5207" s="2" t="str">
        <f>"360-823-3133"</f>
        <v>360-823-3133</v>
      </c>
      <c r="E5207" s="2" t="s">
        <v>23065</v>
      </c>
      <c r="F5207" s="2" t="s">
        <v>23066</v>
      </c>
      <c r="G5207" s="2" t="str">
        <f>"SR-7116"</f>
        <v>SR-7116</v>
      </c>
      <c r="H5207" s="2" t="s">
        <v>23067</v>
      </c>
      <c r="I5207" s="2" t="s">
        <v>23068</v>
      </c>
      <c r="K5207" s="2" t="s">
        <v>19427</v>
      </c>
      <c r="L5207" s="2" t="s">
        <v>86</v>
      </c>
      <c r="M5207" s="2">
        <v>98629.0</v>
      </c>
      <c r="N5207" s="2" t="s">
        <v>21</v>
      </c>
    </row>
    <row r="5208" ht="15.75" customHeight="1">
      <c r="A5208" s="2">
        <v>2015.0</v>
      </c>
      <c r="B5208" s="2" t="s">
        <v>23069</v>
      </c>
      <c r="D5208" s="2" t="str">
        <f>""</f>
        <v/>
      </c>
      <c r="E5208" s="2" t="s">
        <v>2306</v>
      </c>
      <c r="F5208" s="2" t="s">
        <v>2598</v>
      </c>
      <c r="G5208" s="2" t="str">
        <f>"SR-7104"</f>
        <v>SR-7104</v>
      </c>
      <c r="H5208" s="2" t="s">
        <v>23070</v>
      </c>
      <c r="N5208" s="2" t="s">
        <v>21</v>
      </c>
    </row>
    <row r="5209" ht="15.75" customHeight="1">
      <c r="A5209" s="2">
        <v>2015.0</v>
      </c>
      <c r="B5209" s="2" t="s">
        <v>23071</v>
      </c>
      <c r="C5209" s="2" t="s">
        <v>23072</v>
      </c>
      <c r="D5209" s="2" t="str">
        <f>"706-436-4302"</f>
        <v>706-436-4302</v>
      </c>
      <c r="E5209" s="2" t="s">
        <v>456</v>
      </c>
      <c r="F5209" s="2" t="s">
        <v>5189</v>
      </c>
      <c r="G5209" s="2" t="str">
        <f>"SR-7106"</f>
        <v>SR-7106</v>
      </c>
      <c r="H5209" s="2" t="s">
        <v>23073</v>
      </c>
      <c r="I5209" s="2" t="s">
        <v>23074</v>
      </c>
      <c r="K5209" s="2" t="s">
        <v>5108</v>
      </c>
      <c r="L5209" s="2" t="s">
        <v>200</v>
      </c>
      <c r="M5209" s="2">
        <v>30606.0</v>
      </c>
      <c r="N5209" s="2" t="s">
        <v>21</v>
      </c>
    </row>
    <row r="5210" ht="15.75" customHeight="1">
      <c r="A5210" s="2">
        <v>2015.0</v>
      </c>
      <c r="B5210" s="2" t="s">
        <v>23075</v>
      </c>
      <c r="C5210" s="2" t="s">
        <v>23076</v>
      </c>
      <c r="D5210" s="2" t="str">
        <f>"7079516543"</f>
        <v>7079516543</v>
      </c>
      <c r="E5210" s="2" t="s">
        <v>23077</v>
      </c>
      <c r="F5210" s="2" t="s">
        <v>2598</v>
      </c>
      <c r="G5210" s="2" t="str">
        <f>"SR-7107"</f>
        <v>SR-7107</v>
      </c>
      <c r="H5210" s="2" t="s">
        <v>23078</v>
      </c>
      <c r="I5210" s="2" t="s">
        <v>23079</v>
      </c>
      <c r="K5210" s="2" t="s">
        <v>16052</v>
      </c>
      <c r="L5210" s="2" t="s">
        <v>172</v>
      </c>
      <c r="M5210" s="2">
        <v>75494.0</v>
      </c>
      <c r="N5210" s="2" t="s">
        <v>21</v>
      </c>
    </row>
    <row r="5211" ht="15.75" customHeight="1">
      <c r="A5211" s="2">
        <v>2015.0</v>
      </c>
      <c r="B5211" s="2" t="s">
        <v>23080</v>
      </c>
      <c r="C5211" s="2" t="s">
        <v>23080</v>
      </c>
      <c r="D5211" s="2" t="str">
        <f>"7193679701"</f>
        <v>7193679701</v>
      </c>
      <c r="E5211" s="2" t="s">
        <v>1614</v>
      </c>
      <c r="F5211" s="2" t="s">
        <v>8497</v>
      </c>
      <c r="G5211" s="2" t="str">
        <f>"SR-7096"</f>
        <v>SR-7096</v>
      </c>
      <c r="H5211" s="2" t="s">
        <v>23081</v>
      </c>
      <c r="I5211" s="2" t="s">
        <v>8499</v>
      </c>
      <c r="K5211" s="2" t="s">
        <v>809</v>
      </c>
      <c r="L5211" s="2" t="s">
        <v>157</v>
      </c>
      <c r="M5211" s="2">
        <v>80908.0</v>
      </c>
      <c r="N5211" s="2" t="s">
        <v>21</v>
      </c>
    </row>
    <row r="5212" ht="15.75" customHeight="1">
      <c r="A5212" s="2">
        <v>2016.0</v>
      </c>
      <c r="B5212" s="2" t="s">
        <v>23082</v>
      </c>
      <c r="C5212" s="2" t="s">
        <v>23083</v>
      </c>
      <c r="D5212" s="2" t="str">
        <f t="shared" ref="D5212:D5213" si="89">"703-402-1900"</f>
        <v>703-402-1900</v>
      </c>
      <c r="E5212" s="2" t="s">
        <v>2126</v>
      </c>
      <c r="F5212" s="2" t="s">
        <v>23084</v>
      </c>
      <c r="G5212" s="2" t="str">
        <f>"SR-7155"</f>
        <v>SR-7155</v>
      </c>
      <c r="H5212" s="2" t="s">
        <v>23085</v>
      </c>
      <c r="I5212" s="2" t="s">
        <v>23086</v>
      </c>
      <c r="K5212" s="2" t="s">
        <v>23087</v>
      </c>
      <c r="L5212" s="2" t="s">
        <v>165</v>
      </c>
      <c r="M5212" s="2">
        <v>22124.0</v>
      </c>
      <c r="N5212" s="2" t="s">
        <v>21</v>
      </c>
    </row>
    <row r="5213" ht="15.75" customHeight="1">
      <c r="A5213" s="2">
        <v>2016.0</v>
      </c>
      <c r="B5213" s="2" t="s">
        <v>23082</v>
      </c>
      <c r="C5213" s="2" t="s">
        <v>23088</v>
      </c>
      <c r="D5213" s="2" t="str">
        <f t="shared" si="89"/>
        <v>703-402-1900</v>
      </c>
      <c r="E5213" s="2" t="s">
        <v>6922</v>
      </c>
      <c r="F5213" s="2" t="s">
        <v>23084</v>
      </c>
      <c r="G5213" s="2" t="str">
        <f>"SR-7157"</f>
        <v>SR-7157</v>
      </c>
      <c r="H5213" s="2" t="s">
        <v>23089</v>
      </c>
      <c r="I5213" s="2" t="s">
        <v>23090</v>
      </c>
      <c r="K5213" s="2" t="s">
        <v>23087</v>
      </c>
      <c r="L5213" s="2" t="s">
        <v>165</v>
      </c>
      <c r="M5213" s="2">
        <v>22124.0</v>
      </c>
      <c r="N5213" s="2" t="s">
        <v>21</v>
      </c>
    </row>
    <row r="5214" ht="15.75" customHeight="1">
      <c r="A5214" s="2">
        <v>2016.0</v>
      </c>
      <c r="B5214" s="2" t="s">
        <v>23091</v>
      </c>
      <c r="C5214" s="2" t="s">
        <v>23091</v>
      </c>
      <c r="D5214" s="2" t="str">
        <f>"6199771609"</f>
        <v>6199771609</v>
      </c>
      <c r="E5214" s="2" t="s">
        <v>36</v>
      </c>
      <c r="F5214" s="2" t="s">
        <v>23092</v>
      </c>
      <c r="G5214" s="2" t="str">
        <f>"SR-7158"</f>
        <v>SR-7158</v>
      </c>
      <c r="H5214" s="2" t="s">
        <v>23093</v>
      </c>
      <c r="I5214" s="2" t="s">
        <v>23094</v>
      </c>
      <c r="K5214" s="2" t="s">
        <v>8250</v>
      </c>
      <c r="L5214" s="2" t="s">
        <v>222</v>
      </c>
      <c r="M5214" s="2">
        <v>92109.0</v>
      </c>
      <c r="N5214" s="2" t="s">
        <v>21</v>
      </c>
    </row>
    <row r="5215" ht="15.75" customHeight="1">
      <c r="A5215" s="2">
        <v>2016.0</v>
      </c>
      <c r="B5215" s="2" t="s">
        <v>23095</v>
      </c>
      <c r="C5215" s="2" t="s">
        <v>23095</v>
      </c>
      <c r="D5215" s="2" t="str">
        <f>"419-740-4143"</f>
        <v>419-740-4143</v>
      </c>
      <c r="E5215" s="2" t="s">
        <v>3778</v>
      </c>
      <c r="F5215" s="2" t="s">
        <v>23096</v>
      </c>
      <c r="G5215" s="2" t="str">
        <f>"SR-7162"</f>
        <v>SR-7162</v>
      </c>
      <c r="H5215" s="2" t="s">
        <v>23097</v>
      </c>
      <c r="I5215" s="2" t="s">
        <v>23098</v>
      </c>
      <c r="K5215" s="2" t="s">
        <v>23099</v>
      </c>
      <c r="L5215" s="2" t="s">
        <v>344</v>
      </c>
      <c r="M5215" s="2">
        <v>43542.0</v>
      </c>
      <c r="N5215" s="2" t="s">
        <v>21</v>
      </c>
    </row>
    <row r="5216" ht="15.75" customHeight="1">
      <c r="A5216" s="2">
        <v>2016.0</v>
      </c>
      <c r="B5216" s="2" t="s">
        <v>23100</v>
      </c>
      <c r="C5216" s="2" t="s">
        <v>23101</v>
      </c>
      <c r="D5216" s="2" t="str">
        <f>"269-664-5181"</f>
        <v>269-664-5181</v>
      </c>
      <c r="E5216" s="2" t="s">
        <v>890</v>
      </c>
      <c r="F5216" s="2" t="s">
        <v>984</v>
      </c>
      <c r="G5216" s="2" t="str">
        <f>"SR-7154"</f>
        <v>SR-7154</v>
      </c>
      <c r="H5216" s="2" t="s">
        <v>23102</v>
      </c>
      <c r="I5216" s="2" t="s">
        <v>23103</v>
      </c>
      <c r="K5216" s="2" t="s">
        <v>23104</v>
      </c>
      <c r="L5216" s="2" t="s">
        <v>29</v>
      </c>
      <c r="M5216" s="2">
        <v>49080.0</v>
      </c>
      <c r="N5216" s="2" t="s">
        <v>21</v>
      </c>
    </row>
    <row r="5217" ht="15.75" customHeight="1">
      <c r="A5217" s="2">
        <v>2016.0</v>
      </c>
      <c r="B5217" s="2" t="s">
        <v>23082</v>
      </c>
      <c r="C5217" s="2" t="s">
        <v>23105</v>
      </c>
      <c r="D5217" s="2" t="str">
        <f>"703-402-1900"</f>
        <v>703-402-1900</v>
      </c>
      <c r="E5217" s="2" t="s">
        <v>23106</v>
      </c>
      <c r="F5217" s="2" t="s">
        <v>23084</v>
      </c>
      <c r="G5217" s="2" t="str">
        <f>"SR-7156"</f>
        <v>SR-7156</v>
      </c>
      <c r="H5217" s="2" t="s">
        <v>23107</v>
      </c>
      <c r="I5217" s="2" t="s">
        <v>23086</v>
      </c>
      <c r="K5217" s="2" t="s">
        <v>23087</v>
      </c>
      <c r="L5217" s="2" t="s">
        <v>165</v>
      </c>
      <c r="M5217" s="2">
        <v>22124.0</v>
      </c>
      <c r="N5217" s="2" t="s">
        <v>21</v>
      </c>
    </row>
    <row r="5218" ht="15.75" customHeight="1">
      <c r="A5218" s="2">
        <v>2016.0</v>
      </c>
      <c r="B5218" s="2" t="s">
        <v>23108</v>
      </c>
      <c r="C5218" s="2" t="s">
        <v>23109</v>
      </c>
      <c r="D5218" s="2" t="str">
        <f>"5636526834"</f>
        <v>5636526834</v>
      </c>
      <c r="E5218" s="2" t="s">
        <v>7892</v>
      </c>
      <c r="F5218" s="2" t="s">
        <v>4281</v>
      </c>
      <c r="G5218" s="2" t="str">
        <f>"SR-7167"</f>
        <v>SR-7167</v>
      </c>
      <c r="H5218" s="2" t="s">
        <v>23110</v>
      </c>
      <c r="I5218" s="2" t="s">
        <v>23111</v>
      </c>
      <c r="K5218" s="2" t="s">
        <v>1646</v>
      </c>
      <c r="L5218" s="2" t="s">
        <v>560</v>
      </c>
      <c r="M5218" s="2">
        <v>52060.0</v>
      </c>
      <c r="N5218" s="2" t="s">
        <v>21</v>
      </c>
    </row>
    <row r="5219" ht="15.75" customHeight="1">
      <c r="A5219" s="2">
        <v>2016.0</v>
      </c>
      <c r="B5219" s="2" t="s">
        <v>23112</v>
      </c>
      <c r="C5219" s="2" t="s">
        <v>23113</v>
      </c>
      <c r="D5219" s="2" t="str">
        <f t="shared" ref="D5219:D5220" si="90">"6168894232"</f>
        <v>6168894232</v>
      </c>
      <c r="E5219" s="2" t="s">
        <v>225</v>
      </c>
      <c r="F5219" s="2" t="s">
        <v>3903</v>
      </c>
      <c r="G5219" s="2" t="str">
        <f>"SR-7160"</f>
        <v>SR-7160</v>
      </c>
      <c r="H5219" s="2" t="s">
        <v>23114</v>
      </c>
      <c r="I5219" s="2" t="s">
        <v>23115</v>
      </c>
      <c r="K5219" s="2" t="s">
        <v>9930</v>
      </c>
      <c r="L5219" s="2" t="s">
        <v>29</v>
      </c>
      <c r="M5219" s="2">
        <v>49328.0</v>
      </c>
      <c r="N5219" s="2" t="s">
        <v>21</v>
      </c>
    </row>
    <row r="5220" ht="15.75" customHeight="1">
      <c r="A5220" s="2">
        <v>2016.0</v>
      </c>
      <c r="B5220" s="2" t="s">
        <v>23112</v>
      </c>
      <c r="C5220" s="2" t="s">
        <v>23116</v>
      </c>
      <c r="D5220" s="2" t="str">
        <f t="shared" si="90"/>
        <v>6168894232</v>
      </c>
      <c r="E5220" s="2" t="s">
        <v>5991</v>
      </c>
      <c r="F5220" s="2" t="s">
        <v>3903</v>
      </c>
      <c r="G5220" s="2" t="str">
        <f>"SR-7161"</f>
        <v>SR-7161</v>
      </c>
      <c r="H5220" s="2" t="s">
        <v>23117</v>
      </c>
      <c r="I5220" s="2" t="s">
        <v>23115</v>
      </c>
      <c r="K5220" s="2" t="s">
        <v>9930</v>
      </c>
      <c r="L5220" s="2" t="s">
        <v>29</v>
      </c>
      <c r="M5220" s="2">
        <v>49328.0</v>
      </c>
      <c r="N5220" s="2" t="s">
        <v>21</v>
      </c>
    </row>
    <row r="5221" ht="15.75" customHeight="1">
      <c r="A5221" s="2">
        <v>2016.0</v>
      </c>
      <c r="B5221" s="2" t="s">
        <v>23118</v>
      </c>
      <c r="C5221" s="2" t="s">
        <v>23118</v>
      </c>
      <c r="D5221" s="2" t="str">
        <f>"7576088975"</f>
        <v>7576088975</v>
      </c>
      <c r="E5221" s="2" t="s">
        <v>2259</v>
      </c>
      <c r="F5221" s="2" t="s">
        <v>3903</v>
      </c>
      <c r="G5221" s="2" t="str">
        <f>"SR-4482"</f>
        <v>SR-4482</v>
      </c>
      <c r="H5221" s="2" t="s">
        <v>23119</v>
      </c>
      <c r="I5221" s="2" t="s">
        <v>23120</v>
      </c>
      <c r="K5221" s="2" t="s">
        <v>8475</v>
      </c>
      <c r="L5221" s="2" t="s">
        <v>165</v>
      </c>
      <c r="M5221" s="2">
        <v>23185.0</v>
      </c>
      <c r="N5221" s="2" t="s">
        <v>21</v>
      </c>
    </row>
    <row r="5222" ht="15.75" customHeight="1">
      <c r="A5222" s="2">
        <v>2016.0</v>
      </c>
      <c r="B5222" s="2" t="s">
        <v>23121</v>
      </c>
      <c r="C5222" s="2" t="s">
        <v>23121</v>
      </c>
      <c r="D5222" s="2" t="str">
        <f>"423 280 0954"</f>
        <v>423 280 0954</v>
      </c>
      <c r="E5222" s="2" t="s">
        <v>3191</v>
      </c>
      <c r="F5222" s="2" t="s">
        <v>4065</v>
      </c>
      <c r="G5222" s="2" t="str">
        <f>"SR-7172"</f>
        <v>SR-7172</v>
      </c>
      <c r="H5222" s="2" t="s">
        <v>23122</v>
      </c>
      <c r="I5222" s="2" t="s">
        <v>23123</v>
      </c>
      <c r="K5222" s="2" t="s">
        <v>23124</v>
      </c>
      <c r="L5222" s="2" t="s">
        <v>279</v>
      </c>
      <c r="M5222" s="2">
        <v>37381.0</v>
      </c>
      <c r="N5222" s="2" t="s">
        <v>21</v>
      </c>
    </row>
    <row r="5223" ht="15.75" customHeight="1">
      <c r="A5223" s="2">
        <v>2016.0</v>
      </c>
      <c r="B5223" s="2" t="s">
        <v>23125</v>
      </c>
      <c r="C5223" s="2" t="s">
        <v>23125</v>
      </c>
      <c r="D5223" s="2" t="str">
        <f>"2285965484"</f>
        <v>2285965484</v>
      </c>
      <c r="E5223" s="2" t="s">
        <v>1007</v>
      </c>
      <c r="F5223" s="2" t="s">
        <v>6008</v>
      </c>
      <c r="G5223" s="2" t="str">
        <f>"SR-7173"</f>
        <v>SR-7173</v>
      </c>
      <c r="H5223" s="2" t="s">
        <v>23126</v>
      </c>
      <c r="I5223" s="2" t="s">
        <v>23127</v>
      </c>
      <c r="K5223" s="2" t="s">
        <v>23128</v>
      </c>
      <c r="L5223" s="2" t="s">
        <v>1722</v>
      </c>
      <c r="M5223" s="2">
        <v>39574.0</v>
      </c>
      <c r="N5223" s="2" t="s">
        <v>21</v>
      </c>
    </row>
    <row r="5224" ht="15.75" customHeight="1">
      <c r="A5224" s="2">
        <v>2016.0</v>
      </c>
      <c r="B5224" s="2" t="s">
        <v>23129</v>
      </c>
      <c r="C5224" s="2" t="s">
        <v>23129</v>
      </c>
      <c r="D5224" s="2" t="str">
        <f>"(719)-687-4494"</f>
        <v>(719)-687-4494</v>
      </c>
      <c r="E5224" s="2" t="s">
        <v>4769</v>
      </c>
      <c r="F5224" s="2" t="s">
        <v>3212</v>
      </c>
      <c r="G5224" s="2" t="str">
        <f>"SR-7163"</f>
        <v>SR-7163</v>
      </c>
      <c r="H5224" s="2" t="s">
        <v>23130</v>
      </c>
      <c r="I5224" s="2" t="s">
        <v>23131</v>
      </c>
      <c r="K5224" s="2" t="s">
        <v>1127</v>
      </c>
      <c r="L5224" s="2" t="s">
        <v>157</v>
      </c>
      <c r="M5224" s="2">
        <v>80814.0</v>
      </c>
      <c r="N5224" s="2" t="s">
        <v>21</v>
      </c>
    </row>
    <row r="5225" ht="15.75" customHeight="1">
      <c r="A5225" s="2">
        <v>2016.0</v>
      </c>
      <c r="B5225" s="2" t="s">
        <v>23132</v>
      </c>
      <c r="D5225" s="2" t="str">
        <f>""</f>
        <v/>
      </c>
      <c r="E5225" s="2" t="s">
        <v>23133</v>
      </c>
      <c r="F5225" s="2" t="s">
        <v>23134</v>
      </c>
      <c r="G5225" s="2" t="str">
        <f>"SR-7149"</f>
        <v>SR-7149</v>
      </c>
      <c r="H5225" s="2" t="s">
        <v>23135</v>
      </c>
      <c r="N5225" s="2" t="s">
        <v>21</v>
      </c>
    </row>
    <row r="5226" ht="15.75" customHeight="1">
      <c r="A5226" s="2">
        <v>2016.0</v>
      </c>
      <c r="B5226" s="2" t="s">
        <v>23136</v>
      </c>
      <c r="C5226" s="2" t="s">
        <v>23137</v>
      </c>
      <c r="D5226" s="2" t="str">
        <f>"262-949-8088"</f>
        <v>262-949-8088</v>
      </c>
      <c r="E5226" s="2" t="s">
        <v>23138</v>
      </c>
      <c r="F5226" s="2" t="s">
        <v>23139</v>
      </c>
      <c r="G5226" s="2" t="str">
        <f>"SR-7140"</f>
        <v>SR-7140</v>
      </c>
      <c r="H5226" s="2" t="s">
        <v>23140</v>
      </c>
      <c r="I5226" s="2" t="s">
        <v>23141</v>
      </c>
      <c r="K5226" s="2" t="s">
        <v>6198</v>
      </c>
      <c r="L5226" s="2" t="s">
        <v>193</v>
      </c>
      <c r="M5226" s="2">
        <v>53115.0</v>
      </c>
      <c r="N5226" s="2" t="s">
        <v>21</v>
      </c>
    </row>
    <row r="5227" ht="15.75" customHeight="1">
      <c r="A5227" s="2">
        <v>2016.0</v>
      </c>
      <c r="B5227" s="2" t="s">
        <v>7772</v>
      </c>
      <c r="C5227" s="2" t="s">
        <v>23142</v>
      </c>
      <c r="D5227" s="2" t="str">
        <f>"808-225-2322"</f>
        <v>808-225-2322</v>
      </c>
      <c r="E5227" s="2" t="s">
        <v>23143</v>
      </c>
      <c r="F5227" s="2" t="s">
        <v>7773</v>
      </c>
      <c r="G5227" s="2" t="str">
        <f>"SR-7200"</f>
        <v>SR-7200</v>
      </c>
      <c r="H5227" s="2" t="s">
        <v>23144</v>
      </c>
      <c r="I5227" s="2" t="s">
        <v>7775</v>
      </c>
      <c r="K5227" s="2" t="s">
        <v>7776</v>
      </c>
      <c r="L5227" s="2" t="s">
        <v>770</v>
      </c>
      <c r="M5227" s="2">
        <v>96817.0</v>
      </c>
      <c r="N5227" s="2" t="s">
        <v>21</v>
      </c>
    </row>
    <row r="5228" ht="15.75" customHeight="1">
      <c r="A5228" s="2">
        <v>2016.0</v>
      </c>
      <c r="B5228" s="2" t="s">
        <v>23145</v>
      </c>
      <c r="C5228" s="2" t="s">
        <v>23146</v>
      </c>
      <c r="D5228" s="2" t="str">
        <f>"5863812832"</f>
        <v>5863812832</v>
      </c>
      <c r="E5228" s="2" t="s">
        <v>2147</v>
      </c>
      <c r="F5228" s="2" t="s">
        <v>23147</v>
      </c>
      <c r="G5228" s="2" t="str">
        <f>"SR-7201"</f>
        <v>SR-7201</v>
      </c>
      <c r="H5228" s="2" t="s">
        <v>23148</v>
      </c>
      <c r="I5228" s="2" t="s">
        <v>23149</v>
      </c>
      <c r="K5228" s="2" t="s">
        <v>305</v>
      </c>
      <c r="L5228" s="2" t="s">
        <v>29</v>
      </c>
      <c r="M5228" s="2">
        <v>48310.0</v>
      </c>
      <c r="N5228" s="2" t="s">
        <v>21</v>
      </c>
    </row>
    <row r="5229" ht="15.75" customHeight="1">
      <c r="A5229" s="2">
        <v>2016.0</v>
      </c>
      <c r="B5229" s="2" t="s">
        <v>23150</v>
      </c>
      <c r="C5229" s="2" t="s">
        <v>23151</v>
      </c>
      <c r="D5229" s="2" t="str">
        <f>"8434762665"</f>
        <v>8434762665</v>
      </c>
      <c r="E5229" s="2" t="s">
        <v>301</v>
      </c>
      <c r="F5229" s="2" t="s">
        <v>23152</v>
      </c>
      <c r="G5229" s="2" t="str">
        <f>"SR-7190"</f>
        <v>SR-7190</v>
      </c>
      <c r="H5229" s="2" t="s">
        <v>23153</v>
      </c>
      <c r="I5229" s="2" t="s">
        <v>23154</v>
      </c>
      <c r="K5229" s="2" t="s">
        <v>23155</v>
      </c>
      <c r="L5229" s="2" t="s">
        <v>208</v>
      </c>
      <c r="M5229" s="2">
        <v>32563.0</v>
      </c>
      <c r="N5229" s="2" t="s">
        <v>21</v>
      </c>
    </row>
    <row r="5230" ht="15.75" customHeight="1">
      <c r="A5230" s="2">
        <v>2016.0</v>
      </c>
      <c r="B5230" s="2" t="s">
        <v>23156</v>
      </c>
      <c r="C5230" s="2" t="s">
        <v>23157</v>
      </c>
      <c r="D5230" s="2" t="str">
        <f>"812-865-2332"</f>
        <v>812-865-2332</v>
      </c>
      <c r="E5230" s="2" t="s">
        <v>705</v>
      </c>
      <c r="F5230" s="2" t="s">
        <v>6274</v>
      </c>
      <c r="G5230" s="2" t="str">
        <f>"SR-7203"</f>
        <v>SR-7203</v>
      </c>
      <c r="H5230" s="2" t="s">
        <v>23158</v>
      </c>
      <c r="I5230" s="2" t="s">
        <v>23159</v>
      </c>
      <c r="K5230" s="2" t="s">
        <v>23160</v>
      </c>
      <c r="L5230" s="2" t="s">
        <v>149</v>
      </c>
      <c r="M5230" s="2">
        <v>47452.0</v>
      </c>
      <c r="N5230" s="2" t="s">
        <v>21</v>
      </c>
    </row>
    <row r="5231" ht="15.75" customHeight="1">
      <c r="A5231" s="2">
        <v>2016.0</v>
      </c>
      <c r="B5231" s="2" t="s">
        <v>23161</v>
      </c>
      <c r="C5231" s="2" t="s">
        <v>23162</v>
      </c>
      <c r="D5231" s="2" t="str">
        <f>"515-249-9417"</f>
        <v>515-249-9417</v>
      </c>
      <c r="E5231" s="2" t="s">
        <v>908</v>
      </c>
      <c r="F5231" s="2" t="s">
        <v>23163</v>
      </c>
      <c r="G5231" s="2" t="str">
        <f>"SR-7202"</f>
        <v>SR-7202</v>
      </c>
      <c r="H5231" s="2" t="s">
        <v>23164</v>
      </c>
      <c r="I5231" s="2" t="s">
        <v>23165</v>
      </c>
      <c r="K5231" s="2" t="s">
        <v>11863</v>
      </c>
      <c r="L5231" s="2" t="s">
        <v>560</v>
      </c>
      <c r="M5231" s="2">
        <v>50325.0</v>
      </c>
      <c r="N5231" s="2" t="s">
        <v>21</v>
      </c>
    </row>
    <row r="5232" ht="15.75" customHeight="1">
      <c r="A5232" s="2">
        <v>2016.0</v>
      </c>
      <c r="B5232" s="2" t="s">
        <v>23166</v>
      </c>
      <c r="C5232" s="2" t="s">
        <v>23167</v>
      </c>
      <c r="D5232" s="2" t="str">
        <f>"412 328 4489"</f>
        <v>412 328 4489</v>
      </c>
      <c r="E5232" s="2" t="s">
        <v>4775</v>
      </c>
      <c r="F5232" s="2" t="s">
        <v>23168</v>
      </c>
      <c r="G5232" s="2" t="str">
        <f>"SR-6639"</f>
        <v>SR-6639</v>
      </c>
      <c r="H5232" s="2" t="s">
        <v>23169</v>
      </c>
      <c r="I5232" s="2" t="s">
        <v>23170</v>
      </c>
      <c r="K5232" s="2" t="s">
        <v>23171</v>
      </c>
      <c r="L5232" s="2" t="s">
        <v>179</v>
      </c>
      <c r="M5232" s="2">
        <v>15101.0</v>
      </c>
      <c r="N5232" s="2" t="s">
        <v>21</v>
      </c>
    </row>
    <row r="5233" ht="15.75" customHeight="1">
      <c r="A5233" s="2">
        <v>2016.0</v>
      </c>
      <c r="B5233" s="2" t="s">
        <v>23172</v>
      </c>
      <c r="C5233" s="2" t="s">
        <v>23173</v>
      </c>
      <c r="D5233" s="2" t="str">
        <f>"515-480-1638"</f>
        <v>515-480-1638</v>
      </c>
      <c r="E5233" s="2" t="s">
        <v>908</v>
      </c>
      <c r="F5233" s="2" t="s">
        <v>23174</v>
      </c>
      <c r="G5233" s="2" t="str">
        <f>"SR-7204"</f>
        <v>SR-7204</v>
      </c>
      <c r="H5233" s="2" t="s">
        <v>23175</v>
      </c>
      <c r="I5233" s="2" t="s">
        <v>23176</v>
      </c>
      <c r="K5233" s="2" t="s">
        <v>23177</v>
      </c>
      <c r="L5233" s="2" t="s">
        <v>560</v>
      </c>
      <c r="M5233" s="2">
        <v>50109.0</v>
      </c>
      <c r="N5233" s="2" t="s">
        <v>21</v>
      </c>
    </row>
    <row r="5234" ht="15.75" customHeight="1">
      <c r="A5234" s="2">
        <v>2016.0</v>
      </c>
      <c r="B5234" s="2" t="s">
        <v>23178</v>
      </c>
      <c r="C5234" s="2" t="s">
        <v>23178</v>
      </c>
      <c r="D5234" s="2" t="str">
        <f>"912-663-5458"</f>
        <v>912-663-5458</v>
      </c>
      <c r="E5234" s="2" t="s">
        <v>843</v>
      </c>
      <c r="F5234" s="2" t="s">
        <v>10622</v>
      </c>
      <c r="G5234" s="2" t="str">
        <f>"SR-7187"</f>
        <v>SR-7187</v>
      </c>
      <c r="H5234" s="2" t="s">
        <v>10623</v>
      </c>
      <c r="I5234" s="2" t="s">
        <v>23179</v>
      </c>
      <c r="K5234" s="2" t="s">
        <v>1239</v>
      </c>
      <c r="L5234" s="2" t="s">
        <v>200</v>
      </c>
      <c r="M5234" s="2">
        <v>31406.0</v>
      </c>
      <c r="N5234" s="2" t="s">
        <v>21</v>
      </c>
    </row>
    <row r="5235" ht="15.75" customHeight="1">
      <c r="A5235" s="2">
        <v>2016.0</v>
      </c>
      <c r="B5235" s="2" t="s">
        <v>23180</v>
      </c>
      <c r="C5235" s="2" t="s">
        <v>23180</v>
      </c>
      <c r="D5235" s="2" t="str">
        <f>"3035930294"</f>
        <v>3035930294</v>
      </c>
      <c r="E5235" s="2" t="s">
        <v>4300</v>
      </c>
      <c r="F5235" s="2" t="s">
        <v>1530</v>
      </c>
      <c r="G5235" s="2" t="str">
        <f>"SR-7194"</f>
        <v>SR-7194</v>
      </c>
      <c r="H5235" s="2" t="s">
        <v>23181</v>
      </c>
      <c r="I5235" s="2" t="s">
        <v>23182</v>
      </c>
      <c r="K5235" s="2" t="s">
        <v>1054</v>
      </c>
      <c r="L5235" s="2" t="s">
        <v>157</v>
      </c>
      <c r="M5235" s="2">
        <v>80138.0</v>
      </c>
      <c r="N5235" s="2" t="s">
        <v>21</v>
      </c>
    </row>
    <row r="5236" ht="15.75" customHeight="1">
      <c r="A5236" s="2">
        <v>2016.0</v>
      </c>
      <c r="B5236" s="2" t="s">
        <v>23183</v>
      </c>
      <c r="C5236" s="2" t="s">
        <v>23184</v>
      </c>
      <c r="D5236" s="2" t="str">
        <f>"9137493110"</f>
        <v>9137493110</v>
      </c>
      <c r="E5236" s="2" t="s">
        <v>188</v>
      </c>
      <c r="F5236" s="2" t="s">
        <v>2279</v>
      </c>
      <c r="G5236" s="2" t="str">
        <f>"SR-7206"</f>
        <v>SR-7206</v>
      </c>
      <c r="H5236" s="2" t="s">
        <v>23185</v>
      </c>
      <c r="I5236" s="2" t="s">
        <v>23186</v>
      </c>
      <c r="K5236" s="2" t="s">
        <v>3588</v>
      </c>
      <c r="L5236" s="2" t="s">
        <v>272</v>
      </c>
      <c r="M5236" s="2">
        <v>66217.0</v>
      </c>
      <c r="N5236" s="2" t="s">
        <v>21</v>
      </c>
    </row>
    <row r="5237" ht="15.75" customHeight="1">
      <c r="A5237" s="2">
        <v>2016.0</v>
      </c>
      <c r="B5237" s="2" t="s">
        <v>23187</v>
      </c>
      <c r="C5237" s="2" t="s">
        <v>23188</v>
      </c>
      <c r="D5237" s="2" t="str">
        <f>"307-754-4886"</f>
        <v>307-754-4886</v>
      </c>
      <c r="E5237" s="2" t="s">
        <v>19160</v>
      </c>
      <c r="F5237" s="2" t="s">
        <v>23189</v>
      </c>
      <c r="G5237" s="2" t="str">
        <f>"SR-7180"</f>
        <v>SR-7180</v>
      </c>
      <c r="H5237" s="2" t="s">
        <v>23190</v>
      </c>
      <c r="I5237" s="2" t="s">
        <v>23191</v>
      </c>
      <c r="K5237" s="2" t="s">
        <v>2771</v>
      </c>
      <c r="L5237" s="2" t="s">
        <v>1540</v>
      </c>
      <c r="M5237" s="2">
        <v>82435.0</v>
      </c>
      <c r="N5237" s="2" t="s">
        <v>21</v>
      </c>
    </row>
    <row r="5238" ht="15.75" customHeight="1">
      <c r="A5238" s="2">
        <v>2016.0</v>
      </c>
      <c r="B5238" s="2" t="s">
        <v>23187</v>
      </c>
      <c r="C5238" s="2" t="s">
        <v>23192</v>
      </c>
      <c r="D5238" s="2" t="str">
        <f>"307-254-8110"</f>
        <v>307-254-8110</v>
      </c>
      <c r="E5238" s="2" t="s">
        <v>1159</v>
      </c>
      <c r="F5238" s="2" t="s">
        <v>23189</v>
      </c>
      <c r="G5238" s="2" t="str">
        <f>"SR-7181"</f>
        <v>SR-7181</v>
      </c>
      <c r="H5238" s="2" t="s">
        <v>23193</v>
      </c>
      <c r="I5238" s="2" t="s">
        <v>23191</v>
      </c>
      <c r="K5238" s="2" t="s">
        <v>2771</v>
      </c>
      <c r="L5238" s="2" t="s">
        <v>1540</v>
      </c>
      <c r="M5238" s="2">
        <v>82435.0</v>
      </c>
      <c r="N5238" s="2" t="s">
        <v>21</v>
      </c>
    </row>
    <row r="5239" ht="15.75" customHeight="1">
      <c r="A5239" s="2">
        <v>2016.0</v>
      </c>
      <c r="B5239" s="2" t="s">
        <v>23187</v>
      </c>
      <c r="C5239" s="2" t="s">
        <v>23187</v>
      </c>
      <c r="D5239" s="2" t="str">
        <f>"(307)754-4886"</f>
        <v>(307)754-4886</v>
      </c>
      <c r="E5239" s="2" t="s">
        <v>23194</v>
      </c>
      <c r="F5239" s="2" t="s">
        <v>23189</v>
      </c>
      <c r="G5239" s="2" t="str">
        <f>"SR-7196"</f>
        <v>SR-7196</v>
      </c>
      <c r="H5239" s="2" t="s">
        <v>23195</v>
      </c>
      <c r="I5239" s="2" t="s">
        <v>23191</v>
      </c>
      <c r="K5239" s="2" t="s">
        <v>2771</v>
      </c>
      <c r="L5239" s="2" t="s">
        <v>1540</v>
      </c>
      <c r="M5239" s="2">
        <v>82435.0</v>
      </c>
      <c r="N5239" s="2" t="s">
        <v>21</v>
      </c>
    </row>
    <row r="5240" ht="15.75" customHeight="1">
      <c r="A5240" s="2">
        <v>2016.0</v>
      </c>
      <c r="B5240" s="2" t="s">
        <v>23187</v>
      </c>
      <c r="C5240" s="2" t="s">
        <v>23192</v>
      </c>
      <c r="D5240" s="2" t="str">
        <f>"(307)- 620-5823"</f>
        <v>(307)- 620-5823</v>
      </c>
      <c r="E5240" s="2" t="s">
        <v>385</v>
      </c>
      <c r="F5240" s="2" t="s">
        <v>2847</v>
      </c>
      <c r="G5240" s="2" t="str">
        <f>"SR-7183"</f>
        <v>SR-7183</v>
      </c>
      <c r="H5240" s="2" t="s">
        <v>23196</v>
      </c>
      <c r="I5240" s="2" t="s">
        <v>23197</v>
      </c>
      <c r="K5240" s="2" t="s">
        <v>5205</v>
      </c>
      <c r="L5240" s="2" t="s">
        <v>920</v>
      </c>
      <c r="M5240" s="2">
        <v>57523.0</v>
      </c>
      <c r="N5240" s="2" t="s">
        <v>21</v>
      </c>
    </row>
    <row r="5241" ht="15.75" customHeight="1">
      <c r="A5241" s="2">
        <v>2016.0</v>
      </c>
      <c r="B5241" s="2" t="s">
        <v>23187</v>
      </c>
      <c r="C5241" s="2" t="s">
        <v>23198</v>
      </c>
      <c r="D5241" s="2" t="str">
        <f>"4256983117"</f>
        <v>4256983117</v>
      </c>
      <c r="E5241" s="2" t="s">
        <v>5906</v>
      </c>
      <c r="F5241" s="2" t="s">
        <v>23199</v>
      </c>
      <c r="G5241" s="2" t="str">
        <f>"SR-7184"</f>
        <v>SR-7184</v>
      </c>
      <c r="H5241" s="2" t="s">
        <v>23200</v>
      </c>
      <c r="I5241" s="2" t="s">
        <v>23201</v>
      </c>
      <c r="K5241" s="2" t="s">
        <v>5931</v>
      </c>
      <c r="L5241" s="2" t="s">
        <v>86</v>
      </c>
      <c r="M5241" s="2">
        <v>98367.0</v>
      </c>
      <c r="N5241" s="2" t="s">
        <v>21</v>
      </c>
    </row>
    <row r="5242" ht="15.75" customHeight="1">
      <c r="A5242" s="2">
        <v>2016.0</v>
      </c>
      <c r="B5242" s="2" t="s">
        <v>23202</v>
      </c>
      <c r="C5242" s="2" t="s">
        <v>23203</v>
      </c>
      <c r="D5242" s="2" t="str">
        <f>"337-202-9402"</f>
        <v>337-202-9402</v>
      </c>
      <c r="E5242" s="2" t="s">
        <v>503</v>
      </c>
      <c r="F5242" s="2" t="s">
        <v>1988</v>
      </c>
      <c r="G5242" s="2" t="str">
        <f>"SR-7177"</f>
        <v>SR-7177</v>
      </c>
      <c r="H5242" s="2" t="s">
        <v>23204</v>
      </c>
      <c r="I5242" s="2" t="s">
        <v>23205</v>
      </c>
      <c r="K5242" s="2" t="s">
        <v>3037</v>
      </c>
      <c r="L5242" s="2" t="s">
        <v>715</v>
      </c>
      <c r="M5242" s="2">
        <v>70644.0</v>
      </c>
      <c r="N5242" s="2" t="s">
        <v>21</v>
      </c>
    </row>
    <row r="5243" ht="15.75" customHeight="1">
      <c r="A5243" s="2">
        <v>2016.0</v>
      </c>
      <c r="B5243" s="2" t="s">
        <v>23206</v>
      </c>
      <c r="C5243" s="2" t="s">
        <v>23207</v>
      </c>
      <c r="D5243" s="2" t="str">
        <f>"3602077738"</f>
        <v>3602077738</v>
      </c>
      <c r="E5243" s="2" t="s">
        <v>72</v>
      </c>
      <c r="F5243" s="2" t="s">
        <v>2753</v>
      </c>
      <c r="G5243" s="2" t="str">
        <f>"SR-7205"</f>
        <v>SR-7205</v>
      </c>
      <c r="H5243" s="2" t="s">
        <v>23208</v>
      </c>
      <c r="I5243" s="2" t="s">
        <v>23209</v>
      </c>
      <c r="K5243" s="2" t="s">
        <v>10994</v>
      </c>
      <c r="L5243" s="2" t="s">
        <v>86</v>
      </c>
      <c r="M5243" s="2">
        <v>98362.0</v>
      </c>
      <c r="N5243" s="2" t="s">
        <v>21</v>
      </c>
    </row>
    <row r="5244" ht="15.75" customHeight="1">
      <c r="A5244" s="2">
        <v>2016.0</v>
      </c>
      <c r="B5244" s="2" t="s">
        <v>23210</v>
      </c>
      <c r="C5244" s="2" t="s">
        <v>23210</v>
      </c>
      <c r="D5244" s="2" t="str">
        <f>"785-524-4301"</f>
        <v>785-524-4301</v>
      </c>
      <c r="E5244" s="2" t="s">
        <v>4984</v>
      </c>
      <c r="F5244" s="2" t="s">
        <v>569</v>
      </c>
      <c r="G5244" s="2" t="str">
        <f>"SR-7026"</f>
        <v>SR-7026</v>
      </c>
      <c r="H5244" s="2" t="s">
        <v>23211</v>
      </c>
      <c r="I5244" s="2" t="s">
        <v>23212</v>
      </c>
      <c r="K5244" s="2" t="s">
        <v>572</v>
      </c>
      <c r="L5244" s="2" t="s">
        <v>272</v>
      </c>
      <c r="M5244" s="2">
        <v>67455.0</v>
      </c>
      <c r="N5244" s="2" t="s">
        <v>21</v>
      </c>
    </row>
    <row r="5245" ht="15.75" customHeight="1">
      <c r="A5245" s="2">
        <v>2016.0</v>
      </c>
      <c r="B5245" s="2" t="s">
        <v>23213</v>
      </c>
      <c r="C5245" s="2" t="s">
        <v>23213</v>
      </c>
      <c r="D5245" s="2" t="str">
        <f>"(970)224-9907"</f>
        <v>(970)224-9907</v>
      </c>
      <c r="E5245" s="2" t="s">
        <v>23214</v>
      </c>
      <c r="F5245" s="2" t="s">
        <v>8666</v>
      </c>
      <c r="G5245" s="2" t="str">
        <f>"SR-4785"</f>
        <v>SR-4785</v>
      </c>
      <c r="H5245" s="2" t="s">
        <v>23215</v>
      </c>
      <c r="I5245" s="2" t="s">
        <v>23216</v>
      </c>
      <c r="K5245" s="2" t="s">
        <v>656</v>
      </c>
      <c r="L5245" s="2" t="s">
        <v>157</v>
      </c>
      <c r="M5245" s="2">
        <v>80521.0</v>
      </c>
      <c r="N5245" s="2" t="s">
        <v>21</v>
      </c>
    </row>
    <row r="5246" ht="15.75" customHeight="1">
      <c r="A5246" s="2">
        <v>2016.0</v>
      </c>
      <c r="B5246" s="2" t="s">
        <v>12462</v>
      </c>
      <c r="C5246" s="2" t="s">
        <v>23217</v>
      </c>
      <c r="D5246" s="2" t="str">
        <f>"785-280-1508"</f>
        <v>785-280-1508</v>
      </c>
      <c r="E5246" s="2" t="s">
        <v>1088</v>
      </c>
      <c r="F5246" s="2" t="s">
        <v>12464</v>
      </c>
      <c r="G5246" s="2" t="str">
        <f>"SR-7124"</f>
        <v>SR-7124</v>
      </c>
      <c r="H5246" s="2" t="s">
        <v>23218</v>
      </c>
      <c r="I5246" s="2" t="s">
        <v>12466</v>
      </c>
      <c r="K5246" s="2" t="s">
        <v>781</v>
      </c>
      <c r="L5246" s="2" t="s">
        <v>272</v>
      </c>
      <c r="M5246" s="2">
        <v>67410.0</v>
      </c>
      <c r="N5246" s="2" t="s">
        <v>21</v>
      </c>
    </row>
    <row r="5247" ht="15.75" customHeight="1">
      <c r="A5247" s="2">
        <v>2016.0</v>
      </c>
      <c r="B5247" s="2" t="s">
        <v>13484</v>
      </c>
      <c r="C5247" s="2" t="s">
        <v>13485</v>
      </c>
      <c r="D5247" s="2" t="str">
        <f>"3184911130"</f>
        <v>3184911130</v>
      </c>
      <c r="E5247" s="2" t="s">
        <v>585</v>
      </c>
      <c r="F5247" s="2" t="s">
        <v>984</v>
      </c>
      <c r="G5247" s="2" t="str">
        <f>"SR-3647"</f>
        <v>SR-3647</v>
      </c>
      <c r="H5247" s="2" t="s">
        <v>13486</v>
      </c>
      <c r="I5247" s="2" t="s">
        <v>13487</v>
      </c>
      <c r="K5247" s="2" t="s">
        <v>13488</v>
      </c>
      <c r="L5247" s="2" t="s">
        <v>715</v>
      </c>
      <c r="M5247" s="2">
        <v>70656.0</v>
      </c>
      <c r="N5247" s="2" t="s">
        <v>21</v>
      </c>
    </row>
    <row r="5248" ht="15.75" customHeight="1">
      <c r="A5248" s="2">
        <v>2016.0</v>
      </c>
      <c r="B5248" s="2" t="s">
        <v>23219</v>
      </c>
      <c r="C5248" s="2" t="s">
        <v>23219</v>
      </c>
      <c r="D5248" s="2" t="str">
        <f>"918-496-4249"</f>
        <v>918-496-4249</v>
      </c>
      <c r="E5248" s="2" t="s">
        <v>1001</v>
      </c>
      <c r="F5248" s="2" t="s">
        <v>5767</v>
      </c>
      <c r="G5248" s="2" t="str">
        <f>"SR-7178"</f>
        <v>SR-7178</v>
      </c>
      <c r="H5248" s="2" t="s">
        <v>23220</v>
      </c>
      <c r="I5248" s="2" t="s">
        <v>23221</v>
      </c>
      <c r="K5248" s="2" t="s">
        <v>20517</v>
      </c>
      <c r="L5248" s="2" t="s">
        <v>840</v>
      </c>
      <c r="M5248" s="2">
        <v>74137.0</v>
      </c>
      <c r="N5248" s="2" t="s">
        <v>21</v>
      </c>
    </row>
    <row r="5249" ht="15.75" customHeight="1">
      <c r="A5249" s="2">
        <v>2016.0</v>
      </c>
      <c r="B5249" s="2" t="s">
        <v>8802</v>
      </c>
      <c r="C5249" s="2" t="s">
        <v>23222</v>
      </c>
      <c r="D5249" s="2" t="str">
        <f>"9723352920"</f>
        <v>9723352920</v>
      </c>
      <c r="E5249" s="2" t="s">
        <v>8210</v>
      </c>
      <c r="F5249" s="2" t="s">
        <v>8803</v>
      </c>
      <c r="G5249" s="2" t="str">
        <f>"SR-7159"</f>
        <v>SR-7159</v>
      </c>
      <c r="H5249" s="2" t="s">
        <v>23223</v>
      </c>
      <c r="I5249" s="2" t="s">
        <v>8805</v>
      </c>
      <c r="K5249" s="2" t="s">
        <v>357</v>
      </c>
      <c r="L5249" s="2" t="s">
        <v>172</v>
      </c>
      <c r="M5249" s="2">
        <v>75025.0</v>
      </c>
      <c r="N5249" s="2" t="s">
        <v>21</v>
      </c>
    </row>
    <row r="5250" ht="15.75" customHeight="1">
      <c r="A5250" s="2">
        <v>2016.0</v>
      </c>
      <c r="B5250" s="2" t="s">
        <v>23224</v>
      </c>
      <c r="C5250" s="2" t="s">
        <v>23224</v>
      </c>
      <c r="D5250" s="2" t="str">
        <f>"9186885320"</f>
        <v>9186885320</v>
      </c>
      <c r="E5250" s="2" t="s">
        <v>2361</v>
      </c>
      <c r="F5250" s="2" t="s">
        <v>23225</v>
      </c>
      <c r="G5250" s="2" t="str">
        <f>"SR-7169"</f>
        <v>SR-7169</v>
      </c>
      <c r="H5250" s="2" t="s">
        <v>23226</v>
      </c>
      <c r="I5250" s="2" t="s">
        <v>23227</v>
      </c>
      <c r="K5250" s="2" t="s">
        <v>18261</v>
      </c>
      <c r="L5250" s="2" t="s">
        <v>840</v>
      </c>
      <c r="M5250" s="2">
        <v>74006.0</v>
      </c>
      <c r="N5250" s="2" t="s">
        <v>21</v>
      </c>
    </row>
    <row r="5251" ht="15.75" customHeight="1">
      <c r="A5251" s="2">
        <v>2016.0</v>
      </c>
      <c r="B5251" s="2" t="s">
        <v>23228</v>
      </c>
      <c r="C5251" s="2" t="s">
        <v>23228</v>
      </c>
      <c r="D5251" s="2" t="str">
        <f>"8283585106"</f>
        <v>8283585106</v>
      </c>
      <c r="E5251" s="2" t="s">
        <v>15</v>
      </c>
      <c r="F5251" s="2" t="s">
        <v>133</v>
      </c>
      <c r="G5251" s="2" t="str">
        <f>"SR-7229"</f>
        <v>SR-7229</v>
      </c>
      <c r="H5251" s="2" t="s">
        <v>16694</v>
      </c>
      <c r="I5251" s="2" t="s">
        <v>11452</v>
      </c>
      <c r="K5251" s="2" t="s">
        <v>821</v>
      </c>
      <c r="L5251" s="2" t="s">
        <v>20</v>
      </c>
      <c r="M5251" s="2">
        <v>28601.0</v>
      </c>
      <c r="N5251" s="2" t="s">
        <v>21</v>
      </c>
    </row>
    <row r="5252" ht="15.75" customHeight="1">
      <c r="A5252" s="2">
        <v>2016.0</v>
      </c>
      <c r="B5252" s="2" t="s">
        <v>23229</v>
      </c>
      <c r="C5252" s="2" t="s">
        <v>23230</v>
      </c>
      <c r="D5252" s="2" t="str">
        <f>"623-466-5241"</f>
        <v>623-466-5241</v>
      </c>
      <c r="E5252" s="2" t="s">
        <v>8757</v>
      </c>
      <c r="F5252" s="2" t="s">
        <v>16616</v>
      </c>
      <c r="G5252" s="2" t="str">
        <f>"SR-7217"</f>
        <v>SR-7217</v>
      </c>
      <c r="H5252" s="2" t="s">
        <v>23231</v>
      </c>
      <c r="I5252" s="2" t="s">
        <v>23232</v>
      </c>
      <c r="K5252" s="2" t="s">
        <v>19950</v>
      </c>
      <c r="L5252" s="2" t="s">
        <v>422</v>
      </c>
      <c r="M5252" s="2">
        <v>85374.0</v>
      </c>
      <c r="N5252" s="2" t="s">
        <v>21</v>
      </c>
    </row>
    <row r="5253" ht="15.75" customHeight="1">
      <c r="A5253" s="2">
        <v>2016.0</v>
      </c>
      <c r="B5253" s="2" t="s">
        <v>23206</v>
      </c>
      <c r="C5253" s="2" t="s">
        <v>23233</v>
      </c>
      <c r="D5253" s="2" t="str">
        <f>"3604179232"</f>
        <v>3604179232</v>
      </c>
      <c r="E5253" s="2" t="s">
        <v>453</v>
      </c>
      <c r="F5253" s="2" t="s">
        <v>2753</v>
      </c>
      <c r="G5253" s="2" t="str">
        <f>"SR-7207"</f>
        <v>SR-7207</v>
      </c>
      <c r="H5253" s="2" t="s">
        <v>23234</v>
      </c>
      <c r="I5253" s="2" t="s">
        <v>23209</v>
      </c>
      <c r="K5253" s="2" t="s">
        <v>10994</v>
      </c>
      <c r="L5253" s="2" t="s">
        <v>86</v>
      </c>
      <c r="M5253" s="2">
        <v>98362.0</v>
      </c>
      <c r="N5253" s="2" t="s">
        <v>21</v>
      </c>
    </row>
    <row r="5254" ht="15.75" customHeight="1">
      <c r="A5254" s="2">
        <v>2016.0</v>
      </c>
      <c r="B5254" s="2" t="s">
        <v>23235</v>
      </c>
      <c r="C5254" s="2" t="s">
        <v>23235</v>
      </c>
      <c r="D5254" s="2" t="str">
        <f>"785-416-0880"</f>
        <v>785-416-0880</v>
      </c>
      <c r="E5254" s="2" t="s">
        <v>4300</v>
      </c>
      <c r="F5254" s="2" t="s">
        <v>23236</v>
      </c>
      <c r="G5254" s="2" t="str">
        <f>"SR-7239"</f>
        <v>SR-7239</v>
      </c>
      <c r="H5254" s="2" t="s">
        <v>23237</v>
      </c>
      <c r="I5254" s="2" t="s">
        <v>23238</v>
      </c>
      <c r="K5254" s="2" t="s">
        <v>23239</v>
      </c>
      <c r="L5254" s="2" t="s">
        <v>272</v>
      </c>
      <c r="M5254" s="2">
        <v>67480.0</v>
      </c>
      <c r="N5254" s="2" t="s">
        <v>21</v>
      </c>
    </row>
    <row r="5255" ht="15.75" customHeight="1">
      <c r="A5255" s="2">
        <v>2016.0</v>
      </c>
      <c r="B5255" s="2" t="s">
        <v>23235</v>
      </c>
      <c r="C5255" s="2" t="s">
        <v>23240</v>
      </c>
      <c r="D5255" s="2" t="str">
        <f t="shared" ref="D5255:D5256" si="91">"785-655-3859"</f>
        <v>785-655-3859</v>
      </c>
      <c r="E5255" s="2" t="s">
        <v>217</v>
      </c>
      <c r="F5255" s="2" t="s">
        <v>23236</v>
      </c>
      <c r="G5255" s="2" t="str">
        <f>"SR-7241"</f>
        <v>SR-7241</v>
      </c>
      <c r="H5255" s="2" t="s">
        <v>23241</v>
      </c>
      <c r="I5255" s="2" t="s">
        <v>23238</v>
      </c>
      <c r="K5255" s="2" t="s">
        <v>23239</v>
      </c>
      <c r="L5255" s="2" t="s">
        <v>272</v>
      </c>
      <c r="M5255" s="2">
        <v>67480.0</v>
      </c>
      <c r="N5255" s="2" t="s">
        <v>21</v>
      </c>
    </row>
    <row r="5256" ht="15.75" customHeight="1">
      <c r="A5256" s="2">
        <v>2016.0</v>
      </c>
      <c r="B5256" s="2" t="s">
        <v>23235</v>
      </c>
      <c r="C5256" s="2" t="s">
        <v>23242</v>
      </c>
      <c r="D5256" s="2" t="str">
        <f t="shared" si="91"/>
        <v>785-655-3859</v>
      </c>
      <c r="E5256" s="2" t="s">
        <v>385</v>
      </c>
      <c r="F5256" s="2" t="s">
        <v>23236</v>
      </c>
      <c r="G5256" s="2" t="str">
        <f>"SR-7242"</f>
        <v>SR-7242</v>
      </c>
      <c r="H5256" s="2" t="s">
        <v>23243</v>
      </c>
      <c r="I5256" s="2" t="s">
        <v>23238</v>
      </c>
      <c r="K5256" s="2" t="s">
        <v>23239</v>
      </c>
      <c r="L5256" s="2" t="s">
        <v>272</v>
      </c>
      <c r="M5256" s="2">
        <v>67480.0</v>
      </c>
      <c r="N5256" s="2" t="s">
        <v>21</v>
      </c>
    </row>
    <row r="5257" ht="15.75" customHeight="1">
      <c r="A5257" s="2">
        <v>2016.0</v>
      </c>
      <c r="B5257" s="2" t="s">
        <v>23244</v>
      </c>
      <c r="C5257" s="2" t="s">
        <v>23245</v>
      </c>
      <c r="D5257" s="2" t="str">
        <f>"503-701-6659"</f>
        <v>503-701-6659</v>
      </c>
      <c r="E5257" s="2" t="s">
        <v>23246</v>
      </c>
      <c r="F5257" s="2" t="s">
        <v>23247</v>
      </c>
      <c r="G5257" s="2" t="str">
        <f>"SR-7195"</f>
        <v>SR-7195</v>
      </c>
      <c r="H5257" s="2" t="s">
        <v>23248</v>
      </c>
      <c r="I5257" s="2" t="s">
        <v>23249</v>
      </c>
      <c r="K5257" s="2" t="s">
        <v>23250</v>
      </c>
      <c r="L5257" s="2" t="s">
        <v>2389</v>
      </c>
      <c r="M5257" s="2">
        <v>97056.0</v>
      </c>
      <c r="N5257" s="2" t="s">
        <v>21</v>
      </c>
    </row>
    <row r="5258" ht="15.75" customHeight="1">
      <c r="A5258" s="2">
        <v>2016.0</v>
      </c>
      <c r="B5258" s="2" t="s">
        <v>23251</v>
      </c>
      <c r="C5258" s="2" t="s">
        <v>23252</v>
      </c>
      <c r="D5258" s="2" t="str">
        <f>"(813) 316-8648"</f>
        <v>(813) 316-8648</v>
      </c>
      <c r="E5258" s="2" t="s">
        <v>6121</v>
      </c>
      <c r="F5258" s="2" t="s">
        <v>23253</v>
      </c>
      <c r="G5258" s="2" t="str">
        <f>"SR-7219"</f>
        <v>SR-7219</v>
      </c>
      <c r="H5258" s="2" t="s">
        <v>23254</v>
      </c>
      <c r="I5258" s="2" t="s">
        <v>23255</v>
      </c>
      <c r="K5258" s="2" t="s">
        <v>3431</v>
      </c>
      <c r="L5258" s="2" t="s">
        <v>208</v>
      </c>
      <c r="M5258" s="2">
        <v>33629.0</v>
      </c>
      <c r="N5258" s="2" t="s">
        <v>21</v>
      </c>
    </row>
    <row r="5259" ht="15.75" customHeight="1">
      <c r="A5259" s="2">
        <v>2016.0</v>
      </c>
      <c r="B5259" s="2" t="s">
        <v>23256</v>
      </c>
      <c r="C5259" s="2" t="s">
        <v>23257</v>
      </c>
      <c r="D5259" s="2" t="str">
        <f t="shared" ref="D5259:D5260" si="92">"937-488-3552"</f>
        <v>937-488-3552</v>
      </c>
      <c r="E5259" s="2" t="s">
        <v>16650</v>
      </c>
      <c r="F5259" s="2" t="s">
        <v>4627</v>
      </c>
      <c r="G5259" s="2" t="str">
        <f>"SR-7248"</f>
        <v>SR-7248</v>
      </c>
      <c r="H5259" s="2" t="s">
        <v>23258</v>
      </c>
      <c r="I5259" s="2" t="s">
        <v>23259</v>
      </c>
      <c r="K5259" s="2" t="s">
        <v>11784</v>
      </c>
      <c r="L5259" s="2" t="s">
        <v>344</v>
      </c>
      <c r="M5259" s="2">
        <v>45177.0</v>
      </c>
      <c r="N5259" s="2" t="s">
        <v>21</v>
      </c>
    </row>
    <row r="5260" ht="15.75" customHeight="1">
      <c r="A5260" s="2">
        <v>2016.0</v>
      </c>
      <c r="B5260" s="2" t="s">
        <v>23256</v>
      </c>
      <c r="C5260" s="2" t="s">
        <v>23260</v>
      </c>
      <c r="D5260" s="2" t="str">
        <f t="shared" si="92"/>
        <v>937-488-3552</v>
      </c>
      <c r="E5260" s="2" t="s">
        <v>23261</v>
      </c>
      <c r="F5260" s="2" t="s">
        <v>4627</v>
      </c>
      <c r="G5260" s="2" t="str">
        <f>"SR-7249"</f>
        <v>SR-7249</v>
      </c>
      <c r="H5260" s="2" t="s">
        <v>23262</v>
      </c>
      <c r="I5260" s="2" t="s">
        <v>23259</v>
      </c>
      <c r="K5260" s="2" t="s">
        <v>11784</v>
      </c>
      <c r="L5260" s="2" t="s">
        <v>344</v>
      </c>
      <c r="M5260" s="2">
        <v>45177.0</v>
      </c>
      <c r="N5260" s="2" t="s">
        <v>21</v>
      </c>
    </row>
    <row r="5261" ht="15.75" customHeight="1">
      <c r="A5261" s="2">
        <v>2016.0</v>
      </c>
      <c r="B5261" s="2" t="s">
        <v>23263</v>
      </c>
      <c r="C5261" s="2" t="s">
        <v>23264</v>
      </c>
      <c r="D5261" s="2" t="str">
        <f>"9494962120"</f>
        <v>9494962120</v>
      </c>
      <c r="E5261" s="2" t="s">
        <v>19261</v>
      </c>
      <c r="F5261" s="2" t="s">
        <v>94</v>
      </c>
      <c r="G5261" s="2" t="str">
        <f>"SR-7250"</f>
        <v>SR-7250</v>
      </c>
      <c r="H5261" s="2" t="s">
        <v>23265</v>
      </c>
      <c r="I5261" s="2" t="s">
        <v>2185</v>
      </c>
      <c r="K5261" s="2" t="s">
        <v>2186</v>
      </c>
      <c r="L5261" s="2" t="s">
        <v>222</v>
      </c>
      <c r="M5261" s="2">
        <v>92675.0</v>
      </c>
      <c r="N5261" s="2" t="s">
        <v>21</v>
      </c>
    </row>
    <row r="5262" ht="15.75" customHeight="1">
      <c r="A5262" s="2">
        <v>2016.0</v>
      </c>
      <c r="B5262" s="2" t="s">
        <v>2165</v>
      </c>
      <c r="C5262" s="2" t="s">
        <v>23266</v>
      </c>
      <c r="D5262" s="2" t="str">
        <f>"9493050867"</f>
        <v>9493050867</v>
      </c>
      <c r="E5262" s="2" t="s">
        <v>562</v>
      </c>
      <c r="F5262" s="2" t="s">
        <v>2168</v>
      </c>
      <c r="G5262" s="2" t="str">
        <f>"SR-7251"</f>
        <v>SR-7251</v>
      </c>
      <c r="H5262" s="2" t="s">
        <v>23267</v>
      </c>
      <c r="I5262" s="2" t="s">
        <v>2170</v>
      </c>
      <c r="K5262" s="2" t="s">
        <v>2171</v>
      </c>
      <c r="L5262" s="2" t="s">
        <v>222</v>
      </c>
      <c r="M5262" s="2">
        <v>92677.0</v>
      </c>
      <c r="N5262" s="2" t="s">
        <v>21</v>
      </c>
    </row>
    <row r="5263" ht="15.75" customHeight="1">
      <c r="A5263" s="2">
        <v>2016.0</v>
      </c>
      <c r="B5263" s="2" t="s">
        <v>23268</v>
      </c>
      <c r="C5263" s="2" t="s">
        <v>23268</v>
      </c>
      <c r="D5263" s="2" t="str">
        <f>"2053178937"</f>
        <v>2053178937</v>
      </c>
      <c r="E5263" s="2" t="s">
        <v>585</v>
      </c>
      <c r="F5263" s="2" t="s">
        <v>1859</v>
      </c>
      <c r="G5263" s="2" t="str">
        <f>"SR-7165"</f>
        <v>SR-7165</v>
      </c>
      <c r="H5263" s="2" t="s">
        <v>23269</v>
      </c>
      <c r="I5263" s="2" t="s">
        <v>23270</v>
      </c>
      <c r="K5263" s="2" t="s">
        <v>23271</v>
      </c>
      <c r="L5263" s="2" t="s">
        <v>539</v>
      </c>
      <c r="M5263" s="2">
        <v>35071.0</v>
      </c>
      <c r="N5263" s="2" t="s">
        <v>21</v>
      </c>
    </row>
    <row r="5264" ht="15.75" customHeight="1">
      <c r="A5264" s="2">
        <v>2016.0</v>
      </c>
      <c r="B5264" s="2" t="s">
        <v>23272</v>
      </c>
      <c r="C5264" s="2" t="s">
        <v>23272</v>
      </c>
      <c r="D5264" s="2" t="str">
        <f>"423-650-9985"</f>
        <v>423-650-9985</v>
      </c>
      <c r="E5264" s="2" t="s">
        <v>584</v>
      </c>
      <c r="F5264" s="2" t="s">
        <v>23273</v>
      </c>
      <c r="G5264" s="2" t="str">
        <f>"SR-7253"</f>
        <v>SR-7253</v>
      </c>
      <c r="H5264" s="2" t="s">
        <v>23274</v>
      </c>
      <c r="I5264" s="2" t="s">
        <v>23275</v>
      </c>
      <c r="K5264" s="2" t="s">
        <v>11793</v>
      </c>
      <c r="L5264" s="2" t="s">
        <v>279</v>
      </c>
      <c r="M5264" s="2">
        <v>37370.0</v>
      </c>
      <c r="N5264" s="2" t="s">
        <v>21</v>
      </c>
    </row>
    <row r="5265" ht="15.75" customHeight="1">
      <c r="A5265" s="2">
        <v>2016.0</v>
      </c>
      <c r="B5265" s="2" t="s">
        <v>23276</v>
      </c>
      <c r="C5265" s="2" t="s">
        <v>23277</v>
      </c>
      <c r="D5265" s="2" t="str">
        <f>"(916) 744-1994"</f>
        <v>(916) 744-1994</v>
      </c>
      <c r="E5265" s="2" t="s">
        <v>20862</v>
      </c>
      <c r="F5265" s="2" t="s">
        <v>1101</v>
      </c>
      <c r="G5265" s="2" t="str">
        <f>"SR-7254"</f>
        <v>SR-7254</v>
      </c>
      <c r="H5265" s="2" t="s">
        <v>23278</v>
      </c>
      <c r="I5265" s="2" t="s">
        <v>12207</v>
      </c>
      <c r="K5265" s="2" t="s">
        <v>4446</v>
      </c>
      <c r="L5265" s="2" t="s">
        <v>222</v>
      </c>
      <c r="M5265" s="2">
        <v>95612.0</v>
      </c>
      <c r="N5265" s="2" t="s">
        <v>21</v>
      </c>
    </row>
    <row r="5266" ht="15.75" customHeight="1">
      <c r="A5266" s="2">
        <v>2016.0</v>
      </c>
      <c r="B5266" s="2" t="s">
        <v>23279</v>
      </c>
      <c r="C5266" s="2" t="s">
        <v>23280</v>
      </c>
      <c r="D5266" s="2" t="str">
        <f t="shared" ref="D5266:D5267" si="93">"7145321111"</f>
        <v>7145321111</v>
      </c>
      <c r="E5266" s="2" t="s">
        <v>1799</v>
      </c>
      <c r="F5266" s="2" t="s">
        <v>1848</v>
      </c>
      <c r="G5266" s="2" t="str">
        <f>"SR-7222"</f>
        <v>SR-7222</v>
      </c>
      <c r="H5266" s="2" t="s">
        <v>23281</v>
      </c>
      <c r="I5266" s="2" t="s">
        <v>23282</v>
      </c>
      <c r="K5266" s="2" t="s">
        <v>642</v>
      </c>
      <c r="L5266" s="2" t="s">
        <v>222</v>
      </c>
      <c r="M5266" s="2">
        <v>92869.0</v>
      </c>
      <c r="N5266" s="2" t="s">
        <v>21</v>
      </c>
    </row>
    <row r="5267" ht="15.75" customHeight="1">
      <c r="A5267" s="2">
        <v>2016.0</v>
      </c>
      <c r="B5267" s="2" t="s">
        <v>23279</v>
      </c>
      <c r="C5267" s="2" t="s">
        <v>23283</v>
      </c>
      <c r="D5267" s="2" t="str">
        <f t="shared" si="93"/>
        <v>7145321111</v>
      </c>
      <c r="E5267" s="2" t="s">
        <v>23284</v>
      </c>
      <c r="F5267" s="2" t="s">
        <v>1848</v>
      </c>
      <c r="G5267" s="2" t="str">
        <f>"SR-7223"</f>
        <v>SR-7223</v>
      </c>
      <c r="H5267" s="2" t="s">
        <v>23285</v>
      </c>
      <c r="I5267" s="2" t="s">
        <v>23282</v>
      </c>
      <c r="K5267" s="2" t="s">
        <v>642</v>
      </c>
      <c r="L5267" s="2" t="s">
        <v>222</v>
      </c>
      <c r="M5267" s="2">
        <v>92869.0</v>
      </c>
      <c r="N5267" s="2" t="s">
        <v>21</v>
      </c>
    </row>
    <row r="5268" ht="15.75" customHeight="1">
      <c r="A5268" s="2">
        <v>2016.0</v>
      </c>
      <c r="B5268" s="2" t="s">
        <v>5081</v>
      </c>
      <c r="C5268" s="2" t="s">
        <v>23286</v>
      </c>
      <c r="D5268" s="2" t="str">
        <f>"6165541640"</f>
        <v>6165541640</v>
      </c>
      <c r="E5268" s="2" t="s">
        <v>748</v>
      </c>
      <c r="F5268" s="2" t="s">
        <v>20439</v>
      </c>
      <c r="G5268" s="2" t="str">
        <f>"SR-7263"</f>
        <v>SR-7263</v>
      </c>
      <c r="H5268" s="2" t="s">
        <v>23287</v>
      </c>
      <c r="I5268" s="2" t="s">
        <v>23288</v>
      </c>
      <c r="K5268" s="2" t="s">
        <v>23289</v>
      </c>
      <c r="L5268" s="2" t="s">
        <v>29</v>
      </c>
      <c r="M5268" s="2">
        <v>49508.0</v>
      </c>
      <c r="N5268" s="2" t="s">
        <v>21</v>
      </c>
    </row>
    <row r="5269" ht="15.75" customHeight="1">
      <c r="A5269" s="2">
        <v>2016.0</v>
      </c>
      <c r="B5269" s="2" t="s">
        <v>23290</v>
      </c>
      <c r="C5269" s="2" t="s">
        <v>23290</v>
      </c>
      <c r="D5269" s="2" t="str">
        <f>"(505)823-9160"</f>
        <v>(505)823-9160</v>
      </c>
      <c r="E5269" s="2" t="s">
        <v>23291</v>
      </c>
      <c r="F5269" s="2" t="s">
        <v>23292</v>
      </c>
      <c r="G5269" s="2" t="str">
        <f>"SR-7264"</f>
        <v>SR-7264</v>
      </c>
      <c r="H5269" s="2" t="s">
        <v>23293</v>
      </c>
      <c r="I5269" s="2" t="s">
        <v>23294</v>
      </c>
      <c r="K5269" s="2" t="s">
        <v>3705</v>
      </c>
      <c r="L5269" s="2" t="s">
        <v>789</v>
      </c>
      <c r="M5269" s="2">
        <v>87109.0</v>
      </c>
      <c r="N5269" s="2" t="s">
        <v>21</v>
      </c>
    </row>
    <row r="5270" ht="15.75" customHeight="1">
      <c r="A5270" s="2">
        <v>2016.0</v>
      </c>
      <c r="B5270" s="2" t="s">
        <v>23295</v>
      </c>
      <c r="C5270" s="2" t="s">
        <v>23296</v>
      </c>
      <c r="D5270" s="2" t="str">
        <f>"2165441037"</f>
        <v>2165441037</v>
      </c>
      <c r="E5270" s="2" t="s">
        <v>5858</v>
      </c>
      <c r="F5270" s="2" t="s">
        <v>23297</v>
      </c>
      <c r="G5270" s="2" t="str">
        <f>"SR-7266"</f>
        <v>SR-7266</v>
      </c>
      <c r="H5270" s="2" t="s">
        <v>23298</v>
      </c>
      <c r="I5270" s="2" t="s">
        <v>23299</v>
      </c>
      <c r="J5270" s="2" t="s">
        <v>23300</v>
      </c>
      <c r="K5270" s="2" t="s">
        <v>444</v>
      </c>
      <c r="L5270" s="2" t="s">
        <v>172</v>
      </c>
      <c r="M5270" s="2">
        <v>77043.0</v>
      </c>
      <c r="N5270" s="2" t="s">
        <v>21</v>
      </c>
    </row>
    <row r="5271" ht="15.75" customHeight="1">
      <c r="A5271" s="2">
        <v>2016.0</v>
      </c>
      <c r="B5271" s="2" t="s">
        <v>23301</v>
      </c>
      <c r="C5271" s="2" t="s">
        <v>23302</v>
      </c>
      <c r="D5271" s="2" t="str">
        <f>"7082099696"</f>
        <v>7082099696</v>
      </c>
      <c r="E5271" s="2" t="s">
        <v>6937</v>
      </c>
      <c r="F5271" s="2" t="s">
        <v>23303</v>
      </c>
      <c r="G5271" s="2" t="str">
        <f>"SR-7267"</f>
        <v>SR-7267</v>
      </c>
      <c r="H5271" s="2" t="s">
        <v>23304</v>
      </c>
      <c r="I5271" s="2" t="s">
        <v>23305</v>
      </c>
      <c r="K5271" s="2" t="s">
        <v>23306</v>
      </c>
      <c r="L5271" s="2" t="s">
        <v>105</v>
      </c>
      <c r="M5271" s="2">
        <v>60510.0</v>
      </c>
      <c r="N5271" s="2" t="s">
        <v>21</v>
      </c>
    </row>
    <row r="5272" ht="15.75" customHeight="1">
      <c r="A5272" s="2">
        <v>2016.0</v>
      </c>
      <c r="B5272" s="2" t="s">
        <v>23307</v>
      </c>
      <c r="C5272" s="2" t="s">
        <v>23307</v>
      </c>
      <c r="D5272" s="2" t="str">
        <f>"7702873301"</f>
        <v>7702873301</v>
      </c>
      <c r="E5272" s="2" t="s">
        <v>9558</v>
      </c>
      <c r="F5272" s="2" t="s">
        <v>23308</v>
      </c>
      <c r="G5272" s="2" t="str">
        <f>"SR-7270"</f>
        <v>SR-7270</v>
      </c>
      <c r="H5272" s="2" t="s">
        <v>23309</v>
      </c>
      <c r="I5272" s="2" t="s">
        <v>23310</v>
      </c>
      <c r="K5272" s="2" t="s">
        <v>21389</v>
      </c>
      <c r="L5272" s="2" t="s">
        <v>200</v>
      </c>
      <c r="M5272" s="2">
        <v>30506.0</v>
      </c>
      <c r="N5272" s="2" t="s">
        <v>21</v>
      </c>
    </row>
    <row r="5273" ht="15.75" customHeight="1">
      <c r="A5273" s="2">
        <v>2016.0</v>
      </c>
      <c r="B5273" s="2" t="s">
        <v>23311</v>
      </c>
      <c r="C5273" s="2" t="s">
        <v>23311</v>
      </c>
      <c r="D5273" s="2" t="str">
        <f>"770-297-0418"</f>
        <v>770-297-0418</v>
      </c>
      <c r="E5273" s="2" t="s">
        <v>1548</v>
      </c>
      <c r="F5273" s="2" t="s">
        <v>23312</v>
      </c>
      <c r="G5273" s="2" t="str">
        <f>"SR-7246"</f>
        <v>SR-7246</v>
      </c>
      <c r="H5273" s="2" t="s">
        <v>23313</v>
      </c>
      <c r="I5273" s="2" t="s">
        <v>23314</v>
      </c>
      <c r="K5273" s="2" t="s">
        <v>21389</v>
      </c>
      <c r="L5273" s="2" t="s">
        <v>200</v>
      </c>
      <c r="M5273" s="2">
        <v>30501.0</v>
      </c>
      <c r="N5273" s="2" t="s">
        <v>21</v>
      </c>
    </row>
    <row r="5274" ht="15.75" customHeight="1">
      <c r="A5274" s="2">
        <v>2016.0</v>
      </c>
      <c r="B5274" s="2" t="s">
        <v>9933</v>
      </c>
      <c r="C5274" s="2" t="s">
        <v>9933</v>
      </c>
      <c r="D5274" s="2" t="str">
        <f>"402-905-9056"</f>
        <v>402-905-9056</v>
      </c>
      <c r="E5274" s="2" t="s">
        <v>2851</v>
      </c>
      <c r="F5274" s="2" t="s">
        <v>9934</v>
      </c>
      <c r="G5274" s="2" t="str">
        <f>"SR-7272"</f>
        <v>SR-7272</v>
      </c>
      <c r="H5274" s="2" t="s">
        <v>23315</v>
      </c>
      <c r="I5274" s="2" t="s">
        <v>9936</v>
      </c>
      <c r="K5274" s="2" t="s">
        <v>1470</v>
      </c>
      <c r="L5274" s="2" t="s">
        <v>757</v>
      </c>
      <c r="M5274" s="2">
        <v>68134.0</v>
      </c>
      <c r="N5274" s="2" t="s">
        <v>21</v>
      </c>
    </row>
    <row r="5275" ht="15.75" customHeight="1">
      <c r="A5275" s="2">
        <v>2016.0</v>
      </c>
      <c r="B5275" s="2" t="s">
        <v>23316</v>
      </c>
      <c r="C5275" s="2" t="s">
        <v>23317</v>
      </c>
      <c r="D5275" s="2" t="str">
        <f>"4793218147"</f>
        <v>4793218147</v>
      </c>
      <c r="E5275" s="2" t="s">
        <v>4865</v>
      </c>
      <c r="F5275" s="2" t="s">
        <v>9115</v>
      </c>
      <c r="G5275" s="2" t="str">
        <f>"SR-7188"</f>
        <v>SR-7188</v>
      </c>
      <c r="H5275" s="2" t="s">
        <v>23318</v>
      </c>
      <c r="I5275" s="2" t="s">
        <v>23319</v>
      </c>
      <c r="K5275" s="2" t="s">
        <v>23320</v>
      </c>
      <c r="L5275" s="2" t="s">
        <v>1012</v>
      </c>
      <c r="M5275" s="2">
        <v>72718.0</v>
      </c>
      <c r="N5275" s="2" t="s">
        <v>21</v>
      </c>
    </row>
    <row r="5276" ht="15.75" customHeight="1">
      <c r="A5276" s="2">
        <v>2016.0</v>
      </c>
      <c r="B5276" s="2" t="s">
        <v>23321</v>
      </c>
      <c r="C5276" s="2" t="s">
        <v>23322</v>
      </c>
      <c r="D5276" s="2" t="str">
        <f>"620-260-5868"</f>
        <v>620-260-5868</v>
      </c>
      <c r="E5276" s="2" t="s">
        <v>485</v>
      </c>
      <c r="F5276" s="2" t="s">
        <v>23323</v>
      </c>
      <c r="G5276" s="2" t="str">
        <f>"SR-7276"</f>
        <v>SR-7276</v>
      </c>
      <c r="H5276" s="2" t="s">
        <v>23324</v>
      </c>
      <c r="I5276" s="2" t="s">
        <v>23325</v>
      </c>
      <c r="K5276" s="2" t="s">
        <v>1583</v>
      </c>
      <c r="L5276" s="2" t="s">
        <v>272</v>
      </c>
      <c r="M5276" s="2">
        <v>67846.0</v>
      </c>
      <c r="N5276" s="2" t="s">
        <v>21</v>
      </c>
    </row>
    <row r="5277" ht="15.75" customHeight="1">
      <c r="A5277" s="2">
        <v>2016.0</v>
      </c>
      <c r="B5277" s="2" t="s">
        <v>21622</v>
      </c>
      <c r="C5277" s="2" t="s">
        <v>21623</v>
      </c>
      <c r="D5277" s="2" t="str">
        <f>"801-432-8601"</f>
        <v>801-432-8601</v>
      </c>
      <c r="E5277" s="2" t="s">
        <v>167</v>
      </c>
      <c r="F5277" s="2" t="s">
        <v>962</v>
      </c>
      <c r="G5277" s="2" t="str">
        <f>"SR-6589"</f>
        <v>SR-6589</v>
      </c>
      <c r="H5277" s="2" t="s">
        <v>5948</v>
      </c>
      <c r="I5277" s="2" t="s">
        <v>21624</v>
      </c>
      <c r="K5277" s="2" t="s">
        <v>21625</v>
      </c>
      <c r="L5277" s="2" t="s">
        <v>763</v>
      </c>
      <c r="M5277" s="2">
        <v>84092.0</v>
      </c>
      <c r="N5277" s="2" t="s">
        <v>21</v>
      </c>
    </row>
    <row r="5278" ht="15.75" customHeight="1">
      <c r="A5278" s="2">
        <v>2016.0</v>
      </c>
      <c r="B5278" s="2" t="s">
        <v>23326</v>
      </c>
      <c r="C5278" s="2" t="s">
        <v>23327</v>
      </c>
      <c r="D5278" s="2" t="str">
        <f>"281-467-7585"</f>
        <v>281-467-7585</v>
      </c>
      <c r="E5278" s="2" t="s">
        <v>23328</v>
      </c>
      <c r="F5278" s="2" t="s">
        <v>4773</v>
      </c>
      <c r="G5278" s="2" t="str">
        <f>"SR-7236"</f>
        <v>SR-7236</v>
      </c>
      <c r="H5278" s="2" t="s">
        <v>23329</v>
      </c>
      <c r="I5278" s="2" t="s">
        <v>23330</v>
      </c>
      <c r="J5278" s="2" t="s">
        <v>23331</v>
      </c>
      <c r="K5278" s="2" t="s">
        <v>2651</v>
      </c>
      <c r="L5278" s="2" t="s">
        <v>172</v>
      </c>
      <c r="M5278" s="2">
        <v>77384.0</v>
      </c>
      <c r="N5278" s="2" t="s">
        <v>21</v>
      </c>
    </row>
    <row r="5279" ht="15.75" customHeight="1">
      <c r="A5279" s="2">
        <v>2016.0</v>
      </c>
      <c r="B5279" s="2" t="s">
        <v>23326</v>
      </c>
      <c r="C5279" s="2" t="s">
        <v>23332</v>
      </c>
      <c r="D5279" s="2" t="str">
        <f>"281-296-6176"</f>
        <v>281-296-6176</v>
      </c>
      <c r="E5279" s="2" t="s">
        <v>137</v>
      </c>
      <c r="F5279" s="2" t="s">
        <v>2174</v>
      </c>
      <c r="G5279" s="2" t="str">
        <f>"SR-7238"</f>
        <v>SR-7238</v>
      </c>
      <c r="H5279" s="2" t="s">
        <v>23333</v>
      </c>
      <c r="I5279" s="2" t="s">
        <v>23334</v>
      </c>
      <c r="K5279" s="2" t="s">
        <v>2651</v>
      </c>
      <c r="L5279" s="2" t="s">
        <v>172</v>
      </c>
      <c r="M5279" s="2">
        <v>77381.0</v>
      </c>
      <c r="N5279" s="2" t="s">
        <v>21</v>
      </c>
    </row>
    <row r="5280" ht="15.75" customHeight="1">
      <c r="A5280" s="2">
        <v>2016.0</v>
      </c>
      <c r="B5280" s="2" t="s">
        <v>23335</v>
      </c>
      <c r="C5280" s="2" t="s">
        <v>23336</v>
      </c>
      <c r="D5280" s="2" t="str">
        <f>"5044502611"</f>
        <v>5044502611</v>
      </c>
      <c r="E5280" s="2" t="s">
        <v>23337</v>
      </c>
      <c r="F5280" s="2" t="s">
        <v>23338</v>
      </c>
      <c r="G5280" s="2" t="str">
        <f>"SR-7186"</f>
        <v>SR-7186</v>
      </c>
      <c r="H5280" s="2" t="s">
        <v>23339</v>
      </c>
      <c r="I5280" s="2" t="s">
        <v>23340</v>
      </c>
      <c r="K5280" s="2" t="s">
        <v>1260</v>
      </c>
      <c r="L5280" s="2" t="s">
        <v>172</v>
      </c>
      <c r="M5280" s="2">
        <v>70129.0</v>
      </c>
      <c r="N5280" s="2" t="s">
        <v>21</v>
      </c>
    </row>
    <row r="5281" ht="15.75" customHeight="1">
      <c r="A5281" s="2">
        <v>2016.0</v>
      </c>
      <c r="B5281" s="2" t="s">
        <v>6379</v>
      </c>
      <c r="C5281" s="2" t="s">
        <v>23341</v>
      </c>
      <c r="D5281" s="2" t="str">
        <f>"7139465852"</f>
        <v>7139465852</v>
      </c>
      <c r="E5281" s="2" t="s">
        <v>5583</v>
      </c>
      <c r="F5281" s="2" t="s">
        <v>283</v>
      </c>
      <c r="G5281" s="2" t="str">
        <f>"SR-7275"</f>
        <v>SR-7275</v>
      </c>
      <c r="H5281" s="2" t="s">
        <v>23342</v>
      </c>
      <c r="I5281" s="2" t="s">
        <v>6383</v>
      </c>
      <c r="K5281" s="2" t="s">
        <v>3524</v>
      </c>
      <c r="L5281" s="2" t="s">
        <v>172</v>
      </c>
      <c r="M5281" s="2">
        <v>77546.0</v>
      </c>
      <c r="N5281" s="2" t="s">
        <v>21</v>
      </c>
    </row>
    <row r="5282" ht="15.75" customHeight="1">
      <c r="A5282" s="2">
        <v>2016.0</v>
      </c>
      <c r="B5282" s="2" t="s">
        <v>22395</v>
      </c>
      <c r="C5282" s="2" t="s">
        <v>22396</v>
      </c>
      <c r="D5282" s="2" t="str">
        <f>"218-937-5650"</f>
        <v>218-937-5650</v>
      </c>
      <c r="E5282" s="2" t="s">
        <v>471</v>
      </c>
      <c r="F5282" s="2" t="s">
        <v>22397</v>
      </c>
      <c r="G5282" s="2" t="str">
        <f>"SR-6712"</f>
        <v>SR-6712</v>
      </c>
      <c r="H5282" s="2" t="s">
        <v>22398</v>
      </c>
      <c r="I5282" s="2" t="s">
        <v>22399</v>
      </c>
      <c r="K5282" s="2" t="s">
        <v>21076</v>
      </c>
      <c r="L5282" s="2" t="s">
        <v>62</v>
      </c>
      <c r="M5282" s="2">
        <v>56549.0</v>
      </c>
      <c r="N5282" s="2" t="s">
        <v>21</v>
      </c>
    </row>
    <row r="5283" ht="15.75" customHeight="1">
      <c r="A5283" s="2">
        <v>2016.0</v>
      </c>
      <c r="B5283" s="2" t="s">
        <v>23343</v>
      </c>
      <c r="C5283" s="2" t="s">
        <v>23343</v>
      </c>
      <c r="D5283" s="2" t="str">
        <f>"9709881890"</f>
        <v>9709881890</v>
      </c>
      <c r="E5283" s="2" t="s">
        <v>301</v>
      </c>
      <c r="F5283" s="2" t="s">
        <v>11313</v>
      </c>
      <c r="G5283" s="2" t="str">
        <f>"SR-7197"</f>
        <v>SR-7197</v>
      </c>
      <c r="H5283" s="2" t="s">
        <v>23344</v>
      </c>
      <c r="I5283" s="2" t="s">
        <v>11315</v>
      </c>
      <c r="K5283" s="2" t="s">
        <v>1632</v>
      </c>
      <c r="L5283" s="2" t="s">
        <v>157</v>
      </c>
      <c r="M5283" s="2">
        <v>80528.0</v>
      </c>
      <c r="N5283" s="2" t="s">
        <v>21</v>
      </c>
    </row>
    <row r="5284" ht="15.75" customHeight="1">
      <c r="A5284" s="2">
        <v>2016.0</v>
      </c>
      <c r="B5284" s="2" t="s">
        <v>23345</v>
      </c>
      <c r="C5284" s="2" t="s">
        <v>23346</v>
      </c>
      <c r="D5284" s="2" t="str">
        <f>"970-443-8716"</f>
        <v>970-443-8716</v>
      </c>
      <c r="E5284" s="2" t="s">
        <v>1159</v>
      </c>
      <c r="F5284" s="2" t="s">
        <v>5528</v>
      </c>
      <c r="G5284" s="2" t="str">
        <f>"SR-7293"</f>
        <v>SR-7293</v>
      </c>
      <c r="H5284" s="2" t="s">
        <v>23347</v>
      </c>
      <c r="I5284" s="2" t="s">
        <v>23348</v>
      </c>
      <c r="K5284" s="2" t="s">
        <v>656</v>
      </c>
      <c r="L5284" s="2" t="s">
        <v>157</v>
      </c>
      <c r="M5284" s="2">
        <v>80528.0</v>
      </c>
      <c r="N5284" s="2" t="s">
        <v>21</v>
      </c>
    </row>
    <row r="5285" ht="15.75" customHeight="1">
      <c r="A5285" s="2">
        <v>2016.0</v>
      </c>
      <c r="B5285" s="2" t="s">
        <v>23349</v>
      </c>
      <c r="C5285" s="2" t="s">
        <v>23349</v>
      </c>
      <c r="D5285" s="2" t="str">
        <f>"9132997533"</f>
        <v>9132997533</v>
      </c>
      <c r="E5285" s="2" t="s">
        <v>23350</v>
      </c>
      <c r="F5285" s="2" t="s">
        <v>23351</v>
      </c>
      <c r="G5285" s="2" t="str">
        <f>"SR-7300"</f>
        <v>SR-7300</v>
      </c>
      <c r="H5285" s="2" t="s">
        <v>23352</v>
      </c>
      <c r="I5285" s="2" t="s">
        <v>23353</v>
      </c>
      <c r="K5285" s="2" t="s">
        <v>1408</v>
      </c>
      <c r="L5285" s="2" t="s">
        <v>214</v>
      </c>
      <c r="M5285" s="2">
        <v>64734.0</v>
      </c>
      <c r="N5285" s="2" t="s">
        <v>21</v>
      </c>
    </row>
    <row r="5286" ht="15.75" customHeight="1">
      <c r="A5286" s="2">
        <v>2016.0</v>
      </c>
      <c r="B5286" s="2" t="s">
        <v>6694</v>
      </c>
      <c r="C5286" s="2" t="s">
        <v>23354</v>
      </c>
      <c r="D5286" s="2" t="str">
        <f>"913-645-8167"</f>
        <v>913-645-8167</v>
      </c>
      <c r="E5286" s="2" t="s">
        <v>23355</v>
      </c>
      <c r="F5286" s="2" t="s">
        <v>6696</v>
      </c>
      <c r="G5286" s="2" t="str">
        <f>"SR-7301"</f>
        <v>SR-7301</v>
      </c>
      <c r="H5286" s="2" t="s">
        <v>23356</v>
      </c>
      <c r="I5286" s="2" t="s">
        <v>23357</v>
      </c>
      <c r="K5286" s="2" t="s">
        <v>1814</v>
      </c>
      <c r="L5286" s="2" t="s">
        <v>272</v>
      </c>
      <c r="M5286" s="2">
        <v>66109.0</v>
      </c>
      <c r="N5286" s="2" t="s">
        <v>21</v>
      </c>
    </row>
    <row r="5287" ht="15.75" customHeight="1">
      <c r="A5287" s="2">
        <v>2016.0</v>
      </c>
      <c r="B5287" s="2" t="s">
        <v>23358</v>
      </c>
      <c r="C5287" s="2" t="s">
        <v>23358</v>
      </c>
      <c r="D5287" s="2" t="str">
        <f>"605-224-0884"</f>
        <v>605-224-0884</v>
      </c>
      <c r="E5287" s="2" t="s">
        <v>1767</v>
      </c>
      <c r="F5287" s="2" t="s">
        <v>8787</v>
      </c>
      <c r="G5287" s="2" t="str">
        <f>"SR-7303"</f>
        <v>SR-7303</v>
      </c>
      <c r="H5287" s="2" t="s">
        <v>23359</v>
      </c>
      <c r="I5287" s="2" t="s">
        <v>23360</v>
      </c>
      <c r="K5287" s="2" t="s">
        <v>4355</v>
      </c>
      <c r="L5287" s="2" t="s">
        <v>920</v>
      </c>
      <c r="M5287" s="2">
        <v>57501.0</v>
      </c>
      <c r="N5287" s="2" t="s">
        <v>21</v>
      </c>
    </row>
    <row r="5288" ht="15.75" customHeight="1">
      <c r="A5288" s="2">
        <v>2016.0</v>
      </c>
      <c r="B5288" s="2" t="s">
        <v>23361</v>
      </c>
      <c r="C5288" s="2" t="s">
        <v>23361</v>
      </c>
      <c r="D5288" s="2" t="str">
        <f>"(605) 295-0177"</f>
        <v>(605) 295-0177</v>
      </c>
      <c r="E5288" s="2" t="s">
        <v>13268</v>
      </c>
      <c r="F5288" s="2" t="s">
        <v>9374</v>
      </c>
      <c r="G5288" s="2" t="str">
        <f>"SR-7305"</f>
        <v>SR-7305</v>
      </c>
      <c r="H5288" s="2" t="s">
        <v>23362</v>
      </c>
      <c r="I5288" s="2" t="s">
        <v>23363</v>
      </c>
      <c r="K5288" s="2" t="s">
        <v>4355</v>
      </c>
      <c r="L5288" s="2" t="s">
        <v>920</v>
      </c>
      <c r="M5288" s="2">
        <v>57501.0</v>
      </c>
      <c r="N5288" s="2" t="s">
        <v>21</v>
      </c>
    </row>
    <row r="5289" ht="15.75" customHeight="1">
      <c r="A5289" s="2">
        <v>2016.0</v>
      </c>
      <c r="B5289" s="2" t="s">
        <v>23364</v>
      </c>
      <c r="C5289" s="2" t="s">
        <v>23365</v>
      </c>
      <c r="D5289" s="2" t="str">
        <f t="shared" ref="D5289:D5290" si="94">"605-224-6347"</f>
        <v>605-224-6347</v>
      </c>
      <c r="E5289" s="2" t="s">
        <v>12156</v>
      </c>
      <c r="F5289" s="2" t="s">
        <v>23366</v>
      </c>
      <c r="G5289" s="2" t="str">
        <f>"SR-7295"</f>
        <v>SR-7295</v>
      </c>
      <c r="H5289" s="2" t="s">
        <v>23367</v>
      </c>
      <c r="I5289" s="2" t="s">
        <v>23368</v>
      </c>
      <c r="K5289" s="2" t="s">
        <v>4355</v>
      </c>
      <c r="L5289" s="2" t="s">
        <v>920</v>
      </c>
      <c r="M5289" s="2">
        <v>57501.0</v>
      </c>
      <c r="N5289" s="2" t="s">
        <v>21</v>
      </c>
    </row>
    <row r="5290" ht="15.75" customHeight="1">
      <c r="A5290" s="2">
        <v>2016.0</v>
      </c>
      <c r="B5290" s="2" t="s">
        <v>23364</v>
      </c>
      <c r="C5290" s="2" t="s">
        <v>23369</v>
      </c>
      <c r="D5290" s="2" t="str">
        <f t="shared" si="94"/>
        <v>605-224-6347</v>
      </c>
      <c r="E5290" s="2" t="s">
        <v>651</v>
      </c>
      <c r="F5290" s="2" t="s">
        <v>23366</v>
      </c>
      <c r="G5290" s="2" t="str">
        <f>"SR-7287"</f>
        <v>SR-7287</v>
      </c>
      <c r="H5290" s="2" t="s">
        <v>23370</v>
      </c>
      <c r="I5290" s="2" t="s">
        <v>23368</v>
      </c>
      <c r="K5290" s="2" t="s">
        <v>4355</v>
      </c>
      <c r="L5290" s="2" t="s">
        <v>920</v>
      </c>
      <c r="M5290" s="2">
        <v>5750.0</v>
      </c>
      <c r="N5290" s="2" t="s">
        <v>21</v>
      </c>
    </row>
    <row r="5291" ht="15.75" customHeight="1">
      <c r="A5291" s="2">
        <v>2016.0</v>
      </c>
      <c r="B5291" s="2" t="s">
        <v>23371</v>
      </c>
      <c r="C5291" s="2" t="s">
        <v>23372</v>
      </c>
      <c r="D5291" s="2" t="str">
        <f>"719-227-1655"</f>
        <v>719-227-1655</v>
      </c>
      <c r="E5291" s="2" t="s">
        <v>3750</v>
      </c>
      <c r="F5291" s="2" t="s">
        <v>2429</v>
      </c>
      <c r="G5291" s="2" t="str">
        <f>"SR-7310"</f>
        <v>SR-7310</v>
      </c>
      <c r="H5291" s="2" t="s">
        <v>23373</v>
      </c>
      <c r="I5291" s="2" t="s">
        <v>23374</v>
      </c>
      <c r="K5291" s="2" t="s">
        <v>6998</v>
      </c>
      <c r="L5291" s="2" t="s">
        <v>157</v>
      </c>
      <c r="M5291" s="2">
        <v>80829.0</v>
      </c>
      <c r="N5291" s="2" t="s">
        <v>21</v>
      </c>
    </row>
    <row r="5292" ht="15.75" customHeight="1">
      <c r="A5292" s="2">
        <v>2016.0</v>
      </c>
      <c r="B5292" s="2" t="s">
        <v>23375</v>
      </c>
      <c r="C5292" s="2" t="s">
        <v>23376</v>
      </c>
      <c r="D5292" s="2" t="str">
        <f>"731-431-2251"</f>
        <v>731-431-2251</v>
      </c>
      <c r="E5292" s="2" t="s">
        <v>1141</v>
      </c>
      <c r="F5292" s="2" t="s">
        <v>8787</v>
      </c>
      <c r="G5292" s="2" t="str">
        <f>"SR-7228"</f>
        <v>SR-7228</v>
      </c>
      <c r="H5292" s="2" t="s">
        <v>23377</v>
      </c>
      <c r="I5292" s="2" t="s">
        <v>23378</v>
      </c>
      <c r="K5292" s="2" t="s">
        <v>278</v>
      </c>
      <c r="L5292" s="2" t="s">
        <v>279</v>
      </c>
      <c r="M5292" s="2">
        <v>37064.0</v>
      </c>
      <c r="N5292" s="2" t="s">
        <v>21</v>
      </c>
    </row>
    <row r="5293" ht="15.75" customHeight="1">
      <c r="A5293" s="2">
        <v>2016.0</v>
      </c>
      <c r="B5293" s="2" t="s">
        <v>23379</v>
      </c>
      <c r="C5293" s="2" t="s">
        <v>23379</v>
      </c>
      <c r="D5293" s="2" t="str">
        <f>"419-617-9785"</f>
        <v>419-617-9785</v>
      </c>
      <c r="E5293" s="2" t="s">
        <v>23380</v>
      </c>
      <c r="F5293" s="2" t="s">
        <v>23381</v>
      </c>
      <c r="G5293" s="2" t="str">
        <f>"SR-7262"</f>
        <v>SR-7262</v>
      </c>
      <c r="H5293" s="2" t="s">
        <v>23382</v>
      </c>
      <c r="I5293" s="2" t="s">
        <v>23383</v>
      </c>
      <c r="K5293" s="2" t="s">
        <v>23384</v>
      </c>
      <c r="L5293" s="2" t="s">
        <v>344</v>
      </c>
      <c r="M5293" s="2">
        <v>44820.0</v>
      </c>
      <c r="N5293" s="2" t="s">
        <v>21</v>
      </c>
    </row>
    <row r="5294" ht="15.75" customHeight="1">
      <c r="A5294" s="2">
        <v>2016.0</v>
      </c>
      <c r="B5294" s="2" t="s">
        <v>2165</v>
      </c>
      <c r="C5294" s="2" t="s">
        <v>23385</v>
      </c>
      <c r="D5294" s="2" t="str">
        <f>"9493050867"</f>
        <v>9493050867</v>
      </c>
      <c r="E5294" s="2" t="s">
        <v>453</v>
      </c>
      <c r="F5294" s="2" t="s">
        <v>2168</v>
      </c>
      <c r="G5294" s="2" t="str">
        <f>"SR-7313"</f>
        <v>SR-7313</v>
      </c>
      <c r="H5294" s="2" t="s">
        <v>23386</v>
      </c>
      <c r="I5294" s="2" t="s">
        <v>2170</v>
      </c>
      <c r="K5294" s="2" t="s">
        <v>2171</v>
      </c>
      <c r="L5294" s="2" t="s">
        <v>222</v>
      </c>
      <c r="M5294" s="2">
        <v>92677.0</v>
      </c>
      <c r="N5294" s="2" t="s">
        <v>21</v>
      </c>
    </row>
    <row r="5295" ht="15.75" customHeight="1">
      <c r="A5295" s="2">
        <v>2016.0</v>
      </c>
      <c r="B5295" s="2" t="s">
        <v>23387</v>
      </c>
      <c r="C5295" s="2" t="s">
        <v>23388</v>
      </c>
      <c r="D5295" s="2" t="str">
        <f>"3038051332"</f>
        <v>3038051332</v>
      </c>
      <c r="E5295" s="2" t="s">
        <v>282</v>
      </c>
      <c r="F5295" s="2" t="s">
        <v>23389</v>
      </c>
      <c r="G5295" s="2" t="str">
        <f>"SR-7314"</f>
        <v>SR-7314</v>
      </c>
      <c r="H5295" s="2" t="s">
        <v>23390</v>
      </c>
      <c r="I5295" s="2" t="s">
        <v>23391</v>
      </c>
      <c r="K5295" s="2" t="s">
        <v>1054</v>
      </c>
      <c r="L5295" s="2" t="s">
        <v>157</v>
      </c>
      <c r="M5295" s="2">
        <v>80134.0</v>
      </c>
      <c r="N5295" s="2" t="s">
        <v>21</v>
      </c>
    </row>
    <row r="5296" ht="15.75" customHeight="1">
      <c r="A5296" s="2">
        <v>2016.0</v>
      </c>
      <c r="B5296" s="2" t="s">
        <v>23392</v>
      </c>
      <c r="C5296" s="2" t="s">
        <v>23392</v>
      </c>
      <c r="D5296" s="2" t="str">
        <f>"6206728289"</f>
        <v>6206728289</v>
      </c>
      <c r="E5296" s="2" t="s">
        <v>23393</v>
      </c>
      <c r="F5296" s="2" t="s">
        <v>3576</v>
      </c>
      <c r="G5296" s="2" t="str">
        <f>"SR-7315"</f>
        <v>SR-7315</v>
      </c>
      <c r="H5296" s="2" t="s">
        <v>23394</v>
      </c>
      <c r="I5296" s="2" t="s">
        <v>23395</v>
      </c>
      <c r="K5296" s="2" t="s">
        <v>23396</v>
      </c>
      <c r="L5296" s="2" t="s">
        <v>272</v>
      </c>
      <c r="M5296" s="2">
        <v>67124.0</v>
      </c>
      <c r="N5296" s="2" t="s">
        <v>21</v>
      </c>
    </row>
    <row r="5297" ht="15.75" customHeight="1">
      <c r="A5297" s="2">
        <v>2016.0</v>
      </c>
      <c r="B5297" s="2" t="s">
        <v>23397</v>
      </c>
      <c r="C5297" s="2" t="s">
        <v>23397</v>
      </c>
      <c r="D5297" s="2" t="str">
        <f>"6052801428"</f>
        <v>6052801428</v>
      </c>
      <c r="E5297" s="2" t="s">
        <v>23398</v>
      </c>
      <c r="F5297" s="2" t="s">
        <v>23399</v>
      </c>
      <c r="G5297" s="2" t="str">
        <f>"SR-7318"</f>
        <v>SR-7318</v>
      </c>
      <c r="H5297" s="2" t="s">
        <v>23400</v>
      </c>
      <c r="I5297" s="2" t="s">
        <v>23401</v>
      </c>
      <c r="K5297" s="2" t="s">
        <v>5035</v>
      </c>
      <c r="L5297" s="2" t="s">
        <v>920</v>
      </c>
      <c r="M5297" s="2">
        <v>57537.0</v>
      </c>
      <c r="N5297" s="2" t="s">
        <v>21</v>
      </c>
    </row>
    <row r="5298" ht="15.75" customHeight="1">
      <c r="A5298" s="2">
        <v>2016.0</v>
      </c>
      <c r="B5298" s="2" t="s">
        <v>23402</v>
      </c>
      <c r="C5298" s="2" t="s">
        <v>23403</v>
      </c>
      <c r="D5298" s="2" t="str">
        <f>"7575030257"</f>
        <v>7575030257</v>
      </c>
      <c r="E5298" s="2" t="s">
        <v>250</v>
      </c>
      <c r="F5298" s="2" t="s">
        <v>89</v>
      </c>
      <c r="G5298" s="2" t="str">
        <f>"SR-7320"</f>
        <v>SR-7320</v>
      </c>
      <c r="H5298" s="2" t="s">
        <v>23404</v>
      </c>
      <c r="I5298" s="2" t="s">
        <v>23405</v>
      </c>
      <c r="K5298" s="2" t="s">
        <v>23406</v>
      </c>
      <c r="L5298" s="2" t="s">
        <v>165</v>
      </c>
      <c r="M5298" s="2">
        <v>23185.0</v>
      </c>
      <c r="N5298" s="2" t="s">
        <v>21</v>
      </c>
    </row>
    <row r="5299" ht="15.75" customHeight="1">
      <c r="A5299" s="2">
        <v>2016.0</v>
      </c>
      <c r="B5299" s="2" t="s">
        <v>23407</v>
      </c>
      <c r="C5299" s="2" t="s">
        <v>23408</v>
      </c>
      <c r="D5299" s="2" t="str">
        <f>"47953199"</f>
        <v>47953199</v>
      </c>
      <c r="E5299" s="2" t="s">
        <v>23409</v>
      </c>
      <c r="F5299" s="2" t="s">
        <v>21876</v>
      </c>
      <c r="G5299" s="2" t="str">
        <f>"SR-7192"</f>
        <v>SR-7192</v>
      </c>
      <c r="H5299" s="2" t="s">
        <v>23410</v>
      </c>
      <c r="I5299" s="2" t="s">
        <v>23411</v>
      </c>
      <c r="K5299" s="2" t="s">
        <v>1170</v>
      </c>
      <c r="L5299" s="2" t="s">
        <v>1012</v>
      </c>
      <c r="M5299" s="2">
        <v>72758.0</v>
      </c>
      <c r="N5299" s="2" t="s">
        <v>21</v>
      </c>
    </row>
    <row r="5300" ht="15.75" customHeight="1">
      <c r="A5300" s="2">
        <v>2016.0</v>
      </c>
      <c r="B5300" s="2" t="s">
        <v>16810</v>
      </c>
      <c r="C5300" s="2" t="s">
        <v>16811</v>
      </c>
      <c r="D5300" s="2" t="str">
        <f>"2055356982"</f>
        <v>2055356982</v>
      </c>
      <c r="E5300" s="2" t="s">
        <v>2401</v>
      </c>
      <c r="F5300" s="2" t="s">
        <v>2771</v>
      </c>
      <c r="G5300" s="2" t="str">
        <f>"SR-5127"</f>
        <v>SR-5127</v>
      </c>
      <c r="H5300" s="2" t="s">
        <v>16812</v>
      </c>
      <c r="I5300" s="2" t="s">
        <v>16813</v>
      </c>
      <c r="K5300" s="2" t="s">
        <v>5003</v>
      </c>
      <c r="L5300" s="2" t="s">
        <v>539</v>
      </c>
      <c r="M5300" s="2">
        <v>35473.0</v>
      </c>
      <c r="N5300" s="2" t="s">
        <v>21</v>
      </c>
    </row>
    <row r="5301" ht="15.75" customHeight="1">
      <c r="A5301" s="2">
        <v>2016.0</v>
      </c>
      <c r="B5301" s="2" t="s">
        <v>23412</v>
      </c>
      <c r="C5301" s="2" t="s">
        <v>23413</v>
      </c>
      <c r="D5301" s="2" t="str">
        <f t="shared" ref="D5301:D5302" si="95">"770-664-4938"</f>
        <v>770-664-4938</v>
      </c>
      <c r="E5301" s="2" t="s">
        <v>16192</v>
      </c>
      <c r="F5301" s="2" t="s">
        <v>23414</v>
      </c>
      <c r="G5301" s="2" t="str">
        <f>"SR-7325"</f>
        <v>SR-7325</v>
      </c>
      <c r="H5301" s="2" t="s">
        <v>23415</v>
      </c>
      <c r="I5301" s="2" t="s">
        <v>23416</v>
      </c>
      <c r="K5301" s="2" t="s">
        <v>8128</v>
      </c>
      <c r="L5301" s="2" t="s">
        <v>200</v>
      </c>
      <c r="M5301" s="2">
        <v>30022.0</v>
      </c>
      <c r="N5301" s="2" t="s">
        <v>21</v>
      </c>
    </row>
    <row r="5302" ht="15.75" customHeight="1">
      <c r="A5302" s="2">
        <v>2016.0</v>
      </c>
      <c r="B5302" s="2" t="s">
        <v>23412</v>
      </c>
      <c r="C5302" s="2" t="s">
        <v>23417</v>
      </c>
      <c r="D5302" s="2" t="str">
        <f t="shared" si="95"/>
        <v>770-664-4938</v>
      </c>
      <c r="E5302" s="2" t="s">
        <v>23418</v>
      </c>
      <c r="F5302" s="2" t="s">
        <v>23414</v>
      </c>
      <c r="G5302" s="2" t="str">
        <f>"SR-7326"</f>
        <v>SR-7326</v>
      </c>
      <c r="H5302" s="2" t="s">
        <v>23419</v>
      </c>
      <c r="I5302" s="2" t="s">
        <v>23416</v>
      </c>
      <c r="K5302" s="2" t="s">
        <v>8128</v>
      </c>
      <c r="L5302" s="2" t="s">
        <v>200</v>
      </c>
      <c r="M5302" s="2">
        <v>30022.0</v>
      </c>
      <c r="N5302" s="2" t="s">
        <v>21</v>
      </c>
    </row>
    <row r="5303" ht="15.75" customHeight="1">
      <c r="A5303" s="2">
        <v>2016.0</v>
      </c>
      <c r="B5303" s="2" t="s">
        <v>23420</v>
      </c>
      <c r="C5303" s="2" t="s">
        <v>23421</v>
      </c>
      <c r="D5303" s="2" t="str">
        <f>"4075069492"</f>
        <v>4075069492</v>
      </c>
      <c r="E5303" s="2" t="s">
        <v>23422</v>
      </c>
      <c r="F5303" s="2" t="s">
        <v>1151</v>
      </c>
      <c r="G5303" s="2" t="str">
        <f>"SR-7323"</f>
        <v>SR-7323</v>
      </c>
      <c r="H5303" s="2" t="s">
        <v>23423</v>
      </c>
      <c r="I5303" s="2" t="s">
        <v>23424</v>
      </c>
      <c r="K5303" s="2" t="s">
        <v>4724</v>
      </c>
      <c r="L5303" s="2" t="s">
        <v>208</v>
      </c>
      <c r="M5303" s="2">
        <v>32828.0</v>
      </c>
      <c r="N5303" s="2" t="s">
        <v>21</v>
      </c>
    </row>
    <row r="5304" ht="15.75" customHeight="1">
      <c r="A5304" s="2">
        <v>2016.0</v>
      </c>
      <c r="B5304" s="2" t="s">
        <v>18689</v>
      </c>
      <c r="C5304" s="2" t="s">
        <v>23425</v>
      </c>
      <c r="D5304" s="2" t="str">
        <f>"605-222-4479"</f>
        <v>605-222-4479</v>
      </c>
      <c r="E5304" s="2" t="s">
        <v>471</v>
      </c>
      <c r="F5304" s="2" t="s">
        <v>18691</v>
      </c>
      <c r="G5304" s="2" t="str">
        <f>"SR-7316"</f>
        <v>SR-7316</v>
      </c>
      <c r="H5304" s="2" t="s">
        <v>23426</v>
      </c>
      <c r="I5304" s="2" t="s">
        <v>23427</v>
      </c>
      <c r="K5304" s="2" t="s">
        <v>4355</v>
      </c>
      <c r="L5304" s="2" t="s">
        <v>920</v>
      </c>
      <c r="M5304" s="2">
        <v>57501.0</v>
      </c>
      <c r="N5304" s="2" t="s">
        <v>21</v>
      </c>
    </row>
    <row r="5305" ht="15.75" customHeight="1">
      <c r="A5305" s="2">
        <v>2016.0</v>
      </c>
      <c r="B5305" s="2" t="s">
        <v>23428</v>
      </c>
      <c r="C5305" s="2" t="s">
        <v>23429</v>
      </c>
      <c r="D5305" s="2" t="str">
        <f>"954-792-4402"</f>
        <v>954-792-4402</v>
      </c>
      <c r="E5305" s="2" t="s">
        <v>7046</v>
      </c>
      <c r="F5305" s="2" t="s">
        <v>23430</v>
      </c>
      <c r="G5305" s="2" t="str">
        <f>"SR-7278"</f>
        <v>SR-7278</v>
      </c>
      <c r="H5305" s="2" t="s">
        <v>23431</v>
      </c>
      <c r="I5305" s="2" t="s">
        <v>23432</v>
      </c>
      <c r="K5305" s="2" t="s">
        <v>10586</v>
      </c>
      <c r="L5305" s="2" t="s">
        <v>208</v>
      </c>
      <c r="M5305" s="2">
        <v>33312.0</v>
      </c>
      <c r="N5305" s="2" t="s">
        <v>21</v>
      </c>
    </row>
    <row r="5306" ht="15.75" customHeight="1">
      <c r="A5306" s="2">
        <v>2016.0</v>
      </c>
      <c r="B5306" s="2" t="s">
        <v>23433</v>
      </c>
      <c r="C5306" s="2" t="s">
        <v>23434</v>
      </c>
      <c r="D5306" s="2" t="str">
        <f>"360-271-1186"</f>
        <v>360-271-1186</v>
      </c>
      <c r="E5306" s="2" t="s">
        <v>23435</v>
      </c>
      <c r="F5306" s="2" t="s">
        <v>645</v>
      </c>
      <c r="G5306" s="2" t="str">
        <f>"SR-7257"</f>
        <v>SR-7257</v>
      </c>
      <c r="H5306" s="2" t="s">
        <v>23436</v>
      </c>
      <c r="I5306" s="2" t="s">
        <v>23437</v>
      </c>
      <c r="K5306" s="2" t="s">
        <v>23438</v>
      </c>
      <c r="L5306" s="2" t="s">
        <v>86</v>
      </c>
      <c r="M5306" s="2">
        <v>98311.0</v>
      </c>
      <c r="N5306" s="2" t="s">
        <v>21</v>
      </c>
    </row>
    <row r="5307" ht="15.75" customHeight="1">
      <c r="A5307" s="2">
        <v>2016.0</v>
      </c>
      <c r="B5307" s="2" t="s">
        <v>2758</v>
      </c>
      <c r="C5307" s="2" t="s">
        <v>2759</v>
      </c>
      <c r="D5307" s="2" t="str">
        <f>"4079514386"</f>
        <v>4079514386</v>
      </c>
      <c r="E5307" s="2" t="s">
        <v>2760</v>
      </c>
      <c r="F5307" s="2" t="s">
        <v>2761</v>
      </c>
      <c r="G5307" s="2" t="str">
        <f>"SR-919"</f>
        <v>SR-919</v>
      </c>
      <c r="H5307" s="2" t="s">
        <v>2762</v>
      </c>
      <c r="I5307" s="2" t="s">
        <v>2763</v>
      </c>
      <c r="K5307" s="2" t="s">
        <v>2764</v>
      </c>
      <c r="L5307" s="2" t="s">
        <v>208</v>
      </c>
      <c r="M5307" s="2">
        <v>32789.0</v>
      </c>
      <c r="N5307" s="2" t="s">
        <v>21</v>
      </c>
    </row>
    <row r="5308" ht="15.75" customHeight="1">
      <c r="A5308" s="2">
        <v>2016.0</v>
      </c>
      <c r="B5308" s="2" t="s">
        <v>23439</v>
      </c>
      <c r="C5308" s="2" t="s">
        <v>23440</v>
      </c>
      <c r="D5308" s="2" t="str">
        <f>"9017342466"</f>
        <v>9017342466</v>
      </c>
      <c r="E5308" s="2" t="s">
        <v>373</v>
      </c>
      <c r="F5308" s="2" t="s">
        <v>23441</v>
      </c>
      <c r="G5308" s="2" t="str">
        <f>"SR-7271"</f>
        <v>SR-7271</v>
      </c>
      <c r="H5308" s="2" t="s">
        <v>23442</v>
      </c>
      <c r="I5308" s="2" t="s">
        <v>23443</v>
      </c>
      <c r="K5308" s="2" t="s">
        <v>9257</v>
      </c>
      <c r="L5308" s="2" t="s">
        <v>279</v>
      </c>
      <c r="M5308" s="2">
        <v>38139.0</v>
      </c>
      <c r="N5308" s="2" t="s">
        <v>21</v>
      </c>
    </row>
    <row r="5309" ht="15.75" customHeight="1">
      <c r="A5309" s="2">
        <v>2016.0</v>
      </c>
      <c r="B5309" s="2" t="s">
        <v>23444</v>
      </c>
      <c r="C5309" s="2" t="s">
        <v>23445</v>
      </c>
      <c r="D5309" s="2" t="str">
        <f>"4236370456"</f>
        <v>4236370456</v>
      </c>
      <c r="E5309" s="2" t="s">
        <v>3191</v>
      </c>
      <c r="F5309" s="2" t="s">
        <v>23446</v>
      </c>
      <c r="G5309" s="2" t="str">
        <f>"SR-7333"</f>
        <v>SR-7333</v>
      </c>
      <c r="H5309" s="2" t="s">
        <v>23447</v>
      </c>
      <c r="I5309" s="2" t="s">
        <v>23448</v>
      </c>
      <c r="K5309" s="2" t="s">
        <v>23449</v>
      </c>
      <c r="L5309" s="2" t="s">
        <v>279</v>
      </c>
      <c r="M5309" s="2">
        <v>37343.0</v>
      </c>
      <c r="N5309" s="2" t="s">
        <v>21</v>
      </c>
    </row>
    <row r="5310" ht="15.75" customHeight="1">
      <c r="A5310" s="2">
        <v>2016.0</v>
      </c>
      <c r="B5310" s="2" t="s">
        <v>23450</v>
      </c>
      <c r="C5310" s="2" t="s">
        <v>23451</v>
      </c>
      <c r="D5310" s="2" t="str">
        <f>"843-276-7662"</f>
        <v>843-276-7662</v>
      </c>
      <c r="E5310" s="2" t="s">
        <v>14576</v>
      </c>
      <c r="F5310" s="2" t="s">
        <v>23452</v>
      </c>
      <c r="G5310" s="2" t="str">
        <f>"SR-7334"</f>
        <v>SR-7334</v>
      </c>
      <c r="H5310" s="2" t="s">
        <v>23453</v>
      </c>
      <c r="I5310" s="2">
        <v>306.0</v>
      </c>
      <c r="J5310" s="2" t="s">
        <v>23454</v>
      </c>
      <c r="K5310" s="2" t="s">
        <v>1257</v>
      </c>
      <c r="L5310" s="2" t="s">
        <v>279</v>
      </c>
      <c r="M5310" s="2">
        <v>38305.0</v>
      </c>
      <c r="N5310" s="2" t="s">
        <v>21</v>
      </c>
    </row>
    <row r="5311" ht="15.75" customHeight="1">
      <c r="A5311" s="2">
        <v>2016.0</v>
      </c>
      <c r="B5311" s="2" t="s">
        <v>23450</v>
      </c>
      <c r="C5311" s="2" t="s">
        <v>23455</v>
      </c>
      <c r="D5311" s="2" t="str">
        <f t="shared" ref="D5311:D5312" si="96">"8432767662"</f>
        <v>8432767662</v>
      </c>
      <c r="E5311" s="2" t="s">
        <v>23456</v>
      </c>
      <c r="F5311" s="2" t="s">
        <v>23452</v>
      </c>
      <c r="G5311" s="2" t="str">
        <f>"SR-7335"</f>
        <v>SR-7335</v>
      </c>
      <c r="H5311" s="2" t="s">
        <v>23457</v>
      </c>
      <c r="I5311" s="2">
        <v>306.0</v>
      </c>
      <c r="J5311" s="2" t="s">
        <v>23454</v>
      </c>
      <c r="K5311" s="2" t="s">
        <v>1257</v>
      </c>
      <c r="L5311" s="2" t="s">
        <v>279</v>
      </c>
      <c r="M5311" s="2">
        <v>38305.0</v>
      </c>
      <c r="N5311" s="2" t="s">
        <v>21</v>
      </c>
    </row>
    <row r="5312" ht="15.75" customHeight="1">
      <c r="A5312" s="2">
        <v>2016.0</v>
      </c>
      <c r="B5312" s="2" t="s">
        <v>23450</v>
      </c>
      <c r="C5312" s="2" t="s">
        <v>23458</v>
      </c>
      <c r="D5312" s="2" t="str">
        <f t="shared" si="96"/>
        <v>8432767662</v>
      </c>
      <c r="E5312" s="2" t="s">
        <v>4555</v>
      </c>
      <c r="F5312" s="2" t="s">
        <v>23452</v>
      </c>
      <c r="G5312" s="2" t="str">
        <f>"SR-7336"</f>
        <v>SR-7336</v>
      </c>
      <c r="H5312" s="2" t="s">
        <v>23459</v>
      </c>
      <c r="I5312" s="2" t="s">
        <v>23460</v>
      </c>
      <c r="K5312" s="2" t="s">
        <v>1257</v>
      </c>
      <c r="L5312" s="2" t="s">
        <v>279</v>
      </c>
      <c r="M5312" s="2">
        <v>38305.0</v>
      </c>
      <c r="N5312" s="2" t="s">
        <v>21</v>
      </c>
    </row>
    <row r="5313" ht="15.75" customHeight="1">
      <c r="A5313" s="2">
        <v>2016.0</v>
      </c>
      <c r="B5313" s="2" t="s">
        <v>23461</v>
      </c>
      <c r="C5313" s="2" t="s">
        <v>23462</v>
      </c>
      <c r="D5313" s="2" t="str">
        <f>"719-260-2344"</f>
        <v>719-260-2344</v>
      </c>
      <c r="E5313" s="2" t="s">
        <v>3305</v>
      </c>
      <c r="F5313" s="2" t="s">
        <v>23463</v>
      </c>
      <c r="G5313" s="2" t="str">
        <f>"SR-7296"</f>
        <v>SR-7296</v>
      </c>
      <c r="H5313" s="2" t="s">
        <v>23464</v>
      </c>
      <c r="I5313" s="2" t="s">
        <v>23465</v>
      </c>
      <c r="K5313" s="2" t="s">
        <v>809</v>
      </c>
      <c r="L5313" s="2" t="s">
        <v>157</v>
      </c>
      <c r="M5313" s="2">
        <v>80920.0</v>
      </c>
      <c r="N5313" s="2" t="s">
        <v>21</v>
      </c>
    </row>
    <row r="5314" ht="15.75" customHeight="1">
      <c r="A5314" s="2">
        <v>2016.0</v>
      </c>
      <c r="B5314" s="2" t="s">
        <v>23466</v>
      </c>
      <c r="C5314" s="2" t="s">
        <v>23466</v>
      </c>
      <c r="D5314" s="2" t="str">
        <f>"+65 9069 3757"</f>
        <v>+65 9069 3757</v>
      </c>
      <c r="E5314" s="2" t="s">
        <v>1946</v>
      </c>
      <c r="F5314" s="2" t="s">
        <v>23467</v>
      </c>
      <c r="G5314" s="2" t="str">
        <f>"SR-7344"</f>
        <v>SR-7344</v>
      </c>
      <c r="H5314" s="2" t="s">
        <v>23468</v>
      </c>
      <c r="I5314" s="2" t="s">
        <v>23469</v>
      </c>
      <c r="J5314" s="3">
        <v>44595.0</v>
      </c>
      <c r="K5314" s="2" t="s">
        <v>8433</v>
      </c>
      <c r="L5314" s="2" t="s">
        <v>157</v>
      </c>
      <c r="M5314" s="2">
        <v>128038.0</v>
      </c>
      <c r="N5314" s="2" t="s">
        <v>21</v>
      </c>
    </row>
    <row r="5315" ht="15.75" customHeight="1">
      <c r="A5315" s="2">
        <v>2016.0</v>
      </c>
      <c r="B5315" s="2" t="s">
        <v>22508</v>
      </c>
      <c r="C5315" s="2" t="s">
        <v>23470</v>
      </c>
      <c r="D5315" s="2" t="str">
        <f>"253-441-9662"</f>
        <v>253-441-9662</v>
      </c>
      <c r="E5315" s="2" t="s">
        <v>1032</v>
      </c>
      <c r="F5315" s="2" t="s">
        <v>22510</v>
      </c>
      <c r="G5315" s="2" t="str">
        <f>"SR-7348"</f>
        <v>SR-7348</v>
      </c>
      <c r="H5315" s="2" t="s">
        <v>23471</v>
      </c>
      <c r="I5315" s="2" t="s">
        <v>22512</v>
      </c>
      <c r="K5315" s="2" t="s">
        <v>22513</v>
      </c>
      <c r="L5315" s="2" t="s">
        <v>86</v>
      </c>
      <c r="M5315" s="2">
        <v>98407.0</v>
      </c>
      <c r="N5315" s="2" t="s">
        <v>21</v>
      </c>
    </row>
    <row r="5316" ht="15.75" customHeight="1">
      <c r="A5316" s="2">
        <v>2016.0</v>
      </c>
      <c r="B5316" s="2" t="s">
        <v>23472</v>
      </c>
      <c r="C5316" s="2" t="s">
        <v>23472</v>
      </c>
      <c r="D5316" s="2" t="str">
        <f>"916-513-1790"</f>
        <v>916-513-1790</v>
      </c>
      <c r="E5316" s="2" t="s">
        <v>6121</v>
      </c>
      <c r="F5316" s="2" t="s">
        <v>20716</v>
      </c>
      <c r="G5316" s="2" t="str">
        <f>"SR-7349"</f>
        <v>SR-7349</v>
      </c>
      <c r="H5316" s="2" t="s">
        <v>20865</v>
      </c>
      <c r="I5316" s="2" t="s">
        <v>20718</v>
      </c>
      <c r="K5316" s="2" t="s">
        <v>5924</v>
      </c>
      <c r="L5316" s="2" t="s">
        <v>222</v>
      </c>
      <c r="M5316" s="2">
        <v>95757.0</v>
      </c>
      <c r="N5316" s="2" t="s">
        <v>21</v>
      </c>
    </row>
    <row r="5317" ht="15.75" customHeight="1">
      <c r="A5317" s="2">
        <v>2016.0</v>
      </c>
      <c r="B5317" s="2" t="s">
        <v>23473</v>
      </c>
      <c r="D5317" s="2" t="str">
        <f>""</f>
        <v/>
      </c>
      <c r="E5317" s="2" t="s">
        <v>2361</v>
      </c>
      <c r="F5317" s="2" t="s">
        <v>23474</v>
      </c>
      <c r="G5317" s="2" t="str">
        <f>"SR-7353"</f>
        <v>SR-7353</v>
      </c>
      <c r="H5317" s="2" t="s">
        <v>23475</v>
      </c>
      <c r="N5317" s="2" t="s">
        <v>21</v>
      </c>
    </row>
    <row r="5318" ht="15.75" customHeight="1">
      <c r="A5318" s="2">
        <v>2016.0</v>
      </c>
      <c r="B5318" s="2" t="s">
        <v>23476</v>
      </c>
      <c r="C5318" s="2" t="s">
        <v>23476</v>
      </c>
      <c r="D5318" s="2" t="str">
        <f>"7572889430"</f>
        <v>7572889430</v>
      </c>
      <c r="E5318" s="2" t="s">
        <v>2401</v>
      </c>
      <c r="F5318" s="2" t="s">
        <v>850</v>
      </c>
      <c r="G5318" s="2" t="str">
        <f>"SR-7340"</f>
        <v>SR-7340</v>
      </c>
      <c r="H5318" s="2" t="s">
        <v>23477</v>
      </c>
      <c r="I5318" s="2" t="s">
        <v>23478</v>
      </c>
      <c r="K5318" s="2" t="s">
        <v>7938</v>
      </c>
      <c r="L5318" s="2" t="s">
        <v>200</v>
      </c>
      <c r="M5318" s="2">
        <v>30102.0</v>
      </c>
      <c r="N5318" s="2" t="s">
        <v>21</v>
      </c>
    </row>
    <row r="5319" ht="15.75" customHeight="1">
      <c r="A5319" s="2">
        <v>2016.0</v>
      </c>
      <c r="B5319" s="2" t="s">
        <v>23479</v>
      </c>
      <c r="C5319" s="2" t="s">
        <v>23479</v>
      </c>
      <c r="D5319" s="2" t="str">
        <f>"757-478-4533"</f>
        <v>757-478-4533</v>
      </c>
      <c r="E5319" s="2" t="s">
        <v>2412</v>
      </c>
      <c r="F5319" s="2" t="s">
        <v>850</v>
      </c>
      <c r="G5319" s="2" t="str">
        <f>"SR-7354"</f>
        <v>SR-7354</v>
      </c>
      <c r="H5319" s="2" t="s">
        <v>23480</v>
      </c>
      <c r="I5319" s="2" t="s">
        <v>23481</v>
      </c>
      <c r="K5319" s="2" t="s">
        <v>7938</v>
      </c>
      <c r="L5319" s="2" t="s">
        <v>200</v>
      </c>
      <c r="M5319" s="2">
        <v>30102.0</v>
      </c>
      <c r="N5319" s="2" t="s">
        <v>21</v>
      </c>
    </row>
    <row r="5320" ht="15.75" customHeight="1">
      <c r="A5320" s="2">
        <v>2016.0</v>
      </c>
      <c r="B5320" s="2" t="s">
        <v>23482</v>
      </c>
      <c r="D5320" s="2" t="str">
        <f>""</f>
        <v/>
      </c>
      <c r="E5320" s="2" t="s">
        <v>915</v>
      </c>
      <c r="F5320" s="2" t="s">
        <v>23483</v>
      </c>
      <c r="G5320" s="2" t="str">
        <f>"SR-7359"</f>
        <v>SR-7359</v>
      </c>
      <c r="H5320" s="2" t="s">
        <v>23484</v>
      </c>
      <c r="N5320" s="2" t="s">
        <v>21</v>
      </c>
    </row>
    <row r="5321" ht="15.75" customHeight="1">
      <c r="A5321" s="2">
        <v>2016.0</v>
      </c>
      <c r="B5321" s="2" t="s">
        <v>23485</v>
      </c>
      <c r="C5321" s="2" t="s">
        <v>23485</v>
      </c>
      <c r="D5321" s="2" t="str">
        <f>"8656406892"</f>
        <v>8656406892</v>
      </c>
      <c r="E5321" s="2" t="s">
        <v>659</v>
      </c>
      <c r="F5321" s="2" t="s">
        <v>23486</v>
      </c>
      <c r="G5321" s="2" t="str">
        <f>"SR-7362"</f>
        <v>SR-7362</v>
      </c>
      <c r="H5321" s="2" t="s">
        <v>23487</v>
      </c>
      <c r="I5321" s="2" t="s">
        <v>23488</v>
      </c>
      <c r="K5321" s="2" t="s">
        <v>5712</v>
      </c>
      <c r="L5321" s="2" t="s">
        <v>279</v>
      </c>
      <c r="M5321" s="2">
        <v>37725.0</v>
      </c>
      <c r="N5321" s="2" t="s">
        <v>21</v>
      </c>
    </row>
    <row r="5322" ht="15.75" customHeight="1">
      <c r="A5322" s="2">
        <v>2016.0</v>
      </c>
      <c r="B5322" s="2" t="s">
        <v>23489</v>
      </c>
      <c r="C5322" s="2" t="s">
        <v>23490</v>
      </c>
      <c r="D5322" s="2" t="str">
        <f>"9182696224"</f>
        <v>9182696224</v>
      </c>
      <c r="E5322" s="2" t="s">
        <v>562</v>
      </c>
      <c r="F5322" s="2" t="s">
        <v>23491</v>
      </c>
      <c r="G5322" s="2" t="str">
        <f>"SR-171"</f>
        <v>SR-171</v>
      </c>
      <c r="H5322" s="2" t="s">
        <v>23492</v>
      </c>
      <c r="I5322" s="2" t="s">
        <v>23493</v>
      </c>
      <c r="K5322" s="2" t="s">
        <v>11595</v>
      </c>
      <c r="L5322" s="2" t="s">
        <v>840</v>
      </c>
      <c r="M5322" s="2">
        <v>74055.0</v>
      </c>
      <c r="N5322" s="2" t="s">
        <v>21</v>
      </c>
    </row>
    <row r="5323" ht="15.75" customHeight="1">
      <c r="A5323" s="2">
        <v>2016.0</v>
      </c>
      <c r="B5323" s="2" t="s">
        <v>14132</v>
      </c>
      <c r="C5323" s="2" t="s">
        <v>14142</v>
      </c>
      <c r="D5323" s="2" t="str">
        <f>"567-249-9688"</f>
        <v>567-249-9688</v>
      </c>
      <c r="E5323" s="2" t="s">
        <v>14143</v>
      </c>
      <c r="F5323" s="2" t="s">
        <v>14135</v>
      </c>
      <c r="G5323" s="2" t="str">
        <f>"SR-4084"</f>
        <v>SR-4084</v>
      </c>
      <c r="H5323" s="2" t="s">
        <v>14144</v>
      </c>
      <c r="I5323" s="2" t="s">
        <v>14137</v>
      </c>
      <c r="K5323" s="2" t="s">
        <v>14138</v>
      </c>
      <c r="L5323" s="2" t="s">
        <v>344</v>
      </c>
      <c r="M5323" s="2">
        <v>43571.0</v>
      </c>
      <c r="N5323" s="2" t="s">
        <v>21</v>
      </c>
    </row>
    <row r="5324" ht="15.75" customHeight="1">
      <c r="A5324" s="2">
        <v>2016.0</v>
      </c>
      <c r="B5324" s="2" t="s">
        <v>14132</v>
      </c>
      <c r="C5324" s="2" t="s">
        <v>14139</v>
      </c>
      <c r="D5324" s="2" t="str">
        <f>"567-249-9689"</f>
        <v>567-249-9689</v>
      </c>
      <c r="E5324" s="2" t="s">
        <v>14140</v>
      </c>
      <c r="F5324" s="2" t="s">
        <v>14135</v>
      </c>
      <c r="G5324" s="2" t="str">
        <f>"SR-4083"</f>
        <v>SR-4083</v>
      </c>
      <c r="H5324" s="2" t="s">
        <v>14141</v>
      </c>
      <c r="I5324" s="2" t="s">
        <v>14137</v>
      </c>
      <c r="K5324" s="2" t="s">
        <v>14138</v>
      </c>
      <c r="L5324" s="2" t="s">
        <v>344</v>
      </c>
      <c r="M5324" s="2">
        <v>43571.0</v>
      </c>
      <c r="N5324" s="2" t="s">
        <v>21</v>
      </c>
    </row>
    <row r="5325" ht="15.75" customHeight="1">
      <c r="A5325" s="2">
        <v>2016.0</v>
      </c>
      <c r="B5325" s="2" t="s">
        <v>23494</v>
      </c>
      <c r="D5325" s="2" t="str">
        <f>""</f>
        <v/>
      </c>
      <c r="E5325" s="2" t="s">
        <v>217</v>
      </c>
      <c r="F5325" s="2" t="s">
        <v>9021</v>
      </c>
      <c r="G5325" s="2" t="str">
        <f>"SR-4885"</f>
        <v>SR-4885</v>
      </c>
      <c r="H5325" s="2" t="s">
        <v>23495</v>
      </c>
      <c r="N5325" s="2" t="s">
        <v>21</v>
      </c>
    </row>
    <row r="5326" ht="15.75" customHeight="1">
      <c r="A5326" s="2">
        <v>2016.0</v>
      </c>
      <c r="B5326" s="2" t="s">
        <v>23496</v>
      </c>
      <c r="C5326" s="2" t="s">
        <v>23496</v>
      </c>
      <c r="D5326" s="2" t="str">
        <f>"715334543"</f>
        <v>715334543</v>
      </c>
      <c r="E5326" s="2" t="s">
        <v>23497</v>
      </c>
      <c r="F5326" s="2" t="s">
        <v>23498</v>
      </c>
      <c r="G5326" s="2" t="str">
        <f>"SR-7324"</f>
        <v>SR-7324</v>
      </c>
      <c r="H5326" s="2" t="s">
        <v>23499</v>
      </c>
      <c r="I5326" s="2" t="s">
        <v>23500</v>
      </c>
      <c r="K5326" s="2" t="s">
        <v>23501</v>
      </c>
      <c r="L5326" s="2" t="s">
        <v>193</v>
      </c>
      <c r="M5326" s="2">
        <v>54025.0</v>
      </c>
      <c r="N5326" s="2" t="s">
        <v>21</v>
      </c>
    </row>
    <row r="5327" ht="15.75" customHeight="1">
      <c r="A5327" s="2">
        <v>2016.0</v>
      </c>
      <c r="B5327" s="2" t="s">
        <v>23502</v>
      </c>
      <c r="D5327" s="2" t="str">
        <f>""</f>
        <v/>
      </c>
      <c r="E5327" s="2" t="s">
        <v>14005</v>
      </c>
      <c r="F5327" s="2" t="s">
        <v>4893</v>
      </c>
      <c r="G5327" s="2" t="str">
        <f>"SR-7234"</f>
        <v>SR-7234</v>
      </c>
      <c r="H5327" s="2" t="s">
        <v>23503</v>
      </c>
      <c r="N5327" s="2" t="s">
        <v>21</v>
      </c>
    </row>
    <row r="5328" ht="15.75" customHeight="1">
      <c r="A5328" s="2">
        <v>2016.0</v>
      </c>
      <c r="B5328" s="2" t="s">
        <v>23504</v>
      </c>
      <c r="C5328" s="2" t="s">
        <v>23504</v>
      </c>
      <c r="D5328" s="2" t="str">
        <f>"4792874797"</f>
        <v>4792874797</v>
      </c>
      <c r="E5328" s="2" t="s">
        <v>6555</v>
      </c>
      <c r="F5328" s="2" t="s">
        <v>4978</v>
      </c>
      <c r="G5328" s="2" t="str">
        <f>"SR-7210"</f>
        <v>SR-7210</v>
      </c>
      <c r="H5328" s="2" t="s">
        <v>23505</v>
      </c>
      <c r="I5328" s="2" t="s">
        <v>23506</v>
      </c>
      <c r="K5328" s="2" t="s">
        <v>3164</v>
      </c>
      <c r="L5328" s="2" t="s">
        <v>1012</v>
      </c>
      <c r="M5328" s="2">
        <v>72701.0</v>
      </c>
      <c r="N5328" s="2" t="s">
        <v>21</v>
      </c>
    </row>
    <row r="5329" ht="15.75" customHeight="1">
      <c r="A5329" s="2">
        <v>2016.0</v>
      </c>
      <c r="B5329" s="2" t="s">
        <v>16490</v>
      </c>
      <c r="C5329" s="2" t="s">
        <v>23507</v>
      </c>
      <c r="D5329" s="2" t="str">
        <f>"(515) 267-1241"</f>
        <v>(515) 267-1241</v>
      </c>
      <c r="E5329" s="2" t="s">
        <v>23508</v>
      </c>
      <c r="F5329" s="2" t="s">
        <v>6095</v>
      </c>
      <c r="G5329" s="2" t="str">
        <f>"SR-7366"</f>
        <v>SR-7366</v>
      </c>
      <c r="H5329" s="2" t="s">
        <v>23509</v>
      </c>
      <c r="I5329" s="2" t="s">
        <v>23510</v>
      </c>
      <c r="K5329" s="2" t="s">
        <v>2066</v>
      </c>
      <c r="L5329" s="2" t="s">
        <v>560</v>
      </c>
      <c r="M5329" s="2">
        <v>50265.0</v>
      </c>
      <c r="N5329" s="2" t="s">
        <v>21</v>
      </c>
    </row>
    <row r="5330" ht="15.75" customHeight="1">
      <c r="A5330" s="2">
        <v>2016.0</v>
      </c>
      <c r="B5330" s="2" t="s">
        <v>16490</v>
      </c>
      <c r="C5330" s="2" t="s">
        <v>16490</v>
      </c>
      <c r="D5330" s="2" t="str">
        <f>"515-782-1415"</f>
        <v>515-782-1415</v>
      </c>
      <c r="E5330" s="2" t="s">
        <v>6244</v>
      </c>
      <c r="F5330" s="2" t="s">
        <v>6095</v>
      </c>
      <c r="G5330" s="2" t="str">
        <f>"SR-4890"</f>
        <v>SR-4890</v>
      </c>
      <c r="H5330" s="2" t="s">
        <v>16491</v>
      </c>
      <c r="I5330" s="2" t="s">
        <v>16492</v>
      </c>
      <c r="K5330" s="2" t="s">
        <v>2066</v>
      </c>
      <c r="L5330" s="2" t="s">
        <v>560</v>
      </c>
      <c r="M5330" s="2">
        <v>50265.0</v>
      </c>
      <c r="N5330" s="2" t="s">
        <v>21</v>
      </c>
    </row>
    <row r="5331" ht="15.75" customHeight="1">
      <c r="A5331" s="2">
        <v>2016.0</v>
      </c>
      <c r="B5331" s="2" t="s">
        <v>2326</v>
      </c>
      <c r="C5331" s="2" t="s">
        <v>23511</v>
      </c>
      <c r="D5331" s="2" t="str">
        <f>"(952)949-1212"</f>
        <v>(952)949-1212</v>
      </c>
      <c r="E5331" s="2" t="s">
        <v>1548</v>
      </c>
      <c r="F5331" s="2" t="s">
        <v>2328</v>
      </c>
      <c r="G5331" s="2" t="str">
        <f>"SR-7346"</f>
        <v>SR-7346</v>
      </c>
      <c r="H5331" s="2" t="s">
        <v>23512</v>
      </c>
      <c r="I5331" s="2" t="s">
        <v>2330</v>
      </c>
      <c r="K5331" s="2" t="s">
        <v>1490</v>
      </c>
      <c r="L5331" s="2" t="s">
        <v>62</v>
      </c>
      <c r="M5331" s="2">
        <v>55347.0</v>
      </c>
      <c r="N5331" s="2" t="s">
        <v>21</v>
      </c>
    </row>
    <row r="5332" ht="15.75" customHeight="1">
      <c r="A5332" s="2">
        <v>2016.0</v>
      </c>
      <c r="B5332" s="2" t="s">
        <v>9911</v>
      </c>
      <c r="C5332" s="2" t="s">
        <v>9912</v>
      </c>
      <c r="D5332" s="2" t="str">
        <f>"712-299-0139"</f>
        <v>712-299-0139</v>
      </c>
      <c r="E5332" s="2" t="s">
        <v>5991</v>
      </c>
      <c r="F5332" s="2" t="s">
        <v>9913</v>
      </c>
      <c r="G5332" s="2" t="str">
        <f>"SR-2924"</f>
        <v>SR-2924</v>
      </c>
      <c r="H5332" s="2" t="s">
        <v>9914</v>
      </c>
      <c r="I5332" s="2" t="s">
        <v>9915</v>
      </c>
      <c r="K5332" s="2" t="s">
        <v>9916</v>
      </c>
      <c r="L5332" s="2" t="s">
        <v>560</v>
      </c>
      <c r="M5332" s="2">
        <v>50510.0</v>
      </c>
      <c r="N5332" s="2" t="s">
        <v>21</v>
      </c>
    </row>
    <row r="5333" ht="15.75" customHeight="1">
      <c r="A5333" s="2">
        <v>2016.0</v>
      </c>
      <c r="B5333" s="2" t="s">
        <v>9911</v>
      </c>
      <c r="C5333" s="2" t="s">
        <v>9923</v>
      </c>
      <c r="D5333" s="2" t="str">
        <f>"712-291-0470"</f>
        <v>712-291-0470</v>
      </c>
      <c r="E5333" s="2" t="s">
        <v>9924</v>
      </c>
      <c r="F5333" s="2" t="s">
        <v>9913</v>
      </c>
      <c r="G5333" s="2" t="str">
        <f>"SR-2928"</f>
        <v>SR-2928</v>
      </c>
      <c r="H5333" s="2" t="s">
        <v>9925</v>
      </c>
      <c r="I5333" s="2" t="s">
        <v>9915</v>
      </c>
      <c r="K5333" s="2" t="s">
        <v>9916</v>
      </c>
      <c r="L5333" s="2" t="s">
        <v>560</v>
      </c>
      <c r="M5333" s="2">
        <v>50510.0</v>
      </c>
      <c r="N5333" s="2" t="s">
        <v>21</v>
      </c>
    </row>
    <row r="5334" ht="15.75" customHeight="1">
      <c r="A5334" s="2">
        <v>2016.0</v>
      </c>
      <c r="B5334" s="2" t="s">
        <v>23513</v>
      </c>
      <c r="C5334" s="2" t="s">
        <v>23513</v>
      </c>
      <c r="D5334" s="2" t="str">
        <f>"8067891022"</f>
        <v>8067891022</v>
      </c>
      <c r="E5334" s="2" t="s">
        <v>584</v>
      </c>
      <c r="F5334" s="2" t="s">
        <v>8868</v>
      </c>
      <c r="G5334" s="2" t="str">
        <f>"SR-7369"</f>
        <v>SR-7369</v>
      </c>
      <c r="H5334" s="2" t="s">
        <v>23514</v>
      </c>
      <c r="I5334" s="2" t="s">
        <v>23515</v>
      </c>
      <c r="K5334" s="2" t="s">
        <v>1121</v>
      </c>
      <c r="L5334" s="2" t="s">
        <v>172</v>
      </c>
      <c r="M5334" s="2">
        <v>79407.0</v>
      </c>
      <c r="N5334" s="2" t="s">
        <v>21</v>
      </c>
    </row>
    <row r="5335" ht="15.75" customHeight="1">
      <c r="A5335" s="2">
        <v>2016.0</v>
      </c>
      <c r="B5335" s="2" t="s">
        <v>23516</v>
      </c>
      <c r="C5335" s="2" t="s">
        <v>23516</v>
      </c>
      <c r="D5335" s="2" t="str">
        <f>"7207576769"</f>
        <v>7207576769</v>
      </c>
      <c r="E5335" s="2" t="s">
        <v>9470</v>
      </c>
      <c r="F5335" s="2" t="s">
        <v>8618</v>
      </c>
      <c r="G5335" s="2" t="str">
        <f>"SR-7339"</f>
        <v>SR-7339</v>
      </c>
      <c r="H5335" s="2" t="s">
        <v>23517</v>
      </c>
      <c r="I5335" s="2">
        <v>2550.0</v>
      </c>
      <c r="K5335" s="2" t="s">
        <v>1520</v>
      </c>
      <c r="L5335" s="2" t="s">
        <v>157</v>
      </c>
      <c r="M5335" s="2">
        <v>80013.0</v>
      </c>
      <c r="N5335" s="2" t="s">
        <v>21</v>
      </c>
    </row>
    <row r="5336" ht="15.75" customHeight="1">
      <c r="A5336" s="2">
        <v>2016.0</v>
      </c>
      <c r="B5336" s="2" t="s">
        <v>23518</v>
      </c>
      <c r="C5336" s="2" t="s">
        <v>23519</v>
      </c>
      <c r="D5336" s="2" t="str">
        <f>"3035497898"</f>
        <v>3035497898</v>
      </c>
      <c r="E5336" s="2" t="s">
        <v>1614</v>
      </c>
      <c r="F5336" s="2" t="s">
        <v>23520</v>
      </c>
      <c r="G5336" s="2" t="str">
        <f>"SR-7375"</f>
        <v>SR-7375</v>
      </c>
      <c r="H5336" s="2" t="s">
        <v>23521</v>
      </c>
      <c r="I5336" s="2" t="s">
        <v>23522</v>
      </c>
      <c r="K5336" s="2" t="s">
        <v>1520</v>
      </c>
      <c r="L5336" s="2" t="s">
        <v>157</v>
      </c>
      <c r="M5336" s="2">
        <v>80018.0</v>
      </c>
      <c r="N5336" s="2" t="s">
        <v>21</v>
      </c>
    </row>
    <row r="5337" ht="15.75" customHeight="1">
      <c r="A5337" s="2">
        <v>2016.0</v>
      </c>
      <c r="B5337" s="2" t="s">
        <v>23523</v>
      </c>
      <c r="C5337" s="2" t="s">
        <v>23524</v>
      </c>
      <c r="D5337" s="2" t="str">
        <f>"7692040776"</f>
        <v>7692040776</v>
      </c>
      <c r="E5337" s="2" t="s">
        <v>385</v>
      </c>
      <c r="F5337" s="2" t="s">
        <v>12961</v>
      </c>
      <c r="G5337" s="2" t="str">
        <f>"SR-6499"</f>
        <v>SR-6499</v>
      </c>
      <c r="H5337" s="2" t="s">
        <v>23525</v>
      </c>
      <c r="I5337" s="2" t="s">
        <v>23526</v>
      </c>
      <c r="K5337" s="2" t="s">
        <v>23527</v>
      </c>
      <c r="L5337" s="2" t="s">
        <v>1722</v>
      </c>
      <c r="M5337" s="2">
        <v>39648.0</v>
      </c>
      <c r="N5337" s="2" t="s">
        <v>21</v>
      </c>
    </row>
    <row r="5338" ht="15.75" customHeight="1">
      <c r="A5338" s="2">
        <v>2016.0</v>
      </c>
      <c r="B5338" s="2" t="s">
        <v>23528</v>
      </c>
      <c r="C5338" s="2" t="s">
        <v>23528</v>
      </c>
      <c r="D5338" s="2" t="str">
        <f>"7692040774"</f>
        <v>7692040774</v>
      </c>
      <c r="E5338" s="2" t="s">
        <v>1782</v>
      </c>
      <c r="F5338" s="2" t="s">
        <v>12961</v>
      </c>
      <c r="G5338" s="2" t="str">
        <f>"SR-7377"</f>
        <v>SR-7377</v>
      </c>
      <c r="H5338" s="2" t="s">
        <v>23529</v>
      </c>
      <c r="I5338" s="2" t="s">
        <v>23530</v>
      </c>
      <c r="K5338" s="2" t="s">
        <v>23531</v>
      </c>
      <c r="L5338" s="2" t="s">
        <v>1722</v>
      </c>
      <c r="M5338" s="2">
        <v>39648.0</v>
      </c>
      <c r="N5338" s="2" t="s">
        <v>21</v>
      </c>
    </row>
    <row r="5339" ht="15.75" customHeight="1">
      <c r="A5339" s="2">
        <v>2016.0</v>
      </c>
      <c r="B5339" s="2" t="s">
        <v>23532</v>
      </c>
      <c r="C5339" s="2" t="s">
        <v>23533</v>
      </c>
      <c r="D5339" s="2" t="str">
        <f>"6012484743"</f>
        <v>6012484743</v>
      </c>
      <c r="E5339" s="2" t="s">
        <v>1713</v>
      </c>
      <c r="F5339" s="2" t="s">
        <v>12961</v>
      </c>
      <c r="G5339" s="2" t="str">
        <f>"SR-7374"</f>
        <v>SR-7374</v>
      </c>
      <c r="H5339" s="2" t="s">
        <v>23534</v>
      </c>
      <c r="I5339" s="2" t="s">
        <v>23535</v>
      </c>
      <c r="K5339" s="2" t="s">
        <v>23527</v>
      </c>
      <c r="L5339" s="2" t="s">
        <v>1722</v>
      </c>
      <c r="M5339" s="2">
        <v>39648.0</v>
      </c>
      <c r="N5339" s="2" t="s">
        <v>21</v>
      </c>
    </row>
    <row r="5340" ht="15.75" customHeight="1">
      <c r="A5340" s="2">
        <v>2016.0</v>
      </c>
      <c r="B5340" s="2" t="s">
        <v>23536</v>
      </c>
      <c r="C5340" s="2" t="s">
        <v>23537</v>
      </c>
      <c r="D5340" s="2" t="str">
        <f>"626-890-8408"</f>
        <v>626-890-8408</v>
      </c>
      <c r="E5340" s="2" t="s">
        <v>1324</v>
      </c>
      <c r="F5340" s="2" t="s">
        <v>23538</v>
      </c>
      <c r="G5340" s="2" t="str">
        <f>"SR-7306"</f>
        <v>SR-7306</v>
      </c>
      <c r="H5340" s="2" t="s">
        <v>23539</v>
      </c>
      <c r="I5340" s="2" t="s">
        <v>23540</v>
      </c>
      <c r="K5340" s="2" t="s">
        <v>7320</v>
      </c>
      <c r="L5340" s="2" t="s">
        <v>222</v>
      </c>
      <c r="M5340" s="2">
        <v>91740.0</v>
      </c>
      <c r="N5340" s="2" t="s">
        <v>21</v>
      </c>
    </row>
    <row r="5341" ht="15.75" customHeight="1">
      <c r="A5341" s="2">
        <v>2016.0</v>
      </c>
      <c r="B5341" s="2" t="s">
        <v>23541</v>
      </c>
      <c r="C5341" s="2" t="s">
        <v>23542</v>
      </c>
      <c r="D5341" s="2" t="str">
        <f>"719-235-0788"</f>
        <v>719-235-0788</v>
      </c>
      <c r="E5341" s="2" t="s">
        <v>23543</v>
      </c>
      <c r="F5341" s="2" t="s">
        <v>23544</v>
      </c>
      <c r="G5341" s="2" t="str">
        <f>"SR-2703"</f>
        <v>SR-2703</v>
      </c>
      <c r="H5341" s="2" t="s">
        <v>23545</v>
      </c>
      <c r="I5341" s="2" t="s">
        <v>23546</v>
      </c>
      <c r="K5341" s="2" t="s">
        <v>23547</v>
      </c>
      <c r="L5341" s="2" t="s">
        <v>157</v>
      </c>
      <c r="M5341" s="2">
        <v>80908.0</v>
      </c>
      <c r="N5341" s="2" t="s">
        <v>21</v>
      </c>
    </row>
    <row r="5342" ht="15.75" customHeight="1">
      <c r="A5342" s="2">
        <v>2016.0</v>
      </c>
      <c r="B5342" s="2" t="s">
        <v>23548</v>
      </c>
      <c r="C5342" s="2" t="s">
        <v>23548</v>
      </c>
      <c r="D5342" s="2" t="str">
        <f>"641-750-7824"</f>
        <v>641-750-7824</v>
      </c>
      <c r="E5342" s="2" t="s">
        <v>6294</v>
      </c>
      <c r="F5342" s="2" t="s">
        <v>1325</v>
      </c>
      <c r="G5342" s="2" t="str">
        <f>"SR-7386"</f>
        <v>SR-7386</v>
      </c>
      <c r="H5342" s="2" t="s">
        <v>23549</v>
      </c>
      <c r="I5342" s="2" t="s">
        <v>23550</v>
      </c>
      <c r="K5342" s="2" t="s">
        <v>1328</v>
      </c>
      <c r="L5342" s="2" t="s">
        <v>560</v>
      </c>
      <c r="M5342" s="2">
        <v>50449.0</v>
      </c>
      <c r="N5342" s="2" t="s">
        <v>21</v>
      </c>
    </row>
    <row r="5343" ht="15.75" customHeight="1">
      <c r="A5343" s="2">
        <v>2016.0</v>
      </c>
      <c r="B5343" s="2" t="s">
        <v>23551</v>
      </c>
      <c r="C5343" s="2" t="s">
        <v>23552</v>
      </c>
      <c r="D5343" s="2" t="str">
        <f>"303.805.0196"</f>
        <v>303.805.0196</v>
      </c>
      <c r="E5343" s="2" t="s">
        <v>428</v>
      </c>
      <c r="F5343" s="2" t="s">
        <v>23553</v>
      </c>
      <c r="G5343" s="2" t="str">
        <f>"SR-7387"</f>
        <v>SR-7387</v>
      </c>
      <c r="H5343" s="2" t="s">
        <v>23554</v>
      </c>
      <c r="I5343" s="2" t="s">
        <v>23555</v>
      </c>
      <c r="K5343" s="2" t="s">
        <v>6514</v>
      </c>
      <c r="L5343" s="2" t="s">
        <v>157</v>
      </c>
      <c r="M5343" s="2">
        <v>80228.0</v>
      </c>
      <c r="N5343" s="2" t="s">
        <v>21</v>
      </c>
    </row>
    <row r="5344" ht="15.75" customHeight="1">
      <c r="A5344" s="2">
        <v>2016.0</v>
      </c>
      <c r="B5344" s="2" t="s">
        <v>23556</v>
      </c>
      <c r="C5344" s="2" t="s">
        <v>23556</v>
      </c>
      <c r="D5344" s="2" t="str">
        <f>"(864) 230-0886"</f>
        <v>(864) 230-0886</v>
      </c>
      <c r="E5344" s="2" t="s">
        <v>908</v>
      </c>
      <c r="F5344" s="2" t="s">
        <v>2053</v>
      </c>
      <c r="G5344" s="2" t="str">
        <f>"SR-7388"</f>
        <v>SR-7388</v>
      </c>
      <c r="H5344" s="2" t="s">
        <v>23557</v>
      </c>
      <c r="I5344" s="2" t="s">
        <v>23558</v>
      </c>
      <c r="K5344" s="2" t="s">
        <v>3385</v>
      </c>
      <c r="L5344" s="2" t="s">
        <v>55</v>
      </c>
      <c r="M5344" s="2">
        <v>29650.0</v>
      </c>
      <c r="N5344" s="2" t="s">
        <v>21</v>
      </c>
    </row>
    <row r="5345" ht="15.75" customHeight="1">
      <c r="A5345" s="2">
        <v>2016.0</v>
      </c>
      <c r="B5345" s="2" t="s">
        <v>23559</v>
      </c>
      <c r="C5345" s="2" t="s">
        <v>23559</v>
      </c>
      <c r="D5345" s="2" t="str">
        <f>"8593846744"</f>
        <v>8593846744</v>
      </c>
      <c r="E5345" s="2" t="s">
        <v>6121</v>
      </c>
      <c r="F5345" s="2" t="s">
        <v>2598</v>
      </c>
      <c r="G5345" s="2" t="str">
        <f>"SR-7389"</f>
        <v>SR-7389</v>
      </c>
      <c r="H5345" s="2" t="s">
        <v>23560</v>
      </c>
      <c r="I5345" s="2" t="s">
        <v>23561</v>
      </c>
      <c r="K5345" s="2" t="s">
        <v>14667</v>
      </c>
      <c r="L5345" s="2" t="s">
        <v>1236</v>
      </c>
      <c r="M5345" s="2">
        <v>41091.0</v>
      </c>
      <c r="N5345" s="2" t="s">
        <v>21</v>
      </c>
    </row>
    <row r="5346" ht="15.75" customHeight="1">
      <c r="A5346" s="2">
        <v>2016.0</v>
      </c>
      <c r="B5346" s="2" t="s">
        <v>23562</v>
      </c>
      <c r="C5346" s="2" t="s">
        <v>23563</v>
      </c>
      <c r="D5346" s="2" t="str">
        <f>"970 214 7274"</f>
        <v>970 214 7274</v>
      </c>
      <c r="E5346" s="2" t="s">
        <v>23564</v>
      </c>
      <c r="F5346" s="2" t="s">
        <v>275</v>
      </c>
      <c r="G5346" s="2" t="str">
        <f>"SR-7365"</f>
        <v>SR-7365</v>
      </c>
      <c r="H5346" s="2" t="s">
        <v>23565</v>
      </c>
      <c r="I5346" s="2" t="s">
        <v>23566</v>
      </c>
      <c r="K5346" s="2" t="s">
        <v>1048</v>
      </c>
      <c r="L5346" s="2" t="s">
        <v>157</v>
      </c>
      <c r="M5346" s="2">
        <v>80537.0</v>
      </c>
      <c r="N5346" s="2" t="s">
        <v>21</v>
      </c>
    </row>
    <row r="5347" ht="15.75" customHeight="1">
      <c r="A5347" s="2">
        <v>2016.0</v>
      </c>
      <c r="B5347" s="2" t="s">
        <v>23567</v>
      </c>
      <c r="C5347" s="2" t="s">
        <v>23567</v>
      </c>
      <c r="D5347" s="2" t="str">
        <f>"8596096714"</f>
        <v>8596096714</v>
      </c>
      <c r="E5347" s="2" t="s">
        <v>6966</v>
      </c>
      <c r="F5347" s="2" t="s">
        <v>1170</v>
      </c>
      <c r="G5347" s="2" t="str">
        <f>"SR-7390"</f>
        <v>SR-7390</v>
      </c>
      <c r="H5347" s="2" t="s">
        <v>23568</v>
      </c>
      <c r="I5347" s="2" t="s">
        <v>16232</v>
      </c>
      <c r="K5347" s="2" t="s">
        <v>14667</v>
      </c>
      <c r="L5347" s="2" t="s">
        <v>1236</v>
      </c>
      <c r="M5347" s="2">
        <v>41091.0</v>
      </c>
      <c r="N5347" s="2" t="s">
        <v>21</v>
      </c>
    </row>
    <row r="5348" ht="15.75" customHeight="1">
      <c r="A5348" s="2">
        <v>2016.0</v>
      </c>
      <c r="B5348" s="2" t="s">
        <v>23569</v>
      </c>
      <c r="C5348" s="2" t="s">
        <v>23570</v>
      </c>
      <c r="D5348" s="2" t="str">
        <f>"859-640-6213"</f>
        <v>859-640-6213</v>
      </c>
      <c r="E5348" s="2" t="s">
        <v>23571</v>
      </c>
      <c r="F5348" s="2" t="s">
        <v>14664</v>
      </c>
      <c r="G5348" s="2" t="str">
        <f>"SR-7383"</f>
        <v>SR-7383</v>
      </c>
      <c r="H5348" s="2" t="s">
        <v>23572</v>
      </c>
      <c r="I5348" s="2" t="s">
        <v>23573</v>
      </c>
      <c r="K5348" s="2" t="s">
        <v>14667</v>
      </c>
      <c r="L5348" s="2" t="s">
        <v>1236</v>
      </c>
      <c r="M5348" s="2">
        <v>41091.0</v>
      </c>
      <c r="N5348" s="2" t="s">
        <v>21</v>
      </c>
    </row>
    <row r="5349" ht="15.75" customHeight="1">
      <c r="A5349" s="2">
        <v>2016.0</v>
      </c>
      <c r="B5349" s="2" t="s">
        <v>23574</v>
      </c>
      <c r="C5349" s="2" t="s">
        <v>23575</v>
      </c>
      <c r="D5349" s="2" t="str">
        <f t="shared" ref="D5349:D5350" si="97">"3038574972"</f>
        <v>3038574972</v>
      </c>
      <c r="E5349" s="2" t="s">
        <v>23576</v>
      </c>
      <c r="F5349" s="2" t="s">
        <v>23577</v>
      </c>
      <c r="G5349" s="2" t="str">
        <f>"SR-7243"</f>
        <v>SR-7243</v>
      </c>
      <c r="H5349" s="2" t="s">
        <v>23578</v>
      </c>
      <c r="I5349" s="2" t="s">
        <v>23579</v>
      </c>
      <c r="K5349" s="2" t="s">
        <v>23580</v>
      </c>
      <c r="L5349" s="2" t="s">
        <v>157</v>
      </c>
      <c r="M5349" s="2">
        <v>80621.0</v>
      </c>
      <c r="N5349" s="2" t="s">
        <v>21</v>
      </c>
    </row>
    <row r="5350" ht="15.75" customHeight="1">
      <c r="A5350" s="2">
        <v>2016.0</v>
      </c>
      <c r="B5350" s="2" t="s">
        <v>23574</v>
      </c>
      <c r="C5350" s="2" t="s">
        <v>23581</v>
      </c>
      <c r="D5350" s="2" t="str">
        <f t="shared" si="97"/>
        <v>3038574972</v>
      </c>
      <c r="E5350" s="2" t="s">
        <v>6007</v>
      </c>
      <c r="F5350" s="2" t="s">
        <v>23577</v>
      </c>
      <c r="G5350" s="2" t="str">
        <f>"SR-7244"</f>
        <v>SR-7244</v>
      </c>
      <c r="H5350" s="2" t="s">
        <v>23582</v>
      </c>
      <c r="I5350" s="2" t="s">
        <v>23579</v>
      </c>
      <c r="K5350" s="2" t="s">
        <v>23580</v>
      </c>
      <c r="L5350" s="2" t="s">
        <v>157</v>
      </c>
      <c r="M5350" s="2">
        <v>80621.0</v>
      </c>
      <c r="N5350" s="2" t="s">
        <v>21</v>
      </c>
    </row>
    <row r="5351" ht="15.75" customHeight="1">
      <c r="A5351" s="2">
        <v>2016.0</v>
      </c>
      <c r="B5351" s="2" t="s">
        <v>23583</v>
      </c>
      <c r="C5351" s="2" t="s">
        <v>23583</v>
      </c>
      <c r="D5351" s="2" t="str">
        <f>"423-509-9626"</f>
        <v>423-509-9626</v>
      </c>
      <c r="E5351" s="2" t="s">
        <v>23584</v>
      </c>
      <c r="F5351" s="2" t="s">
        <v>23585</v>
      </c>
      <c r="G5351" s="2" t="str">
        <f>"SR-7397"</f>
        <v>SR-7397</v>
      </c>
      <c r="H5351" s="2" t="s">
        <v>23586</v>
      </c>
      <c r="I5351" s="2" t="s">
        <v>23587</v>
      </c>
      <c r="K5351" s="2" t="s">
        <v>4482</v>
      </c>
      <c r="L5351" s="2" t="s">
        <v>279</v>
      </c>
      <c r="M5351" s="2">
        <v>37336.0</v>
      </c>
      <c r="N5351" s="2" t="s">
        <v>21</v>
      </c>
    </row>
    <row r="5352" ht="15.75" customHeight="1">
      <c r="A5352" s="2">
        <v>2016.0</v>
      </c>
      <c r="B5352" s="2" t="s">
        <v>23588</v>
      </c>
      <c r="C5352" s="2" t="s">
        <v>23589</v>
      </c>
      <c r="D5352" s="2" t="str">
        <f>"011232-77858461"</f>
        <v>011232-77858461</v>
      </c>
      <c r="E5352" s="2" t="s">
        <v>23590</v>
      </c>
      <c r="F5352" s="2" t="s">
        <v>23591</v>
      </c>
      <c r="G5352" s="2" t="str">
        <f>"SR-7398"</f>
        <v>SR-7398</v>
      </c>
      <c r="H5352" s="2" t="s">
        <v>23592</v>
      </c>
      <c r="I5352" s="2" t="s">
        <v>23593</v>
      </c>
      <c r="J5352" s="2" t="s">
        <v>23594</v>
      </c>
      <c r="K5352" s="2" t="s">
        <v>23595</v>
      </c>
      <c r="L5352" s="2" t="s">
        <v>23596</v>
      </c>
      <c r="M5352" s="2" t="s">
        <v>23597</v>
      </c>
      <c r="N5352" s="2" t="s">
        <v>23596</v>
      </c>
    </row>
    <row r="5353" ht="15.75" customHeight="1">
      <c r="A5353" s="2">
        <v>2016.0</v>
      </c>
      <c r="B5353" s="2" t="s">
        <v>23598</v>
      </c>
      <c r="C5353" s="2" t="s">
        <v>23598</v>
      </c>
      <c r="D5353" s="2" t="str">
        <f>"402-707-0434"</f>
        <v>402-707-0434</v>
      </c>
      <c r="E5353" s="2" t="s">
        <v>862</v>
      </c>
      <c r="F5353" s="2" t="s">
        <v>5962</v>
      </c>
      <c r="G5353" s="2" t="str">
        <f>"SR-7399"</f>
        <v>SR-7399</v>
      </c>
      <c r="H5353" s="2" t="s">
        <v>23599</v>
      </c>
      <c r="I5353" s="2" t="s">
        <v>23600</v>
      </c>
      <c r="K5353" s="2" t="s">
        <v>3438</v>
      </c>
      <c r="L5353" s="2" t="s">
        <v>757</v>
      </c>
      <c r="M5353" s="2">
        <v>68046.0</v>
      </c>
      <c r="N5353" s="2" t="s">
        <v>21</v>
      </c>
    </row>
    <row r="5354" ht="15.75" customHeight="1">
      <c r="A5354" s="2">
        <v>2016.0</v>
      </c>
      <c r="B5354" s="2" t="s">
        <v>23601</v>
      </c>
      <c r="C5354" s="2" t="s">
        <v>23602</v>
      </c>
      <c r="D5354" s="2" t="str">
        <f>"407-595-8845"</f>
        <v>407-595-8845</v>
      </c>
      <c r="E5354" s="2" t="s">
        <v>2681</v>
      </c>
      <c r="F5354" s="2" t="s">
        <v>23603</v>
      </c>
      <c r="G5354" s="2" t="str">
        <f>"SR-7328"</f>
        <v>SR-7328</v>
      </c>
      <c r="H5354" s="2" t="s">
        <v>23604</v>
      </c>
      <c r="I5354" s="2" t="s">
        <v>23605</v>
      </c>
      <c r="K5354" s="2" t="s">
        <v>4724</v>
      </c>
      <c r="L5354" s="2" t="s">
        <v>208</v>
      </c>
      <c r="M5354" s="2">
        <v>32804.0</v>
      </c>
      <c r="N5354" s="2" t="s">
        <v>21</v>
      </c>
    </row>
    <row r="5355" ht="15.75" customHeight="1">
      <c r="A5355" s="2">
        <v>2016.0</v>
      </c>
      <c r="B5355" s="2" t="s">
        <v>23606</v>
      </c>
      <c r="C5355" s="2" t="s">
        <v>23607</v>
      </c>
      <c r="D5355" s="2" t="str">
        <f>"9315932983"</f>
        <v>9315932983</v>
      </c>
      <c r="E5355" s="2" t="s">
        <v>8316</v>
      </c>
      <c r="F5355" s="2" t="s">
        <v>585</v>
      </c>
      <c r="G5355" s="2" t="str">
        <f>"SR-7232"</f>
        <v>SR-7232</v>
      </c>
      <c r="H5355" s="2" t="s">
        <v>23608</v>
      </c>
      <c r="I5355" s="2" t="s">
        <v>23609</v>
      </c>
      <c r="K5355" s="2" t="s">
        <v>23610</v>
      </c>
      <c r="L5355" s="2" t="s">
        <v>279</v>
      </c>
      <c r="M5355" s="2">
        <v>37097.0</v>
      </c>
      <c r="N5355" s="2" t="s">
        <v>21</v>
      </c>
    </row>
    <row r="5356" ht="15.75" customHeight="1">
      <c r="A5356" s="2">
        <v>2016.0</v>
      </c>
      <c r="B5356" s="2" t="s">
        <v>23606</v>
      </c>
      <c r="C5356" s="2" t="s">
        <v>23611</v>
      </c>
      <c r="D5356" s="2" t="str">
        <f>"931-209-4825"</f>
        <v>931-209-4825</v>
      </c>
      <c r="E5356" s="2" t="s">
        <v>1529</v>
      </c>
      <c r="F5356" s="2" t="s">
        <v>585</v>
      </c>
      <c r="G5356" s="2" t="str">
        <f>"SR-7237"</f>
        <v>SR-7237</v>
      </c>
      <c r="H5356" s="2" t="s">
        <v>23612</v>
      </c>
      <c r="I5356" s="2" t="s">
        <v>23613</v>
      </c>
      <c r="K5356" s="2" t="s">
        <v>23610</v>
      </c>
      <c r="L5356" s="2" t="s">
        <v>279</v>
      </c>
      <c r="M5356" s="2">
        <v>37097.0</v>
      </c>
      <c r="N5356" s="2" t="s">
        <v>21</v>
      </c>
    </row>
    <row r="5357" ht="15.75" customHeight="1">
      <c r="A5357" s="2">
        <v>2016.0</v>
      </c>
      <c r="B5357" s="2" t="s">
        <v>18714</v>
      </c>
      <c r="C5357" s="2" t="s">
        <v>18714</v>
      </c>
      <c r="D5357" s="2" t="str">
        <f>"707-451-9776"</f>
        <v>707-451-9776</v>
      </c>
      <c r="E5357" s="2" t="s">
        <v>18715</v>
      </c>
      <c r="F5357" s="2" t="s">
        <v>4743</v>
      </c>
      <c r="G5357" s="2" t="str">
        <f>"SR-5772"</f>
        <v>SR-5772</v>
      </c>
      <c r="H5357" s="2" t="s">
        <v>18716</v>
      </c>
      <c r="I5357" s="2">
        <v>5932.0</v>
      </c>
      <c r="J5357" s="2" t="s">
        <v>18717</v>
      </c>
      <c r="K5357" s="2" t="s">
        <v>4330</v>
      </c>
      <c r="L5357" s="2" t="s">
        <v>222</v>
      </c>
      <c r="M5357" s="2">
        <v>95.0</v>
      </c>
      <c r="N5357" s="2" t="s">
        <v>21</v>
      </c>
    </row>
    <row r="5358" ht="15.75" customHeight="1">
      <c r="A5358" s="2">
        <v>2016.0</v>
      </c>
      <c r="B5358" s="2" t="s">
        <v>23614</v>
      </c>
      <c r="C5358" s="2" t="s">
        <v>23615</v>
      </c>
      <c r="D5358" s="2" t="str">
        <f>"4792828456"</f>
        <v>4792828456</v>
      </c>
      <c r="E5358" s="2" t="s">
        <v>453</v>
      </c>
      <c r="F5358" s="2" t="s">
        <v>6078</v>
      </c>
      <c r="G5358" s="2" t="str">
        <f>"SR-7401"</f>
        <v>SR-7401</v>
      </c>
      <c r="H5358" s="2" t="s">
        <v>23616</v>
      </c>
      <c r="I5358" s="2" t="s">
        <v>23617</v>
      </c>
      <c r="K5358" s="2" t="s">
        <v>14516</v>
      </c>
      <c r="L5358" s="2" t="s">
        <v>1012</v>
      </c>
      <c r="M5358" s="2">
        <v>72712.0</v>
      </c>
      <c r="N5358" s="2" t="s">
        <v>21</v>
      </c>
    </row>
    <row r="5359" ht="15.75" customHeight="1">
      <c r="A5359" s="2">
        <v>2016.0</v>
      </c>
      <c r="B5359" s="2" t="s">
        <v>23618</v>
      </c>
      <c r="C5359" s="2" t="s">
        <v>23618</v>
      </c>
      <c r="D5359" s="2" t="str">
        <f>"925-238-6793"</f>
        <v>925-238-6793</v>
      </c>
      <c r="E5359" s="2" t="s">
        <v>6244</v>
      </c>
      <c r="F5359" s="2" t="s">
        <v>20318</v>
      </c>
      <c r="G5359" s="2" t="str">
        <f>"SR-7403"</f>
        <v>SR-7403</v>
      </c>
      <c r="H5359" s="2" t="s">
        <v>23619</v>
      </c>
      <c r="I5359" s="2" t="s">
        <v>23620</v>
      </c>
      <c r="K5359" s="2" t="s">
        <v>20321</v>
      </c>
      <c r="L5359" s="2" t="s">
        <v>222</v>
      </c>
      <c r="M5359" s="2">
        <v>94565.0</v>
      </c>
      <c r="N5359" s="2" t="s">
        <v>21</v>
      </c>
    </row>
    <row r="5360" ht="15.75" customHeight="1">
      <c r="A5360" s="2">
        <v>2016.0</v>
      </c>
      <c r="B5360" s="2" t="s">
        <v>20316</v>
      </c>
      <c r="C5360" s="2" t="s">
        <v>20317</v>
      </c>
      <c r="D5360" s="2" t="str">
        <f>"925-301-0887"</f>
        <v>925-301-0887</v>
      </c>
      <c r="E5360" s="2" t="s">
        <v>326</v>
      </c>
      <c r="F5360" s="2" t="s">
        <v>20318</v>
      </c>
      <c r="G5360" s="2" t="str">
        <f>"SR-5774"</f>
        <v>SR-5774</v>
      </c>
      <c r="H5360" s="2" t="s">
        <v>20319</v>
      </c>
      <c r="I5360" s="2" t="s">
        <v>20320</v>
      </c>
      <c r="K5360" s="2" t="s">
        <v>20321</v>
      </c>
      <c r="L5360" s="2" t="s">
        <v>222</v>
      </c>
      <c r="M5360" s="2">
        <v>94565.0</v>
      </c>
      <c r="N5360" s="2" t="s">
        <v>21</v>
      </c>
    </row>
    <row r="5361" ht="15.75" customHeight="1">
      <c r="A5361" s="2">
        <v>2016.0</v>
      </c>
      <c r="B5361" s="2" t="s">
        <v>23621</v>
      </c>
      <c r="C5361" s="2" t="s">
        <v>23621</v>
      </c>
      <c r="D5361" s="2" t="str">
        <f>"4193084401"</f>
        <v>4193084401</v>
      </c>
      <c r="E5361" s="2" t="s">
        <v>503</v>
      </c>
      <c r="F5361" s="2" t="s">
        <v>23622</v>
      </c>
      <c r="G5361" s="2" t="str">
        <f>"SR-7402"</f>
        <v>SR-7402</v>
      </c>
      <c r="H5361" s="2" t="s">
        <v>23623</v>
      </c>
      <c r="I5361" s="2" t="s">
        <v>23624</v>
      </c>
      <c r="K5361" s="2" t="s">
        <v>23625</v>
      </c>
      <c r="L5361" s="2" t="s">
        <v>344</v>
      </c>
      <c r="M5361" s="2">
        <v>43537.0</v>
      </c>
      <c r="N5361" s="2" t="s">
        <v>21</v>
      </c>
    </row>
    <row r="5362" ht="15.75" customHeight="1">
      <c r="A5362" s="2">
        <v>2016.0</v>
      </c>
      <c r="B5362" s="2" t="s">
        <v>23626</v>
      </c>
      <c r="C5362" s="2" t="s">
        <v>23626</v>
      </c>
      <c r="D5362" s="2" t="str">
        <f>"3803711576"</f>
        <v>3803711576</v>
      </c>
      <c r="E5362" s="2" t="s">
        <v>23627</v>
      </c>
      <c r="F5362" s="2" t="s">
        <v>23628</v>
      </c>
      <c r="G5362" s="2" t="str">
        <f>"SR-7370"</f>
        <v>SR-7370</v>
      </c>
      <c r="H5362" s="2" t="s">
        <v>23629</v>
      </c>
      <c r="I5362" s="2" t="s">
        <v>23630</v>
      </c>
      <c r="K5362" s="2" t="s">
        <v>23631</v>
      </c>
      <c r="M5362" s="2">
        <v>20129.0</v>
      </c>
      <c r="N5362" s="2" t="s">
        <v>23632</v>
      </c>
    </row>
    <row r="5363" ht="15.75" customHeight="1">
      <c r="A5363" s="2">
        <v>2016.0</v>
      </c>
      <c r="B5363" s="2" t="s">
        <v>13058</v>
      </c>
      <c r="C5363" s="2" t="s">
        <v>23633</v>
      </c>
      <c r="D5363" s="2" t="str">
        <f>"605 224-6788"</f>
        <v>605 224-6788</v>
      </c>
      <c r="E5363" s="2" t="s">
        <v>1076</v>
      </c>
      <c r="F5363" s="2" t="s">
        <v>1451</v>
      </c>
      <c r="G5363" s="2" t="str">
        <f>"SR-7285"</f>
        <v>SR-7285</v>
      </c>
      <c r="H5363" s="2" t="s">
        <v>23634</v>
      </c>
      <c r="I5363" s="2" t="s">
        <v>13061</v>
      </c>
      <c r="K5363" s="2" t="s">
        <v>4355</v>
      </c>
      <c r="L5363" s="2" t="s">
        <v>920</v>
      </c>
      <c r="M5363" s="2">
        <v>57501.0</v>
      </c>
      <c r="N5363" s="2" t="s">
        <v>21</v>
      </c>
    </row>
    <row r="5364" ht="15.75" customHeight="1">
      <c r="A5364" s="2">
        <v>2016.0</v>
      </c>
      <c r="B5364" s="2" t="s">
        <v>23635</v>
      </c>
      <c r="C5364" s="2" t="s">
        <v>23635</v>
      </c>
      <c r="D5364" s="2" t="str">
        <f>"3478322646"</f>
        <v>3478322646</v>
      </c>
      <c r="E5364" s="2" t="s">
        <v>23636</v>
      </c>
      <c r="F5364" s="2" t="s">
        <v>23637</v>
      </c>
      <c r="G5364" s="2" t="str">
        <f>"SR-7273"</f>
        <v>SR-7273</v>
      </c>
      <c r="H5364" s="2" t="s">
        <v>23638</v>
      </c>
      <c r="I5364" s="2" t="s">
        <v>23630</v>
      </c>
      <c r="K5364" s="2" t="s">
        <v>13779</v>
      </c>
      <c r="L5364" s="2" t="s">
        <v>23639</v>
      </c>
      <c r="M5364" s="2">
        <v>20129.0</v>
      </c>
      <c r="N5364" s="2" t="s">
        <v>23632</v>
      </c>
    </row>
    <row r="5365" ht="15.75" customHeight="1">
      <c r="A5365" s="2">
        <v>2016.0</v>
      </c>
      <c r="B5365" s="2" t="s">
        <v>23640</v>
      </c>
      <c r="D5365" s="2" t="str">
        <f>""</f>
        <v/>
      </c>
      <c r="E5365" s="2" t="s">
        <v>7652</v>
      </c>
      <c r="F5365" s="2" t="s">
        <v>591</v>
      </c>
      <c r="G5365" s="2" t="str">
        <f>"SR-6837"</f>
        <v>SR-6837</v>
      </c>
      <c r="H5365" s="2" t="s">
        <v>23641</v>
      </c>
      <c r="N5365" s="2" t="s">
        <v>21</v>
      </c>
    </row>
    <row r="5366" ht="15.75" customHeight="1">
      <c r="A5366" s="2">
        <v>2016.0</v>
      </c>
      <c r="B5366" s="2" t="s">
        <v>23642</v>
      </c>
      <c r="C5366" s="2" t="s">
        <v>23642</v>
      </c>
      <c r="D5366" s="2" t="str">
        <f>"9073506061"</f>
        <v>9073506061</v>
      </c>
      <c r="E5366" s="2" t="s">
        <v>9470</v>
      </c>
      <c r="F5366" s="2" t="s">
        <v>23643</v>
      </c>
      <c r="G5366" s="2" t="str">
        <f>"SR-6573"</f>
        <v>SR-6573</v>
      </c>
      <c r="H5366" s="2" t="s">
        <v>23644</v>
      </c>
      <c r="I5366" s="2" t="s">
        <v>23645</v>
      </c>
      <c r="K5366" s="2" t="s">
        <v>69</v>
      </c>
      <c r="L5366" s="2" t="s">
        <v>70</v>
      </c>
      <c r="M5366" s="2">
        <v>99504.0</v>
      </c>
      <c r="N5366" s="2" t="s">
        <v>21</v>
      </c>
    </row>
    <row r="5367" ht="15.75" customHeight="1">
      <c r="A5367" s="2">
        <v>2016.0</v>
      </c>
      <c r="B5367" s="2" t="s">
        <v>8512</v>
      </c>
      <c r="C5367" s="2" t="s">
        <v>23646</v>
      </c>
      <c r="D5367" s="2" t="str">
        <f>"903-286-2307"</f>
        <v>903-286-2307</v>
      </c>
      <c r="E5367" s="2" t="s">
        <v>843</v>
      </c>
      <c r="F5367" s="2" t="s">
        <v>8513</v>
      </c>
      <c r="G5367" s="2" t="str">
        <f>"SR-7410"</f>
        <v>SR-7410</v>
      </c>
      <c r="H5367" s="2" t="s">
        <v>8514</v>
      </c>
      <c r="I5367" s="2" t="s">
        <v>8515</v>
      </c>
      <c r="K5367" s="2" t="s">
        <v>8516</v>
      </c>
      <c r="L5367" s="2" t="s">
        <v>172</v>
      </c>
      <c r="M5367" s="2">
        <v>75148.0</v>
      </c>
      <c r="N5367" s="2" t="s">
        <v>21</v>
      </c>
    </row>
    <row r="5368" ht="15.75" customHeight="1">
      <c r="A5368" s="2">
        <v>2016.0</v>
      </c>
      <c r="B5368" s="2" t="s">
        <v>337</v>
      </c>
      <c r="C5368" s="2" t="s">
        <v>23647</v>
      </c>
      <c r="D5368" s="2" t="str">
        <f>"614-580-5814"</f>
        <v>614-580-5814</v>
      </c>
      <c r="E5368" s="2" t="s">
        <v>4300</v>
      </c>
      <c r="F5368" s="2" t="s">
        <v>340</v>
      </c>
      <c r="G5368" s="2" t="str">
        <f>"SR-7412"</f>
        <v>SR-7412</v>
      </c>
      <c r="H5368" s="2" t="s">
        <v>23648</v>
      </c>
      <c r="I5368" s="2" t="s">
        <v>23649</v>
      </c>
      <c r="K5368" s="2" t="s">
        <v>23650</v>
      </c>
      <c r="L5368" s="2" t="s">
        <v>344</v>
      </c>
      <c r="M5368" s="2">
        <v>43021.0</v>
      </c>
      <c r="N5368" s="2" t="s">
        <v>21</v>
      </c>
    </row>
    <row r="5369" ht="15.75" customHeight="1">
      <c r="A5369" s="2">
        <v>2016.0</v>
      </c>
      <c r="B5369" s="2" t="s">
        <v>23651</v>
      </c>
      <c r="C5369" s="2" t="s">
        <v>23652</v>
      </c>
      <c r="D5369" s="2" t="str">
        <f>"8287125258"</f>
        <v>8287125258</v>
      </c>
      <c r="E5369" s="2" t="s">
        <v>651</v>
      </c>
      <c r="F5369" s="2" t="s">
        <v>23653</v>
      </c>
      <c r="G5369" s="2" t="str">
        <f>"SR-7245"</f>
        <v>SR-7245</v>
      </c>
      <c r="H5369" s="2" t="s">
        <v>23654</v>
      </c>
      <c r="I5369" s="2" t="s">
        <v>23655</v>
      </c>
      <c r="K5369" s="2" t="s">
        <v>23656</v>
      </c>
      <c r="L5369" s="2" t="s">
        <v>20</v>
      </c>
      <c r="M5369" s="2">
        <v>28711.0</v>
      </c>
      <c r="N5369" s="2" t="s">
        <v>21</v>
      </c>
    </row>
    <row r="5370" ht="15.75" customHeight="1">
      <c r="A5370" s="2">
        <v>2016.0</v>
      </c>
      <c r="B5370" s="2" t="s">
        <v>23657</v>
      </c>
      <c r="C5370" s="2" t="s">
        <v>23657</v>
      </c>
      <c r="D5370" s="2" t="str">
        <f>"812-205-8471"</f>
        <v>812-205-8471</v>
      </c>
      <c r="E5370" s="2" t="s">
        <v>6081</v>
      </c>
      <c r="F5370" s="2" t="s">
        <v>145</v>
      </c>
      <c r="G5370" s="2" t="str">
        <f>"SR-7240"</f>
        <v>SR-7240</v>
      </c>
      <c r="H5370" s="2" t="s">
        <v>23658</v>
      </c>
      <c r="I5370" s="2" t="s">
        <v>23659</v>
      </c>
      <c r="K5370" s="2" t="s">
        <v>148</v>
      </c>
      <c r="L5370" s="2" t="s">
        <v>149</v>
      </c>
      <c r="M5370" s="2">
        <v>47712.0</v>
      </c>
      <c r="N5370" s="2" t="s">
        <v>21</v>
      </c>
    </row>
    <row r="5371" ht="15.75" customHeight="1">
      <c r="A5371" s="2">
        <v>2016.0</v>
      </c>
      <c r="B5371" s="2" t="s">
        <v>23660</v>
      </c>
      <c r="C5371" s="2" t="s">
        <v>23661</v>
      </c>
      <c r="D5371" s="2" t="str">
        <f>"817-477-5554"</f>
        <v>817-477-5554</v>
      </c>
      <c r="E5371" s="2" t="s">
        <v>1208</v>
      </c>
      <c r="F5371" s="2" t="s">
        <v>23662</v>
      </c>
      <c r="G5371" s="2" t="str">
        <f>"SR-7372"</f>
        <v>SR-7372</v>
      </c>
      <c r="H5371" s="2" t="s">
        <v>23663</v>
      </c>
      <c r="I5371" s="2" t="s">
        <v>23664</v>
      </c>
      <c r="K5371" s="2" t="s">
        <v>887</v>
      </c>
      <c r="L5371" s="2" t="s">
        <v>172</v>
      </c>
      <c r="M5371" s="2">
        <v>76063.0</v>
      </c>
      <c r="N5371" s="2" t="s">
        <v>21</v>
      </c>
    </row>
    <row r="5372" ht="15.75" customHeight="1">
      <c r="A5372" s="2">
        <v>2016.0</v>
      </c>
      <c r="B5372" s="2" t="s">
        <v>23665</v>
      </c>
      <c r="C5372" s="2" t="s">
        <v>23666</v>
      </c>
      <c r="D5372" s="2" t="str">
        <f>"(508) 285-3109"</f>
        <v>(508) 285-3109</v>
      </c>
      <c r="E5372" s="2" t="s">
        <v>239</v>
      </c>
      <c r="F5372" s="2" t="s">
        <v>23667</v>
      </c>
      <c r="G5372" s="2" t="str">
        <f>"SR-6221"</f>
        <v>SR-6221</v>
      </c>
      <c r="H5372" s="2" t="s">
        <v>23668</v>
      </c>
      <c r="I5372" s="2" t="s">
        <v>23669</v>
      </c>
      <c r="K5372" s="2" t="s">
        <v>831</v>
      </c>
      <c r="L5372" s="2" t="s">
        <v>4108</v>
      </c>
      <c r="M5372" s="2">
        <v>2766.0</v>
      </c>
      <c r="N5372" s="2" t="s">
        <v>21</v>
      </c>
    </row>
    <row r="5373" ht="15.75" customHeight="1">
      <c r="A5373" s="2">
        <v>2016.0</v>
      </c>
      <c r="B5373" s="2" t="s">
        <v>23670</v>
      </c>
      <c r="C5373" s="2" t="s">
        <v>23671</v>
      </c>
      <c r="D5373" s="2" t="str">
        <f>"19136834605"</f>
        <v>19136834605</v>
      </c>
      <c r="E5373" s="2" t="s">
        <v>167</v>
      </c>
      <c r="F5373" s="2" t="s">
        <v>23672</v>
      </c>
      <c r="G5373" s="2" t="str">
        <f>"SR-7414"</f>
        <v>SR-7414</v>
      </c>
      <c r="H5373" s="2" t="s">
        <v>23673</v>
      </c>
      <c r="I5373" s="2">
        <v>19778.0</v>
      </c>
      <c r="J5373" s="2" t="s">
        <v>23674</v>
      </c>
      <c r="K5373" s="2" t="s">
        <v>23675</v>
      </c>
      <c r="L5373" s="2" t="s">
        <v>272</v>
      </c>
      <c r="M5373" s="2">
        <v>66048.0</v>
      </c>
      <c r="N5373" s="2" t="s">
        <v>21</v>
      </c>
    </row>
    <row r="5374" ht="15.75" customHeight="1">
      <c r="A5374" s="2">
        <v>2016.0</v>
      </c>
      <c r="B5374" s="2" t="s">
        <v>23676</v>
      </c>
      <c r="C5374" s="2" t="s">
        <v>23677</v>
      </c>
      <c r="D5374" s="2" t="str">
        <f>"952-949-4906"</f>
        <v>952-949-4906</v>
      </c>
      <c r="E5374" s="2" t="s">
        <v>14422</v>
      </c>
      <c r="F5374" s="2" t="s">
        <v>23678</v>
      </c>
      <c r="G5374" s="2" t="str">
        <f>"SR-7420"</f>
        <v>SR-7420</v>
      </c>
      <c r="H5374" s="2" t="s">
        <v>23679</v>
      </c>
      <c r="I5374" s="2" t="s">
        <v>23680</v>
      </c>
      <c r="K5374" s="2" t="s">
        <v>2674</v>
      </c>
      <c r="L5374" s="2" t="s">
        <v>62</v>
      </c>
      <c r="M5374" s="2">
        <v>55331.0</v>
      </c>
      <c r="N5374" s="2" t="s">
        <v>21</v>
      </c>
    </row>
    <row r="5375" ht="15.75" customHeight="1">
      <c r="A5375" s="2">
        <v>2016.0</v>
      </c>
      <c r="B5375" s="2" t="s">
        <v>23681</v>
      </c>
      <c r="C5375" s="2" t="s">
        <v>23681</v>
      </c>
      <c r="D5375" s="2" t="str">
        <f>"913-631-8282"</f>
        <v>913-631-8282</v>
      </c>
      <c r="E5375" s="2" t="s">
        <v>9513</v>
      </c>
      <c r="F5375" s="2" t="s">
        <v>23682</v>
      </c>
      <c r="G5375" s="2" t="str">
        <f>"SR-7408"</f>
        <v>SR-7408</v>
      </c>
      <c r="H5375" s="2" t="s">
        <v>23683</v>
      </c>
      <c r="I5375" s="2" t="s">
        <v>23684</v>
      </c>
      <c r="K5375" s="2" t="s">
        <v>3588</v>
      </c>
      <c r="L5375" s="2" t="s">
        <v>272</v>
      </c>
      <c r="M5375" s="2">
        <v>66203.0</v>
      </c>
      <c r="N5375" s="2" t="s">
        <v>21</v>
      </c>
    </row>
    <row r="5376" ht="15.75" customHeight="1">
      <c r="A5376" s="2">
        <v>2016.0</v>
      </c>
      <c r="B5376" s="2" t="s">
        <v>21543</v>
      </c>
      <c r="C5376" s="2" t="s">
        <v>21543</v>
      </c>
      <c r="D5376" s="2" t="str">
        <f>"404-313-7816"</f>
        <v>404-313-7816</v>
      </c>
      <c r="E5376" s="2" t="s">
        <v>580</v>
      </c>
      <c r="F5376" s="2" t="s">
        <v>21548</v>
      </c>
      <c r="G5376" s="2" t="str">
        <f>"SR-6062"</f>
        <v>SR-6062</v>
      </c>
      <c r="H5376" s="2" t="s">
        <v>21549</v>
      </c>
      <c r="I5376" s="2" t="s">
        <v>21546</v>
      </c>
      <c r="K5376" s="2" t="s">
        <v>21547</v>
      </c>
      <c r="L5376" s="2" t="s">
        <v>539</v>
      </c>
      <c r="M5376" s="2">
        <v>35622.0</v>
      </c>
      <c r="N5376" s="2" t="s">
        <v>21</v>
      </c>
    </row>
    <row r="5377" ht="15.75" customHeight="1">
      <c r="A5377" s="2">
        <v>2016.0</v>
      </c>
      <c r="B5377" s="2" t="s">
        <v>21543</v>
      </c>
      <c r="C5377" s="2" t="s">
        <v>21544</v>
      </c>
      <c r="D5377" s="2" t="str">
        <f>"404-617-8609"</f>
        <v>404-617-8609</v>
      </c>
      <c r="E5377" s="2" t="s">
        <v>3336</v>
      </c>
      <c r="F5377" s="2" t="s">
        <v>2936</v>
      </c>
      <c r="G5377" s="2" t="str">
        <f>"SR-5879"</f>
        <v>SR-5879</v>
      </c>
      <c r="H5377" s="2" t="s">
        <v>21545</v>
      </c>
      <c r="I5377" s="2" t="s">
        <v>21546</v>
      </c>
      <c r="K5377" s="2" t="s">
        <v>21547</v>
      </c>
      <c r="L5377" s="2" t="s">
        <v>539</v>
      </c>
      <c r="M5377" s="2">
        <v>35622.0</v>
      </c>
      <c r="N5377" s="2" t="s">
        <v>21</v>
      </c>
    </row>
    <row r="5378" ht="15.75" customHeight="1">
      <c r="A5378" s="2">
        <v>2016.0</v>
      </c>
      <c r="B5378" s="2" t="s">
        <v>23676</v>
      </c>
      <c r="C5378" s="2" t="s">
        <v>23685</v>
      </c>
      <c r="D5378" s="2" t="str">
        <f>"952-949-4906"</f>
        <v>952-949-4906</v>
      </c>
      <c r="E5378" s="2" t="s">
        <v>1269</v>
      </c>
      <c r="F5378" s="2" t="s">
        <v>23678</v>
      </c>
      <c r="G5378" s="2" t="str">
        <f>"SR-7421"</f>
        <v>SR-7421</v>
      </c>
      <c r="H5378" s="2" t="s">
        <v>23686</v>
      </c>
      <c r="I5378" s="2" t="s">
        <v>23680</v>
      </c>
      <c r="K5378" s="2" t="s">
        <v>2674</v>
      </c>
      <c r="L5378" s="2" t="s">
        <v>62</v>
      </c>
      <c r="M5378" s="2">
        <v>55331.0</v>
      </c>
      <c r="N5378" s="2" t="s">
        <v>21</v>
      </c>
    </row>
    <row r="5379" ht="15.75" customHeight="1">
      <c r="A5379" s="2">
        <v>2016.0</v>
      </c>
      <c r="B5379" s="2" t="s">
        <v>23687</v>
      </c>
      <c r="C5379" s="2" t="s">
        <v>23688</v>
      </c>
      <c r="D5379" s="2" t="str">
        <f>"4029093389"</f>
        <v>4029093389</v>
      </c>
      <c r="E5379" s="2" t="s">
        <v>485</v>
      </c>
      <c r="F5379" s="2" t="s">
        <v>1175</v>
      </c>
      <c r="G5379" s="2" t="str">
        <f>"SR-7423"</f>
        <v>SR-7423</v>
      </c>
      <c r="H5379" s="2" t="s">
        <v>23689</v>
      </c>
      <c r="I5379" s="2" t="s">
        <v>23690</v>
      </c>
      <c r="K5379" s="2" t="s">
        <v>23691</v>
      </c>
      <c r="L5379" s="2" t="s">
        <v>757</v>
      </c>
      <c r="M5379" s="2">
        <v>68044.0</v>
      </c>
      <c r="N5379" s="2" t="s">
        <v>21</v>
      </c>
    </row>
    <row r="5380" ht="15.75" customHeight="1">
      <c r="A5380" s="2">
        <v>2016.0</v>
      </c>
      <c r="B5380" s="2" t="s">
        <v>23692</v>
      </c>
      <c r="C5380" s="2" t="s">
        <v>23693</v>
      </c>
      <c r="D5380" s="2" t="str">
        <f>"830 624-9565"</f>
        <v>830 624-9565</v>
      </c>
      <c r="E5380" s="2" t="s">
        <v>3305</v>
      </c>
      <c r="F5380" s="2" t="s">
        <v>639</v>
      </c>
      <c r="G5380" s="2" t="str">
        <f>"SR-7431"</f>
        <v>SR-7431</v>
      </c>
      <c r="H5380" s="2" t="s">
        <v>23694</v>
      </c>
      <c r="I5380" s="2" t="s">
        <v>23695</v>
      </c>
      <c r="K5380" s="2" t="s">
        <v>14104</v>
      </c>
      <c r="L5380" s="2" t="s">
        <v>172</v>
      </c>
      <c r="M5380" s="2">
        <v>78130.0</v>
      </c>
      <c r="N5380" s="2" t="s">
        <v>21</v>
      </c>
    </row>
    <row r="5381" ht="15.75" customHeight="1">
      <c r="A5381" s="2">
        <v>2016.0</v>
      </c>
      <c r="B5381" s="2" t="s">
        <v>23696</v>
      </c>
      <c r="C5381" s="2" t="s">
        <v>23696</v>
      </c>
      <c r="D5381" s="2" t="str">
        <f>"9013880606"</f>
        <v>9013880606</v>
      </c>
      <c r="E5381" s="2" t="s">
        <v>3903</v>
      </c>
      <c r="F5381" s="2" t="s">
        <v>23697</v>
      </c>
      <c r="G5381" s="2" t="str">
        <f>"SR-7418"</f>
        <v>SR-7418</v>
      </c>
      <c r="H5381" s="2" t="s">
        <v>23698</v>
      </c>
      <c r="I5381" s="2" t="s">
        <v>23699</v>
      </c>
      <c r="K5381" s="2" t="s">
        <v>5519</v>
      </c>
      <c r="L5381" s="2" t="s">
        <v>279</v>
      </c>
      <c r="M5381" s="2">
        <v>38134.0</v>
      </c>
      <c r="N5381" s="2" t="s">
        <v>21</v>
      </c>
    </row>
    <row r="5382" ht="15.75" customHeight="1">
      <c r="A5382" s="2">
        <v>2016.0</v>
      </c>
      <c r="B5382" s="2" t="s">
        <v>23700</v>
      </c>
      <c r="C5382" s="2" t="s">
        <v>23701</v>
      </c>
      <c r="D5382" s="2" t="str">
        <f>"4027539927"</f>
        <v>4027539927</v>
      </c>
      <c r="E5382" s="2" t="s">
        <v>2412</v>
      </c>
      <c r="F5382" s="2" t="s">
        <v>863</v>
      </c>
      <c r="G5382" s="2" t="str">
        <f>"SR-7432"</f>
        <v>SR-7432</v>
      </c>
      <c r="H5382" s="2" t="s">
        <v>23702</v>
      </c>
      <c r="I5382" s="2" t="s">
        <v>23703</v>
      </c>
      <c r="K5382" s="2" t="s">
        <v>23704</v>
      </c>
      <c r="L5382" s="2" t="s">
        <v>757</v>
      </c>
      <c r="M5382" s="2">
        <v>68025.0</v>
      </c>
      <c r="N5382" s="2" t="s">
        <v>21</v>
      </c>
    </row>
    <row r="5383" ht="15.75" customHeight="1">
      <c r="A5383" s="2">
        <v>2016.0</v>
      </c>
      <c r="B5383" s="2" t="s">
        <v>23705</v>
      </c>
      <c r="C5383" s="2" t="s">
        <v>23706</v>
      </c>
      <c r="D5383" s="2" t="str">
        <f>"317-560-5274"</f>
        <v>317-560-5274</v>
      </c>
      <c r="E5383" s="2" t="s">
        <v>562</v>
      </c>
      <c r="F5383" s="2" t="s">
        <v>23707</v>
      </c>
      <c r="G5383" s="2" t="str">
        <f>"SR-7373"</f>
        <v>SR-7373</v>
      </c>
      <c r="H5383" s="2" t="s">
        <v>23708</v>
      </c>
      <c r="I5383" s="2" t="s">
        <v>23709</v>
      </c>
      <c r="K5383" s="2" t="s">
        <v>278</v>
      </c>
      <c r="L5383" s="2" t="s">
        <v>149</v>
      </c>
      <c r="M5383" s="2">
        <v>46131.0</v>
      </c>
      <c r="N5383" s="2" t="s">
        <v>21</v>
      </c>
    </row>
    <row r="5384" ht="15.75" customHeight="1">
      <c r="A5384" s="2">
        <v>2016.0</v>
      </c>
      <c r="B5384" s="2" t="s">
        <v>23710</v>
      </c>
      <c r="C5384" s="2" t="s">
        <v>23710</v>
      </c>
      <c r="D5384" s="2" t="str">
        <f>"205-246-9111"</f>
        <v>205-246-9111</v>
      </c>
      <c r="E5384" s="2" t="s">
        <v>1039</v>
      </c>
      <c r="F5384" s="2" t="s">
        <v>1636</v>
      </c>
      <c r="G5384" s="2" t="str">
        <f>"SR-7396"</f>
        <v>SR-7396</v>
      </c>
      <c r="H5384" s="2" t="s">
        <v>23711</v>
      </c>
      <c r="I5384" s="2" t="s">
        <v>23712</v>
      </c>
      <c r="K5384" s="2" t="s">
        <v>5003</v>
      </c>
      <c r="L5384" s="2" t="s">
        <v>539</v>
      </c>
      <c r="M5384" s="2">
        <v>35473.0</v>
      </c>
      <c r="N5384" s="2" t="s">
        <v>21</v>
      </c>
    </row>
    <row r="5385" ht="15.75" customHeight="1">
      <c r="A5385" s="2">
        <v>2016.0</v>
      </c>
      <c r="B5385" s="2" t="s">
        <v>23713</v>
      </c>
      <c r="C5385" s="2" t="s">
        <v>23713</v>
      </c>
      <c r="D5385" s="2" t="str">
        <f>"816 304 8334"</f>
        <v>816 304 8334</v>
      </c>
      <c r="E5385" s="2" t="s">
        <v>1263</v>
      </c>
      <c r="F5385" s="2" t="s">
        <v>23714</v>
      </c>
      <c r="G5385" s="2" t="str">
        <f>"SR-7434"</f>
        <v>SR-7434</v>
      </c>
      <c r="H5385" s="2" t="s">
        <v>23715</v>
      </c>
      <c r="I5385" s="2" t="s">
        <v>23716</v>
      </c>
      <c r="K5385" s="2" t="s">
        <v>23717</v>
      </c>
      <c r="L5385" s="2" t="s">
        <v>214</v>
      </c>
      <c r="M5385" s="2">
        <v>64063.0</v>
      </c>
      <c r="N5385" s="2" t="s">
        <v>21</v>
      </c>
    </row>
    <row r="5386" ht="15.75" customHeight="1">
      <c r="A5386" s="2">
        <v>2016.0</v>
      </c>
      <c r="B5386" s="2" t="s">
        <v>23718</v>
      </c>
      <c r="C5386" s="2" t="s">
        <v>23718</v>
      </c>
      <c r="D5386" s="2" t="str">
        <f>"(605)945-0782"</f>
        <v>(605)945-0782</v>
      </c>
      <c r="E5386" s="2" t="s">
        <v>10602</v>
      </c>
      <c r="F5386" s="2" t="s">
        <v>10603</v>
      </c>
      <c r="G5386" s="2" t="str">
        <f>"SR-7288"</f>
        <v>SR-7288</v>
      </c>
      <c r="H5386" s="2" t="s">
        <v>10604</v>
      </c>
      <c r="I5386" s="2" t="s">
        <v>23719</v>
      </c>
      <c r="K5386" s="2" t="s">
        <v>4355</v>
      </c>
      <c r="L5386" s="2" t="s">
        <v>920</v>
      </c>
      <c r="M5386" s="2">
        <v>57501.0</v>
      </c>
      <c r="N5386" s="2" t="s">
        <v>21</v>
      </c>
    </row>
    <row r="5387" ht="15.75" customHeight="1">
      <c r="A5387" s="2">
        <v>2016.0</v>
      </c>
      <c r="B5387" s="2" t="s">
        <v>23720</v>
      </c>
      <c r="C5387" s="2" t="s">
        <v>23721</v>
      </c>
      <c r="D5387" s="2" t="str">
        <f>"714-300-8041"</f>
        <v>714-300-8041</v>
      </c>
      <c r="E5387" s="2" t="s">
        <v>1548</v>
      </c>
      <c r="F5387" s="2" t="s">
        <v>108</v>
      </c>
      <c r="G5387" s="2" t="str">
        <f>"SR-7259"</f>
        <v>SR-7259</v>
      </c>
      <c r="H5387" s="2" t="s">
        <v>23722</v>
      </c>
      <c r="I5387" s="2" t="s">
        <v>23723</v>
      </c>
      <c r="K5387" s="2" t="s">
        <v>14755</v>
      </c>
      <c r="L5387" s="2" t="s">
        <v>222</v>
      </c>
      <c r="M5387" s="2">
        <v>92861.0</v>
      </c>
      <c r="N5387" s="2" t="s">
        <v>21</v>
      </c>
    </row>
    <row r="5388" ht="15.75" customHeight="1">
      <c r="A5388" s="2">
        <v>2016.0</v>
      </c>
      <c r="B5388" s="2" t="s">
        <v>23724</v>
      </c>
      <c r="C5388" s="2" t="s">
        <v>22321</v>
      </c>
      <c r="D5388" s="2" t="str">
        <f>"3203521194"</f>
        <v>3203521194</v>
      </c>
      <c r="E5388" s="2" t="s">
        <v>22322</v>
      </c>
      <c r="F5388" s="2" t="s">
        <v>22323</v>
      </c>
      <c r="G5388" s="2" t="str">
        <f>"SR-5652"</f>
        <v>SR-5652</v>
      </c>
      <c r="H5388" s="2" t="s">
        <v>22324</v>
      </c>
      <c r="I5388" s="2" t="s">
        <v>23725</v>
      </c>
      <c r="K5388" s="2" t="s">
        <v>23726</v>
      </c>
      <c r="L5388" s="2" t="s">
        <v>62</v>
      </c>
      <c r="M5388" s="2">
        <v>56378.0</v>
      </c>
      <c r="N5388" s="2" t="s">
        <v>21</v>
      </c>
    </row>
    <row r="5389" ht="15.75" customHeight="1">
      <c r="A5389" s="2">
        <v>2016.0</v>
      </c>
      <c r="B5389" s="2" t="s">
        <v>23727</v>
      </c>
      <c r="C5389" s="2" t="s">
        <v>23728</v>
      </c>
      <c r="D5389" s="2" t="str">
        <f>"2056782826"</f>
        <v>2056782826</v>
      </c>
      <c r="E5389" s="2" t="s">
        <v>339</v>
      </c>
      <c r="F5389" s="2" t="s">
        <v>23729</v>
      </c>
      <c r="G5389" s="2" t="str">
        <f>"SR-7439"</f>
        <v>SR-7439</v>
      </c>
      <c r="H5389" s="2" t="s">
        <v>23730</v>
      </c>
      <c r="I5389" s="2" t="s">
        <v>23731</v>
      </c>
      <c r="K5389" s="2" t="s">
        <v>23732</v>
      </c>
      <c r="L5389" s="2" t="s">
        <v>539</v>
      </c>
      <c r="M5389" s="2">
        <v>35147.0</v>
      </c>
      <c r="N5389" s="2" t="s">
        <v>21</v>
      </c>
    </row>
    <row r="5390" ht="15.75" customHeight="1">
      <c r="A5390" s="2">
        <v>2016.0</v>
      </c>
      <c r="B5390" s="2" t="s">
        <v>23733</v>
      </c>
      <c r="C5390" s="2" t="s">
        <v>23733</v>
      </c>
      <c r="D5390" s="2" t="str">
        <f>"7193935096"</f>
        <v>7193935096</v>
      </c>
      <c r="E5390" s="2" t="s">
        <v>2851</v>
      </c>
      <c r="F5390" s="2" t="s">
        <v>19184</v>
      </c>
      <c r="G5390" s="2" t="str">
        <f>"SR-7438"</f>
        <v>SR-7438</v>
      </c>
      <c r="H5390" s="2" t="s">
        <v>23734</v>
      </c>
      <c r="I5390" s="2" t="s">
        <v>23735</v>
      </c>
      <c r="K5390" s="2" t="s">
        <v>809</v>
      </c>
      <c r="L5390" s="2" t="s">
        <v>157</v>
      </c>
      <c r="M5390" s="2">
        <v>80931.0</v>
      </c>
      <c r="N5390" s="2" t="s">
        <v>21</v>
      </c>
    </row>
    <row r="5391" ht="15.75" customHeight="1">
      <c r="A5391" s="2">
        <v>2016.0</v>
      </c>
      <c r="B5391" s="2" t="s">
        <v>23736</v>
      </c>
      <c r="C5391" s="2" t="s">
        <v>23737</v>
      </c>
      <c r="D5391" s="2" t="str">
        <f>"402-366-2134"</f>
        <v>402-366-2134</v>
      </c>
      <c r="E5391" s="2" t="s">
        <v>7996</v>
      </c>
      <c r="F5391" s="2" t="s">
        <v>1209</v>
      </c>
      <c r="G5391" s="2" t="str">
        <f>"SR-7430"</f>
        <v>SR-7430</v>
      </c>
      <c r="H5391" s="2" t="s">
        <v>23738</v>
      </c>
      <c r="I5391" s="2" t="s">
        <v>19612</v>
      </c>
      <c r="K5391" s="2" t="s">
        <v>23739</v>
      </c>
      <c r="L5391" s="2" t="s">
        <v>757</v>
      </c>
      <c r="M5391" s="2">
        <v>68854.0</v>
      </c>
      <c r="N5391" s="2" t="s">
        <v>21</v>
      </c>
    </row>
    <row r="5392" ht="15.75" customHeight="1">
      <c r="A5392" s="2">
        <v>2016.0</v>
      </c>
      <c r="B5392" s="2" t="s">
        <v>23740</v>
      </c>
      <c r="C5392" s="2" t="s">
        <v>23741</v>
      </c>
      <c r="D5392" s="2" t="str">
        <f>"5075819284"</f>
        <v>5075819284</v>
      </c>
      <c r="E5392" s="2" t="s">
        <v>301</v>
      </c>
      <c r="F5392" s="2" t="s">
        <v>23742</v>
      </c>
      <c r="G5392" s="2" t="str">
        <f>"SR-6478"</f>
        <v>SR-6478</v>
      </c>
      <c r="H5392" s="2" t="s">
        <v>23743</v>
      </c>
      <c r="I5392" s="2" t="s">
        <v>23744</v>
      </c>
      <c r="K5392" s="2" t="s">
        <v>23745</v>
      </c>
      <c r="L5392" s="2" t="s">
        <v>62</v>
      </c>
      <c r="M5392" s="2">
        <v>55057.0</v>
      </c>
      <c r="N5392" s="2" t="s">
        <v>21</v>
      </c>
    </row>
    <row r="5393" ht="15.75" customHeight="1">
      <c r="A5393" s="2">
        <v>2016.0</v>
      </c>
      <c r="B5393" s="2" t="s">
        <v>23746</v>
      </c>
      <c r="C5393" s="2" t="s">
        <v>23747</v>
      </c>
      <c r="D5393" s="2" t="str">
        <f>"954-661-4795"</f>
        <v>954-661-4795</v>
      </c>
      <c r="E5393" s="2" t="s">
        <v>1263</v>
      </c>
      <c r="F5393" s="2" t="s">
        <v>8125</v>
      </c>
      <c r="G5393" s="2" t="str">
        <f>"SR-7445"</f>
        <v>SR-7445</v>
      </c>
      <c r="H5393" s="2" t="s">
        <v>23748</v>
      </c>
      <c r="I5393" s="2" t="s">
        <v>23749</v>
      </c>
      <c r="K5393" s="2" t="s">
        <v>821</v>
      </c>
      <c r="L5393" s="2" t="s">
        <v>20</v>
      </c>
      <c r="M5393" s="2">
        <v>28602.0</v>
      </c>
      <c r="N5393" s="2" t="s">
        <v>21</v>
      </c>
    </row>
    <row r="5394" ht="15.75" customHeight="1">
      <c r="A5394" s="2">
        <v>2016.0</v>
      </c>
      <c r="B5394" s="2" t="s">
        <v>23750</v>
      </c>
      <c r="C5394" s="2" t="s">
        <v>23750</v>
      </c>
      <c r="D5394" s="2" t="str">
        <f>"(805)481-4900"</f>
        <v>(805)481-4900</v>
      </c>
      <c r="E5394" s="2" t="s">
        <v>3640</v>
      </c>
      <c r="F5394" s="2" t="s">
        <v>10861</v>
      </c>
      <c r="G5394" s="2" t="str">
        <f>"SR-7447"</f>
        <v>SR-7447</v>
      </c>
      <c r="H5394" s="2" t="s">
        <v>23751</v>
      </c>
      <c r="I5394" s="2" t="s">
        <v>10863</v>
      </c>
      <c r="K5394" s="2" t="s">
        <v>10864</v>
      </c>
      <c r="L5394" s="2" t="s">
        <v>222</v>
      </c>
      <c r="M5394" s="2">
        <v>93420.0</v>
      </c>
      <c r="N5394" s="2" t="s">
        <v>21</v>
      </c>
    </row>
    <row r="5395" ht="15.75" customHeight="1">
      <c r="A5395" s="2">
        <v>2016.0</v>
      </c>
      <c r="B5395" s="2" t="s">
        <v>23752</v>
      </c>
      <c r="C5395" s="2" t="s">
        <v>23753</v>
      </c>
      <c r="D5395" s="2" t="str">
        <f>"404-233-8678"</f>
        <v>404-233-8678</v>
      </c>
      <c r="E5395" s="2" t="s">
        <v>23754</v>
      </c>
      <c r="F5395" s="2" t="s">
        <v>12495</v>
      </c>
      <c r="G5395" s="2" t="str">
        <f>"SR-7451"</f>
        <v>SR-7451</v>
      </c>
      <c r="H5395" s="2" t="s">
        <v>23755</v>
      </c>
      <c r="I5395" s="2" t="s">
        <v>23756</v>
      </c>
      <c r="K5395" s="2" t="s">
        <v>10683</v>
      </c>
      <c r="L5395" s="2" t="s">
        <v>200</v>
      </c>
      <c r="M5395" s="2">
        <v>30327.0</v>
      </c>
      <c r="N5395" s="2" t="s">
        <v>21</v>
      </c>
    </row>
    <row r="5396" ht="15.75" customHeight="1">
      <c r="A5396" s="2">
        <v>2016.0</v>
      </c>
      <c r="B5396" s="2" t="s">
        <v>23757</v>
      </c>
      <c r="C5396" s="2" t="s">
        <v>23758</v>
      </c>
      <c r="D5396" s="2" t="str">
        <f>"9375683044"</f>
        <v>9375683044</v>
      </c>
      <c r="E5396" s="2" t="s">
        <v>23759</v>
      </c>
      <c r="F5396" s="2" t="s">
        <v>23760</v>
      </c>
      <c r="G5396" s="2" t="str">
        <f>"SR-7327"</f>
        <v>SR-7327</v>
      </c>
      <c r="H5396" s="2" t="s">
        <v>23761</v>
      </c>
      <c r="I5396" s="2" t="s">
        <v>23762</v>
      </c>
      <c r="K5396" s="2" t="s">
        <v>23763</v>
      </c>
      <c r="L5396" s="2" t="s">
        <v>344</v>
      </c>
      <c r="M5396" s="2">
        <v>45369.0</v>
      </c>
      <c r="N5396" s="2" t="s">
        <v>21</v>
      </c>
    </row>
    <row r="5397" ht="15.75" customHeight="1">
      <c r="A5397" s="2">
        <v>2016.0</v>
      </c>
      <c r="B5397" s="2" t="s">
        <v>23764</v>
      </c>
      <c r="C5397" s="2" t="s">
        <v>23765</v>
      </c>
      <c r="D5397" s="2" t="str">
        <f>"805-471-1141"</f>
        <v>805-471-1141</v>
      </c>
      <c r="E5397" s="2" t="s">
        <v>217</v>
      </c>
      <c r="F5397" s="2" t="s">
        <v>23766</v>
      </c>
      <c r="G5397" s="2" t="str">
        <f>"SR-7454"</f>
        <v>SR-7454</v>
      </c>
      <c r="H5397" s="2" t="s">
        <v>23767</v>
      </c>
      <c r="I5397" s="2" t="s">
        <v>23768</v>
      </c>
      <c r="K5397" s="2" t="s">
        <v>10864</v>
      </c>
      <c r="L5397" s="2" t="s">
        <v>222</v>
      </c>
      <c r="M5397" s="2">
        <v>93420.0</v>
      </c>
      <c r="N5397" s="2" t="s">
        <v>21</v>
      </c>
    </row>
    <row r="5398" ht="15.75" customHeight="1">
      <c r="A5398" s="2">
        <v>2016.0</v>
      </c>
      <c r="B5398" s="2" t="s">
        <v>23769</v>
      </c>
      <c r="C5398" s="2" t="s">
        <v>23770</v>
      </c>
      <c r="D5398" s="2" t="str">
        <f>"1-805-540-4581"</f>
        <v>1-805-540-4581</v>
      </c>
      <c r="E5398" s="2" t="s">
        <v>3434</v>
      </c>
      <c r="F5398" s="2" t="s">
        <v>10861</v>
      </c>
      <c r="G5398" s="2" t="str">
        <f>"SR-7456"</f>
        <v>SR-7456</v>
      </c>
      <c r="H5398" s="2" t="s">
        <v>23771</v>
      </c>
      <c r="I5398" s="2" t="s">
        <v>23772</v>
      </c>
      <c r="K5398" s="2" t="s">
        <v>13810</v>
      </c>
      <c r="L5398" s="2" t="s">
        <v>222</v>
      </c>
      <c r="M5398" s="2">
        <v>93401.0</v>
      </c>
      <c r="N5398" s="2" t="s">
        <v>21</v>
      </c>
    </row>
    <row r="5399" ht="15.75" customHeight="1">
      <c r="A5399" s="2">
        <v>2016.0</v>
      </c>
      <c r="B5399" s="2" t="s">
        <v>23773</v>
      </c>
      <c r="C5399" s="2" t="s">
        <v>23773</v>
      </c>
      <c r="D5399" s="2" t="str">
        <f>"9792185240"</f>
        <v>9792185240</v>
      </c>
      <c r="E5399" s="2" t="s">
        <v>4375</v>
      </c>
      <c r="F5399" s="2" t="s">
        <v>8427</v>
      </c>
      <c r="G5399" s="2" t="str">
        <f>"SR-7330"</f>
        <v>SR-7330</v>
      </c>
      <c r="H5399" s="2" t="s">
        <v>23774</v>
      </c>
      <c r="I5399" s="2" t="s">
        <v>23775</v>
      </c>
      <c r="K5399" s="2" t="s">
        <v>1190</v>
      </c>
      <c r="L5399" s="2" t="s">
        <v>172</v>
      </c>
      <c r="M5399" s="2">
        <v>77807.0</v>
      </c>
      <c r="N5399" s="2" t="s">
        <v>21</v>
      </c>
    </row>
    <row r="5400" ht="15.75" customHeight="1">
      <c r="A5400" s="2">
        <v>2016.0</v>
      </c>
      <c r="B5400" s="2" t="s">
        <v>23776</v>
      </c>
      <c r="C5400" s="2" t="s">
        <v>23777</v>
      </c>
      <c r="D5400" s="2" t="str">
        <f>"805-215-4344"</f>
        <v>805-215-4344</v>
      </c>
      <c r="E5400" s="2" t="s">
        <v>534</v>
      </c>
      <c r="F5400" s="2" t="s">
        <v>23778</v>
      </c>
      <c r="G5400" s="2" t="str">
        <f>"SR-7459"</f>
        <v>SR-7459</v>
      </c>
      <c r="H5400" s="2" t="s">
        <v>23779</v>
      </c>
      <c r="I5400" s="2" t="s">
        <v>23780</v>
      </c>
      <c r="K5400" s="2" t="s">
        <v>23781</v>
      </c>
      <c r="L5400" s="2" t="s">
        <v>222</v>
      </c>
      <c r="M5400" s="2">
        <v>93433.0</v>
      </c>
      <c r="N5400" s="2" t="s">
        <v>21</v>
      </c>
    </row>
    <row r="5401" ht="15.75" customHeight="1">
      <c r="A5401" s="2">
        <v>2016.0</v>
      </c>
      <c r="B5401" s="2" t="s">
        <v>23782</v>
      </c>
      <c r="C5401" s="2" t="s">
        <v>23783</v>
      </c>
      <c r="D5401" s="2" t="str">
        <f>"954-746-5459"</f>
        <v>954-746-5459</v>
      </c>
      <c r="E5401" s="2" t="s">
        <v>465</v>
      </c>
      <c r="F5401" s="2" t="s">
        <v>4501</v>
      </c>
      <c r="G5401" s="2" t="str">
        <f>"SR-7443"</f>
        <v>SR-7443</v>
      </c>
      <c r="H5401" s="2" t="s">
        <v>23784</v>
      </c>
      <c r="I5401" s="2" t="s">
        <v>23785</v>
      </c>
      <c r="K5401" s="2" t="s">
        <v>23786</v>
      </c>
      <c r="L5401" s="2" t="s">
        <v>208</v>
      </c>
      <c r="M5401" s="2">
        <v>33322.0</v>
      </c>
      <c r="N5401" s="2" t="s">
        <v>21</v>
      </c>
    </row>
    <row r="5402" ht="15.75" customHeight="1">
      <c r="A5402" s="2">
        <v>2016.0</v>
      </c>
      <c r="B5402" s="2" t="s">
        <v>11127</v>
      </c>
      <c r="C5402" s="2" t="s">
        <v>23787</v>
      </c>
      <c r="D5402" s="2" t="str">
        <f>"806-559-3868"</f>
        <v>806-559-3868</v>
      </c>
      <c r="E5402" s="2" t="s">
        <v>417</v>
      </c>
      <c r="F5402" s="2" t="s">
        <v>1151</v>
      </c>
      <c r="G5402" s="2" t="str">
        <f>"SR-7457"</f>
        <v>SR-7457</v>
      </c>
      <c r="H5402" s="2" t="s">
        <v>23788</v>
      </c>
      <c r="I5402" s="2" t="s">
        <v>11130</v>
      </c>
      <c r="K5402" s="2" t="s">
        <v>1121</v>
      </c>
      <c r="L5402" s="2" t="s">
        <v>172</v>
      </c>
      <c r="M5402" s="2">
        <v>79407.0</v>
      </c>
      <c r="N5402" s="2" t="s">
        <v>21</v>
      </c>
    </row>
    <row r="5403" ht="15.75" customHeight="1">
      <c r="A5403" s="2">
        <v>2016.0</v>
      </c>
      <c r="B5403" s="2" t="s">
        <v>17387</v>
      </c>
      <c r="C5403" s="2" t="s">
        <v>17387</v>
      </c>
      <c r="D5403" s="2" t="str">
        <f>"9858074364"</f>
        <v>9858074364</v>
      </c>
      <c r="E5403" s="2" t="s">
        <v>17388</v>
      </c>
      <c r="F5403" s="2" t="s">
        <v>17389</v>
      </c>
      <c r="G5403" s="2" t="str">
        <f>"SR-5340"</f>
        <v>SR-5340</v>
      </c>
      <c r="H5403" s="2" t="s">
        <v>17390</v>
      </c>
      <c r="I5403" s="2" t="s">
        <v>17391</v>
      </c>
      <c r="K5403" s="2" t="s">
        <v>17392</v>
      </c>
      <c r="L5403" s="2" t="s">
        <v>715</v>
      </c>
      <c r="M5403" s="2">
        <v>70433.0</v>
      </c>
      <c r="N5403" s="2" t="s">
        <v>21</v>
      </c>
    </row>
    <row r="5404" ht="15.75" customHeight="1">
      <c r="A5404" s="2">
        <v>2016.0</v>
      </c>
      <c r="B5404" s="2" t="s">
        <v>23789</v>
      </c>
      <c r="C5404" s="2" t="s">
        <v>23790</v>
      </c>
      <c r="D5404" s="2" t="str">
        <f>"256-746-8479"</f>
        <v>256-746-8479</v>
      </c>
      <c r="E5404" s="2" t="s">
        <v>1088</v>
      </c>
      <c r="F5404" s="2" t="s">
        <v>5685</v>
      </c>
      <c r="G5404" s="2" t="str">
        <f>"SR-7466"</f>
        <v>SR-7466</v>
      </c>
      <c r="H5404" s="2" t="s">
        <v>23791</v>
      </c>
      <c r="I5404" s="2" t="s">
        <v>5687</v>
      </c>
      <c r="K5404" s="2" t="s">
        <v>1953</v>
      </c>
      <c r="L5404" s="2" t="s">
        <v>539</v>
      </c>
      <c r="M5404" s="2">
        <v>35810.0</v>
      </c>
      <c r="N5404" s="2" t="s">
        <v>21</v>
      </c>
    </row>
    <row r="5405" ht="15.75" customHeight="1">
      <c r="A5405" s="2">
        <v>2016.0</v>
      </c>
      <c r="B5405" s="2" t="s">
        <v>23792</v>
      </c>
      <c r="C5405" s="2" t="s">
        <v>23792</v>
      </c>
      <c r="D5405" s="2" t="str">
        <f>"949-338-8880"</f>
        <v>949-338-8880</v>
      </c>
      <c r="E5405" s="2" t="s">
        <v>23793</v>
      </c>
      <c r="F5405" s="2" t="s">
        <v>3062</v>
      </c>
      <c r="G5405" s="2" t="str">
        <f>"SR-7427"</f>
        <v>SR-7427</v>
      </c>
      <c r="H5405" s="2" t="s">
        <v>23794</v>
      </c>
      <c r="I5405" s="2" t="s">
        <v>3064</v>
      </c>
      <c r="K5405" s="2" t="s">
        <v>3065</v>
      </c>
      <c r="L5405" s="2" t="s">
        <v>222</v>
      </c>
      <c r="M5405" s="2">
        <v>92688.0</v>
      </c>
      <c r="N5405" s="2" t="s">
        <v>21</v>
      </c>
    </row>
    <row r="5406" ht="15.75" customHeight="1">
      <c r="A5406" s="2">
        <v>2016.0</v>
      </c>
      <c r="B5406" s="2" t="s">
        <v>23795</v>
      </c>
      <c r="C5406" s="2" t="s">
        <v>23796</v>
      </c>
      <c r="D5406" s="2" t="str">
        <f>"9033409568"</f>
        <v>9033409568</v>
      </c>
      <c r="E5406" s="2" t="s">
        <v>1946</v>
      </c>
      <c r="F5406" s="2" t="s">
        <v>836</v>
      </c>
      <c r="G5406" s="2" t="str">
        <f>"SR-7461"</f>
        <v>SR-7461</v>
      </c>
      <c r="H5406" s="2" t="s">
        <v>23797</v>
      </c>
      <c r="I5406" s="2">
        <v>5872.0</v>
      </c>
      <c r="J5406" s="2" t="s">
        <v>23798</v>
      </c>
      <c r="K5406" s="2" t="s">
        <v>23799</v>
      </c>
      <c r="L5406" s="2" t="s">
        <v>172</v>
      </c>
      <c r="M5406" s="2">
        <v>75147.0</v>
      </c>
      <c r="N5406" s="2" t="s">
        <v>21</v>
      </c>
    </row>
    <row r="5407" ht="15.75" customHeight="1">
      <c r="A5407" s="2">
        <v>2016.0</v>
      </c>
      <c r="B5407" s="2" t="s">
        <v>14312</v>
      </c>
      <c r="C5407" s="2" t="s">
        <v>23800</v>
      </c>
      <c r="D5407" s="2" t="str">
        <f>"2087876023"</f>
        <v>2087876023</v>
      </c>
      <c r="E5407" s="2" t="s">
        <v>167</v>
      </c>
      <c r="F5407" s="2" t="s">
        <v>13666</v>
      </c>
      <c r="G5407" s="2" t="str">
        <f>"SR-7469"</f>
        <v>SR-7469</v>
      </c>
      <c r="H5407" s="2" t="s">
        <v>23801</v>
      </c>
      <c r="I5407" s="2" t="s">
        <v>23802</v>
      </c>
      <c r="K5407" s="2" t="s">
        <v>3067</v>
      </c>
      <c r="L5407" s="2" t="s">
        <v>2613</v>
      </c>
      <c r="M5407" s="2">
        <v>83455.0</v>
      </c>
      <c r="N5407" s="2" t="s">
        <v>21</v>
      </c>
    </row>
    <row r="5408" ht="15.75" customHeight="1">
      <c r="A5408" s="2">
        <v>2016.0</v>
      </c>
      <c r="B5408" s="2" t="s">
        <v>23803</v>
      </c>
      <c r="C5408" s="2" t="s">
        <v>23803</v>
      </c>
      <c r="D5408" s="2" t="str">
        <f>"2812025981"</f>
        <v>2812025981</v>
      </c>
      <c r="E5408" s="2" t="s">
        <v>301</v>
      </c>
      <c r="F5408" s="2" t="s">
        <v>22883</v>
      </c>
      <c r="G5408" s="2" t="str">
        <f>"SR-7394"</f>
        <v>SR-7394</v>
      </c>
      <c r="H5408" s="2" t="s">
        <v>23804</v>
      </c>
      <c r="I5408" s="2" t="s">
        <v>23805</v>
      </c>
      <c r="K5408" s="2" t="s">
        <v>23806</v>
      </c>
      <c r="L5408" s="2" t="s">
        <v>172</v>
      </c>
      <c r="M5408" s="2">
        <v>77441.0</v>
      </c>
      <c r="N5408" s="2" t="s">
        <v>21</v>
      </c>
    </row>
    <row r="5409" ht="15.75" customHeight="1">
      <c r="A5409" s="2">
        <v>2016.0</v>
      </c>
      <c r="B5409" s="2" t="s">
        <v>15801</v>
      </c>
      <c r="C5409" s="2" t="s">
        <v>23807</v>
      </c>
      <c r="D5409" s="2" t="str">
        <f>"402-761-2259"</f>
        <v>402-761-2259</v>
      </c>
      <c r="E5409" s="2" t="s">
        <v>843</v>
      </c>
      <c r="F5409" s="2" t="s">
        <v>1040</v>
      </c>
      <c r="G5409" s="2" t="str">
        <f>"SR-7473"</f>
        <v>SR-7473</v>
      </c>
      <c r="H5409" s="2" t="s">
        <v>23808</v>
      </c>
      <c r="I5409" s="2" t="s">
        <v>15804</v>
      </c>
      <c r="K5409" s="2" t="s">
        <v>3141</v>
      </c>
      <c r="L5409" s="2" t="s">
        <v>757</v>
      </c>
      <c r="M5409" s="2">
        <v>68405.0</v>
      </c>
      <c r="N5409" s="2" t="s">
        <v>21</v>
      </c>
    </row>
    <row r="5410" ht="15.75" customHeight="1">
      <c r="A5410" s="2">
        <v>2016.0</v>
      </c>
      <c r="B5410" s="2" t="s">
        <v>23809</v>
      </c>
      <c r="C5410" s="2" t="s">
        <v>23810</v>
      </c>
      <c r="D5410" s="2" t="str">
        <f>"310 892 7158"</f>
        <v>310 892 7158</v>
      </c>
      <c r="E5410" s="2" t="s">
        <v>2243</v>
      </c>
      <c r="F5410" s="2" t="s">
        <v>23811</v>
      </c>
      <c r="G5410" s="2" t="str">
        <f>"SR-7474"</f>
        <v>SR-7474</v>
      </c>
      <c r="H5410" s="2" t="s">
        <v>23812</v>
      </c>
      <c r="I5410" s="2" t="s">
        <v>23813</v>
      </c>
      <c r="K5410" s="2" t="s">
        <v>5955</v>
      </c>
      <c r="L5410" s="2" t="s">
        <v>222</v>
      </c>
      <c r="M5410" s="2">
        <v>90501.0</v>
      </c>
      <c r="N5410" s="2" t="s">
        <v>21</v>
      </c>
    </row>
    <row r="5411" ht="15.75" customHeight="1">
      <c r="A5411" s="2">
        <v>2016.0</v>
      </c>
      <c r="B5411" s="2" t="s">
        <v>10995</v>
      </c>
      <c r="C5411" s="2" t="s">
        <v>23814</v>
      </c>
      <c r="D5411" s="2" t="str">
        <f>"406-656-2766"</f>
        <v>406-656-2766</v>
      </c>
      <c r="E5411" s="2" t="s">
        <v>453</v>
      </c>
      <c r="F5411" s="2" t="s">
        <v>10996</v>
      </c>
      <c r="G5411" s="2" t="str">
        <f>"SR-7448"</f>
        <v>SR-7448</v>
      </c>
      <c r="H5411" s="2" t="s">
        <v>23815</v>
      </c>
      <c r="I5411" s="2" t="s">
        <v>23816</v>
      </c>
      <c r="K5411" s="2" t="s">
        <v>3548</v>
      </c>
      <c r="L5411" s="2" t="s">
        <v>2696</v>
      </c>
      <c r="M5411" s="2">
        <v>59102.0</v>
      </c>
      <c r="N5411" s="2" t="s">
        <v>21</v>
      </c>
    </row>
    <row r="5412" ht="15.75" customHeight="1">
      <c r="A5412" s="2">
        <v>2016.0</v>
      </c>
      <c r="B5412" s="2" t="s">
        <v>8728</v>
      </c>
      <c r="C5412" s="2" t="s">
        <v>23817</v>
      </c>
      <c r="D5412" s="2" t="str">
        <f>"4125001505"</f>
        <v>4125001505</v>
      </c>
      <c r="E5412" s="2" t="s">
        <v>23818</v>
      </c>
      <c r="F5412" s="2" t="s">
        <v>8730</v>
      </c>
      <c r="G5412" s="2" t="str">
        <f>"SR-7415"</f>
        <v>SR-7415</v>
      </c>
      <c r="H5412" s="2" t="s">
        <v>23819</v>
      </c>
      <c r="I5412" s="2" t="s">
        <v>8732</v>
      </c>
      <c r="K5412" s="2" t="s">
        <v>8733</v>
      </c>
      <c r="L5412" s="2" t="s">
        <v>179</v>
      </c>
      <c r="M5412" s="2">
        <v>15215.0</v>
      </c>
      <c r="N5412" s="2" t="s">
        <v>21</v>
      </c>
    </row>
    <row r="5413" ht="15.75" customHeight="1">
      <c r="A5413" s="2">
        <v>2016.0</v>
      </c>
      <c r="B5413" s="2" t="s">
        <v>23820</v>
      </c>
      <c r="C5413" s="2" t="s">
        <v>23821</v>
      </c>
      <c r="D5413" s="2" t="str">
        <f>"314.400.0394"</f>
        <v>314.400.0394</v>
      </c>
      <c r="E5413" s="2" t="s">
        <v>2158</v>
      </c>
      <c r="F5413" s="2" t="s">
        <v>2930</v>
      </c>
      <c r="G5413" s="2" t="str">
        <f>"SR-7321"</f>
        <v>SR-7321</v>
      </c>
      <c r="H5413" s="2" t="s">
        <v>23822</v>
      </c>
      <c r="I5413" s="2" t="s">
        <v>23823</v>
      </c>
      <c r="K5413" s="2" t="s">
        <v>23824</v>
      </c>
      <c r="L5413" s="2" t="s">
        <v>214</v>
      </c>
      <c r="M5413" s="2">
        <v>63021.0</v>
      </c>
      <c r="N5413" s="2" t="s">
        <v>21</v>
      </c>
    </row>
    <row r="5414" ht="15.75" customHeight="1">
      <c r="A5414" s="2">
        <v>2016.0</v>
      </c>
      <c r="B5414" s="2" t="s">
        <v>19202</v>
      </c>
      <c r="C5414" s="2" t="s">
        <v>23825</v>
      </c>
      <c r="D5414" s="2" t="str">
        <f>"6086047911"</f>
        <v>6086047911</v>
      </c>
      <c r="E5414" s="2" t="s">
        <v>705</v>
      </c>
      <c r="F5414" s="2" t="s">
        <v>868</v>
      </c>
      <c r="G5414" s="2" t="str">
        <f>"SR-7440"</f>
        <v>SR-7440</v>
      </c>
      <c r="H5414" s="2" t="s">
        <v>23826</v>
      </c>
      <c r="I5414" s="2" t="s">
        <v>23827</v>
      </c>
      <c r="K5414" s="2" t="s">
        <v>9868</v>
      </c>
      <c r="L5414" s="2" t="s">
        <v>279</v>
      </c>
      <c r="M5414" s="2">
        <v>37027.0</v>
      </c>
      <c r="N5414" s="2" t="s">
        <v>21</v>
      </c>
    </row>
    <row r="5415" ht="15.75" customHeight="1">
      <c r="A5415" s="2">
        <v>2016.0</v>
      </c>
      <c r="B5415" s="2" t="s">
        <v>23828</v>
      </c>
      <c r="C5415" s="2" t="s">
        <v>23829</v>
      </c>
      <c r="D5415" s="2" t="str">
        <f>"7202789351"</f>
        <v>7202789351</v>
      </c>
      <c r="E5415" s="2" t="s">
        <v>23830</v>
      </c>
      <c r="F5415" s="2" t="s">
        <v>14135</v>
      </c>
      <c r="G5415" s="2" t="str">
        <f>"SR-7482"</f>
        <v>SR-7482</v>
      </c>
      <c r="H5415" s="2" t="s">
        <v>23831</v>
      </c>
      <c r="I5415" s="2" t="s">
        <v>23832</v>
      </c>
      <c r="K5415" s="2" t="s">
        <v>17147</v>
      </c>
      <c r="L5415" s="2" t="s">
        <v>157</v>
      </c>
      <c r="M5415" s="2">
        <v>80601.0</v>
      </c>
      <c r="N5415" s="2" t="s">
        <v>21</v>
      </c>
    </row>
    <row r="5416" ht="15.75" customHeight="1">
      <c r="A5416" s="2">
        <v>2016.0</v>
      </c>
      <c r="B5416" s="2" t="s">
        <v>23833</v>
      </c>
      <c r="C5416" s="2" t="s">
        <v>23833</v>
      </c>
      <c r="D5416" s="2" t="str">
        <f>"4063573174"</f>
        <v>4063573174</v>
      </c>
      <c r="E5416" s="2" t="s">
        <v>24</v>
      </c>
      <c r="F5416" s="2" t="s">
        <v>9464</v>
      </c>
      <c r="G5416" s="2" t="str">
        <f>"SR-7230"</f>
        <v>SR-7230</v>
      </c>
      <c r="H5416" s="2" t="s">
        <v>23834</v>
      </c>
      <c r="I5416" s="2" t="s">
        <v>23835</v>
      </c>
      <c r="K5416" s="2" t="s">
        <v>23836</v>
      </c>
      <c r="L5416" s="2" t="s">
        <v>2696</v>
      </c>
      <c r="M5416" s="2">
        <v>59523.0</v>
      </c>
      <c r="N5416" s="2" t="s">
        <v>21</v>
      </c>
    </row>
    <row r="5417" ht="15.75" customHeight="1">
      <c r="A5417" s="2">
        <v>2016.0</v>
      </c>
      <c r="B5417" s="2" t="s">
        <v>23837</v>
      </c>
      <c r="C5417" s="2" t="s">
        <v>23838</v>
      </c>
      <c r="D5417" s="2" t="str">
        <f>"505-385-5600"</f>
        <v>505-385-5600</v>
      </c>
      <c r="E5417" s="2" t="s">
        <v>2800</v>
      </c>
      <c r="F5417" s="2" t="s">
        <v>23839</v>
      </c>
      <c r="G5417" s="2" t="str">
        <f>"SR-7486"</f>
        <v>SR-7486</v>
      </c>
      <c r="H5417" s="2" t="s">
        <v>23840</v>
      </c>
      <c r="I5417" s="2" t="s">
        <v>23841</v>
      </c>
      <c r="K5417" s="2" t="s">
        <v>3705</v>
      </c>
      <c r="L5417" s="2" t="s">
        <v>789</v>
      </c>
      <c r="M5417" s="2">
        <v>87106.0</v>
      </c>
      <c r="N5417" s="2" t="s">
        <v>21</v>
      </c>
    </row>
    <row r="5418" ht="15.75" customHeight="1">
      <c r="A5418" s="2">
        <v>2016.0</v>
      </c>
      <c r="B5418" s="2" t="s">
        <v>23842</v>
      </c>
      <c r="C5418" s="2" t="s">
        <v>23842</v>
      </c>
      <c r="D5418" s="2" t="str">
        <f>"262-527-2448"</f>
        <v>262-527-2448</v>
      </c>
      <c r="E5418" s="2" t="s">
        <v>1076</v>
      </c>
      <c r="F5418" s="2" t="s">
        <v>23843</v>
      </c>
      <c r="G5418" s="2" t="str">
        <f>"SR-7488"</f>
        <v>SR-7488</v>
      </c>
      <c r="H5418" s="2" t="s">
        <v>23844</v>
      </c>
      <c r="I5418" s="2" t="s">
        <v>23845</v>
      </c>
      <c r="K5418" s="2" t="s">
        <v>23846</v>
      </c>
      <c r="L5418" s="2" t="s">
        <v>193</v>
      </c>
      <c r="M5418" s="2">
        <v>53051.0</v>
      </c>
      <c r="N5418" s="2" t="s">
        <v>21</v>
      </c>
    </row>
    <row r="5419" ht="15.75" customHeight="1">
      <c r="A5419" s="2">
        <v>2016.0</v>
      </c>
      <c r="B5419" s="2" t="s">
        <v>23847</v>
      </c>
      <c r="C5419" s="2" t="s">
        <v>23847</v>
      </c>
      <c r="D5419" s="2" t="str">
        <f>"3087302696"</f>
        <v>3087302696</v>
      </c>
      <c r="E5419" s="2" t="s">
        <v>23754</v>
      </c>
      <c r="F5419" s="2" t="s">
        <v>23848</v>
      </c>
      <c r="G5419" s="2" t="str">
        <f>"SR-7489"</f>
        <v>SR-7489</v>
      </c>
      <c r="H5419" s="2" t="s">
        <v>23849</v>
      </c>
      <c r="I5419" s="2" t="s">
        <v>23850</v>
      </c>
      <c r="K5419" s="2" t="s">
        <v>23851</v>
      </c>
      <c r="L5419" s="2" t="s">
        <v>757</v>
      </c>
      <c r="M5419" s="2">
        <v>68862.0</v>
      </c>
      <c r="N5419" s="2" t="s">
        <v>21</v>
      </c>
    </row>
    <row r="5420" ht="15.75" customHeight="1">
      <c r="A5420" s="2">
        <v>2016.0</v>
      </c>
      <c r="B5420" s="2" t="s">
        <v>6249</v>
      </c>
      <c r="C5420" s="2" t="s">
        <v>23852</v>
      </c>
      <c r="D5420" s="2" t="str">
        <f>"336-447-5058"</f>
        <v>336-447-5058</v>
      </c>
      <c r="E5420" s="2" t="s">
        <v>862</v>
      </c>
      <c r="F5420" s="2" t="s">
        <v>89</v>
      </c>
      <c r="G5420" s="2" t="str">
        <f>"SR-7436"</f>
        <v>SR-7436</v>
      </c>
      <c r="H5420" s="2" t="s">
        <v>23853</v>
      </c>
      <c r="I5420" s="2" t="s">
        <v>6251</v>
      </c>
      <c r="K5420" s="2" t="s">
        <v>6252</v>
      </c>
      <c r="L5420" s="2" t="s">
        <v>20</v>
      </c>
      <c r="M5420" s="2">
        <v>27244.0</v>
      </c>
      <c r="N5420" s="2" t="s">
        <v>21</v>
      </c>
    </row>
    <row r="5421" ht="15.75" customHeight="1">
      <c r="A5421" s="2">
        <v>2016.0</v>
      </c>
      <c r="B5421" s="2" t="s">
        <v>3459</v>
      </c>
      <c r="C5421" s="2" t="s">
        <v>23854</v>
      </c>
      <c r="D5421" s="2" t="str">
        <f>"317-771-7382"</f>
        <v>317-771-7382</v>
      </c>
      <c r="E5421" s="2" t="s">
        <v>471</v>
      </c>
      <c r="F5421" s="2" t="s">
        <v>3461</v>
      </c>
      <c r="G5421" s="2" t="str">
        <f>"SR-7467"</f>
        <v>SR-7467</v>
      </c>
      <c r="H5421" s="2" t="s">
        <v>23855</v>
      </c>
      <c r="I5421" s="2" t="s">
        <v>23856</v>
      </c>
      <c r="K5421" s="2" t="s">
        <v>3464</v>
      </c>
      <c r="L5421" s="2" t="s">
        <v>149</v>
      </c>
      <c r="M5421" s="2">
        <v>46158.0</v>
      </c>
      <c r="N5421" s="2" t="s">
        <v>21</v>
      </c>
    </row>
    <row r="5422" ht="15.75" customHeight="1">
      <c r="A5422" s="2">
        <v>2016.0</v>
      </c>
      <c r="B5422" s="2" t="s">
        <v>19945</v>
      </c>
      <c r="C5422" s="2" t="s">
        <v>19946</v>
      </c>
      <c r="D5422" s="2" t="str">
        <f>"623-451-5124"</f>
        <v>623-451-5124</v>
      </c>
      <c r="E5422" s="2" t="s">
        <v>1239</v>
      </c>
      <c r="F5422" s="2" t="s">
        <v>19947</v>
      </c>
      <c r="G5422" s="2" t="str">
        <f>"SR-5868"</f>
        <v>SR-5868</v>
      </c>
      <c r="H5422" s="2" t="s">
        <v>19948</v>
      </c>
      <c r="I5422" s="2" t="s">
        <v>19949</v>
      </c>
      <c r="K5422" s="2" t="s">
        <v>19950</v>
      </c>
      <c r="L5422" s="2" t="s">
        <v>422</v>
      </c>
      <c r="M5422" s="2">
        <v>85379.0</v>
      </c>
      <c r="N5422" s="2" t="s">
        <v>21</v>
      </c>
    </row>
    <row r="5423" ht="15.75" customHeight="1">
      <c r="A5423" s="2">
        <v>2016.0</v>
      </c>
      <c r="B5423" s="2" t="s">
        <v>19164</v>
      </c>
      <c r="C5423" s="2" t="s">
        <v>19164</v>
      </c>
      <c r="D5423" s="2" t="str">
        <f>"9729849786"</f>
        <v>9729849786</v>
      </c>
      <c r="E5423" s="2" t="s">
        <v>1434</v>
      </c>
      <c r="F5423" s="2" t="s">
        <v>19165</v>
      </c>
      <c r="G5423" s="2" t="str">
        <f>"SR-6642"</f>
        <v>SR-6642</v>
      </c>
      <c r="H5423" s="2" t="s">
        <v>19166</v>
      </c>
      <c r="I5423" s="2" t="s">
        <v>23857</v>
      </c>
      <c r="K5423" s="2" t="s">
        <v>3144</v>
      </c>
      <c r="L5423" s="2" t="s">
        <v>172</v>
      </c>
      <c r="M5423" s="2">
        <v>75002.0</v>
      </c>
      <c r="N5423" s="2" t="s">
        <v>21</v>
      </c>
    </row>
    <row r="5424" ht="15.75" customHeight="1">
      <c r="A5424" s="2">
        <v>2016.0</v>
      </c>
      <c r="B5424" s="2" t="s">
        <v>23858</v>
      </c>
      <c r="C5424" s="2" t="s">
        <v>23859</v>
      </c>
      <c r="D5424" s="2" t="str">
        <f>"407- 463-7620"</f>
        <v>407- 463-7620</v>
      </c>
      <c r="E5424" s="2" t="s">
        <v>1529</v>
      </c>
      <c r="F5424" s="2" t="s">
        <v>23860</v>
      </c>
      <c r="G5424" s="2" t="str">
        <f>"SR-7493"</f>
        <v>SR-7493</v>
      </c>
      <c r="H5424" s="2" t="s">
        <v>23861</v>
      </c>
      <c r="I5424" s="2" t="s">
        <v>23862</v>
      </c>
      <c r="K5424" s="2" t="s">
        <v>23863</v>
      </c>
      <c r="L5424" s="2" t="s">
        <v>208</v>
      </c>
      <c r="M5424" s="2">
        <v>32798.0</v>
      </c>
      <c r="N5424" s="2" t="s">
        <v>21</v>
      </c>
    </row>
    <row r="5425" ht="15.75" customHeight="1">
      <c r="A5425" s="2">
        <v>2016.0</v>
      </c>
      <c r="B5425" s="2" t="s">
        <v>23864</v>
      </c>
      <c r="D5425" s="2" t="str">
        <f>""</f>
        <v/>
      </c>
      <c r="E5425" s="2" t="s">
        <v>167</v>
      </c>
      <c r="F5425" s="2" t="s">
        <v>23865</v>
      </c>
      <c r="G5425" s="2" t="str">
        <f>"SR-7487"</f>
        <v>SR-7487</v>
      </c>
      <c r="H5425" s="2" t="s">
        <v>23866</v>
      </c>
      <c r="I5425" s="2" t="s">
        <v>23867</v>
      </c>
      <c r="K5425" s="2" t="s">
        <v>5799</v>
      </c>
      <c r="L5425" s="2" t="s">
        <v>539</v>
      </c>
      <c r="M5425" s="2">
        <v>35645.0</v>
      </c>
      <c r="N5425" s="2" t="s">
        <v>21</v>
      </c>
    </row>
    <row r="5426" ht="15.75" customHeight="1">
      <c r="A5426" s="2">
        <v>2016.0</v>
      </c>
      <c r="B5426" s="2" t="s">
        <v>23868</v>
      </c>
      <c r="C5426" s="2" t="s">
        <v>23869</v>
      </c>
      <c r="D5426" s="2" t="str">
        <f>"5743049551"</f>
        <v>5743049551</v>
      </c>
      <c r="E5426" s="2" t="s">
        <v>428</v>
      </c>
      <c r="F5426" s="2" t="s">
        <v>89</v>
      </c>
      <c r="G5426" s="2" t="str">
        <f>"SR-7497"</f>
        <v>SR-7497</v>
      </c>
      <c r="H5426" s="2" t="s">
        <v>23870</v>
      </c>
      <c r="I5426" s="2" t="s">
        <v>23871</v>
      </c>
      <c r="K5426" s="2" t="s">
        <v>23872</v>
      </c>
      <c r="L5426" s="2" t="s">
        <v>149</v>
      </c>
      <c r="M5426" s="2">
        <v>46565.0</v>
      </c>
      <c r="N5426" s="2" t="s">
        <v>21</v>
      </c>
    </row>
    <row r="5427" ht="15.75" customHeight="1">
      <c r="A5427" s="2">
        <v>2016.0</v>
      </c>
      <c r="B5427" s="2" t="s">
        <v>23873</v>
      </c>
      <c r="C5427" s="2" t="s">
        <v>23874</v>
      </c>
      <c r="D5427" s="2" t="str">
        <f>"7206262531"</f>
        <v>7206262531</v>
      </c>
      <c r="E5427" s="2" t="s">
        <v>1197</v>
      </c>
      <c r="F5427" s="2" t="s">
        <v>23875</v>
      </c>
      <c r="G5427" s="2" t="str">
        <f>"SR-7425"</f>
        <v>SR-7425</v>
      </c>
      <c r="H5427" s="2" t="s">
        <v>23876</v>
      </c>
      <c r="I5427" s="2" t="s">
        <v>23877</v>
      </c>
      <c r="K5427" s="2" t="s">
        <v>5412</v>
      </c>
      <c r="L5427" s="2" t="s">
        <v>157</v>
      </c>
      <c r="M5427" s="2">
        <v>80135.0</v>
      </c>
      <c r="N5427" s="2" t="s">
        <v>21</v>
      </c>
    </row>
    <row r="5428" ht="15.75" customHeight="1">
      <c r="A5428" s="2">
        <v>2016.0</v>
      </c>
      <c r="B5428" s="2" t="s">
        <v>23868</v>
      </c>
      <c r="C5428" s="2" t="s">
        <v>23878</v>
      </c>
      <c r="D5428" s="2" t="str">
        <f>"5743233343"</f>
        <v>5743233343</v>
      </c>
      <c r="E5428" s="2" t="s">
        <v>3743</v>
      </c>
      <c r="F5428" s="2" t="s">
        <v>89</v>
      </c>
      <c r="G5428" s="2" t="str">
        <f>"SR-7499"</f>
        <v>SR-7499</v>
      </c>
      <c r="H5428" s="2" t="s">
        <v>23879</v>
      </c>
      <c r="I5428" s="2" t="s">
        <v>23871</v>
      </c>
      <c r="K5428" s="2" t="s">
        <v>23872</v>
      </c>
      <c r="L5428" s="2" t="s">
        <v>149</v>
      </c>
      <c r="M5428" s="2">
        <v>46565.0</v>
      </c>
      <c r="N5428" s="2" t="s">
        <v>21</v>
      </c>
    </row>
    <row r="5429" ht="15.75" customHeight="1">
      <c r="A5429" s="2">
        <v>2016.0</v>
      </c>
      <c r="B5429" s="2" t="s">
        <v>23880</v>
      </c>
      <c r="C5429" s="2" t="s">
        <v>23880</v>
      </c>
      <c r="D5429" s="2" t="str">
        <f>"3095669576"</f>
        <v>3095669576</v>
      </c>
      <c r="E5429" s="2" t="s">
        <v>1054</v>
      </c>
      <c r="F5429" s="2" t="s">
        <v>23881</v>
      </c>
      <c r="G5429" s="2" t="str">
        <f>"SR-7500"</f>
        <v>SR-7500</v>
      </c>
      <c r="H5429" s="2" t="s">
        <v>23882</v>
      </c>
      <c r="I5429" s="2" t="s">
        <v>23883</v>
      </c>
      <c r="K5429" s="2" t="s">
        <v>9467</v>
      </c>
      <c r="L5429" s="2" t="s">
        <v>105</v>
      </c>
      <c r="M5429" s="2">
        <v>61550.0</v>
      </c>
      <c r="N5429" s="2" t="s">
        <v>21</v>
      </c>
    </row>
    <row r="5430" ht="15.75" customHeight="1">
      <c r="A5430" s="2">
        <v>2016.0</v>
      </c>
      <c r="B5430" s="2" t="s">
        <v>23884</v>
      </c>
      <c r="C5430" s="2" t="s">
        <v>23884</v>
      </c>
      <c r="D5430" s="2" t="str">
        <f>"3099895275"</f>
        <v>3099895275</v>
      </c>
      <c r="E5430" s="2" t="s">
        <v>3043</v>
      </c>
      <c r="F5430" s="2" t="s">
        <v>23881</v>
      </c>
      <c r="G5430" s="2" t="str">
        <f>"SR-7464"</f>
        <v>SR-7464</v>
      </c>
      <c r="H5430" s="2" t="s">
        <v>23885</v>
      </c>
      <c r="I5430" s="2" t="s">
        <v>23886</v>
      </c>
      <c r="K5430" s="2" t="s">
        <v>9467</v>
      </c>
      <c r="L5430" s="2" t="s">
        <v>105</v>
      </c>
      <c r="M5430" s="2">
        <v>61550.0</v>
      </c>
      <c r="N5430" s="2" t="s">
        <v>21</v>
      </c>
    </row>
    <row r="5431" ht="15.75" customHeight="1">
      <c r="A5431" s="2">
        <v>2016.0</v>
      </c>
      <c r="B5431" s="2" t="s">
        <v>23887</v>
      </c>
      <c r="C5431" s="2" t="s">
        <v>23888</v>
      </c>
      <c r="D5431" s="2" t="str">
        <f>"3175024927"</f>
        <v>3175024927</v>
      </c>
      <c r="E5431" s="2" t="s">
        <v>2361</v>
      </c>
      <c r="F5431" s="2" t="s">
        <v>9021</v>
      </c>
      <c r="G5431" s="2" t="str">
        <f>"SR-2451"</f>
        <v>SR-2451</v>
      </c>
      <c r="H5431" s="2" t="s">
        <v>23889</v>
      </c>
      <c r="I5431" s="2" t="s">
        <v>23890</v>
      </c>
      <c r="K5431" s="2" t="s">
        <v>3464</v>
      </c>
      <c r="L5431" s="2" t="s">
        <v>149</v>
      </c>
      <c r="M5431" s="2">
        <v>46158.0</v>
      </c>
      <c r="N5431" s="2" t="s">
        <v>21</v>
      </c>
    </row>
    <row r="5432" ht="15.75" customHeight="1">
      <c r="A5432" s="2">
        <v>2016.0</v>
      </c>
      <c r="B5432" s="2" t="s">
        <v>23891</v>
      </c>
      <c r="C5432" s="2" t="s">
        <v>23892</v>
      </c>
      <c r="D5432" s="2" t="str">
        <f>"5033071708"</f>
        <v>5033071708</v>
      </c>
      <c r="E5432" s="2" t="s">
        <v>2243</v>
      </c>
      <c r="F5432" s="2" t="s">
        <v>7251</v>
      </c>
      <c r="G5432" s="2" t="str">
        <f>"SR-7364"</f>
        <v>SR-7364</v>
      </c>
      <c r="H5432" s="2" t="s">
        <v>23893</v>
      </c>
      <c r="I5432" s="2" t="s">
        <v>23894</v>
      </c>
      <c r="K5432" s="2" t="s">
        <v>788</v>
      </c>
      <c r="L5432" s="2" t="s">
        <v>2389</v>
      </c>
      <c r="M5432" s="2">
        <v>97124.0</v>
      </c>
      <c r="N5432" s="2" t="s">
        <v>21</v>
      </c>
    </row>
    <row r="5433" ht="15.75" customHeight="1">
      <c r="A5433" s="2">
        <v>2016.0</v>
      </c>
      <c r="B5433" s="2" t="s">
        <v>23895</v>
      </c>
      <c r="C5433" s="2" t="s">
        <v>23896</v>
      </c>
      <c r="D5433" s="2" t="str">
        <f>"605-731-9676"</f>
        <v>605-731-9676</v>
      </c>
      <c r="E5433" s="2" t="s">
        <v>2263</v>
      </c>
      <c r="F5433" s="2" t="s">
        <v>23897</v>
      </c>
      <c r="G5433" s="2" t="str">
        <f>"SR-7404"</f>
        <v>SR-7404</v>
      </c>
      <c r="H5433" s="2" t="s">
        <v>23898</v>
      </c>
      <c r="I5433" s="2" t="s">
        <v>23899</v>
      </c>
      <c r="K5433" s="2" t="s">
        <v>2147</v>
      </c>
      <c r="L5433" s="2" t="s">
        <v>920</v>
      </c>
      <c r="M5433" s="2">
        <v>57005.0</v>
      </c>
      <c r="N5433" s="2" t="s">
        <v>21</v>
      </c>
    </row>
    <row r="5434" ht="15.75" customHeight="1">
      <c r="A5434" s="2">
        <v>2016.0</v>
      </c>
      <c r="B5434" s="2" t="s">
        <v>11111</v>
      </c>
      <c r="C5434" s="2" t="s">
        <v>11111</v>
      </c>
      <c r="D5434" s="2" t="str">
        <f>"3034038223"</f>
        <v>3034038223</v>
      </c>
      <c r="E5434" s="2" t="s">
        <v>1015</v>
      </c>
      <c r="F5434" s="2" t="s">
        <v>9115</v>
      </c>
      <c r="G5434" s="2" t="str">
        <f>"SR-7507"</f>
        <v>SR-7507</v>
      </c>
      <c r="H5434" s="2" t="s">
        <v>23900</v>
      </c>
      <c r="I5434" s="2" t="s">
        <v>11113</v>
      </c>
      <c r="K5434" s="2" t="s">
        <v>1502</v>
      </c>
      <c r="L5434" s="2" t="s">
        <v>157</v>
      </c>
      <c r="M5434" s="2">
        <v>80005.0</v>
      </c>
      <c r="N5434" s="2" t="s">
        <v>21</v>
      </c>
    </row>
    <row r="5435" ht="15.75" customHeight="1">
      <c r="A5435" s="2">
        <v>2016.0</v>
      </c>
      <c r="B5435" s="2" t="s">
        <v>3835</v>
      </c>
      <c r="C5435" s="2" t="s">
        <v>3836</v>
      </c>
      <c r="D5435" s="2" t="str">
        <f t="shared" ref="D5435:D5436" si="98">"3035061551"</f>
        <v>3035061551</v>
      </c>
      <c r="E5435" s="2" t="s">
        <v>1208</v>
      </c>
      <c r="F5435" s="2" t="s">
        <v>3837</v>
      </c>
      <c r="G5435" s="2" t="str">
        <f>"SR-1118"</f>
        <v>SR-1118</v>
      </c>
      <c r="H5435" s="2" t="s">
        <v>3838</v>
      </c>
      <c r="I5435" s="2" t="s">
        <v>8633</v>
      </c>
      <c r="K5435" s="2" t="s">
        <v>1054</v>
      </c>
      <c r="L5435" s="2" t="s">
        <v>157</v>
      </c>
      <c r="M5435" s="2">
        <v>80138.0</v>
      </c>
      <c r="N5435" s="2" t="s">
        <v>21</v>
      </c>
    </row>
    <row r="5436" ht="15.75" customHeight="1">
      <c r="A5436" s="2">
        <v>2016.0</v>
      </c>
      <c r="B5436" s="2" t="s">
        <v>3835</v>
      </c>
      <c r="C5436" s="2" t="s">
        <v>8631</v>
      </c>
      <c r="D5436" s="2" t="str">
        <f t="shared" si="98"/>
        <v>3035061551</v>
      </c>
      <c r="E5436" s="2" t="s">
        <v>590</v>
      </c>
      <c r="F5436" s="2" t="s">
        <v>3837</v>
      </c>
      <c r="G5436" s="2" t="str">
        <f>"SR-2452"</f>
        <v>SR-2452</v>
      </c>
      <c r="H5436" s="2" t="s">
        <v>8632</v>
      </c>
      <c r="I5436" s="2" t="s">
        <v>8633</v>
      </c>
      <c r="K5436" s="2" t="s">
        <v>1054</v>
      </c>
      <c r="L5436" s="2" t="s">
        <v>157</v>
      </c>
      <c r="M5436" s="2">
        <v>80138.0</v>
      </c>
      <c r="N5436" s="2" t="s">
        <v>21</v>
      </c>
    </row>
    <row r="5437" ht="15.75" customHeight="1">
      <c r="A5437" s="2">
        <v>2016.0</v>
      </c>
      <c r="B5437" s="2" t="s">
        <v>7060</v>
      </c>
      <c r="C5437" s="2" t="s">
        <v>23901</v>
      </c>
      <c r="D5437" s="2" t="str">
        <f>"303-795-9848"</f>
        <v>303-795-9848</v>
      </c>
      <c r="E5437" s="2" t="s">
        <v>3555</v>
      </c>
      <c r="F5437" s="2" t="s">
        <v>7062</v>
      </c>
      <c r="G5437" s="2" t="str">
        <f>"SR-7508"</f>
        <v>SR-7508</v>
      </c>
      <c r="H5437" s="2" t="s">
        <v>23902</v>
      </c>
      <c r="I5437" s="2" t="s">
        <v>23903</v>
      </c>
      <c r="K5437" s="2" t="s">
        <v>992</v>
      </c>
      <c r="L5437" s="2" t="s">
        <v>157</v>
      </c>
      <c r="M5437" s="2">
        <v>80122.0</v>
      </c>
      <c r="N5437" s="2" t="s">
        <v>21</v>
      </c>
    </row>
    <row r="5438" ht="15.75" customHeight="1">
      <c r="A5438" s="2">
        <v>2016.0</v>
      </c>
      <c r="B5438" s="2" t="s">
        <v>23904</v>
      </c>
      <c r="C5438" s="2" t="s">
        <v>23904</v>
      </c>
      <c r="D5438" s="2" t="str">
        <f>"720-397-8304"</f>
        <v>720-397-8304</v>
      </c>
      <c r="E5438" s="2" t="s">
        <v>471</v>
      </c>
      <c r="F5438" s="2" t="s">
        <v>434</v>
      </c>
      <c r="G5438" s="2" t="str">
        <f>"SR-7298"</f>
        <v>SR-7298</v>
      </c>
      <c r="H5438" s="2" t="s">
        <v>23905</v>
      </c>
      <c r="I5438" s="2" t="s">
        <v>23906</v>
      </c>
      <c r="K5438" s="2" t="s">
        <v>1054</v>
      </c>
      <c r="L5438" s="2" t="s">
        <v>157</v>
      </c>
      <c r="M5438" s="2">
        <v>80134.0</v>
      </c>
      <c r="N5438" s="2" t="s">
        <v>21</v>
      </c>
    </row>
    <row r="5439" ht="15.75" customHeight="1">
      <c r="A5439" s="2">
        <v>2016.0</v>
      </c>
      <c r="B5439" s="2" t="s">
        <v>20698</v>
      </c>
      <c r="C5439" s="2" t="s">
        <v>20698</v>
      </c>
      <c r="D5439" s="2" t="str">
        <f>"9013054056"</f>
        <v>9013054056</v>
      </c>
      <c r="E5439" s="2" t="s">
        <v>160</v>
      </c>
      <c r="F5439" s="2" t="s">
        <v>5434</v>
      </c>
      <c r="G5439" s="2" t="str">
        <f>"SR-5713"</f>
        <v>SR-5713</v>
      </c>
      <c r="H5439" s="2" t="s">
        <v>20699</v>
      </c>
      <c r="I5439" s="2" t="s">
        <v>5436</v>
      </c>
      <c r="K5439" s="2" t="s">
        <v>5437</v>
      </c>
      <c r="L5439" s="2" t="s">
        <v>279</v>
      </c>
      <c r="M5439" s="2">
        <v>38135.0</v>
      </c>
      <c r="N5439" s="2" t="s">
        <v>21</v>
      </c>
    </row>
    <row r="5440" ht="15.75" customHeight="1">
      <c r="A5440" s="2">
        <v>2016.0</v>
      </c>
      <c r="B5440" s="2" t="s">
        <v>23907</v>
      </c>
      <c r="C5440" s="2" t="s">
        <v>23907</v>
      </c>
      <c r="D5440" s="2" t="str">
        <f>"630 847 9638"</f>
        <v>630 847 9638</v>
      </c>
      <c r="E5440" s="2" t="s">
        <v>1767</v>
      </c>
      <c r="F5440" s="2" t="s">
        <v>23908</v>
      </c>
      <c r="G5440" s="2" t="str">
        <f>"SR-7514"</f>
        <v>SR-7514</v>
      </c>
      <c r="H5440" s="2" t="s">
        <v>23909</v>
      </c>
      <c r="I5440" s="2" t="s">
        <v>6247</v>
      </c>
      <c r="K5440" s="2" t="s">
        <v>6248</v>
      </c>
      <c r="L5440" s="2" t="s">
        <v>105</v>
      </c>
      <c r="M5440" s="2">
        <v>60126.0</v>
      </c>
      <c r="N5440" s="2" t="s">
        <v>21</v>
      </c>
    </row>
    <row r="5441" ht="15.75" customHeight="1">
      <c r="A5441" s="2">
        <v>2016.0</v>
      </c>
      <c r="B5441" s="2" t="s">
        <v>20698</v>
      </c>
      <c r="C5441" s="2" t="s">
        <v>23910</v>
      </c>
      <c r="D5441" s="2" t="str">
        <f>"901-425-6332"</f>
        <v>901-425-6332</v>
      </c>
      <c r="E5441" s="2" t="s">
        <v>23911</v>
      </c>
      <c r="F5441" s="2" t="s">
        <v>5434</v>
      </c>
      <c r="G5441" s="2" t="str">
        <f>"SR-7476"</f>
        <v>SR-7476</v>
      </c>
      <c r="H5441" s="2" t="s">
        <v>23912</v>
      </c>
      <c r="I5441" s="2" t="s">
        <v>23913</v>
      </c>
      <c r="K5441" s="2" t="s">
        <v>5437</v>
      </c>
      <c r="L5441" s="2" t="s">
        <v>279</v>
      </c>
      <c r="M5441" s="2">
        <v>38135.0</v>
      </c>
      <c r="N5441" s="2" t="s">
        <v>21</v>
      </c>
    </row>
    <row r="5442" ht="15.75" customHeight="1">
      <c r="A5442" s="2">
        <v>2016.0</v>
      </c>
      <c r="B5442" s="2" t="s">
        <v>23914</v>
      </c>
      <c r="C5442" s="2" t="s">
        <v>23915</v>
      </c>
      <c r="D5442" s="2" t="str">
        <f>"3035195023"</f>
        <v>3035195023</v>
      </c>
      <c r="E5442" s="2" t="s">
        <v>2263</v>
      </c>
      <c r="F5442" s="2" t="s">
        <v>23916</v>
      </c>
      <c r="G5442" s="2" t="str">
        <f>"SR-7515"</f>
        <v>SR-7515</v>
      </c>
      <c r="H5442" s="2" t="s">
        <v>23917</v>
      </c>
      <c r="I5442" s="2" t="s">
        <v>23918</v>
      </c>
      <c r="K5442" s="2" t="s">
        <v>682</v>
      </c>
      <c r="L5442" s="2" t="s">
        <v>157</v>
      </c>
      <c r="M5442" s="2">
        <v>80126.0</v>
      </c>
      <c r="N5442" s="2" t="s">
        <v>21</v>
      </c>
    </row>
    <row r="5443" ht="15.75" customHeight="1">
      <c r="A5443" s="2">
        <v>2016.0</v>
      </c>
      <c r="B5443" s="2" t="s">
        <v>23919</v>
      </c>
      <c r="C5443" s="2" t="s">
        <v>23920</v>
      </c>
      <c r="D5443" s="2" t="str">
        <f>"9016743372"</f>
        <v>9016743372</v>
      </c>
      <c r="E5443" s="2" t="s">
        <v>23921</v>
      </c>
      <c r="F5443" s="2" t="s">
        <v>23922</v>
      </c>
      <c r="G5443" s="2" t="str">
        <f>"SR-7516"</f>
        <v>SR-7516</v>
      </c>
      <c r="H5443" s="2" t="s">
        <v>23923</v>
      </c>
      <c r="I5443" s="2">
        <v>3205.0</v>
      </c>
      <c r="J5443" s="2" t="s">
        <v>23924</v>
      </c>
      <c r="K5443" s="2" t="s">
        <v>9257</v>
      </c>
      <c r="L5443" s="2" t="s">
        <v>279</v>
      </c>
      <c r="M5443" s="2">
        <v>38138.0</v>
      </c>
      <c r="N5443" s="2" t="s">
        <v>21</v>
      </c>
    </row>
    <row r="5444" ht="15.75" customHeight="1">
      <c r="A5444" s="2">
        <v>2016.0</v>
      </c>
      <c r="B5444" s="2" t="s">
        <v>23925</v>
      </c>
      <c r="C5444" s="2" t="s">
        <v>23926</v>
      </c>
      <c r="D5444" s="2" t="str">
        <f>"832-363-7453"</f>
        <v>832-363-7453</v>
      </c>
      <c r="E5444" s="2" t="s">
        <v>23927</v>
      </c>
      <c r="F5444" s="2" t="s">
        <v>11470</v>
      </c>
      <c r="G5444" s="2" t="str">
        <f>"SR-7518"</f>
        <v>SR-7518</v>
      </c>
      <c r="H5444" s="2" t="s">
        <v>23928</v>
      </c>
      <c r="I5444" s="2" t="s">
        <v>11472</v>
      </c>
      <c r="K5444" s="2" t="s">
        <v>1054</v>
      </c>
      <c r="L5444" s="2" t="s">
        <v>157</v>
      </c>
      <c r="M5444" s="2">
        <v>80134.0</v>
      </c>
      <c r="N5444" s="2" t="s">
        <v>21</v>
      </c>
    </row>
    <row r="5445" ht="15.75" customHeight="1">
      <c r="A5445" s="2">
        <v>2016.0</v>
      </c>
      <c r="B5445" s="2" t="s">
        <v>19118</v>
      </c>
      <c r="C5445" s="2" t="s">
        <v>19119</v>
      </c>
      <c r="D5445" s="2" t="str">
        <f>"9723555291"</f>
        <v>9723555291</v>
      </c>
      <c r="E5445" s="2" t="s">
        <v>3196</v>
      </c>
      <c r="F5445" s="2" t="s">
        <v>2379</v>
      </c>
      <c r="G5445" s="2" t="str">
        <f>"SR-5940"</f>
        <v>SR-5940</v>
      </c>
      <c r="H5445" s="2" t="s">
        <v>19120</v>
      </c>
      <c r="I5445" s="2" t="s">
        <v>19121</v>
      </c>
      <c r="K5445" s="2" t="s">
        <v>19122</v>
      </c>
      <c r="L5445" s="2" t="s">
        <v>172</v>
      </c>
      <c r="M5445" s="2">
        <v>75028.0</v>
      </c>
      <c r="N5445" s="2" t="s">
        <v>21</v>
      </c>
    </row>
    <row r="5446" ht="15.75" customHeight="1">
      <c r="A5446" s="2">
        <v>2016.0</v>
      </c>
      <c r="B5446" s="2" t="s">
        <v>22230</v>
      </c>
      <c r="C5446" s="2" t="s">
        <v>22230</v>
      </c>
      <c r="D5446" s="2" t="str">
        <f>"4125833518"</f>
        <v>4125833518</v>
      </c>
      <c r="E5446" s="2" t="s">
        <v>3512</v>
      </c>
      <c r="F5446" s="2" t="s">
        <v>22231</v>
      </c>
      <c r="G5446" s="2" t="str">
        <f>"SR-6823"</f>
        <v>SR-6823</v>
      </c>
      <c r="H5446" s="2" t="s">
        <v>22232</v>
      </c>
      <c r="I5446" s="2" t="s">
        <v>22233</v>
      </c>
      <c r="K5446" s="2" t="s">
        <v>8733</v>
      </c>
      <c r="L5446" s="2" t="s">
        <v>179</v>
      </c>
      <c r="M5446" s="2">
        <v>15221.0</v>
      </c>
      <c r="N5446" s="2" t="s">
        <v>21</v>
      </c>
    </row>
    <row r="5447" ht="15.75" customHeight="1">
      <c r="A5447" s="2">
        <v>2016.0</v>
      </c>
      <c r="B5447" s="2" t="s">
        <v>3835</v>
      </c>
      <c r="C5447" s="2" t="s">
        <v>23929</v>
      </c>
      <c r="D5447" s="2" t="str">
        <f>"3035061551"</f>
        <v>3035061551</v>
      </c>
      <c r="E5447" s="2" t="s">
        <v>10181</v>
      </c>
      <c r="F5447" s="2" t="s">
        <v>3837</v>
      </c>
      <c r="G5447" s="2" t="str">
        <f>"SR-7504"</f>
        <v>SR-7504</v>
      </c>
      <c r="H5447" s="2" t="s">
        <v>23930</v>
      </c>
      <c r="I5447" s="2" t="s">
        <v>8633</v>
      </c>
      <c r="K5447" s="2" t="s">
        <v>1054</v>
      </c>
      <c r="L5447" s="2" t="s">
        <v>157</v>
      </c>
      <c r="M5447" s="2">
        <v>80138.0</v>
      </c>
      <c r="N5447" s="2" t="s">
        <v>21</v>
      </c>
    </row>
    <row r="5448" ht="15.75" customHeight="1">
      <c r="A5448" s="2">
        <v>2016.0</v>
      </c>
      <c r="B5448" s="2" t="s">
        <v>23931</v>
      </c>
      <c r="C5448" s="2" t="s">
        <v>23931</v>
      </c>
      <c r="D5448" s="2" t="str">
        <f>"8067814276"</f>
        <v>8067814276</v>
      </c>
      <c r="E5448" s="2" t="s">
        <v>267</v>
      </c>
      <c r="F5448" s="2" t="s">
        <v>8868</v>
      </c>
      <c r="G5448" s="2" t="str">
        <f>"SR-7501"</f>
        <v>SR-7501</v>
      </c>
      <c r="H5448" s="2" t="s">
        <v>23932</v>
      </c>
      <c r="I5448" s="2" t="s">
        <v>23933</v>
      </c>
      <c r="K5448" s="2" t="s">
        <v>1121</v>
      </c>
      <c r="L5448" s="2" t="s">
        <v>172</v>
      </c>
      <c r="M5448" s="2">
        <v>79423.0</v>
      </c>
      <c r="N5448" s="2" t="s">
        <v>21</v>
      </c>
    </row>
    <row r="5449" ht="15.75" customHeight="1">
      <c r="A5449" s="2">
        <v>2016.0</v>
      </c>
      <c r="B5449" s="2" t="s">
        <v>23934</v>
      </c>
      <c r="C5449" s="2" t="s">
        <v>23935</v>
      </c>
      <c r="D5449" s="2" t="str">
        <f>"(906)776-1415"</f>
        <v>(906)776-1415</v>
      </c>
      <c r="E5449" s="2" t="s">
        <v>1529</v>
      </c>
      <c r="F5449" s="2" t="s">
        <v>23936</v>
      </c>
      <c r="G5449" s="2" t="str">
        <f>"SR-7525"</f>
        <v>SR-7525</v>
      </c>
      <c r="H5449" s="2" t="s">
        <v>23937</v>
      </c>
      <c r="I5449" s="2" t="s">
        <v>23938</v>
      </c>
      <c r="K5449" s="2" t="s">
        <v>23939</v>
      </c>
      <c r="L5449" s="2" t="s">
        <v>29</v>
      </c>
      <c r="M5449" s="2">
        <v>49876.0</v>
      </c>
      <c r="N5449" s="2" t="s">
        <v>21</v>
      </c>
    </row>
    <row r="5450" ht="15.75" customHeight="1">
      <c r="A5450" s="2">
        <v>2016.0</v>
      </c>
      <c r="B5450" s="2" t="s">
        <v>23940</v>
      </c>
      <c r="C5450" s="2" t="s">
        <v>23940</v>
      </c>
      <c r="D5450" s="2" t="str">
        <f>"216-789-4777"</f>
        <v>216-789-4777</v>
      </c>
      <c r="E5450" s="2" t="s">
        <v>5858</v>
      </c>
      <c r="F5450" s="2" t="s">
        <v>3903</v>
      </c>
      <c r="G5450" s="2" t="str">
        <f>"SR-7527"</f>
        <v>SR-7527</v>
      </c>
      <c r="H5450" s="2" t="s">
        <v>23941</v>
      </c>
      <c r="I5450" s="2" t="s">
        <v>23942</v>
      </c>
      <c r="K5450" s="2" t="s">
        <v>3978</v>
      </c>
      <c r="L5450" s="2" t="s">
        <v>344</v>
      </c>
      <c r="M5450" s="2">
        <v>44236.0</v>
      </c>
      <c r="N5450" s="2" t="s">
        <v>21</v>
      </c>
    </row>
    <row r="5451" ht="15.75" customHeight="1">
      <c r="A5451" s="2">
        <v>2016.0</v>
      </c>
      <c r="B5451" s="2" t="s">
        <v>23943</v>
      </c>
      <c r="C5451" s="2" t="s">
        <v>23943</v>
      </c>
      <c r="D5451" s="2" t="str">
        <f t="shared" ref="D5451:D5452" si="99">"6267731013"</f>
        <v>6267731013</v>
      </c>
      <c r="E5451" s="2" t="s">
        <v>13585</v>
      </c>
      <c r="F5451" s="2" t="s">
        <v>21089</v>
      </c>
      <c r="G5451" s="2" t="str">
        <f>"SR-7528"</f>
        <v>SR-7528</v>
      </c>
      <c r="H5451" s="2" t="s">
        <v>23944</v>
      </c>
      <c r="I5451" s="2" t="s">
        <v>23945</v>
      </c>
      <c r="K5451" s="2" t="s">
        <v>8558</v>
      </c>
      <c r="L5451" s="2" t="s">
        <v>222</v>
      </c>
      <c r="M5451" s="2">
        <v>91006.0</v>
      </c>
      <c r="N5451" s="2" t="s">
        <v>21</v>
      </c>
    </row>
    <row r="5452" ht="15.75" customHeight="1">
      <c r="A5452" s="2">
        <v>2016.0</v>
      </c>
      <c r="B5452" s="2" t="s">
        <v>23943</v>
      </c>
      <c r="C5452" s="2" t="s">
        <v>23943</v>
      </c>
      <c r="D5452" s="2" t="str">
        <f t="shared" si="99"/>
        <v>6267731013</v>
      </c>
      <c r="E5452" s="2" t="s">
        <v>1094</v>
      </c>
      <c r="F5452" s="2" t="s">
        <v>21089</v>
      </c>
      <c r="G5452" s="2" t="str">
        <f>"SR-7529"</f>
        <v>SR-7529</v>
      </c>
      <c r="H5452" s="2" t="s">
        <v>23946</v>
      </c>
      <c r="I5452" s="2" t="s">
        <v>23947</v>
      </c>
      <c r="K5452" s="2" t="s">
        <v>8558</v>
      </c>
      <c r="L5452" s="2" t="s">
        <v>222</v>
      </c>
      <c r="M5452" s="2">
        <v>91007.0</v>
      </c>
      <c r="N5452" s="2" t="s">
        <v>21</v>
      </c>
    </row>
    <row r="5453" ht="15.75" customHeight="1">
      <c r="A5453" s="2">
        <v>2016.0</v>
      </c>
      <c r="B5453" s="2" t="s">
        <v>23948</v>
      </c>
      <c r="C5453" s="2" t="s">
        <v>23948</v>
      </c>
      <c r="D5453" s="2" t="str">
        <f>"4802799922"</f>
        <v>4802799922</v>
      </c>
      <c r="E5453" s="2" t="s">
        <v>11885</v>
      </c>
      <c r="F5453" s="2" t="s">
        <v>23949</v>
      </c>
      <c r="G5453" s="2" t="str">
        <f>"SR-7530"</f>
        <v>SR-7530</v>
      </c>
      <c r="H5453" s="2" t="s">
        <v>23950</v>
      </c>
      <c r="I5453" s="2" t="s">
        <v>23951</v>
      </c>
      <c r="K5453" s="2" t="s">
        <v>4675</v>
      </c>
      <c r="L5453" s="2" t="s">
        <v>422</v>
      </c>
      <c r="M5453" s="2">
        <v>85297.0</v>
      </c>
      <c r="N5453" s="2" t="s">
        <v>21</v>
      </c>
    </row>
    <row r="5454" ht="15.75" customHeight="1">
      <c r="A5454" s="2">
        <v>2016.0</v>
      </c>
      <c r="B5454" s="2" t="s">
        <v>13993</v>
      </c>
      <c r="C5454" s="2" t="s">
        <v>23952</v>
      </c>
      <c r="D5454" s="2" t="str">
        <f>"330-837-7706"</f>
        <v>330-837-7706</v>
      </c>
      <c r="E5454" s="2" t="s">
        <v>2632</v>
      </c>
      <c r="F5454" s="2" t="s">
        <v>13995</v>
      </c>
      <c r="G5454" s="2" t="str">
        <f>"SR-7419"</f>
        <v>SR-7419</v>
      </c>
      <c r="H5454" s="2" t="s">
        <v>23953</v>
      </c>
      <c r="I5454" s="2" t="s">
        <v>13997</v>
      </c>
      <c r="K5454" s="2" t="s">
        <v>13998</v>
      </c>
      <c r="L5454" s="2" t="s">
        <v>344</v>
      </c>
      <c r="M5454" s="2">
        <v>44646.0</v>
      </c>
      <c r="N5454" s="2" t="s">
        <v>21</v>
      </c>
    </row>
    <row r="5455" ht="15.75" customHeight="1">
      <c r="A5455" s="2">
        <v>2016.0</v>
      </c>
      <c r="B5455" s="2" t="s">
        <v>23954</v>
      </c>
      <c r="C5455" s="2" t="s">
        <v>23955</v>
      </c>
      <c r="D5455" s="2" t="str">
        <f>"405-496-1233"</f>
        <v>405-496-1233</v>
      </c>
      <c r="E5455" s="2" t="s">
        <v>1076</v>
      </c>
      <c r="F5455" s="2" t="s">
        <v>23956</v>
      </c>
      <c r="G5455" s="2" t="str">
        <f>"SR-7535"</f>
        <v>SR-7535</v>
      </c>
      <c r="H5455" s="2" t="s">
        <v>23957</v>
      </c>
      <c r="I5455" s="2" t="s">
        <v>23958</v>
      </c>
      <c r="K5455" s="2" t="s">
        <v>23959</v>
      </c>
      <c r="L5455" s="2" t="s">
        <v>840</v>
      </c>
      <c r="M5455" s="2">
        <v>73079.0</v>
      </c>
      <c r="N5455" s="2" t="s">
        <v>21</v>
      </c>
    </row>
    <row r="5456" ht="15.75" customHeight="1">
      <c r="A5456" s="2">
        <v>2016.0</v>
      </c>
      <c r="B5456" s="2" t="s">
        <v>23954</v>
      </c>
      <c r="C5456" s="2" t="s">
        <v>23960</v>
      </c>
      <c r="D5456" s="2" t="str">
        <f>"405-443-9887"</f>
        <v>405-443-9887</v>
      </c>
      <c r="E5456" s="2" t="s">
        <v>1094</v>
      </c>
      <c r="F5456" s="2" t="s">
        <v>23956</v>
      </c>
      <c r="G5456" s="2" t="str">
        <f>"SR-7534"</f>
        <v>SR-7534</v>
      </c>
      <c r="H5456" s="2" t="s">
        <v>23961</v>
      </c>
      <c r="I5456" s="2" t="s">
        <v>23962</v>
      </c>
      <c r="K5456" s="2" t="s">
        <v>23959</v>
      </c>
      <c r="L5456" s="2" t="s">
        <v>840</v>
      </c>
      <c r="M5456" s="2">
        <v>73079.0</v>
      </c>
      <c r="N5456" s="2" t="s">
        <v>21</v>
      </c>
    </row>
    <row r="5457" ht="15.75" customHeight="1">
      <c r="A5457" s="2">
        <v>2016.0</v>
      </c>
      <c r="B5457" s="2" t="s">
        <v>10948</v>
      </c>
      <c r="C5457" s="2" t="s">
        <v>10948</v>
      </c>
      <c r="D5457" s="2" t="str">
        <f>"8152274509"</f>
        <v>8152274509</v>
      </c>
      <c r="E5457" s="2" t="s">
        <v>1015</v>
      </c>
      <c r="F5457" s="2" t="s">
        <v>10950</v>
      </c>
      <c r="G5457" s="2" t="str">
        <f>"SR-7537"</f>
        <v>SR-7537</v>
      </c>
      <c r="H5457" s="2" t="s">
        <v>23963</v>
      </c>
      <c r="I5457" s="2" t="s">
        <v>10952</v>
      </c>
      <c r="K5457" s="2" t="s">
        <v>382</v>
      </c>
      <c r="L5457" s="2" t="s">
        <v>105</v>
      </c>
      <c r="M5457" s="2">
        <v>61107.0</v>
      </c>
      <c r="N5457" s="2" t="s">
        <v>21</v>
      </c>
    </row>
    <row r="5458" ht="15.75" customHeight="1">
      <c r="A5458" s="2">
        <v>2016.0</v>
      </c>
      <c r="B5458" s="2" t="s">
        <v>14530</v>
      </c>
      <c r="C5458" s="2" t="s">
        <v>14531</v>
      </c>
      <c r="D5458" s="2" t="str">
        <f>"478-972-6080"</f>
        <v>478-972-6080</v>
      </c>
      <c r="E5458" s="2" t="s">
        <v>14532</v>
      </c>
      <c r="F5458" s="2" t="s">
        <v>14533</v>
      </c>
      <c r="G5458" s="2" t="str">
        <f>"SR-4150"</f>
        <v>SR-4150</v>
      </c>
      <c r="H5458" s="2" t="s">
        <v>14534</v>
      </c>
      <c r="I5458" s="2" t="s">
        <v>14535</v>
      </c>
      <c r="K5458" s="2" t="s">
        <v>7843</v>
      </c>
      <c r="L5458" s="2" t="s">
        <v>200</v>
      </c>
      <c r="M5458" s="2">
        <v>31210.0</v>
      </c>
      <c r="N5458" s="2" t="s">
        <v>21</v>
      </c>
    </row>
    <row r="5459" ht="15.75" customHeight="1">
      <c r="A5459" s="2">
        <v>2016.0</v>
      </c>
      <c r="B5459" s="2" t="s">
        <v>20370</v>
      </c>
      <c r="C5459" s="2" t="s">
        <v>23964</v>
      </c>
      <c r="D5459" s="2" t="str">
        <f>"720-302-3384"</f>
        <v>720-302-3384</v>
      </c>
      <c r="E5459" s="2" t="s">
        <v>8039</v>
      </c>
      <c r="F5459" s="2" t="s">
        <v>20372</v>
      </c>
      <c r="G5459" s="2" t="str">
        <f>"SR-7522"</f>
        <v>SR-7522</v>
      </c>
      <c r="H5459" s="2" t="s">
        <v>23965</v>
      </c>
      <c r="I5459" s="2" t="s">
        <v>23966</v>
      </c>
      <c r="K5459" s="2" t="s">
        <v>1889</v>
      </c>
      <c r="L5459" s="2" t="s">
        <v>157</v>
      </c>
      <c r="M5459" s="2">
        <v>80124.0</v>
      </c>
      <c r="N5459" s="2" t="s">
        <v>21</v>
      </c>
    </row>
    <row r="5460" ht="15.75" customHeight="1">
      <c r="A5460" s="2">
        <v>2016.0</v>
      </c>
      <c r="B5460" s="2" t="s">
        <v>23967</v>
      </c>
      <c r="C5460" s="2" t="s">
        <v>23968</v>
      </c>
      <c r="D5460" s="2" t="str">
        <f>"760-352-3756"</f>
        <v>760-352-3756</v>
      </c>
      <c r="E5460" s="2" t="s">
        <v>23969</v>
      </c>
      <c r="F5460" s="2" t="s">
        <v>23970</v>
      </c>
      <c r="G5460" s="2" t="str">
        <f>"SR-7479"</f>
        <v>SR-7479</v>
      </c>
      <c r="H5460" s="2" t="s">
        <v>23971</v>
      </c>
      <c r="I5460" s="2" t="s">
        <v>23972</v>
      </c>
      <c r="K5460" s="2" t="s">
        <v>21133</v>
      </c>
      <c r="L5460" s="2" t="s">
        <v>222</v>
      </c>
      <c r="M5460" s="2">
        <v>92251.0</v>
      </c>
      <c r="N5460" s="2" t="s">
        <v>21</v>
      </c>
    </row>
    <row r="5461" ht="15.75" customHeight="1">
      <c r="A5461" s="2">
        <v>2016.0</v>
      </c>
      <c r="B5461" s="2" t="s">
        <v>6242</v>
      </c>
      <c r="C5461" s="2" t="s">
        <v>6243</v>
      </c>
      <c r="D5461" s="2" t="str">
        <f>"6305635379"</f>
        <v>6305635379</v>
      </c>
      <c r="E5461" s="2" t="s">
        <v>6244</v>
      </c>
      <c r="F5461" s="2" t="s">
        <v>6245</v>
      </c>
      <c r="G5461" s="2" t="str">
        <f>"SR-92"</f>
        <v>SR-92</v>
      </c>
      <c r="H5461" s="2" t="s">
        <v>6246</v>
      </c>
      <c r="I5461" s="2" t="s">
        <v>6247</v>
      </c>
      <c r="K5461" s="2" t="s">
        <v>6248</v>
      </c>
      <c r="L5461" s="2" t="s">
        <v>105</v>
      </c>
      <c r="M5461" s="2">
        <v>60126.0</v>
      </c>
      <c r="N5461" s="2" t="s">
        <v>21</v>
      </c>
    </row>
    <row r="5462" ht="15.75" customHeight="1">
      <c r="A5462" s="2">
        <v>2016.0</v>
      </c>
      <c r="B5462" s="2" t="s">
        <v>23973</v>
      </c>
      <c r="C5462" s="2" t="s">
        <v>23974</v>
      </c>
      <c r="D5462" s="2" t="str">
        <f>"707-344-3725"</f>
        <v>707-344-3725</v>
      </c>
      <c r="E5462" s="2" t="s">
        <v>6244</v>
      </c>
      <c r="F5462" s="2" t="s">
        <v>23975</v>
      </c>
      <c r="G5462" s="2" t="str">
        <f>"SR-7541"</f>
        <v>SR-7541</v>
      </c>
      <c r="H5462" s="2" t="s">
        <v>23976</v>
      </c>
      <c r="I5462" s="2" t="s">
        <v>23977</v>
      </c>
      <c r="K5462" s="2" t="s">
        <v>3803</v>
      </c>
      <c r="L5462" s="2" t="s">
        <v>789</v>
      </c>
      <c r="M5462" s="2">
        <v>87144.0</v>
      </c>
      <c r="N5462" s="2" t="s">
        <v>21</v>
      </c>
    </row>
    <row r="5463" ht="15.75" customHeight="1">
      <c r="A5463" s="2">
        <v>2016.0</v>
      </c>
      <c r="B5463" s="2" t="s">
        <v>23978</v>
      </c>
      <c r="C5463" s="2" t="s">
        <v>23978</v>
      </c>
      <c r="D5463" s="2" t="str">
        <f>"319-804-5147"</f>
        <v>319-804-5147</v>
      </c>
      <c r="E5463" s="2" t="s">
        <v>3170</v>
      </c>
      <c r="F5463" s="2" t="s">
        <v>23979</v>
      </c>
      <c r="G5463" s="2" t="str">
        <f>"SR-7543"</f>
        <v>SR-7543</v>
      </c>
      <c r="H5463" s="2" t="s">
        <v>23980</v>
      </c>
      <c r="I5463" s="2" t="s">
        <v>23981</v>
      </c>
      <c r="K5463" s="2" t="s">
        <v>3273</v>
      </c>
      <c r="L5463" s="2" t="s">
        <v>560</v>
      </c>
      <c r="M5463" s="2">
        <v>52403.0</v>
      </c>
      <c r="N5463" s="2" t="s">
        <v>21</v>
      </c>
    </row>
    <row r="5464" ht="15.75" customHeight="1">
      <c r="A5464" s="2">
        <v>2016.0</v>
      </c>
      <c r="B5464" s="2" t="s">
        <v>23982</v>
      </c>
      <c r="C5464" s="2" t="s">
        <v>23983</v>
      </c>
      <c r="D5464" s="2" t="str">
        <f>"6302773712"</f>
        <v>6302773712</v>
      </c>
      <c r="E5464" s="2" t="s">
        <v>23984</v>
      </c>
      <c r="F5464" s="2" t="s">
        <v>461</v>
      </c>
      <c r="G5464" s="2" t="str">
        <f>"SR-7536"</f>
        <v>SR-7536</v>
      </c>
      <c r="H5464" s="2" t="s">
        <v>23985</v>
      </c>
      <c r="I5464" s="2" t="s">
        <v>23986</v>
      </c>
      <c r="K5464" s="2" t="s">
        <v>23987</v>
      </c>
      <c r="L5464" s="2" t="s">
        <v>105</v>
      </c>
      <c r="M5464" s="2">
        <v>60184.0</v>
      </c>
      <c r="N5464" s="2" t="s">
        <v>21</v>
      </c>
    </row>
    <row r="5465" ht="15.75" customHeight="1">
      <c r="A5465" s="2">
        <v>2016.0</v>
      </c>
      <c r="B5465" s="2" t="s">
        <v>23988</v>
      </c>
      <c r="C5465" s="2" t="s">
        <v>23989</v>
      </c>
      <c r="D5465" s="2" t="str">
        <f>"719-291-8456"</f>
        <v>719-291-8456</v>
      </c>
      <c r="E5465" s="2" t="s">
        <v>751</v>
      </c>
      <c r="F5465" s="2" t="s">
        <v>639</v>
      </c>
      <c r="G5465" s="2" t="str">
        <f>"SR-7532"</f>
        <v>SR-7532</v>
      </c>
      <c r="H5465" s="2" t="s">
        <v>23990</v>
      </c>
      <c r="I5465" s="2" t="s">
        <v>23991</v>
      </c>
      <c r="K5465" s="2" t="s">
        <v>809</v>
      </c>
      <c r="L5465" s="2" t="s">
        <v>157</v>
      </c>
      <c r="M5465" s="2">
        <v>80915.0</v>
      </c>
      <c r="N5465" s="2" t="s">
        <v>21</v>
      </c>
    </row>
    <row r="5466" ht="15.75" customHeight="1">
      <c r="A5466" s="2">
        <v>2016.0</v>
      </c>
      <c r="B5466" s="2" t="s">
        <v>23992</v>
      </c>
      <c r="C5466" s="2" t="s">
        <v>23993</v>
      </c>
      <c r="D5466" s="2" t="str">
        <f>"630 847 9638"</f>
        <v>630 847 9638</v>
      </c>
      <c r="E5466" s="2" t="s">
        <v>590</v>
      </c>
      <c r="F5466" s="2" t="s">
        <v>23908</v>
      </c>
      <c r="G5466" s="2" t="str">
        <f>"SR-7502"</f>
        <v>SR-7502</v>
      </c>
      <c r="H5466" s="2" t="s">
        <v>23994</v>
      </c>
      <c r="I5466" s="2" t="s">
        <v>6247</v>
      </c>
      <c r="K5466" s="2" t="s">
        <v>6248</v>
      </c>
      <c r="L5466" s="2" t="s">
        <v>105</v>
      </c>
      <c r="M5466" s="2">
        <v>60126.0</v>
      </c>
      <c r="N5466" s="2" t="s">
        <v>21</v>
      </c>
    </row>
    <row r="5467" ht="15.75" customHeight="1">
      <c r="A5467" s="2">
        <v>2016.0</v>
      </c>
      <c r="B5467" s="2" t="s">
        <v>23995</v>
      </c>
      <c r="C5467" s="2" t="s">
        <v>23995</v>
      </c>
      <c r="D5467" s="2" t="str">
        <f>"(208) 217-1722"</f>
        <v>(208) 217-1722</v>
      </c>
      <c r="E5467" s="2" t="s">
        <v>4782</v>
      </c>
      <c r="F5467" s="2" t="s">
        <v>23996</v>
      </c>
      <c r="G5467" s="2" t="str">
        <f>"SR-7472"</f>
        <v>SR-7472</v>
      </c>
      <c r="H5467" s="2" t="s">
        <v>23997</v>
      </c>
      <c r="I5467" s="2" t="s">
        <v>23998</v>
      </c>
      <c r="K5467" s="2" t="s">
        <v>19729</v>
      </c>
      <c r="L5467" s="2" t="s">
        <v>222</v>
      </c>
      <c r="M5467" s="2">
        <v>83864.0</v>
      </c>
      <c r="N5467" s="2" t="s">
        <v>21</v>
      </c>
    </row>
    <row r="5468" ht="15.75" customHeight="1">
      <c r="A5468" s="2">
        <v>2016.0</v>
      </c>
      <c r="B5468" s="2" t="s">
        <v>23999</v>
      </c>
      <c r="C5468" s="2" t="s">
        <v>24000</v>
      </c>
      <c r="D5468" s="2" t="str">
        <f>"320-598-3977"</f>
        <v>320-598-3977</v>
      </c>
      <c r="E5468" s="2" t="s">
        <v>6937</v>
      </c>
      <c r="F5468" s="2" t="s">
        <v>24001</v>
      </c>
      <c r="G5468" s="2" t="str">
        <f>"SR-7547"</f>
        <v>SR-7547</v>
      </c>
      <c r="H5468" s="2" t="s">
        <v>24002</v>
      </c>
      <c r="I5468" s="2" t="s">
        <v>24003</v>
      </c>
      <c r="K5468" s="2" t="s">
        <v>659</v>
      </c>
      <c r="L5468" s="2" t="s">
        <v>62</v>
      </c>
      <c r="M5468" s="2">
        <v>56256.0</v>
      </c>
      <c r="N5468" s="2" t="s">
        <v>21</v>
      </c>
    </row>
    <row r="5469" ht="15.75" customHeight="1">
      <c r="A5469" s="2">
        <v>2016.0</v>
      </c>
      <c r="B5469" s="2" t="s">
        <v>24004</v>
      </c>
      <c r="C5469" s="2" t="s">
        <v>24005</v>
      </c>
      <c r="D5469" s="2" t="str">
        <f>"901-604-6498"</f>
        <v>901-604-6498</v>
      </c>
      <c r="E5469" s="2" t="s">
        <v>10860</v>
      </c>
      <c r="F5469" s="2" t="s">
        <v>24006</v>
      </c>
      <c r="G5469" s="2" t="str">
        <f>"SR-7286"</f>
        <v>SR-7286</v>
      </c>
      <c r="H5469" s="2" t="s">
        <v>24007</v>
      </c>
      <c r="I5469" s="2" t="s">
        <v>24008</v>
      </c>
      <c r="K5469" s="2" t="s">
        <v>5678</v>
      </c>
      <c r="L5469" s="2" t="s">
        <v>279</v>
      </c>
      <c r="M5469" s="2">
        <v>38017.0</v>
      </c>
      <c r="N5469" s="2" t="s">
        <v>21</v>
      </c>
    </row>
    <row r="5470" ht="15.75" customHeight="1">
      <c r="A5470" s="2">
        <v>2016.0</v>
      </c>
      <c r="B5470" s="2" t="s">
        <v>24009</v>
      </c>
      <c r="C5470" s="2" t="s">
        <v>24010</v>
      </c>
      <c r="D5470" s="2" t="str">
        <f>"914-478-4073"</f>
        <v>914-478-4073</v>
      </c>
      <c r="E5470" s="2" t="s">
        <v>24011</v>
      </c>
      <c r="F5470" s="2" t="s">
        <v>1564</v>
      </c>
      <c r="G5470" s="2" t="str">
        <f>"SR-7546"</f>
        <v>SR-7546</v>
      </c>
      <c r="H5470" s="2" t="s">
        <v>24012</v>
      </c>
      <c r="I5470" s="2" t="s">
        <v>24013</v>
      </c>
      <c r="K5470" s="2" t="s">
        <v>24014</v>
      </c>
      <c r="L5470" s="2" t="s">
        <v>142</v>
      </c>
      <c r="M5470" s="2">
        <v>10701.0</v>
      </c>
      <c r="N5470" s="2" t="s">
        <v>21</v>
      </c>
    </row>
    <row r="5471" ht="15.75" customHeight="1">
      <c r="A5471" s="2">
        <v>2016.0</v>
      </c>
      <c r="B5471" s="2" t="s">
        <v>24015</v>
      </c>
      <c r="C5471" s="2" t="s">
        <v>24016</v>
      </c>
      <c r="D5471" s="2" t="str">
        <f>"319.210.7072"</f>
        <v>319.210.7072</v>
      </c>
      <c r="E5471" s="2" t="s">
        <v>485</v>
      </c>
      <c r="F5471" s="2" t="s">
        <v>24017</v>
      </c>
      <c r="G5471" s="2" t="str">
        <f>"SR-7531"</f>
        <v>SR-7531</v>
      </c>
      <c r="H5471" s="2" t="s">
        <v>24018</v>
      </c>
      <c r="I5471" s="2" t="s">
        <v>24019</v>
      </c>
      <c r="K5471" s="2" t="s">
        <v>507</v>
      </c>
      <c r="L5471" s="2" t="s">
        <v>157</v>
      </c>
      <c r="M5471" s="2">
        <v>80132.0</v>
      </c>
      <c r="N5471" s="2" t="s">
        <v>21</v>
      </c>
    </row>
    <row r="5472" ht="15.75" customHeight="1">
      <c r="A5472" s="2">
        <v>2016.0</v>
      </c>
      <c r="B5472" s="2" t="s">
        <v>24020</v>
      </c>
      <c r="C5472" s="2" t="s">
        <v>24021</v>
      </c>
      <c r="D5472" s="2" t="str">
        <f>"601-248-5437"</f>
        <v>601-248-5437</v>
      </c>
      <c r="E5472" s="2" t="s">
        <v>1263</v>
      </c>
      <c r="F5472" s="2" t="s">
        <v>12961</v>
      </c>
      <c r="G5472" s="2" t="str">
        <f>"SR-7550"</f>
        <v>SR-7550</v>
      </c>
      <c r="H5472" s="2" t="s">
        <v>24022</v>
      </c>
      <c r="I5472" s="2" t="s">
        <v>12963</v>
      </c>
      <c r="K5472" s="2" t="s">
        <v>12964</v>
      </c>
      <c r="L5472" s="2" t="s">
        <v>1722</v>
      </c>
      <c r="M5472" s="2">
        <v>39666.0</v>
      </c>
      <c r="N5472" s="2" t="s">
        <v>21</v>
      </c>
    </row>
    <row r="5473" ht="15.75" customHeight="1">
      <c r="A5473" s="2">
        <v>2016.0</v>
      </c>
      <c r="B5473" s="2" t="s">
        <v>24023</v>
      </c>
      <c r="C5473" s="2" t="s">
        <v>24024</v>
      </c>
      <c r="D5473" s="2" t="str">
        <f>"754-779-6158"</f>
        <v>754-779-6158</v>
      </c>
      <c r="E5473" s="2" t="s">
        <v>1150</v>
      </c>
      <c r="F5473" s="2" t="s">
        <v>19353</v>
      </c>
      <c r="G5473" s="2" t="str">
        <f>"SR-7444"</f>
        <v>SR-7444</v>
      </c>
      <c r="H5473" s="2" t="s">
        <v>24025</v>
      </c>
      <c r="I5473" s="2" t="s">
        <v>24026</v>
      </c>
      <c r="K5473" s="2" t="s">
        <v>10022</v>
      </c>
      <c r="L5473" s="2" t="s">
        <v>208</v>
      </c>
      <c r="M5473" s="2">
        <v>33325.0</v>
      </c>
      <c r="N5473" s="2" t="s">
        <v>21</v>
      </c>
    </row>
    <row r="5474" ht="15.75" customHeight="1">
      <c r="A5474" s="2">
        <v>2016.0</v>
      </c>
      <c r="B5474" s="2" t="s">
        <v>17830</v>
      </c>
      <c r="C5474" s="2" t="s">
        <v>17830</v>
      </c>
      <c r="D5474" s="2" t="str">
        <f>"7026005259"</f>
        <v>7026005259</v>
      </c>
      <c r="E5474" s="2" t="s">
        <v>17831</v>
      </c>
      <c r="F5474" s="2" t="s">
        <v>17832</v>
      </c>
      <c r="G5474" s="2" t="str">
        <f>"SR-5473"</f>
        <v>SR-5473</v>
      </c>
      <c r="H5474" s="2" t="s">
        <v>17833</v>
      </c>
      <c r="I5474" s="2" t="s">
        <v>17834</v>
      </c>
      <c r="K5474" s="2" t="s">
        <v>17835</v>
      </c>
      <c r="L5474" s="2" t="s">
        <v>1419</v>
      </c>
      <c r="M5474" s="2">
        <v>89007.0</v>
      </c>
      <c r="N5474" s="2" t="s">
        <v>21</v>
      </c>
    </row>
    <row r="5475" ht="15.75" customHeight="1">
      <c r="A5475" s="2">
        <v>2016.0</v>
      </c>
      <c r="B5475" s="2" t="s">
        <v>24027</v>
      </c>
      <c r="C5475" s="2" t="s">
        <v>24028</v>
      </c>
      <c r="D5475" s="2" t="str">
        <f>"360-529-0071"</f>
        <v>360-529-0071</v>
      </c>
      <c r="E5475" s="2" t="s">
        <v>2863</v>
      </c>
      <c r="F5475" s="2" t="s">
        <v>24029</v>
      </c>
      <c r="G5475" s="2" t="str">
        <f>"SR-6860"</f>
        <v>SR-6860</v>
      </c>
      <c r="H5475" s="2" t="s">
        <v>24030</v>
      </c>
      <c r="I5475" s="2" t="s">
        <v>24031</v>
      </c>
      <c r="K5475" s="2" t="s">
        <v>24032</v>
      </c>
      <c r="L5475" s="2" t="s">
        <v>86</v>
      </c>
      <c r="M5475" s="2">
        <v>98512.0</v>
      </c>
      <c r="N5475" s="2" t="s">
        <v>21</v>
      </c>
    </row>
    <row r="5476" ht="15.75" customHeight="1">
      <c r="A5476" s="2">
        <v>2016.0</v>
      </c>
      <c r="B5476" s="2" t="s">
        <v>24033</v>
      </c>
      <c r="C5476" s="2" t="s">
        <v>24034</v>
      </c>
      <c r="D5476" s="2" t="str">
        <f>"512-261-7695"</f>
        <v>512-261-7695</v>
      </c>
      <c r="E5476" s="2" t="s">
        <v>1000</v>
      </c>
      <c r="F5476" s="2" t="s">
        <v>24035</v>
      </c>
      <c r="G5476" s="2" t="str">
        <f>"SR-7513"</f>
        <v>SR-7513</v>
      </c>
      <c r="H5476" s="2" t="s">
        <v>24036</v>
      </c>
      <c r="I5476" s="2" t="s">
        <v>24037</v>
      </c>
      <c r="K5476" s="2" t="s">
        <v>1141</v>
      </c>
      <c r="L5476" s="2" t="s">
        <v>172</v>
      </c>
      <c r="M5476" s="2">
        <v>78734.0</v>
      </c>
      <c r="N5476" s="2" t="s">
        <v>21</v>
      </c>
    </row>
    <row r="5477" ht="15.75" customHeight="1">
      <c r="A5477" s="2">
        <v>2016.0</v>
      </c>
      <c r="B5477" s="2" t="s">
        <v>24038</v>
      </c>
      <c r="C5477" s="2" t="s">
        <v>24038</v>
      </c>
      <c r="D5477" s="2" t="str">
        <f>"9187213787"</f>
        <v>9187213787</v>
      </c>
      <c r="E5477" s="2" t="s">
        <v>24039</v>
      </c>
      <c r="F5477" s="2" t="s">
        <v>24040</v>
      </c>
      <c r="G5477" s="2" t="str">
        <f>"SR-7563"</f>
        <v>SR-7563</v>
      </c>
      <c r="H5477" s="2" t="s">
        <v>24041</v>
      </c>
      <c r="I5477" s="2" t="s">
        <v>24042</v>
      </c>
      <c r="K5477" s="2" t="s">
        <v>24043</v>
      </c>
      <c r="L5477" s="2" t="s">
        <v>840</v>
      </c>
      <c r="M5477" s="2">
        <v>74942.0</v>
      </c>
      <c r="N5477" s="2" t="s">
        <v>21</v>
      </c>
    </row>
    <row r="5478" ht="15.75" customHeight="1">
      <c r="A5478" s="2">
        <v>2016.0</v>
      </c>
      <c r="B5478" s="2" t="s">
        <v>24044</v>
      </c>
      <c r="C5478" s="2" t="s">
        <v>24044</v>
      </c>
      <c r="D5478" s="2" t="str">
        <f>"(818)363-4373"</f>
        <v>(818)363-4373</v>
      </c>
      <c r="E5478" s="2" t="s">
        <v>24045</v>
      </c>
      <c r="F5478" s="2" t="s">
        <v>16639</v>
      </c>
      <c r="G5478" s="2" t="str">
        <f>"SR-7566"</f>
        <v>SR-7566</v>
      </c>
      <c r="H5478" s="2" t="s">
        <v>24046</v>
      </c>
      <c r="I5478" s="2" t="s">
        <v>24047</v>
      </c>
      <c r="K5478" s="2" t="s">
        <v>16642</v>
      </c>
      <c r="L5478" s="2" t="s">
        <v>222</v>
      </c>
      <c r="M5478" s="2">
        <v>91326.0</v>
      </c>
      <c r="N5478" s="2" t="s">
        <v>21</v>
      </c>
    </row>
    <row r="5479" ht="15.75" customHeight="1">
      <c r="A5479" s="2">
        <v>2016.0</v>
      </c>
      <c r="B5479" s="2" t="s">
        <v>24048</v>
      </c>
      <c r="C5479" s="2" t="s">
        <v>24048</v>
      </c>
      <c r="D5479" s="2" t="str">
        <f>"8183634373"</f>
        <v>8183634373</v>
      </c>
      <c r="E5479" s="2" t="s">
        <v>938</v>
      </c>
      <c r="F5479" s="2" t="s">
        <v>16639</v>
      </c>
      <c r="G5479" s="2" t="str">
        <f>"SR-7565"</f>
        <v>SR-7565</v>
      </c>
      <c r="H5479" s="2" t="s">
        <v>24049</v>
      </c>
      <c r="I5479" s="2" t="s">
        <v>24047</v>
      </c>
      <c r="K5479" s="2" t="s">
        <v>16642</v>
      </c>
      <c r="L5479" s="2" t="s">
        <v>222</v>
      </c>
      <c r="M5479" s="2">
        <v>91326.0</v>
      </c>
      <c r="N5479" s="2" t="s">
        <v>21</v>
      </c>
    </row>
    <row r="5480" ht="15.75" customHeight="1">
      <c r="A5480" s="2">
        <v>2016.0</v>
      </c>
      <c r="B5480" s="2" t="s">
        <v>265</v>
      </c>
      <c r="C5480" s="2" t="s">
        <v>266</v>
      </c>
      <c r="D5480" s="2" t="str">
        <f>"7852727989"</f>
        <v>7852727989</v>
      </c>
      <c r="E5480" s="2" t="s">
        <v>267</v>
      </c>
      <c r="F5480" s="2" t="s">
        <v>268</v>
      </c>
      <c r="G5480" s="2" t="str">
        <f>"SR-112"</f>
        <v>SR-112</v>
      </c>
      <c r="H5480" s="2" t="s">
        <v>269</v>
      </c>
      <c r="I5480" s="2" t="s">
        <v>270</v>
      </c>
      <c r="K5480" s="2" t="s">
        <v>271</v>
      </c>
      <c r="L5480" s="2" t="s">
        <v>272</v>
      </c>
      <c r="M5480" s="2">
        <v>66614.0</v>
      </c>
      <c r="N5480" s="2" t="s">
        <v>21</v>
      </c>
    </row>
    <row r="5481" ht="15.75" customHeight="1">
      <c r="A5481" s="2">
        <v>2016.0</v>
      </c>
      <c r="B5481" s="2" t="s">
        <v>24050</v>
      </c>
      <c r="C5481" s="2" t="s">
        <v>24051</v>
      </c>
      <c r="D5481" s="2" t="str">
        <f>"8504430999"</f>
        <v>8504430999</v>
      </c>
      <c r="E5481" s="2" t="s">
        <v>24052</v>
      </c>
      <c r="F5481" s="2" t="s">
        <v>24053</v>
      </c>
      <c r="G5481" s="2" t="str">
        <f>"SR-7568"</f>
        <v>SR-7568</v>
      </c>
      <c r="H5481" s="2" t="s">
        <v>24054</v>
      </c>
      <c r="I5481" s="2" t="s">
        <v>24055</v>
      </c>
      <c r="K5481" s="2" t="s">
        <v>2007</v>
      </c>
      <c r="L5481" s="2" t="s">
        <v>208</v>
      </c>
      <c r="M5481" s="2">
        <v>32309.0</v>
      </c>
      <c r="N5481" s="2" t="s">
        <v>21</v>
      </c>
    </row>
    <row r="5482" ht="15.75" customHeight="1">
      <c r="A5482" s="2">
        <v>2016.0</v>
      </c>
      <c r="B5482" s="2" t="s">
        <v>24056</v>
      </c>
      <c r="C5482" s="2" t="s">
        <v>24056</v>
      </c>
      <c r="D5482" s="2" t="str">
        <f>"2602102040"</f>
        <v>2602102040</v>
      </c>
      <c r="E5482" s="2" t="s">
        <v>7476</v>
      </c>
      <c r="F5482" s="2" t="s">
        <v>20870</v>
      </c>
      <c r="G5482" s="2" t="str">
        <f>"SR-7572"</f>
        <v>SR-7572</v>
      </c>
      <c r="H5482" s="2" t="s">
        <v>20871</v>
      </c>
      <c r="I5482" s="2" t="s">
        <v>20918</v>
      </c>
      <c r="K5482" s="2" t="s">
        <v>3925</v>
      </c>
      <c r="L5482" s="2" t="s">
        <v>149</v>
      </c>
      <c r="M5482" s="2">
        <v>46723.0</v>
      </c>
      <c r="N5482" s="2" t="s">
        <v>21</v>
      </c>
    </row>
    <row r="5483" ht="15.75" customHeight="1">
      <c r="A5483" s="2">
        <v>2016.0</v>
      </c>
      <c r="B5483" s="2" t="s">
        <v>20869</v>
      </c>
      <c r="C5483" s="2" t="s">
        <v>20869</v>
      </c>
      <c r="D5483" s="2" t="str">
        <f>"2602102045"</f>
        <v>2602102045</v>
      </c>
      <c r="E5483" s="2" t="s">
        <v>824</v>
      </c>
      <c r="F5483" s="2" t="s">
        <v>20870</v>
      </c>
      <c r="G5483" s="2" t="str">
        <f>"SR-6427"</f>
        <v>SR-6427</v>
      </c>
      <c r="H5483" s="2" t="s">
        <v>20917</v>
      </c>
      <c r="I5483" s="2" t="s">
        <v>20918</v>
      </c>
      <c r="K5483" s="2" t="s">
        <v>3925</v>
      </c>
      <c r="L5483" s="2" t="s">
        <v>149</v>
      </c>
      <c r="M5483" s="2">
        <v>46723.0</v>
      </c>
      <c r="N5483" s="2" t="s">
        <v>21</v>
      </c>
    </row>
    <row r="5484" ht="15.75" customHeight="1">
      <c r="A5484" s="2">
        <v>2016.0</v>
      </c>
      <c r="B5484" s="2" t="s">
        <v>9186</v>
      </c>
      <c r="C5484" s="2" t="s">
        <v>24057</v>
      </c>
      <c r="D5484" s="2" t="str">
        <f>"6025017951"</f>
        <v>6025017951</v>
      </c>
      <c r="E5484" s="2" t="s">
        <v>6966</v>
      </c>
      <c r="F5484" s="2" t="s">
        <v>9188</v>
      </c>
      <c r="G5484" s="2" t="str">
        <f>"SR-7575"</f>
        <v>SR-7575</v>
      </c>
      <c r="H5484" s="2" t="s">
        <v>24058</v>
      </c>
      <c r="I5484" s="2" t="s">
        <v>24059</v>
      </c>
      <c r="K5484" s="2" t="s">
        <v>9191</v>
      </c>
      <c r="L5484" s="2" t="s">
        <v>422</v>
      </c>
      <c r="M5484" s="2">
        <v>85142.0</v>
      </c>
      <c r="N5484" s="2" t="s">
        <v>21</v>
      </c>
    </row>
    <row r="5485" ht="15.75" customHeight="1">
      <c r="A5485" s="2">
        <v>2016.0</v>
      </c>
      <c r="B5485" s="2" t="s">
        <v>9440</v>
      </c>
      <c r="D5485" s="2" t="str">
        <f>""</f>
        <v/>
      </c>
      <c r="E5485" s="2" t="s">
        <v>5548</v>
      </c>
      <c r="F5485" s="2" t="s">
        <v>5205</v>
      </c>
      <c r="G5485" s="2" t="str">
        <f>"SR-7218"</f>
        <v>SR-7218</v>
      </c>
      <c r="H5485" s="2" t="s">
        <v>24060</v>
      </c>
    </row>
    <row r="5486" ht="15.75" customHeight="1">
      <c r="A5486" s="2">
        <v>2016.0</v>
      </c>
      <c r="B5486" s="2" t="s">
        <v>24061</v>
      </c>
      <c r="C5486" s="2" t="s">
        <v>24062</v>
      </c>
      <c r="D5486" s="2" t="str">
        <f>"402-964-9980"</f>
        <v>402-964-9980</v>
      </c>
      <c r="E5486" s="2" t="s">
        <v>24063</v>
      </c>
      <c r="F5486" s="2" t="s">
        <v>10566</v>
      </c>
      <c r="G5486" s="2" t="str">
        <f>"SR-7580"</f>
        <v>SR-7580</v>
      </c>
      <c r="H5486" s="2" t="s">
        <v>24064</v>
      </c>
      <c r="I5486" s="2" t="s">
        <v>24065</v>
      </c>
      <c r="K5486" s="2" t="s">
        <v>1470</v>
      </c>
      <c r="L5486" s="2" t="s">
        <v>757</v>
      </c>
      <c r="M5486" s="2">
        <v>68154.0</v>
      </c>
      <c r="N5486" s="2" t="s">
        <v>21</v>
      </c>
    </row>
    <row r="5487" ht="15.75" customHeight="1">
      <c r="A5487" s="2">
        <v>2016.0</v>
      </c>
      <c r="B5487" s="2" t="s">
        <v>24066</v>
      </c>
      <c r="C5487" s="2" t="s">
        <v>24066</v>
      </c>
      <c r="D5487" s="2" t="str">
        <f>"4192795208"</f>
        <v>4192795208</v>
      </c>
      <c r="E5487" s="2" t="s">
        <v>3434</v>
      </c>
      <c r="F5487" s="2" t="s">
        <v>23622</v>
      </c>
      <c r="G5487" s="2" t="str">
        <f>"SR-7581"</f>
        <v>SR-7581</v>
      </c>
      <c r="H5487" s="2" t="s">
        <v>24067</v>
      </c>
      <c r="I5487" s="2" t="s">
        <v>23624</v>
      </c>
      <c r="K5487" s="2" t="s">
        <v>23625</v>
      </c>
      <c r="L5487" s="2" t="s">
        <v>344</v>
      </c>
      <c r="M5487" s="2">
        <v>43537.0</v>
      </c>
      <c r="N5487" s="2" t="s">
        <v>21</v>
      </c>
    </row>
    <row r="5488" ht="15.75" customHeight="1">
      <c r="A5488" s="2">
        <v>2016.0</v>
      </c>
      <c r="B5488" s="2" t="s">
        <v>20869</v>
      </c>
      <c r="C5488" s="2" t="s">
        <v>24068</v>
      </c>
      <c r="D5488" s="2" t="str">
        <f>"2604404384"</f>
        <v>2604404384</v>
      </c>
      <c r="E5488" s="2" t="s">
        <v>534</v>
      </c>
      <c r="F5488" s="2" t="s">
        <v>24069</v>
      </c>
      <c r="G5488" s="2" t="str">
        <f>"SR-7583"</f>
        <v>SR-7583</v>
      </c>
      <c r="H5488" s="2" t="s">
        <v>24070</v>
      </c>
      <c r="I5488" s="2" t="s">
        <v>24071</v>
      </c>
      <c r="K5488" s="2" t="s">
        <v>13821</v>
      </c>
      <c r="L5488" s="2" t="s">
        <v>149</v>
      </c>
      <c r="M5488" s="2">
        <v>46774.0</v>
      </c>
      <c r="N5488" s="2" t="s">
        <v>21</v>
      </c>
    </row>
    <row r="5489" ht="15.75" customHeight="1">
      <c r="A5489" s="2">
        <v>2016.0</v>
      </c>
      <c r="B5489" s="2" t="s">
        <v>20869</v>
      </c>
      <c r="C5489" s="2" t="s">
        <v>24072</v>
      </c>
      <c r="D5489" s="2" t="str">
        <f>"2607603765"</f>
        <v>2607603765</v>
      </c>
      <c r="E5489" s="2" t="s">
        <v>17971</v>
      </c>
      <c r="F5489" s="2" t="s">
        <v>24069</v>
      </c>
      <c r="G5489" s="2" t="str">
        <f>"SR-7584"</f>
        <v>SR-7584</v>
      </c>
      <c r="H5489" s="2" t="s">
        <v>24073</v>
      </c>
      <c r="I5489" s="2" t="s">
        <v>24071</v>
      </c>
      <c r="K5489" s="2" t="s">
        <v>13821</v>
      </c>
      <c r="L5489" s="2" t="s">
        <v>149</v>
      </c>
      <c r="M5489" s="2">
        <v>46774.0</v>
      </c>
      <c r="N5489" s="2" t="s">
        <v>21</v>
      </c>
    </row>
    <row r="5490" ht="15.75" customHeight="1">
      <c r="A5490" s="2">
        <v>2016.0</v>
      </c>
      <c r="B5490" s="2" t="s">
        <v>24074</v>
      </c>
      <c r="C5490" s="2" t="s">
        <v>24075</v>
      </c>
      <c r="D5490" s="2" t="str">
        <f>"4802702693"</f>
        <v>4802702693</v>
      </c>
      <c r="E5490" s="2" t="s">
        <v>1946</v>
      </c>
      <c r="F5490" s="2" t="s">
        <v>89</v>
      </c>
      <c r="G5490" s="2" t="str">
        <f>"SR-7589"</f>
        <v>SR-7589</v>
      </c>
      <c r="H5490" s="2" t="s">
        <v>24076</v>
      </c>
      <c r="I5490" s="2" t="s">
        <v>24077</v>
      </c>
      <c r="K5490" s="2" t="s">
        <v>4675</v>
      </c>
      <c r="L5490" s="2" t="s">
        <v>422</v>
      </c>
      <c r="M5490" s="2">
        <v>85297.0</v>
      </c>
      <c r="N5490" s="2" t="s">
        <v>21</v>
      </c>
    </row>
    <row r="5491" ht="15.75" customHeight="1">
      <c r="A5491" s="2">
        <v>2016.0</v>
      </c>
      <c r="B5491" s="2" t="s">
        <v>24078</v>
      </c>
      <c r="C5491" s="2" t="s">
        <v>24079</v>
      </c>
      <c r="D5491" s="2" t="str">
        <f>"5804833549"</f>
        <v>5804833549</v>
      </c>
      <c r="E5491" s="2" t="s">
        <v>137</v>
      </c>
      <c r="F5491" s="2" t="s">
        <v>1209</v>
      </c>
      <c r="G5491" s="2" t="str">
        <f>"SR-7524"</f>
        <v>SR-7524</v>
      </c>
      <c r="H5491" s="2" t="s">
        <v>24080</v>
      </c>
      <c r="I5491" s="2" t="s">
        <v>24081</v>
      </c>
      <c r="K5491" s="2" t="s">
        <v>17344</v>
      </c>
      <c r="L5491" s="2" t="s">
        <v>840</v>
      </c>
      <c r="M5491" s="2">
        <v>73505.0</v>
      </c>
      <c r="N5491" s="2" t="s">
        <v>21</v>
      </c>
    </row>
    <row r="5492" ht="15.75" customHeight="1">
      <c r="A5492" s="2">
        <v>2016.0</v>
      </c>
      <c r="B5492" s="2" t="s">
        <v>24082</v>
      </c>
      <c r="C5492" s="2" t="s">
        <v>24082</v>
      </c>
      <c r="D5492" s="2" t="str">
        <f>"9135234003"</f>
        <v>9135234003</v>
      </c>
      <c r="E5492" s="2" t="s">
        <v>2378</v>
      </c>
      <c r="F5492" s="2" t="s">
        <v>24083</v>
      </c>
      <c r="G5492" s="2" t="str">
        <f>"SR-7593"</f>
        <v>SR-7593</v>
      </c>
      <c r="H5492" s="2" t="s">
        <v>24084</v>
      </c>
      <c r="I5492" s="2" t="s">
        <v>24085</v>
      </c>
      <c r="K5492" s="2" t="s">
        <v>1067</v>
      </c>
      <c r="L5492" s="2" t="s">
        <v>272</v>
      </c>
      <c r="M5492" s="2">
        <v>66061.0</v>
      </c>
      <c r="N5492" s="2" t="s">
        <v>21</v>
      </c>
    </row>
    <row r="5493" ht="15.75" customHeight="1">
      <c r="A5493" s="2">
        <v>2016.0</v>
      </c>
      <c r="B5493" s="2" t="s">
        <v>24086</v>
      </c>
      <c r="C5493" s="2" t="s">
        <v>24087</v>
      </c>
      <c r="D5493" s="2" t="str">
        <f>"757-564-2525"</f>
        <v>757-564-2525</v>
      </c>
      <c r="E5493" s="2" t="s">
        <v>485</v>
      </c>
      <c r="F5493" s="2" t="s">
        <v>24088</v>
      </c>
      <c r="G5493" s="2" t="str">
        <f>"SR-7594"</f>
        <v>SR-7594</v>
      </c>
      <c r="H5493" s="2" t="s">
        <v>24089</v>
      </c>
      <c r="I5493" s="2" t="s">
        <v>24090</v>
      </c>
      <c r="K5493" s="2" t="s">
        <v>24091</v>
      </c>
      <c r="L5493" s="2" t="s">
        <v>165</v>
      </c>
      <c r="M5493" s="2">
        <v>23089.0</v>
      </c>
      <c r="N5493" s="2" t="s">
        <v>21</v>
      </c>
    </row>
    <row r="5494" ht="15.75" customHeight="1">
      <c r="A5494" s="2">
        <v>2016.0</v>
      </c>
      <c r="B5494" s="2" t="s">
        <v>24092</v>
      </c>
      <c r="C5494" s="2" t="s">
        <v>24093</v>
      </c>
      <c r="D5494" s="2" t="str">
        <f>"6052809740"</f>
        <v>6052809740</v>
      </c>
      <c r="E5494" s="2" t="s">
        <v>217</v>
      </c>
      <c r="F5494" s="2" t="s">
        <v>24094</v>
      </c>
      <c r="G5494" s="2" t="str">
        <f>"SR-7471"</f>
        <v>SR-7471</v>
      </c>
      <c r="H5494" s="2" t="s">
        <v>24095</v>
      </c>
      <c r="I5494" s="2" t="s">
        <v>24096</v>
      </c>
      <c r="K5494" s="2" t="s">
        <v>4355</v>
      </c>
      <c r="L5494" s="2" t="s">
        <v>920</v>
      </c>
      <c r="M5494" s="2">
        <v>57501.0</v>
      </c>
      <c r="N5494" s="2" t="s">
        <v>21</v>
      </c>
    </row>
    <row r="5495" ht="15.75" customHeight="1">
      <c r="A5495" s="2">
        <v>2016.0</v>
      </c>
      <c r="B5495" s="2" t="s">
        <v>24097</v>
      </c>
      <c r="D5495" s="2" t="str">
        <f>""</f>
        <v/>
      </c>
      <c r="E5495" s="2" t="s">
        <v>203</v>
      </c>
      <c r="F5495" s="2" t="s">
        <v>14639</v>
      </c>
      <c r="G5495" s="2" t="str">
        <f>"SR-7597"</f>
        <v>SR-7597</v>
      </c>
      <c r="H5495" s="2" t="s">
        <v>24098</v>
      </c>
    </row>
    <row r="5496" ht="15.75" customHeight="1">
      <c r="A5496" s="2">
        <v>2016.0</v>
      </c>
      <c r="B5496" s="2" t="s">
        <v>24099</v>
      </c>
      <c r="C5496" s="2" t="s">
        <v>24100</v>
      </c>
      <c r="D5496" s="2" t="str">
        <f>"814-969-4160"</f>
        <v>814-969-4160</v>
      </c>
      <c r="E5496" s="2" t="s">
        <v>1263</v>
      </c>
      <c r="F5496" s="2" t="s">
        <v>472</v>
      </c>
      <c r="G5496" s="2" t="str">
        <f>"SR-6588"</f>
        <v>SR-6588</v>
      </c>
      <c r="H5496" s="2" t="s">
        <v>24101</v>
      </c>
      <c r="I5496" s="2" t="s">
        <v>24102</v>
      </c>
      <c r="K5496" s="2" t="s">
        <v>17947</v>
      </c>
      <c r="L5496" s="2" t="s">
        <v>179</v>
      </c>
      <c r="M5496" s="2">
        <v>16415.0</v>
      </c>
      <c r="N5496" s="2" t="s">
        <v>21</v>
      </c>
    </row>
    <row r="5497" ht="15.75" customHeight="1">
      <c r="A5497" s="2">
        <v>2016.0</v>
      </c>
      <c r="B5497" s="2" t="s">
        <v>24103</v>
      </c>
      <c r="C5497" s="2" t="s">
        <v>24104</v>
      </c>
      <c r="D5497" s="2" t="str">
        <f>"602-526-3456"</f>
        <v>602-526-3456</v>
      </c>
      <c r="E5497" s="2" t="s">
        <v>659</v>
      </c>
      <c r="F5497" s="2" t="s">
        <v>89</v>
      </c>
      <c r="G5497" s="2" t="str">
        <f>"SR-7533"</f>
        <v>SR-7533</v>
      </c>
      <c r="H5497" s="2" t="s">
        <v>24105</v>
      </c>
      <c r="I5497" s="2" t="s">
        <v>24106</v>
      </c>
      <c r="K5497" s="2" t="s">
        <v>5531</v>
      </c>
      <c r="L5497" s="2" t="s">
        <v>422</v>
      </c>
      <c r="M5497" s="2">
        <v>85213.0</v>
      </c>
      <c r="N5497" s="2" t="s">
        <v>21</v>
      </c>
    </row>
    <row r="5498" ht="15.75" customHeight="1">
      <c r="A5498" s="2">
        <v>2016.0</v>
      </c>
      <c r="B5498" s="2" t="s">
        <v>24107</v>
      </c>
      <c r="C5498" s="2" t="s">
        <v>24108</v>
      </c>
      <c r="D5498" s="2" t="str">
        <f>"865-777-4035"</f>
        <v>865-777-4035</v>
      </c>
      <c r="E5498" s="2" t="s">
        <v>651</v>
      </c>
      <c r="F5498" s="2" t="s">
        <v>18007</v>
      </c>
      <c r="G5498" s="2" t="str">
        <f>"SR-7600"</f>
        <v>SR-7600</v>
      </c>
      <c r="H5498" s="2" t="s">
        <v>24109</v>
      </c>
      <c r="I5498" s="2" t="s">
        <v>18009</v>
      </c>
      <c r="K5498" s="2" t="s">
        <v>6168</v>
      </c>
      <c r="L5498" s="2" t="s">
        <v>279</v>
      </c>
      <c r="M5498" s="2">
        <v>37934.0</v>
      </c>
      <c r="N5498" s="2" t="s">
        <v>21</v>
      </c>
    </row>
    <row r="5499" ht="15.75" customHeight="1">
      <c r="A5499" s="2">
        <v>2016.0</v>
      </c>
      <c r="B5499" s="2" t="s">
        <v>24110</v>
      </c>
      <c r="C5499" s="2" t="s">
        <v>17784</v>
      </c>
      <c r="D5499" s="2" t="str">
        <f>"918-506-3992"</f>
        <v>918-506-3992</v>
      </c>
      <c r="E5499" s="2" t="s">
        <v>2126</v>
      </c>
      <c r="F5499" s="2" t="s">
        <v>17785</v>
      </c>
      <c r="G5499" s="2" t="str">
        <f>"SR-7579"</f>
        <v>SR-7579</v>
      </c>
      <c r="H5499" s="2" t="s">
        <v>17786</v>
      </c>
      <c r="I5499" s="2" t="s">
        <v>24111</v>
      </c>
      <c r="K5499" s="2" t="s">
        <v>17788</v>
      </c>
      <c r="L5499" s="2" t="s">
        <v>840</v>
      </c>
      <c r="M5499" s="2">
        <v>74441.0</v>
      </c>
      <c r="N5499" s="2" t="s">
        <v>21</v>
      </c>
    </row>
    <row r="5500" ht="15.75" customHeight="1">
      <c r="A5500" s="2">
        <v>2016.0</v>
      </c>
      <c r="B5500" s="2" t="s">
        <v>4541</v>
      </c>
      <c r="C5500" s="2" t="s">
        <v>24112</v>
      </c>
      <c r="D5500" s="2" t="str">
        <f>"320-679-1443"</f>
        <v>320-679-1443</v>
      </c>
      <c r="E5500" s="2" t="s">
        <v>1208</v>
      </c>
      <c r="F5500" s="2" t="s">
        <v>984</v>
      </c>
      <c r="G5500" s="2" t="str">
        <f>"SR-7558"</f>
        <v>SR-7558</v>
      </c>
      <c r="H5500" s="2" t="s">
        <v>24113</v>
      </c>
      <c r="I5500" s="2" t="s">
        <v>24114</v>
      </c>
      <c r="K5500" s="2" t="s">
        <v>21221</v>
      </c>
      <c r="L5500" s="2" t="s">
        <v>62</v>
      </c>
      <c r="M5500" s="2">
        <v>55051.0</v>
      </c>
      <c r="N5500" s="2" t="s">
        <v>21</v>
      </c>
    </row>
    <row r="5501" ht="15.75" customHeight="1">
      <c r="A5501" s="2">
        <v>2016.0</v>
      </c>
      <c r="B5501" s="2" t="s">
        <v>24115</v>
      </c>
      <c r="C5501" s="2" t="s">
        <v>24115</v>
      </c>
      <c r="D5501" s="2" t="str">
        <f>"405-326-0722"</f>
        <v>405-326-0722</v>
      </c>
      <c r="E5501" s="2" t="s">
        <v>17971</v>
      </c>
      <c r="F5501" s="2" t="s">
        <v>711</v>
      </c>
      <c r="G5501" s="2" t="str">
        <f>"SR-7595"</f>
        <v>SR-7595</v>
      </c>
      <c r="H5501" s="2" t="s">
        <v>24116</v>
      </c>
      <c r="I5501" s="2" t="s">
        <v>24117</v>
      </c>
      <c r="K5501" s="2" t="s">
        <v>24118</v>
      </c>
      <c r="L5501" s="2" t="s">
        <v>840</v>
      </c>
      <c r="M5501" s="2">
        <v>73099.0</v>
      </c>
      <c r="N5501" s="2" t="s">
        <v>21</v>
      </c>
    </row>
    <row r="5502" ht="15.75" customHeight="1">
      <c r="A5502" s="2">
        <v>2016.0</v>
      </c>
      <c r="B5502" s="2" t="s">
        <v>24119</v>
      </c>
      <c r="C5502" s="2" t="s">
        <v>24120</v>
      </c>
      <c r="D5502" s="2" t="str">
        <f>"6196062335"</f>
        <v>6196062335</v>
      </c>
      <c r="E5502" s="2" t="s">
        <v>282</v>
      </c>
      <c r="F5502" s="2" t="s">
        <v>24121</v>
      </c>
      <c r="G5502" s="2" t="str">
        <f>"SR-7605"</f>
        <v>SR-7605</v>
      </c>
      <c r="H5502" s="2" t="s">
        <v>24122</v>
      </c>
      <c r="I5502" s="2" t="s">
        <v>24123</v>
      </c>
      <c r="K5502" s="2" t="s">
        <v>8250</v>
      </c>
      <c r="L5502" s="2" t="s">
        <v>222</v>
      </c>
      <c r="M5502" s="2">
        <v>92124.0</v>
      </c>
      <c r="N5502" s="2" t="s">
        <v>21</v>
      </c>
    </row>
    <row r="5503" ht="15.75" customHeight="1">
      <c r="A5503" s="2">
        <v>2016.0</v>
      </c>
      <c r="B5503" s="2" t="s">
        <v>13968</v>
      </c>
      <c r="C5503" s="2" t="s">
        <v>13973</v>
      </c>
      <c r="D5503" s="2" t="str">
        <f>"4402798545"</f>
        <v>4402798545</v>
      </c>
      <c r="E5503" s="2" t="s">
        <v>705</v>
      </c>
      <c r="F5503" s="2" t="s">
        <v>6356</v>
      </c>
      <c r="G5503" s="2" t="str">
        <f>"SR-4009"</f>
        <v>SR-4009</v>
      </c>
      <c r="H5503" s="2" t="s">
        <v>13974</v>
      </c>
      <c r="I5503" s="2" t="s">
        <v>13975</v>
      </c>
      <c r="K5503" s="2" t="s">
        <v>1520</v>
      </c>
      <c r="L5503" s="2" t="s">
        <v>344</v>
      </c>
      <c r="M5503" s="2">
        <v>44202.0</v>
      </c>
      <c r="N5503" s="2" t="s">
        <v>21</v>
      </c>
    </row>
    <row r="5504" ht="15.75" customHeight="1">
      <c r="A5504" s="2">
        <v>2016.0</v>
      </c>
      <c r="B5504" s="2" t="s">
        <v>24124</v>
      </c>
      <c r="C5504" s="2" t="s">
        <v>24125</v>
      </c>
      <c r="D5504" s="2" t="str">
        <f>"719-448-0556"</f>
        <v>719-448-0556</v>
      </c>
      <c r="E5504" s="2" t="s">
        <v>339</v>
      </c>
      <c r="F5504" s="2" t="s">
        <v>11248</v>
      </c>
      <c r="G5504" s="2" t="str">
        <f>"SR-7608"</f>
        <v>SR-7608</v>
      </c>
      <c r="H5504" s="2" t="s">
        <v>24126</v>
      </c>
      <c r="I5504" s="2" t="s">
        <v>24127</v>
      </c>
      <c r="K5504" s="2" t="s">
        <v>809</v>
      </c>
      <c r="L5504" s="2" t="s">
        <v>157</v>
      </c>
      <c r="M5504" s="2">
        <v>80923.0</v>
      </c>
      <c r="N5504" s="2" t="s">
        <v>21</v>
      </c>
    </row>
    <row r="5505" ht="15.75" customHeight="1">
      <c r="A5505" s="2">
        <v>2016.0</v>
      </c>
      <c r="B5505" s="2" t="s">
        <v>24128</v>
      </c>
      <c r="C5505" s="2" t="s">
        <v>24129</v>
      </c>
      <c r="D5505" s="2" t="str">
        <f>"719-484-0307"</f>
        <v>719-484-0307</v>
      </c>
      <c r="E5505" s="2" t="s">
        <v>4775</v>
      </c>
      <c r="F5505" s="2" t="s">
        <v>504</v>
      </c>
      <c r="G5505" s="2" t="str">
        <f>"SR-7609"</f>
        <v>SR-7609</v>
      </c>
      <c r="H5505" s="2" t="s">
        <v>24130</v>
      </c>
      <c r="I5505" s="2" t="s">
        <v>24131</v>
      </c>
      <c r="K5505" s="2" t="s">
        <v>809</v>
      </c>
      <c r="L5505" s="2" t="s">
        <v>157</v>
      </c>
      <c r="M5505" s="2">
        <v>80921.0</v>
      </c>
      <c r="N5505" s="2" t="s">
        <v>21</v>
      </c>
    </row>
    <row r="5506" ht="15.75" customHeight="1">
      <c r="A5506" s="2">
        <v>2016.0</v>
      </c>
      <c r="B5506" s="2" t="s">
        <v>24132</v>
      </c>
      <c r="C5506" s="2" t="s">
        <v>24133</v>
      </c>
      <c r="D5506" s="2" t="str">
        <f>"949-633-9346"</f>
        <v>949-633-9346</v>
      </c>
      <c r="E5506" s="2" t="s">
        <v>596</v>
      </c>
      <c r="F5506" s="2" t="s">
        <v>1151</v>
      </c>
      <c r="G5506" s="2" t="str">
        <f>"SR-7452"</f>
        <v>SR-7452</v>
      </c>
      <c r="H5506" s="2" t="s">
        <v>24134</v>
      </c>
      <c r="I5506" s="2" t="s">
        <v>24135</v>
      </c>
      <c r="K5506" s="2" t="s">
        <v>24136</v>
      </c>
      <c r="L5506" s="2" t="s">
        <v>222</v>
      </c>
      <c r="M5506" s="2">
        <v>92603.0</v>
      </c>
      <c r="N5506" s="2" t="s">
        <v>21</v>
      </c>
    </row>
    <row r="5507" ht="15.75" customHeight="1">
      <c r="A5507" s="2">
        <v>2016.0</v>
      </c>
      <c r="B5507" s="2" t="s">
        <v>24137</v>
      </c>
      <c r="C5507" s="2" t="s">
        <v>24138</v>
      </c>
      <c r="D5507" s="2" t="str">
        <f>"9195346448"</f>
        <v>9195346448</v>
      </c>
      <c r="E5507" s="2" t="s">
        <v>2263</v>
      </c>
      <c r="F5507" s="2" t="s">
        <v>24139</v>
      </c>
      <c r="G5507" s="2" t="str">
        <f>"SR-7611"</f>
        <v>SR-7611</v>
      </c>
      <c r="H5507" s="2" t="s">
        <v>24140</v>
      </c>
      <c r="I5507" s="2" t="s">
        <v>24141</v>
      </c>
      <c r="K5507" s="2" t="s">
        <v>2378</v>
      </c>
      <c r="L5507" s="2" t="s">
        <v>20</v>
      </c>
      <c r="M5507" s="2">
        <v>27520.0</v>
      </c>
      <c r="N5507" s="2" t="s">
        <v>21</v>
      </c>
    </row>
    <row r="5508" ht="15.75" customHeight="1">
      <c r="A5508" s="2">
        <v>2016.0</v>
      </c>
      <c r="B5508" s="2" t="s">
        <v>19341</v>
      </c>
      <c r="C5508" s="2" t="s">
        <v>19342</v>
      </c>
      <c r="D5508" s="2" t="str">
        <f>"3522270702"</f>
        <v>3522270702</v>
      </c>
      <c r="E5508" s="2" t="s">
        <v>863</v>
      </c>
      <c r="F5508" s="2" t="s">
        <v>18477</v>
      </c>
      <c r="G5508" s="2" t="str">
        <f>"SR-6026"</f>
        <v>SR-6026</v>
      </c>
      <c r="H5508" s="2" t="s">
        <v>19343</v>
      </c>
      <c r="I5508" s="2" t="s">
        <v>19344</v>
      </c>
      <c r="K5508" s="2" t="s">
        <v>19345</v>
      </c>
      <c r="L5508" s="2" t="s">
        <v>208</v>
      </c>
      <c r="M5508" s="2">
        <v>34715.0</v>
      </c>
      <c r="N5508" s="2" t="s">
        <v>21</v>
      </c>
    </row>
    <row r="5509" ht="15.75" customHeight="1">
      <c r="A5509" s="2">
        <v>2016.0</v>
      </c>
      <c r="B5509" s="2" t="s">
        <v>2712</v>
      </c>
      <c r="C5509" s="2" t="s">
        <v>24142</v>
      </c>
      <c r="D5509" s="2" t="str">
        <f>"260-337-5702"</f>
        <v>260-337-5702</v>
      </c>
      <c r="E5509" s="2" t="s">
        <v>1946</v>
      </c>
      <c r="F5509" s="2" t="s">
        <v>2714</v>
      </c>
      <c r="G5509" s="2" t="str">
        <f>"SR-7617"</f>
        <v>SR-7617</v>
      </c>
      <c r="H5509" s="2" t="s">
        <v>24143</v>
      </c>
      <c r="I5509" s="2" t="s">
        <v>24144</v>
      </c>
      <c r="K5509" s="2" t="s">
        <v>18418</v>
      </c>
      <c r="L5509" s="2" t="s">
        <v>149</v>
      </c>
      <c r="M5509" s="2">
        <v>46785.0</v>
      </c>
      <c r="N5509" s="2" t="s">
        <v>21</v>
      </c>
    </row>
    <row r="5510" ht="15.75" customHeight="1">
      <c r="A5510" s="2">
        <v>2016.0</v>
      </c>
      <c r="B5510" s="2" t="s">
        <v>24145</v>
      </c>
      <c r="C5510" s="2" t="s">
        <v>24146</v>
      </c>
      <c r="D5510" s="2" t="str">
        <f>"8325702943"</f>
        <v>8325702943</v>
      </c>
      <c r="E5510" s="2" t="s">
        <v>6606</v>
      </c>
      <c r="F5510" s="2" t="s">
        <v>448</v>
      </c>
      <c r="G5510" s="2" t="str">
        <f>"SR-7607"</f>
        <v>SR-7607</v>
      </c>
      <c r="H5510" s="2" t="s">
        <v>24147</v>
      </c>
      <c r="I5510" s="2" t="s">
        <v>24148</v>
      </c>
      <c r="K5510" s="2" t="s">
        <v>5855</v>
      </c>
      <c r="L5510" s="2" t="s">
        <v>172</v>
      </c>
      <c r="M5510" s="2">
        <v>77379.0</v>
      </c>
      <c r="N5510" s="2" t="s">
        <v>21</v>
      </c>
    </row>
    <row r="5511" ht="15.75" customHeight="1">
      <c r="A5511" s="2">
        <v>2016.0</v>
      </c>
      <c r="B5511" s="2" t="s">
        <v>24149</v>
      </c>
      <c r="C5511" s="2" t="s">
        <v>24149</v>
      </c>
      <c r="D5511" s="2" t="str">
        <f>"9195509337"</f>
        <v>9195509337</v>
      </c>
      <c r="E5511" s="2" t="s">
        <v>1664</v>
      </c>
      <c r="F5511" s="2" t="s">
        <v>24150</v>
      </c>
      <c r="G5511" s="2" t="str">
        <f>"SR-7582"</f>
        <v>SR-7582</v>
      </c>
      <c r="H5511" s="2" t="s">
        <v>24151</v>
      </c>
      <c r="I5511" s="2" t="s">
        <v>24152</v>
      </c>
      <c r="K5511" s="2" t="s">
        <v>2378</v>
      </c>
      <c r="L5511" s="2" t="s">
        <v>20</v>
      </c>
      <c r="M5511" s="2">
        <v>27520.0</v>
      </c>
      <c r="N5511" s="2" t="s">
        <v>21</v>
      </c>
    </row>
    <row r="5512" ht="15.75" customHeight="1">
      <c r="A5512" s="2">
        <v>2016.0</v>
      </c>
      <c r="B5512" s="2" t="s">
        <v>24153</v>
      </c>
      <c r="C5512" s="2" t="s">
        <v>24154</v>
      </c>
      <c r="D5512" s="2" t="str">
        <f>"(405)532-9683"</f>
        <v>(405)532-9683</v>
      </c>
      <c r="E5512" s="2" t="s">
        <v>862</v>
      </c>
      <c r="F5512" s="2" t="s">
        <v>24155</v>
      </c>
      <c r="G5512" s="2" t="str">
        <f>"SR-7612"</f>
        <v>SR-7612</v>
      </c>
      <c r="H5512" s="2" t="s">
        <v>24156</v>
      </c>
      <c r="I5512" s="2" t="s">
        <v>24157</v>
      </c>
      <c r="K5512" s="2" t="s">
        <v>24118</v>
      </c>
      <c r="L5512" s="2" t="s">
        <v>840</v>
      </c>
      <c r="M5512" s="2">
        <v>73099.0</v>
      </c>
      <c r="N5512" s="2" t="s">
        <v>21</v>
      </c>
    </row>
    <row r="5513" ht="15.75" customHeight="1">
      <c r="A5513" s="2">
        <v>2016.0</v>
      </c>
      <c r="B5513" s="2" t="s">
        <v>24158</v>
      </c>
      <c r="C5513" s="2" t="s">
        <v>24159</v>
      </c>
      <c r="D5513" s="2" t="str">
        <f>"919-880-6478"</f>
        <v>919-880-6478</v>
      </c>
      <c r="E5513" s="2" t="s">
        <v>678</v>
      </c>
      <c r="F5513" s="2" t="s">
        <v>24160</v>
      </c>
      <c r="G5513" s="2" t="str">
        <f>"SR-7621"</f>
        <v>SR-7621</v>
      </c>
      <c r="H5513" s="2" t="s">
        <v>24161</v>
      </c>
      <c r="I5513" s="2" t="s">
        <v>24162</v>
      </c>
      <c r="K5513" s="2" t="s">
        <v>2378</v>
      </c>
      <c r="L5513" s="2" t="s">
        <v>20</v>
      </c>
      <c r="M5513" s="2">
        <v>27527.0</v>
      </c>
      <c r="N5513" s="2" t="s">
        <v>21</v>
      </c>
    </row>
    <row r="5514" ht="15.75" customHeight="1">
      <c r="A5514" s="2">
        <v>2016.0</v>
      </c>
      <c r="B5514" s="2" t="s">
        <v>24163</v>
      </c>
      <c r="C5514" s="2" t="s">
        <v>24164</v>
      </c>
      <c r="D5514" s="2" t="str">
        <f>"5759366852"</f>
        <v>5759366852</v>
      </c>
      <c r="E5514" s="2" t="s">
        <v>5335</v>
      </c>
      <c r="F5514" s="2" t="s">
        <v>16260</v>
      </c>
      <c r="G5514" s="2" t="str">
        <f>"SR-7624"</f>
        <v>SR-7624</v>
      </c>
      <c r="H5514" s="2" t="s">
        <v>24165</v>
      </c>
      <c r="I5514" s="2" t="s">
        <v>24166</v>
      </c>
      <c r="K5514" s="2" t="s">
        <v>7900</v>
      </c>
      <c r="L5514" s="2" t="s">
        <v>789</v>
      </c>
      <c r="M5514" s="2">
        <v>88030.0</v>
      </c>
      <c r="N5514" s="2" t="s">
        <v>21</v>
      </c>
    </row>
    <row r="5515" ht="15.75" customHeight="1">
      <c r="A5515" s="2">
        <v>2016.0</v>
      </c>
      <c r="B5515" s="2" t="s">
        <v>24167</v>
      </c>
      <c r="C5515" s="2" t="s">
        <v>24168</v>
      </c>
      <c r="D5515" s="2" t="str">
        <f>"2188551380"</f>
        <v>2188551380</v>
      </c>
      <c r="E5515" s="2" t="s">
        <v>24169</v>
      </c>
      <c r="F5515" s="2" t="s">
        <v>8171</v>
      </c>
      <c r="G5515" s="2" t="str">
        <f>"SR-7455"</f>
        <v>SR-7455</v>
      </c>
      <c r="H5515" s="2" t="s">
        <v>24170</v>
      </c>
      <c r="I5515" s="2" t="s">
        <v>24171</v>
      </c>
      <c r="K5515" s="2" t="s">
        <v>8646</v>
      </c>
      <c r="L5515" s="2" t="s">
        <v>62</v>
      </c>
      <c r="M5515" s="2">
        <v>56425.0</v>
      </c>
      <c r="N5515" s="2" t="s">
        <v>21</v>
      </c>
    </row>
    <row r="5516" ht="15.75" customHeight="1">
      <c r="A5516" s="2">
        <v>2016.0</v>
      </c>
      <c r="B5516" s="2" t="s">
        <v>5604</v>
      </c>
      <c r="C5516" s="2" t="s">
        <v>24172</v>
      </c>
      <c r="D5516" s="2" t="str">
        <f>"919-830-0726"</f>
        <v>919-830-0726</v>
      </c>
      <c r="E5516" s="2" t="s">
        <v>225</v>
      </c>
      <c r="F5516" s="2" t="s">
        <v>3561</v>
      </c>
      <c r="G5516" s="2" t="str">
        <f>"SR-7625"</f>
        <v>SR-7625</v>
      </c>
      <c r="H5516" s="2" t="s">
        <v>24173</v>
      </c>
      <c r="I5516" s="2" t="s">
        <v>5607</v>
      </c>
      <c r="K5516" s="2" t="s">
        <v>13569</v>
      </c>
      <c r="L5516" s="2" t="s">
        <v>20</v>
      </c>
      <c r="M5516" s="2">
        <v>27526.0</v>
      </c>
      <c r="N5516" s="2" t="s">
        <v>21</v>
      </c>
    </row>
    <row r="5517" ht="15.75" customHeight="1">
      <c r="A5517" s="2">
        <v>2016.0</v>
      </c>
      <c r="B5517" s="2" t="s">
        <v>24174</v>
      </c>
      <c r="C5517" s="2" t="s">
        <v>24175</v>
      </c>
      <c r="D5517" s="2" t="str">
        <f>"18593246355"</f>
        <v>18593246355</v>
      </c>
      <c r="E5517" s="2" t="s">
        <v>8039</v>
      </c>
      <c r="F5517" s="2" t="s">
        <v>24176</v>
      </c>
      <c r="G5517" s="2" t="str">
        <f>"SR-7626"</f>
        <v>SR-7626</v>
      </c>
      <c r="H5517" s="2" t="s">
        <v>24177</v>
      </c>
      <c r="I5517" s="2" t="s">
        <v>24178</v>
      </c>
      <c r="K5517" s="2" t="s">
        <v>17916</v>
      </c>
      <c r="L5517" s="2" t="s">
        <v>1236</v>
      </c>
      <c r="M5517" s="2">
        <v>40422.0</v>
      </c>
      <c r="N5517" s="2" t="s">
        <v>21</v>
      </c>
    </row>
    <row r="5518" ht="15.75" customHeight="1">
      <c r="A5518" s="2">
        <v>2016.0</v>
      </c>
      <c r="B5518" s="2" t="s">
        <v>24179</v>
      </c>
      <c r="C5518" s="2" t="s">
        <v>24180</v>
      </c>
      <c r="D5518" s="2" t="str">
        <f>"501-398-8785"</f>
        <v>501-398-8785</v>
      </c>
      <c r="E5518" s="2" t="s">
        <v>24181</v>
      </c>
      <c r="F5518" s="2" t="s">
        <v>24182</v>
      </c>
      <c r="G5518" s="2" t="str">
        <f>"SR-7297"</f>
        <v>SR-7297</v>
      </c>
      <c r="H5518" s="2" t="s">
        <v>24183</v>
      </c>
      <c r="I5518" s="2" t="s">
        <v>24184</v>
      </c>
      <c r="K5518" s="2" t="s">
        <v>24185</v>
      </c>
      <c r="L5518" s="2" t="s">
        <v>1012</v>
      </c>
      <c r="M5518" s="2">
        <v>72023.0</v>
      </c>
      <c r="N5518" s="2" t="s">
        <v>21</v>
      </c>
    </row>
    <row r="5519" ht="15.75" customHeight="1">
      <c r="A5519" s="2">
        <v>2016.0</v>
      </c>
      <c r="B5519" s="2" t="s">
        <v>24186</v>
      </c>
      <c r="C5519" s="2" t="s">
        <v>24187</v>
      </c>
      <c r="D5519" s="2" t="str">
        <f>"3607108861"</f>
        <v>3607108861</v>
      </c>
      <c r="E5519" s="2" t="s">
        <v>1585</v>
      </c>
      <c r="F5519" s="2" t="s">
        <v>24188</v>
      </c>
      <c r="G5519" s="2" t="str">
        <f>"SR-6950"</f>
        <v>SR-6950</v>
      </c>
      <c r="H5519" s="2" t="s">
        <v>24189</v>
      </c>
      <c r="I5519" s="2" t="s">
        <v>24190</v>
      </c>
      <c r="K5519" s="2" t="s">
        <v>3823</v>
      </c>
      <c r="L5519" s="2" t="s">
        <v>222</v>
      </c>
      <c r="M5519" s="2">
        <v>94534.0</v>
      </c>
      <c r="N5519" s="2" t="s">
        <v>21</v>
      </c>
    </row>
    <row r="5520" ht="15.75" customHeight="1">
      <c r="A5520" s="2">
        <v>2016.0</v>
      </c>
      <c r="B5520" s="2" t="s">
        <v>24191</v>
      </c>
      <c r="C5520" s="2" t="s">
        <v>24192</v>
      </c>
      <c r="D5520" s="2" t="str">
        <f>"859-475-8151"</f>
        <v>859-475-8151</v>
      </c>
      <c r="E5520" s="2" t="s">
        <v>144</v>
      </c>
      <c r="F5520" s="2" t="s">
        <v>24193</v>
      </c>
      <c r="G5520" s="2" t="str">
        <f>"SR-7630"</f>
        <v>SR-7630</v>
      </c>
      <c r="H5520" s="2" t="s">
        <v>24194</v>
      </c>
      <c r="I5520" s="2" t="s">
        <v>24195</v>
      </c>
      <c r="K5520" s="2" t="s">
        <v>17916</v>
      </c>
      <c r="L5520" s="2" t="s">
        <v>1236</v>
      </c>
      <c r="M5520" s="2">
        <v>40422.0</v>
      </c>
      <c r="N5520" s="2" t="s">
        <v>21</v>
      </c>
    </row>
    <row r="5521" ht="15.75" customHeight="1">
      <c r="A5521" s="2">
        <v>2016.0</v>
      </c>
      <c r="B5521" s="2" t="s">
        <v>24119</v>
      </c>
      <c r="C5521" s="2" t="s">
        <v>24196</v>
      </c>
      <c r="D5521" s="2" t="str">
        <f>"8585768586"</f>
        <v>8585768586</v>
      </c>
      <c r="E5521" s="2" t="s">
        <v>843</v>
      </c>
      <c r="F5521" s="2" t="s">
        <v>24121</v>
      </c>
      <c r="G5521" s="2" t="str">
        <f>"SR-7629"</f>
        <v>SR-7629</v>
      </c>
      <c r="H5521" s="2" t="s">
        <v>24197</v>
      </c>
      <c r="I5521" s="2" t="s">
        <v>24123</v>
      </c>
      <c r="K5521" s="2" t="s">
        <v>8250</v>
      </c>
      <c r="L5521" s="2" t="s">
        <v>222</v>
      </c>
      <c r="M5521" s="2">
        <v>92124.0</v>
      </c>
      <c r="N5521" s="2" t="s">
        <v>21</v>
      </c>
    </row>
    <row r="5522" ht="15.75" customHeight="1">
      <c r="A5522" s="2">
        <v>2016.0</v>
      </c>
      <c r="B5522" s="2" t="s">
        <v>24198</v>
      </c>
      <c r="C5522" s="2" t="s">
        <v>24198</v>
      </c>
      <c r="D5522" s="2" t="str">
        <f>"402 723 4888"</f>
        <v>402 723 4888</v>
      </c>
      <c r="E5522" s="2" t="s">
        <v>12116</v>
      </c>
      <c r="F5522" s="2" t="s">
        <v>2902</v>
      </c>
      <c r="G5522" s="2" t="str">
        <f>"SR-7631"</f>
        <v>SR-7631</v>
      </c>
      <c r="H5522" s="2" t="s">
        <v>12117</v>
      </c>
      <c r="I5522" s="2" t="s">
        <v>24199</v>
      </c>
      <c r="K5522" s="2" t="s">
        <v>309</v>
      </c>
      <c r="L5522" s="2" t="s">
        <v>757</v>
      </c>
      <c r="M5522" s="2">
        <v>68371.0</v>
      </c>
      <c r="N5522" s="2" t="s">
        <v>21</v>
      </c>
    </row>
    <row r="5523" ht="15.75" customHeight="1">
      <c r="A5523" s="2">
        <v>2016.0</v>
      </c>
      <c r="B5523" s="2" t="s">
        <v>16503</v>
      </c>
      <c r="C5523" s="2" t="s">
        <v>24200</v>
      </c>
      <c r="D5523" s="2" t="str">
        <f>"540-333-2647"</f>
        <v>540-333-2647</v>
      </c>
      <c r="E5523" s="2" t="s">
        <v>456</v>
      </c>
      <c r="F5523" s="2" t="s">
        <v>16506</v>
      </c>
      <c r="G5523" s="2" t="str">
        <f>"SR-7574"</f>
        <v>SR-7574</v>
      </c>
      <c r="H5523" s="2" t="s">
        <v>24201</v>
      </c>
      <c r="I5523" s="2" t="s">
        <v>16508</v>
      </c>
      <c r="K5523" s="2" t="s">
        <v>8093</v>
      </c>
      <c r="L5523" s="2" t="s">
        <v>165</v>
      </c>
      <c r="M5523" s="2">
        <v>22815.0</v>
      </c>
      <c r="N5523" s="2" t="s">
        <v>21</v>
      </c>
    </row>
    <row r="5524" ht="15.75" customHeight="1">
      <c r="A5524" s="2">
        <v>2016.0</v>
      </c>
      <c r="B5524" s="2" t="s">
        <v>16503</v>
      </c>
      <c r="C5524" s="2" t="s">
        <v>24202</v>
      </c>
      <c r="D5524" s="2" t="str">
        <f>"540-896-3439"</f>
        <v>540-896-3439</v>
      </c>
      <c r="E5524" s="2" t="s">
        <v>24203</v>
      </c>
      <c r="F5524" s="2" t="s">
        <v>16506</v>
      </c>
      <c r="G5524" s="2" t="str">
        <f>"SR-7576"</f>
        <v>SR-7576</v>
      </c>
      <c r="H5524" s="2" t="s">
        <v>24204</v>
      </c>
      <c r="I5524" s="2" t="s">
        <v>16508</v>
      </c>
      <c r="K5524" s="2" t="s">
        <v>8093</v>
      </c>
      <c r="L5524" s="2" t="s">
        <v>165</v>
      </c>
      <c r="M5524" s="2">
        <v>22815.0</v>
      </c>
      <c r="N5524" s="2" t="s">
        <v>21</v>
      </c>
    </row>
    <row r="5525" ht="15.75" customHeight="1">
      <c r="A5525" s="2">
        <v>2016.0</v>
      </c>
      <c r="B5525" s="2" t="s">
        <v>20869</v>
      </c>
      <c r="C5525" s="2" t="s">
        <v>24205</v>
      </c>
      <c r="D5525" s="2" t="str">
        <f>"260-602-0486"</f>
        <v>260-602-0486</v>
      </c>
      <c r="E5525" s="2" t="s">
        <v>282</v>
      </c>
      <c r="F5525" s="2" t="s">
        <v>24069</v>
      </c>
      <c r="G5525" s="2" t="str">
        <f>"SR-7633"</f>
        <v>SR-7633</v>
      </c>
      <c r="H5525" s="2" t="s">
        <v>24206</v>
      </c>
      <c r="I5525" s="2" t="s">
        <v>24071</v>
      </c>
      <c r="K5525" s="2" t="s">
        <v>13821</v>
      </c>
      <c r="L5525" s="2" t="s">
        <v>149</v>
      </c>
      <c r="M5525" s="2">
        <v>46774.0</v>
      </c>
      <c r="N5525" s="2" t="s">
        <v>21</v>
      </c>
    </row>
    <row r="5526" ht="15.75" customHeight="1">
      <c r="A5526" s="2">
        <v>2016.0</v>
      </c>
      <c r="B5526" s="2" t="s">
        <v>24207</v>
      </c>
      <c r="C5526" s="2" t="s">
        <v>24208</v>
      </c>
      <c r="D5526" s="2" t="str">
        <f>"214-577-2625"</f>
        <v>214-577-2625</v>
      </c>
      <c r="E5526" s="2" t="s">
        <v>938</v>
      </c>
      <c r="F5526" s="2" t="s">
        <v>24209</v>
      </c>
      <c r="G5526" s="2" t="str">
        <f>"SR-7634"</f>
        <v>SR-7634</v>
      </c>
      <c r="H5526" s="2" t="s">
        <v>24210</v>
      </c>
      <c r="I5526" s="2" t="s">
        <v>24211</v>
      </c>
      <c r="K5526" s="2" t="s">
        <v>1255</v>
      </c>
      <c r="L5526" s="2" t="s">
        <v>172</v>
      </c>
      <c r="M5526" s="2">
        <v>75225.0</v>
      </c>
      <c r="N5526" s="2" t="s">
        <v>21</v>
      </c>
    </row>
    <row r="5527" ht="15.75" customHeight="1">
      <c r="A5527" s="2">
        <v>2016.0</v>
      </c>
      <c r="B5527" s="2" t="s">
        <v>3032</v>
      </c>
      <c r="C5527" s="2" t="s">
        <v>24212</v>
      </c>
      <c r="D5527" s="2" t="str">
        <f>"269-873-0659"</f>
        <v>269-873-0659</v>
      </c>
      <c r="E5527" s="2" t="s">
        <v>24213</v>
      </c>
      <c r="F5527" s="2" t="s">
        <v>3034</v>
      </c>
      <c r="G5527" s="2" t="str">
        <f>"SR-7627"</f>
        <v>SR-7627</v>
      </c>
      <c r="H5527" s="2" t="s">
        <v>24214</v>
      </c>
      <c r="I5527" s="2" t="s">
        <v>24215</v>
      </c>
      <c r="K5527" s="2" t="s">
        <v>9092</v>
      </c>
      <c r="L5527" s="2" t="s">
        <v>29</v>
      </c>
      <c r="M5527" s="2">
        <v>49002.0</v>
      </c>
      <c r="N5527" s="2" t="s">
        <v>21</v>
      </c>
    </row>
    <row r="5528" ht="15.75" customHeight="1">
      <c r="A5528" s="2">
        <v>2016.0</v>
      </c>
      <c r="B5528" s="2" t="s">
        <v>24216</v>
      </c>
      <c r="C5528" s="2" t="s">
        <v>24217</v>
      </c>
      <c r="D5528" s="2" t="str">
        <f>"3183489143"</f>
        <v>3183489143</v>
      </c>
      <c r="E5528" s="2" t="s">
        <v>1434</v>
      </c>
      <c r="F5528" s="2" t="s">
        <v>386</v>
      </c>
      <c r="G5528" s="2" t="str">
        <f>"SR-6550"</f>
        <v>SR-6550</v>
      </c>
      <c r="H5528" s="2" t="s">
        <v>24218</v>
      </c>
      <c r="I5528" s="2" t="s">
        <v>24219</v>
      </c>
      <c r="K5528" s="2" t="s">
        <v>24220</v>
      </c>
      <c r="L5528" s="2" t="s">
        <v>715</v>
      </c>
      <c r="M5528" s="2">
        <v>71280.0</v>
      </c>
      <c r="N5528" s="2" t="s">
        <v>21</v>
      </c>
    </row>
    <row r="5529" ht="15.75" customHeight="1">
      <c r="A5529" s="2">
        <v>2016.0</v>
      </c>
      <c r="B5529" s="2" t="s">
        <v>24207</v>
      </c>
      <c r="C5529" s="2" t="s">
        <v>24221</v>
      </c>
      <c r="D5529" s="2" t="str">
        <f>"214-577-5675"</f>
        <v>214-577-5675</v>
      </c>
      <c r="E5529" s="2" t="s">
        <v>2083</v>
      </c>
      <c r="F5529" s="2" t="s">
        <v>24209</v>
      </c>
      <c r="G5529" s="2" t="str">
        <f>"SR-7640"</f>
        <v>SR-7640</v>
      </c>
      <c r="H5529" s="2" t="s">
        <v>24222</v>
      </c>
      <c r="I5529" s="2" t="s">
        <v>24211</v>
      </c>
      <c r="K5529" s="2" t="s">
        <v>1255</v>
      </c>
      <c r="L5529" s="2" t="s">
        <v>172</v>
      </c>
      <c r="M5529" s="2">
        <v>75225.0</v>
      </c>
      <c r="N5529" s="2" t="s">
        <v>21</v>
      </c>
    </row>
    <row r="5530" ht="15.75" customHeight="1">
      <c r="A5530" s="2">
        <v>2016.0</v>
      </c>
      <c r="B5530" s="2" t="s">
        <v>24223</v>
      </c>
      <c r="C5530" s="2" t="s">
        <v>24224</v>
      </c>
      <c r="D5530" s="2" t="str">
        <f t="shared" ref="D5530:D5531" si="100">"765-385-5164"</f>
        <v>765-385-5164</v>
      </c>
      <c r="E5530" s="2" t="s">
        <v>3668</v>
      </c>
      <c r="F5530" s="2" t="s">
        <v>13781</v>
      </c>
      <c r="G5530" s="2" t="str">
        <f>"SR-7329"</f>
        <v>SR-7329</v>
      </c>
      <c r="H5530" s="2" t="s">
        <v>24225</v>
      </c>
      <c r="I5530" s="2" t="s">
        <v>24226</v>
      </c>
      <c r="K5530" s="2" t="s">
        <v>24227</v>
      </c>
      <c r="L5530" s="2" t="s">
        <v>149</v>
      </c>
      <c r="M5530" s="2">
        <v>47971.0</v>
      </c>
      <c r="N5530" s="2" t="s">
        <v>21</v>
      </c>
    </row>
    <row r="5531" ht="15.75" customHeight="1">
      <c r="A5531" s="2">
        <v>2016.0</v>
      </c>
      <c r="B5531" s="2" t="s">
        <v>24223</v>
      </c>
      <c r="C5531" s="2" t="s">
        <v>24228</v>
      </c>
      <c r="D5531" s="2" t="str">
        <f t="shared" si="100"/>
        <v>765-385-5164</v>
      </c>
      <c r="E5531" s="2" t="s">
        <v>4935</v>
      </c>
      <c r="F5531" s="2" t="s">
        <v>13781</v>
      </c>
      <c r="G5531" s="2" t="str">
        <f>"SR-7437"</f>
        <v>SR-7437</v>
      </c>
      <c r="H5531" s="2" t="s">
        <v>24229</v>
      </c>
      <c r="I5531" s="2" t="s">
        <v>24226</v>
      </c>
      <c r="K5531" s="2" t="s">
        <v>24227</v>
      </c>
      <c r="L5531" s="2" t="s">
        <v>149</v>
      </c>
      <c r="M5531" s="2">
        <v>47971.0</v>
      </c>
      <c r="N5531" s="2" t="s">
        <v>21</v>
      </c>
    </row>
    <row r="5532" ht="15.75" customHeight="1">
      <c r="A5532" s="2">
        <v>2016.0</v>
      </c>
      <c r="B5532" s="2" t="s">
        <v>24230</v>
      </c>
      <c r="C5532" s="2" t="s">
        <v>24230</v>
      </c>
      <c r="D5532" s="2" t="str">
        <f>"(906)-482-8923"</f>
        <v>(906)-482-8923</v>
      </c>
      <c r="E5532" s="2" t="s">
        <v>24231</v>
      </c>
      <c r="F5532" s="2" t="s">
        <v>10325</v>
      </c>
      <c r="G5532" s="2" t="str">
        <f>"SR-7643"</f>
        <v>SR-7643</v>
      </c>
      <c r="H5532" s="2" t="s">
        <v>24232</v>
      </c>
      <c r="I5532" s="2" t="s">
        <v>24233</v>
      </c>
      <c r="K5532" s="2" t="s">
        <v>24234</v>
      </c>
      <c r="L5532" s="2" t="s">
        <v>29</v>
      </c>
      <c r="M5532" s="2">
        <v>49930.0</v>
      </c>
      <c r="N5532" s="2" t="s">
        <v>21</v>
      </c>
    </row>
    <row r="5533" ht="15.75" customHeight="1">
      <c r="A5533" s="2">
        <v>2016.0</v>
      </c>
      <c r="B5533" s="2" t="s">
        <v>24235</v>
      </c>
      <c r="C5533" s="2" t="s">
        <v>24236</v>
      </c>
      <c r="D5533" s="2" t="str">
        <f>"2086102857"</f>
        <v>2086102857</v>
      </c>
      <c r="E5533" s="2" t="s">
        <v>167</v>
      </c>
      <c r="F5533" s="2" t="s">
        <v>24237</v>
      </c>
      <c r="G5533" s="2" t="str">
        <f>"SR-7413"</f>
        <v>SR-7413</v>
      </c>
      <c r="H5533" s="2" t="s">
        <v>24238</v>
      </c>
      <c r="I5533" s="2" t="s">
        <v>24239</v>
      </c>
      <c r="K5533" s="2" t="s">
        <v>19729</v>
      </c>
      <c r="L5533" s="2" t="s">
        <v>2613</v>
      </c>
      <c r="M5533" s="2">
        <v>83864.0</v>
      </c>
      <c r="N5533" s="2" t="s">
        <v>21</v>
      </c>
    </row>
    <row r="5534" ht="15.75" customHeight="1">
      <c r="A5534" s="2">
        <v>2016.0</v>
      </c>
      <c r="B5534" s="2" t="s">
        <v>24240</v>
      </c>
      <c r="C5534" s="2" t="s">
        <v>24241</v>
      </c>
      <c r="D5534" s="2" t="str">
        <f>"9407654340"</f>
        <v>9407654340</v>
      </c>
      <c r="E5534" s="2" t="s">
        <v>4224</v>
      </c>
      <c r="F5534" s="2" t="s">
        <v>24242</v>
      </c>
      <c r="G5534" s="2" t="str">
        <f>"SR-7644"</f>
        <v>SR-7644</v>
      </c>
      <c r="H5534" s="2" t="s">
        <v>24243</v>
      </c>
      <c r="I5534" s="2" t="s">
        <v>24244</v>
      </c>
      <c r="K5534" s="2" t="s">
        <v>24245</v>
      </c>
      <c r="L5534" s="2" t="s">
        <v>172</v>
      </c>
      <c r="M5534" s="2">
        <v>76210.0</v>
      </c>
      <c r="N5534" s="2" t="s">
        <v>21</v>
      </c>
    </row>
    <row r="5535" ht="15.75" customHeight="1">
      <c r="A5535" s="2">
        <v>2016.0</v>
      </c>
      <c r="B5535" s="2" t="s">
        <v>24246</v>
      </c>
      <c r="C5535" s="2" t="s">
        <v>24247</v>
      </c>
      <c r="D5535" s="2" t="str">
        <f>"815-895-6398"</f>
        <v>815-895-6398</v>
      </c>
      <c r="E5535" s="2" t="s">
        <v>1946</v>
      </c>
      <c r="F5535" s="2" t="s">
        <v>2954</v>
      </c>
      <c r="G5535" s="2" t="str">
        <f>"SR-7645"</f>
        <v>SR-7645</v>
      </c>
      <c r="H5535" s="2" t="s">
        <v>24248</v>
      </c>
      <c r="I5535" s="2" t="s">
        <v>24249</v>
      </c>
      <c r="K5535" s="2" t="s">
        <v>5198</v>
      </c>
      <c r="L5535" s="2" t="s">
        <v>105</v>
      </c>
      <c r="M5535" s="2">
        <v>60178.0</v>
      </c>
      <c r="N5535" s="2" t="s">
        <v>21</v>
      </c>
    </row>
    <row r="5536" ht="15.75" customHeight="1">
      <c r="A5536" s="2">
        <v>2016.0</v>
      </c>
      <c r="B5536" s="2" t="s">
        <v>6616</v>
      </c>
      <c r="C5536" s="2" t="s">
        <v>6617</v>
      </c>
      <c r="D5536" s="2" t="str">
        <f>"4058313990"</f>
        <v>4058313990</v>
      </c>
      <c r="E5536" s="2" t="s">
        <v>6618</v>
      </c>
      <c r="F5536" s="2" t="s">
        <v>6619</v>
      </c>
      <c r="G5536" s="2" t="str">
        <f>"SR-1760"</f>
        <v>SR-1760</v>
      </c>
      <c r="H5536" s="2" t="s">
        <v>6620</v>
      </c>
      <c r="I5536" s="2" t="s">
        <v>6621</v>
      </c>
      <c r="K5536" s="2" t="s">
        <v>6622</v>
      </c>
      <c r="L5536" s="2" t="s">
        <v>840</v>
      </c>
      <c r="M5536" s="2">
        <v>73162.0</v>
      </c>
      <c r="N5536" s="2" t="s">
        <v>21</v>
      </c>
    </row>
    <row r="5537" ht="15.75" customHeight="1">
      <c r="A5537" s="2">
        <v>2016.0</v>
      </c>
      <c r="B5537" s="2" t="s">
        <v>24250</v>
      </c>
      <c r="C5537" s="2" t="s">
        <v>24250</v>
      </c>
      <c r="D5537" s="2" t="str">
        <f>"(906) 523-6377"</f>
        <v>(906) 523-6377</v>
      </c>
      <c r="E5537" s="2" t="s">
        <v>24251</v>
      </c>
      <c r="F5537" s="2" t="s">
        <v>24252</v>
      </c>
      <c r="G5537" s="2" t="str">
        <f>"SR-7648"</f>
        <v>SR-7648</v>
      </c>
      <c r="H5537" s="2" t="s">
        <v>24253</v>
      </c>
      <c r="I5537" s="2" t="s">
        <v>24254</v>
      </c>
      <c r="K5537" s="2" t="s">
        <v>11619</v>
      </c>
      <c r="L5537" s="2" t="s">
        <v>29</v>
      </c>
      <c r="M5537" s="2">
        <v>49916.0</v>
      </c>
      <c r="N5537" s="2" t="s">
        <v>21</v>
      </c>
    </row>
    <row r="5538" ht="15.75" customHeight="1">
      <c r="A5538" s="2">
        <v>2016.0</v>
      </c>
      <c r="B5538" s="2" t="s">
        <v>24255</v>
      </c>
      <c r="C5538" s="2" t="s">
        <v>24256</v>
      </c>
      <c r="D5538" s="2" t="str">
        <f>"4028892417"</f>
        <v>4028892417</v>
      </c>
      <c r="E5538" s="2" t="s">
        <v>4769</v>
      </c>
      <c r="F5538" s="2" t="s">
        <v>24257</v>
      </c>
      <c r="G5538" s="2" t="str">
        <f>"SR-7586"</f>
        <v>SR-7586</v>
      </c>
      <c r="H5538" s="2" t="s">
        <v>24258</v>
      </c>
      <c r="I5538" s="2" t="s">
        <v>24259</v>
      </c>
      <c r="K5538" s="2" t="s">
        <v>1470</v>
      </c>
      <c r="L5538" s="2" t="s">
        <v>757</v>
      </c>
      <c r="M5538" s="2">
        <v>68132.0</v>
      </c>
      <c r="N5538" s="2" t="s">
        <v>21</v>
      </c>
    </row>
    <row r="5539" ht="15.75" customHeight="1">
      <c r="A5539" s="2">
        <v>2016.0</v>
      </c>
      <c r="B5539" s="2" t="s">
        <v>24260</v>
      </c>
      <c r="C5539" s="2" t="s">
        <v>24261</v>
      </c>
      <c r="D5539" s="2" t="str">
        <f>"906-370-1875"</f>
        <v>906-370-1875</v>
      </c>
      <c r="E5539" s="2" t="s">
        <v>72</v>
      </c>
      <c r="F5539" s="2" t="s">
        <v>24262</v>
      </c>
      <c r="G5539" s="2" t="str">
        <f>"SR-7649"</f>
        <v>SR-7649</v>
      </c>
      <c r="H5539" s="2" t="s">
        <v>24263</v>
      </c>
      <c r="I5539" s="2" t="s">
        <v>24264</v>
      </c>
      <c r="K5539" s="2" t="s">
        <v>8278</v>
      </c>
      <c r="L5539" s="2" t="s">
        <v>29</v>
      </c>
      <c r="M5539" s="2">
        <v>49930.0</v>
      </c>
      <c r="N5539" s="2" t="s">
        <v>21</v>
      </c>
    </row>
    <row r="5540" ht="15.75" customHeight="1">
      <c r="A5540" s="2">
        <v>2016.0</v>
      </c>
      <c r="B5540" s="2" t="s">
        <v>24265</v>
      </c>
      <c r="C5540" s="2" t="s">
        <v>24266</v>
      </c>
      <c r="D5540" s="2" t="str">
        <f>"405226-4797"</f>
        <v>405226-4797</v>
      </c>
      <c r="E5540" s="2" t="s">
        <v>651</v>
      </c>
      <c r="F5540" s="2" t="s">
        <v>24267</v>
      </c>
      <c r="G5540" s="2" t="str">
        <f>"SR-7652"</f>
        <v>SR-7652</v>
      </c>
      <c r="H5540" s="2" t="s">
        <v>24268</v>
      </c>
      <c r="I5540" s="2" t="s">
        <v>24269</v>
      </c>
      <c r="K5540" s="2" t="s">
        <v>6622</v>
      </c>
      <c r="L5540" s="2" t="s">
        <v>840</v>
      </c>
      <c r="M5540" s="2">
        <v>73162.0</v>
      </c>
      <c r="N5540" s="2" t="s">
        <v>21</v>
      </c>
    </row>
    <row r="5541" ht="15.75" customHeight="1">
      <c r="A5541" s="2">
        <v>2016.0</v>
      </c>
      <c r="B5541" s="2" t="s">
        <v>24270</v>
      </c>
      <c r="C5541" s="2" t="s">
        <v>24270</v>
      </c>
      <c r="D5541" s="2" t="str">
        <f>"(949) 830-9075"</f>
        <v>(949) 830-9075</v>
      </c>
      <c r="E5541" s="2" t="s">
        <v>288</v>
      </c>
      <c r="F5541" s="2" t="s">
        <v>24271</v>
      </c>
      <c r="G5541" s="2" t="str">
        <f>"SR-7653"</f>
        <v>SR-7653</v>
      </c>
      <c r="H5541" s="2" t="s">
        <v>24272</v>
      </c>
      <c r="I5541" s="2" t="s">
        <v>24273</v>
      </c>
      <c r="K5541" s="2" t="s">
        <v>10926</v>
      </c>
      <c r="L5541" s="2" t="s">
        <v>222</v>
      </c>
      <c r="M5541" s="2">
        <v>92691.0</v>
      </c>
      <c r="N5541" s="2" t="s">
        <v>21</v>
      </c>
    </row>
    <row r="5542" ht="15.75" customHeight="1">
      <c r="A5542" s="2">
        <v>2016.0</v>
      </c>
      <c r="B5542" s="2" t="s">
        <v>24274</v>
      </c>
      <c r="C5542" s="2" t="s">
        <v>24274</v>
      </c>
      <c r="D5542" s="2" t="str">
        <f>"949-830-9075"</f>
        <v>949-830-9075</v>
      </c>
      <c r="E5542" s="2" t="s">
        <v>843</v>
      </c>
      <c r="F5542" s="2" t="s">
        <v>24271</v>
      </c>
      <c r="G5542" s="2" t="str">
        <f>"SR-7654"</f>
        <v>SR-7654</v>
      </c>
      <c r="H5542" s="2" t="s">
        <v>24275</v>
      </c>
      <c r="I5542" s="2" t="s">
        <v>24273</v>
      </c>
      <c r="K5542" s="2" t="s">
        <v>24276</v>
      </c>
      <c r="L5542" s="2" t="s">
        <v>222</v>
      </c>
      <c r="M5542" s="2">
        <v>92691.0</v>
      </c>
      <c r="N5542" s="2" t="s">
        <v>21</v>
      </c>
    </row>
    <row r="5543" ht="15.75" customHeight="1">
      <c r="A5543" s="2">
        <v>2016.0</v>
      </c>
      <c r="B5543" s="2" t="s">
        <v>24277</v>
      </c>
      <c r="C5543" s="2" t="s">
        <v>24278</v>
      </c>
      <c r="D5543" s="2" t="str">
        <f>"2143344391"</f>
        <v>2143344391</v>
      </c>
      <c r="E5543" s="2" t="s">
        <v>684</v>
      </c>
      <c r="F5543" s="2" t="s">
        <v>14884</v>
      </c>
      <c r="G5543" s="2" t="str">
        <f>"SR-7655"</f>
        <v>SR-7655</v>
      </c>
      <c r="H5543" s="2" t="s">
        <v>24279</v>
      </c>
      <c r="I5543" s="2" t="s">
        <v>24280</v>
      </c>
      <c r="K5543" s="2" t="s">
        <v>1255</v>
      </c>
      <c r="L5543" s="2" t="s">
        <v>172</v>
      </c>
      <c r="M5543" s="2">
        <v>75238.0</v>
      </c>
      <c r="N5543" s="2" t="s">
        <v>21</v>
      </c>
    </row>
    <row r="5544" ht="15.75" customHeight="1">
      <c r="A5544" s="2">
        <v>2016.0</v>
      </c>
      <c r="B5544" s="2" t="s">
        <v>24281</v>
      </c>
      <c r="C5544" s="2" t="s">
        <v>24282</v>
      </c>
      <c r="D5544" s="2" t="str">
        <f>"3202629952"</f>
        <v>3202629952</v>
      </c>
      <c r="E5544" s="2" t="s">
        <v>261</v>
      </c>
      <c r="F5544" s="2" t="s">
        <v>9898</v>
      </c>
      <c r="G5544" s="2" t="str">
        <f>"SR-7656"</f>
        <v>SR-7656</v>
      </c>
      <c r="H5544" s="2" t="s">
        <v>24283</v>
      </c>
      <c r="I5544" s="2" t="s">
        <v>9900</v>
      </c>
      <c r="K5544" s="2" t="s">
        <v>61</v>
      </c>
      <c r="L5544" s="2" t="s">
        <v>62</v>
      </c>
      <c r="M5544" s="2">
        <v>56201.0</v>
      </c>
      <c r="N5544" s="2" t="s">
        <v>21</v>
      </c>
    </row>
    <row r="5545" ht="15.75" customHeight="1">
      <c r="A5545" s="2">
        <v>2016.0</v>
      </c>
      <c r="B5545" s="2" t="s">
        <v>24284</v>
      </c>
      <c r="C5545" s="2" t="s">
        <v>24284</v>
      </c>
      <c r="D5545" s="2" t="str">
        <f>"9077467736"</f>
        <v>9077467736</v>
      </c>
      <c r="E5545" s="2" t="s">
        <v>24285</v>
      </c>
      <c r="F5545" s="2" t="s">
        <v>24286</v>
      </c>
      <c r="G5545" s="2" t="str">
        <f>"SR-7650"</f>
        <v>SR-7650</v>
      </c>
      <c r="H5545" s="2" t="s">
        <v>24287</v>
      </c>
      <c r="I5545" s="2" t="s">
        <v>24288</v>
      </c>
      <c r="K5545" s="2" t="s">
        <v>24289</v>
      </c>
      <c r="L5545" s="2" t="s">
        <v>70</v>
      </c>
      <c r="M5545" s="2">
        <v>99645.0</v>
      </c>
      <c r="N5545" s="2" t="s">
        <v>21</v>
      </c>
    </row>
    <row r="5546" ht="15.75" customHeight="1">
      <c r="A5546" s="2">
        <v>2016.0</v>
      </c>
      <c r="B5546" s="2" t="s">
        <v>6242</v>
      </c>
      <c r="C5546" s="2" t="s">
        <v>24290</v>
      </c>
      <c r="D5546" s="2" t="str">
        <f>"6305635379"</f>
        <v>6305635379</v>
      </c>
      <c r="E5546" s="2" t="s">
        <v>167</v>
      </c>
      <c r="F5546" s="2" t="s">
        <v>6245</v>
      </c>
      <c r="G5546" s="2" t="str">
        <f>"SR-7658"</f>
        <v>SR-7658</v>
      </c>
      <c r="H5546" s="2" t="s">
        <v>24291</v>
      </c>
      <c r="I5546" s="2" t="s">
        <v>24292</v>
      </c>
      <c r="J5546" s="2" t="s">
        <v>24293</v>
      </c>
      <c r="K5546" s="2" t="s">
        <v>24294</v>
      </c>
      <c r="N5546" s="2" t="s">
        <v>24295</v>
      </c>
    </row>
    <row r="5547" ht="15.75" customHeight="1">
      <c r="A5547" s="2">
        <v>2016.0</v>
      </c>
      <c r="B5547" s="2" t="s">
        <v>20869</v>
      </c>
      <c r="C5547" s="2" t="s">
        <v>24296</v>
      </c>
      <c r="D5547" s="2" t="str">
        <f>"567-344-0850"</f>
        <v>567-344-0850</v>
      </c>
      <c r="E5547" s="2" t="s">
        <v>5542</v>
      </c>
      <c r="F5547" s="2" t="s">
        <v>24297</v>
      </c>
      <c r="G5547" s="2" t="str">
        <f>"SR-7587"</f>
        <v>SR-7587</v>
      </c>
      <c r="H5547" s="2" t="s">
        <v>24298</v>
      </c>
      <c r="I5547" s="2" t="s">
        <v>24299</v>
      </c>
      <c r="K5547" s="2" t="s">
        <v>24300</v>
      </c>
      <c r="L5547" s="2" t="s">
        <v>344</v>
      </c>
      <c r="M5547" s="2">
        <v>45821.0</v>
      </c>
      <c r="N5547" s="2" t="s">
        <v>21</v>
      </c>
    </row>
    <row r="5548" ht="15.75" customHeight="1">
      <c r="A5548" s="2">
        <v>2016.0</v>
      </c>
      <c r="B5548" s="2" t="s">
        <v>20869</v>
      </c>
      <c r="C5548" s="2" t="s">
        <v>24301</v>
      </c>
      <c r="D5548" s="2" t="str">
        <f>"4197961196"</f>
        <v>4197961196</v>
      </c>
      <c r="E5548" s="2" t="s">
        <v>4322</v>
      </c>
      <c r="F5548" s="2" t="s">
        <v>24297</v>
      </c>
      <c r="G5548" s="2" t="str">
        <f>"SR-7585"</f>
        <v>SR-7585</v>
      </c>
      <c r="H5548" s="2" t="s">
        <v>24302</v>
      </c>
      <c r="I5548" s="2" t="s">
        <v>24299</v>
      </c>
      <c r="K5548" s="2" t="s">
        <v>24300</v>
      </c>
      <c r="L5548" s="2" t="s">
        <v>344</v>
      </c>
      <c r="M5548" s="2">
        <v>45821.0</v>
      </c>
      <c r="N5548" s="2" t="s">
        <v>21</v>
      </c>
    </row>
    <row r="5549" ht="15.75" customHeight="1">
      <c r="A5549" s="2">
        <v>2016.0</v>
      </c>
      <c r="B5549" s="2" t="s">
        <v>24303</v>
      </c>
      <c r="C5549" s="2" t="s">
        <v>24304</v>
      </c>
      <c r="D5549" s="2" t="str">
        <f>"6052240751"</f>
        <v>6052240751</v>
      </c>
      <c r="E5549" s="2" t="s">
        <v>596</v>
      </c>
      <c r="F5549" s="2" t="s">
        <v>24305</v>
      </c>
      <c r="G5549" s="2" t="str">
        <f>"SR-7663"</f>
        <v>SR-7663</v>
      </c>
      <c r="H5549" s="2" t="s">
        <v>24306</v>
      </c>
      <c r="I5549" s="2" t="s">
        <v>24307</v>
      </c>
      <c r="K5549" s="2" t="s">
        <v>4355</v>
      </c>
      <c r="L5549" s="2" t="s">
        <v>920</v>
      </c>
      <c r="M5549" s="2">
        <v>57501.0</v>
      </c>
      <c r="N5549" s="2" t="s">
        <v>21</v>
      </c>
    </row>
    <row r="5550" ht="15.75" customHeight="1">
      <c r="A5550" s="2">
        <v>2016.0</v>
      </c>
      <c r="B5550" s="2" t="s">
        <v>24308</v>
      </c>
      <c r="C5550" s="2" t="s">
        <v>24309</v>
      </c>
      <c r="D5550" s="2" t="str">
        <f>"817-613-7210"</f>
        <v>817-613-7210</v>
      </c>
      <c r="E5550" s="2" t="s">
        <v>288</v>
      </c>
      <c r="F5550" s="2" t="s">
        <v>24310</v>
      </c>
      <c r="G5550" s="2" t="str">
        <f>"SR-7664"</f>
        <v>SR-7664</v>
      </c>
      <c r="H5550" s="2" t="s">
        <v>24311</v>
      </c>
      <c r="I5550" s="2" t="s">
        <v>24312</v>
      </c>
      <c r="K5550" s="2" t="s">
        <v>6017</v>
      </c>
      <c r="L5550" s="2" t="s">
        <v>172</v>
      </c>
      <c r="M5550" s="2">
        <v>76008.0</v>
      </c>
      <c r="N5550" s="2" t="s">
        <v>21</v>
      </c>
    </row>
    <row r="5551" ht="15.75" customHeight="1">
      <c r="A5551" s="2">
        <v>2016.0</v>
      </c>
      <c r="B5551" s="2" t="s">
        <v>8626</v>
      </c>
      <c r="C5551" s="2" t="s">
        <v>8627</v>
      </c>
      <c r="D5551" s="2" t="str">
        <f>"6052202565"</f>
        <v>6052202565</v>
      </c>
      <c r="E5551" s="2" t="s">
        <v>908</v>
      </c>
      <c r="F5551" s="2" t="s">
        <v>8628</v>
      </c>
      <c r="G5551" s="2" t="str">
        <f>"SR-2446"</f>
        <v>SR-2446</v>
      </c>
      <c r="H5551" s="2" t="s">
        <v>8629</v>
      </c>
      <c r="I5551" s="2" t="s">
        <v>8630</v>
      </c>
      <c r="K5551" s="2" t="s">
        <v>4355</v>
      </c>
      <c r="L5551" s="2" t="s">
        <v>920</v>
      </c>
      <c r="M5551" s="2">
        <v>57501.0</v>
      </c>
      <c r="N5551" s="2" t="s">
        <v>21</v>
      </c>
    </row>
    <row r="5552" ht="15.75" customHeight="1">
      <c r="A5552" s="2">
        <v>2016.0</v>
      </c>
      <c r="B5552" s="2" t="s">
        <v>24313</v>
      </c>
      <c r="C5552" s="2" t="s">
        <v>24314</v>
      </c>
      <c r="D5552" s="2" t="str">
        <f>"2106213965"</f>
        <v>2106213965</v>
      </c>
      <c r="E5552" s="2" t="s">
        <v>20299</v>
      </c>
      <c r="F5552" s="2" t="s">
        <v>6923</v>
      </c>
      <c r="G5552" s="2" t="str">
        <f>"SR-7596"</f>
        <v>SR-7596</v>
      </c>
      <c r="H5552" s="2" t="s">
        <v>24315</v>
      </c>
      <c r="I5552" s="2">
        <v>67.0</v>
      </c>
      <c r="J5552" s="2" t="s">
        <v>24316</v>
      </c>
      <c r="K5552" s="2" t="s">
        <v>632</v>
      </c>
      <c r="L5552" s="2" t="s">
        <v>172</v>
      </c>
      <c r="M5552" s="2">
        <v>78258.0</v>
      </c>
      <c r="N5552" s="2" t="s">
        <v>21</v>
      </c>
    </row>
    <row r="5553" ht="15.75" customHeight="1">
      <c r="A5553" s="2">
        <v>2016.0</v>
      </c>
      <c r="B5553" s="2" t="s">
        <v>24313</v>
      </c>
      <c r="D5553" s="2" t="str">
        <f>""</f>
        <v/>
      </c>
      <c r="E5553" s="2" t="s">
        <v>24317</v>
      </c>
      <c r="F5553" s="2" t="s">
        <v>6923</v>
      </c>
      <c r="G5553" s="2" t="str">
        <f>"SR-7638"</f>
        <v>SR-7638</v>
      </c>
      <c r="H5553" s="2" t="s">
        <v>24318</v>
      </c>
    </row>
    <row r="5554" ht="15.75" customHeight="1">
      <c r="A5554" s="2">
        <v>2016.0</v>
      </c>
      <c r="B5554" s="2" t="s">
        <v>24319</v>
      </c>
      <c r="C5554" s="2" t="s">
        <v>24320</v>
      </c>
      <c r="D5554" s="2" t="str">
        <f>"626 320 9510"</f>
        <v>626 320 9510</v>
      </c>
      <c r="E5554" s="2" t="s">
        <v>17623</v>
      </c>
      <c r="F5554" s="2" t="s">
        <v>24321</v>
      </c>
      <c r="G5554" s="2" t="str">
        <f>"SR-7669"</f>
        <v>SR-7669</v>
      </c>
      <c r="H5554" s="2" t="s">
        <v>24322</v>
      </c>
      <c r="I5554" s="2" t="s">
        <v>24323</v>
      </c>
      <c r="K5554" s="2" t="s">
        <v>24324</v>
      </c>
      <c r="L5554" s="2" t="s">
        <v>222</v>
      </c>
      <c r="M5554" s="2">
        <v>91744.0</v>
      </c>
      <c r="N5554" s="2" t="s">
        <v>21</v>
      </c>
    </row>
    <row r="5555" ht="15.75" customHeight="1">
      <c r="A5555" s="2">
        <v>2016.0</v>
      </c>
      <c r="B5555" s="2" t="s">
        <v>24325</v>
      </c>
      <c r="C5555" s="2" t="s">
        <v>24326</v>
      </c>
      <c r="D5555" s="2" t="str">
        <f>"6156931179"</f>
        <v>6156931179</v>
      </c>
      <c r="E5555" s="2" t="s">
        <v>2314</v>
      </c>
      <c r="F5555" s="2" t="s">
        <v>24327</v>
      </c>
      <c r="G5555" s="2" t="str">
        <f>"SR-7636"</f>
        <v>SR-7636</v>
      </c>
      <c r="H5555" s="2" t="s">
        <v>24328</v>
      </c>
      <c r="I5555" s="2" t="s">
        <v>24329</v>
      </c>
      <c r="K5555" s="2" t="s">
        <v>24330</v>
      </c>
      <c r="L5555" s="2" t="s">
        <v>279</v>
      </c>
      <c r="M5555" s="2">
        <v>37046.0</v>
      </c>
      <c r="N5555" s="2" t="s">
        <v>21</v>
      </c>
    </row>
    <row r="5556" ht="15.75" customHeight="1">
      <c r="A5556" s="2">
        <v>2016.0</v>
      </c>
      <c r="B5556" s="2" t="s">
        <v>24331</v>
      </c>
      <c r="C5556" s="2" t="s">
        <v>24332</v>
      </c>
      <c r="D5556" s="2" t="str">
        <f>"9077261283"</f>
        <v>9077261283</v>
      </c>
      <c r="E5556" s="2" t="s">
        <v>705</v>
      </c>
      <c r="F5556" s="2" t="s">
        <v>2429</v>
      </c>
      <c r="G5556" s="2" t="str">
        <f>"SR-7198"</f>
        <v>SR-7198</v>
      </c>
      <c r="H5556" s="2" t="s">
        <v>24333</v>
      </c>
      <c r="I5556" s="2" t="s">
        <v>24334</v>
      </c>
      <c r="K5556" s="2" t="s">
        <v>1729</v>
      </c>
      <c r="L5556" s="2" t="s">
        <v>70</v>
      </c>
      <c r="M5556" s="2">
        <v>99577.0</v>
      </c>
      <c r="N5556" s="2" t="s">
        <v>21</v>
      </c>
    </row>
    <row r="5557" ht="15.75" customHeight="1">
      <c r="A5557" s="2">
        <v>2016.0</v>
      </c>
      <c r="B5557" s="2" t="s">
        <v>24335</v>
      </c>
      <c r="C5557" s="2" t="s">
        <v>24336</v>
      </c>
      <c r="D5557" s="2" t="str">
        <f>"856-701-0402"</f>
        <v>856-701-0402</v>
      </c>
      <c r="E5557" s="2" t="s">
        <v>503</v>
      </c>
      <c r="F5557" s="2" t="s">
        <v>24337</v>
      </c>
      <c r="G5557" s="2" t="str">
        <f>"SR-7671"</f>
        <v>SR-7671</v>
      </c>
      <c r="H5557" s="2" t="s">
        <v>24338</v>
      </c>
      <c r="I5557" s="2" t="s">
        <v>24339</v>
      </c>
      <c r="K5557" s="2" t="s">
        <v>24340</v>
      </c>
      <c r="L5557" s="2" t="s">
        <v>3618</v>
      </c>
      <c r="M5557" s="2">
        <v>8004.0</v>
      </c>
      <c r="N5557" s="2" t="s">
        <v>21</v>
      </c>
    </row>
    <row r="5558" ht="15.75" customHeight="1">
      <c r="A5558" s="2">
        <v>2016.0</v>
      </c>
      <c r="B5558" s="2" t="s">
        <v>24331</v>
      </c>
      <c r="C5558" s="2" t="s">
        <v>24341</v>
      </c>
      <c r="D5558" s="2" t="str">
        <f>"9077261283"</f>
        <v>9077261283</v>
      </c>
      <c r="E5558" s="2" t="s">
        <v>261</v>
      </c>
      <c r="F5558" s="2" t="s">
        <v>2429</v>
      </c>
      <c r="G5558" s="2" t="str">
        <f>"SR-7199"</f>
        <v>SR-7199</v>
      </c>
      <c r="H5558" s="2" t="s">
        <v>24342</v>
      </c>
      <c r="I5558" s="2" t="s">
        <v>24334</v>
      </c>
      <c r="K5558" s="2" t="s">
        <v>1729</v>
      </c>
      <c r="L5558" s="2" t="s">
        <v>70</v>
      </c>
      <c r="M5558" s="2">
        <v>99577.0</v>
      </c>
      <c r="N5558" s="2" t="s">
        <v>21</v>
      </c>
    </row>
    <row r="5559" ht="15.75" customHeight="1">
      <c r="A5559" s="2">
        <v>2016.0</v>
      </c>
      <c r="B5559" s="2" t="s">
        <v>14293</v>
      </c>
      <c r="C5559" s="2" t="s">
        <v>14293</v>
      </c>
      <c r="D5559" s="2" t="str">
        <f>"5052204705"</f>
        <v>5052204705</v>
      </c>
      <c r="E5559" s="2" t="s">
        <v>24343</v>
      </c>
      <c r="F5559" s="2" t="s">
        <v>2648</v>
      </c>
      <c r="G5559" s="2" t="str">
        <f>"SR-7647"</f>
        <v>SR-7647</v>
      </c>
      <c r="H5559" s="2" t="s">
        <v>24344</v>
      </c>
      <c r="I5559" s="2" t="s">
        <v>24345</v>
      </c>
      <c r="K5559" s="2" t="s">
        <v>14298</v>
      </c>
      <c r="L5559" s="2" t="s">
        <v>789</v>
      </c>
      <c r="M5559" s="2">
        <v>87031.0</v>
      </c>
      <c r="N5559" s="2" t="s">
        <v>21</v>
      </c>
    </row>
    <row r="5560" ht="15.75" customHeight="1">
      <c r="A5560" s="2">
        <v>2016.0</v>
      </c>
      <c r="B5560" s="2" t="s">
        <v>24346</v>
      </c>
      <c r="C5560" s="2" t="s">
        <v>24347</v>
      </c>
      <c r="D5560" s="2" t="str">
        <f>"2144350866"</f>
        <v>2144350866</v>
      </c>
      <c r="E5560" s="2" t="s">
        <v>3191</v>
      </c>
      <c r="F5560" s="2" t="s">
        <v>24348</v>
      </c>
      <c r="G5560" s="2" t="str">
        <f>"SR-7604"</f>
        <v>SR-7604</v>
      </c>
      <c r="H5560" s="2" t="s">
        <v>24349</v>
      </c>
      <c r="I5560" s="2" t="s">
        <v>24350</v>
      </c>
      <c r="K5560" s="2" t="s">
        <v>1054</v>
      </c>
      <c r="L5560" s="2" t="s">
        <v>172</v>
      </c>
      <c r="M5560" s="2">
        <v>75002.0</v>
      </c>
      <c r="N5560" s="2" t="s">
        <v>21</v>
      </c>
    </row>
    <row r="5561" ht="15.75" customHeight="1">
      <c r="A5561" s="2">
        <v>2016.0</v>
      </c>
      <c r="B5561" s="2" t="s">
        <v>24351</v>
      </c>
      <c r="C5561" s="2" t="s">
        <v>24352</v>
      </c>
      <c r="D5561" s="2" t="str">
        <f>"9065236028"</f>
        <v>9065236028</v>
      </c>
      <c r="E5561" s="2" t="s">
        <v>24353</v>
      </c>
      <c r="F5561" s="2" t="s">
        <v>24354</v>
      </c>
      <c r="G5561" s="2" t="str">
        <f>"SR-7646"</f>
        <v>SR-7646</v>
      </c>
      <c r="H5561" s="2" t="s">
        <v>24355</v>
      </c>
      <c r="I5561" s="2" t="s">
        <v>24356</v>
      </c>
      <c r="K5561" s="2" t="s">
        <v>11619</v>
      </c>
      <c r="L5561" s="2" t="s">
        <v>29</v>
      </c>
      <c r="M5561" s="2">
        <v>49916.0</v>
      </c>
      <c r="N5561" s="2" t="s">
        <v>21</v>
      </c>
    </row>
    <row r="5562" ht="15.75" customHeight="1">
      <c r="A5562" s="2">
        <v>2016.0</v>
      </c>
      <c r="B5562" s="2" t="s">
        <v>24357</v>
      </c>
      <c r="C5562" s="2" t="s">
        <v>24358</v>
      </c>
      <c r="D5562" s="2" t="str">
        <f>"2145975529"</f>
        <v>2145975529</v>
      </c>
      <c r="E5562" s="2" t="s">
        <v>2162</v>
      </c>
      <c r="F5562" s="2" t="s">
        <v>24359</v>
      </c>
      <c r="G5562" s="2" t="str">
        <f>"SR-7351"</f>
        <v>SR-7351</v>
      </c>
      <c r="H5562" s="2" t="s">
        <v>24360</v>
      </c>
      <c r="I5562" s="2" t="s">
        <v>24361</v>
      </c>
      <c r="K5562" s="2" t="s">
        <v>1255</v>
      </c>
      <c r="L5562" s="2" t="s">
        <v>172</v>
      </c>
      <c r="M5562" s="2">
        <v>75229.0</v>
      </c>
      <c r="N5562" s="2" t="s">
        <v>21</v>
      </c>
    </row>
    <row r="5563" ht="15.75" customHeight="1">
      <c r="A5563" s="2">
        <v>2016.0</v>
      </c>
      <c r="B5563" s="2" t="s">
        <v>24362</v>
      </c>
      <c r="C5563" s="2" t="s">
        <v>24363</v>
      </c>
      <c r="D5563" s="2" t="str">
        <f>"937-760-6828"</f>
        <v>937-760-6828</v>
      </c>
      <c r="E5563" s="2" t="s">
        <v>1585</v>
      </c>
      <c r="F5563" s="2" t="s">
        <v>1441</v>
      </c>
      <c r="G5563" s="2" t="str">
        <f>"SR-7573"</f>
        <v>SR-7573</v>
      </c>
      <c r="H5563" s="2" t="s">
        <v>24364</v>
      </c>
      <c r="I5563" s="2" t="s">
        <v>24365</v>
      </c>
      <c r="K5563" s="2" t="s">
        <v>8326</v>
      </c>
      <c r="L5563" s="2" t="s">
        <v>344</v>
      </c>
      <c r="M5563" s="2">
        <v>45314.0</v>
      </c>
      <c r="N5563" s="2" t="s">
        <v>21</v>
      </c>
    </row>
    <row r="5564" ht="15.75" customHeight="1">
      <c r="A5564" s="2">
        <v>2016.0</v>
      </c>
      <c r="B5564" s="2" t="s">
        <v>24366</v>
      </c>
      <c r="C5564" s="2" t="s">
        <v>24367</v>
      </c>
      <c r="D5564" s="2" t="str">
        <f>"865-414-1674"</f>
        <v>865-414-1674</v>
      </c>
      <c r="E5564" s="2" t="s">
        <v>3878</v>
      </c>
      <c r="F5564" s="2" t="s">
        <v>24368</v>
      </c>
      <c r="G5564" s="2" t="str">
        <f>"SR-7677"</f>
        <v>SR-7677</v>
      </c>
      <c r="H5564" s="2" t="s">
        <v>24369</v>
      </c>
      <c r="I5564" s="2" t="s">
        <v>24370</v>
      </c>
      <c r="K5564" s="2" t="s">
        <v>6168</v>
      </c>
      <c r="L5564" s="2" t="s">
        <v>279</v>
      </c>
      <c r="M5564" s="2">
        <v>37934.0</v>
      </c>
      <c r="N5564" s="2" t="s">
        <v>21</v>
      </c>
    </row>
    <row r="5565" ht="15.75" customHeight="1">
      <c r="A5565" s="2">
        <v>2016.0</v>
      </c>
      <c r="B5565" s="2" t="s">
        <v>24371</v>
      </c>
      <c r="C5565" s="2" t="s">
        <v>24372</v>
      </c>
      <c r="D5565" s="2" t="str">
        <f>"919-243-1099"</f>
        <v>919-243-1099</v>
      </c>
      <c r="E5565" s="2" t="s">
        <v>453</v>
      </c>
      <c r="F5565" s="2" t="s">
        <v>24373</v>
      </c>
      <c r="G5565" s="2" t="str">
        <f>"SR-7678"</f>
        <v>SR-7678</v>
      </c>
      <c r="H5565" s="2" t="s">
        <v>24374</v>
      </c>
      <c r="I5565" s="2" t="s">
        <v>24375</v>
      </c>
      <c r="K5565" s="2" t="s">
        <v>2378</v>
      </c>
      <c r="L5565" s="2" t="s">
        <v>20</v>
      </c>
      <c r="M5565" s="2">
        <v>27527.0</v>
      </c>
      <c r="N5565" s="2" t="s">
        <v>21</v>
      </c>
    </row>
    <row r="5566" ht="15.75" customHeight="1">
      <c r="A5566" s="2">
        <v>2016.0</v>
      </c>
      <c r="B5566" s="2" t="s">
        <v>24376</v>
      </c>
      <c r="C5566" s="2" t="s">
        <v>24377</v>
      </c>
      <c r="D5566" s="2" t="str">
        <f>"316-435-3636"</f>
        <v>316-435-3636</v>
      </c>
      <c r="E5566" s="2" t="s">
        <v>137</v>
      </c>
      <c r="F5566" s="2" t="s">
        <v>3144</v>
      </c>
      <c r="G5566" s="2" t="str">
        <f>"SR-7642"</f>
        <v>SR-7642</v>
      </c>
      <c r="H5566" s="2" t="s">
        <v>12887</v>
      </c>
      <c r="I5566" s="2" t="s">
        <v>24378</v>
      </c>
      <c r="K5566" s="2" t="s">
        <v>3508</v>
      </c>
      <c r="L5566" s="2" t="s">
        <v>272</v>
      </c>
      <c r="M5566" s="2">
        <v>67144.0</v>
      </c>
      <c r="N5566" s="2" t="s">
        <v>21</v>
      </c>
    </row>
    <row r="5567" ht="15.75" customHeight="1">
      <c r="A5567" s="2">
        <v>2016.0</v>
      </c>
      <c r="B5567" s="2" t="s">
        <v>24379</v>
      </c>
      <c r="C5567" s="2" t="s">
        <v>24380</v>
      </c>
      <c r="D5567" s="2" t="str">
        <f>"781-862-4703"</f>
        <v>781-862-4703</v>
      </c>
      <c r="E5567" s="2" t="s">
        <v>751</v>
      </c>
      <c r="F5567" s="2" t="s">
        <v>24381</v>
      </c>
      <c r="G5567" s="2" t="str">
        <f>"SR-7553"</f>
        <v>SR-7553</v>
      </c>
      <c r="H5567" s="2" t="s">
        <v>24382</v>
      </c>
      <c r="I5567" s="2" t="s">
        <v>24383</v>
      </c>
      <c r="K5567" s="2" t="s">
        <v>24384</v>
      </c>
      <c r="L5567" s="2" t="s">
        <v>4108</v>
      </c>
      <c r="M5567" s="2">
        <v>1731.0</v>
      </c>
      <c r="N5567" s="2" t="s">
        <v>21</v>
      </c>
    </row>
    <row r="5568" ht="15.75" customHeight="1">
      <c r="A5568" s="2">
        <v>2016.0</v>
      </c>
      <c r="B5568" s="2" t="s">
        <v>24385</v>
      </c>
      <c r="C5568" s="2" t="s">
        <v>24385</v>
      </c>
      <c r="D5568" s="2" t="str">
        <f>"330-721-1304"</f>
        <v>330-721-1304</v>
      </c>
      <c r="E5568" s="2" t="s">
        <v>1233</v>
      </c>
      <c r="F5568" s="2" t="s">
        <v>24386</v>
      </c>
      <c r="G5568" s="2" t="str">
        <f>"SR-7679"</f>
        <v>SR-7679</v>
      </c>
      <c r="H5568" s="2" t="s">
        <v>24387</v>
      </c>
      <c r="I5568" s="2" t="s">
        <v>24388</v>
      </c>
      <c r="K5568" s="2" t="s">
        <v>19394</v>
      </c>
      <c r="L5568" s="2" t="s">
        <v>344</v>
      </c>
      <c r="M5568" s="2">
        <v>44256.0</v>
      </c>
      <c r="N5568" s="2" t="s">
        <v>21</v>
      </c>
    </row>
    <row r="5569" ht="15.75" customHeight="1">
      <c r="A5569" s="2">
        <v>2016.0</v>
      </c>
      <c r="B5569" s="2" t="s">
        <v>24389</v>
      </c>
      <c r="C5569" s="2" t="s">
        <v>24390</v>
      </c>
      <c r="D5569" s="2" t="str">
        <f>"5137980532"</f>
        <v>5137980532</v>
      </c>
      <c r="E5569" s="2" t="s">
        <v>12973</v>
      </c>
      <c r="F5569" s="2" t="s">
        <v>24391</v>
      </c>
      <c r="G5569" s="2" t="str">
        <f>"SR-7615"</f>
        <v>SR-7615</v>
      </c>
      <c r="H5569" s="2" t="s">
        <v>24392</v>
      </c>
      <c r="I5569" s="2" t="s">
        <v>24393</v>
      </c>
      <c r="K5569" s="2" t="s">
        <v>15626</v>
      </c>
      <c r="L5569" s="2" t="s">
        <v>344</v>
      </c>
      <c r="M5569" s="2">
        <v>45311.0</v>
      </c>
      <c r="N5569" s="2" t="s">
        <v>21</v>
      </c>
    </row>
    <row r="5570" ht="15.75" customHeight="1">
      <c r="A5570" s="2">
        <v>2016.0</v>
      </c>
      <c r="B5570" s="2" t="s">
        <v>24394</v>
      </c>
      <c r="C5570" s="2" t="s">
        <v>24395</v>
      </c>
      <c r="D5570" s="2" t="str">
        <f>"8173127303"</f>
        <v>8173127303</v>
      </c>
      <c r="E5570" s="2" t="s">
        <v>1257</v>
      </c>
      <c r="F5570" s="2" t="s">
        <v>1517</v>
      </c>
      <c r="G5570" s="2" t="str">
        <f>"SR-7684"</f>
        <v>SR-7684</v>
      </c>
      <c r="H5570" s="2" t="s">
        <v>24396</v>
      </c>
      <c r="I5570" s="2" t="s">
        <v>24397</v>
      </c>
      <c r="K5570" s="2" t="s">
        <v>6017</v>
      </c>
      <c r="L5570" s="2" t="s">
        <v>172</v>
      </c>
      <c r="M5570" s="2">
        <v>76008.0</v>
      </c>
      <c r="N5570" s="2" t="s">
        <v>21</v>
      </c>
    </row>
    <row r="5571" ht="15.75" customHeight="1">
      <c r="A5571" s="2">
        <v>2016.0</v>
      </c>
      <c r="B5571" s="2" t="s">
        <v>8184</v>
      </c>
      <c r="C5571" s="2" t="s">
        <v>24398</v>
      </c>
      <c r="D5571" s="2" t="str">
        <f>"508-529-6518"</f>
        <v>508-529-6518</v>
      </c>
      <c r="E5571" s="2" t="s">
        <v>5489</v>
      </c>
      <c r="F5571" s="2" t="s">
        <v>8186</v>
      </c>
      <c r="G5571" s="2" t="str">
        <f>"SR-7637"</f>
        <v>SR-7637</v>
      </c>
      <c r="H5571" s="2" t="s">
        <v>24399</v>
      </c>
      <c r="I5571" s="2" t="s">
        <v>8188</v>
      </c>
      <c r="K5571" s="2" t="s">
        <v>8189</v>
      </c>
      <c r="L5571" s="2" t="s">
        <v>4108</v>
      </c>
      <c r="M5571" s="2">
        <v>1568.0</v>
      </c>
      <c r="N5571" s="2" t="s">
        <v>21</v>
      </c>
    </row>
    <row r="5572" ht="15.75" customHeight="1">
      <c r="A5572" s="2">
        <v>2016.0</v>
      </c>
      <c r="B5572" s="2" t="s">
        <v>24400</v>
      </c>
      <c r="D5572" s="2" t="str">
        <f>""</f>
        <v/>
      </c>
      <c r="E5572" s="2" t="s">
        <v>24401</v>
      </c>
      <c r="F5572" s="2" t="s">
        <v>10840</v>
      </c>
      <c r="G5572" s="2" t="str">
        <f>"SR-7686"</f>
        <v>SR-7686</v>
      </c>
      <c r="H5572" s="2" t="s">
        <v>24402</v>
      </c>
    </row>
    <row r="5573" ht="15.75" customHeight="1">
      <c r="A5573" s="2">
        <v>2016.0</v>
      </c>
      <c r="B5573" s="2" t="s">
        <v>24403</v>
      </c>
      <c r="C5573" s="2" t="s">
        <v>24403</v>
      </c>
      <c r="D5573" s="2" t="str">
        <f>"8174530096"</f>
        <v>8174530096</v>
      </c>
      <c r="E5573" s="2" t="s">
        <v>2412</v>
      </c>
      <c r="F5573" s="2" t="s">
        <v>522</v>
      </c>
      <c r="G5573" s="2" t="str">
        <f>"SR-7376"</f>
        <v>SR-7376</v>
      </c>
      <c r="H5573" s="2" t="s">
        <v>24404</v>
      </c>
      <c r="I5573" s="2" t="s">
        <v>24405</v>
      </c>
      <c r="K5573" s="2" t="s">
        <v>887</v>
      </c>
      <c r="L5573" s="2" t="s">
        <v>172</v>
      </c>
      <c r="M5573" s="2">
        <v>76063.0</v>
      </c>
      <c r="N5573" s="2" t="s">
        <v>21</v>
      </c>
    </row>
    <row r="5574" ht="15.75" customHeight="1">
      <c r="A5574" s="2">
        <v>2016.0</v>
      </c>
      <c r="B5574" s="2" t="s">
        <v>24406</v>
      </c>
      <c r="C5574" s="2" t="s">
        <v>24407</v>
      </c>
      <c r="D5574" s="2" t="str">
        <f>"4067029612"</f>
        <v>4067029612</v>
      </c>
      <c r="E5574" s="2" t="s">
        <v>6170</v>
      </c>
      <c r="F5574" s="2" t="s">
        <v>24408</v>
      </c>
      <c r="G5574" s="2" t="str">
        <f>"SR-7446"</f>
        <v>SR-7446</v>
      </c>
      <c r="H5574" s="2" t="s">
        <v>24409</v>
      </c>
      <c r="I5574" s="2" t="s">
        <v>24410</v>
      </c>
      <c r="K5574" s="2" t="s">
        <v>3548</v>
      </c>
      <c r="L5574" s="2" t="s">
        <v>2696</v>
      </c>
      <c r="M5574" s="2">
        <v>59106.0</v>
      </c>
      <c r="N5574" s="2" t="s">
        <v>21</v>
      </c>
    </row>
    <row r="5575" ht="15.75" customHeight="1">
      <c r="A5575" s="2">
        <v>2016.0</v>
      </c>
      <c r="B5575" s="2" t="s">
        <v>24411</v>
      </c>
      <c r="C5575" s="2" t="s">
        <v>24412</v>
      </c>
      <c r="D5575" s="2" t="str">
        <f>"9317973396"</f>
        <v>9317973396</v>
      </c>
      <c r="E5575" s="2" t="s">
        <v>50</v>
      </c>
      <c r="F5575" s="2" t="s">
        <v>386</v>
      </c>
      <c r="G5575" s="2" t="str">
        <f>"SR-7695"</f>
        <v>SR-7695</v>
      </c>
      <c r="H5575" s="2" t="s">
        <v>24413</v>
      </c>
      <c r="I5575" s="2" t="s">
        <v>24414</v>
      </c>
      <c r="K5575" s="2" t="s">
        <v>24415</v>
      </c>
      <c r="L5575" s="2" t="s">
        <v>279</v>
      </c>
      <c r="M5575" s="2">
        <v>38451.0</v>
      </c>
      <c r="N5575" s="2" t="s">
        <v>21</v>
      </c>
    </row>
    <row r="5576" ht="15.75" customHeight="1">
      <c r="A5576" s="2">
        <v>2016.0</v>
      </c>
      <c r="B5576" s="2" t="s">
        <v>24416</v>
      </c>
      <c r="C5576" s="2" t="s">
        <v>24417</v>
      </c>
      <c r="D5576" s="2" t="str">
        <f>"7193560631"</f>
        <v>7193560631</v>
      </c>
      <c r="E5576" s="2" t="s">
        <v>2598</v>
      </c>
      <c r="F5576" s="2" t="s">
        <v>24418</v>
      </c>
      <c r="G5576" s="2" t="str">
        <f>"SR-7308"</f>
        <v>SR-7308</v>
      </c>
      <c r="H5576" s="2" t="s">
        <v>24419</v>
      </c>
      <c r="I5576" s="2" t="s">
        <v>24420</v>
      </c>
      <c r="J5576" s="2" t="s">
        <v>24421</v>
      </c>
      <c r="K5576" s="2" t="s">
        <v>3687</v>
      </c>
      <c r="L5576" s="2" t="s">
        <v>157</v>
      </c>
      <c r="M5576" s="2">
        <v>80815.0</v>
      </c>
      <c r="N5576" s="2" t="s">
        <v>21</v>
      </c>
    </row>
    <row r="5577" ht="15.75" customHeight="1">
      <c r="A5577" s="2">
        <v>2016.0</v>
      </c>
      <c r="B5577" s="2" t="s">
        <v>16320</v>
      </c>
      <c r="C5577" s="2" t="s">
        <v>16437</v>
      </c>
      <c r="D5577" s="2" t="str">
        <f>"(575)420-3149"</f>
        <v>(575)420-3149</v>
      </c>
      <c r="E5577" s="2" t="s">
        <v>1803</v>
      </c>
      <c r="F5577" s="2" t="s">
        <v>16322</v>
      </c>
      <c r="G5577" s="2" t="str">
        <f>"SR-2803"</f>
        <v>SR-2803</v>
      </c>
      <c r="H5577" s="2" t="s">
        <v>16438</v>
      </c>
      <c r="I5577" s="2" t="s">
        <v>16324</v>
      </c>
      <c r="K5577" s="2" t="s">
        <v>7218</v>
      </c>
      <c r="L5577" s="2" t="s">
        <v>789</v>
      </c>
      <c r="M5577" s="2">
        <v>88201.0</v>
      </c>
      <c r="N5577" s="2" t="s">
        <v>21</v>
      </c>
    </row>
    <row r="5578" ht="15.75" customHeight="1">
      <c r="A5578" s="2">
        <v>2016.0</v>
      </c>
      <c r="B5578" s="2" t="s">
        <v>24422</v>
      </c>
      <c r="C5578" s="2" t="s">
        <v>24423</v>
      </c>
      <c r="D5578" s="2" t="str">
        <f>"5735542373"</f>
        <v>5735542373</v>
      </c>
      <c r="E5578" s="2" t="s">
        <v>843</v>
      </c>
      <c r="F5578" s="2" t="s">
        <v>14958</v>
      </c>
      <c r="G5578" s="2" t="str">
        <f>"SR-7687"</f>
        <v>SR-7687</v>
      </c>
      <c r="H5578" s="2" t="s">
        <v>24424</v>
      </c>
      <c r="I5578" s="2" t="s">
        <v>24425</v>
      </c>
      <c r="K5578" s="2" t="s">
        <v>2750</v>
      </c>
      <c r="L5578" s="2" t="s">
        <v>214</v>
      </c>
      <c r="M5578" s="2">
        <v>65201.0</v>
      </c>
      <c r="N5578" s="2" t="s">
        <v>21</v>
      </c>
    </row>
    <row r="5579" ht="15.75" customHeight="1">
      <c r="A5579" s="2">
        <v>2016.0</v>
      </c>
      <c r="B5579" s="2" t="s">
        <v>24426</v>
      </c>
      <c r="C5579" s="2" t="s">
        <v>24427</v>
      </c>
      <c r="D5579" s="2" t="str">
        <f>"303-346-1970"</f>
        <v>303-346-1970</v>
      </c>
      <c r="E5579" s="2" t="s">
        <v>824</v>
      </c>
      <c r="F5579" s="2" t="s">
        <v>24428</v>
      </c>
      <c r="G5579" s="2" t="str">
        <f>"SR-7698"</f>
        <v>SR-7698</v>
      </c>
      <c r="H5579" s="2" t="s">
        <v>24429</v>
      </c>
      <c r="I5579" s="2" t="s">
        <v>24430</v>
      </c>
      <c r="K5579" s="2" t="s">
        <v>682</v>
      </c>
      <c r="L5579" s="2" t="s">
        <v>157</v>
      </c>
      <c r="M5579" s="2">
        <v>80126.0</v>
      </c>
      <c r="N5579" s="2" t="s">
        <v>21</v>
      </c>
    </row>
    <row r="5580" ht="15.75" customHeight="1">
      <c r="A5580" s="2">
        <v>2016.0</v>
      </c>
      <c r="B5580" s="2" t="s">
        <v>24431</v>
      </c>
      <c r="C5580" s="2" t="s">
        <v>24432</v>
      </c>
      <c r="D5580" s="2" t="str">
        <f>"7153167154"</f>
        <v>7153167154</v>
      </c>
      <c r="E5580" s="2" t="s">
        <v>1263</v>
      </c>
      <c r="F5580" s="2" t="s">
        <v>24433</v>
      </c>
      <c r="G5580" s="2" t="str">
        <f>"SR-7701"</f>
        <v>SR-7701</v>
      </c>
      <c r="H5580" s="2" t="s">
        <v>24434</v>
      </c>
      <c r="I5580" s="2" t="s">
        <v>24435</v>
      </c>
      <c r="K5580" s="2" t="s">
        <v>669</v>
      </c>
      <c r="L5580" s="2" t="s">
        <v>193</v>
      </c>
      <c r="M5580" s="2">
        <v>54449.0</v>
      </c>
      <c r="N5580" s="2" t="s">
        <v>21</v>
      </c>
    </row>
    <row r="5581" ht="15.75" customHeight="1">
      <c r="A5581" s="2">
        <v>2016.0</v>
      </c>
      <c r="B5581" s="2" t="s">
        <v>24436</v>
      </c>
      <c r="C5581" s="2" t="s">
        <v>24437</v>
      </c>
      <c r="D5581" s="2" t="str">
        <f>"303-420-9114"</f>
        <v>303-420-9114</v>
      </c>
      <c r="E5581" s="2" t="s">
        <v>1094</v>
      </c>
      <c r="F5581" s="2" t="s">
        <v>24438</v>
      </c>
      <c r="G5581" s="2" t="str">
        <f>"SR-7700"</f>
        <v>SR-7700</v>
      </c>
      <c r="H5581" s="2" t="s">
        <v>24439</v>
      </c>
      <c r="I5581" s="2" t="s">
        <v>24440</v>
      </c>
      <c r="K5581" s="2" t="s">
        <v>24441</v>
      </c>
      <c r="L5581" s="2" t="s">
        <v>157</v>
      </c>
      <c r="M5581" s="2">
        <v>80033.0</v>
      </c>
      <c r="N5581" s="2" t="s">
        <v>21</v>
      </c>
    </row>
    <row r="5582" ht="15.75" customHeight="1">
      <c r="A5582" s="2">
        <v>2016.0</v>
      </c>
      <c r="B5582" s="2" t="s">
        <v>24442</v>
      </c>
      <c r="C5582" s="2" t="s">
        <v>24443</v>
      </c>
      <c r="D5582" s="2" t="str">
        <f>"501-796-2136"</f>
        <v>501-796-2136</v>
      </c>
      <c r="E5582" s="2" t="s">
        <v>24444</v>
      </c>
      <c r="F5582" s="2" t="s">
        <v>24445</v>
      </c>
      <c r="G5582" s="2" t="str">
        <f>"SR-7150"</f>
        <v>SR-7150</v>
      </c>
      <c r="H5582" s="2" t="s">
        <v>24446</v>
      </c>
      <c r="I5582" s="2" t="s">
        <v>24447</v>
      </c>
      <c r="K5582" s="2" t="s">
        <v>9682</v>
      </c>
      <c r="L5582" s="2" t="s">
        <v>1012</v>
      </c>
      <c r="M5582" s="2">
        <v>72032.0</v>
      </c>
      <c r="N5582" s="2" t="s">
        <v>21</v>
      </c>
    </row>
    <row r="5583" ht="15.75" customHeight="1">
      <c r="A5583" s="2">
        <v>2016.0</v>
      </c>
      <c r="B5583" s="2" t="s">
        <v>24448</v>
      </c>
      <c r="C5583" s="2" t="s">
        <v>24448</v>
      </c>
      <c r="D5583" s="2" t="str">
        <f>"9065234041"</f>
        <v>9065234041</v>
      </c>
      <c r="E5583" s="2" t="s">
        <v>6526</v>
      </c>
      <c r="F5583" s="2" t="s">
        <v>836</v>
      </c>
      <c r="G5583" s="2" t="str">
        <f>"SR-7705"</f>
        <v>SR-7705</v>
      </c>
      <c r="H5583" s="2" t="s">
        <v>24449</v>
      </c>
      <c r="I5583" s="2" t="s">
        <v>24450</v>
      </c>
      <c r="K5583" s="2" t="s">
        <v>11619</v>
      </c>
      <c r="L5583" s="2" t="s">
        <v>29</v>
      </c>
      <c r="M5583" s="2">
        <v>49916.0</v>
      </c>
      <c r="N5583" s="2" t="s">
        <v>21</v>
      </c>
    </row>
    <row r="5584" ht="15.75" customHeight="1">
      <c r="A5584" s="2">
        <v>2016.0</v>
      </c>
      <c r="B5584" s="2" t="s">
        <v>24451</v>
      </c>
      <c r="C5584" s="2" t="s">
        <v>24452</v>
      </c>
      <c r="D5584" s="2" t="str">
        <f>"5037304432"</f>
        <v>5037304432</v>
      </c>
      <c r="E5584" s="2" t="s">
        <v>217</v>
      </c>
      <c r="F5584" s="2" t="s">
        <v>24453</v>
      </c>
      <c r="G5584" s="2" t="str">
        <f>"SR-7706"</f>
        <v>SR-7706</v>
      </c>
      <c r="H5584" s="2" t="s">
        <v>24454</v>
      </c>
      <c r="I5584" s="2" t="s">
        <v>24455</v>
      </c>
      <c r="K5584" s="2" t="s">
        <v>20339</v>
      </c>
      <c r="L5584" s="2" t="s">
        <v>2389</v>
      </c>
      <c r="M5584" s="2">
        <v>97056.0</v>
      </c>
      <c r="N5584" s="2" t="s">
        <v>21</v>
      </c>
    </row>
    <row r="5585" ht="15.75" customHeight="1">
      <c r="A5585" s="2">
        <v>2016.0</v>
      </c>
      <c r="B5585" s="2" t="s">
        <v>24456</v>
      </c>
      <c r="C5585" s="2" t="s">
        <v>24456</v>
      </c>
      <c r="D5585" s="2" t="str">
        <f>"386-209-4278"</f>
        <v>386-209-4278</v>
      </c>
      <c r="E5585" s="2" t="s">
        <v>5858</v>
      </c>
      <c r="F5585" s="2" t="s">
        <v>24457</v>
      </c>
      <c r="G5585" s="2" t="str">
        <f>"SR-7670"</f>
        <v>SR-7670</v>
      </c>
      <c r="H5585" s="2" t="s">
        <v>24458</v>
      </c>
      <c r="I5585" s="2" t="s">
        <v>5161</v>
      </c>
      <c r="K5585" s="2" t="s">
        <v>5162</v>
      </c>
      <c r="L5585" s="2" t="s">
        <v>208</v>
      </c>
      <c r="M5585" s="2">
        <v>32060.0</v>
      </c>
      <c r="N5585" s="2" t="s">
        <v>21</v>
      </c>
    </row>
    <row r="5586" ht="15.75" customHeight="1">
      <c r="A5586" s="2">
        <v>2016.0</v>
      </c>
      <c r="B5586" s="2" t="s">
        <v>24459</v>
      </c>
      <c r="D5586" s="2" t="str">
        <f>""</f>
        <v/>
      </c>
      <c r="E5586" s="2" t="s">
        <v>1928</v>
      </c>
      <c r="F5586" s="2" t="s">
        <v>1955</v>
      </c>
      <c r="G5586" s="2" t="str">
        <f>"SR-5207"</f>
        <v>SR-5207</v>
      </c>
      <c r="H5586" s="2" t="s">
        <v>24460</v>
      </c>
      <c r="N5586" s="2" t="s">
        <v>21</v>
      </c>
    </row>
    <row r="5587" ht="15.75" customHeight="1">
      <c r="A5587" s="2">
        <v>2016.0</v>
      </c>
      <c r="B5587" s="2" t="s">
        <v>19096</v>
      </c>
      <c r="C5587" s="2" t="s">
        <v>24461</v>
      </c>
      <c r="D5587" s="2" t="str">
        <f>"512-745-7457"</f>
        <v>512-745-7457</v>
      </c>
      <c r="E5587" s="2" t="s">
        <v>2572</v>
      </c>
      <c r="F5587" s="2" t="s">
        <v>19098</v>
      </c>
      <c r="G5587" s="2" t="str">
        <f>"SR-7716"</f>
        <v>SR-7716</v>
      </c>
      <c r="H5587" s="2" t="s">
        <v>24462</v>
      </c>
      <c r="I5587" s="2" t="s">
        <v>19100</v>
      </c>
      <c r="K5587" s="2" t="s">
        <v>4687</v>
      </c>
      <c r="L5587" s="2" t="s">
        <v>172</v>
      </c>
      <c r="M5587" s="2">
        <v>78665.0</v>
      </c>
      <c r="N5587" s="2" t="s">
        <v>21</v>
      </c>
    </row>
    <row r="5588" ht="15.75" customHeight="1">
      <c r="A5588" s="2">
        <v>2016.0</v>
      </c>
      <c r="B5588" s="2" t="s">
        <v>24463</v>
      </c>
      <c r="C5588" s="2" t="s">
        <v>24464</v>
      </c>
      <c r="D5588" s="2" t="str">
        <f>"919-260-7222"</f>
        <v>919-260-7222</v>
      </c>
      <c r="E5588" s="2" t="s">
        <v>385</v>
      </c>
      <c r="F5588" s="2" t="s">
        <v>24465</v>
      </c>
      <c r="G5588" s="2" t="str">
        <f>"SR-7667"</f>
        <v>SR-7667</v>
      </c>
      <c r="H5588" s="2" t="s">
        <v>24466</v>
      </c>
      <c r="I5588" s="2" t="s">
        <v>24467</v>
      </c>
      <c r="K5588" s="2" t="s">
        <v>1111</v>
      </c>
      <c r="L5588" s="2" t="s">
        <v>20</v>
      </c>
      <c r="M5588" s="2">
        <v>27713.0</v>
      </c>
      <c r="N5588" s="2" t="s">
        <v>21</v>
      </c>
    </row>
    <row r="5589" ht="15.75" customHeight="1">
      <c r="A5589" s="2">
        <v>2016.0</v>
      </c>
      <c r="B5589" s="2" t="s">
        <v>24468</v>
      </c>
      <c r="C5589" s="2" t="s">
        <v>24469</v>
      </c>
      <c r="D5589" s="2" t="str">
        <f>"406-932-9224"</f>
        <v>406-932-9224</v>
      </c>
      <c r="E5589" s="2" t="s">
        <v>23911</v>
      </c>
      <c r="F5589" s="2" t="s">
        <v>6649</v>
      </c>
      <c r="G5589" s="2" t="str">
        <f>"SR-7363"</f>
        <v>SR-7363</v>
      </c>
      <c r="H5589" s="2" t="s">
        <v>24470</v>
      </c>
      <c r="I5589" s="2" t="s">
        <v>24471</v>
      </c>
      <c r="K5589" s="2" t="s">
        <v>24472</v>
      </c>
      <c r="L5589" s="2" t="s">
        <v>2696</v>
      </c>
      <c r="M5589" s="2">
        <v>59011.0</v>
      </c>
      <c r="N5589" s="2" t="s">
        <v>21</v>
      </c>
    </row>
    <row r="5590" ht="15.75" customHeight="1">
      <c r="A5590" s="2">
        <v>2016.0</v>
      </c>
      <c r="B5590" s="2" t="s">
        <v>10009</v>
      </c>
      <c r="C5590" s="2" t="s">
        <v>24473</v>
      </c>
      <c r="D5590" s="2" t="str">
        <f>"402-453-3940"</f>
        <v>402-453-3940</v>
      </c>
      <c r="E5590" s="2" t="s">
        <v>4064</v>
      </c>
      <c r="F5590" s="2" t="s">
        <v>9856</v>
      </c>
      <c r="G5590" s="2" t="str">
        <f>"SR-7722"</f>
        <v>SR-7722</v>
      </c>
      <c r="H5590" s="2" t="s">
        <v>24474</v>
      </c>
      <c r="I5590" s="2" t="s">
        <v>10012</v>
      </c>
      <c r="K5590" s="2" t="s">
        <v>1470</v>
      </c>
      <c r="L5590" s="2" t="s">
        <v>757</v>
      </c>
      <c r="M5590" s="2">
        <v>68134.0</v>
      </c>
      <c r="N5590" s="2" t="s">
        <v>21</v>
      </c>
    </row>
    <row r="5591" ht="15.75" customHeight="1">
      <c r="A5591" s="2">
        <v>2016.0</v>
      </c>
      <c r="B5591" s="2" t="s">
        <v>24475</v>
      </c>
      <c r="C5591" s="2" t="s">
        <v>24476</v>
      </c>
      <c r="D5591" s="2" t="str">
        <f>"812-867-5484"</f>
        <v>812-867-5484</v>
      </c>
      <c r="E5591" s="2" t="s">
        <v>386</v>
      </c>
      <c r="F5591" s="2" t="s">
        <v>10046</v>
      </c>
      <c r="G5591" s="2" t="str">
        <f>"SR-7544"</f>
        <v>SR-7544</v>
      </c>
      <c r="H5591" s="2" t="s">
        <v>24477</v>
      </c>
      <c r="I5591" s="2" t="s">
        <v>10048</v>
      </c>
      <c r="K5591" s="2" t="s">
        <v>148</v>
      </c>
      <c r="L5591" s="2" t="s">
        <v>149</v>
      </c>
      <c r="M5591" s="2">
        <v>47711.0</v>
      </c>
      <c r="N5591" s="2" t="s">
        <v>21</v>
      </c>
    </row>
    <row r="5592" ht="15.75" customHeight="1">
      <c r="A5592" s="2">
        <v>2016.0</v>
      </c>
      <c r="B5592" s="2" t="s">
        <v>24478</v>
      </c>
      <c r="C5592" s="2" t="s">
        <v>24479</v>
      </c>
      <c r="D5592" s="2" t="str">
        <f>"520-833-8468"</f>
        <v>520-833-8468</v>
      </c>
      <c r="E5592" s="2" t="s">
        <v>651</v>
      </c>
      <c r="F5592" s="2" t="s">
        <v>2231</v>
      </c>
      <c r="G5592" s="2" t="str">
        <f>"SR-7723"</f>
        <v>SR-7723</v>
      </c>
      <c r="H5592" s="2" t="s">
        <v>24480</v>
      </c>
      <c r="I5592" s="2" t="s">
        <v>24481</v>
      </c>
      <c r="K5592" s="2" t="s">
        <v>24482</v>
      </c>
      <c r="L5592" s="2" t="s">
        <v>422</v>
      </c>
      <c r="M5592" s="2">
        <v>85641.0</v>
      </c>
      <c r="N5592" s="2" t="s">
        <v>21</v>
      </c>
    </row>
    <row r="5593" ht="15.75" customHeight="1">
      <c r="A5593" s="2">
        <v>2016.0</v>
      </c>
      <c r="B5593" s="2" t="s">
        <v>24483</v>
      </c>
      <c r="C5593" s="2" t="s">
        <v>24484</v>
      </c>
      <c r="D5593" s="2" t="str">
        <f>"540-564-0820"</f>
        <v>540-564-0820</v>
      </c>
      <c r="E5593" s="2" t="s">
        <v>24485</v>
      </c>
      <c r="F5593" s="2" t="s">
        <v>645</v>
      </c>
      <c r="G5593" s="2" t="str">
        <f>"SR-7725"</f>
        <v>SR-7725</v>
      </c>
      <c r="H5593" s="2" t="s">
        <v>24486</v>
      </c>
      <c r="I5593" s="2" t="s">
        <v>24487</v>
      </c>
      <c r="K5593" s="2" t="s">
        <v>24488</v>
      </c>
      <c r="L5593" s="2" t="s">
        <v>165</v>
      </c>
      <c r="M5593" s="2">
        <v>22802.0</v>
      </c>
      <c r="N5593" s="2" t="s">
        <v>21</v>
      </c>
    </row>
    <row r="5594" ht="15.75" customHeight="1">
      <c r="A5594" s="2">
        <v>2016.0</v>
      </c>
      <c r="B5594" s="2" t="s">
        <v>24478</v>
      </c>
      <c r="C5594" s="2" t="s">
        <v>24489</v>
      </c>
      <c r="D5594" s="2" t="str">
        <f>"520-83709777"</f>
        <v>520-83709777</v>
      </c>
      <c r="E5594" s="2" t="s">
        <v>3196</v>
      </c>
      <c r="F5594" s="2" t="s">
        <v>2231</v>
      </c>
      <c r="G5594" s="2" t="str">
        <f>"SR-7726"</f>
        <v>SR-7726</v>
      </c>
      <c r="H5594" s="2" t="s">
        <v>24490</v>
      </c>
      <c r="I5594" s="2" t="s">
        <v>24481</v>
      </c>
      <c r="K5594" s="2" t="s">
        <v>24482</v>
      </c>
      <c r="L5594" s="2" t="s">
        <v>422</v>
      </c>
      <c r="M5594" s="2">
        <v>85641.0</v>
      </c>
      <c r="N5594" s="2" t="s">
        <v>21</v>
      </c>
    </row>
    <row r="5595" ht="15.75" customHeight="1">
      <c r="A5595" s="2">
        <v>2016.0</v>
      </c>
      <c r="B5595" s="2" t="s">
        <v>18785</v>
      </c>
      <c r="C5595" s="2" t="s">
        <v>18785</v>
      </c>
      <c r="D5595" s="2" t="str">
        <f>"9706850501"</f>
        <v>9706850501</v>
      </c>
      <c r="E5595" s="2" t="s">
        <v>18113</v>
      </c>
      <c r="F5595" s="2" t="s">
        <v>5105</v>
      </c>
      <c r="G5595" s="2" t="str">
        <f>"SR-5748"</f>
        <v>SR-5748</v>
      </c>
      <c r="H5595" s="2" t="s">
        <v>18786</v>
      </c>
      <c r="I5595" s="2" t="s">
        <v>18787</v>
      </c>
      <c r="K5595" s="2" t="s">
        <v>1048</v>
      </c>
      <c r="L5595" s="2" t="s">
        <v>157</v>
      </c>
      <c r="M5595" s="2">
        <v>80537.0</v>
      </c>
      <c r="N5595" s="2" t="s">
        <v>21</v>
      </c>
    </row>
    <row r="5596" ht="15.75" customHeight="1">
      <c r="A5596" s="2">
        <v>2016.0</v>
      </c>
      <c r="B5596" s="2" t="s">
        <v>573</v>
      </c>
      <c r="C5596" s="2" t="s">
        <v>24491</v>
      </c>
      <c r="D5596" s="2" t="str">
        <f>"770-487-4847"</f>
        <v>770-487-4847</v>
      </c>
      <c r="E5596" s="2" t="s">
        <v>295</v>
      </c>
      <c r="F5596" s="2" t="s">
        <v>575</v>
      </c>
      <c r="G5596" s="2" t="str">
        <f>"SR-4946"</f>
        <v>SR-4946</v>
      </c>
      <c r="H5596" s="2" t="s">
        <v>24492</v>
      </c>
      <c r="I5596" s="2" t="s">
        <v>577</v>
      </c>
      <c r="K5596" s="2" t="s">
        <v>578</v>
      </c>
      <c r="L5596" s="2" t="s">
        <v>200</v>
      </c>
      <c r="M5596" s="2">
        <v>30290.0</v>
      </c>
      <c r="N5596" s="2" t="s">
        <v>21</v>
      </c>
    </row>
    <row r="5597" ht="15.75" customHeight="1">
      <c r="A5597" s="2">
        <v>2016.0</v>
      </c>
      <c r="B5597" s="2" t="s">
        <v>573</v>
      </c>
      <c r="D5597" s="2" t="str">
        <f>""</f>
        <v/>
      </c>
      <c r="E5597" s="2" t="s">
        <v>6606</v>
      </c>
      <c r="F5597" s="2" t="s">
        <v>575</v>
      </c>
      <c r="G5597" s="2" t="str">
        <f>"SR-7662"</f>
        <v>SR-7662</v>
      </c>
      <c r="H5597" s="2" t="s">
        <v>24493</v>
      </c>
      <c r="N5597" s="2" t="s">
        <v>21</v>
      </c>
    </row>
    <row r="5598" ht="15.75" customHeight="1">
      <c r="A5598" s="2">
        <v>2016.0</v>
      </c>
      <c r="B5598" s="2" t="s">
        <v>24494</v>
      </c>
      <c r="C5598" s="2" t="s">
        <v>24495</v>
      </c>
      <c r="D5598" s="2" t="str">
        <f>"7045162300"</f>
        <v>7045162300</v>
      </c>
      <c r="E5598" s="2" t="s">
        <v>167</v>
      </c>
      <c r="F5598" s="2" t="s">
        <v>24496</v>
      </c>
      <c r="G5598" s="2" t="str">
        <f>"SR-7578"</f>
        <v>SR-7578</v>
      </c>
      <c r="H5598" s="2" t="s">
        <v>24497</v>
      </c>
      <c r="I5598" s="2" t="s">
        <v>24498</v>
      </c>
      <c r="K5598" s="2" t="s">
        <v>19</v>
      </c>
      <c r="L5598" s="2" t="s">
        <v>20</v>
      </c>
      <c r="M5598" s="2">
        <v>28269.0</v>
      </c>
      <c r="N5598" s="2" t="s">
        <v>21</v>
      </c>
    </row>
    <row r="5599" ht="15.75" customHeight="1">
      <c r="A5599" s="2">
        <v>2016.0</v>
      </c>
      <c r="B5599" s="2" t="s">
        <v>24499</v>
      </c>
      <c r="C5599" s="2" t="s">
        <v>24500</v>
      </c>
      <c r="D5599" s="2" t="str">
        <f>"970-769-8399"</f>
        <v>970-769-8399</v>
      </c>
      <c r="E5599" s="2" t="s">
        <v>678</v>
      </c>
      <c r="F5599" s="2" t="s">
        <v>24501</v>
      </c>
      <c r="G5599" s="2" t="str">
        <f>"SR-7730"</f>
        <v>SR-7730</v>
      </c>
      <c r="H5599" s="2" t="s">
        <v>24502</v>
      </c>
      <c r="I5599" s="2" t="s">
        <v>24503</v>
      </c>
      <c r="K5599" s="2" t="s">
        <v>24504</v>
      </c>
      <c r="L5599" s="2" t="s">
        <v>172</v>
      </c>
      <c r="M5599" s="2">
        <v>78641.0</v>
      </c>
      <c r="N5599" s="2" t="s">
        <v>21</v>
      </c>
    </row>
    <row r="5600" ht="15.75" customHeight="1">
      <c r="A5600" s="2">
        <v>2016.0</v>
      </c>
      <c r="B5600" s="2" t="s">
        <v>24505</v>
      </c>
      <c r="C5600" s="2" t="s">
        <v>24506</v>
      </c>
      <c r="D5600" s="2" t="str">
        <f>"317-823-6644"</f>
        <v>317-823-6644</v>
      </c>
      <c r="E5600" s="2" t="s">
        <v>15248</v>
      </c>
      <c r="F5600" s="2" t="s">
        <v>24507</v>
      </c>
      <c r="G5600" s="2" t="str">
        <f>"SR-7717"</f>
        <v>SR-7717</v>
      </c>
      <c r="H5600" s="2" t="s">
        <v>24508</v>
      </c>
      <c r="I5600" s="2" t="s">
        <v>24509</v>
      </c>
      <c r="K5600" s="2" t="s">
        <v>1188</v>
      </c>
      <c r="L5600" s="2" t="s">
        <v>149</v>
      </c>
      <c r="M5600" s="2">
        <v>46236.0</v>
      </c>
      <c r="N5600" s="2" t="s">
        <v>21</v>
      </c>
    </row>
    <row r="5601" ht="15.75" customHeight="1">
      <c r="A5601" s="2">
        <v>2016.0</v>
      </c>
      <c r="B5601" s="2" t="s">
        <v>24505</v>
      </c>
      <c r="C5601" s="2" t="s">
        <v>24510</v>
      </c>
      <c r="D5601" s="2" t="str">
        <f>"317-697-8577"</f>
        <v>317-697-8577</v>
      </c>
      <c r="E5601" s="2" t="s">
        <v>167</v>
      </c>
      <c r="F5601" s="2" t="s">
        <v>24511</v>
      </c>
      <c r="G5601" s="2" t="str">
        <f>"SR-7720"</f>
        <v>SR-7720</v>
      </c>
      <c r="H5601" s="2" t="s">
        <v>24512</v>
      </c>
      <c r="I5601" s="2" t="s">
        <v>24513</v>
      </c>
      <c r="K5601" s="2" t="s">
        <v>2660</v>
      </c>
      <c r="L5601" s="2" t="s">
        <v>149</v>
      </c>
      <c r="M5601" s="2">
        <v>46037.0</v>
      </c>
      <c r="N5601" s="2" t="s">
        <v>21</v>
      </c>
    </row>
    <row r="5602" ht="15.75" customHeight="1">
      <c r="A5602" s="2">
        <v>2016.0</v>
      </c>
      <c r="B5602" s="2" t="s">
        <v>24514</v>
      </c>
      <c r="C5602" s="2" t="s">
        <v>24515</v>
      </c>
      <c r="D5602" s="2" t="str">
        <f>"517 8997453"</f>
        <v>517 8997453</v>
      </c>
      <c r="E5602" s="2" t="s">
        <v>580</v>
      </c>
      <c r="F5602" s="2" t="s">
        <v>24516</v>
      </c>
      <c r="G5602" s="2" t="str">
        <f>"SR-7675"</f>
        <v>SR-7675</v>
      </c>
      <c r="H5602" s="2" t="s">
        <v>24517</v>
      </c>
      <c r="I5602" s="2" t="s">
        <v>24518</v>
      </c>
      <c r="K5602" s="2" t="s">
        <v>959</v>
      </c>
      <c r="L5602" s="2" t="s">
        <v>3737</v>
      </c>
      <c r="M5602" s="2">
        <v>48910.0</v>
      </c>
      <c r="N5602" s="2" t="s">
        <v>21</v>
      </c>
    </row>
    <row r="5603" ht="15.75" customHeight="1">
      <c r="A5603" s="2">
        <v>2016.0</v>
      </c>
      <c r="B5603" s="2" t="s">
        <v>21889</v>
      </c>
      <c r="D5603" s="2" t="str">
        <f>""</f>
        <v/>
      </c>
      <c r="E5603" s="2" t="s">
        <v>1595</v>
      </c>
      <c r="F5603" s="2" t="s">
        <v>21891</v>
      </c>
      <c r="G5603" s="2" t="str">
        <f>"SR-7659"</f>
        <v>SR-7659</v>
      </c>
      <c r="H5603" s="2" t="s">
        <v>24519</v>
      </c>
    </row>
    <row r="5604" ht="15.75" customHeight="1">
      <c r="A5604" s="2">
        <v>2016.0</v>
      </c>
      <c r="B5604" s="2" t="s">
        <v>24520</v>
      </c>
      <c r="C5604" s="2" t="s">
        <v>24520</v>
      </c>
      <c r="D5604" s="2" t="str">
        <f>"719-225-5361"</f>
        <v>719-225-5361</v>
      </c>
      <c r="E5604" s="2" t="s">
        <v>485</v>
      </c>
      <c r="F5604" s="2" t="s">
        <v>24521</v>
      </c>
      <c r="G5604" s="2" t="str">
        <f>"SR-7682"</f>
        <v>SR-7682</v>
      </c>
      <c r="H5604" s="2" t="s">
        <v>24522</v>
      </c>
      <c r="I5604" s="2" t="s">
        <v>24523</v>
      </c>
      <c r="K5604" s="2" t="s">
        <v>12320</v>
      </c>
      <c r="L5604" s="2" t="s">
        <v>157</v>
      </c>
      <c r="M5604" s="2">
        <v>81039.0</v>
      </c>
      <c r="N5604" s="2" t="s">
        <v>21</v>
      </c>
    </row>
    <row r="5605" ht="15.75" customHeight="1">
      <c r="A5605" s="2">
        <v>2016.0</v>
      </c>
      <c r="B5605" s="2" t="s">
        <v>24524</v>
      </c>
      <c r="C5605" s="2" t="s">
        <v>24524</v>
      </c>
      <c r="D5605" s="2" t="str">
        <f>"4253059434"</f>
        <v>4253059434</v>
      </c>
      <c r="E5605" s="2" t="s">
        <v>1725</v>
      </c>
      <c r="F5605" s="2" t="s">
        <v>24525</v>
      </c>
      <c r="G5605" s="2" t="str">
        <f>"SR-7736"</f>
        <v>SR-7736</v>
      </c>
      <c r="H5605" s="2" t="s">
        <v>24526</v>
      </c>
      <c r="I5605" s="2" t="s">
        <v>24527</v>
      </c>
      <c r="K5605" s="2" t="s">
        <v>24528</v>
      </c>
      <c r="L5605" s="2" t="s">
        <v>86</v>
      </c>
      <c r="M5605" s="2">
        <v>98033.0</v>
      </c>
      <c r="N5605" s="2" t="s">
        <v>21</v>
      </c>
    </row>
    <row r="5606" ht="15.75" customHeight="1">
      <c r="A5606" s="2">
        <v>2016.0</v>
      </c>
      <c r="B5606" s="2" t="s">
        <v>24529</v>
      </c>
      <c r="C5606" s="2" t="s">
        <v>24529</v>
      </c>
      <c r="D5606" s="2" t="str">
        <f>"813-720-5527"</f>
        <v>813-720-5527</v>
      </c>
      <c r="E5606" s="2" t="s">
        <v>1356</v>
      </c>
      <c r="F5606" s="2" t="s">
        <v>24530</v>
      </c>
      <c r="G5606" s="2" t="str">
        <f>"SR-7738"</f>
        <v>SR-7738</v>
      </c>
      <c r="H5606" s="2" t="s">
        <v>24531</v>
      </c>
      <c r="I5606" s="2" t="s">
        <v>24532</v>
      </c>
      <c r="K5606" s="2" t="s">
        <v>24533</v>
      </c>
      <c r="L5606" s="2" t="s">
        <v>208</v>
      </c>
      <c r="M5606" s="2">
        <v>33584.0</v>
      </c>
      <c r="N5606" s="2" t="s">
        <v>21</v>
      </c>
    </row>
    <row r="5607" ht="15.75" customHeight="1">
      <c r="A5607" s="2">
        <v>2016.0</v>
      </c>
      <c r="B5607" s="2" t="s">
        <v>24529</v>
      </c>
      <c r="C5607" s="2" t="s">
        <v>24534</v>
      </c>
      <c r="D5607" s="2" t="str">
        <f>"813-210-0787"</f>
        <v>813-210-0787</v>
      </c>
      <c r="E5607" s="2" t="s">
        <v>1015</v>
      </c>
      <c r="F5607" s="2" t="s">
        <v>10319</v>
      </c>
      <c r="G5607" s="2" t="str">
        <f>"SR-7740"</f>
        <v>SR-7740</v>
      </c>
      <c r="H5607" s="2" t="s">
        <v>11156</v>
      </c>
      <c r="I5607" s="2" t="s">
        <v>24535</v>
      </c>
      <c r="K5607" s="2" t="s">
        <v>10322</v>
      </c>
      <c r="L5607" s="2" t="s">
        <v>208</v>
      </c>
      <c r="M5607" s="2">
        <v>33527.0</v>
      </c>
      <c r="N5607" s="2" t="s">
        <v>21</v>
      </c>
    </row>
    <row r="5608" ht="15.75" customHeight="1">
      <c r="A5608" s="2">
        <v>2016.0</v>
      </c>
      <c r="B5608" s="2" t="s">
        <v>24536</v>
      </c>
      <c r="C5608" s="2" t="s">
        <v>24536</v>
      </c>
      <c r="D5608" s="2" t="str">
        <f>"5629449724"</f>
        <v>5629449724</v>
      </c>
      <c r="E5608" s="2" t="s">
        <v>644</v>
      </c>
      <c r="F5608" s="2" t="s">
        <v>24155</v>
      </c>
      <c r="G5608" s="2" t="str">
        <f>"SR-7739"</f>
        <v>SR-7739</v>
      </c>
      <c r="H5608" s="2" t="s">
        <v>24537</v>
      </c>
      <c r="I5608" s="2" t="s">
        <v>24538</v>
      </c>
      <c r="K5608" s="2" t="s">
        <v>24539</v>
      </c>
      <c r="L5608" s="2" t="s">
        <v>222</v>
      </c>
      <c r="M5608" s="2">
        <v>90638.0</v>
      </c>
      <c r="N5608" s="2" t="s">
        <v>21</v>
      </c>
    </row>
    <row r="5609" ht="15.75" customHeight="1">
      <c r="A5609" s="2">
        <v>2016.0</v>
      </c>
      <c r="B5609" s="2" t="s">
        <v>24540</v>
      </c>
      <c r="C5609" s="2" t="s">
        <v>24541</v>
      </c>
      <c r="D5609" s="2" t="str">
        <f>"8643612868"</f>
        <v>8643612868</v>
      </c>
      <c r="E5609" s="2" t="s">
        <v>1039</v>
      </c>
      <c r="F5609" s="2" t="s">
        <v>24542</v>
      </c>
      <c r="G5609" s="2" t="str">
        <f>"SR-7521"</f>
        <v>SR-7521</v>
      </c>
      <c r="H5609" s="2" t="s">
        <v>24543</v>
      </c>
      <c r="I5609" s="2" t="s">
        <v>24544</v>
      </c>
      <c r="K5609" s="2" t="s">
        <v>14172</v>
      </c>
      <c r="L5609" s="2" t="s">
        <v>55</v>
      </c>
      <c r="M5609" s="2">
        <v>29609.0</v>
      </c>
      <c r="N5609" s="2" t="s">
        <v>21</v>
      </c>
    </row>
    <row r="5610" ht="15.75" customHeight="1">
      <c r="A5610" s="2">
        <v>2016.0</v>
      </c>
      <c r="B5610" s="2" t="s">
        <v>24545</v>
      </c>
      <c r="C5610" s="2" t="s">
        <v>24545</v>
      </c>
      <c r="D5610" s="2" t="str">
        <f>"813-689-9389"</f>
        <v>813-689-9389</v>
      </c>
      <c r="E5610" s="2" t="s">
        <v>908</v>
      </c>
      <c r="F5610" s="2" t="s">
        <v>778</v>
      </c>
      <c r="G5610" s="2" t="str">
        <f>"SR-7741"</f>
        <v>SR-7741</v>
      </c>
      <c r="H5610" s="2" t="s">
        <v>24546</v>
      </c>
      <c r="I5610" s="2" t="s">
        <v>24547</v>
      </c>
      <c r="K5610" s="2" t="s">
        <v>5683</v>
      </c>
      <c r="L5610" s="2" t="s">
        <v>208</v>
      </c>
      <c r="M5610" s="2">
        <v>33594.0</v>
      </c>
      <c r="N5610" s="2" t="s">
        <v>21</v>
      </c>
    </row>
    <row r="5611" ht="15.75" customHeight="1">
      <c r="A5611" s="2">
        <v>2016.0</v>
      </c>
      <c r="B5611" s="2" t="s">
        <v>24548</v>
      </c>
      <c r="C5611" s="2" t="s">
        <v>24549</v>
      </c>
      <c r="D5611" s="2" t="str">
        <f>"512-534-9578"</f>
        <v>512-534-9578</v>
      </c>
      <c r="E5611" s="2" t="s">
        <v>50</v>
      </c>
      <c r="F5611" s="2" t="s">
        <v>645</v>
      </c>
      <c r="G5611" s="2" t="str">
        <f>"SR-7742"</f>
        <v>SR-7742</v>
      </c>
      <c r="H5611" s="2" t="s">
        <v>24550</v>
      </c>
      <c r="I5611" s="2" t="s">
        <v>24551</v>
      </c>
      <c r="K5611" s="2" t="s">
        <v>1141</v>
      </c>
      <c r="L5611" s="2" t="s">
        <v>172</v>
      </c>
      <c r="M5611" s="2">
        <v>78717.0</v>
      </c>
      <c r="N5611" s="2" t="s">
        <v>21</v>
      </c>
    </row>
    <row r="5612" ht="15.75" customHeight="1">
      <c r="A5612" s="2">
        <v>2016.0</v>
      </c>
      <c r="B5612" s="2" t="s">
        <v>7446</v>
      </c>
      <c r="C5612" s="2" t="s">
        <v>11702</v>
      </c>
      <c r="D5612" s="2" t="str">
        <f>"4788673166"</f>
        <v>4788673166</v>
      </c>
      <c r="E5612" s="2" t="s">
        <v>2941</v>
      </c>
      <c r="F5612" s="2" t="s">
        <v>3144</v>
      </c>
      <c r="G5612" s="2" t="str">
        <f>"SR-2515"</f>
        <v>SR-2515</v>
      </c>
      <c r="H5612" s="2" t="s">
        <v>11703</v>
      </c>
      <c r="I5612" s="2" t="s">
        <v>11704</v>
      </c>
      <c r="K5612" s="2" t="s">
        <v>11705</v>
      </c>
      <c r="L5612" s="2" t="s">
        <v>200</v>
      </c>
      <c r="M5612" s="2">
        <v>31036.0</v>
      </c>
      <c r="N5612" s="2" t="s">
        <v>21</v>
      </c>
    </row>
    <row r="5613" ht="15.75" customHeight="1">
      <c r="A5613" s="2">
        <v>2016.0</v>
      </c>
      <c r="B5613" s="2" t="s">
        <v>24552</v>
      </c>
      <c r="C5613" s="2" t="s">
        <v>24553</v>
      </c>
      <c r="D5613" s="2" t="str">
        <f>"682-270-6029"</f>
        <v>682-270-6029</v>
      </c>
      <c r="E5613" s="2" t="s">
        <v>15</v>
      </c>
      <c r="F5613" s="2" t="s">
        <v>24554</v>
      </c>
      <c r="G5613" s="2" t="str">
        <f>"SR-7714"</f>
        <v>SR-7714</v>
      </c>
      <c r="H5613" s="2" t="s">
        <v>24555</v>
      </c>
      <c r="I5613" s="2" t="s">
        <v>24556</v>
      </c>
      <c r="K5613" s="2" t="s">
        <v>1260</v>
      </c>
      <c r="L5613" s="2" t="s">
        <v>172</v>
      </c>
      <c r="M5613" s="2">
        <v>76116.0</v>
      </c>
      <c r="N5613" s="2" t="s">
        <v>21</v>
      </c>
    </row>
    <row r="5614" ht="15.75" customHeight="1">
      <c r="A5614" s="2">
        <v>2016.0</v>
      </c>
      <c r="B5614" s="2" t="s">
        <v>11753</v>
      </c>
      <c r="C5614" s="2" t="s">
        <v>24557</v>
      </c>
      <c r="D5614" s="2" t="str">
        <f>"828.524.4661"</f>
        <v>828.524.4661</v>
      </c>
      <c r="E5614" s="2" t="s">
        <v>24558</v>
      </c>
      <c r="F5614" s="2" t="s">
        <v>11756</v>
      </c>
      <c r="G5614" s="2" t="str">
        <f>"SR-7747"</f>
        <v>SR-7747</v>
      </c>
      <c r="H5614" s="2" t="s">
        <v>24559</v>
      </c>
      <c r="I5614" s="2" t="s">
        <v>11758</v>
      </c>
      <c r="K5614" s="2" t="s">
        <v>278</v>
      </c>
      <c r="L5614" s="2" t="s">
        <v>20</v>
      </c>
      <c r="M5614" s="2">
        <v>28734.0</v>
      </c>
      <c r="N5614" s="2" t="s">
        <v>21</v>
      </c>
    </row>
    <row r="5615" ht="15.75" customHeight="1">
      <c r="A5615" s="2">
        <v>2016.0</v>
      </c>
      <c r="B5615" s="2" t="s">
        <v>24560</v>
      </c>
      <c r="C5615" s="2" t="s">
        <v>24560</v>
      </c>
      <c r="D5615" s="2" t="str">
        <f>"7206484883"</f>
        <v>7206484883</v>
      </c>
      <c r="E5615" s="2" t="s">
        <v>862</v>
      </c>
      <c r="F5615" s="2" t="s">
        <v>1034</v>
      </c>
      <c r="G5615" s="2" t="str">
        <f>"SR-7382"</f>
        <v>SR-7382</v>
      </c>
      <c r="H5615" s="2" t="s">
        <v>17076</v>
      </c>
      <c r="I5615" s="2" t="s">
        <v>24561</v>
      </c>
      <c r="K5615" s="2" t="s">
        <v>1054</v>
      </c>
      <c r="L5615" s="2" t="s">
        <v>157</v>
      </c>
      <c r="M5615" s="2">
        <v>80138.0</v>
      </c>
      <c r="N5615" s="2" t="s">
        <v>21</v>
      </c>
    </row>
    <row r="5616" ht="15.75" customHeight="1">
      <c r="A5616" s="2">
        <v>2016.0</v>
      </c>
      <c r="B5616" s="2" t="s">
        <v>24562</v>
      </c>
      <c r="D5616" s="2" t="str">
        <f>""</f>
        <v/>
      </c>
      <c r="E5616" s="2" t="s">
        <v>385</v>
      </c>
      <c r="F5616" s="2" t="s">
        <v>24563</v>
      </c>
      <c r="G5616" s="2" t="str">
        <f>"SR-7331"</f>
        <v>SR-7331</v>
      </c>
      <c r="H5616" s="2" t="s">
        <v>24564</v>
      </c>
      <c r="N5616" s="2" t="s">
        <v>21</v>
      </c>
    </row>
    <row r="5617" ht="15.75" customHeight="1">
      <c r="A5617" s="2">
        <v>2016.0</v>
      </c>
      <c r="B5617" s="2" t="s">
        <v>24562</v>
      </c>
      <c r="C5617" s="2" t="s">
        <v>24565</v>
      </c>
      <c r="D5617" s="2" t="str">
        <f>"662934477"</f>
        <v>662934477</v>
      </c>
      <c r="E5617" s="2" t="s">
        <v>160</v>
      </c>
      <c r="F5617" s="2" t="s">
        <v>24563</v>
      </c>
      <c r="G5617" s="2" t="str">
        <f>"SR-7729"</f>
        <v>SR-7729</v>
      </c>
      <c r="H5617" s="2" t="s">
        <v>24566</v>
      </c>
      <c r="I5617" s="2" t="s">
        <v>24567</v>
      </c>
      <c r="K5617" s="2" t="s">
        <v>11752</v>
      </c>
      <c r="L5617" s="2" t="s">
        <v>1722</v>
      </c>
      <c r="M5617" s="2">
        <v>38620.0</v>
      </c>
      <c r="N5617" s="2" t="s">
        <v>21</v>
      </c>
    </row>
    <row r="5618" ht="15.75" customHeight="1">
      <c r="A5618" s="2">
        <v>2016.0</v>
      </c>
      <c r="B5618" s="2" t="s">
        <v>24568</v>
      </c>
      <c r="C5618" s="2" t="s">
        <v>24569</v>
      </c>
      <c r="D5618" s="2" t="str">
        <f>"949 922 5242"</f>
        <v>949 922 5242</v>
      </c>
      <c r="E5618" s="2" t="s">
        <v>6202</v>
      </c>
      <c r="F5618" s="2" t="s">
        <v>24570</v>
      </c>
      <c r="G5618" s="2" t="str">
        <f>"SR-7732"</f>
        <v>SR-7732</v>
      </c>
      <c r="H5618" s="2" t="s">
        <v>24571</v>
      </c>
      <c r="I5618" s="2" t="s">
        <v>24572</v>
      </c>
      <c r="K5618" s="2" t="s">
        <v>10926</v>
      </c>
      <c r="L5618" s="2" t="s">
        <v>222</v>
      </c>
      <c r="M5618" s="2">
        <v>92691.0</v>
      </c>
      <c r="N5618" s="2" t="s">
        <v>21</v>
      </c>
    </row>
    <row r="5619" ht="15.75" customHeight="1">
      <c r="A5619" s="2">
        <v>2016.0</v>
      </c>
      <c r="B5619" s="2" t="s">
        <v>24573</v>
      </c>
      <c r="C5619" s="2" t="s">
        <v>24574</v>
      </c>
      <c r="D5619" s="2" t="str">
        <f>"9374529967"</f>
        <v>9374529967</v>
      </c>
      <c r="E5619" s="2" t="s">
        <v>2162</v>
      </c>
      <c r="F5619" s="2" t="s">
        <v>15623</v>
      </c>
      <c r="G5619" s="2" t="str">
        <f>"SR-7750"</f>
        <v>SR-7750</v>
      </c>
      <c r="H5619" s="2" t="s">
        <v>24575</v>
      </c>
      <c r="I5619" s="2" t="s">
        <v>15625</v>
      </c>
      <c r="K5619" s="2" t="s">
        <v>15626</v>
      </c>
      <c r="L5619" s="2" t="s">
        <v>344</v>
      </c>
      <c r="M5619" s="2">
        <v>45311.0</v>
      </c>
      <c r="N5619" s="2" t="s">
        <v>21</v>
      </c>
    </row>
    <row r="5620" ht="15.75" customHeight="1">
      <c r="A5620" s="2">
        <v>2016.0</v>
      </c>
      <c r="B5620" s="2" t="s">
        <v>24576</v>
      </c>
      <c r="C5620" s="2" t="s">
        <v>24577</v>
      </c>
      <c r="D5620" s="2" t="str">
        <f>"4257735250"</f>
        <v>4257735250</v>
      </c>
      <c r="E5620" s="2" t="s">
        <v>955</v>
      </c>
      <c r="F5620" s="2" t="s">
        <v>24578</v>
      </c>
      <c r="G5620" s="2" t="str">
        <f>"SR-7749"</f>
        <v>SR-7749</v>
      </c>
      <c r="H5620" s="2" t="s">
        <v>24579</v>
      </c>
      <c r="I5620" s="2" t="s">
        <v>24580</v>
      </c>
      <c r="K5620" s="2" t="s">
        <v>965</v>
      </c>
      <c r="L5620" s="2" t="s">
        <v>86</v>
      </c>
      <c r="M5620" s="2">
        <v>98036.0</v>
      </c>
      <c r="N5620" s="2" t="s">
        <v>21</v>
      </c>
    </row>
    <row r="5621" ht="15.75" customHeight="1">
      <c r="A5621" s="2">
        <v>2016.0</v>
      </c>
      <c r="B5621" s="2" t="s">
        <v>17176</v>
      </c>
      <c r="C5621" s="2" t="s">
        <v>17176</v>
      </c>
      <c r="D5621" s="2" t="str">
        <f>"6516746017"</f>
        <v>6516746017</v>
      </c>
      <c r="E5621" s="2" t="s">
        <v>17177</v>
      </c>
      <c r="F5621" s="2" t="s">
        <v>17178</v>
      </c>
      <c r="G5621" s="2" t="str">
        <f>"SR-5254"</f>
        <v>SR-5254</v>
      </c>
      <c r="H5621" s="2" t="s">
        <v>17179</v>
      </c>
      <c r="I5621" s="2" t="s">
        <v>17180</v>
      </c>
      <c r="K5621" s="2" t="s">
        <v>17181</v>
      </c>
      <c r="L5621" s="2" t="s">
        <v>62</v>
      </c>
      <c r="M5621" s="2">
        <v>55056.0</v>
      </c>
      <c r="N5621" s="2" t="s">
        <v>21</v>
      </c>
    </row>
    <row r="5622" ht="15.75" customHeight="1">
      <c r="A5622" s="2">
        <v>2016.0</v>
      </c>
      <c r="B5622" s="2" t="s">
        <v>24581</v>
      </c>
      <c r="C5622" s="2" t="s">
        <v>24582</v>
      </c>
      <c r="D5622" s="2" t="str">
        <f>"5094309145"</f>
        <v>5094309145</v>
      </c>
      <c r="E5622" s="2" t="s">
        <v>225</v>
      </c>
      <c r="F5622" s="2" t="s">
        <v>24583</v>
      </c>
      <c r="G5622" s="2" t="str">
        <f>"SR-7689"</f>
        <v>SR-7689</v>
      </c>
      <c r="H5622" s="2" t="s">
        <v>24584</v>
      </c>
      <c r="I5622" s="2" t="s">
        <v>24585</v>
      </c>
      <c r="K5622" s="2" t="s">
        <v>9516</v>
      </c>
      <c r="L5622" s="2" t="s">
        <v>86</v>
      </c>
      <c r="M5622" s="2">
        <v>99301.0</v>
      </c>
      <c r="N5622" s="2" t="s">
        <v>21</v>
      </c>
    </row>
    <row r="5623" ht="15.75" customHeight="1">
      <c r="A5623" s="2">
        <v>2016.0</v>
      </c>
      <c r="B5623" s="2" t="s">
        <v>24586</v>
      </c>
      <c r="C5623" s="2" t="s">
        <v>24586</v>
      </c>
      <c r="D5623" s="2" t="str">
        <f t="shared" ref="D5623:D5624" si="101">"505-281-1766"</f>
        <v>505-281-1766</v>
      </c>
      <c r="E5623" s="2" t="s">
        <v>1180</v>
      </c>
      <c r="F5623" s="2" t="s">
        <v>24587</v>
      </c>
      <c r="G5623" s="2" t="str">
        <f>"SR-7756"</f>
        <v>SR-7756</v>
      </c>
      <c r="H5623" s="2" t="s">
        <v>24588</v>
      </c>
      <c r="I5623" s="2" t="s">
        <v>24589</v>
      </c>
      <c r="K5623" s="2" t="s">
        <v>24590</v>
      </c>
      <c r="L5623" s="2" t="s">
        <v>789</v>
      </c>
      <c r="M5623" s="2">
        <v>87059.0</v>
      </c>
      <c r="N5623" s="2" t="s">
        <v>21</v>
      </c>
    </row>
    <row r="5624" ht="15.75" customHeight="1">
      <c r="A5624" s="2">
        <v>2016.0</v>
      </c>
      <c r="B5624" s="2" t="s">
        <v>24586</v>
      </c>
      <c r="C5624" s="2" t="s">
        <v>24586</v>
      </c>
      <c r="D5624" s="2" t="str">
        <f t="shared" si="101"/>
        <v>505-281-1766</v>
      </c>
      <c r="E5624" s="2" t="s">
        <v>580</v>
      </c>
      <c r="F5624" s="2" t="s">
        <v>24587</v>
      </c>
      <c r="G5624" s="2" t="str">
        <f>"SR-7758"</f>
        <v>SR-7758</v>
      </c>
      <c r="H5624" s="2" t="s">
        <v>24591</v>
      </c>
      <c r="I5624" s="2" t="s">
        <v>24589</v>
      </c>
      <c r="K5624" s="2" t="s">
        <v>24590</v>
      </c>
      <c r="L5624" s="2" t="s">
        <v>789</v>
      </c>
      <c r="M5624" s="2">
        <v>87059.0</v>
      </c>
      <c r="N5624" s="2" t="s">
        <v>21</v>
      </c>
    </row>
    <row r="5625" ht="15.75" customHeight="1">
      <c r="A5625" s="2">
        <v>2016.0</v>
      </c>
      <c r="B5625" s="2" t="s">
        <v>24592</v>
      </c>
      <c r="D5625" s="2" t="str">
        <f>""</f>
        <v/>
      </c>
      <c r="E5625" s="2" t="s">
        <v>456</v>
      </c>
      <c r="F5625" s="2" t="s">
        <v>12818</v>
      </c>
      <c r="G5625" s="2" t="str">
        <f>"SR-7755"</f>
        <v>SR-7755</v>
      </c>
      <c r="H5625" s="2" t="s">
        <v>24593</v>
      </c>
      <c r="N5625" s="2" t="s">
        <v>21</v>
      </c>
    </row>
    <row r="5626" ht="15.75" customHeight="1">
      <c r="A5626" s="2">
        <v>2016.0</v>
      </c>
      <c r="B5626" s="2" t="s">
        <v>24594</v>
      </c>
      <c r="C5626" s="2" t="s">
        <v>24595</v>
      </c>
      <c r="D5626" s="2" t="str">
        <f>"281-286-0021"</f>
        <v>281-286-0021</v>
      </c>
      <c r="E5626" s="2" t="s">
        <v>843</v>
      </c>
      <c r="F5626" s="2" t="s">
        <v>24596</v>
      </c>
      <c r="G5626" s="2" t="str">
        <f>"SR-7549"</f>
        <v>SR-7549</v>
      </c>
      <c r="H5626" s="2" t="s">
        <v>24597</v>
      </c>
      <c r="I5626" s="2" t="s">
        <v>24598</v>
      </c>
      <c r="K5626" s="2" t="s">
        <v>444</v>
      </c>
      <c r="L5626" s="2" t="s">
        <v>172</v>
      </c>
      <c r="M5626" s="2">
        <v>77062.0</v>
      </c>
      <c r="N5626" s="2" t="s">
        <v>21</v>
      </c>
    </row>
    <row r="5627" ht="15.75" customHeight="1">
      <c r="A5627" s="2">
        <v>2016.0</v>
      </c>
      <c r="B5627" s="2" t="s">
        <v>24599</v>
      </c>
      <c r="C5627" s="2" t="s">
        <v>24600</v>
      </c>
      <c r="D5627" s="2" t="str">
        <f>"682-229-4876"</f>
        <v>682-229-4876</v>
      </c>
      <c r="E5627" s="2" t="s">
        <v>225</v>
      </c>
      <c r="F5627" s="2" t="s">
        <v>18150</v>
      </c>
      <c r="G5627" s="2" t="str">
        <f>"SR-7752"</f>
        <v>SR-7752</v>
      </c>
      <c r="H5627" s="2" t="s">
        <v>24601</v>
      </c>
      <c r="I5627" s="2" t="s">
        <v>24602</v>
      </c>
      <c r="K5627" s="2" t="s">
        <v>5729</v>
      </c>
      <c r="L5627" s="2" t="s">
        <v>172</v>
      </c>
      <c r="M5627" s="2">
        <v>76088.0</v>
      </c>
      <c r="N5627" s="2" t="s">
        <v>21</v>
      </c>
    </row>
    <row r="5628" ht="15.75" customHeight="1">
      <c r="A5628" s="2">
        <v>2016.0</v>
      </c>
      <c r="B5628" s="2" t="s">
        <v>24599</v>
      </c>
      <c r="C5628" s="2" t="s">
        <v>24603</v>
      </c>
      <c r="D5628" s="2" t="str">
        <f>"682-229-7875"</f>
        <v>682-229-7875</v>
      </c>
      <c r="E5628" s="2" t="s">
        <v>1548</v>
      </c>
      <c r="F5628" s="2" t="s">
        <v>18150</v>
      </c>
      <c r="G5628" s="2" t="str">
        <f>"SR-7760"</f>
        <v>SR-7760</v>
      </c>
      <c r="H5628" s="2" t="s">
        <v>24604</v>
      </c>
      <c r="I5628" s="2" t="s">
        <v>24605</v>
      </c>
      <c r="K5628" s="2" t="s">
        <v>5729</v>
      </c>
      <c r="L5628" s="2" t="s">
        <v>172</v>
      </c>
      <c r="M5628" s="2">
        <v>76088.0</v>
      </c>
      <c r="N5628" s="2" t="s">
        <v>21</v>
      </c>
    </row>
    <row r="5629" ht="15.75" customHeight="1">
      <c r="A5629" s="2">
        <v>2016.0</v>
      </c>
      <c r="B5629" s="2" t="s">
        <v>24599</v>
      </c>
      <c r="D5629" s="2" t="str">
        <f>""</f>
        <v/>
      </c>
      <c r="E5629" s="2" t="s">
        <v>5858</v>
      </c>
      <c r="F5629" s="2" t="s">
        <v>18150</v>
      </c>
      <c r="G5629" s="2" t="str">
        <f>"SR-7761"</f>
        <v>SR-7761</v>
      </c>
      <c r="H5629" s="2" t="s">
        <v>24606</v>
      </c>
      <c r="N5629" s="2" t="s">
        <v>21</v>
      </c>
    </row>
    <row r="5630" ht="15.75" customHeight="1">
      <c r="A5630" s="2">
        <v>2016.0</v>
      </c>
      <c r="B5630" s="2" t="s">
        <v>24607</v>
      </c>
      <c r="C5630" s="2" t="s">
        <v>24608</v>
      </c>
      <c r="D5630" s="2" t="str">
        <f>"8296054163"</f>
        <v>8296054163</v>
      </c>
      <c r="E5630" s="2" t="s">
        <v>24609</v>
      </c>
      <c r="F5630" s="2" t="s">
        <v>24610</v>
      </c>
      <c r="G5630" s="2" t="str">
        <f>"SR-7759"</f>
        <v>SR-7759</v>
      </c>
      <c r="H5630" s="2" t="s">
        <v>24611</v>
      </c>
      <c r="I5630" s="2" t="s">
        <v>24612</v>
      </c>
      <c r="J5630" s="2" t="s">
        <v>24613</v>
      </c>
      <c r="K5630" s="2" t="s">
        <v>24614</v>
      </c>
      <c r="L5630" s="2" t="s">
        <v>24615</v>
      </c>
      <c r="M5630" s="2">
        <v>0.0</v>
      </c>
      <c r="N5630" s="2" t="s">
        <v>24616</v>
      </c>
    </row>
    <row r="5631" ht="15.75" customHeight="1">
      <c r="A5631" s="2">
        <v>2016.0</v>
      </c>
      <c r="B5631" s="2" t="s">
        <v>24617</v>
      </c>
      <c r="C5631" s="2" t="s">
        <v>24618</v>
      </c>
      <c r="D5631" s="2" t="str">
        <f>"4063695596"</f>
        <v>4063695596</v>
      </c>
      <c r="E5631" s="2" t="s">
        <v>160</v>
      </c>
      <c r="F5631" s="2" t="s">
        <v>7087</v>
      </c>
      <c r="G5631" s="2" t="str">
        <f>"SR-7762"</f>
        <v>SR-7762</v>
      </c>
      <c r="H5631" s="2" t="s">
        <v>24619</v>
      </c>
      <c r="I5631" s="2" t="s">
        <v>24620</v>
      </c>
      <c r="K5631" s="2" t="s">
        <v>9717</v>
      </c>
      <c r="L5631" s="2" t="s">
        <v>2696</v>
      </c>
      <c r="M5631" s="2">
        <v>59870.0</v>
      </c>
      <c r="N5631" s="2" t="s">
        <v>21</v>
      </c>
    </row>
    <row r="5632" ht="15.75" customHeight="1">
      <c r="A5632" s="2">
        <v>2016.0</v>
      </c>
      <c r="B5632" s="2" t="s">
        <v>24617</v>
      </c>
      <c r="C5632" s="2" t="s">
        <v>9712</v>
      </c>
      <c r="D5632" s="2" t="str">
        <f>"4065318704"</f>
        <v>4065318704</v>
      </c>
      <c r="E5632" s="2" t="s">
        <v>167</v>
      </c>
      <c r="F5632" s="2" t="s">
        <v>9714</v>
      </c>
      <c r="G5632" s="2" t="str">
        <f>"SR-7763"</f>
        <v>SR-7763</v>
      </c>
      <c r="H5632" s="2" t="s">
        <v>24621</v>
      </c>
      <c r="I5632" s="2" t="s">
        <v>24622</v>
      </c>
      <c r="K5632" s="2" t="s">
        <v>9717</v>
      </c>
      <c r="L5632" s="2" t="s">
        <v>2696</v>
      </c>
      <c r="M5632" s="2">
        <v>59870.0</v>
      </c>
      <c r="N5632" s="2" t="s">
        <v>21</v>
      </c>
    </row>
    <row r="5633" ht="15.75" customHeight="1">
      <c r="A5633" s="2">
        <v>2016.0</v>
      </c>
      <c r="B5633" s="2" t="s">
        <v>24581</v>
      </c>
      <c r="C5633" s="2" t="s">
        <v>24623</v>
      </c>
      <c r="D5633" s="2" t="str">
        <f>"509-308-6476"</f>
        <v>509-308-6476</v>
      </c>
      <c r="E5633" s="2" t="s">
        <v>24624</v>
      </c>
      <c r="F5633" s="2" t="s">
        <v>24625</v>
      </c>
      <c r="G5633" s="2" t="str">
        <f>"SR-7757"</f>
        <v>SR-7757</v>
      </c>
      <c r="H5633" s="2" t="s">
        <v>24626</v>
      </c>
      <c r="I5633" s="2" t="s">
        <v>24627</v>
      </c>
      <c r="K5633" s="2" t="s">
        <v>24628</v>
      </c>
      <c r="L5633" s="2" t="s">
        <v>86</v>
      </c>
      <c r="M5633" s="2">
        <v>99337.0</v>
      </c>
      <c r="N5633" s="2" t="s">
        <v>21</v>
      </c>
    </row>
    <row r="5634" ht="15.75" customHeight="1">
      <c r="A5634" s="2">
        <v>2016.0</v>
      </c>
      <c r="B5634" s="2" t="s">
        <v>24629</v>
      </c>
      <c r="C5634" s="2" t="s">
        <v>24630</v>
      </c>
      <c r="D5634" s="2" t="str">
        <f>"559-499-1500"</f>
        <v>559-499-1500</v>
      </c>
      <c r="E5634" s="2" t="s">
        <v>24631</v>
      </c>
      <c r="F5634" s="2" t="s">
        <v>9835</v>
      </c>
      <c r="G5634" s="2" t="str">
        <f>"SR-7765"</f>
        <v>SR-7765</v>
      </c>
      <c r="H5634" s="2" t="s">
        <v>24632</v>
      </c>
      <c r="I5634" s="2" t="s">
        <v>24633</v>
      </c>
      <c r="K5634" s="2" t="s">
        <v>17645</v>
      </c>
      <c r="L5634" s="2" t="s">
        <v>222</v>
      </c>
      <c r="M5634" s="2">
        <v>93654.0</v>
      </c>
      <c r="N5634" s="2" t="s">
        <v>21</v>
      </c>
    </row>
    <row r="5635" ht="15.75" customHeight="1">
      <c r="A5635" s="2">
        <v>2016.0</v>
      </c>
      <c r="B5635" s="2" t="s">
        <v>24634</v>
      </c>
      <c r="C5635" s="2" t="s">
        <v>24635</v>
      </c>
      <c r="D5635" s="2" t="str">
        <f>"5054351657"</f>
        <v>5054351657</v>
      </c>
      <c r="E5635" s="2" t="s">
        <v>2412</v>
      </c>
      <c r="F5635" s="2" t="s">
        <v>24636</v>
      </c>
      <c r="G5635" s="2" t="str">
        <f>"SR-7554"</f>
        <v>SR-7554</v>
      </c>
      <c r="H5635" s="2" t="s">
        <v>24637</v>
      </c>
      <c r="I5635" s="2" t="s">
        <v>24638</v>
      </c>
      <c r="K5635" s="2" t="s">
        <v>14298</v>
      </c>
      <c r="L5635" s="2" t="s">
        <v>789</v>
      </c>
      <c r="M5635" s="2">
        <v>87031.0</v>
      </c>
      <c r="N5635" s="2" t="s">
        <v>21</v>
      </c>
    </row>
    <row r="5636" ht="15.75" customHeight="1">
      <c r="A5636" s="2">
        <v>2016.0</v>
      </c>
      <c r="B5636" s="2" t="s">
        <v>24639</v>
      </c>
      <c r="C5636" s="2" t="s">
        <v>24640</v>
      </c>
      <c r="D5636" s="2" t="str">
        <f>"8326835614"</f>
        <v>8326835614</v>
      </c>
      <c r="E5636" s="2" t="s">
        <v>1440</v>
      </c>
      <c r="F5636" s="2" t="s">
        <v>24641</v>
      </c>
      <c r="G5636" s="2" t="str">
        <f>"SR-7693"</f>
        <v>SR-7693</v>
      </c>
      <c r="H5636" s="2" t="s">
        <v>24642</v>
      </c>
      <c r="I5636" s="2" t="s">
        <v>24643</v>
      </c>
      <c r="K5636" s="2" t="s">
        <v>12522</v>
      </c>
      <c r="L5636" s="2" t="s">
        <v>172</v>
      </c>
      <c r="M5636" s="2">
        <v>77433.0</v>
      </c>
      <c r="N5636" s="2" t="s">
        <v>21</v>
      </c>
    </row>
    <row r="5637" ht="15.75" customHeight="1">
      <c r="A5637" s="2">
        <v>2016.0</v>
      </c>
      <c r="B5637" s="2" t="s">
        <v>20983</v>
      </c>
      <c r="C5637" s="2" t="s">
        <v>20983</v>
      </c>
      <c r="D5637" s="2" t="str">
        <f>"402-490-9626"</f>
        <v>402-490-9626</v>
      </c>
      <c r="E5637" s="2" t="s">
        <v>20984</v>
      </c>
      <c r="F5637" s="2" t="s">
        <v>3903</v>
      </c>
      <c r="G5637" s="2" t="str">
        <f>"SR-6020"</f>
        <v>SR-6020</v>
      </c>
      <c r="H5637" s="2" t="s">
        <v>20985</v>
      </c>
      <c r="I5637" s="2" t="s">
        <v>20986</v>
      </c>
      <c r="K5637" s="2" t="s">
        <v>1470</v>
      </c>
      <c r="L5637" s="2" t="s">
        <v>757</v>
      </c>
      <c r="M5637" s="2">
        <v>68130.0</v>
      </c>
      <c r="N5637" s="2" t="s">
        <v>21</v>
      </c>
    </row>
    <row r="5638" ht="15.75" customHeight="1">
      <c r="A5638" s="2">
        <v>2016.0</v>
      </c>
      <c r="B5638" s="2" t="s">
        <v>24607</v>
      </c>
      <c r="C5638" s="2" t="s">
        <v>24644</v>
      </c>
      <c r="D5638" s="2" t="str">
        <f>"809-482-5407"</f>
        <v>809-482-5407</v>
      </c>
      <c r="E5638" s="2" t="s">
        <v>24645</v>
      </c>
      <c r="F5638" s="2" t="s">
        <v>24646</v>
      </c>
      <c r="G5638" s="2" t="str">
        <f>"SR-7770"</f>
        <v>SR-7770</v>
      </c>
      <c r="H5638" s="2" t="s">
        <v>24647</v>
      </c>
      <c r="I5638" s="2" t="s">
        <v>24648</v>
      </c>
      <c r="K5638" s="2" t="s">
        <v>24614</v>
      </c>
      <c r="L5638" s="2" t="s">
        <v>24615</v>
      </c>
      <c r="M5638" s="2">
        <v>0.0</v>
      </c>
      <c r="N5638" s="2" t="s">
        <v>24616</v>
      </c>
    </row>
    <row r="5639" ht="15.75" customHeight="1">
      <c r="A5639" s="2">
        <v>2016.0</v>
      </c>
      <c r="B5639" s="2" t="s">
        <v>24607</v>
      </c>
      <c r="C5639" s="2" t="s">
        <v>24649</v>
      </c>
      <c r="D5639" s="2" t="str">
        <f>"8094825407"</f>
        <v>8094825407</v>
      </c>
      <c r="E5639" s="2" t="s">
        <v>24650</v>
      </c>
      <c r="F5639" s="2" t="s">
        <v>18027</v>
      </c>
      <c r="G5639" s="2" t="str">
        <f>"SR-7772"</f>
        <v>SR-7772</v>
      </c>
      <c r="H5639" s="2" t="s">
        <v>24651</v>
      </c>
      <c r="I5639" s="2" t="s">
        <v>24648</v>
      </c>
      <c r="K5639" s="2" t="s">
        <v>24614</v>
      </c>
      <c r="L5639" s="2" t="s">
        <v>24615</v>
      </c>
      <c r="M5639" s="2">
        <v>0.0</v>
      </c>
      <c r="N5639" s="2" t="s">
        <v>24616</v>
      </c>
    </row>
    <row r="5640" ht="15.75" customHeight="1">
      <c r="A5640" s="2">
        <v>2016.0</v>
      </c>
      <c r="B5640" s="2" t="s">
        <v>24607</v>
      </c>
      <c r="C5640" s="2" t="s">
        <v>24607</v>
      </c>
      <c r="D5640" s="2" t="str">
        <f>"8296054163"</f>
        <v>8296054163</v>
      </c>
      <c r="E5640" s="2" t="s">
        <v>24652</v>
      </c>
      <c r="F5640" s="2" t="s">
        <v>24653</v>
      </c>
      <c r="G5640" s="2" t="str">
        <f>"SR-7771"</f>
        <v>SR-7771</v>
      </c>
      <c r="H5640" s="2" t="s">
        <v>24654</v>
      </c>
      <c r="I5640" s="2" t="s">
        <v>24612</v>
      </c>
      <c r="J5640" s="2" t="s">
        <v>24655</v>
      </c>
      <c r="K5640" s="2" t="s">
        <v>24656</v>
      </c>
      <c r="L5640" s="2" t="s">
        <v>24657</v>
      </c>
      <c r="M5640" s="2">
        <v>0.0</v>
      </c>
      <c r="N5640" s="2" t="s">
        <v>24616</v>
      </c>
    </row>
    <row r="5641" ht="15.75" customHeight="1">
      <c r="A5641" s="2">
        <v>2016.0</v>
      </c>
      <c r="B5641" s="2" t="s">
        <v>24607</v>
      </c>
      <c r="C5641" s="2" t="s">
        <v>24658</v>
      </c>
      <c r="D5641" s="2" t="str">
        <f>"8094825407"</f>
        <v>8094825407</v>
      </c>
      <c r="E5641" s="2" t="s">
        <v>24659</v>
      </c>
      <c r="F5641" s="2" t="s">
        <v>24653</v>
      </c>
      <c r="G5641" s="2" t="str">
        <f>"SR-7774"</f>
        <v>SR-7774</v>
      </c>
      <c r="H5641" s="2" t="s">
        <v>24660</v>
      </c>
      <c r="I5641" s="2" t="s">
        <v>24661</v>
      </c>
      <c r="K5641" s="2" t="s">
        <v>24614</v>
      </c>
      <c r="L5641" s="2" t="s">
        <v>24615</v>
      </c>
      <c r="M5641" s="2">
        <v>0.0</v>
      </c>
      <c r="N5641" s="2" t="s">
        <v>24616</v>
      </c>
    </row>
    <row r="5642" ht="15.75" customHeight="1">
      <c r="A5642" s="2">
        <v>2016.0</v>
      </c>
      <c r="B5642" s="2" t="s">
        <v>9743</v>
      </c>
      <c r="C5642" s="2" t="s">
        <v>18314</v>
      </c>
      <c r="D5642" s="2" t="str">
        <f>"8633984599"</f>
        <v>8633984599</v>
      </c>
      <c r="E5642" s="2" t="s">
        <v>651</v>
      </c>
      <c r="F5642" s="2" t="s">
        <v>2841</v>
      </c>
      <c r="G5642" s="2" t="str">
        <f>"SR-5622"</f>
        <v>SR-5622</v>
      </c>
      <c r="H5642" s="2" t="s">
        <v>18315</v>
      </c>
      <c r="I5642" s="2" t="s">
        <v>9746</v>
      </c>
      <c r="K5642" s="2" t="s">
        <v>1570</v>
      </c>
      <c r="L5642" s="2" t="s">
        <v>208</v>
      </c>
      <c r="M5642" s="2">
        <v>33803.0</v>
      </c>
      <c r="N5642" s="2" t="s">
        <v>21</v>
      </c>
    </row>
    <row r="5643" ht="15.75" customHeight="1">
      <c r="A5643" s="2">
        <v>2016.0</v>
      </c>
      <c r="B5643" s="2" t="s">
        <v>24662</v>
      </c>
      <c r="C5643" s="2" t="s">
        <v>24663</v>
      </c>
      <c r="D5643" s="2" t="str">
        <f>"206-200-0929"</f>
        <v>206-200-0929</v>
      </c>
      <c r="E5643" s="2" t="s">
        <v>1263</v>
      </c>
      <c r="F5643" s="2" t="s">
        <v>7887</v>
      </c>
      <c r="G5643" s="2" t="str">
        <f>"SR-7274"</f>
        <v>SR-7274</v>
      </c>
      <c r="H5643" s="2" t="s">
        <v>24664</v>
      </c>
      <c r="I5643" s="2" t="s">
        <v>24665</v>
      </c>
      <c r="K5643" s="2" t="s">
        <v>17916</v>
      </c>
      <c r="L5643" s="2" t="s">
        <v>222</v>
      </c>
      <c r="M5643" s="2">
        <v>94506.0</v>
      </c>
      <c r="N5643" s="2" t="s">
        <v>21</v>
      </c>
    </row>
    <row r="5644" ht="15.75" customHeight="1">
      <c r="A5644" s="2">
        <v>2016.0</v>
      </c>
      <c r="B5644" s="2" t="s">
        <v>24666</v>
      </c>
      <c r="C5644" s="2" t="s">
        <v>24666</v>
      </c>
      <c r="D5644" s="2" t="str">
        <f>"4702395817"</f>
        <v>4702395817</v>
      </c>
      <c r="E5644" s="2" t="s">
        <v>50</v>
      </c>
      <c r="F5644" s="2" t="s">
        <v>9650</v>
      </c>
      <c r="G5644" s="2" t="str">
        <f>"SR-7778"</f>
        <v>SR-7778</v>
      </c>
      <c r="H5644" s="2" t="s">
        <v>24667</v>
      </c>
      <c r="I5644" s="2" t="s">
        <v>24668</v>
      </c>
      <c r="K5644" s="2" t="s">
        <v>7938</v>
      </c>
      <c r="L5644" s="2" t="s">
        <v>200</v>
      </c>
      <c r="M5644" s="2">
        <v>30102.0</v>
      </c>
      <c r="N5644" s="2" t="s">
        <v>21</v>
      </c>
    </row>
    <row r="5645" ht="15.75" customHeight="1">
      <c r="A5645" s="2">
        <v>2016.0</v>
      </c>
      <c r="B5645" s="2" t="s">
        <v>24669</v>
      </c>
      <c r="C5645" s="2" t="s">
        <v>24670</v>
      </c>
      <c r="D5645" s="2" t="str">
        <f>"248-457-1405"</f>
        <v>248-457-1405</v>
      </c>
      <c r="E5645" s="2" t="s">
        <v>2851</v>
      </c>
      <c r="F5645" s="2" t="s">
        <v>1859</v>
      </c>
      <c r="G5645" s="2" t="str">
        <f>"SR-7780"</f>
        <v>SR-7780</v>
      </c>
      <c r="H5645" s="2" t="s">
        <v>24671</v>
      </c>
      <c r="I5645" s="2" t="s">
        <v>24672</v>
      </c>
      <c r="K5645" s="2" t="s">
        <v>4115</v>
      </c>
      <c r="L5645" s="2" t="s">
        <v>29</v>
      </c>
      <c r="M5645" s="2">
        <v>48085.0</v>
      </c>
      <c r="N5645" s="2" t="s">
        <v>21</v>
      </c>
    </row>
    <row r="5646" ht="15.75" customHeight="1">
      <c r="A5646" s="2">
        <v>2016.0</v>
      </c>
      <c r="B5646" s="2" t="s">
        <v>9169</v>
      </c>
      <c r="C5646" s="2" t="s">
        <v>24673</v>
      </c>
      <c r="D5646" s="2" t="str">
        <f>"6163128613"</f>
        <v>6163128613</v>
      </c>
      <c r="E5646" s="2" t="s">
        <v>8887</v>
      </c>
      <c r="F5646" s="2" t="s">
        <v>9170</v>
      </c>
      <c r="G5646" s="2" t="str">
        <f>"SR-7680"</f>
        <v>SR-7680</v>
      </c>
      <c r="H5646" s="2" t="s">
        <v>24674</v>
      </c>
      <c r="I5646" s="2" t="s">
        <v>24675</v>
      </c>
      <c r="K5646" s="2" t="s">
        <v>5264</v>
      </c>
      <c r="L5646" s="2" t="s">
        <v>29</v>
      </c>
      <c r="M5646" s="2">
        <v>49315.0</v>
      </c>
      <c r="N5646" s="2" t="s">
        <v>21</v>
      </c>
    </row>
    <row r="5647" ht="15.75" customHeight="1">
      <c r="A5647" s="2">
        <v>2016.0</v>
      </c>
      <c r="B5647" s="2" t="s">
        <v>24676</v>
      </c>
      <c r="C5647" s="2" t="s">
        <v>24677</v>
      </c>
      <c r="D5647" s="2" t="str">
        <f>"417-592-7316"</f>
        <v>417-592-7316</v>
      </c>
      <c r="E5647" s="2" t="s">
        <v>1208</v>
      </c>
      <c r="F5647" s="2" t="s">
        <v>16926</v>
      </c>
      <c r="G5647" s="2" t="str">
        <f>"SR-7788"</f>
        <v>SR-7788</v>
      </c>
      <c r="H5647" s="2" t="s">
        <v>24678</v>
      </c>
      <c r="I5647" s="2" t="s">
        <v>7942</v>
      </c>
      <c r="K5647" s="2" t="s">
        <v>24679</v>
      </c>
      <c r="L5647" s="2" t="s">
        <v>214</v>
      </c>
      <c r="M5647" s="2">
        <v>64850.0</v>
      </c>
      <c r="N5647" s="2" t="s">
        <v>21</v>
      </c>
    </row>
    <row r="5648" ht="15.75" customHeight="1">
      <c r="A5648" s="2">
        <v>2016.0</v>
      </c>
      <c r="B5648" s="2" t="s">
        <v>24680</v>
      </c>
      <c r="C5648" s="2" t="s">
        <v>24681</v>
      </c>
      <c r="D5648" s="2" t="str">
        <f>"248-669 1748"</f>
        <v>248-669 1748</v>
      </c>
      <c r="E5648" s="2" t="s">
        <v>24682</v>
      </c>
      <c r="F5648" s="2" t="s">
        <v>20204</v>
      </c>
      <c r="G5648" s="2" t="str">
        <f>"SR-7708"</f>
        <v>SR-7708</v>
      </c>
      <c r="H5648" s="2" t="s">
        <v>24683</v>
      </c>
      <c r="I5648" s="2" t="s">
        <v>20206</v>
      </c>
      <c r="K5648" s="2" t="s">
        <v>24684</v>
      </c>
      <c r="L5648" s="2" t="s">
        <v>29</v>
      </c>
      <c r="M5648" s="2">
        <v>48390.0</v>
      </c>
      <c r="N5648" s="2" t="s">
        <v>21</v>
      </c>
    </row>
    <row r="5649" ht="15.75" customHeight="1">
      <c r="A5649" s="2">
        <v>2016.0</v>
      </c>
      <c r="B5649" s="2" t="s">
        <v>24685</v>
      </c>
      <c r="C5649" s="2" t="s">
        <v>24686</v>
      </c>
      <c r="D5649" s="2" t="str">
        <f t="shared" ref="D5649:D5650" si="102">"3036810100"</f>
        <v>3036810100</v>
      </c>
      <c r="E5649" s="2" t="s">
        <v>926</v>
      </c>
      <c r="F5649" s="2" t="s">
        <v>1689</v>
      </c>
      <c r="G5649" s="2" t="str">
        <f>"SR-7791"</f>
        <v>SR-7791</v>
      </c>
      <c r="H5649" s="2" t="s">
        <v>24687</v>
      </c>
      <c r="I5649" s="2" t="s">
        <v>24688</v>
      </c>
      <c r="K5649" s="2" t="s">
        <v>1398</v>
      </c>
      <c r="L5649" s="2" t="s">
        <v>157</v>
      </c>
      <c r="M5649" s="2">
        <v>80109.0</v>
      </c>
      <c r="N5649" s="2" t="s">
        <v>21</v>
      </c>
    </row>
    <row r="5650" ht="15.75" customHeight="1">
      <c r="A5650" s="2">
        <v>2016.0</v>
      </c>
      <c r="B5650" s="2" t="s">
        <v>24685</v>
      </c>
      <c r="C5650" s="2" t="s">
        <v>24689</v>
      </c>
      <c r="D5650" s="2" t="str">
        <f t="shared" si="102"/>
        <v>3036810100</v>
      </c>
      <c r="E5650" s="2" t="s">
        <v>16650</v>
      </c>
      <c r="F5650" s="2" t="s">
        <v>1689</v>
      </c>
      <c r="G5650" s="2" t="str">
        <f>"SR-7792"</f>
        <v>SR-7792</v>
      </c>
      <c r="H5650" s="2" t="s">
        <v>24690</v>
      </c>
      <c r="I5650" s="2" t="s">
        <v>24688</v>
      </c>
      <c r="K5650" s="2" t="s">
        <v>1398</v>
      </c>
      <c r="L5650" s="2" t="s">
        <v>157</v>
      </c>
      <c r="M5650" s="2">
        <v>80109.0</v>
      </c>
      <c r="N5650" s="2" t="s">
        <v>21</v>
      </c>
    </row>
    <row r="5651" ht="15.75" customHeight="1">
      <c r="A5651" s="2">
        <v>2016.0</v>
      </c>
      <c r="B5651" s="2" t="s">
        <v>24691</v>
      </c>
      <c r="C5651" s="2" t="s">
        <v>24691</v>
      </c>
      <c r="D5651" s="2" t="str">
        <f>"828-349-4563"</f>
        <v>828-349-4563</v>
      </c>
      <c r="E5651" s="2" t="s">
        <v>1529</v>
      </c>
      <c r="F5651" s="2" t="s">
        <v>24692</v>
      </c>
      <c r="G5651" s="2" t="str">
        <f>"SR-7790"</f>
        <v>SR-7790</v>
      </c>
      <c r="H5651" s="2" t="s">
        <v>24693</v>
      </c>
      <c r="I5651" s="2" t="s">
        <v>24694</v>
      </c>
      <c r="K5651" s="2" t="s">
        <v>278</v>
      </c>
      <c r="L5651" s="2" t="s">
        <v>20</v>
      </c>
      <c r="M5651" s="2">
        <v>28734.0</v>
      </c>
      <c r="N5651" s="2" t="s">
        <v>21</v>
      </c>
    </row>
    <row r="5652" ht="15.75" customHeight="1">
      <c r="A5652" s="2">
        <v>2016.0</v>
      </c>
      <c r="B5652" s="2" t="s">
        <v>7330</v>
      </c>
      <c r="C5652" s="2" t="s">
        <v>18180</v>
      </c>
      <c r="D5652" s="2" t="str">
        <f>"4068556154"</f>
        <v>4068556154</v>
      </c>
      <c r="E5652" s="2" t="s">
        <v>225</v>
      </c>
      <c r="F5652" s="2" t="s">
        <v>7331</v>
      </c>
      <c r="G5652" s="2" t="str">
        <f>"SR-3989"</f>
        <v>SR-3989</v>
      </c>
      <c r="H5652" s="2" t="s">
        <v>18181</v>
      </c>
      <c r="I5652" s="2" t="s">
        <v>18182</v>
      </c>
      <c r="K5652" s="2" t="s">
        <v>3548</v>
      </c>
      <c r="L5652" s="2" t="s">
        <v>2696</v>
      </c>
      <c r="M5652" s="2">
        <v>59101.0</v>
      </c>
      <c r="N5652" s="2" t="s">
        <v>21</v>
      </c>
    </row>
    <row r="5653" ht="15.75" customHeight="1">
      <c r="A5653" s="2">
        <v>2016.0</v>
      </c>
      <c r="B5653" s="2" t="s">
        <v>24695</v>
      </c>
      <c r="C5653" s="2" t="s">
        <v>24695</v>
      </c>
      <c r="D5653" s="2" t="str">
        <f>"4025332123"</f>
        <v>4025332123</v>
      </c>
      <c r="E5653" s="2" t="s">
        <v>5583</v>
      </c>
      <c r="F5653" s="2" t="s">
        <v>10132</v>
      </c>
      <c r="G5653" s="2" t="str">
        <f>"SR-7798"</f>
        <v>SR-7798</v>
      </c>
      <c r="H5653" s="2" t="s">
        <v>24696</v>
      </c>
      <c r="I5653" s="2" t="s">
        <v>24697</v>
      </c>
      <c r="K5653" s="2" t="s">
        <v>4981</v>
      </c>
      <c r="L5653" s="2" t="s">
        <v>757</v>
      </c>
      <c r="M5653" s="2">
        <v>68008.0</v>
      </c>
      <c r="N5653" s="2" t="s">
        <v>21</v>
      </c>
    </row>
    <row r="5654" ht="15.75" customHeight="1">
      <c r="A5654" s="2">
        <v>2016.0</v>
      </c>
      <c r="B5654" s="2" t="s">
        <v>24698</v>
      </c>
      <c r="C5654" s="2" t="s">
        <v>24699</v>
      </c>
      <c r="D5654" s="2" t="str">
        <f>"714-474-8142"</f>
        <v>714-474-8142</v>
      </c>
      <c r="E5654" s="2" t="s">
        <v>385</v>
      </c>
      <c r="F5654" s="2" t="s">
        <v>6824</v>
      </c>
      <c r="G5654" s="2" t="str">
        <f>"SR-7784"</f>
        <v>SR-7784</v>
      </c>
      <c r="H5654" s="2" t="s">
        <v>24700</v>
      </c>
      <c r="I5654" s="2" t="s">
        <v>24701</v>
      </c>
      <c r="K5654" s="2" t="s">
        <v>24702</v>
      </c>
      <c r="L5654" s="2" t="s">
        <v>222</v>
      </c>
      <c r="M5654" s="2">
        <v>92870.0</v>
      </c>
      <c r="N5654" s="2" t="s">
        <v>21</v>
      </c>
    </row>
    <row r="5655" ht="15.75" customHeight="1">
      <c r="A5655" s="2">
        <v>2016.0</v>
      </c>
      <c r="B5655" s="2" t="s">
        <v>953</v>
      </c>
      <c r="C5655" s="2" t="s">
        <v>24703</v>
      </c>
      <c r="D5655" s="2" t="str">
        <f>"517.372.0534"</f>
        <v>517.372.0534</v>
      </c>
      <c r="E5655" s="2" t="s">
        <v>2941</v>
      </c>
      <c r="F5655" s="2" t="s">
        <v>956</v>
      </c>
      <c r="G5655" s="2" t="str">
        <f>"SR-7777"</f>
        <v>SR-7777</v>
      </c>
      <c r="H5655" s="2" t="s">
        <v>24704</v>
      </c>
      <c r="I5655" s="2" t="s">
        <v>958</v>
      </c>
      <c r="K5655" s="2" t="s">
        <v>959</v>
      </c>
      <c r="L5655" s="2" t="s">
        <v>29</v>
      </c>
      <c r="M5655" s="2">
        <v>48910.0</v>
      </c>
      <c r="N5655" s="2" t="s">
        <v>21</v>
      </c>
    </row>
    <row r="5656" ht="15.75" customHeight="1">
      <c r="A5656" s="2">
        <v>2016.0</v>
      </c>
      <c r="B5656" s="2" t="s">
        <v>4211</v>
      </c>
      <c r="C5656" s="2" t="s">
        <v>19802</v>
      </c>
      <c r="D5656" s="2" t="str">
        <f>"281-389-7435"</f>
        <v>281-389-7435</v>
      </c>
      <c r="E5656" s="2" t="s">
        <v>167</v>
      </c>
      <c r="F5656" s="2" t="s">
        <v>4213</v>
      </c>
      <c r="G5656" s="2" t="str">
        <f>"SR-6151"</f>
        <v>SR-6151</v>
      </c>
      <c r="H5656" s="2" t="s">
        <v>19803</v>
      </c>
      <c r="I5656" s="2" t="s">
        <v>4215</v>
      </c>
      <c r="K5656" s="2" t="s">
        <v>4216</v>
      </c>
      <c r="L5656" s="2" t="s">
        <v>172</v>
      </c>
      <c r="M5656" s="2">
        <v>77469.0</v>
      </c>
      <c r="N5656" s="2" t="s">
        <v>21</v>
      </c>
    </row>
    <row r="5657" ht="15.75" customHeight="1">
      <c r="A5657" s="2">
        <v>2016.0</v>
      </c>
      <c r="B5657" s="2" t="s">
        <v>24705</v>
      </c>
      <c r="D5657" s="2" t="str">
        <f>""</f>
        <v/>
      </c>
      <c r="E5657" s="2" t="s">
        <v>718</v>
      </c>
      <c r="F5657" s="2" t="s">
        <v>24706</v>
      </c>
      <c r="G5657" s="2" t="str">
        <f>"SR-6342"</f>
        <v>SR-6342</v>
      </c>
      <c r="H5657" s="2" t="s">
        <v>24707</v>
      </c>
      <c r="N5657" s="2" t="s">
        <v>21</v>
      </c>
    </row>
    <row r="5658" ht="15.75" customHeight="1">
      <c r="A5658" s="2">
        <v>2016.0</v>
      </c>
      <c r="B5658" s="2" t="s">
        <v>22036</v>
      </c>
      <c r="C5658" s="2" t="s">
        <v>22036</v>
      </c>
      <c r="D5658" s="2" t="str">
        <f>"402-669-8203"</f>
        <v>402-669-8203</v>
      </c>
      <c r="E5658" s="2" t="s">
        <v>22037</v>
      </c>
      <c r="F5658" s="2" t="s">
        <v>10003</v>
      </c>
      <c r="G5658" s="2" t="str">
        <f>"SR-5917"</f>
        <v>SR-5917</v>
      </c>
      <c r="H5658" s="2" t="s">
        <v>22038</v>
      </c>
      <c r="I5658" s="2" t="s">
        <v>22039</v>
      </c>
      <c r="K5658" s="2" t="s">
        <v>22040</v>
      </c>
      <c r="L5658" s="2" t="s">
        <v>757</v>
      </c>
      <c r="M5658" s="2">
        <v>68045.0</v>
      </c>
      <c r="N5658" s="2" t="s">
        <v>21</v>
      </c>
    </row>
    <row r="5659" ht="15.75" customHeight="1">
      <c r="A5659" s="2">
        <v>2016.0</v>
      </c>
      <c r="B5659" s="2" t="s">
        <v>4467</v>
      </c>
      <c r="C5659" s="2" t="s">
        <v>24708</v>
      </c>
      <c r="D5659" s="2" t="str">
        <f>"9796966513"</f>
        <v>9796966513</v>
      </c>
      <c r="E5659" s="2" t="s">
        <v>1434</v>
      </c>
      <c r="F5659" s="2" t="s">
        <v>24709</v>
      </c>
      <c r="G5659" s="2" t="str">
        <f>"SR-6783"</f>
        <v>SR-6783</v>
      </c>
      <c r="H5659" s="2" t="s">
        <v>24710</v>
      </c>
      <c r="I5659" s="2" t="s">
        <v>24711</v>
      </c>
      <c r="K5659" s="2" t="s">
        <v>4473</v>
      </c>
      <c r="L5659" s="2" t="s">
        <v>172</v>
      </c>
      <c r="M5659" s="2">
        <v>77845.0</v>
      </c>
      <c r="N5659" s="2" t="s">
        <v>21</v>
      </c>
    </row>
    <row r="5660" ht="15.75" customHeight="1">
      <c r="A5660" s="2">
        <v>2016.0</v>
      </c>
      <c r="B5660" s="2" t="s">
        <v>24712</v>
      </c>
      <c r="C5660" s="2" t="s">
        <v>24713</v>
      </c>
      <c r="D5660" s="2" t="str">
        <f>"207-607-3962"</f>
        <v>207-607-3962</v>
      </c>
      <c r="E5660" s="2" t="s">
        <v>16667</v>
      </c>
      <c r="F5660" s="2" t="s">
        <v>24714</v>
      </c>
      <c r="G5660" s="2" t="str">
        <f>"SR-7805"</f>
        <v>SR-7805</v>
      </c>
      <c r="H5660" s="2" t="s">
        <v>24715</v>
      </c>
      <c r="I5660" s="2" t="s">
        <v>24716</v>
      </c>
      <c r="K5660" s="2" t="s">
        <v>809</v>
      </c>
      <c r="L5660" s="2" t="s">
        <v>157</v>
      </c>
      <c r="M5660" s="2">
        <v>80920.0</v>
      </c>
      <c r="N5660" s="2" t="s">
        <v>21</v>
      </c>
    </row>
    <row r="5661" ht="15.75" customHeight="1">
      <c r="A5661" s="2">
        <v>2016.0</v>
      </c>
      <c r="B5661" s="2" t="s">
        <v>24717</v>
      </c>
      <c r="C5661" s="2" t="s">
        <v>24717</v>
      </c>
      <c r="D5661" s="2" t="str">
        <f>"317-753-4006"</f>
        <v>317-753-4006</v>
      </c>
      <c r="E5661" s="2" t="s">
        <v>14150</v>
      </c>
      <c r="F5661" s="2" t="s">
        <v>591</v>
      </c>
      <c r="G5661" s="2" t="str">
        <f>"SR-7343"</f>
        <v>SR-7343</v>
      </c>
      <c r="H5661" s="2" t="s">
        <v>24718</v>
      </c>
      <c r="I5661" s="2" t="s">
        <v>24719</v>
      </c>
      <c r="K5661" s="2" t="s">
        <v>24720</v>
      </c>
      <c r="L5661" s="2" t="s">
        <v>149</v>
      </c>
      <c r="M5661" s="2">
        <v>46184.0</v>
      </c>
      <c r="N5661" s="2" t="s">
        <v>21</v>
      </c>
    </row>
    <row r="5662" ht="15.75" customHeight="1">
      <c r="A5662" s="2">
        <v>2016.0</v>
      </c>
      <c r="B5662" s="2" t="s">
        <v>24721</v>
      </c>
      <c r="C5662" s="2" t="s">
        <v>24721</v>
      </c>
      <c r="D5662" s="2" t="str">
        <f>"6206601905"</f>
        <v>6206601905</v>
      </c>
      <c r="E5662" s="2" t="s">
        <v>7145</v>
      </c>
      <c r="F5662" s="2" t="s">
        <v>24722</v>
      </c>
      <c r="G5662" s="2" t="str">
        <f>"SR-7806"</f>
        <v>SR-7806</v>
      </c>
      <c r="H5662" s="2" t="s">
        <v>24723</v>
      </c>
      <c r="I5662" s="2" t="s">
        <v>24724</v>
      </c>
      <c r="K5662" s="2" t="s">
        <v>24725</v>
      </c>
      <c r="L5662" s="2" t="s">
        <v>272</v>
      </c>
      <c r="M5662" s="2">
        <v>67005.0</v>
      </c>
      <c r="N5662" s="2" t="s">
        <v>21</v>
      </c>
    </row>
    <row r="5663" ht="15.75" customHeight="1">
      <c r="A5663" s="2">
        <v>2016.0</v>
      </c>
      <c r="B5663" s="2" t="s">
        <v>14536</v>
      </c>
      <c r="C5663" s="2" t="s">
        <v>24726</v>
      </c>
      <c r="D5663" s="2" t="str">
        <f>"8177335547"</f>
        <v>8177335547</v>
      </c>
      <c r="E5663" s="2" t="s">
        <v>24727</v>
      </c>
      <c r="F5663" s="2" t="s">
        <v>14538</v>
      </c>
      <c r="G5663" s="2" t="str">
        <f>"SR-7779"</f>
        <v>SR-7779</v>
      </c>
      <c r="H5663" s="2" t="s">
        <v>24728</v>
      </c>
      <c r="I5663" s="2" t="s">
        <v>14540</v>
      </c>
      <c r="K5663" s="2" t="s">
        <v>1260</v>
      </c>
      <c r="L5663" s="2" t="s">
        <v>172</v>
      </c>
      <c r="M5663" s="2">
        <v>76133.0</v>
      </c>
      <c r="N5663" s="2" t="s">
        <v>21</v>
      </c>
    </row>
    <row r="5664" ht="15.75" customHeight="1">
      <c r="A5664" s="2">
        <v>2016.0</v>
      </c>
      <c r="B5664" s="2" t="s">
        <v>24729</v>
      </c>
      <c r="C5664" s="2" t="s">
        <v>24730</v>
      </c>
      <c r="D5664" s="2" t="str">
        <f>"970-7760-0536"</f>
        <v>970-7760-0536</v>
      </c>
      <c r="E5664" s="2" t="s">
        <v>23911</v>
      </c>
      <c r="F5664" s="2" t="s">
        <v>5105</v>
      </c>
      <c r="G5664" s="2" t="str">
        <f>"SR-7699"</f>
        <v>SR-7699</v>
      </c>
      <c r="H5664" s="2" t="s">
        <v>24731</v>
      </c>
      <c r="I5664" s="2" t="s">
        <v>24732</v>
      </c>
      <c r="K5664" s="2" t="s">
        <v>1048</v>
      </c>
      <c r="L5664" s="2" t="s">
        <v>157</v>
      </c>
      <c r="M5664" s="2">
        <v>80537.0</v>
      </c>
      <c r="N5664" s="2" t="s">
        <v>21</v>
      </c>
    </row>
    <row r="5665" ht="15.75" customHeight="1">
      <c r="A5665" s="2">
        <v>2016.0</v>
      </c>
      <c r="B5665" s="2" t="s">
        <v>7003</v>
      </c>
      <c r="C5665" s="2" t="s">
        <v>24733</v>
      </c>
      <c r="D5665" s="2" t="str">
        <f>"6052807102"</f>
        <v>6052807102</v>
      </c>
      <c r="E5665" s="2" t="s">
        <v>24734</v>
      </c>
      <c r="F5665" s="2" t="s">
        <v>7004</v>
      </c>
      <c r="G5665" s="2" t="str">
        <f>"SR-7810"</f>
        <v>SR-7810</v>
      </c>
      <c r="H5665" s="2" t="s">
        <v>24735</v>
      </c>
      <c r="I5665" s="2" t="s">
        <v>7006</v>
      </c>
      <c r="K5665" s="2" t="s">
        <v>4355</v>
      </c>
      <c r="L5665" s="2" t="s">
        <v>920</v>
      </c>
      <c r="M5665" s="2">
        <v>57501.0</v>
      </c>
      <c r="N5665" s="2" t="s">
        <v>21</v>
      </c>
    </row>
    <row r="5666" ht="15.75" customHeight="1">
      <c r="A5666" s="2">
        <v>2016.0</v>
      </c>
      <c r="B5666" s="2" t="s">
        <v>24736</v>
      </c>
      <c r="C5666" s="2" t="s">
        <v>17672</v>
      </c>
      <c r="D5666" s="2" t="str">
        <f>"(813) 963-2092"</f>
        <v>(813) 963-2092</v>
      </c>
      <c r="E5666" s="2" t="s">
        <v>6922</v>
      </c>
      <c r="F5666" s="2" t="s">
        <v>17673</v>
      </c>
      <c r="G5666" s="2" t="str">
        <f>"SR-5053"</f>
        <v>SR-5053</v>
      </c>
      <c r="H5666" s="2" t="s">
        <v>17674</v>
      </c>
      <c r="I5666" s="2" t="s">
        <v>24737</v>
      </c>
      <c r="K5666" s="2" t="s">
        <v>3431</v>
      </c>
      <c r="L5666" s="2" t="s">
        <v>208</v>
      </c>
      <c r="M5666" s="2">
        <v>33606.0</v>
      </c>
      <c r="N5666" s="2" t="s">
        <v>21</v>
      </c>
    </row>
    <row r="5667" ht="15.75" customHeight="1">
      <c r="A5667" s="2">
        <v>2016.0</v>
      </c>
      <c r="B5667" s="2" t="s">
        <v>10757</v>
      </c>
      <c r="C5667" s="2" t="s">
        <v>17613</v>
      </c>
      <c r="D5667" s="2" t="str">
        <f>"814-624-3466"</f>
        <v>814-624-3466</v>
      </c>
      <c r="E5667" s="2" t="s">
        <v>217</v>
      </c>
      <c r="F5667" s="2" t="s">
        <v>10759</v>
      </c>
      <c r="G5667" s="2" t="str">
        <f>"SR-5287"</f>
        <v>SR-5287</v>
      </c>
      <c r="H5667" s="2" t="s">
        <v>17614</v>
      </c>
      <c r="I5667" s="2" t="s">
        <v>17615</v>
      </c>
      <c r="K5667" s="2" t="s">
        <v>10762</v>
      </c>
      <c r="L5667" s="2" t="s">
        <v>179</v>
      </c>
      <c r="M5667" s="2">
        <v>15550.0</v>
      </c>
      <c r="N5667" s="2" t="s">
        <v>21</v>
      </c>
    </row>
    <row r="5668" ht="15.75" customHeight="1">
      <c r="A5668" s="2">
        <v>2016.0</v>
      </c>
      <c r="B5668" s="2" t="s">
        <v>24738</v>
      </c>
      <c r="C5668" s="2" t="s">
        <v>24739</v>
      </c>
      <c r="D5668" s="2" t="str">
        <f>"6265364849"</f>
        <v>6265364849</v>
      </c>
      <c r="E5668" s="2" t="s">
        <v>1263</v>
      </c>
      <c r="F5668" s="2" t="s">
        <v>543</v>
      </c>
      <c r="G5668" s="2" t="str">
        <f>"SR-7816"</f>
        <v>SR-7816</v>
      </c>
      <c r="H5668" s="2" t="s">
        <v>24740</v>
      </c>
      <c r="I5668" s="2" t="s">
        <v>24741</v>
      </c>
      <c r="K5668" s="2" t="s">
        <v>24742</v>
      </c>
      <c r="L5668" s="2" t="s">
        <v>222</v>
      </c>
      <c r="M5668" s="2">
        <v>91723.0</v>
      </c>
      <c r="N5668" s="2" t="s">
        <v>21</v>
      </c>
    </row>
    <row r="5669" ht="15.75" customHeight="1">
      <c r="A5669" s="2">
        <v>2016.0</v>
      </c>
      <c r="B5669" s="2" t="s">
        <v>24743</v>
      </c>
      <c r="C5669" s="2" t="s">
        <v>24743</v>
      </c>
      <c r="D5669" s="2" t="str">
        <f>"505-206-6038"</f>
        <v>505-206-6038</v>
      </c>
      <c r="E5669" s="2" t="s">
        <v>261</v>
      </c>
      <c r="F5669" s="2" t="s">
        <v>14664</v>
      </c>
      <c r="G5669" s="2" t="str">
        <f>"SR-7808"</f>
        <v>SR-7808</v>
      </c>
      <c r="H5669" s="2" t="s">
        <v>24744</v>
      </c>
      <c r="I5669" s="2" t="s">
        <v>24745</v>
      </c>
      <c r="K5669" s="2" t="s">
        <v>3803</v>
      </c>
      <c r="L5669" s="2" t="s">
        <v>789</v>
      </c>
      <c r="M5669" s="2">
        <v>87144.0</v>
      </c>
      <c r="N5669" s="2" t="s">
        <v>21</v>
      </c>
    </row>
    <row r="5670" ht="15.75" customHeight="1">
      <c r="A5670" s="2">
        <v>2016.0</v>
      </c>
      <c r="B5670" s="2" t="s">
        <v>24746</v>
      </c>
      <c r="C5670" s="2" t="s">
        <v>24747</v>
      </c>
      <c r="D5670" s="2" t="str">
        <f>"6018324306"</f>
        <v>6018324306</v>
      </c>
      <c r="E5670" s="2" t="s">
        <v>2361</v>
      </c>
      <c r="F5670" s="2" t="s">
        <v>24748</v>
      </c>
      <c r="G5670" s="2" t="str">
        <f>"SR-7773"</f>
        <v>SR-7773</v>
      </c>
      <c r="H5670" s="2" t="s">
        <v>24749</v>
      </c>
      <c r="I5670" s="2" t="s">
        <v>24750</v>
      </c>
      <c r="K5670" s="2" t="s">
        <v>1257</v>
      </c>
      <c r="L5670" s="2" t="s">
        <v>1722</v>
      </c>
      <c r="M5670" s="2">
        <v>39202.0</v>
      </c>
      <c r="N5670" s="2" t="s">
        <v>21</v>
      </c>
    </row>
    <row r="5671" ht="15.75" customHeight="1">
      <c r="A5671" s="2">
        <v>2016.0</v>
      </c>
      <c r="B5671" s="2" t="s">
        <v>24751</v>
      </c>
      <c r="C5671" s="2" t="s">
        <v>24752</v>
      </c>
      <c r="D5671" s="2" t="str">
        <f>"4806500951"</f>
        <v>4806500951</v>
      </c>
      <c r="E5671" s="2" t="s">
        <v>830</v>
      </c>
      <c r="F5671" s="2" t="s">
        <v>24753</v>
      </c>
      <c r="G5671" s="2" t="str">
        <f>"SR-7820"</f>
        <v>SR-7820</v>
      </c>
      <c r="H5671" s="2" t="s">
        <v>24754</v>
      </c>
      <c r="I5671" s="2" t="s">
        <v>24755</v>
      </c>
      <c r="K5671" s="2" t="s">
        <v>421</v>
      </c>
      <c r="L5671" s="2" t="s">
        <v>1012</v>
      </c>
      <c r="M5671" s="2">
        <v>85086.0</v>
      </c>
      <c r="N5671" s="2" t="s">
        <v>21</v>
      </c>
    </row>
    <row r="5672" ht="15.75" customHeight="1">
      <c r="A5672" s="2">
        <v>2016.0</v>
      </c>
      <c r="B5672" s="2" t="s">
        <v>24756</v>
      </c>
      <c r="C5672" s="2" t="s">
        <v>24757</v>
      </c>
      <c r="D5672" s="2" t="str">
        <f>"2074064700"</f>
        <v>2074064700</v>
      </c>
      <c r="E5672" s="2" t="s">
        <v>8649</v>
      </c>
      <c r="F5672" s="2" t="s">
        <v>1768</v>
      </c>
      <c r="G5672" s="2" t="str">
        <f>"SR-7818"</f>
        <v>SR-7818</v>
      </c>
      <c r="H5672" s="2" t="s">
        <v>24758</v>
      </c>
      <c r="I5672" s="2" t="s">
        <v>24759</v>
      </c>
      <c r="K5672" s="2" t="s">
        <v>24760</v>
      </c>
      <c r="L5672" s="2" t="s">
        <v>3737</v>
      </c>
      <c r="M5672" s="2">
        <v>4086.0</v>
      </c>
      <c r="N5672" s="2" t="s">
        <v>21</v>
      </c>
    </row>
    <row r="5673" ht="15.75" customHeight="1">
      <c r="A5673" s="2">
        <v>2016.0</v>
      </c>
      <c r="B5673" s="2" t="s">
        <v>24761</v>
      </c>
      <c r="C5673" s="2" t="s">
        <v>24762</v>
      </c>
      <c r="D5673" s="2" t="str">
        <f>"662-488-5891"</f>
        <v>662-488-5891</v>
      </c>
      <c r="E5673" s="2" t="s">
        <v>81</v>
      </c>
      <c r="F5673" s="2" t="s">
        <v>24763</v>
      </c>
      <c r="G5673" s="2" t="str">
        <f>"SR-7319"</f>
        <v>SR-7319</v>
      </c>
      <c r="H5673" s="2" t="s">
        <v>24764</v>
      </c>
      <c r="I5673" s="2" t="s">
        <v>24765</v>
      </c>
      <c r="K5673" s="2" t="s">
        <v>24766</v>
      </c>
      <c r="L5673" s="2" t="s">
        <v>1722</v>
      </c>
      <c r="M5673" s="2">
        <v>38841.0</v>
      </c>
      <c r="N5673" s="2" t="s">
        <v>21</v>
      </c>
    </row>
    <row r="5674" ht="15.75" customHeight="1">
      <c r="A5674" s="2">
        <v>2016.0</v>
      </c>
      <c r="B5674" s="2" t="s">
        <v>24736</v>
      </c>
      <c r="C5674" s="2" t="s">
        <v>24767</v>
      </c>
      <c r="D5674" s="2" t="str">
        <f>"(813) 963-2092"</f>
        <v>(813) 963-2092</v>
      </c>
      <c r="E5674" s="2" t="s">
        <v>22604</v>
      </c>
      <c r="F5674" s="2" t="s">
        <v>17673</v>
      </c>
      <c r="G5674" s="2" t="str">
        <f>"SR-7815"</f>
        <v>SR-7815</v>
      </c>
      <c r="H5674" s="2" t="s">
        <v>24768</v>
      </c>
      <c r="I5674" s="2" t="s">
        <v>24737</v>
      </c>
      <c r="K5674" s="2" t="s">
        <v>3431</v>
      </c>
      <c r="L5674" s="2" t="s">
        <v>208</v>
      </c>
      <c r="M5674" s="2">
        <v>33606.0</v>
      </c>
      <c r="N5674" s="2" t="s">
        <v>21</v>
      </c>
    </row>
    <row r="5675" ht="15.75" customHeight="1">
      <c r="A5675" s="2">
        <v>2016.0</v>
      </c>
      <c r="B5675" s="2" t="s">
        <v>24769</v>
      </c>
      <c r="C5675" s="2" t="s">
        <v>24770</v>
      </c>
      <c r="D5675" s="2" t="str">
        <f>"6233269089"</f>
        <v>6233269089</v>
      </c>
      <c r="E5675" s="2" t="s">
        <v>2412</v>
      </c>
      <c r="F5675" s="2" t="s">
        <v>24771</v>
      </c>
      <c r="G5675" s="2" t="str">
        <f>"SR-7822"</f>
        <v>SR-7822</v>
      </c>
      <c r="H5675" s="2" t="s">
        <v>24772</v>
      </c>
      <c r="I5675" s="2" t="s">
        <v>24773</v>
      </c>
      <c r="K5675" s="2" t="s">
        <v>24774</v>
      </c>
      <c r="L5675" s="2" t="s">
        <v>422</v>
      </c>
      <c r="M5675" s="2">
        <v>85086.0</v>
      </c>
      <c r="N5675" s="2" t="s">
        <v>21</v>
      </c>
    </row>
    <row r="5676" ht="15.75" customHeight="1">
      <c r="A5676" s="2">
        <v>2016.0</v>
      </c>
      <c r="B5676" s="2" t="s">
        <v>24775</v>
      </c>
      <c r="C5676" s="2" t="s">
        <v>24776</v>
      </c>
      <c r="D5676" s="2" t="str">
        <f>"8326285410"</f>
        <v>8326285410</v>
      </c>
      <c r="E5676" s="2" t="s">
        <v>24777</v>
      </c>
      <c r="F5676" s="2" t="s">
        <v>24778</v>
      </c>
      <c r="G5676" s="2" t="str">
        <f>"SR-7826"</f>
        <v>SR-7826</v>
      </c>
      <c r="H5676" s="2" t="s">
        <v>24779</v>
      </c>
      <c r="I5676" s="2" t="s">
        <v>24780</v>
      </c>
      <c r="K5676" s="2" t="s">
        <v>5855</v>
      </c>
      <c r="L5676" s="2" t="s">
        <v>172</v>
      </c>
      <c r="M5676" s="2">
        <v>77379.0</v>
      </c>
      <c r="N5676" s="2" t="s">
        <v>21</v>
      </c>
    </row>
    <row r="5677" ht="15.75" customHeight="1">
      <c r="A5677" s="2">
        <v>2016.0</v>
      </c>
      <c r="B5677" s="2" t="s">
        <v>24781</v>
      </c>
      <c r="C5677" s="2" t="s">
        <v>24781</v>
      </c>
      <c r="D5677" s="2" t="str">
        <f>"505-977-0625"</f>
        <v>505-977-0625</v>
      </c>
      <c r="E5677" s="2" t="s">
        <v>6294</v>
      </c>
      <c r="F5677" s="2" t="s">
        <v>24782</v>
      </c>
      <c r="G5677" s="2" t="str">
        <f>"SR-7787"</f>
        <v>SR-7787</v>
      </c>
      <c r="H5677" s="2" t="s">
        <v>24783</v>
      </c>
      <c r="I5677" s="2" t="s">
        <v>24784</v>
      </c>
      <c r="K5677" s="2" t="s">
        <v>24785</v>
      </c>
      <c r="L5677" s="2" t="s">
        <v>789</v>
      </c>
      <c r="M5677" s="2">
        <v>87016.0</v>
      </c>
      <c r="N5677" s="2" t="s">
        <v>21</v>
      </c>
    </row>
    <row r="5678" ht="15.75" customHeight="1">
      <c r="A5678" s="2">
        <v>2016.0</v>
      </c>
      <c r="B5678" s="2" t="s">
        <v>24786</v>
      </c>
      <c r="C5678" s="2" t="s">
        <v>24786</v>
      </c>
      <c r="D5678" s="2" t="str">
        <f>"9317970075"</f>
        <v>9317970075</v>
      </c>
      <c r="E5678" s="2" t="s">
        <v>485</v>
      </c>
      <c r="F5678" s="2" t="s">
        <v>24787</v>
      </c>
      <c r="G5678" s="2" t="str">
        <f>"SR-7400"</f>
        <v>SR-7400</v>
      </c>
      <c r="H5678" s="2" t="s">
        <v>24788</v>
      </c>
      <c r="I5678" s="2" t="s">
        <v>24789</v>
      </c>
      <c r="K5678" s="2" t="s">
        <v>24415</v>
      </c>
      <c r="L5678" s="2" t="s">
        <v>279</v>
      </c>
      <c r="M5678" s="2">
        <v>38451.0</v>
      </c>
      <c r="N5678" s="2" t="s">
        <v>21</v>
      </c>
    </row>
    <row r="5679" ht="15.75" customHeight="1">
      <c r="A5679" s="2">
        <v>2016.0</v>
      </c>
      <c r="B5679" s="2" t="s">
        <v>24790</v>
      </c>
      <c r="C5679" s="2" t="s">
        <v>24791</v>
      </c>
      <c r="D5679" s="2" t="str">
        <f>"(979)571-2331"</f>
        <v>(979)571-2331</v>
      </c>
      <c r="E5679" s="2" t="s">
        <v>908</v>
      </c>
      <c r="F5679" s="2" t="s">
        <v>19377</v>
      </c>
      <c r="G5679" s="2" t="str">
        <f>"SR-7660"</f>
        <v>SR-7660</v>
      </c>
      <c r="H5679" s="2" t="s">
        <v>24792</v>
      </c>
      <c r="I5679" s="2" t="s">
        <v>24793</v>
      </c>
      <c r="K5679" s="2" t="s">
        <v>2969</v>
      </c>
      <c r="L5679" s="2" t="s">
        <v>172</v>
      </c>
      <c r="M5679" s="2">
        <v>77845.0</v>
      </c>
      <c r="N5679" s="2" t="s">
        <v>21</v>
      </c>
    </row>
    <row r="5680" ht="15.75" customHeight="1">
      <c r="A5680" s="2">
        <v>2016.0</v>
      </c>
      <c r="B5680" s="2" t="s">
        <v>24794</v>
      </c>
      <c r="C5680" s="2" t="s">
        <v>24795</v>
      </c>
      <c r="D5680" s="2" t="str">
        <f>"7154567069"</f>
        <v>7154567069</v>
      </c>
      <c r="E5680" s="2" t="s">
        <v>4604</v>
      </c>
      <c r="F5680" s="2" t="s">
        <v>24796</v>
      </c>
      <c r="G5680" s="2" t="str">
        <f>"SR-7824"</f>
        <v>SR-7824</v>
      </c>
      <c r="H5680" s="2" t="s">
        <v>24797</v>
      </c>
      <c r="I5680" s="2" t="s">
        <v>24798</v>
      </c>
      <c r="K5680" s="2" t="s">
        <v>9967</v>
      </c>
      <c r="L5680" s="2" t="s">
        <v>193</v>
      </c>
      <c r="M5680" s="2">
        <v>54701.0</v>
      </c>
      <c r="N5680" s="2" t="s">
        <v>21</v>
      </c>
    </row>
    <row r="5681" ht="15.75" customHeight="1">
      <c r="A5681" s="2">
        <v>2016.0</v>
      </c>
      <c r="B5681" s="2" t="s">
        <v>24799</v>
      </c>
      <c r="C5681" s="2" t="s">
        <v>24800</v>
      </c>
      <c r="D5681" s="2" t="str">
        <f>"907-338-7556"</f>
        <v>907-338-7556</v>
      </c>
      <c r="E5681" s="2" t="s">
        <v>50</v>
      </c>
      <c r="F5681" s="2" t="s">
        <v>4773</v>
      </c>
      <c r="G5681" s="2" t="str">
        <f>"SR-7835"</f>
        <v>SR-7835</v>
      </c>
      <c r="H5681" s="2" t="s">
        <v>24801</v>
      </c>
      <c r="I5681" s="2" t="s">
        <v>24802</v>
      </c>
      <c r="K5681" s="2" t="s">
        <v>69</v>
      </c>
      <c r="L5681" s="2" t="s">
        <v>70</v>
      </c>
      <c r="M5681" s="2">
        <v>99504.0</v>
      </c>
      <c r="N5681" s="2" t="s">
        <v>21</v>
      </c>
    </row>
    <row r="5682" ht="15.75" customHeight="1">
      <c r="A5682" s="2">
        <v>2016.0</v>
      </c>
      <c r="B5682" s="2" t="s">
        <v>24803</v>
      </c>
      <c r="C5682" s="2" t="s">
        <v>24804</v>
      </c>
      <c r="D5682" s="2" t="str">
        <f>"9192950794"</f>
        <v>9192950794</v>
      </c>
      <c r="E5682" s="2" t="s">
        <v>6381</v>
      </c>
      <c r="F5682" s="2" t="s">
        <v>24805</v>
      </c>
      <c r="G5682" s="2" t="str">
        <f>"SR-7836"</f>
        <v>SR-7836</v>
      </c>
      <c r="H5682" s="2" t="s">
        <v>24806</v>
      </c>
      <c r="I5682" s="2" t="s">
        <v>24807</v>
      </c>
      <c r="K5682" s="2" t="s">
        <v>2378</v>
      </c>
      <c r="L5682" s="2" t="s">
        <v>20</v>
      </c>
      <c r="M5682" s="2">
        <v>27527.0</v>
      </c>
      <c r="N5682" s="2" t="s">
        <v>21</v>
      </c>
    </row>
    <row r="5683" ht="15.75" customHeight="1">
      <c r="A5683" s="2">
        <v>2016.0</v>
      </c>
      <c r="B5683" s="2" t="s">
        <v>24808</v>
      </c>
      <c r="C5683" s="2" t="s">
        <v>24808</v>
      </c>
      <c r="D5683" s="2" t="str">
        <f>"614850983"</f>
        <v>614850983</v>
      </c>
      <c r="E5683" s="2" t="s">
        <v>503</v>
      </c>
      <c r="F5683" s="2" t="s">
        <v>5637</v>
      </c>
      <c r="G5683" s="2" t="str">
        <f>"SR-7842"</f>
        <v>SR-7842</v>
      </c>
      <c r="H5683" s="2" t="s">
        <v>24809</v>
      </c>
      <c r="I5683" s="2" t="s">
        <v>24810</v>
      </c>
      <c r="K5683" s="2" t="s">
        <v>9766</v>
      </c>
      <c r="L5683" s="2" t="s">
        <v>344</v>
      </c>
      <c r="M5683" s="2">
        <v>43119.0</v>
      </c>
      <c r="N5683" s="2" t="s">
        <v>21</v>
      </c>
    </row>
    <row r="5684" ht="15.75" customHeight="1">
      <c r="A5684" s="2">
        <v>2016.0</v>
      </c>
      <c r="B5684" s="2" t="s">
        <v>24811</v>
      </c>
      <c r="C5684" s="2" t="s">
        <v>24811</v>
      </c>
      <c r="D5684" s="2" t="str">
        <f>"9162131210"</f>
        <v>9162131210</v>
      </c>
      <c r="E5684" s="2" t="s">
        <v>24812</v>
      </c>
      <c r="F5684" s="2" t="s">
        <v>24813</v>
      </c>
      <c r="G5684" s="2" t="str">
        <f>"SR-7843"</f>
        <v>SR-7843</v>
      </c>
      <c r="H5684" s="2" t="s">
        <v>24814</v>
      </c>
      <c r="I5684" s="2" t="s">
        <v>24815</v>
      </c>
      <c r="K5684" s="2" t="s">
        <v>24816</v>
      </c>
      <c r="L5684" s="2" t="s">
        <v>222</v>
      </c>
      <c r="M5684" s="2">
        <v>95605.0</v>
      </c>
      <c r="N5684" s="2" t="s">
        <v>21</v>
      </c>
    </row>
    <row r="5685" ht="15.75" customHeight="1">
      <c r="A5685" s="2">
        <v>2016.0</v>
      </c>
      <c r="B5685" s="2" t="s">
        <v>24817</v>
      </c>
      <c r="C5685" s="2" t="s">
        <v>24817</v>
      </c>
      <c r="D5685" s="2" t="str">
        <f>"(317) 319-1927"</f>
        <v>(317) 319-1927</v>
      </c>
      <c r="E5685" s="2" t="s">
        <v>301</v>
      </c>
      <c r="F5685" s="2" t="s">
        <v>24818</v>
      </c>
      <c r="G5685" s="2" t="str">
        <f>"SR-7847"</f>
        <v>SR-7847</v>
      </c>
      <c r="H5685" s="2" t="s">
        <v>24819</v>
      </c>
      <c r="I5685" s="2" t="s">
        <v>24820</v>
      </c>
      <c r="K5685" s="2" t="s">
        <v>1188</v>
      </c>
      <c r="L5685" s="2" t="s">
        <v>149</v>
      </c>
      <c r="M5685" s="2">
        <v>46260.0</v>
      </c>
      <c r="N5685" s="2" t="s">
        <v>21</v>
      </c>
    </row>
    <row r="5686" ht="15.75" customHeight="1">
      <c r="A5686" s="2">
        <v>2016.0</v>
      </c>
      <c r="B5686" s="2" t="s">
        <v>24607</v>
      </c>
      <c r="C5686" s="2" t="s">
        <v>24821</v>
      </c>
      <c r="D5686" s="2" t="str">
        <f>"8094825407"</f>
        <v>8094825407</v>
      </c>
      <c r="E5686" s="2" t="s">
        <v>17850</v>
      </c>
      <c r="F5686" s="2" t="s">
        <v>24822</v>
      </c>
      <c r="G5686" s="2" t="str">
        <f>"SR-7775"</f>
        <v>SR-7775</v>
      </c>
      <c r="H5686" s="2" t="s">
        <v>24823</v>
      </c>
      <c r="I5686" s="2" t="s">
        <v>24661</v>
      </c>
      <c r="K5686" s="2" t="s">
        <v>24614</v>
      </c>
      <c r="M5686" s="2">
        <v>0.0</v>
      </c>
      <c r="N5686" s="2" t="s">
        <v>24616</v>
      </c>
    </row>
    <row r="5687" ht="15.75" customHeight="1">
      <c r="A5687" s="2">
        <v>2016.0</v>
      </c>
      <c r="B5687" s="2" t="s">
        <v>24824</v>
      </c>
      <c r="C5687" s="2" t="s">
        <v>24824</v>
      </c>
      <c r="D5687" s="2" t="str">
        <f>"5017731506"</f>
        <v>5017731506</v>
      </c>
      <c r="E5687" s="2" t="s">
        <v>1548</v>
      </c>
      <c r="F5687" s="2" t="s">
        <v>5414</v>
      </c>
      <c r="G5687" s="2" t="str">
        <f>"SR-7848"</f>
        <v>SR-7848</v>
      </c>
      <c r="H5687" s="2" t="s">
        <v>24825</v>
      </c>
      <c r="I5687" s="2" t="s">
        <v>24826</v>
      </c>
      <c r="K5687" s="2" t="s">
        <v>11971</v>
      </c>
      <c r="L5687" s="2" t="s">
        <v>1012</v>
      </c>
      <c r="M5687" s="2">
        <v>72135.0</v>
      </c>
      <c r="N5687" s="2" t="s">
        <v>21</v>
      </c>
    </row>
    <row r="5688" ht="15.75" customHeight="1">
      <c r="A5688" s="2">
        <v>2016.0</v>
      </c>
      <c r="B5688" s="2" t="s">
        <v>24827</v>
      </c>
      <c r="C5688" s="2" t="s">
        <v>24828</v>
      </c>
      <c r="D5688" s="2" t="str">
        <f>"19517645258"</f>
        <v>19517645258</v>
      </c>
      <c r="E5688" s="2" t="s">
        <v>24829</v>
      </c>
      <c r="F5688" s="2" t="s">
        <v>1151</v>
      </c>
      <c r="G5688" s="2" t="str">
        <f>"SR-7735"</f>
        <v>SR-7735</v>
      </c>
      <c r="H5688" s="2" t="s">
        <v>24830</v>
      </c>
      <c r="I5688" s="2" t="s">
        <v>24831</v>
      </c>
      <c r="K5688" s="2" t="s">
        <v>24832</v>
      </c>
      <c r="L5688" s="2" t="s">
        <v>222</v>
      </c>
      <c r="M5688" s="2">
        <v>90303.0</v>
      </c>
      <c r="N5688" s="2" t="s">
        <v>21</v>
      </c>
    </row>
    <row r="5689" ht="15.75" customHeight="1">
      <c r="A5689" s="2">
        <v>2016.0</v>
      </c>
      <c r="B5689" s="2" t="s">
        <v>24833</v>
      </c>
      <c r="C5689" s="2" t="s">
        <v>24834</v>
      </c>
      <c r="D5689" s="2" t="str">
        <f>"9797777319"</f>
        <v>9797777319</v>
      </c>
      <c r="E5689" s="2" t="s">
        <v>938</v>
      </c>
      <c r="F5689" s="2" t="s">
        <v>2147</v>
      </c>
      <c r="G5689" s="2" t="str">
        <f>"SR-7814"</f>
        <v>SR-7814</v>
      </c>
      <c r="H5689" s="2" t="s">
        <v>24835</v>
      </c>
      <c r="I5689" s="2" t="s">
        <v>24836</v>
      </c>
      <c r="K5689" s="2" t="s">
        <v>2969</v>
      </c>
      <c r="L5689" s="2" t="s">
        <v>172</v>
      </c>
      <c r="M5689" s="2">
        <v>77845.0</v>
      </c>
      <c r="N5689" s="2" t="s">
        <v>21</v>
      </c>
    </row>
    <row r="5690" ht="15.75" customHeight="1">
      <c r="A5690" s="2">
        <v>2016.0</v>
      </c>
      <c r="B5690" s="2" t="s">
        <v>24837</v>
      </c>
      <c r="C5690" s="2" t="s">
        <v>24838</v>
      </c>
      <c r="D5690" s="2" t="str">
        <f>"616-552-2470"</f>
        <v>616-552-2470</v>
      </c>
      <c r="E5690" s="2" t="s">
        <v>824</v>
      </c>
      <c r="F5690" s="2" t="s">
        <v>19703</v>
      </c>
      <c r="G5690" s="2" t="str">
        <f>"SR-7853"</f>
        <v>SR-7853</v>
      </c>
      <c r="H5690" s="2" t="s">
        <v>24839</v>
      </c>
      <c r="I5690" s="2" t="s">
        <v>24840</v>
      </c>
      <c r="K5690" s="2" t="s">
        <v>382</v>
      </c>
      <c r="L5690" s="2" t="s">
        <v>29</v>
      </c>
      <c r="M5690" s="2">
        <v>49341.0</v>
      </c>
      <c r="N5690" s="2" t="s">
        <v>21</v>
      </c>
    </row>
    <row r="5691" ht="15.75" customHeight="1">
      <c r="A5691" s="2">
        <v>2016.0</v>
      </c>
      <c r="B5691" s="2" t="s">
        <v>7101</v>
      </c>
      <c r="C5691" s="2" t="s">
        <v>24841</v>
      </c>
      <c r="D5691" s="2" t="str">
        <f>"719-495-6503"</f>
        <v>719-495-6503</v>
      </c>
      <c r="E5691" s="2" t="s">
        <v>1799</v>
      </c>
      <c r="F5691" s="2" t="s">
        <v>7102</v>
      </c>
      <c r="G5691" s="2" t="str">
        <f>"SR-7856"</f>
        <v>SR-7856</v>
      </c>
      <c r="H5691" s="2" t="s">
        <v>24842</v>
      </c>
      <c r="I5691" s="2" t="s">
        <v>24843</v>
      </c>
      <c r="K5691" s="2" t="s">
        <v>312</v>
      </c>
      <c r="L5691" s="2" t="s">
        <v>157</v>
      </c>
      <c r="M5691" s="2">
        <v>80106.0</v>
      </c>
      <c r="N5691" s="2" t="s">
        <v>21</v>
      </c>
    </row>
    <row r="5692" ht="15.75" customHeight="1">
      <c r="A5692" s="2">
        <v>2016.0</v>
      </c>
      <c r="B5692" s="2" t="s">
        <v>24844</v>
      </c>
      <c r="C5692" s="2" t="s">
        <v>24845</v>
      </c>
      <c r="D5692" s="2" t="str">
        <f>"319.290.6875"</f>
        <v>319.290.6875</v>
      </c>
      <c r="E5692" s="2" t="s">
        <v>24846</v>
      </c>
      <c r="F5692" s="2" t="s">
        <v>6884</v>
      </c>
      <c r="G5692" s="2" t="str">
        <f>"SR-7713"</f>
        <v>SR-7713</v>
      </c>
      <c r="H5692" s="2" t="s">
        <v>24847</v>
      </c>
      <c r="I5692" s="2" t="s">
        <v>24848</v>
      </c>
      <c r="K5692" s="2" t="s">
        <v>13967</v>
      </c>
      <c r="L5692" s="2" t="s">
        <v>560</v>
      </c>
      <c r="M5692" s="2">
        <v>50702.0</v>
      </c>
      <c r="N5692" s="2" t="s">
        <v>21</v>
      </c>
    </row>
    <row r="5693" ht="15.75" customHeight="1">
      <c r="A5693" s="2">
        <v>2016.0</v>
      </c>
      <c r="B5693" s="2" t="s">
        <v>24849</v>
      </c>
      <c r="C5693" s="2" t="s">
        <v>24850</v>
      </c>
      <c r="D5693" s="2" t="str">
        <f>"636-542-1031"</f>
        <v>636-542-1031</v>
      </c>
      <c r="E5693" s="2" t="s">
        <v>4637</v>
      </c>
      <c r="F5693" s="2" t="s">
        <v>12676</v>
      </c>
      <c r="G5693" s="2" t="str">
        <f>"SR-7831"</f>
        <v>SR-7831</v>
      </c>
      <c r="H5693" s="2" t="s">
        <v>24851</v>
      </c>
      <c r="I5693" s="2" t="s">
        <v>24852</v>
      </c>
      <c r="K5693" s="2" t="s">
        <v>24853</v>
      </c>
      <c r="L5693" s="2" t="s">
        <v>214</v>
      </c>
      <c r="M5693" s="2">
        <v>63366.0</v>
      </c>
      <c r="N5693" s="2" t="s">
        <v>21</v>
      </c>
    </row>
    <row r="5694" ht="15.75" customHeight="1">
      <c r="A5694" s="2">
        <v>2016.0</v>
      </c>
      <c r="B5694" s="2" t="s">
        <v>24854</v>
      </c>
      <c r="C5694" s="2" t="s">
        <v>24855</v>
      </c>
      <c r="D5694" s="2" t="str">
        <f>"6036739771"</f>
        <v>6036739771</v>
      </c>
      <c r="E5694" s="2" t="s">
        <v>19884</v>
      </c>
      <c r="F5694" s="2" t="s">
        <v>24856</v>
      </c>
      <c r="G5694" s="2" t="str">
        <f>"SR-7799"</f>
        <v>SR-7799</v>
      </c>
      <c r="H5694" s="2" t="s">
        <v>24857</v>
      </c>
      <c r="I5694" s="2" t="s">
        <v>24858</v>
      </c>
      <c r="K5694" s="2" t="s">
        <v>3141</v>
      </c>
      <c r="L5694" s="2" t="s">
        <v>19930</v>
      </c>
      <c r="M5694" s="2">
        <v>3055.0</v>
      </c>
      <c r="N5694" s="2" t="s">
        <v>21</v>
      </c>
    </row>
    <row r="5695" ht="15.75" customHeight="1">
      <c r="A5695" s="2">
        <v>2016.0</v>
      </c>
      <c r="B5695" s="2" t="s">
        <v>24859</v>
      </c>
      <c r="C5695" s="2" t="s">
        <v>24860</v>
      </c>
      <c r="D5695" s="2" t="str">
        <f>"260-432-0517"</f>
        <v>260-432-0517</v>
      </c>
      <c r="E5695" s="2" t="s">
        <v>13027</v>
      </c>
      <c r="F5695" s="2" t="s">
        <v>6760</v>
      </c>
      <c r="G5695" s="2" t="str">
        <f>"SR-7807"</f>
        <v>SR-7807</v>
      </c>
      <c r="H5695" s="2" t="s">
        <v>24861</v>
      </c>
      <c r="I5695" s="2" t="s">
        <v>24862</v>
      </c>
      <c r="K5695" s="2" t="s">
        <v>24863</v>
      </c>
      <c r="L5695" s="2" t="s">
        <v>149</v>
      </c>
      <c r="M5695" s="2">
        <v>46562.0</v>
      </c>
      <c r="N5695" s="2" t="s">
        <v>21</v>
      </c>
    </row>
    <row r="5696" ht="15.75" customHeight="1">
      <c r="A5696" s="2">
        <v>2016.0</v>
      </c>
      <c r="B5696" s="2" t="s">
        <v>24864</v>
      </c>
      <c r="C5696" s="2" t="s">
        <v>24865</v>
      </c>
      <c r="D5696" s="2" t="str">
        <f>"4409990244"</f>
        <v>4409990244</v>
      </c>
      <c r="E5696" s="2" t="s">
        <v>824</v>
      </c>
      <c r="F5696" s="2" t="s">
        <v>17743</v>
      </c>
      <c r="G5696" s="2" t="str">
        <f>"SR-7821"</f>
        <v>SR-7821</v>
      </c>
      <c r="H5696" s="2" t="s">
        <v>24866</v>
      </c>
      <c r="I5696" s="2" t="s">
        <v>17745</v>
      </c>
      <c r="K5696" s="2" t="s">
        <v>17746</v>
      </c>
      <c r="L5696" s="2" t="s">
        <v>344</v>
      </c>
      <c r="M5696" s="2">
        <v>44065.0</v>
      </c>
      <c r="N5696" s="2" t="s">
        <v>21</v>
      </c>
    </row>
    <row r="5697" ht="15.75" customHeight="1">
      <c r="A5697" s="2">
        <v>2016.0</v>
      </c>
      <c r="B5697" s="2" t="s">
        <v>24867</v>
      </c>
      <c r="C5697" s="2" t="s">
        <v>24868</v>
      </c>
      <c r="D5697" s="2" t="str">
        <f>"5017339044"</f>
        <v>5017339044</v>
      </c>
      <c r="E5697" s="2" t="s">
        <v>428</v>
      </c>
      <c r="F5697" s="2" t="s">
        <v>24869</v>
      </c>
      <c r="G5697" s="2" t="str">
        <f>"SR-7861"</f>
        <v>SR-7861</v>
      </c>
      <c r="H5697" s="2" t="s">
        <v>24870</v>
      </c>
      <c r="I5697" s="2" t="s">
        <v>24871</v>
      </c>
      <c r="K5697" s="2" t="s">
        <v>24872</v>
      </c>
      <c r="L5697" s="2" t="s">
        <v>1012</v>
      </c>
      <c r="M5697" s="2">
        <v>72058.0</v>
      </c>
      <c r="N5697" s="2" t="s">
        <v>21</v>
      </c>
    </row>
    <row r="5698" ht="15.75" customHeight="1">
      <c r="A5698" s="2">
        <v>2016.0</v>
      </c>
      <c r="B5698" s="2" t="s">
        <v>24873</v>
      </c>
      <c r="C5698" s="2" t="s">
        <v>24874</v>
      </c>
      <c r="D5698" s="2" t="str">
        <f>"910-638-3185"</f>
        <v>910-638-3185</v>
      </c>
      <c r="E5698" s="2" t="s">
        <v>3342</v>
      </c>
      <c r="F5698" s="2" t="s">
        <v>24875</v>
      </c>
      <c r="G5698" s="2" t="str">
        <f>"SR-7520"</f>
        <v>SR-7520</v>
      </c>
      <c r="H5698" s="2" t="s">
        <v>24876</v>
      </c>
      <c r="I5698" s="2" t="s">
        <v>24877</v>
      </c>
      <c r="K5698" s="2" t="s">
        <v>20166</v>
      </c>
      <c r="L5698" s="2" t="s">
        <v>20</v>
      </c>
      <c r="M5698" s="2">
        <v>28327.0</v>
      </c>
      <c r="N5698" s="2" t="s">
        <v>21</v>
      </c>
    </row>
    <row r="5699" ht="15.75" customHeight="1">
      <c r="A5699" s="2">
        <v>2016.0</v>
      </c>
      <c r="B5699" s="2" t="s">
        <v>24878</v>
      </c>
      <c r="C5699" s="2" t="s">
        <v>24879</v>
      </c>
      <c r="D5699" s="2" t="str">
        <f>"4804157914"</f>
        <v>4804157914</v>
      </c>
      <c r="E5699" s="2" t="s">
        <v>1263</v>
      </c>
      <c r="F5699" s="2" t="s">
        <v>6583</v>
      </c>
      <c r="G5699" s="2" t="str">
        <f>"SR-7862"</f>
        <v>SR-7862</v>
      </c>
      <c r="H5699" s="2" t="s">
        <v>24880</v>
      </c>
      <c r="I5699" s="2" t="s">
        <v>24881</v>
      </c>
      <c r="K5699" s="2" t="s">
        <v>4675</v>
      </c>
      <c r="L5699" s="2" t="s">
        <v>422</v>
      </c>
      <c r="M5699" s="2">
        <v>85233.0</v>
      </c>
      <c r="N5699" s="2" t="s">
        <v>21</v>
      </c>
    </row>
    <row r="5700" ht="15.75" customHeight="1">
      <c r="A5700" s="2">
        <v>2016.0</v>
      </c>
      <c r="B5700" s="2" t="s">
        <v>24882</v>
      </c>
      <c r="C5700" s="2" t="s">
        <v>24883</v>
      </c>
      <c r="D5700" s="2" t="str">
        <f>"5305929845"</f>
        <v>5305929845</v>
      </c>
      <c r="E5700" s="2" t="s">
        <v>15872</v>
      </c>
      <c r="F5700" s="2" t="s">
        <v>9463</v>
      </c>
      <c r="G5700" s="2" t="str">
        <f>"SR-7863"</f>
        <v>SR-7863</v>
      </c>
      <c r="H5700" s="2" t="s">
        <v>24884</v>
      </c>
      <c r="I5700" s="2" t="s">
        <v>24885</v>
      </c>
      <c r="K5700" s="2" t="s">
        <v>8437</v>
      </c>
      <c r="L5700" s="2" t="s">
        <v>222</v>
      </c>
      <c r="M5700" s="2">
        <v>95969.0</v>
      </c>
      <c r="N5700" s="2" t="s">
        <v>21</v>
      </c>
    </row>
    <row r="5701" ht="15.75" customHeight="1">
      <c r="A5701" s="2">
        <v>2016.0</v>
      </c>
      <c r="B5701" s="2" t="s">
        <v>24886</v>
      </c>
      <c r="C5701" s="2" t="s">
        <v>24887</v>
      </c>
      <c r="D5701" s="2" t="str">
        <f>"7636894113"</f>
        <v>7636894113</v>
      </c>
      <c r="E5701" s="2" t="s">
        <v>1263</v>
      </c>
      <c r="F5701" s="2" t="s">
        <v>24888</v>
      </c>
      <c r="G5701" s="2" t="str">
        <f>"SR-7865"</f>
        <v>SR-7865</v>
      </c>
      <c r="H5701" s="2" t="s">
        <v>24889</v>
      </c>
      <c r="I5701" s="2" t="s">
        <v>24890</v>
      </c>
      <c r="K5701" s="2" t="s">
        <v>3420</v>
      </c>
      <c r="L5701" s="2" t="s">
        <v>62</v>
      </c>
      <c r="M5701" s="2">
        <v>55008.0</v>
      </c>
      <c r="N5701" s="2" t="s">
        <v>21</v>
      </c>
    </row>
    <row r="5702" ht="15.75" customHeight="1">
      <c r="A5702" s="2">
        <v>2016.0</v>
      </c>
      <c r="B5702" s="2" t="s">
        <v>24891</v>
      </c>
      <c r="C5702" s="2" t="s">
        <v>24891</v>
      </c>
      <c r="D5702" s="2" t="str">
        <f>"319-929-3398"</f>
        <v>319-929-3398</v>
      </c>
      <c r="E5702" s="2" t="s">
        <v>2147</v>
      </c>
      <c r="F5702" s="2" t="s">
        <v>24892</v>
      </c>
      <c r="G5702" s="2" t="str">
        <f>"SR-7866"</f>
        <v>SR-7866</v>
      </c>
      <c r="H5702" s="2" t="s">
        <v>24893</v>
      </c>
      <c r="I5702" s="2" t="s">
        <v>24894</v>
      </c>
      <c r="K5702" s="2" t="s">
        <v>3273</v>
      </c>
      <c r="L5702" s="2" t="s">
        <v>560</v>
      </c>
      <c r="M5702" s="2">
        <v>52405.0</v>
      </c>
      <c r="N5702" s="2" t="s">
        <v>21</v>
      </c>
    </row>
    <row r="5703" ht="15.75" customHeight="1">
      <c r="A5703" s="2">
        <v>2016.0</v>
      </c>
      <c r="B5703" s="2" t="s">
        <v>5418</v>
      </c>
      <c r="C5703" s="2" t="s">
        <v>24895</v>
      </c>
      <c r="D5703" s="2" t="str">
        <f>"6154414734"</f>
        <v>6154414734</v>
      </c>
      <c r="E5703" s="2" t="s">
        <v>678</v>
      </c>
      <c r="F5703" s="2" t="s">
        <v>1859</v>
      </c>
      <c r="G5703" s="2" t="str">
        <f>"SR-7559"</f>
        <v>SR-7559</v>
      </c>
      <c r="H5703" s="2" t="s">
        <v>24896</v>
      </c>
      <c r="I5703" s="2" t="s">
        <v>5422</v>
      </c>
      <c r="K5703" s="2" t="s">
        <v>3286</v>
      </c>
      <c r="L5703" s="2" t="s">
        <v>279</v>
      </c>
      <c r="M5703" s="2">
        <v>37055.0</v>
      </c>
      <c r="N5703" s="2" t="s">
        <v>21</v>
      </c>
    </row>
    <row r="5704" ht="15.75" customHeight="1">
      <c r="A5704" s="2">
        <v>2016.0</v>
      </c>
      <c r="B5704" s="2" t="s">
        <v>15565</v>
      </c>
      <c r="C5704" s="2" t="s">
        <v>15566</v>
      </c>
      <c r="D5704" s="2" t="str">
        <f>"2102740629"</f>
        <v>2102740629</v>
      </c>
      <c r="E5704" s="2" t="s">
        <v>3888</v>
      </c>
      <c r="F5704" s="2" t="s">
        <v>15567</v>
      </c>
      <c r="G5704" s="2" t="str">
        <f>"SR-4564"</f>
        <v>SR-4564</v>
      </c>
      <c r="H5704" s="2" t="s">
        <v>15568</v>
      </c>
      <c r="I5704" s="2" t="s">
        <v>15569</v>
      </c>
      <c r="K5704" s="2" t="s">
        <v>632</v>
      </c>
      <c r="L5704" s="2" t="s">
        <v>172</v>
      </c>
      <c r="M5704" s="2">
        <v>78232.0</v>
      </c>
      <c r="N5704" s="2" t="s">
        <v>21</v>
      </c>
    </row>
    <row r="5705" ht="15.75" customHeight="1">
      <c r="A5705" s="2">
        <v>2016.0</v>
      </c>
      <c r="B5705" s="2" t="s">
        <v>24897</v>
      </c>
      <c r="C5705" s="2" t="s">
        <v>24898</v>
      </c>
      <c r="D5705" s="2" t="str">
        <f>"515-835-1127"</f>
        <v>515-835-1127</v>
      </c>
      <c r="E5705" s="2" t="s">
        <v>5542</v>
      </c>
      <c r="F5705" s="2" t="s">
        <v>24899</v>
      </c>
      <c r="G5705" s="2" t="str">
        <f>"SR-7875"</f>
        <v>SR-7875</v>
      </c>
      <c r="H5705" s="2" t="s">
        <v>24900</v>
      </c>
      <c r="I5705" s="2" t="s">
        <v>24901</v>
      </c>
      <c r="K5705" s="2" t="s">
        <v>14680</v>
      </c>
      <c r="L5705" s="2" t="s">
        <v>560</v>
      </c>
      <c r="M5705" s="2">
        <v>50595.0</v>
      </c>
      <c r="N5705" s="2" t="s">
        <v>21</v>
      </c>
    </row>
    <row r="5706" ht="15.75" customHeight="1">
      <c r="A5706" s="2">
        <v>2016.0</v>
      </c>
      <c r="B5706" s="2" t="s">
        <v>2535</v>
      </c>
      <c r="C5706" s="2" t="s">
        <v>24902</v>
      </c>
      <c r="D5706" s="2" t="str">
        <f>"248-573-5300"</f>
        <v>248-573-5300</v>
      </c>
      <c r="E5706" s="2" t="s">
        <v>24903</v>
      </c>
      <c r="F5706" s="2" t="s">
        <v>2537</v>
      </c>
      <c r="G5706" s="2" t="str">
        <f>"SR-7878"</f>
        <v>SR-7878</v>
      </c>
      <c r="H5706" s="2" t="s">
        <v>24904</v>
      </c>
      <c r="I5706" s="2" t="s">
        <v>2539</v>
      </c>
      <c r="K5706" s="2" t="s">
        <v>2540</v>
      </c>
      <c r="L5706" s="2" t="s">
        <v>29</v>
      </c>
      <c r="M5706" s="2">
        <v>48178.0</v>
      </c>
      <c r="N5706" s="2" t="s">
        <v>21</v>
      </c>
    </row>
    <row r="5707" ht="15.75" customHeight="1">
      <c r="A5707" s="2">
        <v>2016.0</v>
      </c>
      <c r="B5707" s="2" t="s">
        <v>24905</v>
      </c>
      <c r="C5707" s="2" t="s">
        <v>21582</v>
      </c>
      <c r="D5707" s="2" t="str">
        <f>"719-520-1687"</f>
        <v>719-520-1687</v>
      </c>
      <c r="E5707" s="2" t="s">
        <v>2852</v>
      </c>
      <c r="F5707" s="2" t="s">
        <v>2598</v>
      </c>
      <c r="G5707" s="2" t="str">
        <f>"SR-7879"</f>
        <v>SR-7879</v>
      </c>
      <c r="H5707" s="2" t="s">
        <v>21583</v>
      </c>
      <c r="I5707" s="2" t="s">
        <v>21584</v>
      </c>
      <c r="K5707" s="2" t="s">
        <v>809</v>
      </c>
      <c r="L5707" s="2" t="s">
        <v>157</v>
      </c>
      <c r="M5707" s="2">
        <v>80906.0</v>
      </c>
      <c r="N5707" s="2" t="s">
        <v>21</v>
      </c>
    </row>
    <row r="5708" ht="15.75" customHeight="1">
      <c r="A5708" s="2">
        <v>2016.0</v>
      </c>
      <c r="B5708" s="2" t="s">
        <v>24906</v>
      </c>
      <c r="C5708" s="2" t="s">
        <v>24907</v>
      </c>
      <c r="D5708" s="2" t="str">
        <f>"8179239460"</f>
        <v>8179239460</v>
      </c>
      <c r="E5708" s="2" t="s">
        <v>6381</v>
      </c>
      <c r="F5708" s="2" t="s">
        <v>24908</v>
      </c>
      <c r="G5708" s="2" t="str">
        <f>"SR-7797"</f>
        <v>SR-7797</v>
      </c>
      <c r="H5708" s="2" t="s">
        <v>24909</v>
      </c>
      <c r="I5708" s="2" t="s">
        <v>24910</v>
      </c>
      <c r="K5708" s="2" t="s">
        <v>1260</v>
      </c>
      <c r="L5708" s="2" t="s">
        <v>172</v>
      </c>
      <c r="M5708" s="2">
        <v>76132.0</v>
      </c>
      <c r="N5708" s="2" t="s">
        <v>21</v>
      </c>
    </row>
    <row r="5709" ht="15.75" customHeight="1">
      <c r="A5709" s="2">
        <v>2016.0</v>
      </c>
      <c r="B5709" s="2" t="s">
        <v>24911</v>
      </c>
      <c r="C5709" s="2" t="s">
        <v>24911</v>
      </c>
      <c r="D5709" s="2" t="str">
        <f>"515-835-2530"</f>
        <v>515-835-2530</v>
      </c>
      <c r="E5709" s="2" t="s">
        <v>5542</v>
      </c>
      <c r="F5709" s="2" t="s">
        <v>24912</v>
      </c>
      <c r="G5709" s="2" t="str">
        <f>"SR-7870"</f>
        <v>SR-7870</v>
      </c>
      <c r="H5709" s="2" t="s">
        <v>24913</v>
      </c>
      <c r="I5709" s="2" t="s">
        <v>24914</v>
      </c>
      <c r="K5709" s="2" t="s">
        <v>14680</v>
      </c>
      <c r="L5709" s="2" t="s">
        <v>560</v>
      </c>
      <c r="M5709" s="2">
        <v>50595.0</v>
      </c>
      <c r="N5709" s="2" t="s">
        <v>21</v>
      </c>
    </row>
    <row r="5710" ht="15.75" customHeight="1">
      <c r="A5710" s="2">
        <v>2016.0</v>
      </c>
      <c r="B5710" s="2" t="s">
        <v>24915</v>
      </c>
      <c r="C5710" s="2" t="s">
        <v>24915</v>
      </c>
      <c r="D5710" s="2" t="str">
        <f>"9106700002"</f>
        <v>9106700002</v>
      </c>
      <c r="E5710" s="2" t="s">
        <v>6170</v>
      </c>
      <c r="F5710" s="2" t="s">
        <v>2640</v>
      </c>
      <c r="G5710" s="2" t="str">
        <f>"SR-7702"</f>
        <v>SR-7702</v>
      </c>
      <c r="H5710" s="2" t="s">
        <v>24916</v>
      </c>
      <c r="I5710" s="2" t="s">
        <v>24917</v>
      </c>
      <c r="K5710" s="2" t="s">
        <v>24918</v>
      </c>
      <c r="L5710" s="2" t="s">
        <v>105</v>
      </c>
      <c r="M5710" s="2">
        <v>62225.0</v>
      </c>
      <c r="N5710" s="2" t="s">
        <v>21</v>
      </c>
    </row>
    <row r="5711" ht="15.75" customHeight="1">
      <c r="A5711" s="2">
        <v>2016.0</v>
      </c>
      <c r="B5711" s="2" t="s">
        <v>24915</v>
      </c>
      <c r="C5711" s="2" t="s">
        <v>24915</v>
      </c>
      <c r="D5711" s="2" t="str">
        <f>"9106705627"</f>
        <v>9106705627</v>
      </c>
      <c r="E5711" s="2" t="s">
        <v>339</v>
      </c>
      <c r="F5711" s="2" t="s">
        <v>2640</v>
      </c>
      <c r="G5711" s="2" t="str">
        <f>"SR-7704"</f>
        <v>SR-7704</v>
      </c>
      <c r="H5711" s="2" t="s">
        <v>24919</v>
      </c>
      <c r="I5711" s="2" t="s">
        <v>24917</v>
      </c>
      <c r="K5711" s="2" t="s">
        <v>24918</v>
      </c>
      <c r="L5711" s="2" t="s">
        <v>105</v>
      </c>
      <c r="M5711" s="2">
        <v>62225.0</v>
      </c>
      <c r="N5711" s="2" t="s">
        <v>21</v>
      </c>
    </row>
    <row r="5712" ht="15.75" customHeight="1">
      <c r="A5712" s="2">
        <v>2016.0</v>
      </c>
      <c r="B5712" s="2" t="s">
        <v>24920</v>
      </c>
      <c r="C5712" s="2" t="s">
        <v>24921</v>
      </c>
      <c r="D5712" s="2" t="str">
        <f>"7044430190"</f>
        <v>7044430190</v>
      </c>
      <c r="E5712" s="2" t="s">
        <v>1548</v>
      </c>
      <c r="F5712" s="2" t="s">
        <v>1609</v>
      </c>
      <c r="G5712" s="2" t="str">
        <f>"SR-7886"</f>
        <v>SR-7886</v>
      </c>
      <c r="H5712" s="2" t="s">
        <v>24922</v>
      </c>
      <c r="I5712" s="2" t="s">
        <v>1611</v>
      </c>
      <c r="K5712" s="2" t="s">
        <v>1612</v>
      </c>
      <c r="L5712" s="2" t="s">
        <v>20</v>
      </c>
      <c r="M5712" s="2">
        <v>28105.0</v>
      </c>
      <c r="N5712" s="2" t="s">
        <v>21</v>
      </c>
    </row>
    <row r="5713" ht="15.75" customHeight="1">
      <c r="A5713" s="2">
        <v>2016.0</v>
      </c>
      <c r="B5713" s="2" t="s">
        <v>24923</v>
      </c>
      <c r="C5713" s="2" t="s">
        <v>24924</v>
      </c>
      <c r="D5713" s="2" t="str">
        <f>"3175043656"</f>
        <v>3175043656</v>
      </c>
      <c r="E5713" s="2" t="s">
        <v>1094</v>
      </c>
      <c r="F5713" s="2" t="s">
        <v>9533</v>
      </c>
      <c r="G5713" s="2" t="str">
        <f>"SR-7884"</f>
        <v>SR-7884</v>
      </c>
      <c r="H5713" s="2" t="s">
        <v>14413</v>
      </c>
      <c r="I5713" s="2" t="s">
        <v>24925</v>
      </c>
      <c r="K5713" s="2" t="s">
        <v>10407</v>
      </c>
      <c r="L5713" s="2" t="s">
        <v>149</v>
      </c>
      <c r="M5713" s="2">
        <v>46032.0</v>
      </c>
      <c r="N5713" s="2" t="s">
        <v>21</v>
      </c>
    </row>
    <row r="5714" ht="15.75" customHeight="1">
      <c r="A5714" s="2">
        <v>2016.0</v>
      </c>
      <c r="B5714" s="2" t="s">
        <v>24926</v>
      </c>
      <c r="C5714" s="2" t="s">
        <v>24926</v>
      </c>
      <c r="D5714" s="2" t="str">
        <f>"641-820-1662"</f>
        <v>641-820-1662</v>
      </c>
      <c r="E5714" s="2" t="s">
        <v>2941</v>
      </c>
      <c r="F5714" s="2" t="s">
        <v>2561</v>
      </c>
      <c r="G5714" s="2" t="str">
        <f>"SR-7890"</f>
        <v>SR-7890</v>
      </c>
      <c r="H5714" s="2" t="s">
        <v>24927</v>
      </c>
      <c r="I5714" s="2" t="s">
        <v>24928</v>
      </c>
      <c r="K5714" s="2" t="s">
        <v>6168</v>
      </c>
      <c r="L5714" s="2" t="s">
        <v>560</v>
      </c>
      <c r="M5714" s="2">
        <v>50138.0</v>
      </c>
      <c r="N5714" s="2" t="s">
        <v>21</v>
      </c>
    </row>
    <row r="5715" ht="15.75" customHeight="1">
      <c r="A5715" s="2">
        <v>2016.0</v>
      </c>
      <c r="B5715" s="2" t="s">
        <v>3672</v>
      </c>
      <c r="C5715" s="2" t="s">
        <v>24929</v>
      </c>
      <c r="D5715" s="2" t="str">
        <f>"972-515-3315"</f>
        <v>972-515-3315</v>
      </c>
      <c r="E5715" s="2" t="s">
        <v>1015</v>
      </c>
      <c r="F5715" s="2" t="s">
        <v>3674</v>
      </c>
      <c r="G5715" s="2" t="str">
        <f>"SR-7449"</f>
        <v>SR-7449</v>
      </c>
      <c r="H5715" s="2" t="s">
        <v>24930</v>
      </c>
      <c r="I5715" s="2" t="s">
        <v>3676</v>
      </c>
      <c r="K5715" s="2" t="s">
        <v>3677</v>
      </c>
      <c r="L5715" s="2" t="s">
        <v>172</v>
      </c>
      <c r="M5715" s="2">
        <v>75165.0</v>
      </c>
      <c r="N5715" s="2" t="s">
        <v>21</v>
      </c>
    </row>
    <row r="5716" ht="15.75" customHeight="1">
      <c r="A5716" s="2">
        <v>2016.0</v>
      </c>
      <c r="B5716" s="2" t="s">
        <v>24931</v>
      </c>
      <c r="C5716" s="2" t="s">
        <v>24931</v>
      </c>
      <c r="D5716" s="2" t="str">
        <f>"5409559599"</f>
        <v>5409559599</v>
      </c>
      <c r="E5716" s="2" t="s">
        <v>8427</v>
      </c>
      <c r="F5716" s="2" t="s">
        <v>2458</v>
      </c>
      <c r="G5716" s="2" t="str">
        <f>"SR-7894"</f>
        <v>SR-7894</v>
      </c>
      <c r="H5716" s="2" t="s">
        <v>24932</v>
      </c>
      <c r="I5716" s="2" t="s">
        <v>2460</v>
      </c>
      <c r="K5716" s="2" t="s">
        <v>2461</v>
      </c>
      <c r="L5716" s="2" t="s">
        <v>165</v>
      </c>
      <c r="M5716" s="2">
        <v>22611.0</v>
      </c>
      <c r="N5716" s="2" t="s">
        <v>21</v>
      </c>
    </row>
    <row r="5717" ht="15.75" customHeight="1">
      <c r="A5717" s="2">
        <v>2016.0</v>
      </c>
      <c r="B5717" s="2" t="s">
        <v>24933</v>
      </c>
      <c r="C5717" s="2" t="s">
        <v>24934</v>
      </c>
      <c r="D5717" s="2" t="str">
        <f>"2078650451"</f>
        <v>2078650451</v>
      </c>
      <c r="E5717" s="2" t="s">
        <v>1208</v>
      </c>
      <c r="F5717" s="2" t="s">
        <v>3733</v>
      </c>
      <c r="G5717" s="2" t="str">
        <f>"SR-7895"</f>
        <v>SR-7895</v>
      </c>
      <c r="H5717" s="2" t="s">
        <v>24935</v>
      </c>
      <c r="I5717" s="2" t="s">
        <v>24936</v>
      </c>
      <c r="K5717" s="2" t="s">
        <v>3736</v>
      </c>
      <c r="L5717" s="2" t="s">
        <v>3737</v>
      </c>
      <c r="M5717" s="2">
        <v>432.0</v>
      </c>
      <c r="N5717" s="2" t="s">
        <v>21</v>
      </c>
    </row>
    <row r="5718" ht="15.75" customHeight="1">
      <c r="A5718" s="2">
        <v>2016.0</v>
      </c>
      <c r="B5718" s="2" t="s">
        <v>17747</v>
      </c>
      <c r="C5718" s="2" t="s">
        <v>24937</v>
      </c>
      <c r="D5718" s="2" t="str">
        <f>"601-529-9579"</f>
        <v>601-529-9579</v>
      </c>
      <c r="E5718" s="2" t="s">
        <v>751</v>
      </c>
      <c r="F5718" s="2" t="s">
        <v>24938</v>
      </c>
      <c r="G5718" s="2" t="str">
        <f>"SR-7794"</f>
        <v>SR-7794</v>
      </c>
      <c r="H5718" s="2" t="s">
        <v>24939</v>
      </c>
      <c r="I5718" s="2" t="s">
        <v>24940</v>
      </c>
      <c r="K5718" s="2" t="s">
        <v>17753</v>
      </c>
      <c r="L5718" s="2" t="s">
        <v>1722</v>
      </c>
      <c r="M5718" s="2">
        <v>39180.0</v>
      </c>
      <c r="N5718" s="2" t="s">
        <v>21</v>
      </c>
    </row>
    <row r="5719" ht="15.75" customHeight="1">
      <c r="A5719" s="2">
        <v>2016.0</v>
      </c>
      <c r="B5719" s="2" t="s">
        <v>17747</v>
      </c>
      <c r="C5719" s="2" t="s">
        <v>24941</v>
      </c>
      <c r="D5719" s="2" t="str">
        <f>"6012628723"</f>
        <v>6012628723</v>
      </c>
      <c r="E5719" s="2" t="s">
        <v>3400</v>
      </c>
      <c r="F5719" s="2" t="s">
        <v>24942</v>
      </c>
      <c r="G5719" s="2" t="str">
        <f>"SR-7795"</f>
        <v>SR-7795</v>
      </c>
      <c r="H5719" s="2" t="s">
        <v>24943</v>
      </c>
      <c r="I5719" s="2" t="s">
        <v>24944</v>
      </c>
      <c r="K5719" s="2" t="s">
        <v>17753</v>
      </c>
      <c r="L5719" s="2" t="s">
        <v>1722</v>
      </c>
      <c r="M5719" s="2">
        <v>39180.0</v>
      </c>
      <c r="N5719" s="2" t="s">
        <v>21</v>
      </c>
    </row>
    <row r="5720" ht="15.75" customHeight="1">
      <c r="A5720" s="2">
        <v>2016.0</v>
      </c>
      <c r="B5720" s="2" t="s">
        <v>22835</v>
      </c>
      <c r="C5720" s="2" t="s">
        <v>22840</v>
      </c>
      <c r="D5720" s="2" t="str">
        <f>"4053435574"</f>
        <v>4053435574</v>
      </c>
      <c r="E5720" s="2" t="s">
        <v>22841</v>
      </c>
      <c r="F5720" s="2" t="s">
        <v>22837</v>
      </c>
      <c r="G5720" s="2" t="str">
        <f>"SR-6998"</f>
        <v>SR-6998</v>
      </c>
      <c r="H5720" s="2" t="s">
        <v>22842</v>
      </c>
      <c r="I5720" s="2" t="s">
        <v>22843</v>
      </c>
      <c r="K5720" s="2" t="s">
        <v>1546</v>
      </c>
      <c r="L5720" s="2" t="s">
        <v>840</v>
      </c>
      <c r="M5720" s="2">
        <v>73013.0</v>
      </c>
      <c r="N5720" s="2" t="s">
        <v>21</v>
      </c>
    </row>
    <row r="5721" ht="15.75" customHeight="1">
      <c r="A5721" s="2">
        <v>2016.0</v>
      </c>
      <c r="B5721" s="2" t="s">
        <v>24945</v>
      </c>
      <c r="C5721" s="2" t="s">
        <v>24945</v>
      </c>
      <c r="D5721" s="2" t="str">
        <f>"307-324-3217"</f>
        <v>307-324-3217</v>
      </c>
      <c r="E5721" s="2" t="s">
        <v>12571</v>
      </c>
      <c r="F5721" s="2" t="s">
        <v>1190</v>
      </c>
      <c r="G5721" s="2" t="str">
        <f>"SR-7897"</f>
        <v>SR-7897</v>
      </c>
      <c r="H5721" s="2" t="s">
        <v>24946</v>
      </c>
      <c r="I5721" s="2" t="s">
        <v>24947</v>
      </c>
      <c r="K5721" s="2" t="s">
        <v>24948</v>
      </c>
      <c r="L5721" s="2" t="s">
        <v>1540</v>
      </c>
      <c r="M5721" s="2">
        <v>82301.0</v>
      </c>
      <c r="N5721" s="2" t="s">
        <v>21</v>
      </c>
    </row>
    <row r="5722" ht="15.75" customHeight="1">
      <c r="A5722" s="2">
        <v>2016.0</v>
      </c>
      <c r="B5722" s="2" t="s">
        <v>24949</v>
      </c>
      <c r="C5722" s="2" t="s">
        <v>24949</v>
      </c>
      <c r="D5722" s="2" t="str">
        <f>"316-312-0735"</f>
        <v>316-312-0735</v>
      </c>
      <c r="E5722" s="2" t="s">
        <v>3888</v>
      </c>
      <c r="F5722" s="2" t="s">
        <v>5300</v>
      </c>
      <c r="G5722" s="2" t="str">
        <f>"SR-7899"</f>
        <v>SR-7899</v>
      </c>
      <c r="H5722" s="2" t="s">
        <v>24950</v>
      </c>
      <c r="I5722" s="2" t="s">
        <v>24951</v>
      </c>
      <c r="K5722" s="2" t="s">
        <v>1026</v>
      </c>
      <c r="L5722" s="2" t="s">
        <v>272</v>
      </c>
      <c r="M5722" s="2">
        <v>67037.0</v>
      </c>
      <c r="N5722" s="2" t="s">
        <v>21</v>
      </c>
    </row>
    <row r="5723" ht="15.75" customHeight="1">
      <c r="A5723" s="2">
        <v>2016.0</v>
      </c>
      <c r="B5723" s="2" t="s">
        <v>24952</v>
      </c>
      <c r="C5723" s="2" t="s">
        <v>24953</v>
      </c>
      <c r="D5723" s="2" t="str">
        <f>"720-609-5333"</f>
        <v>720-609-5333</v>
      </c>
      <c r="E5723" s="2" t="s">
        <v>24954</v>
      </c>
      <c r="F5723" s="2" t="s">
        <v>24955</v>
      </c>
      <c r="G5723" s="2" t="str">
        <f>"SR-7598"</f>
        <v>SR-7598</v>
      </c>
      <c r="H5723" s="2" t="s">
        <v>24956</v>
      </c>
      <c r="I5723" s="2" t="s">
        <v>24957</v>
      </c>
      <c r="K5723" s="2" t="s">
        <v>992</v>
      </c>
      <c r="L5723" s="2" t="s">
        <v>157</v>
      </c>
      <c r="M5723" s="2">
        <v>80015.0</v>
      </c>
      <c r="N5723" s="2" t="s">
        <v>21</v>
      </c>
    </row>
    <row r="5724" ht="15.75" customHeight="1">
      <c r="A5724" s="2">
        <v>2016.0</v>
      </c>
      <c r="B5724" s="2" t="s">
        <v>24958</v>
      </c>
      <c r="C5724" s="2" t="s">
        <v>24958</v>
      </c>
      <c r="D5724" s="2" t="str">
        <f>"5129690586"</f>
        <v>5129690586</v>
      </c>
      <c r="E5724" s="2" t="s">
        <v>1015</v>
      </c>
      <c r="F5724" s="2" t="s">
        <v>24959</v>
      </c>
      <c r="G5724" s="2" t="str">
        <f>"SR-7796"</f>
        <v>SR-7796</v>
      </c>
      <c r="H5724" s="2" t="s">
        <v>24960</v>
      </c>
      <c r="I5724" s="2" t="s">
        <v>24961</v>
      </c>
      <c r="K5724" s="2" t="s">
        <v>1141</v>
      </c>
      <c r="L5724" s="2" t="s">
        <v>172</v>
      </c>
      <c r="M5724" s="2">
        <v>78736.0</v>
      </c>
      <c r="N5724" s="2" t="s">
        <v>21</v>
      </c>
    </row>
    <row r="5725" ht="15.75" customHeight="1">
      <c r="A5725" s="2">
        <v>2016.0</v>
      </c>
      <c r="B5725" s="2" t="s">
        <v>24962</v>
      </c>
      <c r="C5725" s="2" t="s">
        <v>24962</v>
      </c>
      <c r="D5725" s="2" t="str">
        <f>"8127893001"</f>
        <v>8127893001</v>
      </c>
      <c r="E5725" s="2" t="s">
        <v>24963</v>
      </c>
      <c r="F5725" s="2" t="s">
        <v>7887</v>
      </c>
      <c r="G5725" s="2" t="str">
        <f>"SR-7904"</f>
        <v>SR-7904</v>
      </c>
      <c r="H5725" s="2" t="s">
        <v>24964</v>
      </c>
      <c r="I5725" s="2" t="s">
        <v>24965</v>
      </c>
      <c r="K5725" s="2" t="s">
        <v>24966</v>
      </c>
      <c r="L5725" s="2" t="s">
        <v>149</v>
      </c>
      <c r="M5725" s="2">
        <v>47585.0</v>
      </c>
      <c r="N5725" s="2" t="s">
        <v>21</v>
      </c>
    </row>
    <row r="5726" ht="15.75" customHeight="1">
      <c r="A5726" s="2">
        <v>2016.0</v>
      </c>
      <c r="B5726" s="2" t="s">
        <v>24967</v>
      </c>
      <c r="C5726" s="2" t="s">
        <v>24968</v>
      </c>
      <c r="D5726" s="2" t="str">
        <f>"281-545-2631"</f>
        <v>281-545-2631</v>
      </c>
      <c r="E5726" s="2" t="s">
        <v>2401</v>
      </c>
      <c r="F5726" s="2" t="s">
        <v>24969</v>
      </c>
      <c r="G5726" s="2" t="str">
        <f>"SR-7830"</f>
        <v>SR-7830</v>
      </c>
      <c r="H5726" s="2" t="s">
        <v>24970</v>
      </c>
      <c r="I5726" s="2" t="s">
        <v>24971</v>
      </c>
      <c r="K5726" s="2" t="s">
        <v>2182</v>
      </c>
      <c r="L5726" s="2" t="s">
        <v>172</v>
      </c>
      <c r="M5726" s="2">
        <v>77479.0</v>
      </c>
      <c r="N5726" s="2" t="s">
        <v>21</v>
      </c>
    </row>
    <row r="5727" ht="15.75" customHeight="1">
      <c r="A5727" s="2">
        <v>2016.0</v>
      </c>
      <c r="B5727" s="2" t="s">
        <v>9690</v>
      </c>
      <c r="C5727" s="2" t="s">
        <v>9691</v>
      </c>
      <c r="D5727" s="2" t="str">
        <f>"7078883405"</f>
        <v>7078883405</v>
      </c>
      <c r="E5727" s="2" t="s">
        <v>485</v>
      </c>
      <c r="F5727" s="2" t="s">
        <v>9692</v>
      </c>
      <c r="G5727" s="2" t="str">
        <f>"SR-2821"</f>
        <v>SR-2821</v>
      </c>
      <c r="H5727" s="2" t="s">
        <v>9693</v>
      </c>
      <c r="I5727" s="2" t="s">
        <v>9694</v>
      </c>
      <c r="K5727" s="2" t="s">
        <v>9695</v>
      </c>
      <c r="L5727" s="2" t="s">
        <v>222</v>
      </c>
      <c r="M5727" s="2">
        <v>95404.0</v>
      </c>
      <c r="N5727" s="2" t="s">
        <v>21</v>
      </c>
    </row>
    <row r="5728" ht="15.75" customHeight="1">
      <c r="A5728" s="2">
        <v>2016.0</v>
      </c>
      <c r="B5728" s="2" t="s">
        <v>24972</v>
      </c>
      <c r="C5728" s="2" t="s">
        <v>24972</v>
      </c>
      <c r="D5728" s="2" t="str">
        <f>"5058326171"</f>
        <v>5058326171</v>
      </c>
      <c r="E5728" s="2" t="s">
        <v>24973</v>
      </c>
      <c r="F5728" s="2" t="s">
        <v>24974</v>
      </c>
      <c r="G5728" s="2" t="str">
        <f>"SR-7901"</f>
        <v>SR-7901</v>
      </c>
      <c r="H5728" s="2" t="s">
        <v>24975</v>
      </c>
      <c r="I5728" s="2" t="s">
        <v>24976</v>
      </c>
      <c r="K5728" s="2" t="s">
        <v>24977</v>
      </c>
      <c r="L5728" s="2" t="s">
        <v>789</v>
      </c>
      <c r="M5728" s="2">
        <v>87035.0</v>
      </c>
      <c r="N5728" s="2" t="s">
        <v>21</v>
      </c>
    </row>
    <row r="5729" ht="15.75" customHeight="1">
      <c r="A5729" s="2">
        <v>2016.0</v>
      </c>
      <c r="B5729" s="2" t="s">
        <v>9690</v>
      </c>
      <c r="C5729" s="2" t="s">
        <v>24978</v>
      </c>
      <c r="D5729" s="2" t="str">
        <f>"7078883405"</f>
        <v>7078883405</v>
      </c>
      <c r="E5729" s="2" t="s">
        <v>2752</v>
      </c>
      <c r="F5729" s="2" t="s">
        <v>9692</v>
      </c>
      <c r="G5729" s="2" t="str">
        <f>"SR-7707"</f>
        <v>SR-7707</v>
      </c>
      <c r="H5729" s="2" t="s">
        <v>24979</v>
      </c>
      <c r="I5729" s="2" t="s">
        <v>9694</v>
      </c>
      <c r="K5729" s="2" t="s">
        <v>9695</v>
      </c>
      <c r="L5729" s="2" t="s">
        <v>222</v>
      </c>
      <c r="M5729" s="2">
        <v>95404.0</v>
      </c>
      <c r="N5729" s="2" t="s">
        <v>21</v>
      </c>
    </row>
    <row r="5730" ht="15.75" customHeight="1">
      <c r="A5730" s="2">
        <v>2016.0</v>
      </c>
      <c r="B5730" s="2" t="s">
        <v>24972</v>
      </c>
      <c r="C5730" s="2" t="s">
        <v>24972</v>
      </c>
      <c r="D5730" s="2" t="str">
        <f>"505-832-6171"</f>
        <v>505-832-6171</v>
      </c>
      <c r="E5730" s="2" t="s">
        <v>2361</v>
      </c>
      <c r="F5730" s="2" t="s">
        <v>24974</v>
      </c>
      <c r="G5730" s="2" t="str">
        <f>"SR-7902"</f>
        <v>SR-7902</v>
      </c>
      <c r="H5730" s="2" t="s">
        <v>24980</v>
      </c>
      <c r="I5730" s="2" t="s">
        <v>24981</v>
      </c>
      <c r="K5730" s="2" t="s">
        <v>24977</v>
      </c>
      <c r="L5730" s="2" t="s">
        <v>789</v>
      </c>
      <c r="M5730" s="2">
        <v>87035.0</v>
      </c>
      <c r="N5730" s="2" t="s">
        <v>21</v>
      </c>
    </row>
    <row r="5731" ht="15.75" customHeight="1">
      <c r="A5731" s="2">
        <v>2016.0</v>
      </c>
      <c r="B5731" s="2" t="s">
        <v>24982</v>
      </c>
      <c r="C5731" s="2" t="s">
        <v>24983</v>
      </c>
      <c r="D5731" s="2" t="str">
        <f>"540-335-7331"</f>
        <v>540-335-7331</v>
      </c>
      <c r="E5731" s="2" t="s">
        <v>1278</v>
      </c>
      <c r="F5731" s="2" t="s">
        <v>17150</v>
      </c>
      <c r="G5731" s="2" t="str">
        <f>"SR-7613"</f>
        <v>SR-7613</v>
      </c>
      <c r="H5731" s="2" t="s">
        <v>24984</v>
      </c>
      <c r="I5731" s="2" t="s">
        <v>24985</v>
      </c>
      <c r="K5731" s="2" t="s">
        <v>24986</v>
      </c>
      <c r="L5731" s="2" t="s">
        <v>165</v>
      </c>
      <c r="M5731" s="2">
        <v>22664.0</v>
      </c>
      <c r="N5731" s="2" t="s">
        <v>21</v>
      </c>
    </row>
    <row r="5732" ht="15.75" customHeight="1">
      <c r="A5732" s="2">
        <v>2016.0</v>
      </c>
      <c r="B5732" s="2" t="s">
        <v>24982</v>
      </c>
      <c r="C5732" s="2" t="s">
        <v>24987</v>
      </c>
      <c r="D5732" s="2" t="str">
        <f>"540-325-3105"</f>
        <v>540-325-3105</v>
      </c>
      <c r="E5732" s="2" t="s">
        <v>2309</v>
      </c>
      <c r="F5732" s="2" t="s">
        <v>17150</v>
      </c>
      <c r="G5732" s="2" t="str">
        <f>"SR-7610"</f>
        <v>SR-7610</v>
      </c>
      <c r="H5732" s="2" t="s">
        <v>24988</v>
      </c>
      <c r="I5732" s="2" t="s">
        <v>24985</v>
      </c>
      <c r="K5732" s="2" t="s">
        <v>24986</v>
      </c>
      <c r="L5732" s="2" t="s">
        <v>165</v>
      </c>
      <c r="M5732" s="2">
        <v>22824.0</v>
      </c>
      <c r="N5732" s="2" t="s">
        <v>21</v>
      </c>
    </row>
    <row r="5733" ht="15.75" customHeight="1">
      <c r="A5733" s="2">
        <v>2016.0</v>
      </c>
      <c r="B5733" s="2" t="s">
        <v>24989</v>
      </c>
      <c r="C5733" s="2" t="s">
        <v>24989</v>
      </c>
      <c r="D5733" s="2" t="str">
        <f>"(515) 608 3142"</f>
        <v>(515) 608 3142</v>
      </c>
      <c r="E5733" s="2" t="s">
        <v>15</v>
      </c>
      <c r="F5733" s="2" t="s">
        <v>1993</v>
      </c>
      <c r="G5733" s="2" t="str">
        <f>"SR-7898"</f>
        <v>SR-7898</v>
      </c>
      <c r="H5733" s="2" t="s">
        <v>24990</v>
      </c>
      <c r="I5733" s="2" t="s">
        <v>24991</v>
      </c>
      <c r="K5733" s="2" t="s">
        <v>1996</v>
      </c>
      <c r="L5733" s="2" t="s">
        <v>560</v>
      </c>
      <c r="M5733" s="2">
        <v>50310.0</v>
      </c>
      <c r="N5733" s="2" t="s">
        <v>21</v>
      </c>
    </row>
    <row r="5734" ht="15.75" customHeight="1">
      <c r="A5734" s="2">
        <v>2016.0</v>
      </c>
      <c r="B5734" s="2" t="s">
        <v>24992</v>
      </c>
      <c r="C5734" s="2" t="s">
        <v>24992</v>
      </c>
      <c r="D5734" s="2" t="str">
        <f>"5158519881"</f>
        <v>5158519881</v>
      </c>
      <c r="E5734" s="2" t="s">
        <v>24993</v>
      </c>
      <c r="F5734" s="2" t="s">
        <v>24994</v>
      </c>
      <c r="G5734" s="2" t="str">
        <f>"SR-7915"</f>
        <v>SR-7915</v>
      </c>
      <c r="H5734" s="2" t="s">
        <v>24995</v>
      </c>
      <c r="I5734" s="2" t="s">
        <v>24996</v>
      </c>
      <c r="K5734" s="2" t="s">
        <v>24997</v>
      </c>
      <c r="L5734" s="2" t="s">
        <v>560</v>
      </c>
      <c r="M5734" s="2">
        <v>50101.0</v>
      </c>
      <c r="N5734" s="2" t="s">
        <v>21</v>
      </c>
    </row>
    <row r="5735" ht="15.75" customHeight="1">
      <c r="A5735" s="2">
        <v>2016.0</v>
      </c>
      <c r="B5735" s="2" t="s">
        <v>20480</v>
      </c>
      <c r="C5735" s="2" t="s">
        <v>20480</v>
      </c>
      <c r="D5735" s="2" t="str">
        <f>"(208)866-6754"</f>
        <v>(208)866-6754</v>
      </c>
      <c r="E5735" s="2" t="s">
        <v>261</v>
      </c>
      <c r="F5735" s="2" t="s">
        <v>20482</v>
      </c>
      <c r="G5735" s="2" t="str">
        <f>"SR-7909"</f>
        <v>SR-7909</v>
      </c>
      <c r="H5735" s="2" t="s">
        <v>24998</v>
      </c>
      <c r="I5735" s="2" t="s">
        <v>24999</v>
      </c>
      <c r="K5735" s="2" t="s">
        <v>20485</v>
      </c>
      <c r="L5735" s="2" t="s">
        <v>2613</v>
      </c>
      <c r="M5735" s="2">
        <v>83642.0</v>
      </c>
      <c r="N5735" s="2" t="s">
        <v>21</v>
      </c>
    </row>
    <row r="5736" ht="15.75" customHeight="1">
      <c r="A5736" s="2">
        <v>2016.0</v>
      </c>
      <c r="B5736" s="2" t="s">
        <v>25000</v>
      </c>
      <c r="C5736" s="2" t="s">
        <v>25000</v>
      </c>
      <c r="D5736" s="2" t="str">
        <f>"6168370314"</f>
        <v>6168370314</v>
      </c>
      <c r="E5736" s="2" t="s">
        <v>14005</v>
      </c>
      <c r="F5736" s="2" t="s">
        <v>1756</v>
      </c>
      <c r="G5736" s="2" t="str">
        <f>"SR-7918"</f>
        <v>SR-7918</v>
      </c>
      <c r="H5736" s="2" t="s">
        <v>25001</v>
      </c>
      <c r="I5736" s="2" t="s">
        <v>25002</v>
      </c>
      <c r="K5736" s="2" t="s">
        <v>25003</v>
      </c>
      <c r="L5736" s="2" t="s">
        <v>29</v>
      </c>
      <c r="M5736" s="2">
        <v>49448.0</v>
      </c>
      <c r="N5736" s="2" t="s">
        <v>21</v>
      </c>
    </row>
    <row r="5737" ht="15.75" customHeight="1">
      <c r="A5737" s="2">
        <v>2016.0</v>
      </c>
      <c r="B5737" s="2" t="s">
        <v>25004</v>
      </c>
      <c r="C5737" s="2" t="s">
        <v>25004</v>
      </c>
      <c r="D5737" s="2" t="str">
        <f>"9196410753"</f>
        <v>9196410753</v>
      </c>
      <c r="E5737" s="2" t="s">
        <v>18187</v>
      </c>
      <c r="F5737" s="2" t="s">
        <v>21448</v>
      </c>
      <c r="G5737" s="2" t="str">
        <f>"SR-7908"</f>
        <v>SR-7908</v>
      </c>
      <c r="H5737" s="2" t="s">
        <v>25005</v>
      </c>
      <c r="I5737" s="2" t="s">
        <v>25006</v>
      </c>
      <c r="K5737" s="2" t="s">
        <v>2378</v>
      </c>
      <c r="L5737" s="2" t="s">
        <v>20</v>
      </c>
      <c r="M5737" s="2">
        <v>27520.0</v>
      </c>
      <c r="N5737" s="2" t="s">
        <v>21</v>
      </c>
    </row>
    <row r="5738" ht="15.75" customHeight="1">
      <c r="A5738" s="2">
        <v>2016.0</v>
      </c>
      <c r="B5738" s="2" t="s">
        <v>25007</v>
      </c>
      <c r="C5738" s="2" t="s">
        <v>25007</v>
      </c>
      <c r="D5738" s="2" t="str">
        <f>"2259932804"</f>
        <v>2259932804</v>
      </c>
      <c r="E5738" s="2" t="s">
        <v>1548</v>
      </c>
      <c r="F5738" s="2" t="s">
        <v>14011</v>
      </c>
      <c r="G5738" s="2" t="str">
        <f>"SR-7801"</f>
        <v>SR-7801</v>
      </c>
      <c r="H5738" s="2" t="s">
        <v>25008</v>
      </c>
      <c r="I5738" s="2" t="s">
        <v>25009</v>
      </c>
      <c r="K5738" s="2" t="s">
        <v>3654</v>
      </c>
      <c r="L5738" s="2" t="s">
        <v>715</v>
      </c>
      <c r="M5738" s="2">
        <v>70815.0</v>
      </c>
      <c r="N5738" s="2" t="s">
        <v>21</v>
      </c>
    </row>
    <row r="5739" ht="15.75" customHeight="1">
      <c r="A5739" s="2">
        <v>2016.0</v>
      </c>
      <c r="B5739" s="2" t="s">
        <v>25010</v>
      </c>
      <c r="C5739" s="2" t="s">
        <v>25011</v>
      </c>
      <c r="D5739" s="2" t="str">
        <f>"9493101836"</f>
        <v>9493101836</v>
      </c>
      <c r="E5739" s="2" t="s">
        <v>1180</v>
      </c>
      <c r="F5739" s="2" t="s">
        <v>2310</v>
      </c>
      <c r="G5739" s="2" t="str">
        <f>"SR-7721"</f>
        <v>SR-7721</v>
      </c>
      <c r="H5739" s="2" t="s">
        <v>25012</v>
      </c>
      <c r="I5739" s="2" t="s">
        <v>25013</v>
      </c>
      <c r="K5739" s="2" t="s">
        <v>25014</v>
      </c>
      <c r="L5739" s="2" t="s">
        <v>222</v>
      </c>
      <c r="M5739" s="2">
        <v>92677.0</v>
      </c>
      <c r="N5739" s="2" t="s">
        <v>21</v>
      </c>
    </row>
    <row r="5740" ht="15.75" customHeight="1">
      <c r="A5740" s="2">
        <v>2016.0</v>
      </c>
      <c r="B5740" s="2" t="s">
        <v>25015</v>
      </c>
      <c r="C5740" s="2" t="s">
        <v>25015</v>
      </c>
      <c r="D5740" s="2" t="str">
        <f>"7164902860"</f>
        <v>7164902860</v>
      </c>
      <c r="E5740" s="2" t="s">
        <v>10949</v>
      </c>
      <c r="F5740" s="2" t="s">
        <v>25016</v>
      </c>
      <c r="G5740" s="2" t="str">
        <f>"SR-7910"</f>
        <v>SR-7910</v>
      </c>
      <c r="H5740" s="2" t="s">
        <v>25017</v>
      </c>
      <c r="I5740" s="2" t="s">
        <v>25018</v>
      </c>
      <c r="K5740" s="2" t="s">
        <v>25019</v>
      </c>
      <c r="L5740" s="2" t="s">
        <v>142</v>
      </c>
      <c r="M5740" s="2">
        <v>14724.0</v>
      </c>
      <c r="N5740" s="2" t="s">
        <v>21</v>
      </c>
    </row>
    <row r="5741" ht="15.75" customHeight="1">
      <c r="A5741" s="2">
        <v>2016.0</v>
      </c>
      <c r="B5741" s="2" t="s">
        <v>25020</v>
      </c>
      <c r="C5741" s="2" t="s">
        <v>25021</v>
      </c>
      <c r="D5741" s="2" t="str">
        <f>"7193807712"</f>
        <v>7193807712</v>
      </c>
      <c r="E5741" s="2" t="s">
        <v>385</v>
      </c>
      <c r="F5741" s="2" t="s">
        <v>1783</v>
      </c>
      <c r="G5741" s="2" t="str">
        <f>"SR-7923"</f>
        <v>SR-7923</v>
      </c>
      <c r="H5741" s="2" t="s">
        <v>25022</v>
      </c>
      <c r="I5741" s="2" t="s">
        <v>25023</v>
      </c>
      <c r="K5741" s="2" t="s">
        <v>809</v>
      </c>
      <c r="L5741" s="2" t="s">
        <v>157</v>
      </c>
      <c r="M5741" s="2">
        <v>80915.0</v>
      </c>
      <c r="N5741" s="2" t="s">
        <v>21</v>
      </c>
    </row>
    <row r="5742" ht="15.75" customHeight="1">
      <c r="A5742" s="2">
        <v>2016.0</v>
      </c>
      <c r="B5742" s="2" t="s">
        <v>25024</v>
      </c>
      <c r="D5742" s="2" t="str">
        <f>""</f>
        <v/>
      </c>
      <c r="E5742" s="2" t="s">
        <v>843</v>
      </c>
      <c r="F5742" s="2" t="s">
        <v>25025</v>
      </c>
      <c r="G5742" s="2" t="str">
        <f>"SR-7577"</f>
        <v>SR-7577</v>
      </c>
      <c r="H5742" s="2" t="s">
        <v>25026</v>
      </c>
      <c r="N5742" s="2" t="s">
        <v>21</v>
      </c>
    </row>
    <row r="5743" ht="15.75" customHeight="1">
      <c r="A5743" s="2">
        <v>2016.0</v>
      </c>
      <c r="B5743" s="2" t="s">
        <v>25027</v>
      </c>
      <c r="C5743" s="2" t="s">
        <v>25028</v>
      </c>
      <c r="D5743" s="2" t="str">
        <f>"817.905.1678"</f>
        <v>817.905.1678</v>
      </c>
      <c r="E5743" s="2" t="s">
        <v>339</v>
      </c>
      <c r="F5743" s="2" t="s">
        <v>5726</v>
      </c>
      <c r="G5743" s="2" t="str">
        <f>"SR-7665"</f>
        <v>SR-7665</v>
      </c>
      <c r="H5743" s="2" t="s">
        <v>25029</v>
      </c>
      <c r="I5743" s="2" t="s">
        <v>5758</v>
      </c>
      <c r="K5743" s="2" t="s">
        <v>5729</v>
      </c>
      <c r="L5743" s="2" t="s">
        <v>172</v>
      </c>
      <c r="M5743" s="2">
        <v>76087.0</v>
      </c>
      <c r="N5743" s="2" t="s">
        <v>21</v>
      </c>
    </row>
    <row r="5744" ht="15.75" customHeight="1">
      <c r="A5744" s="2">
        <v>2016.0</v>
      </c>
      <c r="B5744" s="2" t="s">
        <v>25030</v>
      </c>
      <c r="C5744" s="2" t="s">
        <v>25031</v>
      </c>
      <c r="D5744" s="2" t="str">
        <f>"7192439028"</f>
        <v>7192439028</v>
      </c>
      <c r="E5744" s="2" t="s">
        <v>282</v>
      </c>
      <c r="F5744" s="2" t="s">
        <v>25032</v>
      </c>
      <c r="G5744" s="2" t="str">
        <f>"SR-7603"</f>
        <v>SR-7603</v>
      </c>
      <c r="H5744" s="2" t="s">
        <v>25033</v>
      </c>
      <c r="I5744" s="2" t="s">
        <v>25034</v>
      </c>
      <c r="K5744" s="2" t="s">
        <v>809</v>
      </c>
      <c r="L5744" s="2" t="s">
        <v>157</v>
      </c>
      <c r="M5744" s="2">
        <v>80918.0</v>
      </c>
      <c r="N5744" s="2" t="s">
        <v>21</v>
      </c>
    </row>
    <row r="5745" ht="15.75" customHeight="1">
      <c r="A5745" s="2">
        <v>2016.0</v>
      </c>
      <c r="B5745" s="2" t="s">
        <v>25035</v>
      </c>
      <c r="C5745" s="2" t="s">
        <v>25035</v>
      </c>
      <c r="D5745" s="2" t="str">
        <f>"5090798585"</f>
        <v>5090798585</v>
      </c>
      <c r="E5745" s="2" t="s">
        <v>580</v>
      </c>
      <c r="F5745" s="2" t="s">
        <v>25036</v>
      </c>
      <c r="G5745" s="2" t="str">
        <f>"SR-7737"</f>
        <v>SR-7737</v>
      </c>
      <c r="H5745" s="2" t="s">
        <v>25037</v>
      </c>
      <c r="I5745" s="2" t="s">
        <v>25038</v>
      </c>
      <c r="K5745" s="2" t="s">
        <v>3548</v>
      </c>
      <c r="L5745" s="2" t="s">
        <v>2696</v>
      </c>
      <c r="M5745" s="2">
        <v>59102.0</v>
      </c>
      <c r="N5745" s="2" t="s">
        <v>21</v>
      </c>
    </row>
    <row r="5746" ht="15.75" customHeight="1">
      <c r="A5746" s="2">
        <v>2016.0</v>
      </c>
      <c r="B5746" s="2" t="s">
        <v>25039</v>
      </c>
      <c r="C5746" s="2" t="s">
        <v>25039</v>
      </c>
      <c r="D5746" s="2" t="str">
        <f>"9195502728"</f>
        <v>9195502728</v>
      </c>
      <c r="E5746" s="2" t="s">
        <v>843</v>
      </c>
      <c r="F5746" s="2" t="s">
        <v>13702</v>
      </c>
      <c r="G5746" s="2" t="str">
        <f>"SR-7817"</f>
        <v>SR-7817</v>
      </c>
      <c r="H5746" s="2" t="s">
        <v>25040</v>
      </c>
      <c r="I5746" s="2" t="s">
        <v>25041</v>
      </c>
      <c r="K5746" s="2" t="s">
        <v>2378</v>
      </c>
      <c r="L5746" s="2" t="s">
        <v>20</v>
      </c>
      <c r="M5746" s="2">
        <v>27520.0</v>
      </c>
      <c r="N5746" s="2" t="s">
        <v>21</v>
      </c>
    </row>
    <row r="5747" ht="15.75" customHeight="1">
      <c r="A5747" s="2">
        <v>2016.0</v>
      </c>
      <c r="B5747" s="2" t="s">
        <v>25042</v>
      </c>
      <c r="C5747" s="2" t="s">
        <v>25042</v>
      </c>
      <c r="D5747" s="2" t="str">
        <f>"719-246-1898"</f>
        <v>719-246-1898</v>
      </c>
      <c r="E5747" s="2" t="s">
        <v>25043</v>
      </c>
      <c r="F5747" s="2" t="s">
        <v>1045</v>
      </c>
      <c r="G5747" s="2" t="str">
        <f>"SR-7453"</f>
        <v>SR-7453</v>
      </c>
      <c r="H5747" s="2" t="s">
        <v>25044</v>
      </c>
      <c r="I5747" s="2" t="s">
        <v>25045</v>
      </c>
      <c r="K5747" s="2" t="s">
        <v>12320</v>
      </c>
      <c r="L5747" s="2" t="s">
        <v>157</v>
      </c>
      <c r="M5747" s="2">
        <v>81039.0</v>
      </c>
      <c r="N5747" s="2" t="s">
        <v>21</v>
      </c>
    </row>
    <row r="5748" ht="15.75" customHeight="1">
      <c r="A5748" s="2">
        <v>2016.0</v>
      </c>
      <c r="B5748" s="2" t="s">
        <v>25046</v>
      </c>
      <c r="C5748" s="2" t="s">
        <v>25047</v>
      </c>
      <c r="D5748" s="2" t="str">
        <f>"7655207269"</f>
        <v>7655207269</v>
      </c>
      <c r="E5748" s="2" t="s">
        <v>8887</v>
      </c>
      <c r="F5748" s="2" t="s">
        <v>9964</v>
      </c>
      <c r="G5748" s="2" t="str">
        <f>"SR-7858"</f>
        <v>SR-7858</v>
      </c>
      <c r="H5748" s="2" t="s">
        <v>25048</v>
      </c>
      <c r="I5748" s="2" t="s">
        <v>25049</v>
      </c>
      <c r="K5748" s="2" t="s">
        <v>25050</v>
      </c>
      <c r="L5748" s="2" t="s">
        <v>149</v>
      </c>
      <c r="M5748" s="2">
        <v>47362.0</v>
      </c>
      <c r="N5748" s="2" t="s">
        <v>21</v>
      </c>
    </row>
    <row r="5749" ht="15.75" customHeight="1">
      <c r="A5749" s="2">
        <v>2016.0</v>
      </c>
      <c r="B5749" s="2" t="s">
        <v>25051</v>
      </c>
      <c r="C5749" s="2" t="s">
        <v>25052</v>
      </c>
      <c r="D5749" s="2" t="str">
        <f>"9193082756"</f>
        <v>9193082756</v>
      </c>
      <c r="E5749" s="2" t="s">
        <v>485</v>
      </c>
      <c r="F5749" s="2" t="s">
        <v>8649</v>
      </c>
      <c r="G5749" s="2" t="str">
        <f>"SR-7937"</f>
        <v>SR-7937</v>
      </c>
      <c r="H5749" s="2" t="s">
        <v>25053</v>
      </c>
      <c r="I5749" s="2" t="s">
        <v>25054</v>
      </c>
      <c r="K5749" s="2" t="s">
        <v>1111</v>
      </c>
      <c r="L5749" s="2" t="s">
        <v>20</v>
      </c>
      <c r="M5749" s="2">
        <v>27712.0</v>
      </c>
      <c r="N5749" s="2" t="s">
        <v>21</v>
      </c>
    </row>
    <row r="5750" ht="15.75" customHeight="1">
      <c r="A5750" s="2">
        <v>2016.0</v>
      </c>
      <c r="B5750" s="2" t="s">
        <v>25055</v>
      </c>
      <c r="C5750" s="2" t="s">
        <v>25056</v>
      </c>
      <c r="D5750" s="2" t="str">
        <f>"7277443412"</f>
        <v>7277443412</v>
      </c>
      <c r="E5750" s="2" t="s">
        <v>25057</v>
      </c>
      <c r="F5750" s="2" t="s">
        <v>4375</v>
      </c>
      <c r="G5750" s="2" t="str">
        <f>"SR-7931"</f>
        <v>SR-7931</v>
      </c>
      <c r="H5750" s="2" t="s">
        <v>25058</v>
      </c>
      <c r="I5750" s="2" t="s">
        <v>25059</v>
      </c>
      <c r="K5750" s="2" t="s">
        <v>25060</v>
      </c>
      <c r="L5750" s="2" t="s">
        <v>208</v>
      </c>
      <c r="M5750" s="2">
        <v>33772.0</v>
      </c>
      <c r="N5750" s="2" t="s">
        <v>21</v>
      </c>
    </row>
    <row r="5751" ht="15.75" customHeight="1">
      <c r="A5751" s="2">
        <v>2016.0</v>
      </c>
      <c r="B5751" s="2" t="s">
        <v>13001</v>
      </c>
      <c r="C5751" s="2" t="s">
        <v>13001</v>
      </c>
      <c r="D5751" s="2" t="str">
        <f>"7854362274"</f>
        <v>7854362274</v>
      </c>
      <c r="E5751" s="2" t="s">
        <v>5583</v>
      </c>
      <c r="F5751" s="2" t="s">
        <v>13002</v>
      </c>
      <c r="G5751" s="2" t="str">
        <f>"SR-7932"</f>
        <v>SR-7932</v>
      </c>
      <c r="H5751" s="2" t="s">
        <v>13003</v>
      </c>
      <c r="I5751" s="2" t="s">
        <v>25061</v>
      </c>
      <c r="K5751" s="2" t="s">
        <v>12538</v>
      </c>
      <c r="L5751" s="2" t="s">
        <v>272</v>
      </c>
      <c r="M5751" s="2">
        <v>67423.0</v>
      </c>
      <c r="N5751" s="2" t="s">
        <v>21</v>
      </c>
    </row>
    <row r="5752" ht="15.75" customHeight="1">
      <c r="A5752" s="2">
        <v>2016.0</v>
      </c>
      <c r="B5752" s="2" t="s">
        <v>25062</v>
      </c>
      <c r="C5752" s="2" t="s">
        <v>25063</v>
      </c>
      <c r="D5752" s="2" t="str">
        <f>"918-991-8732"</f>
        <v>918-991-8732</v>
      </c>
      <c r="E5752" s="2" t="s">
        <v>3434</v>
      </c>
      <c r="F5752" s="2" t="s">
        <v>7449</v>
      </c>
      <c r="G5752" s="2" t="str">
        <f>"SR-7942"</f>
        <v>SR-7942</v>
      </c>
      <c r="H5752" s="2" t="s">
        <v>25064</v>
      </c>
      <c r="I5752" s="2" t="s">
        <v>25065</v>
      </c>
      <c r="K5752" s="2" t="s">
        <v>2477</v>
      </c>
      <c r="L5752" s="2" t="s">
        <v>840</v>
      </c>
      <c r="M5752" s="2">
        <v>74011.0</v>
      </c>
      <c r="N5752" s="2" t="s">
        <v>21</v>
      </c>
    </row>
    <row r="5753" ht="15.75" customHeight="1">
      <c r="A5753" s="2">
        <v>2016.0</v>
      </c>
      <c r="B5753" s="2" t="s">
        <v>25062</v>
      </c>
      <c r="C5753" s="2" t="s">
        <v>25066</v>
      </c>
      <c r="D5753" s="2" t="str">
        <f>"918-804-3190"</f>
        <v>918-804-3190</v>
      </c>
      <c r="E5753" s="2" t="s">
        <v>25067</v>
      </c>
      <c r="F5753" s="2" t="s">
        <v>7449</v>
      </c>
      <c r="G5753" s="2" t="str">
        <f>"SR-7943"</f>
        <v>SR-7943</v>
      </c>
      <c r="H5753" s="2" t="s">
        <v>25068</v>
      </c>
      <c r="I5753" s="2" t="s">
        <v>25065</v>
      </c>
      <c r="K5753" s="2" t="s">
        <v>2477</v>
      </c>
      <c r="L5753" s="2" t="s">
        <v>840</v>
      </c>
      <c r="M5753" s="2">
        <v>74011.0</v>
      </c>
      <c r="N5753" s="2" t="s">
        <v>21</v>
      </c>
    </row>
    <row r="5754" ht="15.75" customHeight="1">
      <c r="A5754" s="2">
        <v>2016.0</v>
      </c>
      <c r="B5754" s="2" t="s">
        <v>24864</v>
      </c>
      <c r="C5754" s="2" t="s">
        <v>17742</v>
      </c>
      <c r="D5754" s="2" t="str">
        <f>"4406374976"</f>
        <v>4406374976</v>
      </c>
      <c r="E5754" s="2" t="s">
        <v>1088</v>
      </c>
      <c r="F5754" s="2" t="s">
        <v>17743</v>
      </c>
      <c r="G5754" s="2" t="str">
        <f>"SR-5103"</f>
        <v>SR-5103</v>
      </c>
      <c r="H5754" s="2" t="s">
        <v>17744</v>
      </c>
      <c r="I5754" s="2" t="s">
        <v>17745</v>
      </c>
      <c r="K5754" s="2" t="s">
        <v>17746</v>
      </c>
      <c r="L5754" s="2" t="s">
        <v>344</v>
      </c>
      <c r="M5754" s="2">
        <v>44065.0</v>
      </c>
      <c r="N5754" s="2" t="s">
        <v>21</v>
      </c>
    </row>
    <row r="5755" ht="15.75" customHeight="1">
      <c r="A5755" s="2">
        <v>2016.0</v>
      </c>
      <c r="B5755" s="2" t="s">
        <v>20149</v>
      </c>
      <c r="C5755" s="2" t="s">
        <v>20149</v>
      </c>
      <c r="D5755" s="2" t="str">
        <f t="shared" ref="D5755:D5756" si="103">"3254367061"</f>
        <v>3254367061</v>
      </c>
      <c r="E5755" s="2" t="s">
        <v>1022</v>
      </c>
      <c r="F5755" s="2" t="s">
        <v>3978</v>
      </c>
      <c r="G5755" s="2" t="str">
        <f>"SR-4925"</f>
        <v>SR-4925</v>
      </c>
      <c r="H5755" s="2" t="s">
        <v>20150</v>
      </c>
      <c r="I5755" s="2" t="s">
        <v>20151</v>
      </c>
      <c r="J5755" s="2" t="s">
        <v>20152</v>
      </c>
      <c r="K5755" s="2" t="s">
        <v>20153</v>
      </c>
      <c r="L5755" s="2" t="s">
        <v>172</v>
      </c>
      <c r="M5755" s="2">
        <v>79545.0</v>
      </c>
      <c r="N5755" s="2" t="s">
        <v>21</v>
      </c>
    </row>
    <row r="5756" ht="15.75" customHeight="1">
      <c r="A5756" s="2">
        <v>2016.0</v>
      </c>
      <c r="B5756" s="2" t="s">
        <v>20149</v>
      </c>
      <c r="C5756" s="2" t="s">
        <v>20149</v>
      </c>
      <c r="D5756" s="2" t="str">
        <f t="shared" si="103"/>
        <v>3254367061</v>
      </c>
      <c r="E5756" s="2" t="s">
        <v>2126</v>
      </c>
      <c r="F5756" s="2" t="s">
        <v>3978</v>
      </c>
      <c r="G5756" s="2" t="str">
        <f>"SR-6241"</f>
        <v>SR-6241</v>
      </c>
      <c r="H5756" s="2" t="s">
        <v>20173</v>
      </c>
      <c r="I5756" s="2" t="s">
        <v>20174</v>
      </c>
      <c r="J5756" s="2" t="s">
        <v>20152</v>
      </c>
      <c r="K5756" s="2" t="s">
        <v>20153</v>
      </c>
      <c r="L5756" s="2" t="s">
        <v>172</v>
      </c>
      <c r="M5756" s="2">
        <v>79545.0</v>
      </c>
      <c r="N5756" s="2" t="s">
        <v>21</v>
      </c>
    </row>
    <row r="5757" ht="15.75" customHeight="1">
      <c r="A5757" s="2">
        <v>2016.0</v>
      </c>
      <c r="B5757" s="2" t="s">
        <v>25069</v>
      </c>
      <c r="C5757" s="2" t="s">
        <v>25070</v>
      </c>
      <c r="D5757" s="2" t="str">
        <f>"808-679-5808"</f>
        <v>808-679-5808</v>
      </c>
      <c r="E5757" s="2" t="s">
        <v>2243</v>
      </c>
      <c r="F5757" s="2" t="s">
        <v>25071</v>
      </c>
      <c r="G5757" s="2" t="str">
        <f>"SR-7927"</f>
        <v>SR-7927</v>
      </c>
      <c r="H5757" s="2" t="s">
        <v>25072</v>
      </c>
      <c r="I5757" s="2" t="s">
        <v>25073</v>
      </c>
      <c r="K5757" s="2" t="s">
        <v>7776</v>
      </c>
      <c r="L5757" s="2" t="s">
        <v>770</v>
      </c>
      <c r="M5757" s="2">
        <v>96816.0</v>
      </c>
      <c r="N5757" s="2" t="s">
        <v>21</v>
      </c>
    </row>
    <row r="5758" ht="15.75" customHeight="1">
      <c r="A5758" s="2">
        <v>2016.0</v>
      </c>
      <c r="B5758" s="2" t="s">
        <v>25074</v>
      </c>
      <c r="C5758" s="2" t="s">
        <v>25075</v>
      </c>
      <c r="D5758" s="2" t="str">
        <f>"(714) 458-0443"</f>
        <v>(714) 458-0443</v>
      </c>
      <c r="E5758" s="2" t="s">
        <v>24</v>
      </c>
      <c r="F5758" s="2" t="s">
        <v>25076</v>
      </c>
      <c r="G5758" s="2" t="str">
        <f>"SR-7947"</f>
        <v>SR-7947</v>
      </c>
      <c r="H5758" s="2" t="s">
        <v>25077</v>
      </c>
      <c r="I5758" s="2" t="s">
        <v>25078</v>
      </c>
      <c r="K5758" s="2" t="s">
        <v>4026</v>
      </c>
      <c r="L5758" s="2" t="s">
        <v>222</v>
      </c>
      <c r="M5758" s="2">
        <v>92804.0</v>
      </c>
      <c r="N5758" s="2" t="s">
        <v>21</v>
      </c>
    </row>
    <row r="5759" ht="15.75" customHeight="1">
      <c r="A5759" s="2">
        <v>2016.0</v>
      </c>
      <c r="B5759" s="2" t="s">
        <v>25079</v>
      </c>
      <c r="C5759" s="2" t="s">
        <v>25079</v>
      </c>
      <c r="D5759" s="2" t="str">
        <f>"2192520048"</f>
        <v>2192520048</v>
      </c>
      <c r="E5759" s="2" t="s">
        <v>25080</v>
      </c>
      <c r="F5759" s="2" t="s">
        <v>7779</v>
      </c>
      <c r="G5759" s="2" t="str">
        <f>"SR-7949"</f>
        <v>SR-7949</v>
      </c>
      <c r="H5759" s="2" t="s">
        <v>25081</v>
      </c>
      <c r="I5759" s="2" t="s">
        <v>25082</v>
      </c>
      <c r="K5759" s="2" t="s">
        <v>25083</v>
      </c>
      <c r="L5759" s="2" t="s">
        <v>7783</v>
      </c>
      <c r="M5759" s="2">
        <v>45663.0</v>
      </c>
      <c r="N5759" s="2" t="s">
        <v>7784</v>
      </c>
    </row>
    <row r="5760" ht="15.75" customHeight="1">
      <c r="A5760" s="2">
        <v>2016.0</v>
      </c>
      <c r="B5760" s="2" t="s">
        <v>2607</v>
      </c>
      <c r="C5760" s="2" t="s">
        <v>25084</v>
      </c>
      <c r="D5760" s="2" t="str">
        <f>"208-589-3780"</f>
        <v>208-589-3780</v>
      </c>
      <c r="E5760" s="2" t="s">
        <v>217</v>
      </c>
      <c r="F5760" s="2" t="s">
        <v>2609</v>
      </c>
      <c r="G5760" s="2" t="str">
        <f>"SR-7952"</f>
        <v>SR-7952</v>
      </c>
      <c r="H5760" s="2" t="s">
        <v>25085</v>
      </c>
      <c r="I5760" s="2" t="s">
        <v>2611</v>
      </c>
      <c r="K5760" s="2" t="s">
        <v>2612</v>
      </c>
      <c r="L5760" s="2" t="s">
        <v>2613</v>
      </c>
      <c r="M5760" s="2">
        <v>83406.0</v>
      </c>
      <c r="N5760" s="2" t="s">
        <v>21</v>
      </c>
    </row>
    <row r="5761" ht="15.75" customHeight="1">
      <c r="A5761" s="2">
        <v>2016.0</v>
      </c>
      <c r="B5761" s="2" t="s">
        <v>25086</v>
      </c>
      <c r="C5761" s="2" t="s">
        <v>25086</v>
      </c>
      <c r="D5761" s="2" t="str">
        <f>"336-929-8864"</f>
        <v>336-929-8864</v>
      </c>
      <c r="E5761" s="2" t="s">
        <v>24251</v>
      </c>
      <c r="F5761" s="2" t="s">
        <v>2063</v>
      </c>
      <c r="G5761" s="2" t="str">
        <f>"SR-7917"</f>
        <v>SR-7917</v>
      </c>
      <c r="H5761" s="2" t="s">
        <v>25087</v>
      </c>
      <c r="I5761" s="2" t="s">
        <v>25088</v>
      </c>
      <c r="K5761" s="2" t="s">
        <v>25089</v>
      </c>
      <c r="L5761" s="2" t="s">
        <v>20</v>
      </c>
      <c r="M5761" s="2">
        <v>27592.0</v>
      </c>
      <c r="N5761" s="2" t="s">
        <v>21</v>
      </c>
    </row>
    <row r="5762" ht="15.75" customHeight="1">
      <c r="A5762" s="2">
        <v>2016.0</v>
      </c>
      <c r="B5762" s="2" t="s">
        <v>6537</v>
      </c>
      <c r="C5762" s="2" t="s">
        <v>6537</v>
      </c>
      <c r="D5762" s="2" t="str">
        <f>"3169926655"</f>
        <v>3169926655</v>
      </c>
      <c r="E5762" s="2" t="s">
        <v>10706</v>
      </c>
      <c r="F5762" s="2" t="s">
        <v>6540</v>
      </c>
      <c r="G5762" s="2" t="str">
        <f>"SR-7958"</f>
        <v>SR-7958</v>
      </c>
      <c r="H5762" s="2" t="s">
        <v>25090</v>
      </c>
      <c r="I5762" s="2" t="s">
        <v>6542</v>
      </c>
      <c r="K5762" s="2" t="s">
        <v>6543</v>
      </c>
      <c r="L5762" s="2" t="s">
        <v>272</v>
      </c>
      <c r="M5762" s="2">
        <v>67012.0</v>
      </c>
      <c r="N5762" s="2" t="s">
        <v>21</v>
      </c>
    </row>
    <row r="5763" ht="15.75" customHeight="1">
      <c r="A5763" s="2">
        <v>2016.0</v>
      </c>
      <c r="B5763" s="2" t="s">
        <v>25091</v>
      </c>
      <c r="C5763" s="2" t="s">
        <v>25092</v>
      </c>
      <c r="D5763" s="2" t="str">
        <f>"2064383111"</f>
        <v>2064383111</v>
      </c>
      <c r="E5763" s="2" t="s">
        <v>25093</v>
      </c>
      <c r="F5763" s="2" t="s">
        <v>25094</v>
      </c>
      <c r="G5763" s="2" t="str">
        <f>"SR-7823"</f>
        <v>SR-7823</v>
      </c>
      <c r="H5763" s="2" t="s">
        <v>25095</v>
      </c>
      <c r="I5763" s="2" t="s">
        <v>25096</v>
      </c>
      <c r="K5763" s="2" t="s">
        <v>25097</v>
      </c>
      <c r="L5763" s="2" t="s">
        <v>86</v>
      </c>
      <c r="M5763" s="2">
        <v>98040.0</v>
      </c>
      <c r="N5763" s="2" t="s">
        <v>21</v>
      </c>
    </row>
    <row r="5764" ht="15.75" customHeight="1">
      <c r="A5764" s="2">
        <v>2016.0</v>
      </c>
      <c r="B5764" s="2" t="s">
        <v>2712</v>
      </c>
      <c r="C5764" s="2" t="s">
        <v>25098</v>
      </c>
      <c r="D5764" s="2" t="str">
        <f>"260-337-5702"</f>
        <v>260-337-5702</v>
      </c>
      <c r="E5764" s="2" t="s">
        <v>6606</v>
      </c>
      <c r="F5764" s="2" t="s">
        <v>2714</v>
      </c>
      <c r="G5764" s="2" t="str">
        <f>"SR-7618"</f>
        <v>SR-7618</v>
      </c>
      <c r="H5764" s="2" t="s">
        <v>25099</v>
      </c>
      <c r="I5764" s="2" t="s">
        <v>18417</v>
      </c>
      <c r="K5764" s="2" t="s">
        <v>18418</v>
      </c>
      <c r="L5764" s="2" t="s">
        <v>149</v>
      </c>
      <c r="M5764" s="2">
        <v>46785.0</v>
      </c>
      <c r="N5764" s="2" t="s">
        <v>21</v>
      </c>
    </row>
    <row r="5765" ht="15.75" customHeight="1">
      <c r="A5765" s="2">
        <v>2016.0</v>
      </c>
      <c r="B5765" s="2" t="s">
        <v>14910</v>
      </c>
      <c r="C5765" s="2" t="s">
        <v>25100</v>
      </c>
      <c r="D5765" s="2" t="str">
        <f>"949-614-3204"</f>
        <v>949-614-3204</v>
      </c>
      <c r="E5765" s="2" t="s">
        <v>2941</v>
      </c>
      <c r="F5765" s="2" t="s">
        <v>701</v>
      </c>
      <c r="G5765" s="2" t="str">
        <f>"SR-7657"</f>
        <v>SR-7657</v>
      </c>
      <c r="H5765" s="2" t="s">
        <v>25101</v>
      </c>
      <c r="I5765" s="2" t="s">
        <v>14913</v>
      </c>
      <c r="K5765" s="2" t="s">
        <v>10926</v>
      </c>
      <c r="L5765" s="2" t="s">
        <v>222</v>
      </c>
      <c r="M5765" s="2">
        <v>92692.0</v>
      </c>
      <c r="N5765" s="2" t="s">
        <v>21</v>
      </c>
    </row>
    <row r="5766" ht="15.75" customHeight="1">
      <c r="A5766" s="2">
        <v>2016.0</v>
      </c>
      <c r="B5766" s="2" t="s">
        <v>25102</v>
      </c>
      <c r="C5766" s="2" t="s">
        <v>25103</v>
      </c>
      <c r="D5766" s="2" t="str">
        <f>"9034543602"</f>
        <v>9034543602</v>
      </c>
      <c r="E5766" s="2" t="s">
        <v>282</v>
      </c>
      <c r="F5766" s="2" t="s">
        <v>25104</v>
      </c>
      <c r="G5766" s="2" t="str">
        <f>"SR-7674"</f>
        <v>SR-7674</v>
      </c>
      <c r="H5766" s="2" t="s">
        <v>25105</v>
      </c>
      <c r="I5766" s="2" t="s">
        <v>25106</v>
      </c>
      <c r="K5766" s="2" t="s">
        <v>54</v>
      </c>
      <c r="L5766" s="2" t="s">
        <v>172</v>
      </c>
      <c r="M5766" s="2">
        <v>75402.0</v>
      </c>
      <c r="N5766" s="2" t="s">
        <v>21</v>
      </c>
    </row>
    <row r="5767" ht="15.75" customHeight="1">
      <c r="A5767" s="2">
        <v>2016.0</v>
      </c>
      <c r="B5767" s="2" t="s">
        <v>25107</v>
      </c>
      <c r="C5767" s="2" t="s">
        <v>25107</v>
      </c>
      <c r="D5767" s="2" t="str">
        <f>"6202182682"</f>
        <v>6202182682</v>
      </c>
      <c r="E5767" s="2" t="s">
        <v>25108</v>
      </c>
      <c r="F5767" s="2" t="s">
        <v>25109</v>
      </c>
      <c r="G5767" s="2" t="str">
        <f>"SR-7733"</f>
        <v>SR-7733</v>
      </c>
      <c r="H5767" s="2" t="s">
        <v>25110</v>
      </c>
      <c r="I5767" s="2" t="s">
        <v>25111</v>
      </c>
      <c r="K5767" s="2" t="s">
        <v>3530</v>
      </c>
      <c r="L5767" s="2" t="s">
        <v>272</v>
      </c>
      <c r="M5767" s="2">
        <v>67156.0</v>
      </c>
      <c r="N5767" s="2" t="s">
        <v>21</v>
      </c>
    </row>
    <row r="5768" ht="15.75" customHeight="1">
      <c r="A5768" s="2">
        <v>2016.0</v>
      </c>
      <c r="B5768" s="2" t="s">
        <v>25112</v>
      </c>
      <c r="C5768" s="2" t="s">
        <v>25112</v>
      </c>
      <c r="D5768" s="2" t="str">
        <f>"971-600-0675"</f>
        <v>971-600-0675</v>
      </c>
      <c r="E5768" s="2" t="s">
        <v>25113</v>
      </c>
      <c r="F5768" s="2" t="s">
        <v>5128</v>
      </c>
      <c r="G5768" s="2" t="str">
        <f>"SR-7919"</f>
        <v>SR-7919</v>
      </c>
      <c r="H5768" s="2" t="s">
        <v>25114</v>
      </c>
      <c r="I5768" s="2" t="s">
        <v>25115</v>
      </c>
      <c r="K5768" s="2" t="s">
        <v>5131</v>
      </c>
      <c r="L5768" s="2" t="s">
        <v>2389</v>
      </c>
      <c r="M5768" s="2">
        <v>97317.0</v>
      </c>
      <c r="N5768" s="2" t="s">
        <v>21</v>
      </c>
    </row>
    <row r="5769" ht="15.75" customHeight="1">
      <c r="A5769" s="2">
        <v>2016.0</v>
      </c>
      <c r="B5769" s="2" t="s">
        <v>25116</v>
      </c>
      <c r="C5769" s="2" t="s">
        <v>25117</v>
      </c>
      <c r="D5769" s="2" t="str">
        <f>"507-649-0967"</f>
        <v>507-649-0967</v>
      </c>
      <c r="E5769" s="2" t="s">
        <v>2361</v>
      </c>
      <c r="F5769" s="2" t="s">
        <v>15652</v>
      </c>
      <c r="G5769" s="2" t="str">
        <f>"SR-7920"</f>
        <v>SR-7920</v>
      </c>
      <c r="H5769" s="2" t="s">
        <v>25118</v>
      </c>
      <c r="I5769" s="2" t="s">
        <v>25119</v>
      </c>
      <c r="K5769" s="2" t="s">
        <v>25120</v>
      </c>
      <c r="L5769" s="2" t="s">
        <v>62</v>
      </c>
      <c r="M5769" s="2">
        <v>55018.0</v>
      </c>
      <c r="N5769" s="2" t="s">
        <v>21</v>
      </c>
    </row>
    <row r="5770" ht="15.75" customHeight="1">
      <c r="A5770" s="2">
        <v>2016.0</v>
      </c>
      <c r="B5770" s="2" t="s">
        <v>25121</v>
      </c>
      <c r="C5770" s="2" t="s">
        <v>25121</v>
      </c>
      <c r="D5770" s="2" t="str">
        <f>"8136439506"</f>
        <v>8136439506</v>
      </c>
      <c r="E5770" s="2" t="s">
        <v>471</v>
      </c>
      <c r="F5770" s="2" t="s">
        <v>11781</v>
      </c>
      <c r="G5770" s="2" t="str">
        <f>"SR-7885"</f>
        <v>SR-7885</v>
      </c>
      <c r="H5770" s="2" t="s">
        <v>25122</v>
      </c>
      <c r="I5770" s="2" t="s">
        <v>25123</v>
      </c>
      <c r="K5770" s="2" t="s">
        <v>2147</v>
      </c>
      <c r="L5770" s="2" t="s">
        <v>208</v>
      </c>
      <c r="M5770" s="2">
        <v>33511.0</v>
      </c>
      <c r="N5770" s="2" t="s">
        <v>21</v>
      </c>
    </row>
    <row r="5771" ht="15.75" customHeight="1">
      <c r="A5771" s="2">
        <v>2016.0</v>
      </c>
      <c r="B5771" s="2" t="s">
        <v>25124</v>
      </c>
      <c r="C5771" s="2" t="s">
        <v>25124</v>
      </c>
      <c r="D5771" s="2" t="str">
        <f>"931-206-7663"</f>
        <v>931-206-7663</v>
      </c>
      <c r="E5771" s="2" t="s">
        <v>282</v>
      </c>
      <c r="F5771" s="2" t="s">
        <v>283</v>
      </c>
      <c r="G5771" s="2" t="str">
        <f>"SR-7279"</f>
        <v>SR-7279</v>
      </c>
      <c r="H5771" s="2" t="s">
        <v>284</v>
      </c>
      <c r="I5771" s="2" t="s">
        <v>25125</v>
      </c>
      <c r="K5771" s="2" t="s">
        <v>2174</v>
      </c>
      <c r="L5771" s="2" t="s">
        <v>279</v>
      </c>
      <c r="M5771" s="2">
        <v>37010.0</v>
      </c>
      <c r="N5771" s="2" t="s">
        <v>21</v>
      </c>
    </row>
    <row r="5772" ht="15.75" customHeight="1">
      <c r="A5772" s="2">
        <v>2016.0</v>
      </c>
      <c r="B5772" s="2" t="s">
        <v>25126</v>
      </c>
      <c r="C5772" s="2" t="s">
        <v>25127</v>
      </c>
      <c r="D5772" s="2" t="str">
        <f>"815-558-5589"</f>
        <v>815-558-5589</v>
      </c>
      <c r="E5772" s="2" t="s">
        <v>3743</v>
      </c>
      <c r="F5772" s="2" t="s">
        <v>863</v>
      </c>
      <c r="G5772" s="2" t="str">
        <f>"SR-7786"</f>
        <v>SR-7786</v>
      </c>
      <c r="H5772" s="2" t="s">
        <v>25128</v>
      </c>
      <c r="I5772" s="2" t="s">
        <v>25129</v>
      </c>
      <c r="K5772" s="2" t="s">
        <v>25130</v>
      </c>
      <c r="L5772" s="2" t="s">
        <v>105</v>
      </c>
      <c r="M5772" s="2">
        <v>61111.0</v>
      </c>
      <c r="N5772" s="2" t="s">
        <v>21</v>
      </c>
    </row>
    <row r="5773" ht="15.75" customHeight="1">
      <c r="A5773" s="2">
        <v>2016.0</v>
      </c>
      <c r="B5773" s="2" t="s">
        <v>25131</v>
      </c>
      <c r="C5773" s="2" t="s">
        <v>25132</v>
      </c>
      <c r="D5773" s="2" t="str">
        <f>"9799210227"</f>
        <v>9799210227</v>
      </c>
      <c r="E5773" s="2" t="s">
        <v>373</v>
      </c>
      <c r="F5773" s="2" t="s">
        <v>4402</v>
      </c>
      <c r="G5773" s="2" t="str">
        <f>"SR-7966"</f>
        <v>SR-7966</v>
      </c>
      <c r="H5773" s="2" t="s">
        <v>25133</v>
      </c>
      <c r="I5773" s="2">
        <v>44930.0</v>
      </c>
      <c r="K5773" s="2" t="s">
        <v>4405</v>
      </c>
      <c r="L5773" s="2" t="s">
        <v>172</v>
      </c>
      <c r="M5773" s="2">
        <v>77445.0</v>
      </c>
      <c r="N5773" s="2" t="s">
        <v>21</v>
      </c>
    </row>
    <row r="5774" ht="15.75" customHeight="1">
      <c r="A5774" s="2">
        <v>2016.0</v>
      </c>
      <c r="B5774" s="2" t="s">
        <v>25134</v>
      </c>
      <c r="C5774" s="2" t="s">
        <v>25135</v>
      </c>
      <c r="D5774" s="2" t="str">
        <f>"602-448-1352"</f>
        <v>602-448-1352</v>
      </c>
      <c r="E5774" s="2" t="s">
        <v>453</v>
      </c>
      <c r="F5774" s="2" t="s">
        <v>25136</v>
      </c>
      <c r="G5774" s="2" t="str">
        <f>"SR-7967"</f>
        <v>SR-7967</v>
      </c>
      <c r="H5774" s="2" t="s">
        <v>25137</v>
      </c>
      <c r="I5774" s="2" t="s">
        <v>25138</v>
      </c>
      <c r="K5774" s="2" t="s">
        <v>4675</v>
      </c>
      <c r="L5774" s="2" t="s">
        <v>422</v>
      </c>
      <c r="M5774" s="2">
        <v>85233.0</v>
      </c>
      <c r="N5774" s="2" t="s">
        <v>21</v>
      </c>
    </row>
    <row r="5775" ht="15.75" customHeight="1">
      <c r="A5775" s="2">
        <v>2016.0</v>
      </c>
      <c r="B5775" s="2" t="s">
        <v>25139</v>
      </c>
      <c r="C5775" s="2" t="s">
        <v>25139</v>
      </c>
      <c r="D5775" s="2" t="str">
        <f>"440-670-1995"</f>
        <v>440-670-1995</v>
      </c>
      <c r="E5775" s="2" t="s">
        <v>7512</v>
      </c>
      <c r="F5775" s="2" t="s">
        <v>25140</v>
      </c>
      <c r="G5775" s="2" t="str">
        <f>"SR-7620"</f>
        <v>SR-7620</v>
      </c>
      <c r="H5775" s="2" t="s">
        <v>25141</v>
      </c>
      <c r="I5775" s="2" t="s">
        <v>25142</v>
      </c>
      <c r="K5775" s="2" t="s">
        <v>25143</v>
      </c>
      <c r="L5775" s="2" t="s">
        <v>344</v>
      </c>
      <c r="M5775" s="2">
        <v>44035.0</v>
      </c>
      <c r="N5775" s="2" t="s">
        <v>21</v>
      </c>
    </row>
    <row r="5776" ht="15.75" customHeight="1">
      <c r="A5776" s="2">
        <v>2016.0</v>
      </c>
      <c r="B5776" s="2" t="s">
        <v>25144</v>
      </c>
      <c r="C5776" s="2" t="s">
        <v>25145</v>
      </c>
      <c r="D5776" s="2" t="str">
        <f>"5873415435"</f>
        <v>5873415435</v>
      </c>
      <c r="E5776" s="2" t="s">
        <v>353</v>
      </c>
      <c r="F5776" s="2" t="s">
        <v>13833</v>
      </c>
      <c r="G5776" s="2" t="str">
        <f>"SR-7965"</f>
        <v>SR-7965</v>
      </c>
      <c r="H5776" s="2" t="s">
        <v>25146</v>
      </c>
      <c r="I5776" s="2">
        <v>14423.0</v>
      </c>
      <c r="J5776" s="2" t="s">
        <v>25147</v>
      </c>
      <c r="K5776" s="2" t="s">
        <v>13836</v>
      </c>
      <c r="L5776" s="2" t="s">
        <v>6726</v>
      </c>
      <c r="M5776" s="2" t="s">
        <v>25148</v>
      </c>
      <c r="N5776" s="2" t="s">
        <v>1602</v>
      </c>
    </row>
    <row r="5777" ht="15.75" customHeight="1">
      <c r="A5777" s="2">
        <v>2016.0</v>
      </c>
      <c r="B5777" s="2" t="s">
        <v>20217</v>
      </c>
      <c r="C5777" s="2" t="s">
        <v>20217</v>
      </c>
      <c r="D5777" s="2" t="str">
        <f>"325-573-4028"</f>
        <v>325-573-4028</v>
      </c>
      <c r="E5777" s="2" t="s">
        <v>2126</v>
      </c>
      <c r="F5777" s="2" t="s">
        <v>20218</v>
      </c>
      <c r="G5777" s="2" t="str">
        <f>"SR-6254"</f>
        <v>SR-6254</v>
      </c>
      <c r="H5777" s="2" t="s">
        <v>20219</v>
      </c>
      <c r="I5777" s="2" t="s">
        <v>20220</v>
      </c>
      <c r="K5777" s="2" t="s">
        <v>3236</v>
      </c>
      <c r="L5777" s="2" t="s">
        <v>172</v>
      </c>
      <c r="M5777" s="2">
        <v>79549.0</v>
      </c>
      <c r="N5777" s="2" t="s">
        <v>21</v>
      </c>
    </row>
    <row r="5778" ht="15.75" customHeight="1">
      <c r="A5778" s="2">
        <v>2016.0</v>
      </c>
      <c r="B5778" s="2" t="s">
        <v>25149</v>
      </c>
      <c r="C5778" s="2" t="s">
        <v>25149</v>
      </c>
      <c r="D5778" s="2" t="str">
        <f>"9798203729"</f>
        <v>9798203729</v>
      </c>
      <c r="E5778" s="2" t="s">
        <v>7145</v>
      </c>
      <c r="F5778" s="2" t="s">
        <v>472</v>
      </c>
      <c r="G5778" s="2" t="str">
        <f>"SR-7876"</f>
        <v>SR-7876</v>
      </c>
      <c r="H5778" s="2" t="s">
        <v>25150</v>
      </c>
      <c r="I5778" s="2" t="s">
        <v>25151</v>
      </c>
      <c r="K5778" s="2" t="s">
        <v>25152</v>
      </c>
      <c r="L5778" s="2" t="s">
        <v>172</v>
      </c>
      <c r="M5778" s="2">
        <v>77808.0</v>
      </c>
      <c r="N5778" s="2" t="s">
        <v>21</v>
      </c>
    </row>
    <row r="5779" ht="15.75" customHeight="1">
      <c r="A5779" s="2">
        <v>2016.0</v>
      </c>
      <c r="B5779" s="2" t="s">
        <v>25153</v>
      </c>
      <c r="C5779" s="2" t="s">
        <v>25154</v>
      </c>
      <c r="D5779" s="2" t="str">
        <f>"3202836039"</f>
        <v>3202836039</v>
      </c>
      <c r="E5779" s="2" t="s">
        <v>160</v>
      </c>
      <c r="F5779" s="2" t="s">
        <v>25155</v>
      </c>
      <c r="G5779" s="2" t="str">
        <f>"SR-7868"</f>
        <v>SR-7868</v>
      </c>
      <c r="H5779" s="2" t="s">
        <v>25156</v>
      </c>
      <c r="I5779" s="2" t="s">
        <v>25157</v>
      </c>
      <c r="K5779" s="2" t="s">
        <v>25158</v>
      </c>
      <c r="L5779" s="2" t="s">
        <v>62</v>
      </c>
      <c r="M5779" s="2">
        <v>56327.0</v>
      </c>
      <c r="N5779" s="2" t="s">
        <v>21</v>
      </c>
    </row>
    <row r="5780" ht="15.75" customHeight="1">
      <c r="A5780" s="2">
        <v>2016.0</v>
      </c>
      <c r="B5780" s="2" t="s">
        <v>25159</v>
      </c>
      <c r="C5780" s="2" t="s">
        <v>25160</v>
      </c>
      <c r="D5780" s="2" t="str">
        <f>"719-266-5819"</f>
        <v>719-266-5819</v>
      </c>
      <c r="E5780" s="2" t="s">
        <v>1088</v>
      </c>
      <c r="F5780" s="2" t="s">
        <v>2154</v>
      </c>
      <c r="G5780" s="2" t="str">
        <f>"SR-7978"</f>
        <v>SR-7978</v>
      </c>
      <c r="H5780" s="2" t="s">
        <v>25161</v>
      </c>
      <c r="I5780" s="2" t="s">
        <v>25162</v>
      </c>
      <c r="K5780" s="2" t="s">
        <v>809</v>
      </c>
      <c r="L5780" s="2" t="s">
        <v>157</v>
      </c>
      <c r="M5780" s="2">
        <v>80920.0</v>
      </c>
      <c r="N5780" s="2" t="s">
        <v>21</v>
      </c>
    </row>
    <row r="5781" ht="15.75" customHeight="1">
      <c r="A5781" s="2">
        <v>2016.0</v>
      </c>
      <c r="B5781" s="2" t="s">
        <v>25163</v>
      </c>
      <c r="C5781" s="2" t="s">
        <v>25164</v>
      </c>
      <c r="D5781" s="2" t="str">
        <f>"2699248146"</f>
        <v>2699248146</v>
      </c>
      <c r="E5781" s="2" t="s">
        <v>1197</v>
      </c>
      <c r="F5781" s="2" t="s">
        <v>1151</v>
      </c>
      <c r="G5781" s="2" t="str">
        <f>"SR-7946"</f>
        <v>SR-7946</v>
      </c>
      <c r="H5781" s="2" t="s">
        <v>25165</v>
      </c>
      <c r="I5781" s="2" t="s">
        <v>25166</v>
      </c>
      <c r="K5781" s="2" t="s">
        <v>6402</v>
      </c>
      <c r="L5781" s="2" t="s">
        <v>29</v>
      </c>
      <c r="M5781" s="2">
        <v>49017.0</v>
      </c>
      <c r="N5781" s="2" t="s">
        <v>21</v>
      </c>
    </row>
    <row r="5782" ht="15.75" customHeight="1">
      <c r="A5782" s="2">
        <v>2016.0</v>
      </c>
      <c r="B5782" s="2" t="s">
        <v>25167</v>
      </c>
      <c r="C5782" s="2" t="s">
        <v>25168</v>
      </c>
      <c r="D5782" s="2" t="str">
        <f>"951.348.5001"</f>
        <v>951.348.5001</v>
      </c>
      <c r="E5782" s="2" t="s">
        <v>1197</v>
      </c>
      <c r="F5782" s="2" t="s">
        <v>25169</v>
      </c>
      <c r="G5782" s="2" t="str">
        <f>"SR-7979"</f>
        <v>SR-7979</v>
      </c>
      <c r="H5782" s="2" t="s">
        <v>25170</v>
      </c>
      <c r="I5782" s="2" t="s">
        <v>25171</v>
      </c>
      <c r="K5782" s="2" t="s">
        <v>25172</v>
      </c>
      <c r="L5782" s="2" t="s">
        <v>222</v>
      </c>
      <c r="M5782" s="2">
        <v>92595.0</v>
      </c>
      <c r="N5782" s="2" t="s">
        <v>21</v>
      </c>
    </row>
    <row r="5783" ht="15.75" customHeight="1">
      <c r="A5783" s="2">
        <v>2016.0</v>
      </c>
      <c r="B5783" s="2" t="s">
        <v>23296</v>
      </c>
      <c r="C5783" s="2" t="s">
        <v>23296</v>
      </c>
      <c r="D5783" s="2" t="str">
        <f>"2165441037"</f>
        <v>2165441037</v>
      </c>
      <c r="E5783" s="2" t="s">
        <v>5858</v>
      </c>
      <c r="F5783" s="2" t="s">
        <v>23297</v>
      </c>
      <c r="G5783" s="2" t="str">
        <f>"SR-7174"</f>
        <v>SR-7174</v>
      </c>
      <c r="H5783" s="2" t="s">
        <v>23298</v>
      </c>
      <c r="I5783" s="2" t="s">
        <v>25173</v>
      </c>
      <c r="K5783" s="2" t="s">
        <v>5855</v>
      </c>
      <c r="L5783" s="2" t="s">
        <v>172</v>
      </c>
      <c r="M5783" s="2">
        <v>77388.0</v>
      </c>
      <c r="N5783" s="2" t="s">
        <v>21</v>
      </c>
    </row>
    <row r="5784" ht="15.75" customHeight="1">
      <c r="A5784" s="2">
        <v>2016.0</v>
      </c>
      <c r="B5784" s="2" t="s">
        <v>25174</v>
      </c>
      <c r="C5784" s="2" t="s">
        <v>25174</v>
      </c>
      <c r="D5784" s="2" t="str">
        <f>"5309137472"</f>
        <v>5309137472</v>
      </c>
      <c r="E5784" s="2" t="s">
        <v>580</v>
      </c>
      <c r="F5784" s="2" t="s">
        <v>25175</v>
      </c>
      <c r="G5784" s="2" t="str">
        <f>"SR-7905"</f>
        <v>SR-7905</v>
      </c>
      <c r="H5784" s="2" t="s">
        <v>25176</v>
      </c>
      <c r="I5784" s="2" t="s">
        <v>25177</v>
      </c>
      <c r="K5784" s="2" t="s">
        <v>6374</v>
      </c>
      <c r="L5784" s="2" t="s">
        <v>222</v>
      </c>
      <c r="M5784" s="2">
        <v>95949.0</v>
      </c>
      <c r="N5784" s="2" t="s">
        <v>21</v>
      </c>
    </row>
    <row r="5785" ht="15.75" customHeight="1">
      <c r="A5785" s="2">
        <v>2016.0</v>
      </c>
      <c r="B5785" s="2" t="s">
        <v>25178</v>
      </c>
      <c r="C5785" s="2" t="s">
        <v>25179</v>
      </c>
      <c r="D5785" s="2" t="str">
        <f>"610-799-6625"</f>
        <v>610-799-6625</v>
      </c>
      <c r="E5785" s="2" t="s">
        <v>386</v>
      </c>
      <c r="F5785" s="2" t="s">
        <v>457</v>
      </c>
      <c r="G5785" s="2" t="str">
        <f>"SR-7510"</f>
        <v>SR-7510</v>
      </c>
      <c r="H5785" s="2" t="s">
        <v>25180</v>
      </c>
      <c r="I5785" s="2" t="s">
        <v>25181</v>
      </c>
      <c r="K5785" s="2" t="s">
        <v>25182</v>
      </c>
      <c r="L5785" s="2" t="s">
        <v>179</v>
      </c>
      <c r="M5785" s="2">
        <v>18078.0</v>
      </c>
      <c r="N5785" s="2" t="s">
        <v>21</v>
      </c>
    </row>
    <row r="5786" ht="15.75" customHeight="1">
      <c r="A5786" s="2">
        <v>2016.0</v>
      </c>
      <c r="B5786" s="2" t="s">
        <v>25183</v>
      </c>
      <c r="C5786" s="2" t="s">
        <v>25183</v>
      </c>
      <c r="D5786" s="2" t="str">
        <f>"434-738-7696"</f>
        <v>434-738-7696</v>
      </c>
      <c r="E5786" s="2" t="s">
        <v>4871</v>
      </c>
      <c r="F5786" s="2" t="s">
        <v>25184</v>
      </c>
      <c r="G5786" s="2" t="str">
        <f>"SR-7985"</f>
        <v>SR-7985</v>
      </c>
      <c r="H5786" s="2" t="s">
        <v>25185</v>
      </c>
      <c r="I5786" s="2" t="s">
        <v>25186</v>
      </c>
      <c r="K5786" s="2" t="s">
        <v>3671</v>
      </c>
      <c r="L5786" s="2" t="s">
        <v>165</v>
      </c>
      <c r="M5786" s="2">
        <v>23927.0</v>
      </c>
      <c r="N5786" s="2" t="s">
        <v>21</v>
      </c>
    </row>
    <row r="5787" ht="15.75" customHeight="1">
      <c r="A5787" s="2">
        <v>2016.0</v>
      </c>
      <c r="B5787" s="2" t="s">
        <v>25187</v>
      </c>
      <c r="C5787" s="2" t="s">
        <v>25188</v>
      </c>
      <c r="D5787" s="2" t="str">
        <f>"970.402.4827"</f>
        <v>970.402.4827</v>
      </c>
      <c r="E5787" s="2" t="s">
        <v>8887</v>
      </c>
      <c r="F5787" s="2" t="s">
        <v>1151</v>
      </c>
      <c r="G5787" s="2" t="str">
        <f>"SR-7357"</f>
        <v>SR-7357</v>
      </c>
      <c r="H5787" s="2" t="s">
        <v>25189</v>
      </c>
      <c r="I5787" s="2" t="s">
        <v>25190</v>
      </c>
      <c r="K5787" s="2" t="s">
        <v>656</v>
      </c>
      <c r="L5787" s="2" t="s">
        <v>157</v>
      </c>
      <c r="M5787" s="2">
        <v>80526.0</v>
      </c>
      <c r="N5787" s="2" t="s">
        <v>21</v>
      </c>
    </row>
    <row r="5788" ht="15.75" customHeight="1">
      <c r="A5788" s="2">
        <v>2016.0</v>
      </c>
      <c r="B5788" s="2" t="s">
        <v>25191</v>
      </c>
      <c r="C5788" s="2" t="s">
        <v>25191</v>
      </c>
      <c r="D5788" s="2" t="str">
        <f>"(912) 650-3494"</f>
        <v>(912) 650-3494</v>
      </c>
      <c r="E5788" s="2" t="s">
        <v>1135</v>
      </c>
      <c r="F5788" s="2" t="s">
        <v>10622</v>
      </c>
      <c r="G5788" s="2" t="str">
        <f>"SR-7980"</f>
        <v>SR-7980</v>
      </c>
      <c r="H5788" s="2" t="s">
        <v>10649</v>
      </c>
      <c r="I5788" s="2" t="s">
        <v>10650</v>
      </c>
      <c r="K5788" s="2" t="s">
        <v>1239</v>
      </c>
      <c r="L5788" s="2" t="s">
        <v>200</v>
      </c>
      <c r="M5788" s="2">
        <v>31406.0</v>
      </c>
      <c r="N5788" s="2" t="s">
        <v>21</v>
      </c>
    </row>
    <row r="5789" ht="15.75" customHeight="1">
      <c r="A5789" s="2">
        <v>2016.0</v>
      </c>
      <c r="B5789" s="2" t="s">
        <v>25192</v>
      </c>
      <c r="C5789" s="2" t="s">
        <v>25193</v>
      </c>
      <c r="D5789" s="2" t="str">
        <f>"301-268-1920"</f>
        <v>301-268-1920</v>
      </c>
      <c r="E5789" s="2" t="s">
        <v>5414</v>
      </c>
      <c r="F5789" s="2" t="s">
        <v>9946</v>
      </c>
      <c r="G5789" s="2" t="str">
        <f>"SR-7911"</f>
        <v>SR-7911</v>
      </c>
      <c r="H5789" s="2" t="s">
        <v>25194</v>
      </c>
      <c r="I5789" s="2" t="s">
        <v>9948</v>
      </c>
      <c r="K5789" s="2" t="s">
        <v>9949</v>
      </c>
      <c r="L5789" s="2" t="s">
        <v>1868</v>
      </c>
      <c r="M5789" s="2">
        <v>21502.0</v>
      </c>
      <c r="N5789" s="2" t="s">
        <v>21</v>
      </c>
    </row>
    <row r="5790" ht="15.75" customHeight="1">
      <c r="A5790" s="2">
        <v>2016.0</v>
      </c>
      <c r="B5790" s="2" t="s">
        <v>25195</v>
      </c>
      <c r="C5790" s="2" t="s">
        <v>25195</v>
      </c>
      <c r="D5790" s="2" t="str">
        <f>"979-450-9211"</f>
        <v>979-450-9211</v>
      </c>
      <c r="E5790" s="2" t="s">
        <v>2361</v>
      </c>
      <c r="F5790" s="2" t="s">
        <v>25196</v>
      </c>
      <c r="G5790" s="2" t="str">
        <f>"SR-7991"</f>
        <v>SR-7991</v>
      </c>
      <c r="H5790" s="2" t="s">
        <v>25197</v>
      </c>
      <c r="I5790" s="2" t="s">
        <v>25198</v>
      </c>
      <c r="K5790" s="2" t="s">
        <v>1190</v>
      </c>
      <c r="L5790" s="2" t="s">
        <v>172</v>
      </c>
      <c r="M5790" s="2">
        <v>77808.0</v>
      </c>
      <c r="N5790" s="2" t="s">
        <v>21</v>
      </c>
    </row>
    <row r="5791" ht="15.75" customHeight="1">
      <c r="A5791" s="2">
        <v>2016.0</v>
      </c>
      <c r="B5791" s="2" t="s">
        <v>12315</v>
      </c>
      <c r="D5791" s="2" t="str">
        <f>""</f>
        <v/>
      </c>
      <c r="E5791" s="2" t="s">
        <v>16129</v>
      </c>
      <c r="F5791" s="2" t="s">
        <v>9752</v>
      </c>
      <c r="G5791" s="2" t="str">
        <f>"SR-7956"</f>
        <v>SR-7956</v>
      </c>
      <c r="H5791" s="2" t="s">
        <v>25199</v>
      </c>
      <c r="N5791" s="2" t="s">
        <v>21</v>
      </c>
    </row>
    <row r="5792" ht="15.75" customHeight="1">
      <c r="A5792" s="2">
        <v>2016.0</v>
      </c>
      <c r="B5792" s="2" t="s">
        <v>25200</v>
      </c>
      <c r="C5792" s="2" t="s">
        <v>25201</v>
      </c>
      <c r="D5792" s="2" t="str">
        <f>"5743777246"</f>
        <v>5743777246</v>
      </c>
      <c r="E5792" s="2" t="s">
        <v>6032</v>
      </c>
      <c r="F5792" s="2" t="s">
        <v>4981</v>
      </c>
      <c r="G5792" s="2" t="str">
        <f>"SR-4802"</f>
        <v>SR-4802</v>
      </c>
      <c r="H5792" s="2" t="s">
        <v>25202</v>
      </c>
      <c r="I5792" s="2" t="s">
        <v>25203</v>
      </c>
      <c r="K5792" s="2" t="s">
        <v>5763</v>
      </c>
      <c r="L5792" s="2" t="s">
        <v>149</v>
      </c>
      <c r="M5792" s="2">
        <v>46580.0</v>
      </c>
      <c r="N5792" s="2" t="s">
        <v>21</v>
      </c>
    </row>
    <row r="5793" ht="15.75" customHeight="1">
      <c r="A5793" s="2">
        <v>2016.0</v>
      </c>
      <c r="B5793" s="2" t="s">
        <v>25204</v>
      </c>
      <c r="C5793" s="2" t="s">
        <v>25204</v>
      </c>
      <c r="D5793" s="2" t="str">
        <f>"1(207)653-8335"</f>
        <v>1(207)653-8335</v>
      </c>
      <c r="E5793" s="2" t="s">
        <v>167</v>
      </c>
      <c r="F5793" s="2" t="s">
        <v>25205</v>
      </c>
      <c r="G5793" s="2" t="str">
        <f>"SR-7614"</f>
        <v>SR-7614</v>
      </c>
      <c r="H5793" s="2" t="s">
        <v>25206</v>
      </c>
      <c r="I5793" s="2" t="s">
        <v>25207</v>
      </c>
      <c r="K5793" s="2" t="s">
        <v>25208</v>
      </c>
      <c r="L5793" s="2" t="s">
        <v>3737</v>
      </c>
      <c r="M5793" s="2">
        <v>4096.0</v>
      </c>
      <c r="N5793" s="2" t="s">
        <v>21</v>
      </c>
    </row>
    <row r="5794" ht="15.75" customHeight="1">
      <c r="A5794" s="2">
        <v>2016.0</v>
      </c>
      <c r="B5794" s="2" t="s">
        <v>25209</v>
      </c>
      <c r="C5794" s="2" t="s">
        <v>25210</v>
      </c>
      <c r="D5794" s="2" t="str">
        <f>"7014251520"</f>
        <v>7014251520</v>
      </c>
      <c r="E5794" s="2" t="s">
        <v>25211</v>
      </c>
      <c r="F5794" s="2" t="s">
        <v>4492</v>
      </c>
      <c r="G5794" s="2" t="str">
        <f>"SR-7988"</f>
        <v>SR-7988</v>
      </c>
      <c r="H5794" s="2" t="s">
        <v>25212</v>
      </c>
      <c r="I5794" s="2" t="s">
        <v>25213</v>
      </c>
      <c r="K5794" s="2" t="s">
        <v>4495</v>
      </c>
      <c r="L5794" s="2" t="s">
        <v>2534</v>
      </c>
      <c r="M5794" s="2">
        <v>58554.0</v>
      </c>
      <c r="N5794" s="2" t="s">
        <v>21</v>
      </c>
    </row>
    <row r="5795" ht="15.75" customHeight="1">
      <c r="A5795" s="2">
        <v>2016.0</v>
      </c>
      <c r="B5795" s="2" t="s">
        <v>18699</v>
      </c>
      <c r="C5795" s="2" t="s">
        <v>18699</v>
      </c>
      <c r="D5795" s="2" t="str">
        <f>"605-390-1193"</f>
        <v>605-390-1193</v>
      </c>
      <c r="E5795" s="2" t="s">
        <v>167</v>
      </c>
      <c r="F5795" s="2" t="s">
        <v>18700</v>
      </c>
      <c r="G5795" s="2" t="str">
        <f>"SR-7809"</f>
        <v>SR-7809</v>
      </c>
      <c r="H5795" s="2" t="s">
        <v>18701</v>
      </c>
      <c r="I5795" s="2" t="s">
        <v>18702</v>
      </c>
      <c r="K5795" s="2" t="s">
        <v>18379</v>
      </c>
      <c r="L5795" s="2" t="s">
        <v>920</v>
      </c>
      <c r="M5795" s="2">
        <v>57793.0</v>
      </c>
      <c r="N5795" s="2" t="s">
        <v>21</v>
      </c>
    </row>
    <row r="5796" ht="15.75" customHeight="1">
      <c r="A5796" s="2">
        <v>2016.0</v>
      </c>
      <c r="B5796" s="2" t="s">
        <v>19490</v>
      </c>
      <c r="C5796" s="2" t="s">
        <v>25214</v>
      </c>
      <c r="D5796" s="2" t="str">
        <f>"9137826069"</f>
        <v>9137826069</v>
      </c>
      <c r="E5796" s="2" t="s">
        <v>9558</v>
      </c>
      <c r="F5796" s="2" t="s">
        <v>2954</v>
      </c>
      <c r="G5796" s="2" t="str">
        <f>"SR-7882"</f>
        <v>SR-7882</v>
      </c>
      <c r="H5796" s="2" t="s">
        <v>25215</v>
      </c>
      <c r="I5796" s="2" t="s">
        <v>25216</v>
      </c>
      <c r="K5796" s="2" t="s">
        <v>1067</v>
      </c>
      <c r="L5796" s="2" t="s">
        <v>272</v>
      </c>
      <c r="M5796" s="2">
        <v>66062.0</v>
      </c>
      <c r="N5796" s="2" t="s">
        <v>21</v>
      </c>
    </row>
    <row r="5797" ht="15.75" customHeight="1">
      <c r="A5797" s="2">
        <v>2016.0</v>
      </c>
      <c r="B5797" s="2" t="s">
        <v>19490</v>
      </c>
      <c r="C5797" s="2" t="s">
        <v>25217</v>
      </c>
      <c r="D5797" s="2" t="str">
        <f>"91332150914"</f>
        <v>91332150914</v>
      </c>
      <c r="E5797" s="2" t="s">
        <v>4604</v>
      </c>
      <c r="F5797" s="2" t="s">
        <v>2954</v>
      </c>
      <c r="G5797" s="2" t="str">
        <f>"SR-7880"</f>
        <v>SR-7880</v>
      </c>
      <c r="H5797" s="2" t="s">
        <v>25218</v>
      </c>
      <c r="I5797" s="2" t="s">
        <v>25219</v>
      </c>
      <c r="J5797" s="2" t="s">
        <v>25220</v>
      </c>
      <c r="K5797" s="2" t="s">
        <v>1067</v>
      </c>
      <c r="L5797" s="2" t="s">
        <v>272</v>
      </c>
      <c r="M5797" s="2">
        <v>66062.0</v>
      </c>
      <c r="N5797" s="2" t="s">
        <v>21</v>
      </c>
    </row>
    <row r="5798" ht="15.75" customHeight="1">
      <c r="A5798" s="2">
        <v>2016.0</v>
      </c>
      <c r="B5798" s="2" t="s">
        <v>25221</v>
      </c>
      <c r="C5798" s="2" t="s">
        <v>25221</v>
      </c>
      <c r="D5798" s="2" t="str">
        <f>"8705307196"</f>
        <v>8705307196</v>
      </c>
      <c r="E5798" s="2" t="s">
        <v>12755</v>
      </c>
      <c r="F5798" s="2" t="s">
        <v>25222</v>
      </c>
      <c r="G5798" s="2" t="str">
        <f>"SR-7711"</f>
        <v>SR-7711</v>
      </c>
      <c r="H5798" s="2" t="s">
        <v>25223</v>
      </c>
      <c r="I5798" s="2" t="s">
        <v>25224</v>
      </c>
      <c r="K5798" s="2" t="s">
        <v>25225</v>
      </c>
      <c r="L5798" s="2" t="s">
        <v>1012</v>
      </c>
      <c r="M5798" s="2">
        <v>72419.0</v>
      </c>
      <c r="N5798" s="2" t="s">
        <v>21</v>
      </c>
    </row>
    <row r="5799" ht="15.75" customHeight="1">
      <c r="A5799" s="2">
        <v>2016.0</v>
      </c>
      <c r="B5799" s="2" t="s">
        <v>25226</v>
      </c>
      <c r="C5799" s="2" t="s">
        <v>25227</v>
      </c>
      <c r="D5799" s="2" t="str">
        <f>"4056846119"</f>
        <v>4056846119</v>
      </c>
      <c r="E5799" s="2" t="s">
        <v>2681</v>
      </c>
      <c r="F5799" s="2" t="s">
        <v>25228</v>
      </c>
      <c r="G5799" s="2" t="str">
        <f>"SR-7851"</f>
        <v>SR-7851</v>
      </c>
      <c r="H5799" s="2" t="s">
        <v>25229</v>
      </c>
      <c r="I5799" s="2" t="s">
        <v>25230</v>
      </c>
      <c r="K5799" s="2" t="s">
        <v>2870</v>
      </c>
      <c r="L5799" s="2" t="s">
        <v>840</v>
      </c>
      <c r="M5799" s="2">
        <v>73026.0</v>
      </c>
      <c r="N5799" s="2" t="s">
        <v>21</v>
      </c>
    </row>
    <row r="5800" ht="15.75" customHeight="1">
      <c r="A5800" s="2">
        <v>2016.0</v>
      </c>
      <c r="B5800" s="2" t="s">
        <v>25231</v>
      </c>
      <c r="C5800" s="2" t="s">
        <v>25231</v>
      </c>
      <c r="D5800" s="2" t="str">
        <f>"919-524-7420"</f>
        <v>919-524-7420</v>
      </c>
      <c r="E5800" s="2" t="s">
        <v>203</v>
      </c>
      <c r="F5800" s="2" t="s">
        <v>25232</v>
      </c>
      <c r="G5800" s="2" t="str">
        <f>"SR-7601"</f>
        <v>SR-7601</v>
      </c>
      <c r="H5800" s="2" t="s">
        <v>25233</v>
      </c>
      <c r="I5800" s="2" t="s">
        <v>25234</v>
      </c>
      <c r="K5800" s="2" t="s">
        <v>2378</v>
      </c>
      <c r="L5800" s="2" t="s">
        <v>20</v>
      </c>
      <c r="M5800" s="2">
        <v>27520.0</v>
      </c>
      <c r="N5800" s="2" t="s">
        <v>21</v>
      </c>
    </row>
    <row r="5801" ht="15.75" customHeight="1">
      <c r="A5801" s="2">
        <v>2016.0</v>
      </c>
      <c r="B5801" s="2" t="s">
        <v>25235</v>
      </c>
      <c r="C5801" s="2" t="s">
        <v>25236</v>
      </c>
      <c r="D5801" s="2" t="str">
        <f>"612-554-4243"</f>
        <v>612-554-4243</v>
      </c>
      <c r="E5801" s="2" t="s">
        <v>25237</v>
      </c>
      <c r="F5801" s="2" t="s">
        <v>25238</v>
      </c>
      <c r="G5801" s="2" t="str">
        <f>"SR-8007"</f>
        <v>SR-8007</v>
      </c>
      <c r="H5801" s="2" t="s">
        <v>25239</v>
      </c>
      <c r="I5801" s="2" t="s">
        <v>25240</v>
      </c>
      <c r="K5801" s="2" t="s">
        <v>25241</v>
      </c>
      <c r="L5801" s="2" t="s">
        <v>62</v>
      </c>
      <c r="M5801" s="2">
        <v>55429.0</v>
      </c>
      <c r="N5801" s="2" t="s">
        <v>21</v>
      </c>
    </row>
    <row r="5802" ht="15.75" customHeight="1">
      <c r="A5802" s="2">
        <v>2016.0</v>
      </c>
      <c r="B5802" s="2" t="s">
        <v>25242</v>
      </c>
      <c r="C5802" s="2" t="s">
        <v>25243</v>
      </c>
      <c r="D5802" s="2" t="str">
        <f>"260-868-9905"</f>
        <v>260-868-9905</v>
      </c>
      <c r="E5802" s="2" t="s">
        <v>25244</v>
      </c>
      <c r="F5802" s="2" t="s">
        <v>1151</v>
      </c>
      <c r="G5802" s="2" t="str">
        <f>"SR-8012"</f>
        <v>SR-8012</v>
      </c>
      <c r="H5802" s="2" t="s">
        <v>25245</v>
      </c>
      <c r="I5802" s="2" t="s">
        <v>25246</v>
      </c>
      <c r="K5802" s="2" t="s">
        <v>15730</v>
      </c>
      <c r="L5802" s="2" t="s">
        <v>149</v>
      </c>
      <c r="M5802" s="2">
        <v>46721.0</v>
      </c>
      <c r="N5802" s="2" t="s">
        <v>21</v>
      </c>
    </row>
    <row r="5803" ht="15.75" customHeight="1">
      <c r="A5803" s="2">
        <v>2016.0</v>
      </c>
      <c r="B5803" s="2" t="s">
        <v>25247</v>
      </c>
      <c r="C5803" s="2" t="s">
        <v>25248</v>
      </c>
      <c r="D5803" s="2" t="str">
        <f>"407-534-9317"</f>
        <v>407-534-9317</v>
      </c>
      <c r="E5803" s="2" t="s">
        <v>50</v>
      </c>
      <c r="F5803" s="2" t="s">
        <v>25249</v>
      </c>
      <c r="G5803" s="2" t="str">
        <f>"SR-7845"</f>
        <v>SR-7845</v>
      </c>
      <c r="H5803" s="2" t="s">
        <v>25250</v>
      </c>
      <c r="I5803" s="2" t="s">
        <v>25251</v>
      </c>
      <c r="K5803" s="2" t="s">
        <v>299</v>
      </c>
      <c r="L5803" s="2" t="s">
        <v>208</v>
      </c>
      <c r="M5803" s="2">
        <v>32751.0</v>
      </c>
      <c r="N5803" s="2" t="s">
        <v>21</v>
      </c>
    </row>
    <row r="5804" ht="15.75" customHeight="1">
      <c r="A5804" s="2">
        <v>2016.0</v>
      </c>
      <c r="B5804" s="2" t="s">
        <v>25252</v>
      </c>
      <c r="C5804" s="2" t="s">
        <v>25252</v>
      </c>
      <c r="D5804" s="2" t="str">
        <f>"720-382-9920"</f>
        <v>720-382-9920</v>
      </c>
      <c r="E5804" s="2" t="s">
        <v>25253</v>
      </c>
      <c r="F5804" s="2" t="s">
        <v>25254</v>
      </c>
      <c r="G5804" s="2" t="str">
        <f>"SR-7998"</f>
        <v>SR-7998</v>
      </c>
      <c r="H5804" s="2" t="s">
        <v>25255</v>
      </c>
      <c r="I5804" s="2" t="s">
        <v>25256</v>
      </c>
      <c r="K5804" s="2" t="s">
        <v>1889</v>
      </c>
      <c r="L5804" s="2" t="s">
        <v>157</v>
      </c>
      <c r="M5804" s="2">
        <v>80125.0</v>
      </c>
      <c r="N5804" s="2" t="s">
        <v>21</v>
      </c>
    </row>
    <row r="5805" ht="15.75" customHeight="1">
      <c r="A5805" s="2">
        <v>2016.0</v>
      </c>
      <c r="B5805" s="2" t="s">
        <v>16701</v>
      </c>
      <c r="C5805" s="2" t="s">
        <v>25257</v>
      </c>
      <c r="D5805" s="2" t="str">
        <f>"9084050217"</f>
        <v>9084050217</v>
      </c>
      <c r="E5805" s="2" t="s">
        <v>453</v>
      </c>
      <c r="F5805" s="2" t="s">
        <v>16703</v>
      </c>
      <c r="G5805" s="2" t="str">
        <f>"SR-8014"</f>
        <v>SR-8014</v>
      </c>
      <c r="H5805" s="2" t="s">
        <v>25258</v>
      </c>
      <c r="I5805" s="2" t="s">
        <v>25259</v>
      </c>
      <c r="K5805" s="2" t="s">
        <v>16705</v>
      </c>
      <c r="L5805" s="2" t="s">
        <v>3618</v>
      </c>
      <c r="M5805" s="2">
        <v>7063.0</v>
      </c>
      <c r="N5805" s="2" t="s">
        <v>21</v>
      </c>
    </row>
    <row r="5806" ht="15.75" customHeight="1">
      <c r="A5806" s="2">
        <v>2016.0</v>
      </c>
      <c r="B5806" s="2" t="s">
        <v>25260</v>
      </c>
      <c r="D5806" s="2" t="str">
        <f>"4087225431"</f>
        <v>4087225431</v>
      </c>
      <c r="E5806" s="2" t="s">
        <v>25261</v>
      </c>
      <c r="F5806" s="2" t="s">
        <v>25262</v>
      </c>
      <c r="G5806" s="2" t="str">
        <f>"SR-7509"</f>
        <v>SR-7509</v>
      </c>
      <c r="H5806" s="2" t="s">
        <v>25263</v>
      </c>
      <c r="I5806" s="2" t="s">
        <v>25264</v>
      </c>
      <c r="K5806" s="2" t="s">
        <v>25265</v>
      </c>
      <c r="L5806" s="2" t="s">
        <v>222</v>
      </c>
      <c r="M5806" s="2">
        <v>95020.0</v>
      </c>
      <c r="N5806" s="2" t="s">
        <v>21</v>
      </c>
    </row>
    <row r="5807" ht="15.75" customHeight="1">
      <c r="A5807" s="2">
        <v>2016.0</v>
      </c>
      <c r="B5807" s="2" t="s">
        <v>18197</v>
      </c>
      <c r="C5807" s="2" t="s">
        <v>18198</v>
      </c>
      <c r="D5807" s="2" t="str">
        <f>"540-955-0584"</f>
        <v>540-955-0584</v>
      </c>
      <c r="E5807" s="2" t="s">
        <v>288</v>
      </c>
      <c r="F5807" s="2" t="s">
        <v>18199</v>
      </c>
      <c r="G5807" s="2" t="str">
        <f>"SR-5610"</f>
        <v>SR-5610</v>
      </c>
      <c r="H5807" s="2" t="s">
        <v>18200</v>
      </c>
      <c r="I5807" s="2" t="s">
        <v>18201</v>
      </c>
      <c r="K5807" s="2" t="s">
        <v>2461</v>
      </c>
      <c r="L5807" s="2" t="s">
        <v>165</v>
      </c>
      <c r="M5807" s="2">
        <v>22611.0</v>
      </c>
      <c r="N5807" s="2" t="s">
        <v>21</v>
      </c>
    </row>
    <row r="5808" ht="15.75" customHeight="1">
      <c r="A5808" s="2">
        <v>2016.0</v>
      </c>
      <c r="B5808" s="2" t="s">
        <v>25266</v>
      </c>
      <c r="C5808" s="2" t="s">
        <v>25267</v>
      </c>
      <c r="D5808" s="2" t="str">
        <f>"501-773-0807"</f>
        <v>501-773-0807</v>
      </c>
      <c r="E5808" s="2" t="s">
        <v>3191</v>
      </c>
      <c r="F5808" s="2" t="s">
        <v>5414</v>
      </c>
      <c r="G5808" s="2" t="str">
        <f>"SR-7505"</f>
        <v>SR-7505</v>
      </c>
      <c r="H5808" s="2" t="s">
        <v>25268</v>
      </c>
      <c r="I5808" s="2" t="s">
        <v>25269</v>
      </c>
      <c r="K5808" s="2" t="s">
        <v>11971</v>
      </c>
      <c r="L5808" s="2" t="s">
        <v>1012</v>
      </c>
      <c r="M5808" s="2">
        <v>72135.0</v>
      </c>
      <c r="N5808" s="2" t="s">
        <v>21</v>
      </c>
    </row>
    <row r="5809" ht="15.75" customHeight="1">
      <c r="A5809" s="2">
        <v>2016.0</v>
      </c>
      <c r="B5809" s="2" t="s">
        <v>25270</v>
      </c>
      <c r="C5809" s="2" t="s">
        <v>25271</v>
      </c>
      <c r="D5809" s="2" t="str">
        <f>"916-801-9935"</f>
        <v>916-801-9935</v>
      </c>
      <c r="E5809" s="2" t="s">
        <v>528</v>
      </c>
      <c r="F5809" s="2" t="s">
        <v>1151</v>
      </c>
      <c r="G5809" s="2" t="str">
        <f>"SR-8002"</f>
        <v>SR-8002</v>
      </c>
      <c r="H5809" s="2" t="s">
        <v>25272</v>
      </c>
      <c r="I5809" s="2" t="s">
        <v>25273</v>
      </c>
      <c r="K5809" s="2" t="s">
        <v>5924</v>
      </c>
      <c r="L5809" s="2" t="s">
        <v>222</v>
      </c>
      <c r="M5809" s="2">
        <v>95624.0</v>
      </c>
      <c r="N5809" s="2" t="s">
        <v>21</v>
      </c>
    </row>
    <row r="5810" ht="15.75" customHeight="1">
      <c r="A5810" s="2">
        <v>2016.0</v>
      </c>
      <c r="B5810" s="2" t="s">
        <v>25274</v>
      </c>
      <c r="C5810" s="2" t="s">
        <v>25275</v>
      </c>
      <c r="D5810" s="2" t="str">
        <f>"303-681-3698"</f>
        <v>303-681-3698</v>
      </c>
      <c r="E5810" s="2" t="s">
        <v>25276</v>
      </c>
      <c r="F5810" s="2" t="s">
        <v>25277</v>
      </c>
      <c r="G5810" s="2" t="str">
        <f>"SR-7869"</f>
        <v>SR-7869</v>
      </c>
      <c r="H5810" s="2" t="s">
        <v>25278</v>
      </c>
      <c r="I5810" s="2" t="s">
        <v>25279</v>
      </c>
      <c r="K5810" s="2" t="s">
        <v>1889</v>
      </c>
      <c r="L5810" s="2" t="s">
        <v>157</v>
      </c>
      <c r="M5810" s="2">
        <v>80127.0</v>
      </c>
      <c r="N5810" s="2" t="s">
        <v>21</v>
      </c>
    </row>
    <row r="5811" ht="15.75" customHeight="1">
      <c r="A5811" s="2">
        <v>2016.0</v>
      </c>
      <c r="B5811" s="2" t="s">
        <v>25280</v>
      </c>
      <c r="C5811" s="2" t="s">
        <v>25280</v>
      </c>
      <c r="D5811" s="2" t="str">
        <f>"9076228827"</f>
        <v>9076228827</v>
      </c>
      <c r="E5811" s="2" t="s">
        <v>25281</v>
      </c>
      <c r="F5811" s="2" t="s">
        <v>1726</v>
      </c>
      <c r="G5811" s="2" t="str">
        <f>"SR-7552"</f>
        <v>SR-7552</v>
      </c>
      <c r="H5811" s="2" t="s">
        <v>25282</v>
      </c>
      <c r="I5811" s="2" t="s">
        <v>1728</v>
      </c>
      <c r="K5811" s="2" t="s">
        <v>1729</v>
      </c>
      <c r="L5811" s="2" t="s">
        <v>70</v>
      </c>
      <c r="M5811" s="2">
        <v>99577.0</v>
      </c>
      <c r="N5811" s="2" t="s">
        <v>21</v>
      </c>
    </row>
    <row r="5812" ht="15.75" customHeight="1">
      <c r="A5812" s="2">
        <v>2016.0</v>
      </c>
      <c r="B5812" s="2" t="s">
        <v>25283</v>
      </c>
      <c r="C5812" s="2" t="s">
        <v>25284</v>
      </c>
      <c r="D5812" s="2" t="str">
        <f>"2144558043"</f>
        <v>2144558043</v>
      </c>
      <c r="E5812" s="2" t="s">
        <v>25285</v>
      </c>
      <c r="F5812" s="2" t="s">
        <v>25286</v>
      </c>
      <c r="G5812" s="2" t="str">
        <f>"SR-7538"</f>
        <v>SR-7538</v>
      </c>
      <c r="H5812" s="2" t="s">
        <v>25287</v>
      </c>
      <c r="I5812" s="2" t="s">
        <v>25288</v>
      </c>
      <c r="K5812" s="2" t="s">
        <v>25289</v>
      </c>
      <c r="L5812" s="2" t="s">
        <v>172</v>
      </c>
      <c r="M5812" s="2">
        <v>75035.0</v>
      </c>
      <c r="N5812" s="2" t="s">
        <v>21</v>
      </c>
    </row>
    <row r="5813" ht="15.75" customHeight="1">
      <c r="A5813" s="2">
        <v>2016.0</v>
      </c>
      <c r="B5813" s="2" t="s">
        <v>25290</v>
      </c>
      <c r="C5813" s="2" t="s">
        <v>25291</v>
      </c>
      <c r="D5813" s="2" t="str">
        <f>"8318013958"</f>
        <v>8318013958</v>
      </c>
      <c r="E5813" s="2" t="s">
        <v>25292</v>
      </c>
      <c r="F5813" s="2" t="s">
        <v>25293</v>
      </c>
      <c r="G5813" s="2" t="str">
        <f>"SR-8020"</f>
        <v>SR-8020</v>
      </c>
      <c r="H5813" s="2" t="s">
        <v>25294</v>
      </c>
      <c r="I5813" s="2" t="s">
        <v>25295</v>
      </c>
      <c r="K5813" s="2" t="s">
        <v>14257</v>
      </c>
      <c r="L5813" s="2" t="s">
        <v>222</v>
      </c>
      <c r="M5813" s="2">
        <v>95023.0</v>
      </c>
      <c r="N5813" s="2" t="s">
        <v>21</v>
      </c>
    </row>
    <row r="5814" ht="15.75" customHeight="1">
      <c r="A5814" s="2">
        <v>2016.0</v>
      </c>
      <c r="B5814" s="2" t="s">
        <v>4344</v>
      </c>
      <c r="C5814" s="2" t="s">
        <v>25296</v>
      </c>
      <c r="D5814" s="2" t="str">
        <f>"281-351-6033"</f>
        <v>281-351-6033</v>
      </c>
      <c r="E5814" s="2" t="s">
        <v>339</v>
      </c>
      <c r="F5814" s="2" t="s">
        <v>4347</v>
      </c>
      <c r="G5814" s="2" t="str">
        <f>"SR-8013"</f>
        <v>SR-8013</v>
      </c>
      <c r="H5814" s="2" t="s">
        <v>16599</v>
      </c>
      <c r="I5814" s="2" t="s">
        <v>12534</v>
      </c>
      <c r="K5814" s="2" t="s">
        <v>4350</v>
      </c>
      <c r="L5814" s="2" t="s">
        <v>172</v>
      </c>
      <c r="M5814" s="2">
        <v>77377.0</v>
      </c>
      <c r="N5814" s="2" t="s">
        <v>21</v>
      </c>
    </row>
    <row r="5815" ht="15.75" customHeight="1">
      <c r="A5815" s="2">
        <v>2016.0</v>
      </c>
      <c r="B5815" s="2" t="s">
        <v>25297</v>
      </c>
      <c r="C5815" s="2" t="s">
        <v>25298</v>
      </c>
      <c r="D5815" s="2" t="str">
        <f>"501-581-1165"</f>
        <v>501-581-1165</v>
      </c>
      <c r="E5815" s="2" t="s">
        <v>25299</v>
      </c>
      <c r="F5815" s="2" t="s">
        <v>4648</v>
      </c>
      <c r="G5815" s="2" t="str">
        <f>"SR-7379"</f>
        <v>SR-7379</v>
      </c>
      <c r="H5815" s="2" t="s">
        <v>25300</v>
      </c>
      <c r="I5815" s="2" t="s">
        <v>25301</v>
      </c>
      <c r="K5815" s="2" t="s">
        <v>24872</v>
      </c>
      <c r="L5815" s="2" t="s">
        <v>1012</v>
      </c>
      <c r="M5815" s="2">
        <v>72058.0</v>
      </c>
      <c r="N5815" s="2" t="s">
        <v>21</v>
      </c>
    </row>
    <row r="5816" ht="15.75" customHeight="1">
      <c r="A5816" s="2">
        <v>2016.0</v>
      </c>
      <c r="B5816" s="2" t="s">
        <v>25302</v>
      </c>
      <c r="C5816" s="2" t="s">
        <v>25302</v>
      </c>
      <c r="D5816" s="2" t="str">
        <f>"9522155277"</f>
        <v>9522155277</v>
      </c>
      <c r="E5816" s="2" t="s">
        <v>14745</v>
      </c>
      <c r="F5816" s="2" t="s">
        <v>4171</v>
      </c>
      <c r="G5816" s="2" t="str">
        <f>"SR-8024"</f>
        <v>SR-8024</v>
      </c>
      <c r="H5816" s="2" t="s">
        <v>25303</v>
      </c>
      <c r="I5816" s="2" t="s">
        <v>14933</v>
      </c>
      <c r="K5816" s="2" t="s">
        <v>25304</v>
      </c>
      <c r="L5816" s="2" t="s">
        <v>62</v>
      </c>
      <c r="M5816" s="2">
        <v>55364.0</v>
      </c>
      <c r="N5816" s="2" t="s">
        <v>21</v>
      </c>
    </row>
    <row r="5817" ht="15.75" customHeight="1">
      <c r="A5817" s="2">
        <v>2016.0</v>
      </c>
      <c r="B5817" s="2" t="s">
        <v>25305</v>
      </c>
      <c r="C5817" s="2" t="s">
        <v>25305</v>
      </c>
      <c r="D5817" s="2" t="str">
        <f>"6185410661"</f>
        <v>6185410661</v>
      </c>
      <c r="E5817" s="2" t="s">
        <v>2378</v>
      </c>
      <c r="F5817" s="2" t="s">
        <v>24782</v>
      </c>
      <c r="G5817" s="2" t="str">
        <f>"SR-7964"</f>
        <v>SR-7964</v>
      </c>
      <c r="H5817" s="2" t="s">
        <v>25306</v>
      </c>
      <c r="I5817" s="2" t="s">
        <v>25307</v>
      </c>
      <c r="K5817" s="2" t="s">
        <v>25308</v>
      </c>
      <c r="L5817" s="2" t="s">
        <v>105</v>
      </c>
      <c r="M5817" s="2">
        <v>62002.0</v>
      </c>
      <c r="N5817" s="2" t="s">
        <v>21</v>
      </c>
    </row>
    <row r="5818" ht="15.75" customHeight="1">
      <c r="A5818" s="2">
        <v>2016.0</v>
      </c>
      <c r="B5818" s="2" t="s">
        <v>25309</v>
      </c>
      <c r="C5818" s="2" t="s">
        <v>25310</v>
      </c>
      <c r="D5818" s="2" t="str">
        <f>"972-439-7019"</f>
        <v>972-439-7019</v>
      </c>
      <c r="E5818" s="2" t="s">
        <v>25311</v>
      </c>
      <c r="F5818" s="2" t="s">
        <v>25312</v>
      </c>
      <c r="G5818" s="2" t="str">
        <f>"SR-7970"</f>
        <v>SR-7970</v>
      </c>
      <c r="H5818" s="2" t="s">
        <v>25313</v>
      </c>
      <c r="I5818" s="2" t="s">
        <v>25314</v>
      </c>
      <c r="K5818" s="2" t="s">
        <v>25315</v>
      </c>
      <c r="L5818" s="2" t="s">
        <v>172</v>
      </c>
      <c r="M5818" s="2">
        <v>75013.0</v>
      </c>
      <c r="N5818" s="2" t="s">
        <v>21</v>
      </c>
    </row>
    <row r="5819" ht="15.75" customHeight="1">
      <c r="A5819" s="2">
        <v>2016.0</v>
      </c>
      <c r="B5819" s="2" t="s">
        <v>25316</v>
      </c>
      <c r="C5819" s="2" t="s">
        <v>25317</v>
      </c>
      <c r="D5819" s="2" t="str">
        <f>"832-724-9865"</f>
        <v>832-724-9865</v>
      </c>
      <c r="E5819" s="2" t="s">
        <v>167</v>
      </c>
      <c r="F5819" s="2" t="s">
        <v>25318</v>
      </c>
      <c r="G5819" s="2" t="str">
        <f>"SR-8025"</f>
        <v>SR-8025</v>
      </c>
      <c r="H5819" s="2" t="s">
        <v>25319</v>
      </c>
      <c r="I5819" s="2" t="s">
        <v>25320</v>
      </c>
      <c r="K5819" s="2" t="s">
        <v>4405</v>
      </c>
      <c r="L5819" s="2" t="s">
        <v>172</v>
      </c>
      <c r="M5819" s="2">
        <v>77445.0</v>
      </c>
      <c r="N5819" s="2" t="s">
        <v>21</v>
      </c>
    </row>
    <row r="5820" ht="15.75" customHeight="1">
      <c r="A5820" s="2">
        <v>2016.0</v>
      </c>
      <c r="B5820" s="2" t="s">
        <v>3484</v>
      </c>
      <c r="C5820" s="2" t="s">
        <v>25321</v>
      </c>
      <c r="D5820" s="2" t="str">
        <f>"(309) 944-2328"</f>
        <v>(309) 944-2328</v>
      </c>
      <c r="E5820" s="2" t="s">
        <v>301</v>
      </c>
      <c r="F5820" s="2" t="s">
        <v>3485</v>
      </c>
      <c r="G5820" s="2" t="str">
        <f>"SR-8032"</f>
        <v>SR-8032</v>
      </c>
      <c r="H5820" s="2" t="s">
        <v>25322</v>
      </c>
      <c r="I5820" s="2" t="s">
        <v>3487</v>
      </c>
      <c r="K5820" s="2" t="s">
        <v>3488</v>
      </c>
      <c r="L5820" s="2" t="s">
        <v>105</v>
      </c>
      <c r="M5820" s="2">
        <v>61277.0</v>
      </c>
      <c r="N5820" s="2" t="s">
        <v>21</v>
      </c>
    </row>
    <row r="5821" ht="15.75" customHeight="1">
      <c r="A5821" s="2">
        <v>2016.0</v>
      </c>
      <c r="B5821" s="2" t="s">
        <v>25323</v>
      </c>
      <c r="C5821" s="2" t="s">
        <v>25323</v>
      </c>
      <c r="D5821" s="2" t="str">
        <f>"518 624 6675"</f>
        <v>518 624 6675</v>
      </c>
      <c r="E5821" s="2" t="s">
        <v>25324</v>
      </c>
      <c r="F5821" s="2" t="s">
        <v>25325</v>
      </c>
      <c r="G5821" s="2" t="str">
        <f>"SR-7938"</f>
        <v>SR-7938</v>
      </c>
      <c r="H5821" s="2" t="s">
        <v>25326</v>
      </c>
      <c r="I5821" s="2" t="s">
        <v>25327</v>
      </c>
      <c r="K5821" s="2" t="s">
        <v>7340</v>
      </c>
      <c r="L5821" s="2" t="s">
        <v>142</v>
      </c>
      <c r="M5821" s="2">
        <v>12847.0</v>
      </c>
      <c r="N5821" s="2" t="s">
        <v>21</v>
      </c>
    </row>
    <row r="5822" ht="15.75" customHeight="1">
      <c r="A5822" s="2">
        <v>2016.0</v>
      </c>
      <c r="B5822" s="2" t="s">
        <v>25328</v>
      </c>
      <c r="C5822" s="2" t="s">
        <v>25329</v>
      </c>
      <c r="D5822" s="2" t="str">
        <f>"7858108318"</f>
        <v>7858108318</v>
      </c>
      <c r="E5822" s="2" t="s">
        <v>25330</v>
      </c>
      <c r="F5822" s="2" t="s">
        <v>2667</v>
      </c>
      <c r="G5822" s="2" t="str">
        <f>"SR-4956"</f>
        <v>SR-4956</v>
      </c>
      <c r="H5822" s="2" t="s">
        <v>25331</v>
      </c>
      <c r="I5822" s="2" t="s">
        <v>25332</v>
      </c>
      <c r="K5822" s="2" t="s">
        <v>1807</v>
      </c>
      <c r="L5822" s="2" t="s">
        <v>272</v>
      </c>
      <c r="M5822" s="2">
        <v>66502.0</v>
      </c>
      <c r="N5822" s="2" t="s">
        <v>21</v>
      </c>
    </row>
    <row r="5823" ht="15.75" customHeight="1">
      <c r="A5823" s="2">
        <v>2016.0</v>
      </c>
      <c r="B5823" s="2" t="s">
        <v>13193</v>
      </c>
      <c r="C5823" s="2" t="s">
        <v>13194</v>
      </c>
      <c r="D5823" s="2" t="str">
        <f>"5126892419"</f>
        <v>5126892419</v>
      </c>
      <c r="E5823" s="2" t="s">
        <v>1306</v>
      </c>
      <c r="F5823" s="2" t="s">
        <v>13195</v>
      </c>
      <c r="G5823" s="2" t="str">
        <f>"SR-3367"</f>
        <v>SR-3367</v>
      </c>
      <c r="H5823" s="2" t="s">
        <v>13196</v>
      </c>
      <c r="I5823" s="2" t="s">
        <v>13197</v>
      </c>
      <c r="K5823" s="2" t="s">
        <v>1141</v>
      </c>
      <c r="L5823" s="2" t="s">
        <v>172</v>
      </c>
      <c r="M5823" s="2">
        <v>78716.0</v>
      </c>
      <c r="N5823" s="2" t="s">
        <v>21</v>
      </c>
    </row>
    <row r="5824" ht="15.75" customHeight="1">
      <c r="A5824" s="2">
        <v>2016.0</v>
      </c>
      <c r="B5824" s="2" t="s">
        <v>25333</v>
      </c>
      <c r="C5824" s="2" t="s">
        <v>25333</v>
      </c>
      <c r="D5824" s="2" t="str">
        <f>"7272783884"</f>
        <v>7272783884</v>
      </c>
      <c r="E5824" s="2" t="s">
        <v>9470</v>
      </c>
      <c r="F5824" s="2" t="s">
        <v>25334</v>
      </c>
      <c r="G5824" s="2" t="str">
        <f>"SR-8018"</f>
        <v>SR-8018</v>
      </c>
      <c r="H5824" s="2" t="s">
        <v>25335</v>
      </c>
      <c r="I5824" s="2" t="s">
        <v>25336</v>
      </c>
      <c r="K5824" s="2" t="s">
        <v>20444</v>
      </c>
      <c r="L5824" s="2" t="s">
        <v>208</v>
      </c>
      <c r="M5824" s="2">
        <v>33782.0</v>
      </c>
      <c r="N5824" s="2" t="s">
        <v>21</v>
      </c>
    </row>
    <row r="5825" ht="15.75" customHeight="1">
      <c r="A5825" s="2">
        <v>2016.0</v>
      </c>
      <c r="B5825" s="2" t="s">
        <v>25337</v>
      </c>
      <c r="C5825" s="2" t="s">
        <v>25338</v>
      </c>
      <c r="D5825" s="2" t="str">
        <f>"701-722-3911"</f>
        <v>701-722-3911</v>
      </c>
      <c r="E5825" s="2" t="s">
        <v>12135</v>
      </c>
      <c r="F5825" s="2" t="s">
        <v>25339</v>
      </c>
      <c r="G5825" s="2" t="str">
        <f>"SR-7776"</f>
        <v>SR-7776</v>
      </c>
      <c r="H5825" s="2" t="s">
        <v>25340</v>
      </c>
      <c r="I5825" s="2" t="s">
        <v>25341</v>
      </c>
      <c r="K5825" s="2" t="s">
        <v>528</v>
      </c>
      <c r="L5825" s="2" t="s">
        <v>2534</v>
      </c>
      <c r="M5825" s="2">
        <v>58759.0</v>
      </c>
      <c r="N5825" s="2" t="s">
        <v>21</v>
      </c>
    </row>
    <row r="5826" ht="15.75" customHeight="1">
      <c r="A5826" s="2">
        <v>2016.0</v>
      </c>
      <c r="B5826" s="2" t="s">
        <v>25342</v>
      </c>
      <c r="C5826" s="2" t="s">
        <v>25342</v>
      </c>
      <c r="D5826" s="2" t="str">
        <f>"9796900769"</f>
        <v>9796900769</v>
      </c>
      <c r="E5826" s="2" t="s">
        <v>705</v>
      </c>
      <c r="F5826" s="2" t="s">
        <v>25343</v>
      </c>
      <c r="G5826" s="2" t="str">
        <f>"SR-7906"</f>
        <v>SR-7906</v>
      </c>
      <c r="H5826" s="2" t="s">
        <v>25344</v>
      </c>
      <c r="I5826" s="2" t="s">
        <v>25345</v>
      </c>
      <c r="K5826" s="2" t="s">
        <v>2969</v>
      </c>
      <c r="L5826" s="2" t="s">
        <v>172</v>
      </c>
      <c r="M5826" s="2">
        <v>77845.0</v>
      </c>
      <c r="N5826" s="2" t="s">
        <v>21</v>
      </c>
    </row>
    <row r="5827" ht="15.75" customHeight="1">
      <c r="A5827" s="2">
        <v>2016.0</v>
      </c>
      <c r="B5827" s="2" t="s">
        <v>25346</v>
      </c>
      <c r="C5827" s="2" t="s">
        <v>25347</v>
      </c>
      <c r="D5827" s="2" t="str">
        <f>"65 92950348"</f>
        <v>65 92950348</v>
      </c>
      <c r="E5827" s="2" t="s">
        <v>2814</v>
      </c>
      <c r="F5827" s="2" t="s">
        <v>2753</v>
      </c>
      <c r="G5827" s="2" t="str">
        <f>"SR-8036"</f>
        <v>SR-8036</v>
      </c>
      <c r="H5827" s="2" t="s">
        <v>25348</v>
      </c>
      <c r="I5827" s="2" t="s">
        <v>25349</v>
      </c>
      <c r="J5827" s="2" t="s">
        <v>25350</v>
      </c>
      <c r="K5827" s="2" t="s">
        <v>8433</v>
      </c>
      <c r="M5827" s="2">
        <v>823175.0</v>
      </c>
      <c r="N5827" s="2" t="s">
        <v>8433</v>
      </c>
    </row>
    <row r="5828" ht="15.75" customHeight="1">
      <c r="A5828" s="2">
        <v>2016.0</v>
      </c>
      <c r="B5828" s="2" t="s">
        <v>25351</v>
      </c>
      <c r="C5828" s="2" t="s">
        <v>25352</v>
      </c>
      <c r="D5828" s="2" t="str">
        <f>"6496205692"</f>
        <v>6496205692</v>
      </c>
      <c r="E5828" s="2" t="s">
        <v>160</v>
      </c>
      <c r="F5828" s="2" t="s">
        <v>4678</v>
      </c>
      <c r="G5828" s="2" t="str">
        <f>"SR-7976"</f>
        <v>SR-7976</v>
      </c>
      <c r="H5828" s="2" t="s">
        <v>25353</v>
      </c>
      <c r="I5828" s="2" t="s">
        <v>25354</v>
      </c>
      <c r="J5828" s="2" t="s">
        <v>25355</v>
      </c>
      <c r="K5828" s="2" t="s">
        <v>25356</v>
      </c>
      <c r="L5828" s="2" t="s">
        <v>25356</v>
      </c>
      <c r="M5828" s="2">
        <v>1041.0</v>
      </c>
      <c r="N5828" s="2" t="s">
        <v>702</v>
      </c>
    </row>
    <row r="5829" ht="15.75" customHeight="1">
      <c r="A5829" s="2">
        <v>2016.0</v>
      </c>
      <c r="B5829" s="2" t="s">
        <v>25346</v>
      </c>
      <c r="C5829" s="2" t="s">
        <v>25357</v>
      </c>
      <c r="D5829" s="2" t="str">
        <f>"65 9 2950981"</f>
        <v>65 9 2950981</v>
      </c>
      <c r="E5829" s="2" t="s">
        <v>339</v>
      </c>
      <c r="F5829" s="2" t="s">
        <v>2753</v>
      </c>
      <c r="G5829" s="2" t="str">
        <f>"SR-7987"</f>
        <v>SR-7987</v>
      </c>
      <c r="H5829" s="2" t="s">
        <v>25358</v>
      </c>
      <c r="I5829" s="2" t="s">
        <v>25349</v>
      </c>
      <c r="J5829" s="2" t="s">
        <v>25350</v>
      </c>
      <c r="K5829" s="2" t="s">
        <v>8433</v>
      </c>
      <c r="M5829" s="2">
        <v>823175.0</v>
      </c>
      <c r="N5829" s="2" t="s">
        <v>8433</v>
      </c>
    </row>
    <row r="5830" ht="15.75" customHeight="1">
      <c r="A5830" s="2">
        <v>2016.0</v>
      </c>
      <c r="B5830" s="2" t="s">
        <v>25359</v>
      </c>
      <c r="C5830" s="2" t="s">
        <v>25360</v>
      </c>
      <c r="D5830" s="2" t="str">
        <f>"6153259195"</f>
        <v>6153259195</v>
      </c>
      <c r="E5830" s="2" t="s">
        <v>1239</v>
      </c>
      <c r="F5830" s="2" t="s">
        <v>25361</v>
      </c>
      <c r="G5830" s="2" t="str">
        <f>"SR-8023"</f>
        <v>SR-8023</v>
      </c>
      <c r="H5830" s="2" t="s">
        <v>25362</v>
      </c>
      <c r="I5830" s="2" t="s">
        <v>25363</v>
      </c>
      <c r="K5830" s="2" t="s">
        <v>2828</v>
      </c>
      <c r="L5830" s="2" t="s">
        <v>279</v>
      </c>
      <c r="M5830" s="2">
        <v>37148.0</v>
      </c>
      <c r="N5830" s="2" t="s">
        <v>21</v>
      </c>
    </row>
    <row r="5831" ht="15.75" customHeight="1">
      <c r="A5831" s="2">
        <v>2016.0</v>
      </c>
      <c r="B5831" s="2" t="s">
        <v>25364</v>
      </c>
      <c r="C5831" s="2" t="s">
        <v>25364</v>
      </c>
      <c r="D5831" s="2" t="str">
        <f>"2255883133"</f>
        <v>2255883133</v>
      </c>
      <c r="E5831" s="2" t="s">
        <v>25365</v>
      </c>
      <c r="F5831" s="2" t="s">
        <v>25366</v>
      </c>
      <c r="G5831" s="2" t="str">
        <f>"SR-7753"</f>
        <v>SR-7753</v>
      </c>
      <c r="H5831" s="2" t="s">
        <v>25367</v>
      </c>
      <c r="I5831" s="2" t="s">
        <v>25368</v>
      </c>
      <c r="K5831" s="2" t="s">
        <v>3654</v>
      </c>
      <c r="L5831" s="2" t="s">
        <v>715</v>
      </c>
      <c r="M5831" s="2">
        <v>70817.0</v>
      </c>
      <c r="N5831" s="2" t="s">
        <v>21</v>
      </c>
    </row>
    <row r="5832" ht="15.75" customHeight="1">
      <c r="A5832" s="2">
        <v>2016.0</v>
      </c>
      <c r="B5832" s="2" t="s">
        <v>4004</v>
      </c>
      <c r="C5832" s="2" t="s">
        <v>4004</v>
      </c>
      <c r="D5832" s="2" t="str">
        <f>"760-258-5961"</f>
        <v>760-258-5961</v>
      </c>
      <c r="E5832" s="2" t="s">
        <v>4005</v>
      </c>
      <c r="F5832" s="2" t="s">
        <v>3144</v>
      </c>
      <c r="G5832" s="2" t="str">
        <f>"SR-8042"</f>
        <v>SR-8042</v>
      </c>
      <c r="H5832" s="2" t="s">
        <v>4006</v>
      </c>
      <c r="I5832" s="2" t="s">
        <v>25369</v>
      </c>
      <c r="K5832" s="2" t="s">
        <v>809</v>
      </c>
      <c r="L5832" s="2" t="s">
        <v>157</v>
      </c>
      <c r="M5832" s="2">
        <v>80917.0</v>
      </c>
      <c r="N5832" s="2" t="s">
        <v>21</v>
      </c>
    </row>
    <row r="5833" ht="15.75" customHeight="1">
      <c r="A5833" s="2">
        <v>2016.0</v>
      </c>
      <c r="B5833" s="2" t="s">
        <v>25370</v>
      </c>
      <c r="C5833" s="2" t="s">
        <v>25371</v>
      </c>
      <c r="D5833" s="2" t="str">
        <f>"813158404"</f>
        <v>813158404</v>
      </c>
      <c r="E5833" s="2" t="s">
        <v>2309</v>
      </c>
      <c r="F5833" s="2" t="s">
        <v>25372</v>
      </c>
      <c r="G5833" s="2" t="str">
        <f>"SR-8045"</f>
        <v>SR-8045</v>
      </c>
      <c r="H5833" s="2" t="s">
        <v>25373</v>
      </c>
      <c r="I5833" s="2" t="s">
        <v>25374</v>
      </c>
      <c r="K5833" s="2" t="s">
        <v>2147</v>
      </c>
      <c r="L5833" s="2" t="s">
        <v>208</v>
      </c>
      <c r="M5833" s="2">
        <v>33511.0</v>
      </c>
      <c r="N5833" s="2" t="s">
        <v>21</v>
      </c>
    </row>
    <row r="5834" ht="15.75" customHeight="1">
      <c r="A5834" s="2">
        <v>2016.0</v>
      </c>
      <c r="B5834" s="2" t="s">
        <v>25375</v>
      </c>
      <c r="C5834" s="2" t="s">
        <v>25376</v>
      </c>
      <c r="D5834" s="2" t="str">
        <f>"303-948-8810"</f>
        <v>303-948-8810</v>
      </c>
      <c r="E5834" s="2" t="s">
        <v>160</v>
      </c>
      <c r="F5834" s="2" t="s">
        <v>25377</v>
      </c>
      <c r="G5834" s="2" t="str">
        <f>"SR-7992"</f>
        <v>SR-7992</v>
      </c>
      <c r="H5834" s="2" t="s">
        <v>25378</v>
      </c>
      <c r="I5834" s="2" t="s">
        <v>25379</v>
      </c>
      <c r="K5834" s="2" t="s">
        <v>1889</v>
      </c>
      <c r="L5834" s="2" t="s">
        <v>157</v>
      </c>
      <c r="M5834" s="2">
        <v>80128.0</v>
      </c>
      <c r="N5834" s="2" t="s">
        <v>21</v>
      </c>
    </row>
    <row r="5835" ht="15.75" customHeight="1">
      <c r="A5835" s="2">
        <v>2016.0</v>
      </c>
      <c r="B5835" s="2" t="s">
        <v>25380</v>
      </c>
      <c r="C5835" s="2" t="s">
        <v>25381</v>
      </c>
      <c r="D5835" s="2" t="str">
        <f>"614-638-0769"</f>
        <v>614-638-0769</v>
      </c>
      <c r="E5835" s="2" t="s">
        <v>16852</v>
      </c>
      <c r="F5835" s="2" t="s">
        <v>3551</v>
      </c>
      <c r="G5835" s="2" t="str">
        <f>"SR-7731"</f>
        <v>SR-7731</v>
      </c>
      <c r="H5835" s="2" t="s">
        <v>25382</v>
      </c>
      <c r="I5835" s="2" t="s">
        <v>25383</v>
      </c>
      <c r="K5835" s="2" t="s">
        <v>14916</v>
      </c>
      <c r="L5835" s="2" t="s">
        <v>20</v>
      </c>
      <c r="M5835" s="2">
        <v>27529.0</v>
      </c>
      <c r="N5835" s="2" t="s">
        <v>21</v>
      </c>
    </row>
    <row r="5836" ht="15.75" customHeight="1">
      <c r="A5836" s="2">
        <v>2016.0</v>
      </c>
      <c r="B5836" s="2" t="s">
        <v>25384</v>
      </c>
      <c r="C5836" s="2" t="s">
        <v>25385</v>
      </c>
      <c r="D5836" s="2" t="str">
        <f>"7209352015"</f>
        <v>7209352015</v>
      </c>
      <c r="E5836" s="2" t="s">
        <v>261</v>
      </c>
      <c r="F5836" s="2" t="s">
        <v>25386</v>
      </c>
      <c r="G5836" s="2" t="str">
        <f>"SR-8015"</f>
        <v>SR-8015</v>
      </c>
      <c r="H5836" s="2" t="s">
        <v>25387</v>
      </c>
      <c r="I5836" s="2" t="s">
        <v>25388</v>
      </c>
      <c r="K5836" s="2" t="s">
        <v>6514</v>
      </c>
      <c r="L5836" s="2" t="s">
        <v>157</v>
      </c>
      <c r="M5836" s="2">
        <v>80235.0</v>
      </c>
      <c r="N5836" s="2" t="s">
        <v>21</v>
      </c>
    </row>
    <row r="5837" ht="15.75" customHeight="1">
      <c r="A5837" s="2">
        <v>2016.0</v>
      </c>
      <c r="B5837" s="2" t="s">
        <v>25389</v>
      </c>
      <c r="C5837" s="2" t="s">
        <v>25390</v>
      </c>
      <c r="D5837" s="2" t="str">
        <f>"903-883-0151"</f>
        <v>903-883-0151</v>
      </c>
      <c r="E5837" s="2" t="s">
        <v>5858</v>
      </c>
      <c r="F5837" s="2" t="s">
        <v>25391</v>
      </c>
      <c r="G5837" s="2" t="str">
        <f>"SR-7069"</f>
        <v>SR-7069</v>
      </c>
      <c r="H5837" s="2" t="s">
        <v>25392</v>
      </c>
      <c r="I5837" s="2" t="s">
        <v>25393</v>
      </c>
      <c r="K5837" s="2" t="s">
        <v>54</v>
      </c>
      <c r="L5837" s="2" t="s">
        <v>172</v>
      </c>
      <c r="M5837" s="2">
        <v>75402.0</v>
      </c>
      <c r="N5837" s="2" t="s">
        <v>21</v>
      </c>
    </row>
    <row r="5838" ht="15.75" customHeight="1">
      <c r="A5838" s="2">
        <v>2016.0</v>
      </c>
      <c r="B5838" s="2" t="s">
        <v>25394</v>
      </c>
      <c r="C5838" s="2" t="s">
        <v>25395</v>
      </c>
      <c r="D5838" s="2" t="str">
        <f>"903-413-7927"</f>
        <v>903-413-7927</v>
      </c>
      <c r="E5838" s="2" t="s">
        <v>17026</v>
      </c>
      <c r="F5838" s="2" t="s">
        <v>4237</v>
      </c>
      <c r="G5838" s="2" t="str">
        <f>"SR-8054"</f>
        <v>SR-8054</v>
      </c>
      <c r="H5838" s="2" t="s">
        <v>25396</v>
      </c>
      <c r="I5838" s="2" t="s">
        <v>25397</v>
      </c>
      <c r="K5838" s="2" t="s">
        <v>54</v>
      </c>
      <c r="L5838" s="2" t="s">
        <v>172</v>
      </c>
      <c r="M5838" s="2">
        <v>75402.0</v>
      </c>
      <c r="N5838" s="2" t="s">
        <v>21</v>
      </c>
    </row>
    <row r="5839" ht="15.75" customHeight="1">
      <c r="A5839" s="2">
        <v>2016.0</v>
      </c>
      <c r="B5839" s="2" t="s">
        <v>3177</v>
      </c>
      <c r="C5839" s="2" t="s">
        <v>25398</v>
      </c>
      <c r="D5839" s="2" t="str">
        <f>"4074897954"</f>
        <v>4074897954</v>
      </c>
      <c r="E5839" s="2" t="s">
        <v>1761</v>
      </c>
      <c r="F5839" s="2" t="s">
        <v>3179</v>
      </c>
      <c r="G5839" s="2" t="str">
        <f>"SR-7930"</f>
        <v>SR-7930</v>
      </c>
      <c r="H5839" s="2" t="s">
        <v>25399</v>
      </c>
      <c r="I5839" s="2" t="s">
        <v>3181</v>
      </c>
      <c r="K5839" s="2" t="s">
        <v>3182</v>
      </c>
      <c r="L5839" s="2" t="s">
        <v>208</v>
      </c>
      <c r="M5839" s="2">
        <v>34786.0</v>
      </c>
      <c r="N5839" s="2" t="s">
        <v>21</v>
      </c>
    </row>
    <row r="5840" ht="15.75" customHeight="1">
      <c r="A5840" s="2">
        <v>2016.0</v>
      </c>
      <c r="B5840" s="2" t="s">
        <v>17716</v>
      </c>
      <c r="C5840" s="2" t="s">
        <v>17717</v>
      </c>
      <c r="D5840" s="2" t="str">
        <f>"7194782007"</f>
        <v>7194782007</v>
      </c>
      <c r="E5840" s="2" t="s">
        <v>955</v>
      </c>
      <c r="F5840" s="2" t="s">
        <v>984</v>
      </c>
      <c r="G5840" s="2" t="str">
        <f>"SR-5472"</f>
        <v>SR-5472</v>
      </c>
      <c r="H5840" s="2" t="s">
        <v>17718</v>
      </c>
      <c r="I5840" s="2" t="s">
        <v>17719</v>
      </c>
      <c r="K5840" s="2" t="s">
        <v>4164</v>
      </c>
      <c r="L5840" s="2" t="s">
        <v>157</v>
      </c>
      <c r="M5840" s="2">
        <v>80833.0</v>
      </c>
      <c r="N5840" s="2" t="s">
        <v>21</v>
      </c>
    </row>
    <row r="5841" ht="15.75" customHeight="1">
      <c r="A5841" s="2">
        <v>2016.0</v>
      </c>
      <c r="B5841" s="2" t="s">
        <v>25400</v>
      </c>
      <c r="C5841" s="2" t="s">
        <v>25400</v>
      </c>
      <c r="D5841" s="2" t="str">
        <f>"9706677891"</f>
        <v>9706677891</v>
      </c>
      <c r="E5841" s="2" t="s">
        <v>3750</v>
      </c>
      <c r="F5841" s="2" t="s">
        <v>5600</v>
      </c>
      <c r="G5841" s="2" t="str">
        <f>"SR-8055"</f>
        <v>SR-8055</v>
      </c>
      <c r="H5841" s="2" t="s">
        <v>25401</v>
      </c>
      <c r="I5841" s="2" t="s">
        <v>25402</v>
      </c>
      <c r="K5841" s="2" t="s">
        <v>1480</v>
      </c>
      <c r="L5841" s="2" t="s">
        <v>157</v>
      </c>
      <c r="M5841" s="2">
        <v>80534.0</v>
      </c>
      <c r="N5841" s="2" t="s">
        <v>21</v>
      </c>
    </row>
    <row r="5842" ht="15.75" customHeight="1">
      <c r="A5842" s="2">
        <v>2016.0</v>
      </c>
      <c r="B5842" s="2" t="s">
        <v>25403</v>
      </c>
      <c r="C5842" s="2" t="s">
        <v>25404</v>
      </c>
      <c r="D5842" s="2" t="str">
        <f>"303-220-5093"</f>
        <v>303-220-5093</v>
      </c>
      <c r="E5842" s="2" t="s">
        <v>17177</v>
      </c>
      <c r="F5842" s="2" t="s">
        <v>701</v>
      </c>
      <c r="G5842" s="2" t="str">
        <f>"SR-8057"</f>
        <v>SR-8057</v>
      </c>
      <c r="H5842" s="2" t="s">
        <v>25405</v>
      </c>
      <c r="I5842" s="2" t="s">
        <v>25406</v>
      </c>
      <c r="K5842" s="2" t="s">
        <v>185</v>
      </c>
      <c r="L5842" s="2" t="s">
        <v>157</v>
      </c>
      <c r="M5842" s="2">
        <v>80111.0</v>
      </c>
      <c r="N5842" s="2" t="s">
        <v>21</v>
      </c>
    </row>
    <row r="5843" ht="15.75" customHeight="1">
      <c r="A5843" s="2">
        <v>2016.0</v>
      </c>
      <c r="B5843" s="2" t="s">
        <v>25407</v>
      </c>
      <c r="C5843" s="2" t="s">
        <v>25408</v>
      </c>
      <c r="D5843" s="2" t="str">
        <f>"574-299-0679"</f>
        <v>574-299-0679</v>
      </c>
      <c r="E5843" s="2" t="s">
        <v>404</v>
      </c>
      <c r="F5843" s="2" t="s">
        <v>25409</v>
      </c>
      <c r="G5843" s="2" t="str">
        <f>"SR-7280"</f>
        <v>SR-7280</v>
      </c>
      <c r="H5843" s="2" t="s">
        <v>25410</v>
      </c>
      <c r="I5843" s="2" t="s">
        <v>25411</v>
      </c>
      <c r="K5843" s="2" t="s">
        <v>25412</v>
      </c>
      <c r="L5843" s="2" t="s">
        <v>149</v>
      </c>
      <c r="M5843" s="2">
        <v>46614.0</v>
      </c>
      <c r="N5843" s="2" t="s">
        <v>21</v>
      </c>
    </row>
    <row r="5844" ht="15.75" customHeight="1">
      <c r="A5844" s="2">
        <v>2016.0</v>
      </c>
      <c r="B5844" s="2" t="s">
        <v>25413</v>
      </c>
      <c r="C5844" s="2" t="s">
        <v>25414</v>
      </c>
      <c r="D5844" s="2" t="str">
        <f>"817-456-4136"</f>
        <v>817-456-4136</v>
      </c>
      <c r="E5844" s="2" t="s">
        <v>955</v>
      </c>
      <c r="F5844" s="2" t="s">
        <v>25415</v>
      </c>
      <c r="G5844" s="2" t="str">
        <f>"SR-7953"</f>
        <v>SR-7953</v>
      </c>
      <c r="H5844" s="2" t="s">
        <v>25416</v>
      </c>
      <c r="I5844" s="2" t="s">
        <v>25417</v>
      </c>
      <c r="K5844" s="2" t="s">
        <v>3576</v>
      </c>
      <c r="L5844" s="2" t="s">
        <v>172</v>
      </c>
      <c r="M5844" s="2">
        <v>75080.0</v>
      </c>
      <c r="N5844" s="2" t="s">
        <v>21</v>
      </c>
    </row>
    <row r="5845" ht="15.75" customHeight="1">
      <c r="A5845" s="2">
        <v>2016.0</v>
      </c>
      <c r="B5845" s="2" t="s">
        <v>25407</v>
      </c>
      <c r="C5845" s="2" t="s">
        <v>25418</v>
      </c>
      <c r="D5845" s="2" t="str">
        <f>"574-299-0679"</f>
        <v>574-299-0679</v>
      </c>
      <c r="E5845" s="2" t="s">
        <v>1032</v>
      </c>
      <c r="F5845" s="2" t="s">
        <v>25409</v>
      </c>
      <c r="G5845" s="2" t="str">
        <f>"SR-7281"</f>
        <v>SR-7281</v>
      </c>
      <c r="H5845" s="2" t="s">
        <v>25419</v>
      </c>
      <c r="I5845" s="2" t="s">
        <v>25411</v>
      </c>
      <c r="K5845" s="2" t="s">
        <v>25412</v>
      </c>
      <c r="L5845" s="2" t="s">
        <v>149</v>
      </c>
      <c r="M5845" s="2">
        <v>46614.0</v>
      </c>
      <c r="N5845" s="2" t="s">
        <v>21</v>
      </c>
    </row>
    <row r="5846" ht="15.75" customHeight="1">
      <c r="A5846" s="2">
        <v>2016.0</v>
      </c>
      <c r="B5846" s="2" t="s">
        <v>25420</v>
      </c>
      <c r="C5846" s="2" t="s">
        <v>25420</v>
      </c>
      <c r="D5846" s="2" t="str">
        <f>"4236195624"</f>
        <v>4236195624</v>
      </c>
      <c r="E5846" s="2" t="s">
        <v>124</v>
      </c>
      <c r="F5846" s="2" t="s">
        <v>25421</v>
      </c>
      <c r="G5846" s="2" t="str">
        <f>"SR-8059"</f>
        <v>SR-8059</v>
      </c>
      <c r="H5846" s="2" t="s">
        <v>25422</v>
      </c>
      <c r="I5846" s="2" t="s">
        <v>25423</v>
      </c>
      <c r="K5846" s="2" t="s">
        <v>8693</v>
      </c>
      <c r="L5846" s="2" t="s">
        <v>200</v>
      </c>
      <c r="M5846" s="2">
        <v>30752.0</v>
      </c>
      <c r="N5846" s="2" t="s">
        <v>21</v>
      </c>
    </row>
    <row r="5847" ht="15.75" customHeight="1">
      <c r="A5847" s="2">
        <v>2016.0</v>
      </c>
      <c r="B5847" s="2" t="s">
        <v>25424</v>
      </c>
      <c r="C5847" s="2" t="s">
        <v>25424</v>
      </c>
      <c r="D5847" s="2" t="str">
        <f>"704-995-5689"</f>
        <v>704-995-5689</v>
      </c>
      <c r="E5847" s="2" t="s">
        <v>19516</v>
      </c>
      <c r="F5847" s="2" t="s">
        <v>25425</v>
      </c>
      <c r="G5847" s="2" t="str">
        <f>"SR-7982"</f>
        <v>SR-7982</v>
      </c>
      <c r="H5847" s="2" t="s">
        <v>25426</v>
      </c>
      <c r="I5847" s="2" t="s">
        <v>25427</v>
      </c>
      <c r="K5847" s="2" t="s">
        <v>19</v>
      </c>
      <c r="L5847" s="2" t="s">
        <v>20</v>
      </c>
      <c r="M5847" s="2">
        <v>28269.0</v>
      </c>
      <c r="N5847" s="2" t="s">
        <v>21</v>
      </c>
    </row>
    <row r="5848" ht="15.75" customHeight="1">
      <c r="A5848" s="2">
        <v>2016.0</v>
      </c>
      <c r="B5848" s="2" t="s">
        <v>25428</v>
      </c>
      <c r="C5848" s="2" t="s">
        <v>25429</v>
      </c>
      <c r="D5848" s="2" t="str">
        <f>"303 932 1939"</f>
        <v>303 932 1939</v>
      </c>
      <c r="E5848" s="2" t="s">
        <v>2572</v>
      </c>
      <c r="F5848" s="2" t="s">
        <v>1726</v>
      </c>
      <c r="G5848" s="2" t="str">
        <f>"SR-8000"</f>
        <v>SR-8000</v>
      </c>
      <c r="H5848" s="2" t="s">
        <v>25430</v>
      </c>
      <c r="I5848" s="2" t="s">
        <v>25431</v>
      </c>
      <c r="K5848" s="2" t="s">
        <v>1889</v>
      </c>
      <c r="L5848" s="2" t="s">
        <v>157</v>
      </c>
      <c r="M5848" s="2">
        <v>80127.0</v>
      </c>
      <c r="N5848" s="2" t="s">
        <v>21</v>
      </c>
    </row>
    <row r="5849" ht="15.75" customHeight="1">
      <c r="A5849" s="2">
        <v>2016.0</v>
      </c>
      <c r="B5849" s="2" t="s">
        <v>14567</v>
      </c>
      <c r="C5849" s="2" t="s">
        <v>25432</v>
      </c>
      <c r="D5849" s="2" t="str">
        <f>"865 475 7032"</f>
        <v>865 475 7032</v>
      </c>
      <c r="E5849" s="2" t="s">
        <v>25433</v>
      </c>
      <c r="F5849" s="2" t="s">
        <v>23273</v>
      </c>
      <c r="G5849" s="2" t="str">
        <f>"SR-8063"</f>
        <v>SR-8063</v>
      </c>
      <c r="H5849" s="2" t="s">
        <v>25434</v>
      </c>
      <c r="I5849" s="2" t="s">
        <v>25435</v>
      </c>
      <c r="K5849" s="2" t="s">
        <v>25436</v>
      </c>
      <c r="L5849" s="2" t="s">
        <v>279</v>
      </c>
      <c r="M5849" s="2">
        <v>37760.0</v>
      </c>
      <c r="N5849" s="2" t="s">
        <v>21</v>
      </c>
    </row>
    <row r="5850" ht="15.75" customHeight="1">
      <c r="A5850" s="2">
        <v>2016.0</v>
      </c>
      <c r="B5850" s="2" t="s">
        <v>25437</v>
      </c>
      <c r="C5850" s="2" t="s">
        <v>25438</v>
      </c>
      <c r="D5850" s="2" t="str">
        <f>"719-676-6123"</f>
        <v>719-676-6123</v>
      </c>
      <c r="E5850" s="2" t="s">
        <v>8316</v>
      </c>
      <c r="F5850" s="2" t="s">
        <v>18421</v>
      </c>
      <c r="G5850" s="2" t="str">
        <f>"SR-7751"</f>
        <v>SR-7751</v>
      </c>
      <c r="H5850" s="2" t="s">
        <v>25439</v>
      </c>
      <c r="I5850" s="2" t="s">
        <v>25440</v>
      </c>
      <c r="K5850" s="2" t="s">
        <v>25441</v>
      </c>
      <c r="L5850" s="2" t="s">
        <v>157</v>
      </c>
      <c r="M5850" s="2">
        <v>81019.0</v>
      </c>
      <c r="N5850" s="2" t="s">
        <v>21</v>
      </c>
    </row>
    <row r="5851" ht="15.75" customHeight="1">
      <c r="A5851" s="2">
        <v>2016.0</v>
      </c>
      <c r="B5851" s="2" t="s">
        <v>25442</v>
      </c>
      <c r="C5851" s="2" t="s">
        <v>25443</v>
      </c>
      <c r="D5851" s="2" t="str">
        <f>"562-902-5824"</f>
        <v>562-902-5824</v>
      </c>
      <c r="E5851" s="2" t="s">
        <v>13309</v>
      </c>
      <c r="F5851" s="2" t="s">
        <v>25444</v>
      </c>
      <c r="G5851" s="2" t="str">
        <f>"SR-7891"</f>
        <v>SR-7891</v>
      </c>
      <c r="H5851" s="2" t="s">
        <v>25445</v>
      </c>
      <c r="I5851" s="2" t="s">
        <v>25446</v>
      </c>
      <c r="K5851" s="2" t="s">
        <v>17891</v>
      </c>
      <c r="L5851" s="2" t="s">
        <v>222</v>
      </c>
      <c r="M5851" s="2">
        <v>90603.0</v>
      </c>
      <c r="N5851" s="2" t="s">
        <v>21</v>
      </c>
    </row>
    <row r="5852" ht="15.75" customHeight="1">
      <c r="A5852" s="2">
        <v>2016.0</v>
      </c>
      <c r="B5852" s="2" t="s">
        <v>25447</v>
      </c>
      <c r="C5852" s="2" t="s">
        <v>25447</v>
      </c>
      <c r="D5852" s="2" t="str">
        <f>"469-363-8860"</f>
        <v>469-363-8860</v>
      </c>
      <c r="E5852" s="2" t="s">
        <v>12401</v>
      </c>
      <c r="F5852" s="2" t="s">
        <v>89</v>
      </c>
      <c r="G5852" s="2" t="str">
        <f>"SR-8001"</f>
        <v>SR-8001</v>
      </c>
      <c r="H5852" s="2" t="s">
        <v>25448</v>
      </c>
      <c r="I5852" s="2" t="s">
        <v>25449</v>
      </c>
      <c r="K5852" s="2" t="s">
        <v>3144</v>
      </c>
      <c r="L5852" s="2" t="s">
        <v>172</v>
      </c>
      <c r="M5852" s="2">
        <v>75013.0</v>
      </c>
      <c r="N5852" s="2" t="s">
        <v>21</v>
      </c>
    </row>
    <row r="5853" ht="15.75" customHeight="1">
      <c r="A5853" s="2">
        <v>2016.0</v>
      </c>
      <c r="B5853" s="2" t="s">
        <v>25450</v>
      </c>
      <c r="C5853" s="2" t="s">
        <v>25451</v>
      </c>
      <c r="D5853" s="2" t="str">
        <f>"260-336-7355"</f>
        <v>260-336-7355</v>
      </c>
      <c r="E5853" s="2" t="s">
        <v>1107</v>
      </c>
      <c r="F5853" s="2" t="s">
        <v>25452</v>
      </c>
      <c r="G5853" s="2" t="str">
        <f>"SR-8069"</f>
        <v>SR-8069</v>
      </c>
      <c r="H5853" s="2" t="s">
        <v>25453</v>
      </c>
      <c r="I5853" s="2" t="s">
        <v>25454</v>
      </c>
      <c r="K5853" s="2" t="s">
        <v>4814</v>
      </c>
      <c r="L5853" s="2" t="s">
        <v>149</v>
      </c>
      <c r="M5853" s="2">
        <v>46761.0</v>
      </c>
      <c r="N5853" s="2" t="s">
        <v>21</v>
      </c>
    </row>
    <row r="5854" ht="15.75" customHeight="1">
      <c r="A5854" s="2">
        <v>2016.0</v>
      </c>
      <c r="B5854" s="2" t="s">
        <v>25455</v>
      </c>
      <c r="C5854" s="2" t="s">
        <v>23230</v>
      </c>
      <c r="D5854" s="2" t="str">
        <f>"317-864-0361"</f>
        <v>317-864-0361</v>
      </c>
      <c r="E5854" s="2" t="s">
        <v>25456</v>
      </c>
      <c r="F5854" s="2" t="s">
        <v>13952</v>
      </c>
      <c r="G5854" s="2" t="str">
        <f>"SR-8066"</f>
        <v>SR-8066</v>
      </c>
      <c r="H5854" s="2" t="s">
        <v>25457</v>
      </c>
      <c r="I5854" s="2" t="s">
        <v>25458</v>
      </c>
      <c r="K5854" s="2" t="s">
        <v>408</v>
      </c>
      <c r="L5854" s="2" t="s">
        <v>149</v>
      </c>
      <c r="M5854" s="2">
        <v>46077.0</v>
      </c>
      <c r="N5854" s="2" t="s">
        <v>21</v>
      </c>
    </row>
    <row r="5855" ht="15.75" customHeight="1">
      <c r="A5855" s="2">
        <v>2016.0</v>
      </c>
      <c r="B5855" s="2" t="s">
        <v>10260</v>
      </c>
      <c r="C5855" s="2" t="s">
        <v>25459</v>
      </c>
      <c r="D5855" s="2" t="str">
        <f>"425-489-5705"</f>
        <v>425-489-5705</v>
      </c>
      <c r="E5855" s="2" t="s">
        <v>955</v>
      </c>
      <c r="F5855" s="2" t="s">
        <v>10262</v>
      </c>
      <c r="G5855" s="2" t="str">
        <f>"SR-8071"</f>
        <v>SR-8071</v>
      </c>
      <c r="H5855" s="2" t="s">
        <v>25460</v>
      </c>
      <c r="I5855" s="2" t="s">
        <v>10264</v>
      </c>
      <c r="K5855" s="2" t="s">
        <v>1677</v>
      </c>
      <c r="L5855" s="2" t="s">
        <v>86</v>
      </c>
      <c r="M5855" s="2">
        <v>98021.0</v>
      </c>
      <c r="N5855" s="2" t="s">
        <v>21</v>
      </c>
    </row>
    <row r="5856" ht="15.75" customHeight="1">
      <c r="A5856" s="2">
        <v>2016.0</v>
      </c>
      <c r="B5856" s="2" t="s">
        <v>2785</v>
      </c>
      <c r="C5856" s="2" t="s">
        <v>18183</v>
      </c>
      <c r="D5856" s="2" t="str">
        <f>"256-217-0440"</f>
        <v>256-217-0440</v>
      </c>
      <c r="E5856" s="2" t="s">
        <v>417</v>
      </c>
      <c r="F5856" s="2" t="s">
        <v>2787</v>
      </c>
      <c r="G5856" s="2" t="str">
        <f>"SR-5608"</f>
        <v>SR-5608</v>
      </c>
      <c r="H5856" s="2" t="s">
        <v>18184</v>
      </c>
      <c r="I5856" s="2" t="s">
        <v>2789</v>
      </c>
      <c r="K5856" s="2" t="s">
        <v>659</v>
      </c>
      <c r="L5856" s="2" t="s">
        <v>539</v>
      </c>
      <c r="M5856" s="2">
        <v>35757.0</v>
      </c>
      <c r="N5856" s="2" t="s">
        <v>21</v>
      </c>
    </row>
    <row r="5857" ht="15.75" customHeight="1">
      <c r="A5857" s="2">
        <v>2016.0</v>
      </c>
      <c r="B5857" s="2" t="s">
        <v>25461</v>
      </c>
      <c r="C5857" s="2" t="s">
        <v>25461</v>
      </c>
      <c r="D5857" s="2" t="str">
        <f>"3363417536"</f>
        <v>3363417536</v>
      </c>
      <c r="E5857" s="2" t="s">
        <v>7758</v>
      </c>
      <c r="F5857" s="2" t="s">
        <v>1859</v>
      </c>
      <c r="G5857" s="2" t="str">
        <f>"SR-8074"</f>
        <v>SR-8074</v>
      </c>
      <c r="H5857" s="2" t="s">
        <v>25462</v>
      </c>
      <c r="I5857" s="2" t="s">
        <v>5782</v>
      </c>
      <c r="K5857" s="2" t="s">
        <v>4174</v>
      </c>
      <c r="L5857" s="2" t="s">
        <v>20</v>
      </c>
      <c r="M5857" s="2">
        <v>27023.0</v>
      </c>
      <c r="N5857" s="2" t="s">
        <v>21</v>
      </c>
    </row>
    <row r="5858" ht="15.75" customHeight="1">
      <c r="A5858" s="2">
        <v>2016.0</v>
      </c>
      <c r="B5858" s="2" t="s">
        <v>25463</v>
      </c>
      <c r="C5858" s="2" t="s">
        <v>25464</v>
      </c>
      <c r="D5858" s="2" t="str">
        <f>"336-749-9483"</f>
        <v>336-749-9483</v>
      </c>
      <c r="E5858" s="2" t="s">
        <v>4935</v>
      </c>
      <c r="F5858" s="2" t="s">
        <v>25465</v>
      </c>
      <c r="G5858" s="2" t="str">
        <f>"SR-8076"</f>
        <v>SR-8076</v>
      </c>
      <c r="H5858" s="2" t="s">
        <v>25466</v>
      </c>
      <c r="I5858" s="2" t="s">
        <v>25467</v>
      </c>
      <c r="K5858" s="2" t="s">
        <v>25468</v>
      </c>
      <c r="L5858" s="2" t="s">
        <v>20</v>
      </c>
      <c r="M5858" s="2">
        <v>27285.0</v>
      </c>
      <c r="N5858" s="2" t="s">
        <v>21</v>
      </c>
    </row>
    <row r="5859" ht="15.75" customHeight="1">
      <c r="A5859" s="2">
        <v>2016.0</v>
      </c>
      <c r="B5859" s="2" t="s">
        <v>25469</v>
      </c>
      <c r="C5859" s="2" t="s">
        <v>25470</v>
      </c>
      <c r="D5859" s="2" t="str">
        <f>"256-617-0937"</f>
        <v>256-617-0937</v>
      </c>
      <c r="E5859" s="2" t="s">
        <v>17908</v>
      </c>
      <c r="F5859" s="2" t="s">
        <v>25471</v>
      </c>
      <c r="G5859" s="2" t="str">
        <f>"SR-7227"</f>
        <v>SR-7227</v>
      </c>
      <c r="H5859" s="2" t="s">
        <v>25472</v>
      </c>
      <c r="I5859" s="2" t="s">
        <v>25473</v>
      </c>
      <c r="K5859" s="2" t="s">
        <v>1398</v>
      </c>
      <c r="L5859" s="2" t="s">
        <v>157</v>
      </c>
      <c r="M5859" s="2">
        <v>80109.0</v>
      </c>
      <c r="N5859" s="2" t="s">
        <v>21</v>
      </c>
    </row>
    <row r="5860" ht="15.75" customHeight="1">
      <c r="A5860" s="2">
        <v>2016.0</v>
      </c>
      <c r="B5860" s="2" t="s">
        <v>25474</v>
      </c>
      <c r="C5860" s="2" t="s">
        <v>25474</v>
      </c>
      <c r="D5860" s="2" t="str">
        <f>"7606136355"</f>
        <v>7606136355</v>
      </c>
      <c r="E5860" s="2" t="s">
        <v>843</v>
      </c>
      <c r="F5860" s="2" t="s">
        <v>25475</v>
      </c>
      <c r="G5860" s="2" t="str">
        <f>"SR-7955"</f>
        <v>SR-7955</v>
      </c>
      <c r="H5860" s="2" t="s">
        <v>25476</v>
      </c>
      <c r="I5860" s="2" t="s">
        <v>25477</v>
      </c>
      <c r="K5860" s="2" t="s">
        <v>8250</v>
      </c>
      <c r="L5860" s="2" t="s">
        <v>222</v>
      </c>
      <c r="M5860" s="2">
        <v>92024.0</v>
      </c>
      <c r="N5860" s="2" t="s">
        <v>21</v>
      </c>
    </row>
    <row r="5861" ht="15.75" customHeight="1">
      <c r="A5861" s="2">
        <v>2016.0</v>
      </c>
      <c r="B5861" s="2" t="s">
        <v>25478</v>
      </c>
      <c r="C5861" s="2" t="s">
        <v>25479</v>
      </c>
      <c r="D5861" s="2" t="str">
        <f>"3204921206"</f>
        <v>3204921206</v>
      </c>
      <c r="E5861" s="2" t="s">
        <v>4604</v>
      </c>
      <c r="F5861" s="2" t="s">
        <v>25480</v>
      </c>
      <c r="G5861" s="2" t="str">
        <f>"SR-7803"</f>
        <v>SR-7803</v>
      </c>
      <c r="H5861" s="2" t="s">
        <v>25481</v>
      </c>
      <c r="I5861" s="2" t="s">
        <v>25482</v>
      </c>
      <c r="K5861" s="2" t="s">
        <v>25483</v>
      </c>
      <c r="L5861" s="2" t="s">
        <v>62</v>
      </c>
      <c r="M5861" s="2">
        <v>55382.0</v>
      </c>
      <c r="N5861" s="2" t="s">
        <v>21</v>
      </c>
    </row>
    <row r="5862" ht="15.75" customHeight="1">
      <c r="A5862" s="2">
        <v>2016.0</v>
      </c>
      <c r="B5862" s="2" t="s">
        <v>25484</v>
      </c>
      <c r="C5862" s="2" t="s">
        <v>25485</v>
      </c>
      <c r="D5862" s="2" t="str">
        <f>"803.795.7471"</f>
        <v>803.795.7471</v>
      </c>
      <c r="E5862" s="2" t="s">
        <v>908</v>
      </c>
      <c r="F5862" s="2" t="s">
        <v>847</v>
      </c>
      <c r="G5862" s="2" t="str">
        <f>"SR-8008"</f>
        <v>SR-8008</v>
      </c>
      <c r="H5862" s="2" t="s">
        <v>25486</v>
      </c>
      <c r="I5862" s="2" t="s">
        <v>25487</v>
      </c>
      <c r="K5862" s="2" t="s">
        <v>25488</v>
      </c>
      <c r="L5862" s="2" t="s">
        <v>55</v>
      </c>
      <c r="M5862" s="2">
        <v>29150.0</v>
      </c>
      <c r="N5862" s="2" t="s">
        <v>21</v>
      </c>
    </row>
    <row r="5863" ht="15.75" customHeight="1">
      <c r="A5863" s="2">
        <v>2016.0</v>
      </c>
      <c r="B5863" s="2" t="s">
        <v>25489</v>
      </c>
      <c r="C5863" s="2" t="s">
        <v>25489</v>
      </c>
      <c r="D5863" s="2" t="str">
        <f t="shared" ref="D5863:D5864" si="104">"3369087272"</f>
        <v>3369087272</v>
      </c>
      <c r="E5863" s="2" t="s">
        <v>1108</v>
      </c>
      <c r="F5863" s="2" t="s">
        <v>22702</v>
      </c>
      <c r="G5863" s="2" t="str">
        <f>"SR-8080"</f>
        <v>SR-8080</v>
      </c>
      <c r="H5863" s="2" t="s">
        <v>25490</v>
      </c>
      <c r="I5863" s="2" t="s">
        <v>25491</v>
      </c>
      <c r="K5863" s="2" t="s">
        <v>25492</v>
      </c>
      <c r="L5863" s="2" t="s">
        <v>165</v>
      </c>
      <c r="M5863" s="2">
        <v>24597.0</v>
      </c>
      <c r="N5863" s="2" t="s">
        <v>21</v>
      </c>
    </row>
    <row r="5864" ht="15.75" customHeight="1">
      <c r="A5864" s="2">
        <v>2016.0</v>
      </c>
      <c r="B5864" s="2" t="s">
        <v>25489</v>
      </c>
      <c r="C5864" s="2" t="s">
        <v>25489</v>
      </c>
      <c r="D5864" s="2" t="str">
        <f t="shared" si="104"/>
        <v>3369087272</v>
      </c>
      <c r="E5864" s="2" t="s">
        <v>22817</v>
      </c>
      <c r="F5864" s="2" t="s">
        <v>22702</v>
      </c>
      <c r="G5864" s="2" t="str">
        <f>"SR-8081"</f>
        <v>SR-8081</v>
      </c>
      <c r="H5864" s="2" t="s">
        <v>25493</v>
      </c>
      <c r="I5864" s="2" t="s">
        <v>25491</v>
      </c>
      <c r="K5864" s="2" t="s">
        <v>25492</v>
      </c>
      <c r="L5864" s="2" t="s">
        <v>165</v>
      </c>
      <c r="M5864" s="2">
        <v>24597.0</v>
      </c>
      <c r="N5864" s="2" t="s">
        <v>21</v>
      </c>
    </row>
    <row r="5865" ht="15.75" customHeight="1">
      <c r="A5865" s="2">
        <v>2016.0</v>
      </c>
      <c r="B5865" s="2" t="s">
        <v>5081</v>
      </c>
      <c r="C5865" s="2" t="s">
        <v>5082</v>
      </c>
      <c r="D5865" s="2" t="str">
        <f>"6165541640"</f>
        <v>6165541640</v>
      </c>
      <c r="E5865" s="2" t="s">
        <v>5083</v>
      </c>
      <c r="F5865" s="2" t="s">
        <v>5084</v>
      </c>
      <c r="G5865" s="2" t="str">
        <f>"SR-1447"</f>
        <v>SR-1447</v>
      </c>
      <c r="H5865" s="2" t="s">
        <v>5085</v>
      </c>
      <c r="I5865" s="2" t="s">
        <v>5086</v>
      </c>
      <c r="K5865" s="2" t="s">
        <v>5087</v>
      </c>
      <c r="L5865" s="2" t="s">
        <v>29</v>
      </c>
      <c r="M5865" s="2">
        <v>49508.0</v>
      </c>
      <c r="N5865" s="2" t="s">
        <v>21</v>
      </c>
    </row>
    <row r="5866" ht="15.75" customHeight="1">
      <c r="A5866" s="2">
        <v>2016.0</v>
      </c>
      <c r="B5866" s="2" t="s">
        <v>25494</v>
      </c>
      <c r="C5866" s="2" t="s">
        <v>25494</v>
      </c>
      <c r="D5866" s="2" t="str">
        <f>"615-666-4207"</f>
        <v>615-666-4207</v>
      </c>
      <c r="E5866" s="2" t="s">
        <v>25495</v>
      </c>
      <c r="F5866" s="2" t="s">
        <v>3283</v>
      </c>
      <c r="G5866" s="2" t="str">
        <f>"SR-7623"</f>
        <v>SR-7623</v>
      </c>
      <c r="H5866" s="2" t="s">
        <v>25496</v>
      </c>
      <c r="I5866" s="2" t="s">
        <v>25497</v>
      </c>
      <c r="K5866" s="2" t="s">
        <v>23970</v>
      </c>
      <c r="L5866" s="2" t="s">
        <v>279</v>
      </c>
      <c r="M5866" s="2">
        <v>37186.0</v>
      </c>
      <c r="N5866" s="2" t="s">
        <v>21</v>
      </c>
    </row>
    <row r="5867" ht="15.75" customHeight="1">
      <c r="A5867" s="2">
        <v>2016.0</v>
      </c>
      <c r="B5867" s="2" t="s">
        <v>25498</v>
      </c>
      <c r="C5867" s="2" t="s">
        <v>25498</v>
      </c>
      <c r="D5867" s="2" t="str">
        <f>"9729742241"</f>
        <v>9729742241</v>
      </c>
      <c r="E5867" s="2" t="s">
        <v>50</v>
      </c>
      <c r="F5867" s="2" t="s">
        <v>124</v>
      </c>
      <c r="G5867" s="2" t="str">
        <f>"SR-8083"</f>
        <v>SR-8083</v>
      </c>
      <c r="H5867" s="2" t="s">
        <v>25499</v>
      </c>
      <c r="I5867" s="2" t="s">
        <v>25500</v>
      </c>
      <c r="K5867" s="2" t="s">
        <v>2643</v>
      </c>
      <c r="L5867" s="2" t="s">
        <v>172</v>
      </c>
      <c r="M5867" s="2">
        <v>75028.0</v>
      </c>
      <c r="N5867" s="2" t="s">
        <v>21</v>
      </c>
    </row>
    <row r="5868" ht="15.75" customHeight="1">
      <c r="A5868" s="2">
        <v>2016.0</v>
      </c>
      <c r="B5868" s="2" t="s">
        <v>10478</v>
      </c>
      <c r="C5868" s="2" t="s">
        <v>10478</v>
      </c>
      <c r="D5868" s="2" t="str">
        <f>"(858) 525-3407"</f>
        <v>(858) 525-3407</v>
      </c>
      <c r="E5868" s="2" t="s">
        <v>10479</v>
      </c>
      <c r="F5868" s="2" t="s">
        <v>10480</v>
      </c>
      <c r="G5868" s="2" t="str">
        <f>"SR-3026"</f>
        <v>SR-3026</v>
      </c>
      <c r="H5868" s="2" t="s">
        <v>10481</v>
      </c>
      <c r="I5868" s="2" t="s">
        <v>10482</v>
      </c>
      <c r="J5868" s="2" t="s">
        <v>10483</v>
      </c>
      <c r="K5868" s="2" t="s">
        <v>10484</v>
      </c>
      <c r="L5868" s="2" t="s">
        <v>222</v>
      </c>
      <c r="M5868" s="2">
        <v>92014.0</v>
      </c>
      <c r="N5868" s="2" t="s">
        <v>21</v>
      </c>
    </row>
    <row r="5869" ht="15.75" customHeight="1">
      <c r="A5869" s="2">
        <v>2016.0</v>
      </c>
      <c r="B5869" s="2" t="s">
        <v>18539</v>
      </c>
      <c r="C5869" s="2" t="s">
        <v>18539</v>
      </c>
      <c r="D5869" s="2" t="str">
        <f>"(269) 471-9152"</f>
        <v>(269) 471-9152</v>
      </c>
      <c r="E5869" s="2" t="s">
        <v>4028</v>
      </c>
      <c r="F5869" s="2" t="s">
        <v>962</v>
      </c>
      <c r="G5869" s="2" t="str">
        <f>"SR-5461"</f>
        <v>SR-5461</v>
      </c>
      <c r="H5869" s="2" t="s">
        <v>4029</v>
      </c>
      <c r="I5869" s="2" t="s">
        <v>18540</v>
      </c>
      <c r="K5869" s="2" t="s">
        <v>4031</v>
      </c>
      <c r="L5869" s="2" t="s">
        <v>29</v>
      </c>
      <c r="M5869" s="2">
        <v>49103.0</v>
      </c>
      <c r="N5869" s="2" t="s">
        <v>21</v>
      </c>
    </row>
    <row r="5870" ht="15.75" customHeight="1">
      <c r="A5870" s="2">
        <v>2016.0</v>
      </c>
      <c r="B5870" s="2" t="s">
        <v>18537</v>
      </c>
      <c r="C5870" s="2" t="s">
        <v>18537</v>
      </c>
      <c r="D5870" s="2" t="str">
        <f>"269 471 9152"</f>
        <v>269 471 9152</v>
      </c>
      <c r="E5870" s="2" t="s">
        <v>1251</v>
      </c>
      <c r="F5870" s="2" t="s">
        <v>962</v>
      </c>
      <c r="G5870" s="2" t="str">
        <f>"SR-5548"</f>
        <v>SR-5548</v>
      </c>
      <c r="H5870" s="2" t="s">
        <v>18538</v>
      </c>
      <c r="I5870" s="2" t="s">
        <v>3088</v>
      </c>
      <c r="K5870" s="2" t="s">
        <v>4031</v>
      </c>
      <c r="L5870" s="2" t="s">
        <v>29</v>
      </c>
      <c r="M5870" s="2">
        <v>49103.0</v>
      </c>
      <c r="N5870" s="2" t="s">
        <v>21</v>
      </c>
    </row>
    <row r="5871" ht="15.75" customHeight="1">
      <c r="A5871" s="2">
        <v>2016.0</v>
      </c>
      <c r="B5871" s="2" t="s">
        <v>25501</v>
      </c>
      <c r="C5871" s="2" t="s">
        <v>25501</v>
      </c>
      <c r="D5871" s="2" t="str">
        <f>"7725849036"</f>
        <v>7725849036</v>
      </c>
      <c r="E5871" s="2" t="s">
        <v>25502</v>
      </c>
      <c r="F5871" s="2" t="s">
        <v>17913</v>
      </c>
      <c r="G5871" s="2" t="str">
        <f>"SR-8034"</f>
        <v>SR-8034</v>
      </c>
      <c r="H5871" s="2" t="s">
        <v>25503</v>
      </c>
      <c r="I5871" s="2" t="s">
        <v>25504</v>
      </c>
      <c r="K5871" s="2" t="s">
        <v>25505</v>
      </c>
      <c r="L5871" s="2" t="s">
        <v>208</v>
      </c>
      <c r="M5871" s="2">
        <v>32948.0</v>
      </c>
      <c r="N5871" s="2" t="s">
        <v>21</v>
      </c>
    </row>
    <row r="5872" ht="15.75" customHeight="1">
      <c r="A5872" s="2">
        <v>2016.0</v>
      </c>
      <c r="B5872" s="2" t="s">
        <v>25506</v>
      </c>
      <c r="C5872" s="2" t="s">
        <v>25506</v>
      </c>
      <c r="D5872" s="2" t="str">
        <f>"(760)8283626"</f>
        <v>(760)8283626</v>
      </c>
      <c r="E5872" s="2" t="s">
        <v>3597</v>
      </c>
      <c r="F5872" s="2" t="s">
        <v>25507</v>
      </c>
      <c r="G5872" s="2" t="str">
        <f>"SR-7975"</f>
        <v>SR-7975</v>
      </c>
      <c r="H5872" s="2" t="s">
        <v>25508</v>
      </c>
      <c r="I5872" s="2" t="s">
        <v>25509</v>
      </c>
      <c r="K5872" s="2" t="s">
        <v>10305</v>
      </c>
      <c r="L5872" s="2" t="s">
        <v>222</v>
      </c>
      <c r="M5872" s="2">
        <v>95830.0</v>
      </c>
      <c r="N5872" s="2" t="s">
        <v>21</v>
      </c>
    </row>
    <row r="5873" ht="15.75" customHeight="1">
      <c r="A5873" s="2">
        <v>2016.0</v>
      </c>
      <c r="B5873" s="2" t="s">
        <v>25510</v>
      </c>
      <c r="C5873" s="2" t="s">
        <v>25510</v>
      </c>
      <c r="D5873" s="2" t="str">
        <f>"720-261-7518"</f>
        <v>720-261-7518</v>
      </c>
      <c r="E5873" s="2" t="s">
        <v>2243</v>
      </c>
      <c r="F5873" s="2" t="s">
        <v>962</v>
      </c>
      <c r="G5873" s="2" t="str">
        <f>"SR-8086"</f>
        <v>SR-8086</v>
      </c>
      <c r="H5873" s="2" t="s">
        <v>25511</v>
      </c>
      <c r="I5873" s="2" t="s">
        <v>25512</v>
      </c>
      <c r="K5873" s="2" t="s">
        <v>25513</v>
      </c>
      <c r="L5873" s="2" t="s">
        <v>157</v>
      </c>
      <c r="M5873" s="2">
        <v>80127.0</v>
      </c>
      <c r="N5873" s="2" t="s">
        <v>21</v>
      </c>
    </row>
    <row r="5874" ht="15.75" customHeight="1">
      <c r="A5874" s="2">
        <v>2016.0</v>
      </c>
      <c r="B5874" s="2" t="s">
        <v>25514</v>
      </c>
      <c r="C5874" s="2" t="s">
        <v>25515</v>
      </c>
      <c r="D5874" s="2" t="str">
        <f>"6302096364"</f>
        <v>6302096364</v>
      </c>
      <c r="E5874" s="2" t="s">
        <v>478</v>
      </c>
      <c r="F5874" s="2" t="s">
        <v>25516</v>
      </c>
      <c r="G5874" s="2" t="str">
        <f>"SR-7893"</f>
        <v>SR-7893</v>
      </c>
      <c r="H5874" s="2" t="s">
        <v>25517</v>
      </c>
      <c r="I5874" s="2" t="s">
        <v>25518</v>
      </c>
      <c r="K5874" s="2" t="s">
        <v>3886</v>
      </c>
      <c r="L5874" s="2" t="s">
        <v>105</v>
      </c>
      <c r="M5874" s="2">
        <v>60521.0</v>
      </c>
      <c r="N5874" s="2" t="s">
        <v>21</v>
      </c>
    </row>
    <row r="5875" ht="15.75" customHeight="1">
      <c r="A5875" s="2">
        <v>2016.0</v>
      </c>
      <c r="B5875" s="2" t="s">
        <v>12170</v>
      </c>
      <c r="C5875" s="2" t="s">
        <v>25519</v>
      </c>
      <c r="D5875" s="2" t="str">
        <f>"8635947048"</f>
        <v>8635947048</v>
      </c>
      <c r="E5875" s="2" t="s">
        <v>385</v>
      </c>
      <c r="F5875" s="2" t="s">
        <v>12172</v>
      </c>
      <c r="G5875" s="2" t="str">
        <f>"SR-8038"</f>
        <v>SR-8038</v>
      </c>
      <c r="H5875" s="2" t="s">
        <v>25520</v>
      </c>
      <c r="I5875" s="2" t="s">
        <v>14389</v>
      </c>
      <c r="K5875" s="2" t="s">
        <v>12175</v>
      </c>
      <c r="L5875" s="2" t="s">
        <v>62</v>
      </c>
      <c r="M5875" s="2">
        <v>55421.0</v>
      </c>
      <c r="N5875" s="2" t="s">
        <v>21</v>
      </c>
    </row>
    <row r="5876" ht="15.75" customHeight="1">
      <c r="A5876" s="2">
        <v>2016.0</v>
      </c>
      <c r="B5876" s="2" t="s">
        <v>25521</v>
      </c>
      <c r="C5876" s="2" t="s">
        <v>25521</v>
      </c>
      <c r="D5876" s="2" t="str">
        <f>"601-663-9242"</f>
        <v>601-663-9242</v>
      </c>
      <c r="E5876" s="2" t="s">
        <v>3400</v>
      </c>
      <c r="F5876" s="2" t="s">
        <v>25522</v>
      </c>
      <c r="G5876" s="2" t="str">
        <f>"SR-7961"</f>
        <v>SR-7961</v>
      </c>
      <c r="H5876" s="2" t="s">
        <v>25523</v>
      </c>
      <c r="I5876" s="2" t="s">
        <v>25524</v>
      </c>
      <c r="K5876" s="2" t="s">
        <v>22915</v>
      </c>
      <c r="L5876" s="2" t="s">
        <v>1722</v>
      </c>
      <c r="M5876" s="2">
        <v>39350.0</v>
      </c>
      <c r="N5876" s="2" t="s">
        <v>21</v>
      </c>
    </row>
    <row r="5877" ht="15.75" customHeight="1">
      <c r="A5877" s="2">
        <v>2016.0</v>
      </c>
      <c r="B5877" s="2" t="s">
        <v>25525</v>
      </c>
      <c r="C5877" s="2" t="s">
        <v>25526</v>
      </c>
      <c r="D5877" s="2" t="str">
        <f>"6054417921"</f>
        <v>6054417921</v>
      </c>
      <c r="E5877" s="2" t="s">
        <v>25527</v>
      </c>
      <c r="F5877" s="2" t="s">
        <v>8383</v>
      </c>
      <c r="G5877" s="2" t="str">
        <f>"SR-8087"</f>
        <v>SR-8087</v>
      </c>
      <c r="H5877" s="2" t="s">
        <v>25528</v>
      </c>
      <c r="I5877" s="2">
        <v>22802.0</v>
      </c>
      <c r="K5877" s="2" t="s">
        <v>8386</v>
      </c>
      <c r="L5877" s="2" t="s">
        <v>920</v>
      </c>
      <c r="M5877" s="2">
        <v>57775.0</v>
      </c>
      <c r="N5877" s="2" t="s">
        <v>21</v>
      </c>
    </row>
    <row r="5878" ht="15.75" customHeight="1">
      <c r="A5878" s="2">
        <v>2016.0</v>
      </c>
      <c r="B5878" s="2" t="s">
        <v>25529</v>
      </c>
      <c r="C5878" s="2" t="s">
        <v>25529</v>
      </c>
      <c r="D5878" s="2" t="str">
        <f>"9523530090"</f>
        <v>9523530090</v>
      </c>
      <c r="E5878" s="2" t="s">
        <v>373</v>
      </c>
      <c r="F5878" s="2" t="s">
        <v>17296</v>
      </c>
      <c r="G5878" s="2" t="str">
        <f>"SR-8088"</f>
        <v>SR-8088</v>
      </c>
      <c r="H5878" s="2" t="s">
        <v>25530</v>
      </c>
      <c r="I5878" s="2">
        <v>8820.0</v>
      </c>
      <c r="K5878" s="2" t="s">
        <v>1019</v>
      </c>
      <c r="L5878" s="2" t="s">
        <v>62</v>
      </c>
      <c r="M5878" s="2">
        <v>55437.0</v>
      </c>
      <c r="N5878" s="2" t="s">
        <v>21</v>
      </c>
    </row>
    <row r="5879" ht="15.75" customHeight="1">
      <c r="A5879" s="2">
        <v>2016.0</v>
      </c>
      <c r="B5879" s="2" t="s">
        <v>25531</v>
      </c>
      <c r="C5879" s="2" t="s">
        <v>25532</v>
      </c>
      <c r="D5879" s="2" t="str">
        <f>"8179155961"</f>
        <v>8179155961</v>
      </c>
      <c r="E5879" s="2" t="s">
        <v>5858</v>
      </c>
      <c r="F5879" s="2" t="s">
        <v>25533</v>
      </c>
      <c r="G5879" s="2" t="str">
        <f>"SR-7804"</f>
        <v>SR-7804</v>
      </c>
      <c r="H5879" s="2" t="s">
        <v>25534</v>
      </c>
      <c r="I5879" s="2" t="s">
        <v>25535</v>
      </c>
      <c r="K5879" s="2" t="s">
        <v>3677</v>
      </c>
      <c r="L5879" s="2" t="s">
        <v>172</v>
      </c>
      <c r="M5879" s="2">
        <v>75165.0</v>
      </c>
      <c r="N5879" s="2" t="s">
        <v>21</v>
      </c>
    </row>
    <row r="5880" ht="15.75" customHeight="1">
      <c r="A5880" s="2">
        <v>2016.0</v>
      </c>
      <c r="B5880" s="2" t="s">
        <v>25536</v>
      </c>
      <c r="C5880" s="2" t="s">
        <v>25536</v>
      </c>
      <c r="D5880" s="2" t="str">
        <f>"12692310466"</f>
        <v>12692310466</v>
      </c>
      <c r="E5880" s="2" t="s">
        <v>14000</v>
      </c>
      <c r="F5880" s="2" t="s">
        <v>2244</v>
      </c>
      <c r="G5880" s="2" t="str">
        <f>"SR-8093"</f>
        <v>SR-8093</v>
      </c>
      <c r="H5880" s="2" t="s">
        <v>25537</v>
      </c>
      <c r="I5880" s="2" t="s">
        <v>25538</v>
      </c>
      <c r="K5880" s="2" t="s">
        <v>17344</v>
      </c>
      <c r="L5880" s="2" t="s">
        <v>29</v>
      </c>
      <c r="M5880" s="2">
        <v>49065.0</v>
      </c>
      <c r="N5880" s="2" t="s">
        <v>21</v>
      </c>
    </row>
    <row r="5881" ht="15.75" customHeight="1">
      <c r="A5881" s="2">
        <v>2016.0</v>
      </c>
      <c r="B5881" s="2" t="s">
        <v>25539</v>
      </c>
      <c r="C5881" s="2" t="s">
        <v>25540</v>
      </c>
      <c r="D5881" s="2" t="str">
        <f>"9528313820"</f>
        <v>9528313820</v>
      </c>
      <c r="E5881" s="2" t="s">
        <v>25541</v>
      </c>
      <c r="F5881" s="2" t="s">
        <v>17296</v>
      </c>
      <c r="G5881" s="2" t="str">
        <f>"SR-8048"</f>
        <v>SR-8048</v>
      </c>
      <c r="H5881" s="2" t="s">
        <v>25542</v>
      </c>
      <c r="I5881" s="2" t="s">
        <v>25543</v>
      </c>
      <c r="K5881" s="2" t="s">
        <v>1019</v>
      </c>
      <c r="L5881" s="2" t="s">
        <v>62</v>
      </c>
      <c r="M5881" s="2">
        <v>55437.0</v>
      </c>
      <c r="N5881" s="2" t="s">
        <v>21</v>
      </c>
    </row>
    <row r="5882" ht="15.75" customHeight="1">
      <c r="A5882" s="2">
        <v>2016.0</v>
      </c>
      <c r="B5882" s="2" t="s">
        <v>25544</v>
      </c>
      <c r="C5882" s="2" t="s">
        <v>25544</v>
      </c>
      <c r="D5882" s="2" t="str">
        <f>"757-634-7892"</f>
        <v>757-634-7892</v>
      </c>
      <c r="E5882" s="2" t="s">
        <v>50</v>
      </c>
      <c r="F5882" s="2" t="s">
        <v>20576</v>
      </c>
      <c r="G5882" s="2" t="str">
        <f>"SR-8085"</f>
        <v>SR-8085</v>
      </c>
      <c r="H5882" s="2" t="s">
        <v>25545</v>
      </c>
      <c r="I5882" s="2" t="s">
        <v>25546</v>
      </c>
      <c r="K5882" s="2" t="s">
        <v>8475</v>
      </c>
      <c r="L5882" s="2" t="s">
        <v>165</v>
      </c>
      <c r="M5882" s="2">
        <v>23188.0</v>
      </c>
      <c r="N5882" s="2" t="s">
        <v>21</v>
      </c>
    </row>
    <row r="5883" ht="15.75" customHeight="1">
      <c r="A5883" s="2">
        <v>2016.0</v>
      </c>
      <c r="B5883" s="2" t="s">
        <v>25547</v>
      </c>
      <c r="D5883" s="2" t="str">
        <f>""</f>
        <v/>
      </c>
      <c r="E5883" s="2" t="s">
        <v>1015</v>
      </c>
      <c r="F5883" s="2" t="s">
        <v>25548</v>
      </c>
      <c r="G5883" s="2" t="str">
        <f>"SR-8095"</f>
        <v>SR-8095</v>
      </c>
      <c r="H5883" s="2" t="s">
        <v>25549</v>
      </c>
    </row>
    <row r="5884" ht="15.75" customHeight="1">
      <c r="A5884" s="2">
        <v>2016.0</v>
      </c>
      <c r="B5884" s="2" t="s">
        <v>11946</v>
      </c>
      <c r="C5884" s="2" t="s">
        <v>25550</v>
      </c>
      <c r="D5884" s="2" t="str">
        <f>"865-691-6577"</f>
        <v>865-691-6577</v>
      </c>
      <c r="E5884" s="2" t="s">
        <v>1767</v>
      </c>
      <c r="F5884" s="2" t="s">
        <v>2985</v>
      </c>
      <c r="G5884" s="2" t="str">
        <f>"SR-8097"</f>
        <v>SR-8097</v>
      </c>
      <c r="H5884" s="2" t="s">
        <v>25551</v>
      </c>
      <c r="I5884" s="2" t="s">
        <v>11950</v>
      </c>
      <c r="K5884" s="2" t="s">
        <v>6168</v>
      </c>
      <c r="L5884" s="2" t="s">
        <v>279</v>
      </c>
      <c r="M5884" s="2">
        <v>37931.0</v>
      </c>
      <c r="N5884" s="2" t="s">
        <v>21</v>
      </c>
    </row>
    <row r="5885" ht="15.75" customHeight="1">
      <c r="A5885" s="2">
        <v>2016.0</v>
      </c>
      <c r="B5885" s="2" t="s">
        <v>25552</v>
      </c>
      <c r="C5885" s="2" t="s">
        <v>25553</v>
      </c>
      <c r="D5885" s="2" t="str">
        <f>"8287127658"</f>
        <v>8287127658</v>
      </c>
      <c r="E5885" s="2" t="s">
        <v>2572</v>
      </c>
      <c r="F5885" s="2" t="s">
        <v>1496</v>
      </c>
      <c r="G5885" s="2" t="str">
        <f>"SR-7766"</f>
        <v>SR-7766</v>
      </c>
      <c r="H5885" s="2" t="s">
        <v>25554</v>
      </c>
      <c r="I5885" s="2" t="s">
        <v>25555</v>
      </c>
      <c r="K5885" s="2" t="s">
        <v>25556</v>
      </c>
      <c r="L5885" s="2" t="s">
        <v>20</v>
      </c>
      <c r="M5885" s="2">
        <v>28778.0</v>
      </c>
      <c r="N5885" s="2" t="s">
        <v>21</v>
      </c>
    </row>
    <row r="5886" ht="15.75" customHeight="1">
      <c r="A5886" s="2">
        <v>2016.0</v>
      </c>
      <c r="B5886" s="2" t="s">
        <v>25557</v>
      </c>
      <c r="C5886" s="2" t="s">
        <v>25558</v>
      </c>
      <c r="D5886" s="2" t="str">
        <f>"9124070435"</f>
        <v>9124070435</v>
      </c>
      <c r="E5886" s="2" t="s">
        <v>13169</v>
      </c>
      <c r="F5886" s="2" t="s">
        <v>25559</v>
      </c>
      <c r="G5886" s="2" t="str">
        <f>"SR-8100"</f>
        <v>SR-8100</v>
      </c>
      <c r="H5886" s="2" t="s">
        <v>25560</v>
      </c>
      <c r="I5886" s="2">
        <v>118.0</v>
      </c>
      <c r="K5886" s="2" t="s">
        <v>13140</v>
      </c>
      <c r="L5886" s="2" t="s">
        <v>200</v>
      </c>
      <c r="M5886" s="2">
        <v>31312.0</v>
      </c>
      <c r="N5886" s="2" t="s">
        <v>21</v>
      </c>
    </row>
    <row r="5887" ht="15.75" customHeight="1">
      <c r="A5887" s="2">
        <v>2016.0</v>
      </c>
      <c r="B5887" s="2" t="s">
        <v>25561</v>
      </c>
      <c r="C5887" s="2" t="s">
        <v>25562</v>
      </c>
      <c r="D5887" s="2" t="str">
        <f>"7605774457"</f>
        <v>7605774457</v>
      </c>
      <c r="E5887" s="2" t="s">
        <v>2031</v>
      </c>
      <c r="F5887" s="2" t="s">
        <v>2474</v>
      </c>
      <c r="G5887" s="2" t="str">
        <f>"SR-8099"</f>
        <v>SR-8099</v>
      </c>
      <c r="H5887" s="2" t="s">
        <v>25563</v>
      </c>
      <c r="I5887" s="2" t="s">
        <v>25564</v>
      </c>
      <c r="K5887" s="2" t="s">
        <v>7831</v>
      </c>
      <c r="L5887" s="2" t="s">
        <v>200</v>
      </c>
      <c r="M5887" s="2">
        <v>31322.0</v>
      </c>
      <c r="N5887" s="2" t="s">
        <v>21</v>
      </c>
    </row>
    <row r="5888" ht="15.75" customHeight="1">
      <c r="A5888" s="2">
        <v>2016.0</v>
      </c>
      <c r="B5888" s="2" t="s">
        <v>25565</v>
      </c>
      <c r="C5888" s="2" t="s">
        <v>25565</v>
      </c>
      <c r="D5888" s="2" t="str">
        <f>"9528882046"</f>
        <v>9528882046</v>
      </c>
      <c r="E5888" s="2" t="s">
        <v>25566</v>
      </c>
      <c r="F5888" s="2" t="s">
        <v>2049</v>
      </c>
      <c r="G5888" s="2" t="str">
        <f>"SR-7317"</f>
        <v>SR-7317</v>
      </c>
      <c r="H5888" s="2" t="s">
        <v>25567</v>
      </c>
      <c r="I5888" s="2" t="s">
        <v>25568</v>
      </c>
      <c r="K5888" s="2" t="s">
        <v>1019</v>
      </c>
      <c r="L5888" s="2" t="s">
        <v>62</v>
      </c>
      <c r="M5888" s="2">
        <v>55437.0</v>
      </c>
      <c r="N5888" s="2" t="s">
        <v>21</v>
      </c>
    </row>
    <row r="5889" ht="15.75" customHeight="1">
      <c r="A5889" s="2">
        <v>2016.0</v>
      </c>
      <c r="B5889" s="2" t="s">
        <v>25569</v>
      </c>
      <c r="C5889" s="2" t="s">
        <v>25570</v>
      </c>
      <c r="D5889" s="2" t="str">
        <f>"207-463-2387"</f>
        <v>207-463-2387</v>
      </c>
      <c r="E5889" s="2" t="s">
        <v>25571</v>
      </c>
      <c r="F5889" s="2" t="s">
        <v>25572</v>
      </c>
      <c r="G5889" s="2" t="str">
        <f>"SR-8106"</f>
        <v>SR-8106</v>
      </c>
      <c r="H5889" s="2" t="s">
        <v>25573</v>
      </c>
      <c r="I5889" s="2" t="s">
        <v>25574</v>
      </c>
      <c r="K5889" s="2" t="s">
        <v>11657</v>
      </c>
      <c r="L5889" s="2" t="s">
        <v>3737</v>
      </c>
      <c r="M5889" s="2">
        <v>4747.0</v>
      </c>
      <c r="N5889" s="2" t="s">
        <v>21</v>
      </c>
    </row>
    <row r="5890" ht="15.75" customHeight="1">
      <c r="A5890" s="2">
        <v>2016.0</v>
      </c>
      <c r="B5890" s="2" t="s">
        <v>25575</v>
      </c>
      <c r="C5890" s="2" t="s">
        <v>25576</v>
      </c>
      <c r="D5890" s="2" t="str">
        <f>"478-474-4698"</f>
        <v>478-474-4698</v>
      </c>
      <c r="E5890" s="2" t="s">
        <v>160</v>
      </c>
      <c r="F5890" s="2" t="s">
        <v>25577</v>
      </c>
      <c r="G5890" s="2" t="str">
        <f>"SR-8039"</f>
        <v>SR-8039</v>
      </c>
      <c r="H5890" s="2" t="s">
        <v>25578</v>
      </c>
      <c r="I5890" s="2" t="s">
        <v>25579</v>
      </c>
      <c r="K5890" s="2" t="s">
        <v>25580</v>
      </c>
      <c r="L5890" s="2" t="s">
        <v>200</v>
      </c>
      <c r="M5890" s="2">
        <v>31210.0</v>
      </c>
      <c r="N5890" s="2" t="s">
        <v>21</v>
      </c>
    </row>
    <row r="5891" ht="15.75" customHeight="1">
      <c r="A5891" s="2">
        <v>2016.0</v>
      </c>
      <c r="B5891" s="2" t="s">
        <v>5336</v>
      </c>
      <c r="C5891" s="2" t="s">
        <v>25581</v>
      </c>
      <c r="D5891" s="2" t="str">
        <f>"505-259-5748"</f>
        <v>505-259-5748</v>
      </c>
      <c r="E5891" s="2" t="s">
        <v>14532</v>
      </c>
      <c r="F5891" s="2" t="s">
        <v>5338</v>
      </c>
      <c r="G5891" s="2" t="str">
        <f>"SR-8109"</f>
        <v>SR-8109</v>
      </c>
      <c r="H5891" s="2" t="s">
        <v>25582</v>
      </c>
      <c r="I5891" s="2" t="s">
        <v>25583</v>
      </c>
      <c r="K5891" s="2" t="s">
        <v>5341</v>
      </c>
      <c r="L5891" s="2" t="s">
        <v>789</v>
      </c>
      <c r="M5891" s="2">
        <v>87047.0</v>
      </c>
      <c r="N5891" s="2" t="s">
        <v>21</v>
      </c>
    </row>
    <row r="5892" ht="15.75" customHeight="1">
      <c r="A5892" s="2">
        <v>2016.0</v>
      </c>
      <c r="B5892" s="2" t="s">
        <v>25584</v>
      </c>
      <c r="C5892" s="2" t="s">
        <v>25585</v>
      </c>
      <c r="D5892" s="2" t="str">
        <f>"205-704-0043"</f>
        <v>205-704-0043</v>
      </c>
      <c r="E5892" s="2" t="s">
        <v>1263</v>
      </c>
      <c r="F5892" s="2" t="s">
        <v>17939</v>
      </c>
      <c r="G5892" s="2" t="str">
        <f>"SR-7734"</f>
        <v>SR-7734</v>
      </c>
      <c r="H5892" s="2" t="s">
        <v>17940</v>
      </c>
      <c r="I5892" s="2" t="s">
        <v>17941</v>
      </c>
      <c r="K5892" s="2" t="s">
        <v>1173</v>
      </c>
      <c r="L5892" s="2" t="s">
        <v>539</v>
      </c>
      <c r="M5892" s="2">
        <v>35235.0</v>
      </c>
      <c r="N5892" s="2" t="s">
        <v>21</v>
      </c>
    </row>
    <row r="5893" ht="15.75" customHeight="1">
      <c r="A5893" s="2">
        <v>2016.0</v>
      </c>
      <c r="B5893" s="2" t="s">
        <v>25586</v>
      </c>
      <c r="C5893" s="2" t="s">
        <v>25587</v>
      </c>
      <c r="D5893" s="2" t="str">
        <f>"207-402-1899"</f>
        <v>207-402-1899</v>
      </c>
      <c r="E5893" s="2" t="s">
        <v>1810</v>
      </c>
      <c r="F5893" s="2" t="s">
        <v>25588</v>
      </c>
      <c r="G5893" s="2" t="str">
        <f>"SR-7855"</f>
        <v>SR-7855</v>
      </c>
      <c r="H5893" s="2" t="s">
        <v>25589</v>
      </c>
      <c r="I5893" s="2" t="s">
        <v>25590</v>
      </c>
      <c r="K5893" s="2" t="s">
        <v>6312</v>
      </c>
      <c r="L5893" s="2" t="s">
        <v>3737</v>
      </c>
      <c r="M5893" s="2">
        <v>4210.0</v>
      </c>
      <c r="N5893" s="2" t="s">
        <v>21</v>
      </c>
    </row>
    <row r="5894" ht="15.75" customHeight="1">
      <c r="A5894" s="2">
        <v>2016.0</v>
      </c>
      <c r="B5894" s="2" t="s">
        <v>25591</v>
      </c>
      <c r="C5894" s="2" t="s">
        <v>25592</v>
      </c>
      <c r="D5894" s="2" t="str">
        <f>"865-719-0737"</f>
        <v>865-719-0737</v>
      </c>
      <c r="E5894" s="2" t="s">
        <v>2296</v>
      </c>
      <c r="F5894" s="2" t="s">
        <v>5414</v>
      </c>
      <c r="G5894" s="2" t="str">
        <f>"SR-8102"</f>
        <v>SR-8102</v>
      </c>
      <c r="H5894" s="2" t="s">
        <v>25593</v>
      </c>
      <c r="I5894" s="2" t="s">
        <v>25594</v>
      </c>
      <c r="K5894" s="2" t="s">
        <v>3630</v>
      </c>
      <c r="L5894" s="2" t="s">
        <v>279</v>
      </c>
      <c r="M5894" s="2">
        <v>37820.0</v>
      </c>
      <c r="N5894" s="2" t="s">
        <v>21</v>
      </c>
    </row>
    <row r="5895" ht="15.75" customHeight="1">
      <c r="A5895" s="2">
        <v>2016.0</v>
      </c>
      <c r="B5895" s="2" t="s">
        <v>14057</v>
      </c>
      <c r="C5895" s="2" t="s">
        <v>25595</v>
      </c>
      <c r="D5895" s="2" t="str">
        <f>"925-719-9061"</f>
        <v>925-719-9061</v>
      </c>
      <c r="E5895" s="2" t="s">
        <v>585</v>
      </c>
      <c r="F5895" s="2" t="s">
        <v>2667</v>
      </c>
      <c r="G5895" s="2" t="str">
        <f>"SR-8030"</f>
        <v>SR-8030</v>
      </c>
      <c r="H5895" s="2" t="s">
        <v>25596</v>
      </c>
      <c r="I5895" s="2" t="s">
        <v>25597</v>
      </c>
      <c r="K5895" s="2" t="s">
        <v>1889</v>
      </c>
      <c r="L5895" s="2" t="s">
        <v>157</v>
      </c>
      <c r="M5895" s="2">
        <v>80128.0</v>
      </c>
      <c r="N5895" s="2" t="s">
        <v>21</v>
      </c>
    </row>
    <row r="5896" ht="15.75" customHeight="1">
      <c r="A5896" s="2">
        <v>2016.0</v>
      </c>
      <c r="B5896" s="2" t="s">
        <v>25598</v>
      </c>
      <c r="C5896" s="2" t="s">
        <v>25598</v>
      </c>
      <c r="D5896" s="2" t="str">
        <f>"(906)-483-3817"</f>
        <v>(906)-483-3817</v>
      </c>
      <c r="E5896" s="2" t="s">
        <v>843</v>
      </c>
      <c r="F5896" s="2" t="s">
        <v>15237</v>
      </c>
      <c r="G5896" s="2" t="str">
        <f>"SR-7997"</f>
        <v>SR-7997</v>
      </c>
      <c r="H5896" s="2" t="s">
        <v>25599</v>
      </c>
      <c r="I5896" s="2" t="s">
        <v>25600</v>
      </c>
      <c r="K5896" s="2" t="s">
        <v>8278</v>
      </c>
      <c r="L5896" s="2" t="s">
        <v>29</v>
      </c>
      <c r="M5896" s="2">
        <v>49930.0</v>
      </c>
      <c r="N5896" s="2" t="s">
        <v>21</v>
      </c>
    </row>
    <row r="5897" ht="15.75" customHeight="1">
      <c r="A5897" s="2">
        <v>2016.0</v>
      </c>
      <c r="B5897" s="2" t="s">
        <v>25601</v>
      </c>
      <c r="C5897" s="2" t="s">
        <v>25602</v>
      </c>
      <c r="D5897" s="2" t="str">
        <f>"7122299560"</f>
        <v>7122299560</v>
      </c>
      <c r="E5897" s="2" t="s">
        <v>3743</v>
      </c>
      <c r="F5897" s="2" t="s">
        <v>25603</v>
      </c>
      <c r="G5897" s="2" t="str">
        <f>"SR-8120"</f>
        <v>SR-8120</v>
      </c>
      <c r="H5897" s="2" t="s">
        <v>25604</v>
      </c>
      <c r="I5897" s="2" t="s">
        <v>25605</v>
      </c>
      <c r="K5897" s="2" t="s">
        <v>25606</v>
      </c>
      <c r="L5897" s="2" t="s">
        <v>560</v>
      </c>
      <c r="M5897" s="2">
        <v>51012.0</v>
      </c>
      <c r="N5897" s="2" t="s">
        <v>21</v>
      </c>
    </row>
    <row r="5898" ht="15.75" customHeight="1">
      <c r="A5898" s="2">
        <v>2016.0</v>
      </c>
      <c r="B5898" s="2" t="s">
        <v>7302</v>
      </c>
      <c r="C5898" s="2" t="s">
        <v>25607</v>
      </c>
      <c r="D5898" s="2" t="str">
        <f>"2708729379"</f>
        <v>2708729379</v>
      </c>
      <c r="E5898" s="2" t="s">
        <v>10295</v>
      </c>
      <c r="F5898" s="2" t="s">
        <v>7303</v>
      </c>
      <c r="G5898" s="2" t="str">
        <f>"SR-8035"</f>
        <v>SR-8035</v>
      </c>
      <c r="H5898" s="2" t="s">
        <v>25608</v>
      </c>
      <c r="I5898" s="2" t="s">
        <v>7309</v>
      </c>
      <c r="K5898" s="2" t="s">
        <v>7306</v>
      </c>
      <c r="L5898" s="2" t="s">
        <v>1236</v>
      </c>
      <c r="M5898" s="2">
        <v>40175.0</v>
      </c>
      <c r="N5898" s="2" t="s">
        <v>21</v>
      </c>
    </row>
    <row r="5899" ht="15.75" customHeight="1">
      <c r="A5899" s="2">
        <v>2016.0</v>
      </c>
      <c r="B5899" s="2" t="s">
        <v>20869</v>
      </c>
      <c r="C5899" s="2" t="s">
        <v>25609</v>
      </c>
      <c r="D5899" s="2" t="str">
        <f>"260-582-1077"</f>
        <v>260-582-1077</v>
      </c>
      <c r="E5899" s="2" t="s">
        <v>25610</v>
      </c>
      <c r="F5899" s="2" t="s">
        <v>25611</v>
      </c>
      <c r="G5899" s="2" t="str">
        <f>"SR-7871"</f>
        <v>SR-7871</v>
      </c>
      <c r="H5899" s="2" t="s">
        <v>25612</v>
      </c>
      <c r="I5899" s="2" t="s">
        <v>25613</v>
      </c>
      <c r="K5899" s="2" t="s">
        <v>18855</v>
      </c>
      <c r="L5899" s="2" t="s">
        <v>149</v>
      </c>
      <c r="M5899" s="2">
        <v>46730.0</v>
      </c>
      <c r="N5899" s="2" t="s">
        <v>21</v>
      </c>
    </row>
    <row r="5900" ht="15.75" customHeight="1">
      <c r="A5900" s="2">
        <v>2016.0</v>
      </c>
      <c r="B5900" s="2" t="s">
        <v>20869</v>
      </c>
      <c r="C5900" s="2" t="s">
        <v>25614</v>
      </c>
      <c r="D5900" s="2" t="str">
        <f>"260-442-5930"</f>
        <v>260-442-5930</v>
      </c>
      <c r="E5900" s="2" t="s">
        <v>2243</v>
      </c>
      <c r="F5900" s="2" t="s">
        <v>25611</v>
      </c>
      <c r="G5900" s="2" t="str">
        <f>"SR-7872"</f>
        <v>SR-7872</v>
      </c>
      <c r="H5900" s="2" t="s">
        <v>25615</v>
      </c>
      <c r="I5900" s="2" t="s">
        <v>25613</v>
      </c>
      <c r="K5900" s="2" t="s">
        <v>18855</v>
      </c>
      <c r="L5900" s="2" t="s">
        <v>149</v>
      </c>
      <c r="M5900" s="2">
        <v>46730.0</v>
      </c>
      <c r="N5900" s="2" t="s">
        <v>21</v>
      </c>
    </row>
    <row r="5901" ht="15.75" customHeight="1">
      <c r="A5901" s="2">
        <v>2016.0</v>
      </c>
      <c r="B5901" s="2" t="s">
        <v>25616</v>
      </c>
      <c r="C5901" s="2" t="s">
        <v>25617</v>
      </c>
      <c r="D5901" s="2" t="str">
        <f>"616-848-8228"</f>
        <v>616-848-8228</v>
      </c>
      <c r="E5901" s="2" t="s">
        <v>1251</v>
      </c>
      <c r="F5901" s="2" t="s">
        <v>6413</v>
      </c>
      <c r="G5901" s="2" t="str">
        <f>"SR-7993"</f>
        <v>SR-7993</v>
      </c>
      <c r="H5901" s="2" t="s">
        <v>25618</v>
      </c>
      <c r="I5901" s="2" t="s">
        <v>25619</v>
      </c>
      <c r="K5901" s="2" t="s">
        <v>25003</v>
      </c>
      <c r="L5901" s="2" t="s">
        <v>29</v>
      </c>
      <c r="M5901" s="2">
        <v>49448.0</v>
      </c>
      <c r="N5901" s="2" t="s">
        <v>21</v>
      </c>
    </row>
    <row r="5902" ht="15.75" customHeight="1">
      <c r="A5902" s="2">
        <v>2016.0</v>
      </c>
      <c r="B5902" s="2" t="s">
        <v>25620</v>
      </c>
      <c r="C5902" s="2" t="s">
        <v>25620</v>
      </c>
      <c r="D5902" s="2" t="str">
        <f>"561-702-2576"</f>
        <v>561-702-2576</v>
      </c>
      <c r="E5902" s="2" t="s">
        <v>167</v>
      </c>
      <c r="F5902" s="2" t="s">
        <v>13666</v>
      </c>
      <c r="G5902" s="2" t="str">
        <f>"SR-8125"</f>
        <v>SR-8125</v>
      </c>
      <c r="H5902" s="2" t="s">
        <v>23801</v>
      </c>
      <c r="I5902" s="2" t="s">
        <v>25621</v>
      </c>
      <c r="K5902" s="2" t="s">
        <v>2273</v>
      </c>
      <c r="L5902" s="2" t="s">
        <v>208</v>
      </c>
      <c r="M5902" s="2">
        <v>33431.0</v>
      </c>
      <c r="N5902" s="2" t="s">
        <v>21</v>
      </c>
    </row>
    <row r="5903" ht="15.75" customHeight="1">
      <c r="A5903" s="2">
        <v>2016.0</v>
      </c>
      <c r="B5903" s="2" t="s">
        <v>4549</v>
      </c>
      <c r="C5903" s="2" t="s">
        <v>25622</v>
      </c>
      <c r="D5903" s="2" t="str">
        <f>"2604095020"</f>
        <v>2604095020</v>
      </c>
      <c r="E5903" s="2" t="s">
        <v>5548</v>
      </c>
      <c r="F5903" s="2" t="s">
        <v>4547</v>
      </c>
      <c r="G5903" s="2" t="str">
        <f>"SR-7703"</f>
        <v>SR-7703</v>
      </c>
      <c r="H5903" s="2" t="s">
        <v>25623</v>
      </c>
      <c r="I5903" s="2" t="s">
        <v>25624</v>
      </c>
      <c r="K5903" s="2" t="s">
        <v>4552</v>
      </c>
      <c r="L5903" s="2" t="s">
        <v>149</v>
      </c>
      <c r="M5903" s="2">
        <v>46714.0</v>
      </c>
      <c r="N5903" s="2" t="s">
        <v>21</v>
      </c>
    </row>
    <row r="5904" ht="15.75" customHeight="1">
      <c r="A5904" s="2">
        <v>2016.0</v>
      </c>
      <c r="B5904" s="2" t="s">
        <v>25625</v>
      </c>
      <c r="C5904" s="2" t="s">
        <v>25626</v>
      </c>
      <c r="D5904" s="2" t="str">
        <f>"8177986561"</f>
        <v>8177986561</v>
      </c>
      <c r="E5904" s="2" t="s">
        <v>417</v>
      </c>
      <c r="F5904" s="2" t="s">
        <v>8031</v>
      </c>
      <c r="G5904" s="2" t="str">
        <f>"SR-7934"</f>
        <v>SR-7934</v>
      </c>
      <c r="H5904" s="2" t="s">
        <v>25627</v>
      </c>
      <c r="I5904" s="2" t="s">
        <v>25628</v>
      </c>
      <c r="K5904" s="2" t="s">
        <v>5399</v>
      </c>
      <c r="L5904" s="2" t="s">
        <v>172</v>
      </c>
      <c r="M5904" s="2">
        <v>76022.0</v>
      </c>
      <c r="N5904" s="2" t="s">
        <v>21</v>
      </c>
    </row>
    <row r="5905" ht="15.75" customHeight="1">
      <c r="A5905" s="2">
        <v>2016.0</v>
      </c>
      <c r="B5905" s="2" t="s">
        <v>25629</v>
      </c>
      <c r="C5905" s="2" t="s">
        <v>25629</v>
      </c>
      <c r="D5905" s="2" t="str">
        <f>"218-851-3046"</f>
        <v>218-851-3046</v>
      </c>
      <c r="E5905" s="2" t="s">
        <v>373</v>
      </c>
      <c r="F5905" s="2" t="s">
        <v>25630</v>
      </c>
      <c r="G5905" s="2" t="str">
        <f>"SR-7924"</f>
        <v>SR-7924</v>
      </c>
      <c r="H5905" s="2" t="s">
        <v>25631</v>
      </c>
      <c r="I5905" s="2">
        <v>22294.0</v>
      </c>
      <c r="J5905" s="2" t="s">
        <v>25632</v>
      </c>
      <c r="K5905" s="2" t="s">
        <v>25633</v>
      </c>
      <c r="L5905" s="2" t="s">
        <v>62</v>
      </c>
      <c r="M5905" s="2">
        <v>56455.0</v>
      </c>
      <c r="N5905" s="2" t="s">
        <v>21</v>
      </c>
    </row>
    <row r="5906" ht="15.75" customHeight="1">
      <c r="A5906" s="2">
        <v>2016.0</v>
      </c>
      <c r="B5906" s="2" t="s">
        <v>25634</v>
      </c>
      <c r="C5906" s="2" t="s">
        <v>25635</v>
      </c>
      <c r="D5906" s="2" t="str">
        <f>"6128452647"</f>
        <v>6128452647</v>
      </c>
      <c r="E5906" s="2" t="s">
        <v>705</v>
      </c>
      <c r="F5906" s="2" t="s">
        <v>21729</v>
      </c>
      <c r="G5906" s="2" t="str">
        <f>"SR-8122"</f>
        <v>SR-8122</v>
      </c>
      <c r="H5906" s="2" t="s">
        <v>25636</v>
      </c>
      <c r="I5906" s="2" t="s">
        <v>25637</v>
      </c>
      <c r="K5906" s="2" t="s">
        <v>16172</v>
      </c>
      <c r="L5906" s="2" t="s">
        <v>62</v>
      </c>
      <c r="M5906" s="2">
        <v>55092.0</v>
      </c>
      <c r="N5906" s="2" t="s">
        <v>21</v>
      </c>
    </row>
    <row r="5907" ht="15.75" customHeight="1">
      <c r="A5907" s="2">
        <v>2016.0</v>
      </c>
      <c r="B5907" s="2" t="s">
        <v>25638</v>
      </c>
      <c r="C5907" s="2" t="s">
        <v>25638</v>
      </c>
      <c r="D5907" s="2" t="str">
        <f>"9498421866"</f>
        <v>9498421866</v>
      </c>
      <c r="E5907" s="2" t="s">
        <v>417</v>
      </c>
      <c r="F5907" s="2" t="s">
        <v>11233</v>
      </c>
      <c r="G5907" s="2" t="str">
        <f>"SR-8047"</f>
        <v>SR-8047</v>
      </c>
      <c r="H5907" s="2" t="s">
        <v>25639</v>
      </c>
      <c r="I5907" s="2" t="s">
        <v>25640</v>
      </c>
      <c r="K5907" s="2" t="s">
        <v>25641</v>
      </c>
      <c r="L5907" s="2" t="s">
        <v>222</v>
      </c>
      <c r="M5907" s="2">
        <v>92679.0</v>
      </c>
      <c r="N5907" s="2" t="s">
        <v>21</v>
      </c>
    </row>
    <row r="5908" ht="15.75" customHeight="1">
      <c r="A5908" s="2">
        <v>2016.0</v>
      </c>
      <c r="B5908" s="2" t="s">
        <v>25642</v>
      </c>
      <c r="C5908" s="2" t="s">
        <v>25643</v>
      </c>
      <c r="D5908" s="2" t="str">
        <f>"5175888200"</f>
        <v>5175888200</v>
      </c>
      <c r="E5908" s="2" t="s">
        <v>2412</v>
      </c>
      <c r="F5908" s="2" t="s">
        <v>25644</v>
      </c>
      <c r="G5908" s="2" t="str">
        <f>"SR-7996"</f>
        <v>SR-7996</v>
      </c>
      <c r="H5908" s="2" t="s">
        <v>25645</v>
      </c>
      <c r="I5908" s="2" t="s">
        <v>25646</v>
      </c>
      <c r="K5908" s="2" t="s">
        <v>25647</v>
      </c>
      <c r="L5908" s="2" t="s">
        <v>29</v>
      </c>
      <c r="M5908" s="2">
        <v>48876.0</v>
      </c>
      <c r="N5908" s="2" t="s">
        <v>21</v>
      </c>
    </row>
    <row r="5909" ht="15.75" customHeight="1">
      <c r="A5909" s="2">
        <v>2016.0</v>
      </c>
      <c r="B5909" s="2" t="s">
        <v>25648</v>
      </c>
      <c r="C5909" s="2" t="s">
        <v>25648</v>
      </c>
      <c r="D5909" s="2" t="str">
        <f>"7759341641"</f>
        <v>7759341641</v>
      </c>
      <c r="E5909" s="2" t="s">
        <v>2083</v>
      </c>
      <c r="F5909" s="2" t="s">
        <v>5906</v>
      </c>
      <c r="G5909" s="2" t="str">
        <f>"SR-7728"</f>
        <v>SR-7728</v>
      </c>
      <c r="H5909" s="2" t="s">
        <v>25649</v>
      </c>
      <c r="I5909" s="2" t="s">
        <v>25650</v>
      </c>
      <c r="K5909" s="2" t="s">
        <v>25651</v>
      </c>
      <c r="L5909" s="2" t="s">
        <v>1419</v>
      </c>
      <c r="M5909" s="2">
        <v>89815.0</v>
      </c>
      <c r="N5909" s="2" t="s">
        <v>21</v>
      </c>
    </row>
    <row r="5910" ht="15.75" customHeight="1">
      <c r="A5910" s="2">
        <v>2016.0</v>
      </c>
      <c r="B5910" s="2" t="s">
        <v>25652</v>
      </c>
      <c r="C5910" s="2" t="s">
        <v>25653</v>
      </c>
      <c r="D5910" s="2" t="str">
        <f>"2193633975"</f>
        <v>2193633975</v>
      </c>
      <c r="E5910" s="2" t="s">
        <v>8485</v>
      </c>
      <c r="F5910" s="2" t="s">
        <v>25654</v>
      </c>
      <c r="G5910" s="2" t="str">
        <f>"SR-8132"</f>
        <v>SR-8132</v>
      </c>
      <c r="H5910" s="2" t="s">
        <v>25655</v>
      </c>
      <c r="I5910" s="2" t="s">
        <v>25656</v>
      </c>
      <c r="K5910" s="2" t="s">
        <v>21954</v>
      </c>
      <c r="L5910" s="2" t="s">
        <v>149</v>
      </c>
      <c r="M5910" s="2">
        <v>46365.0</v>
      </c>
      <c r="N5910" s="2" t="s">
        <v>21</v>
      </c>
    </row>
    <row r="5911" ht="15.75" customHeight="1">
      <c r="A5911" s="2">
        <v>2016.0</v>
      </c>
      <c r="B5911" s="2" t="s">
        <v>25657</v>
      </c>
      <c r="C5911" s="2" t="s">
        <v>25658</v>
      </c>
      <c r="D5911" s="2" t="str">
        <f>"3209652736"</f>
        <v>3209652736</v>
      </c>
      <c r="E5911" s="2" t="s">
        <v>493</v>
      </c>
      <c r="F5911" s="2" t="s">
        <v>1209</v>
      </c>
      <c r="G5911" s="2" t="str">
        <f>"SR-8053"</f>
        <v>SR-8053</v>
      </c>
      <c r="H5911" s="2" t="s">
        <v>25659</v>
      </c>
      <c r="I5911" s="2" t="s">
        <v>25660</v>
      </c>
      <c r="K5911" s="2" t="s">
        <v>25661</v>
      </c>
      <c r="L5911" s="2" t="s">
        <v>62</v>
      </c>
      <c r="M5911" s="2">
        <v>56343.0</v>
      </c>
      <c r="N5911" s="2" t="s">
        <v>21</v>
      </c>
    </row>
    <row r="5912" ht="15.75" customHeight="1">
      <c r="A5912" s="2">
        <v>2016.0</v>
      </c>
      <c r="B5912" s="2" t="s">
        <v>25662</v>
      </c>
      <c r="C5912" s="2" t="s">
        <v>25663</v>
      </c>
      <c r="D5912" s="2" t="str">
        <f>"214-708-5927"</f>
        <v>214-708-5927</v>
      </c>
      <c r="E5912" s="2" t="s">
        <v>11981</v>
      </c>
      <c r="F5912" s="2" t="s">
        <v>457</v>
      </c>
      <c r="G5912" s="2" t="str">
        <f>"SR-8062"</f>
        <v>SR-8062</v>
      </c>
      <c r="H5912" s="2" t="s">
        <v>25664</v>
      </c>
      <c r="I5912" s="2" t="s">
        <v>25665</v>
      </c>
      <c r="K5912" s="2" t="s">
        <v>1408</v>
      </c>
      <c r="L5912" s="2" t="s">
        <v>279</v>
      </c>
      <c r="M5912" s="2">
        <v>37312.0</v>
      </c>
      <c r="N5912" s="2" t="s">
        <v>21</v>
      </c>
    </row>
    <row r="5913" ht="15.75" customHeight="1">
      <c r="A5913" s="2">
        <v>2016.0</v>
      </c>
      <c r="B5913" s="2" t="s">
        <v>25666</v>
      </c>
      <c r="C5913" s="2" t="s">
        <v>25667</v>
      </c>
      <c r="D5913" s="2" t="str">
        <f>"856-701-5802"</f>
        <v>856-701-5802</v>
      </c>
      <c r="E5913" s="2" t="s">
        <v>25668</v>
      </c>
      <c r="F5913" s="2" t="s">
        <v>25669</v>
      </c>
      <c r="G5913" s="2" t="str">
        <f>"SR-8135"</f>
        <v>SR-8135</v>
      </c>
      <c r="H5913" s="2" t="s">
        <v>25670</v>
      </c>
      <c r="I5913" s="2" t="s">
        <v>25671</v>
      </c>
      <c r="K5913" s="2" t="s">
        <v>25672</v>
      </c>
      <c r="L5913" s="2" t="s">
        <v>3618</v>
      </c>
      <c r="M5913" s="2">
        <v>8085.0</v>
      </c>
      <c r="N5913" s="2" t="s">
        <v>21</v>
      </c>
    </row>
    <row r="5914" ht="15.75" customHeight="1">
      <c r="A5914" s="2">
        <v>2016.0</v>
      </c>
      <c r="B5914" s="2" t="s">
        <v>25673</v>
      </c>
      <c r="C5914" s="2" t="s">
        <v>25674</v>
      </c>
      <c r="D5914" s="2" t="str">
        <f>"509-226-5047"</f>
        <v>509-226-5047</v>
      </c>
      <c r="E5914" s="2" t="s">
        <v>3977</v>
      </c>
      <c r="F5914" s="2" t="s">
        <v>25675</v>
      </c>
      <c r="G5914" s="2" t="str">
        <f>"SR-8126"</f>
        <v>SR-8126</v>
      </c>
      <c r="H5914" s="2" t="s">
        <v>25676</v>
      </c>
      <c r="I5914" s="2" t="s">
        <v>25677</v>
      </c>
      <c r="K5914" s="2" t="s">
        <v>25678</v>
      </c>
      <c r="L5914" s="2" t="s">
        <v>86</v>
      </c>
      <c r="M5914" s="2">
        <v>99025.0</v>
      </c>
      <c r="N5914" s="2" t="s">
        <v>21</v>
      </c>
    </row>
    <row r="5915" ht="15.75" customHeight="1">
      <c r="A5915" s="2">
        <v>2016.0</v>
      </c>
      <c r="B5915" s="2" t="s">
        <v>19264</v>
      </c>
      <c r="C5915" s="2" t="s">
        <v>25679</v>
      </c>
      <c r="D5915" s="2" t="str">
        <f>"847-736-2112"</f>
        <v>847-736-2112</v>
      </c>
      <c r="E5915" s="2" t="s">
        <v>5760</v>
      </c>
      <c r="F5915" s="2" t="s">
        <v>19266</v>
      </c>
      <c r="G5915" s="2" t="str">
        <f>"SR-8114"</f>
        <v>SR-8114</v>
      </c>
      <c r="H5915" s="2" t="s">
        <v>25680</v>
      </c>
      <c r="I5915" s="2" t="s">
        <v>19268</v>
      </c>
      <c r="K5915" s="2" t="s">
        <v>3279</v>
      </c>
      <c r="L5915" s="2" t="s">
        <v>105</v>
      </c>
      <c r="M5915" s="2">
        <v>60102.0</v>
      </c>
      <c r="N5915" s="2" t="s">
        <v>21</v>
      </c>
    </row>
    <row r="5916" ht="15.75" customHeight="1">
      <c r="A5916" s="2">
        <v>2016.0</v>
      </c>
      <c r="B5916" s="2" t="s">
        <v>25681</v>
      </c>
      <c r="C5916" s="2" t="s">
        <v>25682</v>
      </c>
      <c r="D5916" s="2" t="str">
        <f>"832-588-2457"</f>
        <v>832-588-2457</v>
      </c>
      <c r="E5916" s="2" t="s">
        <v>705</v>
      </c>
      <c r="F5916" s="2" t="s">
        <v>25683</v>
      </c>
      <c r="G5916" s="2" t="str">
        <f>"SR-8143"</f>
        <v>SR-8143</v>
      </c>
      <c r="H5916" s="2" t="s">
        <v>25684</v>
      </c>
      <c r="I5916" s="2" t="s">
        <v>25685</v>
      </c>
      <c r="K5916" s="2" t="s">
        <v>444</v>
      </c>
      <c r="L5916" s="2" t="s">
        <v>172</v>
      </c>
      <c r="M5916" s="2">
        <v>77070.0</v>
      </c>
      <c r="N5916" s="2" t="s">
        <v>21</v>
      </c>
    </row>
    <row r="5917" ht="15.75" customHeight="1">
      <c r="A5917" s="2">
        <v>2016.0</v>
      </c>
      <c r="B5917" s="2" t="s">
        <v>25686</v>
      </c>
      <c r="C5917" s="2" t="s">
        <v>25687</v>
      </c>
      <c r="D5917" s="2" t="str">
        <f>"3363660477"</f>
        <v>3363660477</v>
      </c>
      <c r="E5917" s="2" t="s">
        <v>167</v>
      </c>
      <c r="F5917" s="2" t="s">
        <v>25688</v>
      </c>
      <c r="G5917" s="2" t="str">
        <f>"SR-7989"</f>
        <v>SR-7989</v>
      </c>
      <c r="H5917" s="2" t="s">
        <v>25689</v>
      </c>
      <c r="I5917" s="2" t="s">
        <v>25690</v>
      </c>
      <c r="K5917" s="2" t="s">
        <v>25691</v>
      </c>
      <c r="L5917" s="2" t="s">
        <v>20</v>
      </c>
      <c r="M5917" s="2">
        <v>28621.0</v>
      </c>
      <c r="N5917" s="2" t="s">
        <v>21</v>
      </c>
    </row>
    <row r="5918" ht="15.75" customHeight="1">
      <c r="A5918" s="2">
        <v>2016.0</v>
      </c>
      <c r="B5918" s="2" t="s">
        <v>3607</v>
      </c>
      <c r="C5918" s="2" t="s">
        <v>25692</v>
      </c>
      <c r="D5918" s="2" t="str">
        <f>"208-452-2825"</f>
        <v>208-452-2825</v>
      </c>
      <c r="E5918" s="2" t="s">
        <v>2031</v>
      </c>
      <c r="F5918" s="2" t="s">
        <v>256</v>
      </c>
      <c r="G5918" s="2" t="str">
        <f>"SR-7850"</f>
        <v>SR-7850</v>
      </c>
      <c r="H5918" s="2" t="s">
        <v>25693</v>
      </c>
      <c r="I5918" s="2" t="s">
        <v>25694</v>
      </c>
      <c r="K5918" s="2" t="s">
        <v>25695</v>
      </c>
      <c r="L5918" s="2" t="s">
        <v>2613</v>
      </c>
      <c r="M5918" s="2">
        <v>83619.0</v>
      </c>
      <c r="N5918" s="2" t="s">
        <v>21</v>
      </c>
    </row>
    <row r="5919" ht="15.75" customHeight="1">
      <c r="A5919" s="2">
        <v>2016.0</v>
      </c>
      <c r="B5919" s="2" t="s">
        <v>25696</v>
      </c>
      <c r="C5919" s="2" t="s">
        <v>25697</v>
      </c>
      <c r="D5919" s="2" t="str">
        <f>"5173212499"</f>
        <v>5173212499</v>
      </c>
      <c r="E5919" s="2" t="s">
        <v>4526</v>
      </c>
      <c r="F5919" s="2" t="s">
        <v>1441</v>
      </c>
      <c r="G5919" s="2" t="str">
        <f>"SR-8151"</f>
        <v>SR-8151</v>
      </c>
      <c r="H5919" s="2" t="s">
        <v>25698</v>
      </c>
      <c r="I5919" s="2" t="s">
        <v>25699</v>
      </c>
      <c r="K5919" s="2" t="s">
        <v>959</v>
      </c>
      <c r="L5919" s="2" t="s">
        <v>29</v>
      </c>
      <c r="M5919" s="2">
        <v>48917.0</v>
      </c>
      <c r="N5919" s="2" t="s">
        <v>21</v>
      </c>
    </row>
    <row r="5920" ht="15.75" customHeight="1">
      <c r="A5920" s="2">
        <v>2016.0</v>
      </c>
      <c r="B5920" s="2" t="s">
        <v>25700</v>
      </c>
      <c r="C5920" s="2" t="s">
        <v>25700</v>
      </c>
      <c r="D5920" s="2" t="str">
        <f>"423-870-4469"</f>
        <v>423-870-4469</v>
      </c>
      <c r="E5920" s="2" t="s">
        <v>938</v>
      </c>
      <c r="F5920" s="2" t="s">
        <v>21153</v>
      </c>
      <c r="G5920" s="2" t="str">
        <f>"SR-8133"</f>
        <v>SR-8133</v>
      </c>
      <c r="H5920" s="2" t="s">
        <v>25701</v>
      </c>
      <c r="I5920" s="2" t="s">
        <v>25702</v>
      </c>
      <c r="K5920" s="2" t="s">
        <v>23449</v>
      </c>
      <c r="L5920" s="2" t="s">
        <v>279</v>
      </c>
      <c r="M5920" s="2">
        <v>37343.0</v>
      </c>
      <c r="N5920" s="2" t="s">
        <v>21</v>
      </c>
    </row>
    <row r="5921" ht="15.75" customHeight="1">
      <c r="A5921" s="2">
        <v>2016.0</v>
      </c>
      <c r="B5921" s="2" t="s">
        <v>23049</v>
      </c>
      <c r="C5921" s="2" t="s">
        <v>23049</v>
      </c>
      <c r="D5921" s="2" t="str">
        <f>"6162554813"</f>
        <v>6162554813</v>
      </c>
      <c r="E5921" s="2" t="s">
        <v>23050</v>
      </c>
      <c r="F5921" s="2" t="s">
        <v>543</v>
      </c>
      <c r="G5921" s="2" t="str">
        <f>"SR-8156"</f>
        <v>SR-8156</v>
      </c>
      <c r="H5921" s="2" t="s">
        <v>23051</v>
      </c>
      <c r="I5921" s="2" t="s">
        <v>25703</v>
      </c>
      <c r="K5921" s="2" t="s">
        <v>54</v>
      </c>
      <c r="L5921" s="2" t="s">
        <v>29</v>
      </c>
      <c r="M5921" s="2">
        <v>48838.0</v>
      </c>
      <c r="N5921" s="2" t="s">
        <v>21</v>
      </c>
    </row>
    <row r="5922" ht="15.75" customHeight="1">
      <c r="A5922" s="2">
        <v>2016.0</v>
      </c>
      <c r="B5922" s="2" t="s">
        <v>25704</v>
      </c>
      <c r="C5922" s="2" t="s">
        <v>25704</v>
      </c>
      <c r="D5922" s="2" t="str">
        <f>"719-263-4025"</f>
        <v>719-263-4025</v>
      </c>
      <c r="E5922" s="2" t="s">
        <v>1529</v>
      </c>
      <c r="F5922" s="2" t="s">
        <v>962</v>
      </c>
      <c r="G5922" s="2" t="str">
        <f>"SR-8162"</f>
        <v>SR-8162</v>
      </c>
      <c r="H5922" s="2" t="s">
        <v>17803</v>
      </c>
      <c r="I5922" s="2" t="s">
        <v>12319</v>
      </c>
      <c r="K5922" s="2" t="s">
        <v>12320</v>
      </c>
      <c r="L5922" s="2" t="s">
        <v>157</v>
      </c>
      <c r="M5922" s="2">
        <v>81039.0</v>
      </c>
      <c r="N5922" s="2" t="s">
        <v>21</v>
      </c>
    </row>
    <row r="5923" ht="15.75" customHeight="1">
      <c r="A5923" s="2">
        <v>2016.0</v>
      </c>
      <c r="B5923" s="2" t="s">
        <v>25705</v>
      </c>
      <c r="C5923" s="2" t="s">
        <v>25706</v>
      </c>
      <c r="D5923" s="2" t="str">
        <f>"402-219-2319"</f>
        <v>402-219-2319</v>
      </c>
      <c r="E5923" s="2" t="s">
        <v>843</v>
      </c>
      <c r="F5923" s="2" t="s">
        <v>6566</v>
      </c>
      <c r="G5923" s="2" t="str">
        <f>"SR-8164"</f>
        <v>SR-8164</v>
      </c>
      <c r="H5923" s="2" t="s">
        <v>25707</v>
      </c>
      <c r="I5923" s="2" t="s">
        <v>25708</v>
      </c>
      <c r="K5923" s="2" t="s">
        <v>572</v>
      </c>
      <c r="L5923" s="2" t="s">
        <v>757</v>
      </c>
      <c r="M5923" s="2">
        <v>68505.0</v>
      </c>
      <c r="N5923" s="2" t="s">
        <v>21</v>
      </c>
    </row>
    <row r="5924" ht="15.75" customHeight="1">
      <c r="A5924" s="2">
        <v>2016.0</v>
      </c>
      <c r="B5924" s="2" t="s">
        <v>2546</v>
      </c>
      <c r="C5924" s="2" t="s">
        <v>25709</v>
      </c>
      <c r="D5924" s="2" t="str">
        <f>"7037273053"</f>
        <v>7037273053</v>
      </c>
      <c r="E5924" s="2" t="s">
        <v>217</v>
      </c>
      <c r="F5924" s="2" t="s">
        <v>2548</v>
      </c>
      <c r="G5924" s="2" t="str">
        <f>"SR-8079"</f>
        <v>SR-8079</v>
      </c>
      <c r="H5924" s="2" t="s">
        <v>25710</v>
      </c>
      <c r="I5924" s="2" t="s">
        <v>2550</v>
      </c>
      <c r="K5924" s="2" t="s">
        <v>2551</v>
      </c>
      <c r="L5924" s="2" t="s">
        <v>165</v>
      </c>
      <c r="M5924" s="2">
        <v>20135.0</v>
      </c>
      <c r="N5924" s="2" t="s">
        <v>21</v>
      </c>
    </row>
    <row r="5925" ht="15.75" customHeight="1">
      <c r="A5925" s="2">
        <v>2016.0</v>
      </c>
      <c r="B5925" s="2" t="s">
        <v>25711</v>
      </c>
      <c r="C5925" s="2" t="s">
        <v>25711</v>
      </c>
      <c r="D5925" s="2" t="str">
        <f>"434-223-6661"</f>
        <v>434-223-6661</v>
      </c>
      <c r="E5925" s="2" t="s">
        <v>36</v>
      </c>
      <c r="F5925" s="2" t="s">
        <v>25712</v>
      </c>
      <c r="G5925" s="2" t="str">
        <f>"SR-8103"</f>
        <v>SR-8103</v>
      </c>
      <c r="H5925" s="2" t="s">
        <v>25713</v>
      </c>
      <c r="I5925" s="2" t="s">
        <v>25714</v>
      </c>
      <c r="K5925" s="2" t="s">
        <v>25715</v>
      </c>
      <c r="L5925" s="2" t="s">
        <v>165</v>
      </c>
      <c r="M5925" s="2">
        <v>23943.0</v>
      </c>
      <c r="N5925" s="2" t="s">
        <v>21</v>
      </c>
    </row>
    <row r="5926" ht="15.75" customHeight="1">
      <c r="A5926" s="2">
        <v>2016.0</v>
      </c>
      <c r="B5926" s="2" t="s">
        <v>25716</v>
      </c>
      <c r="C5926" s="2" t="s">
        <v>25716</v>
      </c>
      <c r="D5926" s="2" t="str">
        <f>"770-508-0635"</f>
        <v>770-508-0635</v>
      </c>
      <c r="E5926" s="2" t="s">
        <v>16852</v>
      </c>
      <c r="F5926" s="2" t="s">
        <v>2738</v>
      </c>
      <c r="G5926" s="2" t="str">
        <f>"SR-8166"</f>
        <v>SR-8166</v>
      </c>
      <c r="H5926" s="2" t="s">
        <v>25717</v>
      </c>
      <c r="I5926" s="2" t="s">
        <v>25718</v>
      </c>
      <c r="K5926" s="2" t="s">
        <v>25719</v>
      </c>
      <c r="L5926" s="2" t="s">
        <v>200</v>
      </c>
      <c r="M5926" s="2">
        <v>30019.0</v>
      </c>
      <c r="N5926" s="2" t="s">
        <v>21</v>
      </c>
    </row>
    <row r="5927" ht="15.75" customHeight="1">
      <c r="A5927" s="2">
        <v>2016.0</v>
      </c>
      <c r="B5927" s="2" t="s">
        <v>25720</v>
      </c>
      <c r="D5927" s="2" t="str">
        <f>""</f>
        <v/>
      </c>
      <c r="E5927" s="2" t="s">
        <v>25721</v>
      </c>
      <c r="F5927" s="2" t="s">
        <v>21049</v>
      </c>
      <c r="G5927" s="2" t="str">
        <f>"SR-8073"</f>
        <v>SR-8073</v>
      </c>
      <c r="H5927" s="2" t="s">
        <v>25722</v>
      </c>
    </row>
    <row r="5928" ht="15.75" customHeight="1">
      <c r="A5928" s="2">
        <v>2016.0</v>
      </c>
      <c r="B5928" s="2" t="s">
        <v>25723</v>
      </c>
      <c r="C5928" s="2" t="s">
        <v>25724</v>
      </c>
      <c r="D5928" s="2" t="str">
        <f>"910-580-0071"</f>
        <v>910-580-0071</v>
      </c>
      <c r="E5928" s="2" t="s">
        <v>843</v>
      </c>
      <c r="F5928" s="2" t="s">
        <v>701</v>
      </c>
      <c r="G5928" s="2" t="str">
        <f>"SR-8040"</f>
        <v>SR-8040</v>
      </c>
      <c r="H5928" s="2" t="s">
        <v>25725</v>
      </c>
      <c r="I5928" s="2" t="s">
        <v>25726</v>
      </c>
      <c r="K5928" s="2" t="s">
        <v>3164</v>
      </c>
      <c r="L5928" s="2" t="s">
        <v>20</v>
      </c>
      <c r="M5928" s="2">
        <v>28314.0</v>
      </c>
      <c r="N5928" s="2" t="s">
        <v>21</v>
      </c>
    </row>
    <row r="5929" ht="15.75" customHeight="1">
      <c r="A5929" s="2">
        <v>2016.0</v>
      </c>
      <c r="B5929" s="2" t="s">
        <v>6882</v>
      </c>
      <c r="C5929" s="2" t="s">
        <v>25727</v>
      </c>
      <c r="D5929" s="2" t="str">
        <f>"2609084070"</f>
        <v>2609084070</v>
      </c>
      <c r="E5929" s="2" t="s">
        <v>4782</v>
      </c>
      <c r="F5929" s="2" t="s">
        <v>6884</v>
      </c>
      <c r="G5929" s="2" t="str">
        <f>"SR-8105"</f>
        <v>SR-8105</v>
      </c>
      <c r="H5929" s="2" t="s">
        <v>25728</v>
      </c>
      <c r="I5929" s="2" t="s">
        <v>25729</v>
      </c>
      <c r="K5929" s="2" t="s">
        <v>6312</v>
      </c>
      <c r="L5929" s="2" t="s">
        <v>149</v>
      </c>
      <c r="M5929" s="2">
        <v>46706.0</v>
      </c>
      <c r="N5929" s="2" t="s">
        <v>21</v>
      </c>
    </row>
    <row r="5930" ht="15.75" customHeight="1">
      <c r="A5930" s="2">
        <v>2016.0</v>
      </c>
      <c r="B5930" s="2" t="s">
        <v>22602</v>
      </c>
      <c r="C5930" s="2" t="s">
        <v>22603</v>
      </c>
      <c r="D5930" s="2" t="str">
        <f>"936-273-6477"</f>
        <v>936-273-6477</v>
      </c>
      <c r="E5930" s="2" t="s">
        <v>22604</v>
      </c>
      <c r="F5930" s="2" t="s">
        <v>711</v>
      </c>
      <c r="G5930" s="2" t="str">
        <f>"SR-6937"</f>
        <v>SR-6937</v>
      </c>
      <c r="H5930" s="2" t="s">
        <v>22605</v>
      </c>
      <c r="I5930" s="2" t="s">
        <v>22606</v>
      </c>
      <c r="K5930" s="2" t="s">
        <v>5404</v>
      </c>
      <c r="L5930" s="2" t="s">
        <v>172</v>
      </c>
      <c r="M5930" s="2">
        <v>77354.0</v>
      </c>
      <c r="N5930" s="2" t="s">
        <v>21</v>
      </c>
    </row>
    <row r="5931" ht="15.75" customHeight="1">
      <c r="A5931" s="2">
        <v>2016.0</v>
      </c>
      <c r="B5931" s="2" t="s">
        <v>25730</v>
      </c>
      <c r="C5931" s="2" t="s">
        <v>25730</v>
      </c>
      <c r="D5931" s="2" t="str">
        <f>"3526240077"</f>
        <v>3526240077</v>
      </c>
      <c r="E5931" s="2" t="s">
        <v>4665</v>
      </c>
      <c r="F5931" s="2" t="s">
        <v>25731</v>
      </c>
      <c r="G5931" s="2" t="str">
        <f>"SR-8174"</f>
        <v>SR-8174</v>
      </c>
      <c r="H5931" s="2" t="s">
        <v>25732</v>
      </c>
      <c r="I5931" s="2" t="s">
        <v>25733</v>
      </c>
      <c r="K5931" s="2" t="s">
        <v>18063</v>
      </c>
      <c r="L5931" s="2" t="s">
        <v>208</v>
      </c>
      <c r="M5931" s="2">
        <v>34480.0</v>
      </c>
      <c r="N5931" s="2" t="s">
        <v>21</v>
      </c>
    </row>
    <row r="5932" ht="15.75" customHeight="1">
      <c r="A5932" s="2">
        <v>2016.0</v>
      </c>
      <c r="B5932" s="2" t="s">
        <v>19601</v>
      </c>
      <c r="C5932" s="2" t="s">
        <v>25734</v>
      </c>
      <c r="D5932" s="2" t="str">
        <f>"806-781-2182"</f>
        <v>806-781-2182</v>
      </c>
      <c r="E5932" s="2" t="s">
        <v>10949</v>
      </c>
      <c r="F5932" s="2" t="s">
        <v>19604</v>
      </c>
      <c r="G5932" s="2" t="str">
        <f>"SR-8175"</f>
        <v>SR-8175</v>
      </c>
      <c r="H5932" s="2" t="s">
        <v>25735</v>
      </c>
      <c r="I5932" s="2" t="s">
        <v>19606</v>
      </c>
      <c r="K5932" s="2" t="s">
        <v>1121</v>
      </c>
      <c r="L5932" s="2" t="s">
        <v>172</v>
      </c>
      <c r="M5932" s="2">
        <v>79424.0</v>
      </c>
      <c r="N5932" s="2" t="s">
        <v>21</v>
      </c>
    </row>
    <row r="5933" ht="15.75" customHeight="1">
      <c r="A5933" s="2">
        <v>2016.0</v>
      </c>
      <c r="B5933" s="2" t="s">
        <v>25736</v>
      </c>
      <c r="C5933" s="2" t="s">
        <v>25737</v>
      </c>
      <c r="D5933" s="2" t="str">
        <f>"6158540452"</f>
        <v>6158540452</v>
      </c>
      <c r="E5933" s="2" t="s">
        <v>2947</v>
      </c>
      <c r="F5933" s="2" t="s">
        <v>690</v>
      </c>
      <c r="G5933" s="2" t="str">
        <f>"SR-8091"</f>
        <v>SR-8091</v>
      </c>
      <c r="H5933" s="2" t="s">
        <v>25738</v>
      </c>
      <c r="I5933" s="2" t="s">
        <v>19153</v>
      </c>
      <c r="K5933" s="2" t="s">
        <v>731</v>
      </c>
      <c r="L5933" s="2" t="s">
        <v>279</v>
      </c>
      <c r="M5933" s="2">
        <v>37215.0</v>
      </c>
      <c r="N5933" s="2" t="s">
        <v>21</v>
      </c>
    </row>
    <row r="5934" ht="15.75" customHeight="1">
      <c r="A5934" s="2">
        <v>2016.0</v>
      </c>
      <c r="B5934" s="2" t="s">
        <v>21012</v>
      </c>
      <c r="C5934" s="2" t="s">
        <v>21013</v>
      </c>
      <c r="D5934" s="2" t="str">
        <f t="shared" ref="D5934:D5935" si="105">"316-799-2819"</f>
        <v>316-799-2819</v>
      </c>
      <c r="E5934" s="2" t="s">
        <v>144</v>
      </c>
      <c r="F5934" s="2" t="s">
        <v>3376</v>
      </c>
      <c r="G5934" s="2" t="str">
        <f>"SR-6168"</f>
        <v>SR-6168</v>
      </c>
      <c r="H5934" s="2" t="s">
        <v>21014</v>
      </c>
      <c r="I5934" s="2" t="s">
        <v>21015</v>
      </c>
      <c r="K5934" s="2" t="s">
        <v>21016</v>
      </c>
      <c r="L5934" s="2" t="s">
        <v>272</v>
      </c>
      <c r="M5934" s="2">
        <v>67147.0</v>
      </c>
      <c r="N5934" s="2" t="s">
        <v>21</v>
      </c>
    </row>
    <row r="5935" ht="15.75" customHeight="1">
      <c r="A5935" s="2">
        <v>2016.0</v>
      </c>
      <c r="B5935" s="2" t="s">
        <v>21012</v>
      </c>
      <c r="C5935" s="2" t="s">
        <v>21013</v>
      </c>
      <c r="D5935" s="2" t="str">
        <f t="shared" si="105"/>
        <v>316-799-2819</v>
      </c>
      <c r="E5935" s="2" t="s">
        <v>11583</v>
      </c>
      <c r="F5935" s="2" t="s">
        <v>3376</v>
      </c>
      <c r="G5935" s="2" t="str">
        <f>"SR-6170"</f>
        <v>SR-6170</v>
      </c>
      <c r="H5935" s="2" t="s">
        <v>21121</v>
      </c>
      <c r="I5935" s="2" t="s">
        <v>21015</v>
      </c>
      <c r="K5935" s="2" t="s">
        <v>21016</v>
      </c>
      <c r="L5935" s="2" t="s">
        <v>272</v>
      </c>
      <c r="M5935" s="2">
        <v>67147.0</v>
      </c>
      <c r="N5935" s="2" t="s">
        <v>21</v>
      </c>
    </row>
    <row r="5936" ht="15.75" customHeight="1">
      <c r="A5936" s="2">
        <v>2016.0</v>
      </c>
      <c r="B5936" s="2" t="s">
        <v>25739</v>
      </c>
      <c r="C5936" s="2" t="s">
        <v>25740</v>
      </c>
      <c r="D5936" s="2" t="str">
        <f>"586-651-3480"</f>
        <v>586-651-3480</v>
      </c>
      <c r="E5936" s="2" t="s">
        <v>3196</v>
      </c>
      <c r="F5936" s="2" t="s">
        <v>25741</v>
      </c>
      <c r="G5936" s="2" t="str">
        <f>"SR-8177"</f>
        <v>SR-8177</v>
      </c>
      <c r="H5936" s="2" t="s">
        <v>25742</v>
      </c>
      <c r="I5936" s="2" t="s">
        <v>25743</v>
      </c>
      <c r="K5936" s="2" t="s">
        <v>25744</v>
      </c>
      <c r="L5936" s="2" t="s">
        <v>29</v>
      </c>
      <c r="M5936" s="2">
        <v>48317.0</v>
      </c>
      <c r="N5936" s="2" t="s">
        <v>21</v>
      </c>
    </row>
    <row r="5937" ht="15.75" customHeight="1">
      <c r="A5937" s="2">
        <v>2016.0</v>
      </c>
      <c r="B5937" s="2" t="s">
        <v>3607</v>
      </c>
      <c r="C5937" s="2" t="s">
        <v>25745</v>
      </c>
      <c r="D5937" s="2" t="str">
        <f>"541-889-4979"</f>
        <v>541-889-4979</v>
      </c>
      <c r="E5937" s="2" t="s">
        <v>1483</v>
      </c>
      <c r="F5937" s="2" t="s">
        <v>529</v>
      </c>
      <c r="G5937" s="2" t="str">
        <f>"SR-7852"</f>
        <v>SR-7852</v>
      </c>
      <c r="H5937" s="2" t="s">
        <v>25746</v>
      </c>
      <c r="I5937" s="2" t="s">
        <v>25747</v>
      </c>
      <c r="K5937" s="2" t="s">
        <v>2015</v>
      </c>
      <c r="L5937" s="2" t="s">
        <v>2389</v>
      </c>
      <c r="M5937" s="2">
        <v>97914.0</v>
      </c>
      <c r="N5937" s="2" t="s">
        <v>21</v>
      </c>
    </row>
    <row r="5938" ht="15.75" customHeight="1">
      <c r="A5938" s="2">
        <v>2016.0</v>
      </c>
      <c r="B5938" s="2" t="s">
        <v>25748</v>
      </c>
      <c r="C5938" s="2" t="s">
        <v>25748</v>
      </c>
      <c r="D5938" s="2" t="str">
        <f>"7274340394"</f>
        <v>7274340394</v>
      </c>
      <c r="E5938" s="2" t="s">
        <v>4491</v>
      </c>
      <c r="F5938" s="2" t="s">
        <v>25749</v>
      </c>
      <c r="G5938" s="2" t="str">
        <f>"SR-8022"</f>
        <v>SR-8022</v>
      </c>
      <c r="H5938" s="2" t="s">
        <v>25750</v>
      </c>
      <c r="I5938" s="2" t="s">
        <v>25751</v>
      </c>
      <c r="K5938" s="2" t="s">
        <v>20444</v>
      </c>
      <c r="L5938" s="2" t="s">
        <v>208</v>
      </c>
      <c r="M5938" s="2">
        <v>33782.0</v>
      </c>
      <c r="N5938" s="2" t="s">
        <v>21</v>
      </c>
    </row>
    <row r="5939" ht="15.75" customHeight="1">
      <c r="A5939" s="2">
        <v>2016.0</v>
      </c>
      <c r="B5939" s="2" t="s">
        <v>25752</v>
      </c>
      <c r="C5939" s="2" t="s">
        <v>25753</v>
      </c>
      <c r="D5939" s="2" t="str">
        <f>"8658502037"</f>
        <v>8658502037</v>
      </c>
      <c r="E5939" s="2" t="s">
        <v>2361</v>
      </c>
      <c r="F5939" s="2" t="s">
        <v>3627</v>
      </c>
      <c r="G5939" s="2" t="str">
        <f>"SR-8108"</f>
        <v>SR-8108</v>
      </c>
      <c r="H5939" s="2" t="s">
        <v>25754</v>
      </c>
      <c r="I5939" s="2" t="s">
        <v>3629</v>
      </c>
      <c r="K5939" s="2" t="s">
        <v>3630</v>
      </c>
      <c r="L5939" s="2" t="s">
        <v>279</v>
      </c>
      <c r="M5939" s="2">
        <v>37820.0</v>
      </c>
      <c r="N5939" s="2" t="s">
        <v>21</v>
      </c>
    </row>
    <row r="5940" ht="15.75" customHeight="1">
      <c r="A5940" s="2">
        <v>2016.0</v>
      </c>
      <c r="B5940" s="2" t="s">
        <v>25755</v>
      </c>
      <c r="C5940" s="2" t="s">
        <v>25755</v>
      </c>
      <c r="D5940" s="2" t="str">
        <f>"303-489-8430"</f>
        <v>303-489-8430</v>
      </c>
      <c r="E5940" s="2" t="s">
        <v>651</v>
      </c>
      <c r="F5940" s="2" t="s">
        <v>962</v>
      </c>
      <c r="G5940" s="2" t="str">
        <f>"SR-4398"</f>
        <v>SR-4398</v>
      </c>
      <c r="H5940" s="2" t="s">
        <v>8579</v>
      </c>
      <c r="I5940" s="2" t="s">
        <v>25756</v>
      </c>
      <c r="K5940" s="2" t="s">
        <v>11440</v>
      </c>
      <c r="L5940" s="2" t="s">
        <v>157</v>
      </c>
      <c r="M5940" s="2">
        <v>81502.0</v>
      </c>
      <c r="N5940" s="2" t="s">
        <v>21</v>
      </c>
    </row>
    <row r="5941" ht="15.75" customHeight="1">
      <c r="A5941" s="2">
        <v>2016.0</v>
      </c>
      <c r="B5941" s="2" t="s">
        <v>25757</v>
      </c>
      <c r="C5941" s="2" t="s">
        <v>25758</v>
      </c>
      <c r="D5941" s="2" t="str">
        <f>"713-494-6970"</f>
        <v>713-494-6970</v>
      </c>
      <c r="E5941" s="2" t="s">
        <v>2031</v>
      </c>
      <c r="F5941" s="2" t="s">
        <v>1682</v>
      </c>
      <c r="G5941" s="2" t="str">
        <f>"SR-8179"</f>
        <v>SR-8179</v>
      </c>
      <c r="H5941" s="2" t="s">
        <v>25759</v>
      </c>
      <c r="I5941" s="2" t="s">
        <v>25760</v>
      </c>
      <c r="K5941" s="2" t="s">
        <v>1408</v>
      </c>
      <c r="L5941" s="2" t="s">
        <v>172</v>
      </c>
      <c r="M5941" s="2">
        <v>77327.0</v>
      </c>
      <c r="N5941" s="2" t="s">
        <v>21</v>
      </c>
    </row>
    <row r="5942" ht="15.75" customHeight="1">
      <c r="A5942" s="2">
        <v>2016.0</v>
      </c>
      <c r="B5942" s="2" t="s">
        <v>25761</v>
      </c>
      <c r="C5942" s="2" t="s">
        <v>25762</v>
      </c>
      <c r="D5942" s="2" t="str">
        <f>"336-421-6533"</f>
        <v>336-421-6533</v>
      </c>
      <c r="E5942" s="2" t="s">
        <v>6019</v>
      </c>
      <c r="F5942" s="2" t="s">
        <v>25763</v>
      </c>
      <c r="G5942" s="2" t="str">
        <f>"SR-8181"</f>
        <v>SR-8181</v>
      </c>
      <c r="H5942" s="2" t="s">
        <v>25764</v>
      </c>
      <c r="I5942" s="2" t="s">
        <v>25765</v>
      </c>
      <c r="K5942" s="2" t="s">
        <v>6075</v>
      </c>
      <c r="L5942" s="2" t="s">
        <v>20</v>
      </c>
      <c r="M5942" s="2">
        <v>27217.0</v>
      </c>
      <c r="N5942" s="2" t="s">
        <v>21</v>
      </c>
    </row>
    <row r="5943" ht="15.75" customHeight="1">
      <c r="A5943" s="2">
        <v>2016.0</v>
      </c>
      <c r="B5943" s="2" t="s">
        <v>25766</v>
      </c>
      <c r="C5943" s="2" t="s">
        <v>25767</v>
      </c>
      <c r="D5943" s="2" t="str">
        <f t="shared" ref="D5943:D5944" si="106">"248-391-2988"</f>
        <v>248-391-2988</v>
      </c>
      <c r="E5943" s="2" t="s">
        <v>7492</v>
      </c>
      <c r="F5943" s="2" t="s">
        <v>25768</v>
      </c>
      <c r="G5943" s="2" t="str">
        <f>"SR-7811"</f>
        <v>SR-7811</v>
      </c>
      <c r="H5943" s="2" t="s">
        <v>25769</v>
      </c>
      <c r="I5943" s="2" t="s">
        <v>25770</v>
      </c>
      <c r="K5943" s="2" t="s">
        <v>25771</v>
      </c>
      <c r="L5943" s="2" t="s">
        <v>29</v>
      </c>
      <c r="M5943" s="2">
        <v>48359.0</v>
      </c>
      <c r="N5943" s="2" t="s">
        <v>21</v>
      </c>
    </row>
    <row r="5944" ht="15.75" customHeight="1">
      <c r="A5944" s="2">
        <v>2016.0</v>
      </c>
      <c r="B5944" s="2" t="s">
        <v>25766</v>
      </c>
      <c r="C5944" s="2" t="s">
        <v>25772</v>
      </c>
      <c r="D5944" s="2" t="str">
        <f t="shared" si="106"/>
        <v>248-391-2988</v>
      </c>
      <c r="E5944" s="2" t="s">
        <v>2361</v>
      </c>
      <c r="F5944" s="2" t="s">
        <v>25768</v>
      </c>
      <c r="G5944" s="2" t="str">
        <f>"SR-7896"</f>
        <v>SR-7896</v>
      </c>
      <c r="H5944" s="2" t="s">
        <v>25773</v>
      </c>
      <c r="I5944" s="2" t="s">
        <v>25774</v>
      </c>
      <c r="K5944" s="2" t="s">
        <v>25771</v>
      </c>
      <c r="L5944" s="2" t="s">
        <v>29</v>
      </c>
      <c r="M5944" s="2">
        <v>48359.0</v>
      </c>
      <c r="N5944" s="2" t="s">
        <v>21</v>
      </c>
    </row>
    <row r="5945" ht="15.75" customHeight="1">
      <c r="A5945" s="2">
        <v>2016.0</v>
      </c>
      <c r="B5945" s="2" t="s">
        <v>14712</v>
      </c>
      <c r="C5945" s="2" t="s">
        <v>14713</v>
      </c>
      <c r="D5945" s="2" t="str">
        <f>"(740) 312-4224"</f>
        <v>(740) 312-4224</v>
      </c>
      <c r="E5945" s="2" t="s">
        <v>3878</v>
      </c>
      <c r="F5945" s="2" t="s">
        <v>550</v>
      </c>
      <c r="G5945" s="2" t="str">
        <f>"SR-4279"</f>
        <v>SR-4279</v>
      </c>
      <c r="H5945" s="2" t="s">
        <v>14714</v>
      </c>
      <c r="I5945" s="2" t="s">
        <v>14715</v>
      </c>
      <c r="K5945" s="2" t="s">
        <v>14716</v>
      </c>
      <c r="L5945" s="2" t="s">
        <v>344</v>
      </c>
      <c r="M5945" s="2">
        <v>43950.0</v>
      </c>
      <c r="N5945" s="2" t="s">
        <v>21</v>
      </c>
    </row>
    <row r="5946" ht="15.75" customHeight="1">
      <c r="A5946" s="2">
        <v>2016.0</v>
      </c>
      <c r="B5946" s="2" t="s">
        <v>25775</v>
      </c>
      <c r="C5946" s="2" t="s">
        <v>25775</v>
      </c>
      <c r="D5946" s="2" t="str">
        <f>"678-316-5615"</f>
        <v>678-316-5615</v>
      </c>
      <c r="E5946" s="2" t="s">
        <v>25776</v>
      </c>
      <c r="F5946" s="2" t="s">
        <v>2738</v>
      </c>
      <c r="G5946" s="2" t="str">
        <f>"SR-8182"</f>
        <v>SR-8182</v>
      </c>
      <c r="H5946" s="2" t="s">
        <v>25777</v>
      </c>
      <c r="I5946" s="2" t="s">
        <v>25778</v>
      </c>
      <c r="K5946" s="2" t="s">
        <v>25719</v>
      </c>
      <c r="L5946" s="2" t="s">
        <v>200</v>
      </c>
      <c r="M5946" s="2">
        <v>30019.0</v>
      </c>
      <c r="N5946" s="2" t="s">
        <v>21</v>
      </c>
    </row>
    <row r="5947" ht="15.75" customHeight="1">
      <c r="A5947" s="2">
        <v>2016.0</v>
      </c>
      <c r="B5947" s="2" t="s">
        <v>25779</v>
      </c>
      <c r="C5947" s="2" t="s">
        <v>25780</v>
      </c>
      <c r="D5947" s="2" t="str">
        <f>"319-378-4199"</f>
        <v>319-378-4199</v>
      </c>
      <c r="E5947" s="2" t="s">
        <v>1263</v>
      </c>
      <c r="F5947" s="2" t="s">
        <v>25781</v>
      </c>
      <c r="G5947" s="2" t="str">
        <f>"SR-6578"</f>
        <v>SR-6578</v>
      </c>
      <c r="H5947" s="2" t="s">
        <v>25782</v>
      </c>
      <c r="I5947" s="2" t="s">
        <v>25783</v>
      </c>
      <c r="K5947" s="2" t="s">
        <v>25784</v>
      </c>
      <c r="L5947" s="2" t="s">
        <v>560</v>
      </c>
      <c r="M5947" s="2">
        <v>52328.0</v>
      </c>
      <c r="N5947" s="2" t="s">
        <v>21</v>
      </c>
    </row>
    <row r="5948" ht="15.75" customHeight="1">
      <c r="A5948" s="2">
        <v>2016.0</v>
      </c>
      <c r="B5948" s="2" t="s">
        <v>25785</v>
      </c>
      <c r="C5948" s="2" t="s">
        <v>25786</v>
      </c>
      <c r="D5948" s="2" t="str">
        <f>"912-335-2841"</f>
        <v>912-335-2841</v>
      </c>
      <c r="E5948" s="2" t="s">
        <v>160</v>
      </c>
      <c r="F5948" s="2" t="s">
        <v>8064</v>
      </c>
      <c r="G5948" s="2" t="str">
        <f>"SR-8186"</f>
        <v>SR-8186</v>
      </c>
      <c r="H5948" s="2" t="s">
        <v>25787</v>
      </c>
      <c r="I5948" s="2" t="s">
        <v>25788</v>
      </c>
      <c r="K5948" s="2" t="s">
        <v>1239</v>
      </c>
      <c r="L5948" s="2" t="s">
        <v>200</v>
      </c>
      <c r="M5948" s="2">
        <v>31411.0</v>
      </c>
      <c r="N5948" s="2" t="s">
        <v>21</v>
      </c>
    </row>
    <row r="5949" ht="15.75" customHeight="1">
      <c r="A5949" s="2">
        <v>2016.0</v>
      </c>
      <c r="B5949" s="2" t="s">
        <v>25789</v>
      </c>
      <c r="C5949" s="2" t="s">
        <v>25789</v>
      </c>
      <c r="D5949" s="2" t="str">
        <f>"320-236-3690"</f>
        <v>320-236-3690</v>
      </c>
      <c r="E5949" s="2" t="s">
        <v>217</v>
      </c>
      <c r="F5949" s="2" t="s">
        <v>25790</v>
      </c>
      <c r="G5949" s="2" t="str">
        <f>"SR-8185"</f>
        <v>SR-8185</v>
      </c>
      <c r="H5949" s="2" t="s">
        <v>25791</v>
      </c>
      <c r="I5949" s="2" t="s">
        <v>25792</v>
      </c>
      <c r="K5949" s="2" t="s">
        <v>25483</v>
      </c>
      <c r="L5949" s="2" t="s">
        <v>62</v>
      </c>
      <c r="M5949" s="2">
        <v>55382.0</v>
      </c>
      <c r="N5949" s="2" t="s">
        <v>21</v>
      </c>
    </row>
    <row r="5950" ht="15.75" customHeight="1">
      <c r="A5950" s="2">
        <v>2016.0</v>
      </c>
      <c r="B5950" s="2" t="s">
        <v>25793</v>
      </c>
      <c r="C5950" s="2" t="s">
        <v>25793</v>
      </c>
      <c r="D5950" s="2" t="str">
        <f>"614-823-8879"</f>
        <v>614-823-8879</v>
      </c>
      <c r="E5950" s="2" t="s">
        <v>1094</v>
      </c>
      <c r="F5950" s="2" t="s">
        <v>25794</v>
      </c>
      <c r="G5950" s="2" t="str">
        <f>"SR-8187"</f>
        <v>SR-8187</v>
      </c>
      <c r="H5950" s="2" t="s">
        <v>25795</v>
      </c>
      <c r="I5950" s="2" t="s">
        <v>25796</v>
      </c>
      <c r="K5950" s="2" t="s">
        <v>489</v>
      </c>
      <c r="L5950" s="2" t="s">
        <v>344</v>
      </c>
      <c r="M5950" s="2">
        <v>43081.0</v>
      </c>
      <c r="N5950" s="2" t="s">
        <v>21</v>
      </c>
    </row>
    <row r="5951" ht="15.75" customHeight="1">
      <c r="A5951" s="2">
        <v>2016.0</v>
      </c>
      <c r="B5951" s="2" t="s">
        <v>25797</v>
      </c>
      <c r="C5951" s="2" t="s">
        <v>17897</v>
      </c>
      <c r="D5951" s="2" t="str">
        <f>"(805)481-6273"</f>
        <v>(805)481-6273</v>
      </c>
      <c r="E5951" s="2" t="s">
        <v>261</v>
      </c>
      <c r="F5951" s="2" t="s">
        <v>17898</v>
      </c>
      <c r="G5951" s="2" t="str">
        <f>"SR-7465"</f>
        <v>SR-7465</v>
      </c>
      <c r="H5951" s="2" t="s">
        <v>17899</v>
      </c>
      <c r="I5951" s="2" t="s">
        <v>17900</v>
      </c>
      <c r="K5951" s="2" t="s">
        <v>10864</v>
      </c>
      <c r="L5951" s="2" t="s">
        <v>222</v>
      </c>
      <c r="M5951" s="2">
        <v>93420.0</v>
      </c>
      <c r="N5951" s="2" t="s">
        <v>21</v>
      </c>
    </row>
    <row r="5952" ht="15.75" customHeight="1">
      <c r="A5952" s="2">
        <v>2016.0</v>
      </c>
      <c r="B5952" s="2" t="s">
        <v>18970</v>
      </c>
      <c r="C5952" s="2" t="s">
        <v>18971</v>
      </c>
      <c r="D5952" s="2" t="str">
        <f>"316-990-8224"</f>
        <v>316-990-8224</v>
      </c>
      <c r="E5952" s="2" t="s">
        <v>2306</v>
      </c>
      <c r="F5952" s="2" t="s">
        <v>18972</v>
      </c>
      <c r="G5952" s="2" t="str">
        <f>"SR-5668"</f>
        <v>SR-5668</v>
      </c>
      <c r="H5952" s="2" t="s">
        <v>18973</v>
      </c>
      <c r="I5952" s="2" t="s">
        <v>18974</v>
      </c>
      <c r="K5952" s="2" t="s">
        <v>18975</v>
      </c>
      <c r="L5952" s="2" t="s">
        <v>272</v>
      </c>
      <c r="M5952" s="2">
        <v>67101.0</v>
      </c>
      <c r="N5952" s="2" t="s">
        <v>21</v>
      </c>
    </row>
    <row r="5953" ht="15.75" customHeight="1">
      <c r="A5953" s="2">
        <v>2016.0</v>
      </c>
      <c r="B5953" s="2" t="s">
        <v>18970</v>
      </c>
      <c r="C5953" s="2" t="s">
        <v>25798</v>
      </c>
      <c r="D5953" s="2" t="str">
        <f>"316-249-2224"</f>
        <v>316-249-2224</v>
      </c>
      <c r="E5953" s="2" t="s">
        <v>250</v>
      </c>
      <c r="F5953" s="2" t="s">
        <v>25799</v>
      </c>
      <c r="G5953" s="2" t="str">
        <f>"SR-8176"</f>
        <v>SR-8176</v>
      </c>
      <c r="H5953" s="2" t="s">
        <v>25800</v>
      </c>
      <c r="I5953" s="2" t="s">
        <v>18974</v>
      </c>
      <c r="K5953" s="2" t="s">
        <v>18975</v>
      </c>
      <c r="L5953" s="2" t="s">
        <v>272</v>
      </c>
      <c r="M5953" s="2">
        <v>67101.0</v>
      </c>
      <c r="N5953" s="2" t="s">
        <v>21</v>
      </c>
    </row>
    <row r="5954" ht="15.75" customHeight="1">
      <c r="A5954" s="2">
        <v>2016.0</v>
      </c>
      <c r="B5954" s="2" t="s">
        <v>25801</v>
      </c>
      <c r="C5954" s="2" t="s">
        <v>25802</v>
      </c>
      <c r="D5954" s="2" t="str">
        <f>"515-268-0354"</f>
        <v>515-268-0354</v>
      </c>
      <c r="E5954" s="2" t="s">
        <v>590</v>
      </c>
      <c r="F5954" s="2" t="s">
        <v>25630</v>
      </c>
      <c r="G5954" s="2" t="str">
        <f>"SR-8064"</f>
        <v>SR-8064</v>
      </c>
      <c r="H5954" s="2" t="s">
        <v>25803</v>
      </c>
      <c r="I5954" s="2" t="s">
        <v>25804</v>
      </c>
      <c r="K5954" s="2" t="s">
        <v>6354</v>
      </c>
      <c r="L5954" s="2" t="s">
        <v>560</v>
      </c>
      <c r="M5954" s="2">
        <v>50014.0</v>
      </c>
      <c r="N5954" s="2" t="s">
        <v>21</v>
      </c>
    </row>
    <row r="5955" ht="15.75" customHeight="1">
      <c r="A5955" s="2">
        <v>2016.0</v>
      </c>
      <c r="B5955" s="2" t="s">
        <v>25805</v>
      </c>
      <c r="C5955" s="2" t="s">
        <v>25806</v>
      </c>
      <c r="D5955" s="2" t="str">
        <f>"(805) 461-8875"</f>
        <v>(805) 461-8875</v>
      </c>
      <c r="E5955" s="2" t="s">
        <v>167</v>
      </c>
      <c r="F5955" s="2" t="s">
        <v>94</v>
      </c>
      <c r="G5955" s="2" t="str">
        <f>"SR-8188"</f>
        <v>SR-8188</v>
      </c>
      <c r="H5955" s="2" t="s">
        <v>25807</v>
      </c>
      <c r="I5955" s="2" t="s">
        <v>25808</v>
      </c>
      <c r="K5955" s="2" t="s">
        <v>10498</v>
      </c>
      <c r="L5955" s="2" t="s">
        <v>222</v>
      </c>
      <c r="M5955" s="2">
        <v>93422.0</v>
      </c>
      <c r="N5955" s="2" t="s">
        <v>21</v>
      </c>
    </row>
    <row r="5956" ht="15.75" customHeight="1">
      <c r="A5956" s="2">
        <v>2016.0</v>
      </c>
      <c r="B5956" s="2" t="s">
        <v>25809</v>
      </c>
      <c r="C5956" s="2" t="s">
        <v>25810</v>
      </c>
      <c r="D5956" s="2" t="str">
        <f>"(832) 748-8977"</f>
        <v>(832) 748-8977</v>
      </c>
      <c r="E5956" s="2" t="s">
        <v>4111</v>
      </c>
      <c r="F5956" s="2" t="s">
        <v>25811</v>
      </c>
      <c r="G5956" s="2" t="str">
        <f>"SR-8195"</f>
        <v>SR-8195</v>
      </c>
      <c r="H5956" s="2" t="s">
        <v>25812</v>
      </c>
      <c r="I5956" s="2" t="s">
        <v>25813</v>
      </c>
      <c r="K5956" s="2" t="s">
        <v>4216</v>
      </c>
      <c r="L5956" s="2" t="s">
        <v>172</v>
      </c>
      <c r="M5956" s="2">
        <v>77407.0</v>
      </c>
      <c r="N5956" s="2" t="s">
        <v>21</v>
      </c>
    </row>
    <row r="5957" ht="15.75" customHeight="1">
      <c r="A5957" s="2">
        <v>2016.0</v>
      </c>
      <c r="B5957" s="2" t="s">
        <v>25814</v>
      </c>
      <c r="C5957" s="2" t="s">
        <v>25814</v>
      </c>
      <c r="D5957" s="2" t="str">
        <f>"832-655-7189"</f>
        <v>832-655-7189</v>
      </c>
      <c r="E5957" s="2" t="s">
        <v>8039</v>
      </c>
      <c r="F5957" s="2" t="s">
        <v>20439</v>
      </c>
      <c r="G5957" s="2" t="str">
        <f>"SR-8196"</f>
        <v>SR-8196</v>
      </c>
      <c r="H5957" s="2" t="s">
        <v>25815</v>
      </c>
      <c r="I5957" s="2" t="s">
        <v>25816</v>
      </c>
      <c r="K5957" s="2" t="s">
        <v>2182</v>
      </c>
      <c r="L5957" s="2" t="s">
        <v>172</v>
      </c>
      <c r="M5957" s="2">
        <v>77498.0</v>
      </c>
      <c r="N5957" s="2" t="s">
        <v>21</v>
      </c>
    </row>
    <row r="5958" ht="15.75" customHeight="1">
      <c r="A5958" s="2">
        <v>2016.0</v>
      </c>
      <c r="B5958" s="2" t="s">
        <v>25814</v>
      </c>
      <c r="C5958" s="2" t="s">
        <v>25817</v>
      </c>
      <c r="D5958" s="2" t="str">
        <f>"832-655-7162"</f>
        <v>832-655-7162</v>
      </c>
      <c r="E5958" s="2" t="s">
        <v>282</v>
      </c>
      <c r="F5958" s="2" t="s">
        <v>20439</v>
      </c>
      <c r="G5958" s="2" t="str">
        <f>"SR-8197"</f>
        <v>SR-8197</v>
      </c>
      <c r="H5958" s="2" t="s">
        <v>25818</v>
      </c>
      <c r="I5958" s="2" t="s">
        <v>25819</v>
      </c>
      <c r="K5958" s="2" t="s">
        <v>2182</v>
      </c>
      <c r="L5958" s="2" t="s">
        <v>172</v>
      </c>
      <c r="M5958" s="2">
        <v>77498.0</v>
      </c>
      <c r="N5958" s="2" t="s">
        <v>21</v>
      </c>
    </row>
    <row r="5959" ht="15.75" customHeight="1">
      <c r="A5959" s="2">
        <v>2016.0</v>
      </c>
      <c r="B5959" s="2" t="s">
        <v>25820</v>
      </c>
      <c r="C5959" s="2" t="s">
        <v>25820</v>
      </c>
      <c r="D5959" s="2" t="str">
        <f>"480 280-7188"</f>
        <v>480 280-7188</v>
      </c>
      <c r="E5959" s="2" t="s">
        <v>3878</v>
      </c>
      <c r="F5959" s="2" t="s">
        <v>25821</v>
      </c>
      <c r="G5959" s="2" t="str">
        <f>"SR-4487"</f>
        <v>SR-4487</v>
      </c>
      <c r="H5959" s="2" t="s">
        <v>25822</v>
      </c>
      <c r="I5959" s="2" t="s">
        <v>25823</v>
      </c>
      <c r="K5959" s="2" t="s">
        <v>9496</v>
      </c>
      <c r="L5959" s="2" t="s">
        <v>86</v>
      </c>
      <c r="M5959" s="2">
        <v>98042.0</v>
      </c>
      <c r="N5959" s="2" t="s">
        <v>21</v>
      </c>
    </row>
    <row r="5960" ht="15.75" customHeight="1">
      <c r="A5960" s="2">
        <v>2016.0</v>
      </c>
      <c r="B5960" s="2" t="s">
        <v>25824</v>
      </c>
      <c r="C5960" s="2" t="s">
        <v>25824</v>
      </c>
      <c r="D5960" s="2" t="str">
        <f>"5742929828"</f>
        <v>5742929828</v>
      </c>
      <c r="E5960" s="2" t="s">
        <v>843</v>
      </c>
      <c r="F5960" s="2" t="s">
        <v>24381</v>
      </c>
      <c r="G5960" s="2" t="str">
        <f>"SR-8191"</f>
        <v>SR-8191</v>
      </c>
      <c r="H5960" s="2" t="s">
        <v>25825</v>
      </c>
      <c r="I5960" s="2" t="s">
        <v>25826</v>
      </c>
      <c r="K5960" s="2" t="s">
        <v>23177</v>
      </c>
      <c r="L5960" s="2" t="s">
        <v>149</v>
      </c>
      <c r="M5960" s="2">
        <v>46530.0</v>
      </c>
      <c r="N5960" s="2" t="s">
        <v>21</v>
      </c>
    </row>
    <row r="5961" ht="15.75" customHeight="1">
      <c r="A5961" s="2">
        <v>2016.0</v>
      </c>
      <c r="B5961" s="2" t="s">
        <v>25827</v>
      </c>
      <c r="C5961" s="2" t="s">
        <v>25827</v>
      </c>
      <c r="D5961" s="2" t="str">
        <f>"281-7443354"</f>
        <v>281-7443354</v>
      </c>
      <c r="E5961" s="2" t="s">
        <v>385</v>
      </c>
      <c r="F5961" s="2" t="s">
        <v>21049</v>
      </c>
      <c r="G5961" s="2" t="str">
        <f>"SR-8200"</f>
        <v>SR-8200</v>
      </c>
      <c r="H5961" s="2" t="s">
        <v>25828</v>
      </c>
      <c r="I5961" s="2" t="s">
        <v>25829</v>
      </c>
      <c r="K5961" s="2" t="s">
        <v>2182</v>
      </c>
      <c r="L5961" s="2" t="s">
        <v>172</v>
      </c>
      <c r="M5961" s="2">
        <v>77479.0</v>
      </c>
      <c r="N5961" s="2" t="s">
        <v>21</v>
      </c>
    </row>
    <row r="5962" ht="15.75" customHeight="1">
      <c r="A5962" s="2">
        <v>2016.0</v>
      </c>
      <c r="B5962" s="2" t="s">
        <v>25830</v>
      </c>
      <c r="C5962" s="2" t="s">
        <v>25831</v>
      </c>
      <c r="D5962" s="2" t="str">
        <f>"8125738285"</f>
        <v>8125738285</v>
      </c>
      <c r="E5962" s="2" t="s">
        <v>1263</v>
      </c>
      <c r="F5962" s="2" t="s">
        <v>25832</v>
      </c>
      <c r="G5962" s="2" t="str">
        <f>"SR-8201"</f>
        <v>SR-8201</v>
      </c>
      <c r="H5962" s="2" t="s">
        <v>25833</v>
      </c>
      <c r="I5962" s="2" t="s">
        <v>25834</v>
      </c>
      <c r="K5962" s="2" t="s">
        <v>6168</v>
      </c>
      <c r="L5962" s="2" t="s">
        <v>279</v>
      </c>
      <c r="M5962" s="2">
        <v>37923.0</v>
      </c>
      <c r="N5962" s="2" t="s">
        <v>21</v>
      </c>
    </row>
    <row r="5963" ht="15.75" customHeight="1">
      <c r="A5963" s="2">
        <v>2016.0</v>
      </c>
      <c r="B5963" s="2" t="s">
        <v>25835</v>
      </c>
      <c r="C5963" s="2" t="s">
        <v>25836</v>
      </c>
      <c r="D5963" s="2" t="str">
        <f>"336-945-0884"</f>
        <v>336-945-0884</v>
      </c>
      <c r="E5963" s="2" t="s">
        <v>160</v>
      </c>
      <c r="F5963" s="2" t="s">
        <v>25837</v>
      </c>
      <c r="G5963" s="2" t="str">
        <f>"SR-7977"</f>
        <v>SR-7977</v>
      </c>
      <c r="H5963" s="2" t="s">
        <v>25838</v>
      </c>
      <c r="I5963" s="2" t="s">
        <v>25839</v>
      </c>
      <c r="K5963" s="2" t="s">
        <v>25840</v>
      </c>
      <c r="L5963" s="2" t="s">
        <v>20</v>
      </c>
      <c r="M5963" s="2">
        <v>27040.0</v>
      </c>
      <c r="N5963" s="2" t="s">
        <v>21</v>
      </c>
    </row>
    <row r="5964" ht="15.75" customHeight="1">
      <c r="A5964" s="2">
        <v>2016.0</v>
      </c>
      <c r="B5964" s="2" t="s">
        <v>25841</v>
      </c>
      <c r="C5964" s="2" t="s">
        <v>22081</v>
      </c>
      <c r="D5964" s="2" t="str">
        <f>"505-414-7974"</f>
        <v>505-414-7974</v>
      </c>
      <c r="E5964" s="2" t="s">
        <v>25842</v>
      </c>
      <c r="F5964" s="2" t="s">
        <v>22082</v>
      </c>
      <c r="G5964" s="2" t="str">
        <f>"SR-8207"</f>
        <v>SR-8207</v>
      </c>
      <c r="H5964" s="2" t="s">
        <v>25843</v>
      </c>
      <c r="I5964" s="2" t="s">
        <v>25844</v>
      </c>
      <c r="K5964" s="2" t="s">
        <v>25845</v>
      </c>
      <c r="L5964" s="2" t="s">
        <v>789</v>
      </c>
      <c r="M5964" s="2">
        <v>87114.0</v>
      </c>
      <c r="N5964" s="2" t="s">
        <v>21</v>
      </c>
    </row>
    <row r="5965" ht="15.75" customHeight="1">
      <c r="A5965" s="2">
        <v>2016.0</v>
      </c>
      <c r="B5965" s="2" t="s">
        <v>24833</v>
      </c>
      <c r="C5965" s="2" t="s">
        <v>25846</v>
      </c>
      <c r="D5965" s="2" t="str">
        <f>"979-777-0813"</f>
        <v>979-777-0813</v>
      </c>
      <c r="E5965" s="2" t="s">
        <v>25847</v>
      </c>
      <c r="F5965" s="2" t="s">
        <v>2147</v>
      </c>
      <c r="G5965" s="2" t="str">
        <f>"SR-8112"</f>
        <v>SR-8112</v>
      </c>
      <c r="H5965" s="2" t="s">
        <v>25848</v>
      </c>
      <c r="I5965" s="2" t="s">
        <v>24836</v>
      </c>
      <c r="K5965" s="2" t="s">
        <v>2969</v>
      </c>
      <c r="L5965" s="2" t="s">
        <v>172</v>
      </c>
      <c r="M5965" s="2">
        <v>77845.0</v>
      </c>
      <c r="N5965" s="2" t="s">
        <v>21</v>
      </c>
    </row>
    <row r="5966" ht="15.75" customHeight="1">
      <c r="A5966" s="2">
        <v>2016.0</v>
      </c>
      <c r="B5966" s="2" t="s">
        <v>25849</v>
      </c>
      <c r="C5966" s="2" t="s">
        <v>25850</v>
      </c>
      <c r="D5966" s="2" t="str">
        <f>"4787389568"</f>
        <v>4787389568</v>
      </c>
      <c r="E5966" s="2" t="s">
        <v>705</v>
      </c>
      <c r="F5966" s="2" t="s">
        <v>25851</v>
      </c>
      <c r="G5966" s="2" t="str">
        <f>"SR-8180"</f>
        <v>SR-8180</v>
      </c>
      <c r="H5966" s="2" t="s">
        <v>25852</v>
      </c>
      <c r="I5966" s="2" t="s">
        <v>25853</v>
      </c>
      <c r="K5966" s="2" t="s">
        <v>25854</v>
      </c>
      <c r="L5966" s="2" t="s">
        <v>200</v>
      </c>
      <c r="M5966" s="2">
        <v>31204.0</v>
      </c>
      <c r="N5966" s="2" t="s">
        <v>21</v>
      </c>
    </row>
    <row r="5967" ht="15.75" customHeight="1">
      <c r="A5967" s="2">
        <v>2016.0</v>
      </c>
      <c r="B5967" s="2" t="s">
        <v>25855</v>
      </c>
      <c r="C5967" s="2" t="s">
        <v>25855</v>
      </c>
      <c r="D5967" s="2" t="str">
        <f>"505-217-6109"</f>
        <v>505-217-6109</v>
      </c>
      <c r="E5967" s="2" t="s">
        <v>1548</v>
      </c>
      <c r="F5967" s="2" t="s">
        <v>22082</v>
      </c>
      <c r="G5967" s="2" t="str">
        <f>"SR-8208"</f>
        <v>SR-8208</v>
      </c>
      <c r="H5967" s="2" t="s">
        <v>25856</v>
      </c>
      <c r="I5967" s="2" t="s">
        <v>25844</v>
      </c>
      <c r="K5967" s="2" t="s">
        <v>25845</v>
      </c>
      <c r="L5967" s="2" t="s">
        <v>789</v>
      </c>
      <c r="M5967" s="2">
        <v>8711.0</v>
      </c>
      <c r="N5967" s="2" t="s">
        <v>21</v>
      </c>
    </row>
    <row r="5968" ht="15.75" customHeight="1">
      <c r="A5968" s="2">
        <v>2016.0</v>
      </c>
      <c r="B5968" s="2" t="s">
        <v>25857</v>
      </c>
      <c r="C5968" s="2" t="s">
        <v>25858</v>
      </c>
      <c r="D5968" s="2" t="str">
        <f>"321-480-9010"</f>
        <v>321-480-9010</v>
      </c>
      <c r="E5968" s="2" t="s">
        <v>2912</v>
      </c>
      <c r="F5968" s="2" t="s">
        <v>114</v>
      </c>
      <c r="G5968" s="2" t="str">
        <f>"SR-8212"</f>
        <v>SR-8212</v>
      </c>
      <c r="H5968" s="2" t="s">
        <v>25859</v>
      </c>
      <c r="I5968" s="2" t="s">
        <v>25860</v>
      </c>
      <c r="K5968" s="2" t="s">
        <v>21087</v>
      </c>
      <c r="L5968" s="2" t="s">
        <v>208</v>
      </c>
      <c r="M5968" s="2">
        <v>32952.0</v>
      </c>
      <c r="N5968" s="2" t="s">
        <v>21</v>
      </c>
    </row>
    <row r="5969" ht="15.75" customHeight="1">
      <c r="A5969" s="2">
        <v>2016.0</v>
      </c>
      <c r="B5969" s="2" t="s">
        <v>25861</v>
      </c>
      <c r="C5969" s="2" t="s">
        <v>25862</v>
      </c>
      <c r="D5969" s="2" t="str">
        <f>"501-912-4203"</f>
        <v>501-912-4203</v>
      </c>
      <c r="E5969" s="2" t="s">
        <v>282</v>
      </c>
      <c r="F5969" s="2" t="s">
        <v>25863</v>
      </c>
      <c r="G5969" s="2" t="str">
        <f>"SR-8209"</f>
        <v>SR-8209</v>
      </c>
      <c r="H5969" s="2" t="s">
        <v>25864</v>
      </c>
      <c r="I5969" s="2" t="s">
        <v>25865</v>
      </c>
      <c r="K5969" s="2" t="s">
        <v>25866</v>
      </c>
      <c r="L5969" s="2" t="s">
        <v>1012</v>
      </c>
      <c r="M5969" s="2">
        <v>72023.0</v>
      </c>
      <c r="N5969" s="2" t="s">
        <v>21</v>
      </c>
    </row>
    <row r="5970" ht="15.75" customHeight="1">
      <c r="A5970" s="2">
        <v>2016.0</v>
      </c>
      <c r="B5970" s="2" t="s">
        <v>25867</v>
      </c>
      <c r="C5970" s="2" t="s">
        <v>25868</v>
      </c>
      <c r="D5970" s="2" t="str">
        <f>"909-229-9376"</f>
        <v>909-229-9376</v>
      </c>
      <c r="E5970" s="2" t="s">
        <v>1483</v>
      </c>
      <c r="F5970" s="2" t="s">
        <v>25869</v>
      </c>
      <c r="G5970" s="2" t="str">
        <f>"SR-7900"</f>
        <v>SR-7900</v>
      </c>
      <c r="H5970" s="2" t="s">
        <v>25870</v>
      </c>
      <c r="I5970" s="2" t="s">
        <v>25871</v>
      </c>
      <c r="K5970" s="2" t="s">
        <v>25872</v>
      </c>
      <c r="L5970" s="2" t="s">
        <v>222</v>
      </c>
      <c r="M5970" s="2">
        <v>92346.0</v>
      </c>
      <c r="N5970" s="2" t="s">
        <v>21</v>
      </c>
    </row>
    <row r="5971" ht="15.75" customHeight="1">
      <c r="A5971" s="2">
        <v>2016.0</v>
      </c>
      <c r="B5971" s="2" t="s">
        <v>25873</v>
      </c>
      <c r="D5971" s="2" t="str">
        <f t="shared" ref="D5971:D5972" si="107">""</f>
        <v/>
      </c>
      <c r="E5971" s="2" t="s">
        <v>267</v>
      </c>
      <c r="F5971" s="2" t="s">
        <v>4171</v>
      </c>
      <c r="G5971" s="2" t="str">
        <f>"SR-8131"</f>
        <v>SR-8131</v>
      </c>
      <c r="H5971" s="2" t="s">
        <v>25874</v>
      </c>
    </row>
    <row r="5972" ht="15.75" customHeight="1">
      <c r="A5972" s="2">
        <v>2016.0</v>
      </c>
      <c r="B5972" s="2" t="s">
        <v>25875</v>
      </c>
      <c r="D5972" s="2" t="str">
        <f t="shared" si="107"/>
        <v/>
      </c>
      <c r="E5972" s="2" t="s">
        <v>1274</v>
      </c>
      <c r="F5972" s="2" t="s">
        <v>25876</v>
      </c>
      <c r="G5972" s="2" t="str">
        <f>"SR-7877"</f>
        <v>SR-7877</v>
      </c>
      <c r="H5972" s="2" t="s">
        <v>25877</v>
      </c>
      <c r="N5972" s="2" t="s">
        <v>21</v>
      </c>
    </row>
    <row r="5973" ht="15.75" customHeight="1">
      <c r="A5973" s="2">
        <v>2016.0</v>
      </c>
      <c r="B5973" s="2" t="s">
        <v>25878</v>
      </c>
      <c r="C5973" s="2" t="s">
        <v>25879</v>
      </c>
      <c r="D5973" s="2" t="str">
        <f>"719-260-7436"</f>
        <v>719-260-7436</v>
      </c>
      <c r="E5973" s="2" t="s">
        <v>585</v>
      </c>
      <c r="F5973" s="2" t="s">
        <v>283</v>
      </c>
      <c r="G5973" s="2" t="str">
        <f>"SR-8216"</f>
        <v>SR-8216</v>
      </c>
      <c r="H5973" s="2" t="s">
        <v>25880</v>
      </c>
      <c r="I5973" s="2" t="s">
        <v>25881</v>
      </c>
      <c r="K5973" s="2" t="s">
        <v>809</v>
      </c>
      <c r="L5973" s="2" t="s">
        <v>157</v>
      </c>
      <c r="M5973" s="2">
        <v>80920.0</v>
      </c>
      <c r="N5973" s="2" t="s">
        <v>21</v>
      </c>
    </row>
    <row r="5974" ht="15.75" customHeight="1">
      <c r="A5974" s="2">
        <v>2016.0</v>
      </c>
      <c r="B5974" s="2" t="s">
        <v>25882</v>
      </c>
      <c r="C5974" s="2" t="s">
        <v>25883</v>
      </c>
      <c r="D5974" s="2" t="str">
        <f>"8175759964"</f>
        <v>8175759964</v>
      </c>
      <c r="E5974" s="2" t="s">
        <v>8649</v>
      </c>
      <c r="F5974" s="2" t="s">
        <v>25884</v>
      </c>
      <c r="G5974" s="2" t="str">
        <f>"SR-8217"</f>
        <v>SR-8217</v>
      </c>
      <c r="H5974" s="2" t="s">
        <v>25885</v>
      </c>
      <c r="I5974" s="2" t="s">
        <v>25886</v>
      </c>
      <c r="K5974" s="2" t="s">
        <v>3576</v>
      </c>
      <c r="L5974" s="2" t="s">
        <v>172</v>
      </c>
      <c r="M5974" s="2">
        <v>75082.0</v>
      </c>
      <c r="N5974" s="2" t="s">
        <v>21</v>
      </c>
    </row>
    <row r="5975" ht="15.75" customHeight="1">
      <c r="A5975" s="2">
        <v>2016.0</v>
      </c>
      <c r="B5975" s="2" t="s">
        <v>25887</v>
      </c>
      <c r="C5975" s="2" t="s">
        <v>25888</v>
      </c>
      <c r="D5975" s="2" t="str">
        <f>"423.598.9661"</f>
        <v>423.598.9661</v>
      </c>
      <c r="E5975" s="2" t="s">
        <v>651</v>
      </c>
      <c r="F5975" s="2" t="s">
        <v>639</v>
      </c>
      <c r="G5975" s="2" t="str">
        <f>"SR-7551"</f>
        <v>SR-7551</v>
      </c>
      <c r="H5975" s="2" t="s">
        <v>15233</v>
      </c>
      <c r="I5975" s="2" t="s">
        <v>25889</v>
      </c>
      <c r="K5975" s="2" t="s">
        <v>4310</v>
      </c>
      <c r="L5975" s="2" t="s">
        <v>279</v>
      </c>
      <c r="M5975" s="2">
        <v>37321.0</v>
      </c>
      <c r="N5975" s="2" t="s">
        <v>21</v>
      </c>
    </row>
    <row r="5976" ht="15.75" customHeight="1">
      <c r="A5976" s="2">
        <v>2016.0</v>
      </c>
      <c r="B5976" s="2" t="s">
        <v>19123</v>
      </c>
      <c r="C5976" s="2" t="s">
        <v>19124</v>
      </c>
      <c r="D5976" s="2" t="str">
        <f>"214-478-6865"</f>
        <v>214-478-6865</v>
      </c>
      <c r="E5976" s="2" t="s">
        <v>19125</v>
      </c>
      <c r="F5976" s="2" t="s">
        <v>19126</v>
      </c>
      <c r="G5976" s="2" t="str">
        <f>"SR-5893"</f>
        <v>SR-5893</v>
      </c>
      <c r="H5976" s="2" t="s">
        <v>19127</v>
      </c>
      <c r="I5976" s="2" t="s">
        <v>19128</v>
      </c>
      <c r="K5976" s="2" t="s">
        <v>357</v>
      </c>
      <c r="L5976" s="2" t="s">
        <v>172</v>
      </c>
      <c r="M5976" s="2">
        <v>75025.0</v>
      </c>
      <c r="N5976" s="2" t="s">
        <v>21</v>
      </c>
    </row>
    <row r="5977" ht="15.75" customHeight="1">
      <c r="A5977" s="2">
        <v>2016.0</v>
      </c>
      <c r="B5977" s="2" t="s">
        <v>25890</v>
      </c>
      <c r="D5977" s="2" t="str">
        <f>""</f>
        <v/>
      </c>
      <c r="E5977" s="2" t="s">
        <v>752</v>
      </c>
      <c r="F5977" s="2" t="s">
        <v>25891</v>
      </c>
      <c r="G5977" s="2" t="str">
        <f>"SR-8203"</f>
        <v>SR-8203</v>
      </c>
      <c r="H5977" s="2" t="s">
        <v>25892</v>
      </c>
      <c r="N5977" s="2" t="s">
        <v>21</v>
      </c>
    </row>
    <row r="5978" ht="15.75" customHeight="1">
      <c r="A5978" s="2">
        <v>2016.0</v>
      </c>
      <c r="B5978" s="2" t="s">
        <v>25893</v>
      </c>
      <c r="C5978" s="2" t="s">
        <v>25893</v>
      </c>
      <c r="D5978" s="2" t="str">
        <f>"229-364-1579"</f>
        <v>229-364-1579</v>
      </c>
      <c r="E5978" s="2" t="s">
        <v>2988</v>
      </c>
      <c r="F5978" s="2" t="s">
        <v>25894</v>
      </c>
      <c r="G5978" s="2" t="str">
        <f>"SR-7962"</f>
        <v>SR-7962</v>
      </c>
      <c r="H5978" s="2" t="s">
        <v>25895</v>
      </c>
      <c r="I5978" s="2" t="s">
        <v>25896</v>
      </c>
      <c r="K5978" s="2" t="s">
        <v>7670</v>
      </c>
      <c r="L5978" s="2" t="s">
        <v>200</v>
      </c>
      <c r="M5978" s="2">
        <v>31708.0</v>
      </c>
      <c r="N5978" s="2" t="s">
        <v>21</v>
      </c>
    </row>
    <row r="5979" ht="15.75" customHeight="1">
      <c r="A5979" s="2">
        <v>2016.0</v>
      </c>
      <c r="B5979" s="2" t="s">
        <v>25897</v>
      </c>
      <c r="C5979" s="2" t="s">
        <v>25897</v>
      </c>
      <c r="D5979" s="2" t="str">
        <f>"6013072733"</f>
        <v>6013072733</v>
      </c>
      <c r="E5979" s="2" t="s">
        <v>2361</v>
      </c>
      <c r="F5979" s="2" t="s">
        <v>7523</v>
      </c>
      <c r="G5979" s="2" t="str">
        <f>"SR-7292"</f>
        <v>SR-7292</v>
      </c>
      <c r="H5979" s="2" t="s">
        <v>7524</v>
      </c>
      <c r="I5979" s="2" t="s">
        <v>25898</v>
      </c>
      <c r="K5979" s="2" t="s">
        <v>7385</v>
      </c>
      <c r="L5979" s="2" t="s">
        <v>1722</v>
      </c>
      <c r="M5979" s="2">
        <v>39402.0</v>
      </c>
      <c r="N5979" s="2" t="s">
        <v>21</v>
      </c>
    </row>
    <row r="5980" ht="15.75" customHeight="1">
      <c r="A5980" s="2">
        <v>2016.0</v>
      </c>
      <c r="B5980" s="2" t="s">
        <v>25899</v>
      </c>
      <c r="C5980" s="2" t="s">
        <v>25899</v>
      </c>
      <c r="D5980" s="2" t="str">
        <f>"8183227885"</f>
        <v>8183227885</v>
      </c>
      <c r="E5980" s="2" t="s">
        <v>14005</v>
      </c>
      <c r="F5980" s="2" t="s">
        <v>1101</v>
      </c>
      <c r="G5980" s="2" t="str">
        <f>"SR-7557"</f>
        <v>SR-7557</v>
      </c>
      <c r="H5980" s="2" t="s">
        <v>25900</v>
      </c>
      <c r="I5980" s="2" t="s">
        <v>25901</v>
      </c>
      <c r="K5980" s="2" t="s">
        <v>13097</v>
      </c>
      <c r="L5980" s="2" t="s">
        <v>172</v>
      </c>
      <c r="M5980" s="2">
        <v>78660.0</v>
      </c>
      <c r="N5980" s="2" t="s">
        <v>21</v>
      </c>
    </row>
    <row r="5981" ht="15.75" customHeight="1">
      <c r="A5981" s="2">
        <v>2016.0</v>
      </c>
      <c r="B5981" s="2" t="s">
        <v>18949</v>
      </c>
      <c r="C5981" s="2" t="s">
        <v>18950</v>
      </c>
      <c r="D5981" s="2" t="str">
        <f>"5152106883"</f>
        <v>5152106883</v>
      </c>
      <c r="E5981" s="2" t="s">
        <v>2361</v>
      </c>
      <c r="F5981" s="2" t="s">
        <v>4678</v>
      </c>
      <c r="G5981" s="2" t="str">
        <f>"SR-5760"</f>
        <v>SR-5760</v>
      </c>
      <c r="H5981" s="2" t="s">
        <v>18951</v>
      </c>
      <c r="I5981" s="2" t="s">
        <v>18952</v>
      </c>
      <c r="K5981" s="2" t="s">
        <v>11863</v>
      </c>
      <c r="L5981" s="2" t="s">
        <v>560</v>
      </c>
      <c r="M5981" s="2">
        <v>50325.0</v>
      </c>
      <c r="N5981" s="2" t="s">
        <v>21</v>
      </c>
    </row>
    <row r="5982" ht="15.75" customHeight="1">
      <c r="A5982" s="2">
        <v>2016.0</v>
      </c>
      <c r="B5982" s="2" t="s">
        <v>25902</v>
      </c>
      <c r="C5982" s="2" t="s">
        <v>25903</v>
      </c>
      <c r="D5982" s="2" t="str">
        <f>"205-682-9432"</f>
        <v>205-682-9432</v>
      </c>
      <c r="E5982" s="2" t="s">
        <v>2147</v>
      </c>
      <c r="F5982" s="2" t="s">
        <v>25904</v>
      </c>
      <c r="G5982" s="2" t="str">
        <f>"SR-8123"</f>
        <v>SR-8123</v>
      </c>
      <c r="H5982" s="2" t="s">
        <v>25905</v>
      </c>
      <c r="I5982" s="2" t="s">
        <v>25906</v>
      </c>
      <c r="K5982" s="2" t="s">
        <v>5600</v>
      </c>
      <c r="L5982" s="2" t="s">
        <v>539</v>
      </c>
      <c r="M5982" s="2">
        <v>35244.0</v>
      </c>
      <c r="N5982" s="2" t="s">
        <v>21</v>
      </c>
    </row>
    <row r="5983" ht="15.75" customHeight="1">
      <c r="A5983" s="2">
        <v>2016.0</v>
      </c>
      <c r="B5983" s="2" t="s">
        <v>25907</v>
      </c>
      <c r="C5983" s="2" t="s">
        <v>25908</v>
      </c>
      <c r="D5983" s="2" t="str">
        <f>"6059999310"</f>
        <v>6059999310</v>
      </c>
      <c r="E5983" s="2" t="s">
        <v>25909</v>
      </c>
      <c r="F5983" s="2" t="s">
        <v>2852</v>
      </c>
      <c r="G5983" s="2" t="str">
        <f>"SR-8225"</f>
        <v>SR-8225</v>
      </c>
      <c r="H5983" s="2" t="s">
        <v>25910</v>
      </c>
      <c r="I5983" s="2" t="s">
        <v>25911</v>
      </c>
      <c r="K5983" s="2" t="s">
        <v>6539</v>
      </c>
      <c r="L5983" s="2" t="s">
        <v>172</v>
      </c>
      <c r="M5983" s="2">
        <v>76210.0</v>
      </c>
      <c r="N5983" s="2" t="s">
        <v>21</v>
      </c>
    </row>
    <row r="5984" ht="15.75" customHeight="1">
      <c r="A5984" s="2">
        <v>2016.0</v>
      </c>
      <c r="B5984" s="2" t="s">
        <v>25912</v>
      </c>
      <c r="C5984" s="2" t="s">
        <v>25913</v>
      </c>
      <c r="D5984" s="2" t="str">
        <f t="shared" ref="D5984:D5985" si="108">"949 492 5328"</f>
        <v>949 492 5328</v>
      </c>
      <c r="E5984" s="2" t="s">
        <v>282</v>
      </c>
      <c r="F5984" s="2" t="s">
        <v>9667</v>
      </c>
      <c r="G5984" s="2" t="str">
        <f>"SR-8227"</f>
        <v>SR-8227</v>
      </c>
      <c r="H5984" s="2" t="s">
        <v>9668</v>
      </c>
      <c r="I5984" s="2" t="s">
        <v>9669</v>
      </c>
      <c r="K5984" s="2" t="s">
        <v>25914</v>
      </c>
      <c r="L5984" s="2" t="s">
        <v>222</v>
      </c>
      <c r="M5984" s="2">
        <v>92672.0</v>
      </c>
      <c r="N5984" s="2" t="s">
        <v>21</v>
      </c>
    </row>
    <row r="5985" ht="15.75" customHeight="1">
      <c r="A5985" s="2">
        <v>2016.0</v>
      </c>
      <c r="B5985" s="2" t="s">
        <v>25912</v>
      </c>
      <c r="C5985" s="2" t="s">
        <v>25915</v>
      </c>
      <c r="D5985" s="2" t="str">
        <f t="shared" si="108"/>
        <v>949 492 5328</v>
      </c>
      <c r="E5985" s="2" t="s">
        <v>908</v>
      </c>
      <c r="F5985" s="2" t="s">
        <v>9667</v>
      </c>
      <c r="G5985" s="2" t="str">
        <f>"SR-8229"</f>
        <v>SR-8229</v>
      </c>
      <c r="H5985" s="2" t="s">
        <v>25916</v>
      </c>
      <c r="I5985" s="2" t="s">
        <v>9669</v>
      </c>
      <c r="K5985" s="2" t="s">
        <v>9670</v>
      </c>
      <c r="L5985" s="2" t="s">
        <v>222</v>
      </c>
      <c r="M5985" s="2">
        <v>92672.0</v>
      </c>
      <c r="N5985" s="2" t="s">
        <v>21</v>
      </c>
    </row>
    <row r="5986" ht="15.75" customHeight="1">
      <c r="A5986" s="2">
        <v>2016.0</v>
      </c>
      <c r="B5986" s="2" t="s">
        <v>25917</v>
      </c>
      <c r="C5986" s="2" t="s">
        <v>25918</v>
      </c>
      <c r="D5986" s="2" t="str">
        <f>"907-715-8761"</f>
        <v>907-715-8761</v>
      </c>
      <c r="E5986" s="2" t="s">
        <v>72</v>
      </c>
      <c r="F5986" s="2" t="s">
        <v>25919</v>
      </c>
      <c r="G5986" s="2" t="str">
        <f>"SR-7813"</f>
        <v>SR-7813</v>
      </c>
      <c r="H5986" s="2" t="s">
        <v>25920</v>
      </c>
      <c r="I5986" s="2" t="s">
        <v>25921</v>
      </c>
      <c r="K5986" s="2" t="s">
        <v>13272</v>
      </c>
      <c r="L5986" s="2" t="s">
        <v>70</v>
      </c>
      <c r="M5986" s="2">
        <v>99654.0</v>
      </c>
      <c r="N5986" s="2" t="s">
        <v>21</v>
      </c>
    </row>
    <row r="5987" ht="15.75" customHeight="1">
      <c r="A5987" s="2">
        <v>2016.0</v>
      </c>
      <c r="B5987" s="2" t="s">
        <v>25922</v>
      </c>
      <c r="C5987" s="2" t="s">
        <v>11165</v>
      </c>
      <c r="D5987" s="2" t="str">
        <f>"7405421040"</f>
        <v>7405421040</v>
      </c>
      <c r="E5987" s="2" t="s">
        <v>1094</v>
      </c>
      <c r="F5987" s="2" t="s">
        <v>11166</v>
      </c>
      <c r="G5987" s="2" t="str">
        <f>"SR-8101"</f>
        <v>SR-8101</v>
      </c>
      <c r="H5987" s="2" t="s">
        <v>25923</v>
      </c>
      <c r="I5987" s="2" t="s">
        <v>25924</v>
      </c>
      <c r="K5987" s="2" t="s">
        <v>2421</v>
      </c>
      <c r="L5987" s="2" t="s">
        <v>344</v>
      </c>
      <c r="M5987" s="2">
        <v>43231.0</v>
      </c>
      <c r="N5987" s="2" t="s">
        <v>21</v>
      </c>
    </row>
    <row r="5988" ht="15.75" customHeight="1">
      <c r="A5988" s="2">
        <v>2016.0</v>
      </c>
      <c r="B5988" s="2" t="s">
        <v>25925</v>
      </c>
      <c r="C5988" s="2" t="s">
        <v>25925</v>
      </c>
      <c r="D5988" s="2" t="str">
        <f>"8325857620"</f>
        <v>8325857620</v>
      </c>
      <c r="E5988" s="2" t="s">
        <v>13430</v>
      </c>
      <c r="F5988" s="2" t="s">
        <v>25926</v>
      </c>
      <c r="G5988" s="2" t="str">
        <f>"SR-8231"</f>
        <v>SR-8231</v>
      </c>
      <c r="H5988" s="2" t="s">
        <v>25927</v>
      </c>
      <c r="I5988" s="2" t="s">
        <v>25928</v>
      </c>
      <c r="K5988" s="2" t="s">
        <v>25929</v>
      </c>
      <c r="L5988" s="2" t="s">
        <v>172</v>
      </c>
      <c r="M5988" s="2">
        <v>77389.0</v>
      </c>
      <c r="N5988" s="2" t="s">
        <v>21</v>
      </c>
    </row>
    <row r="5989" ht="15.75" customHeight="1">
      <c r="A5989" s="2">
        <v>2016.0</v>
      </c>
      <c r="B5989" s="2" t="s">
        <v>25930</v>
      </c>
      <c r="C5989" s="2" t="s">
        <v>25930</v>
      </c>
      <c r="D5989" s="2" t="str">
        <f>"3209652665"</f>
        <v>3209652665</v>
      </c>
      <c r="E5989" s="2" t="s">
        <v>456</v>
      </c>
      <c r="F5989" s="2" t="s">
        <v>25480</v>
      </c>
      <c r="G5989" s="2" t="str">
        <f>"SR-8116"</f>
        <v>SR-8116</v>
      </c>
      <c r="H5989" s="2" t="s">
        <v>25931</v>
      </c>
      <c r="I5989" s="2" t="s">
        <v>25932</v>
      </c>
      <c r="K5989" s="2" t="s">
        <v>25661</v>
      </c>
      <c r="L5989" s="2" t="s">
        <v>62</v>
      </c>
      <c r="M5989" s="2">
        <v>56343.0</v>
      </c>
      <c r="N5989" s="2" t="s">
        <v>21</v>
      </c>
    </row>
    <row r="5990" ht="15.75" customHeight="1">
      <c r="A5990" s="2">
        <v>2016.0</v>
      </c>
      <c r="B5990" s="2" t="s">
        <v>25933</v>
      </c>
      <c r="C5990" s="2" t="s">
        <v>25934</v>
      </c>
      <c r="D5990" s="2" t="str">
        <f>"979-575-5764"</f>
        <v>979-575-5764</v>
      </c>
      <c r="E5990" s="2" t="s">
        <v>6244</v>
      </c>
      <c r="F5990" s="2" t="s">
        <v>25935</v>
      </c>
      <c r="G5990" s="2" t="str">
        <f>"SR-8144"</f>
        <v>SR-8144</v>
      </c>
      <c r="H5990" s="2" t="s">
        <v>25936</v>
      </c>
      <c r="I5990" s="2" t="s">
        <v>25937</v>
      </c>
      <c r="K5990" s="2" t="s">
        <v>286</v>
      </c>
      <c r="L5990" s="2" t="s">
        <v>172</v>
      </c>
      <c r="M5990" s="2">
        <v>79707.0</v>
      </c>
      <c r="N5990" s="2" t="s">
        <v>21</v>
      </c>
    </row>
    <row r="5991" ht="15.75" customHeight="1">
      <c r="A5991" s="2">
        <v>2016.0</v>
      </c>
      <c r="B5991" s="2" t="s">
        <v>25938</v>
      </c>
      <c r="C5991" s="2" t="s">
        <v>25939</v>
      </c>
      <c r="D5991" s="2" t="str">
        <f>"5097073406"</f>
        <v>5097073406</v>
      </c>
      <c r="E5991" s="2" t="s">
        <v>596</v>
      </c>
      <c r="F5991" s="2" t="s">
        <v>1410</v>
      </c>
      <c r="G5991" s="2" t="str">
        <f>"SR-8234"</f>
        <v>SR-8234</v>
      </c>
      <c r="H5991" s="2" t="s">
        <v>25940</v>
      </c>
      <c r="I5991" s="2" t="s">
        <v>25941</v>
      </c>
      <c r="K5991" s="2" t="s">
        <v>25942</v>
      </c>
      <c r="L5991" s="2" t="s">
        <v>86</v>
      </c>
      <c r="M5991" s="2">
        <v>98837.0</v>
      </c>
      <c r="N5991" s="2" t="s">
        <v>21</v>
      </c>
    </row>
    <row r="5992" ht="15.75" customHeight="1">
      <c r="A5992" s="2">
        <v>2016.0</v>
      </c>
      <c r="B5992" s="2" t="s">
        <v>25943</v>
      </c>
      <c r="C5992" s="2" t="s">
        <v>25943</v>
      </c>
      <c r="D5992" s="2" t="str">
        <f>"(306) 921-7218"</f>
        <v>(306) 921-7218</v>
      </c>
      <c r="E5992" s="2" t="s">
        <v>4437</v>
      </c>
      <c r="F5992" s="2" t="s">
        <v>13083</v>
      </c>
      <c r="G5992" s="2" t="str">
        <f>"SR-8224"</f>
        <v>SR-8224</v>
      </c>
      <c r="H5992" s="2" t="s">
        <v>25944</v>
      </c>
      <c r="I5992" s="2" t="s">
        <v>25945</v>
      </c>
      <c r="J5992" s="2" t="s">
        <v>25946</v>
      </c>
      <c r="K5992" s="2" t="s">
        <v>13086</v>
      </c>
      <c r="L5992" s="2" t="s">
        <v>25947</v>
      </c>
      <c r="M5992" s="2" t="s">
        <v>25948</v>
      </c>
      <c r="N5992" s="2" t="s">
        <v>1602</v>
      </c>
    </row>
    <row r="5993" ht="15.75" customHeight="1">
      <c r="A5993" s="2">
        <v>2016.0</v>
      </c>
      <c r="B5993" s="2" t="s">
        <v>25949</v>
      </c>
      <c r="C5993" s="2" t="s">
        <v>25949</v>
      </c>
      <c r="D5993" s="2" t="str">
        <f>"423-584-1634"</f>
        <v>423-584-1634</v>
      </c>
      <c r="E5993" s="2" t="s">
        <v>3743</v>
      </c>
      <c r="F5993" s="2" t="s">
        <v>25950</v>
      </c>
      <c r="G5993" s="2" t="str">
        <f>"SR-8239"</f>
        <v>SR-8239</v>
      </c>
      <c r="H5993" s="2" t="s">
        <v>25951</v>
      </c>
      <c r="I5993" s="2" t="s">
        <v>25952</v>
      </c>
      <c r="K5993" s="2" t="s">
        <v>4482</v>
      </c>
      <c r="L5993" s="2" t="s">
        <v>279</v>
      </c>
      <c r="M5993" s="2">
        <v>37336.0</v>
      </c>
      <c r="N5993" s="2" t="s">
        <v>21</v>
      </c>
    </row>
    <row r="5994" ht="15.75" customHeight="1">
      <c r="A5994" s="2">
        <v>2016.0</v>
      </c>
      <c r="B5994" s="2" t="s">
        <v>25953</v>
      </c>
      <c r="C5994" s="2" t="s">
        <v>25954</v>
      </c>
      <c r="D5994" s="2" t="str">
        <f>"3364302814"</f>
        <v>3364302814</v>
      </c>
      <c r="E5994" s="2" t="s">
        <v>167</v>
      </c>
      <c r="F5994" s="2" t="s">
        <v>1848</v>
      </c>
      <c r="G5994" s="2" t="str">
        <f>"SR-8236"</f>
        <v>SR-8236</v>
      </c>
      <c r="H5994" s="2" t="s">
        <v>25955</v>
      </c>
      <c r="I5994" s="2" t="s">
        <v>5836</v>
      </c>
      <c r="K5994" s="2" t="s">
        <v>5837</v>
      </c>
      <c r="L5994" s="2" t="s">
        <v>20</v>
      </c>
      <c r="M5994" s="2">
        <v>27407.0</v>
      </c>
      <c r="N5994" s="2" t="s">
        <v>21</v>
      </c>
    </row>
    <row r="5995" ht="15.75" customHeight="1">
      <c r="A5995" s="2">
        <v>2016.0</v>
      </c>
      <c r="B5995" s="2" t="s">
        <v>22599</v>
      </c>
      <c r="C5995" s="2" t="s">
        <v>22599</v>
      </c>
      <c r="D5995" s="2" t="str">
        <f>"678-445-3381"</f>
        <v>678-445-3381</v>
      </c>
      <c r="E5995" s="2" t="s">
        <v>534</v>
      </c>
      <c r="F5995" s="2" t="s">
        <v>1101</v>
      </c>
      <c r="G5995" s="2" t="str">
        <f>"SR-8243"</f>
        <v>SR-8243</v>
      </c>
      <c r="H5995" s="2" t="s">
        <v>22600</v>
      </c>
      <c r="I5995" s="2" t="s">
        <v>25956</v>
      </c>
      <c r="K5995" s="2" t="s">
        <v>11963</v>
      </c>
      <c r="L5995" s="2" t="s">
        <v>200</v>
      </c>
      <c r="M5995" s="2">
        <v>30114.0</v>
      </c>
      <c r="N5995" s="2" t="s">
        <v>21</v>
      </c>
    </row>
    <row r="5996" ht="15.75" customHeight="1">
      <c r="A5996" s="2">
        <v>2016.0</v>
      </c>
      <c r="B5996" s="2" t="s">
        <v>19329</v>
      </c>
      <c r="C5996" s="2" t="s">
        <v>25957</v>
      </c>
      <c r="D5996" s="2" t="str">
        <f>"(616) 634-9178"</f>
        <v>(616) 634-9178</v>
      </c>
      <c r="E5996" s="2" t="s">
        <v>908</v>
      </c>
      <c r="F5996" s="2" t="s">
        <v>1929</v>
      </c>
      <c r="G5996" s="2" t="str">
        <f>"SR-8094"</f>
        <v>SR-8094</v>
      </c>
      <c r="H5996" s="2" t="s">
        <v>25958</v>
      </c>
      <c r="I5996" s="2" t="s">
        <v>25959</v>
      </c>
      <c r="K5996" s="2" t="s">
        <v>28</v>
      </c>
      <c r="L5996" s="2" t="s">
        <v>29</v>
      </c>
      <c r="M5996" s="2">
        <v>49301.0</v>
      </c>
      <c r="N5996" s="2" t="s">
        <v>21</v>
      </c>
    </row>
    <row r="5997" ht="15.75" customHeight="1">
      <c r="A5997" s="2">
        <v>2016.0</v>
      </c>
      <c r="B5997" s="2" t="s">
        <v>25960</v>
      </c>
      <c r="C5997" s="2" t="s">
        <v>25960</v>
      </c>
      <c r="D5997" s="2" t="str">
        <f>"9197533167"</f>
        <v>9197533167</v>
      </c>
      <c r="E5997" s="2" t="s">
        <v>225</v>
      </c>
      <c r="F5997" s="2" t="s">
        <v>4519</v>
      </c>
      <c r="G5997" s="2" t="str">
        <f>"SR-3936"</f>
        <v>SR-3936</v>
      </c>
      <c r="H5997" s="2" t="s">
        <v>25961</v>
      </c>
      <c r="I5997" s="2" t="s">
        <v>25962</v>
      </c>
      <c r="K5997" s="2" t="s">
        <v>14454</v>
      </c>
      <c r="L5997" s="2" t="s">
        <v>20</v>
      </c>
      <c r="M5997" s="2">
        <v>27502.0</v>
      </c>
      <c r="N5997" s="2" t="s">
        <v>21</v>
      </c>
    </row>
    <row r="5998" ht="15.75" customHeight="1">
      <c r="A5998" s="2">
        <v>2016.0</v>
      </c>
      <c r="B5998" s="2" t="s">
        <v>25963</v>
      </c>
      <c r="C5998" s="2" t="s">
        <v>25963</v>
      </c>
      <c r="D5998" s="2" t="str">
        <f>"7276447802"</f>
        <v>7276447802</v>
      </c>
      <c r="E5998" s="2" t="s">
        <v>282</v>
      </c>
      <c r="F5998" s="2" t="s">
        <v>25964</v>
      </c>
      <c r="G5998" s="2" t="str">
        <f>"SR-8010"</f>
        <v>SR-8010</v>
      </c>
      <c r="H5998" s="2" t="s">
        <v>25965</v>
      </c>
      <c r="I5998" s="2" t="s">
        <v>25966</v>
      </c>
      <c r="K5998" s="2" t="s">
        <v>25060</v>
      </c>
      <c r="L5998" s="2" t="s">
        <v>208</v>
      </c>
      <c r="M5998" s="2">
        <v>33772.0</v>
      </c>
      <c r="N5998" s="2" t="s">
        <v>21</v>
      </c>
    </row>
    <row r="5999" ht="15.75" customHeight="1">
      <c r="A5999" s="2">
        <v>2016.0</v>
      </c>
      <c r="B5999" s="2" t="s">
        <v>20123</v>
      </c>
      <c r="C5999" s="2" t="s">
        <v>20123</v>
      </c>
      <c r="D5999" s="2" t="str">
        <f>"(205) 362-9545"</f>
        <v>(205) 362-9545</v>
      </c>
      <c r="E5999" s="2" t="s">
        <v>160</v>
      </c>
      <c r="F5999" s="2" t="s">
        <v>847</v>
      </c>
      <c r="G5999" s="2" t="str">
        <f>"SR-6223"</f>
        <v>SR-6223</v>
      </c>
      <c r="H5999" s="2" t="s">
        <v>20124</v>
      </c>
      <c r="I5999" s="2" t="s">
        <v>20125</v>
      </c>
      <c r="K5999" s="2" t="s">
        <v>7469</v>
      </c>
      <c r="L5999" s="2" t="s">
        <v>539</v>
      </c>
      <c r="M5999" s="2">
        <v>35128.0</v>
      </c>
      <c r="N5999" s="2" t="s">
        <v>21</v>
      </c>
    </row>
    <row r="6000" ht="15.75" customHeight="1">
      <c r="A6000" s="2">
        <v>2016.0</v>
      </c>
      <c r="B6000" s="2" t="s">
        <v>25967</v>
      </c>
      <c r="C6000" s="2" t="s">
        <v>25967</v>
      </c>
      <c r="D6000" s="2" t="str">
        <f>"8649785884"</f>
        <v>8649785884</v>
      </c>
      <c r="E6000" s="2" t="s">
        <v>15532</v>
      </c>
      <c r="F6000" s="2" t="s">
        <v>25968</v>
      </c>
      <c r="G6000" s="2" t="str">
        <f>"SR-8006"</f>
        <v>SR-8006</v>
      </c>
      <c r="H6000" s="2" t="s">
        <v>25969</v>
      </c>
      <c r="I6000" s="2" t="s">
        <v>25970</v>
      </c>
      <c r="K6000" s="2" t="s">
        <v>2474</v>
      </c>
      <c r="L6000" s="2" t="s">
        <v>55</v>
      </c>
      <c r="M6000" s="2">
        <v>29334.0</v>
      </c>
      <c r="N6000" s="2" t="s">
        <v>21</v>
      </c>
    </row>
    <row r="6001" ht="15.75" customHeight="1">
      <c r="A6001" s="2">
        <v>2016.0</v>
      </c>
      <c r="B6001" s="2" t="s">
        <v>3380</v>
      </c>
      <c r="C6001" s="2" t="s">
        <v>25971</v>
      </c>
      <c r="D6001" s="2" t="str">
        <f>"864-553-6002"</f>
        <v>864-553-6002</v>
      </c>
      <c r="E6001" s="2" t="s">
        <v>2314</v>
      </c>
      <c r="F6001" s="2" t="s">
        <v>3382</v>
      </c>
      <c r="G6001" s="2" t="str">
        <f>"SR-8215"</f>
        <v>SR-8215</v>
      </c>
      <c r="H6001" s="2" t="s">
        <v>25972</v>
      </c>
      <c r="I6001" s="2" t="s">
        <v>3384</v>
      </c>
      <c r="K6001" s="2" t="s">
        <v>3385</v>
      </c>
      <c r="L6001" s="2" t="s">
        <v>55</v>
      </c>
      <c r="M6001" s="2">
        <v>29650.0</v>
      </c>
      <c r="N6001" s="2" t="s">
        <v>21</v>
      </c>
    </row>
    <row r="6002" ht="15.75" customHeight="1">
      <c r="A6002" s="2">
        <v>2016.0</v>
      </c>
      <c r="B6002" s="2" t="s">
        <v>22875</v>
      </c>
      <c r="C6002" s="2" t="s">
        <v>22876</v>
      </c>
      <c r="D6002" s="2" t="str">
        <f>"205/629/7020"</f>
        <v>205/629/7020</v>
      </c>
      <c r="E6002" s="2" t="s">
        <v>72</v>
      </c>
      <c r="F6002" s="2" t="s">
        <v>14352</v>
      </c>
      <c r="G6002" s="2" t="str">
        <f>"SR-6226"</f>
        <v>SR-6226</v>
      </c>
      <c r="H6002" s="2" t="s">
        <v>22877</v>
      </c>
      <c r="I6002" s="2" t="s">
        <v>22878</v>
      </c>
      <c r="K6002" s="2" t="s">
        <v>20122</v>
      </c>
      <c r="L6002" s="2" t="s">
        <v>539</v>
      </c>
      <c r="M6002" s="2">
        <v>35120.0</v>
      </c>
      <c r="N6002" s="2" t="s">
        <v>21</v>
      </c>
    </row>
    <row r="6003" ht="15.75" customHeight="1">
      <c r="A6003" s="2">
        <v>2016.0</v>
      </c>
      <c r="B6003" s="2" t="s">
        <v>25973</v>
      </c>
      <c r="C6003" s="2" t="s">
        <v>25974</v>
      </c>
      <c r="D6003" s="2" t="str">
        <f>"662-617-2155"</f>
        <v>662-617-2155</v>
      </c>
      <c r="E6003" s="2" t="s">
        <v>3668</v>
      </c>
      <c r="F6003" s="2" t="s">
        <v>486</v>
      </c>
      <c r="G6003" s="2" t="str">
        <f>"SR-8230"</f>
        <v>SR-8230</v>
      </c>
      <c r="H6003" s="2" t="s">
        <v>25975</v>
      </c>
      <c r="I6003" s="2" t="s">
        <v>25976</v>
      </c>
      <c r="K6003" s="2" t="s">
        <v>1901</v>
      </c>
      <c r="L6003" s="2" t="s">
        <v>1722</v>
      </c>
      <c r="M6003" s="2">
        <v>39759.0</v>
      </c>
      <c r="N6003" s="2" t="s">
        <v>21</v>
      </c>
    </row>
    <row r="6004" ht="15.75" customHeight="1">
      <c r="A6004" s="2">
        <v>2016.0</v>
      </c>
      <c r="B6004" s="2" t="s">
        <v>25977</v>
      </c>
      <c r="C6004" s="2" t="s">
        <v>25978</v>
      </c>
      <c r="D6004" s="2" t="str">
        <f>"4032266979"</f>
        <v>4032266979</v>
      </c>
      <c r="E6004" s="2" t="s">
        <v>7996</v>
      </c>
      <c r="F6004" s="2" t="s">
        <v>25979</v>
      </c>
      <c r="G6004" s="2" t="str">
        <f>"SR-8251"</f>
        <v>SR-8251</v>
      </c>
      <c r="H6004" s="2" t="s">
        <v>25980</v>
      </c>
      <c r="I6004" s="2" t="s">
        <v>25981</v>
      </c>
      <c r="K6004" s="2" t="s">
        <v>6725</v>
      </c>
      <c r="L6004" s="2" t="s">
        <v>6726</v>
      </c>
      <c r="M6004" s="2" t="s">
        <v>25982</v>
      </c>
      <c r="N6004" s="2" t="s">
        <v>1602</v>
      </c>
    </row>
    <row r="6005" ht="15.75" customHeight="1">
      <c r="A6005" s="2">
        <v>2016.0</v>
      </c>
      <c r="B6005" s="2" t="s">
        <v>3748</v>
      </c>
      <c r="C6005" s="2" t="s">
        <v>25983</v>
      </c>
      <c r="D6005" s="2" t="str">
        <f>"308-991-2225"</f>
        <v>308-991-2225</v>
      </c>
      <c r="E6005" s="2" t="s">
        <v>580</v>
      </c>
      <c r="F6005" s="2" t="s">
        <v>3751</v>
      </c>
      <c r="G6005" s="2" t="str">
        <f>"SR-8250"</f>
        <v>SR-8250</v>
      </c>
      <c r="H6005" s="2" t="s">
        <v>25984</v>
      </c>
      <c r="I6005" s="2" t="s">
        <v>25985</v>
      </c>
      <c r="J6005" s="2" t="s">
        <v>25986</v>
      </c>
      <c r="K6005" s="2" t="s">
        <v>3754</v>
      </c>
      <c r="L6005" s="2" t="s">
        <v>757</v>
      </c>
      <c r="M6005" s="2">
        <v>68920.0</v>
      </c>
      <c r="N6005" s="2" t="s">
        <v>21</v>
      </c>
    </row>
    <row r="6006" ht="15.75" customHeight="1">
      <c r="A6006" s="2">
        <v>2016.0</v>
      </c>
      <c r="B6006" s="2" t="s">
        <v>5478</v>
      </c>
      <c r="C6006" s="2" t="s">
        <v>5478</v>
      </c>
      <c r="D6006" s="2" t="str">
        <f>"6207280255"</f>
        <v>6207280255</v>
      </c>
      <c r="E6006" s="2" t="s">
        <v>678</v>
      </c>
      <c r="F6006" s="2" t="s">
        <v>5479</v>
      </c>
      <c r="G6006" s="2" t="str">
        <f>"SR-8257"</f>
        <v>SR-8257</v>
      </c>
      <c r="H6006" s="2" t="s">
        <v>25987</v>
      </c>
      <c r="I6006" s="2" t="s">
        <v>25988</v>
      </c>
      <c r="K6006" s="2" t="s">
        <v>5351</v>
      </c>
      <c r="L6006" s="2" t="s">
        <v>272</v>
      </c>
      <c r="M6006" s="2">
        <v>67502.0</v>
      </c>
      <c r="N6006" s="2" t="s">
        <v>21</v>
      </c>
    </row>
    <row r="6007" ht="15.75" customHeight="1">
      <c r="A6007" s="2">
        <v>2016.0</v>
      </c>
      <c r="B6007" s="2" t="s">
        <v>25989</v>
      </c>
      <c r="C6007" s="2" t="s">
        <v>25989</v>
      </c>
      <c r="D6007" s="2" t="str">
        <f>"7657131064"</f>
        <v>7657131064</v>
      </c>
      <c r="E6007" s="2" t="s">
        <v>1803</v>
      </c>
      <c r="F6007" s="2" t="s">
        <v>21089</v>
      </c>
      <c r="G6007" s="2" t="str">
        <f>"SR-8242"</f>
        <v>SR-8242</v>
      </c>
      <c r="H6007" s="2" t="s">
        <v>25990</v>
      </c>
      <c r="I6007" s="2" t="s">
        <v>25991</v>
      </c>
      <c r="K6007" s="2" t="s">
        <v>16434</v>
      </c>
      <c r="L6007" s="2" t="s">
        <v>149</v>
      </c>
      <c r="M6007" s="2">
        <v>47304.0</v>
      </c>
      <c r="N6007" s="2" t="s">
        <v>21</v>
      </c>
    </row>
    <row r="6008" ht="15.75" customHeight="1">
      <c r="A6008" s="2">
        <v>2016.0</v>
      </c>
      <c r="B6008" s="2" t="s">
        <v>5478</v>
      </c>
      <c r="C6008" s="2" t="s">
        <v>25992</v>
      </c>
      <c r="D6008" s="2" t="str">
        <f>"6204741334"</f>
        <v>6204741334</v>
      </c>
      <c r="E6008" s="2" t="s">
        <v>9828</v>
      </c>
      <c r="F6008" s="2" t="s">
        <v>25993</v>
      </c>
      <c r="G6008" s="2" t="str">
        <f>"SR-8259"</f>
        <v>SR-8259</v>
      </c>
      <c r="H6008" s="2" t="s">
        <v>25994</v>
      </c>
      <c r="I6008" s="2" t="s">
        <v>25995</v>
      </c>
      <c r="K6008" s="2" t="s">
        <v>5351</v>
      </c>
      <c r="L6008" s="2" t="s">
        <v>272</v>
      </c>
      <c r="M6008" s="2">
        <v>67502.0</v>
      </c>
      <c r="N6008" s="2" t="s">
        <v>21</v>
      </c>
    </row>
    <row r="6009" ht="15.75" customHeight="1">
      <c r="A6009" s="2">
        <v>2016.0</v>
      </c>
      <c r="B6009" s="2" t="s">
        <v>25996</v>
      </c>
      <c r="C6009" s="2" t="s">
        <v>25997</v>
      </c>
      <c r="D6009" s="2" t="str">
        <f t="shared" ref="D6009:D6010" si="109">"307-587-6118"</f>
        <v>307-587-6118</v>
      </c>
      <c r="E6009" s="2" t="s">
        <v>25998</v>
      </c>
      <c r="F6009" s="2" t="s">
        <v>25999</v>
      </c>
      <c r="G6009" s="2" t="str">
        <f>"SR-8261"</f>
        <v>SR-8261</v>
      </c>
      <c r="H6009" s="2" t="s">
        <v>26000</v>
      </c>
      <c r="I6009" s="2" t="s">
        <v>26001</v>
      </c>
      <c r="K6009" s="2" t="s">
        <v>88</v>
      </c>
      <c r="L6009" s="2" t="s">
        <v>1540</v>
      </c>
      <c r="M6009" s="2">
        <v>82414.0</v>
      </c>
      <c r="N6009" s="2" t="s">
        <v>21</v>
      </c>
    </row>
    <row r="6010" ht="15.75" customHeight="1">
      <c r="A6010" s="2">
        <v>2016.0</v>
      </c>
      <c r="B6010" s="2" t="s">
        <v>25996</v>
      </c>
      <c r="C6010" s="2" t="s">
        <v>26002</v>
      </c>
      <c r="D6010" s="2" t="str">
        <f t="shared" si="109"/>
        <v>307-587-6118</v>
      </c>
      <c r="E6010" s="2" t="s">
        <v>404</v>
      </c>
      <c r="F6010" s="2" t="s">
        <v>25999</v>
      </c>
      <c r="G6010" s="2" t="str">
        <f>"SR-8262"</f>
        <v>SR-8262</v>
      </c>
      <c r="H6010" s="2" t="s">
        <v>26003</v>
      </c>
      <c r="I6010" s="2" t="s">
        <v>26001</v>
      </c>
      <c r="K6010" s="2" t="s">
        <v>88</v>
      </c>
      <c r="L6010" s="2" t="s">
        <v>1540</v>
      </c>
      <c r="M6010" s="2">
        <v>82414.0</v>
      </c>
      <c r="N6010" s="2" t="s">
        <v>21</v>
      </c>
    </row>
    <row r="6011" ht="15.75" customHeight="1">
      <c r="A6011" s="2">
        <v>2016.0</v>
      </c>
      <c r="B6011" s="2" t="s">
        <v>26004</v>
      </c>
      <c r="C6011" s="2" t="s">
        <v>26005</v>
      </c>
      <c r="D6011" s="2" t="str">
        <f>"512-964-7817"</f>
        <v>512-964-7817</v>
      </c>
      <c r="E6011" s="2" t="s">
        <v>26006</v>
      </c>
      <c r="F6011" s="2" t="s">
        <v>26007</v>
      </c>
      <c r="G6011" s="2" t="str">
        <f>"SR-8260"</f>
        <v>SR-8260</v>
      </c>
      <c r="H6011" s="2" t="s">
        <v>26008</v>
      </c>
      <c r="I6011" s="2" t="s">
        <v>26009</v>
      </c>
      <c r="K6011" s="2" t="s">
        <v>4350</v>
      </c>
      <c r="L6011" s="2" t="s">
        <v>172</v>
      </c>
      <c r="M6011" s="2">
        <v>77375.0</v>
      </c>
      <c r="N6011" s="2" t="s">
        <v>21</v>
      </c>
    </row>
    <row r="6012" ht="15.75" customHeight="1">
      <c r="A6012" s="2">
        <v>2016.0</v>
      </c>
      <c r="B6012" s="2" t="s">
        <v>26010</v>
      </c>
      <c r="C6012" s="2" t="s">
        <v>26011</v>
      </c>
      <c r="D6012" s="2" t="str">
        <f>"401-5363408"</f>
        <v>401-5363408</v>
      </c>
      <c r="E6012" s="2" t="s">
        <v>1015</v>
      </c>
      <c r="F6012" s="2" t="s">
        <v>26012</v>
      </c>
      <c r="G6012" s="2" t="str">
        <f>"SR-8189"</f>
        <v>SR-8189</v>
      </c>
      <c r="H6012" s="2" t="s">
        <v>26013</v>
      </c>
      <c r="I6012" s="2" t="s">
        <v>26014</v>
      </c>
      <c r="K6012" s="2" t="s">
        <v>26015</v>
      </c>
      <c r="L6012" s="2" t="s">
        <v>26016</v>
      </c>
      <c r="M6012" s="2">
        <v>2860.0</v>
      </c>
      <c r="N6012" s="2" t="s">
        <v>21</v>
      </c>
    </row>
    <row r="6013" ht="15.75" customHeight="1">
      <c r="A6013" s="2">
        <v>2016.0</v>
      </c>
      <c r="B6013" s="2" t="s">
        <v>26017</v>
      </c>
      <c r="C6013" s="2" t="s">
        <v>26017</v>
      </c>
      <c r="D6013" s="2" t="str">
        <f>"3016535292"</f>
        <v>3016535292</v>
      </c>
      <c r="E6013" s="2" t="s">
        <v>534</v>
      </c>
      <c r="F6013" s="2" t="s">
        <v>26018</v>
      </c>
      <c r="G6013" s="2" t="str">
        <f>"SR-6743"</f>
        <v>SR-6743</v>
      </c>
      <c r="H6013" s="2" t="s">
        <v>26019</v>
      </c>
      <c r="I6013" s="2" t="s">
        <v>26020</v>
      </c>
      <c r="K6013" s="2" t="s">
        <v>15533</v>
      </c>
      <c r="L6013" s="2" t="s">
        <v>1868</v>
      </c>
      <c r="M6013" s="2">
        <v>20693.0</v>
      </c>
      <c r="N6013" s="2" t="s">
        <v>21</v>
      </c>
    </row>
    <row r="6014" ht="15.75" customHeight="1">
      <c r="A6014" s="2">
        <v>2016.0</v>
      </c>
      <c r="B6014" s="2" t="s">
        <v>26021</v>
      </c>
      <c r="C6014" s="2" t="s">
        <v>26021</v>
      </c>
      <c r="D6014" s="2" t="str">
        <f>"616-551-7837"</f>
        <v>616-551-7837</v>
      </c>
      <c r="E6014" s="2" t="s">
        <v>250</v>
      </c>
      <c r="F6014" s="2" t="s">
        <v>19703</v>
      </c>
      <c r="G6014" s="2" t="str">
        <f>"SR-8268"</f>
        <v>SR-8268</v>
      </c>
      <c r="H6014" s="2" t="s">
        <v>26022</v>
      </c>
      <c r="I6014" s="2" t="s">
        <v>26023</v>
      </c>
      <c r="K6014" s="2" t="s">
        <v>382</v>
      </c>
      <c r="L6014" s="2" t="s">
        <v>29</v>
      </c>
      <c r="M6014" s="2">
        <v>49341.0</v>
      </c>
      <c r="N6014" s="2" t="s">
        <v>21</v>
      </c>
    </row>
    <row r="6015" ht="15.75" customHeight="1">
      <c r="A6015" s="2">
        <v>2016.0</v>
      </c>
      <c r="B6015" s="2" t="s">
        <v>9743</v>
      </c>
      <c r="C6015" s="2" t="s">
        <v>9744</v>
      </c>
      <c r="D6015" s="2" t="str">
        <f>"8633984599"</f>
        <v>8633984599</v>
      </c>
      <c r="E6015" s="2" t="s">
        <v>485</v>
      </c>
      <c r="F6015" s="2" t="s">
        <v>2841</v>
      </c>
      <c r="G6015" s="2" t="str">
        <f>"SR-2744"</f>
        <v>SR-2744</v>
      </c>
      <c r="H6015" s="2" t="s">
        <v>9745</v>
      </c>
      <c r="I6015" s="2" t="s">
        <v>9746</v>
      </c>
      <c r="K6015" s="2" t="s">
        <v>1570</v>
      </c>
      <c r="L6015" s="2" t="s">
        <v>208</v>
      </c>
      <c r="M6015" s="2">
        <v>33803.0</v>
      </c>
      <c r="N6015" s="2" t="s">
        <v>21</v>
      </c>
    </row>
    <row r="6016" ht="15.75" customHeight="1">
      <c r="A6016" s="2">
        <v>2016.0</v>
      </c>
      <c r="B6016" s="2" t="s">
        <v>26024</v>
      </c>
      <c r="D6016" s="2" t="str">
        <f>""</f>
        <v/>
      </c>
      <c r="E6016" s="2" t="s">
        <v>843</v>
      </c>
      <c r="F6016" s="2" t="s">
        <v>26025</v>
      </c>
      <c r="G6016" s="2" t="str">
        <f>"SR-8058"</f>
        <v>SR-8058</v>
      </c>
      <c r="H6016" s="2" t="s">
        <v>26026</v>
      </c>
      <c r="N6016" s="2" t="s">
        <v>21</v>
      </c>
    </row>
    <row r="6017" ht="15.75" customHeight="1">
      <c r="A6017" s="2">
        <v>2016.0</v>
      </c>
      <c r="B6017" s="2" t="s">
        <v>26027</v>
      </c>
      <c r="C6017" s="2" t="s">
        <v>26028</v>
      </c>
      <c r="D6017" s="2" t="str">
        <f>"336-264-7899"</f>
        <v>336-264-7899</v>
      </c>
      <c r="E6017" s="2" t="s">
        <v>2083</v>
      </c>
      <c r="F6017" s="2" t="s">
        <v>26029</v>
      </c>
      <c r="G6017" s="2" t="str">
        <f>"SR-7724"</f>
        <v>SR-7724</v>
      </c>
      <c r="H6017" s="2" t="s">
        <v>26030</v>
      </c>
      <c r="I6017" s="2" t="s">
        <v>26031</v>
      </c>
      <c r="K6017" s="2" t="s">
        <v>26032</v>
      </c>
      <c r="L6017" s="2" t="s">
        <v>20</v>
      </c>
      <c r="M6017" s="2">
        <v>27349.0</v>
      </c>
      <c r="N6017" s="2" t="s">
        <v>21</v>
      </c>
    </row>
    <row r="6018" ht="15.75" customHeight="1">
      <c r="A6018" s="2">
        <v>2016.0</v>
      </c>
      <c r="B6018" s="2" t="s">
        <v>26033</v>
      </c>
      <c r="C6018" s="2" t="s">
        <v>26033</v>
      </c>
      <c r="D6018" s="2" t="str">
        <f>"(432) 230-3146"</f>
        <v>(432) 230-3146</v>
      </c>
      <c r="E6018" s="2" t="s">
        <v>144</v>
      </c>
      <c r="F6018" s="2" t="s">
        <v>26034</v>
      </c>
      <c r="G6018" s="2" t="str">
        <f>"SR-7907"</f>
        <v>SR-7907</v>
      </c>
      <c r="H6018" s="2" t="s">
        <v>26035</v>
      </c>
      <c r="I6018" s="2" t="s">
        <v>26036</v>
      </c>
      <c r="K6018" s="2" t="s">
        <v>286</v>
      </c>
      <c r="L6018" s="2" t="s">
        <v>172</v>
      </c>
      <c r="M6018" s="2">
        <v>79707.0</v>
      </c>
      <c r="N6018" s="2" t="s">
        <v>21</v>
      </c>
    </row>
    <row r="6019" ht="15.75" customHeight="1">
      <c r="A6019" s="2">
        <v>2016.0</v>
      </c>
      <c r="B6019" s="2" t="s">
        <v>26037</v>
      </c>
      <c r="C6019" s="2" t="s">
        <v>26037</v>
      </c>
      <c r="D6019" s="2" t="str">
        <f>"435-881-2607"</f>
        <v>435-881-2607</v>
      </c>
      <c r="E6019" s="2" t="s">
        <v>26038</v>
      </c>
      <c r="F6019" s="2" t="s">
        <v>25999</v>
      </c>
      <c r="G6019" s="2" t="str">
        <f>"SR-8252"</f>
        <v>SR-8252</v>
      </c>
      <c r="H6019" s="2" t="s">
        <v>26039</v>
      </c>
      <c r="I6019" s="2" t="s">
        <v>26040</v>
      </c>
      <c r="K6019" s="2" t="s">
        <v>26041</v>
      </c>
      <c r="L6019" s="2" t="s">
        <v>763</v>
      </c>
      <c r="M6019" s="2">
        <v>84335.0</v>
      </c>
      <c r="N6019" s="2" t="s">
        <v>21</v>
      </c>
    </row>
    <row r="6020" ht="15.75" customHeight="1">
      <c r="A6020" s="2">
        <v>2016.0</v>
      </c>
      <c r="B6020" s="2" t="s">
        <v>26042</v>
      </c>
      <c r="C6020" s="2" t="s">
        <v>26043</v>
      </c>
      <c r="D6020" s="2" t="str">
        <f>"941-815-8760"</f>
        <v>941-815-8760</v>
      </c>
      <c r="E6020" s="2" t="s">
        <v>2851</v>
      </c>
      <c r="F6020" s="2" t="s">
        <v>26044</v>
      </c>
      <c r="G6020" s="2" t="str">
        <f>"SR-8237"</f>
        <v>SR-8237</v>
      </c>
      <c r="H6020" s="2" t="s">
        <v>26045</v>
      </c>
      <c r="I6020" s="2" t="s">
        <v>26046</v>
      </c>
      <c r="K6020" s="2" t="s">
        <v>8558</v>
      </c>
      <c r="L6020" s="2" t="s">
        <v>208</v>
      </c>
      <c r="M6020" s="2">
        <v>34269.0</v>
      </c>
      <c r="N6020" s="2" t="s">
        <v>21</v>
      </c>
    </row>
    <row r="6021" ht="15.75" customHeight="1">
      <c r="A6021" s="2">
        <v>2016.0</v>
      </c>
      <c r="B6021" s="2" t="s">
        <v>26047</v>
      </c>
      <c r="C6021" s="2" t="s">
        <v>26048</v>
      </c>
      <c r="D6021" s="2" t="str">
        <f>"714 606-9632"</f>
        <v>714 606-9632</v>
      </c>
      <c r="E6021" s="2" t="s">
        <v>503</v>
      </c>
      <c r="F6021" s="2" t="s">
        <v>26049</v>
      </c>
      <c r="G6021" s="2" t="str">
        <f>"SR-8281"</f>
        <v>SR-8281</v>
      </c>
      <c r="H6021" s="2" t="s">
        <v>26050</v>
      </c>
      <c r="I6021" s="2" t="s">
        <v>26051</v>
      </c>
      <c r="K6021" s="2" t="s">
        <v>15351</v>
      </c>
      <c r="L6021" s="2" t="s">
        <v>222</v>
      </c>
      <c r="M6021" s="2">
        <v>92845.0</v>
      </c>
      <c r="N6021" s="2" t="s">
        <v>21</v>
      </c>
    </row>
    <row r="6022" ht="15.75" customHeight="1">
      <c r="A6022" s="2">
        <v>2016.0</v>
      </c>
      <c r="B6022" s="2" t="s">
        <v>21346</v>
      </c>
      <c r="C6022" s="2" t="s">
        <v>26052</v>
      </c>
      <c r="D6022" s="2" t="str">
        <f>"810-338-2216"</f>
        <v>810-338-2216</v>
      </c>
      <c r="E6022" s="2" t="s">
        <v>2572</v>
      </c>
      <c r="F6022" s="2" t="s">
        <v>11517</v>
      </c>
      <c r="G6022" s="2" t="str">
        <f>"SR-8279"</f>
        <v>SR-8279</v>
      </c>
      <c r="H6022" s="2" t="s">
        <v>26053</v>
      </c>
      <c r="I6022" s="2" t="s">
        <v>21349</v>
      </c>
      <c r="K6022" s="2" t="s">
        <v>21350</v>
      </c>
      <c r="L6022" s="2" t="s">
        <v>29</v>
      </c>
      <c r="M6022" s="2">
        <v>48412.0</v>
      </c>
      <c r="N6022" s="2" t="s">
        <v>21</v>
      </c>
    </row>
    <row r="6023" ht="15.75" customHeight="1">
      <c r="A6023" s="2">
        <v>2016.0</v>
      </c>
      <c r="B6023" s="2" t="s">
        <v>26054</v>
      </c>
      <c r="C6023" s="2" t="s">
        <v>26054</v>
      </c>
      <c r="D6023" s="2" t="str">
        <f>"5412608792"</f>
        <v>5412608792</v>
      </c>
      <c r="E6023" s="2" t="s">
        <v>534</v>
      </c>
      <c r="F6023" s="2" t="s">
        <v>18752</v>
      </c>
      <c r="G6023" s="2" t="str">
        <f>"SR-8276"</f>
        <v>SR-8276</v>
      </c>
      <c r="H6023" s="2" t="s">
        <v>26055</v>
      </c>
      <c r="I6023" s="2" t="s">
        <v>18754</v>
      </c>
      <c r="K6023" s="2" t="s">
        <v>18755</v>
      </c>
      <c r="L6023" s="2" t="s">
        <v>2389</v>
      </c>
      <c r="M6023" s="2">
        <v>97458.0</v>
      </c>
      <c r="N6023" s="2" t="s">
        <v>21</v>
      </c>
    </row>
    <row r="6024" ht="15.75" customHeight="1">
      <c r="A6024" s="2">
        <v>2016.0</v>
      </c>
      <c r="B6024" s="2" t="s">
        <v>26056</v>
      </c>
      <c r="C6024" s="2" t="s">
        <v>26057</v>
      </c>
      <c r="D6024" s="2" t="str">
        <f>"3302179933"</f>
        <v>3302179933</v>
      </c>
      <c r="E6024" s="2" t="s">
        <v>23284</v>
      </c>
      <c r="F6024" s="2" t="s">
        <v>24578</v>
      </c>
      <c r="G6024" s="2" t="str">
        <f>"SR-8282"</f>
        <v>SR-8282</v>
      </c>
      <c r="H6024" s="2" t="s">
        <v>26058</v>
      </c>
      <c r="I6024" s="2" t="s">
        <v>26059</v>
      </c>
      <c r="K6024" s="2" t="s">
        <v>26060</v>
      </c>
      <c r="L6024" s="2" t="s">
        <v>344</v>
      </c>
      <c r="M6024" s="2">
        <v>44067.0</v>
      </c>
      <c r="N6024" s="2" t="s">
        <v>21</v>
      </c>
    </row>
    <row r="6025" ht="15.75" customHeight="1">
      <c r="A6025" s="2">
        <v>2016.0</v>
      </c>
      <c r="B6025" s="2" t="s">
        <v>26061</v>
      </c>
      <c r="D6025" s="2" t="str">
        <f t="shared" ref="D6025:D6026" si="110">""</f>
        <v/>
      </c>
      <c r="E6025" s="2" t="s">
        <v>1803</v>
      </c>
      <c r="F6025" s="2" t="s">
        <v>51</v>
      </c>
      <c r="G6025" s="2" t="str">
        <f>"SR-8246"</f>
        <v>SR-8246</v>
      </c>
      <c r="H6025" s="2" t="s">
        <v>26062</v>
      </c>
    </row>
    <row r="6026" ht="15.75" customHeight="1">
      <c r="A6026" s="2">
        <v>2016.0</v>
      </c>
      <c r="B6026" s="2" t="s">
        <v>26063</v>
      </c>
      <c r="D6026" s="2" t="str">
        <f t="shared" si="110"/>
        <v/>
      </c>
      <c r="E6026" s="2" t="s">
        <v>26064</v>
      </c>
      <c r="F6026" s="2" t="s">
        <v>16086</v>
      </c>
      <c r="G6026" s="2" t="str">
        <f>"SR-7892"</f>
        <v>SR-7892</v>
      </c>
      <c r="H6026" s="2" t="s">
        <v>26065</v>
      </c>
      <c r="N6026" s="2" t="s">
        <v>21</v>
      </c>
    </row>
    <row r="6027" ht="15.75" customHeight="1">
      <c r="A6027" s="2">
        <v>2016.0</v>
      </c>
      <c r="B6027" s="2" t="s">
        <v>26066</v>
      </c>
      <c r="C6027" s="2" t="s">
        <v>26066</v>
      </c>
      <c r="D6027" s="2" t="str">
        <f>"+82 1033213201"</f>
        <v>+82 1033213201</v>
      </c>
      <c r="E6027" s="2" t="s">
        <v>26067</v>
      </c>
      <c r="F6027" s="2" t="s">
        <v>20015</v>
      </c>
      <c r="G6027" s="2" t="str">
        <f>"SR-8289"</f>
        <v>SR-8289</v>
      </c>
      <c r="H6027" s="2" t="s">
        <v>26068</v>
      </c>
      <c r="I6027" s="2" t="s">
        <v>26069</v>
      </c>
      <c r="K6027" s="2" t="s">
        <v>26070</v>
      </c>
      <c r="L6027" s="2" t="s">
        <v>26071</v>
      </c>
      <c r="N6027" s="2" t="s">
        <v>1626</v>
      </c>
    </row>
    <row r="6028" ht="15.75" customHeight="1">
      <c r="A6028" s="2">
        <v>2016.0</v>
      </c>
      <c r="B6028" s="2" t="s">
        <v>26072</v>
      </c>
      <c r="C6028" s="2" t="s">
        <v>26073</v>
      </c>
      <c r="D6028" s="2" t="str">
        <f>"(540)539-4082"</f>
        <v>(540)539-4082</v>
      </c>
      <c r="E6028" s="2" t="s">
        <v>137</v>
      </c>
      <c r="F6028" s="2" t="s">
        <v>8446</v>
      </c>
      <c r="G6028" s="2" t="str">
        <f>"SR-8256"</f>
        <v>SR-8256</v>
      </c>
      <c r="H6028" s="2" t="s">
        <v>26074</v>
      </c>
      <c r="I6028" s="2" t="s">
        <v>26075</v>
      </c>
      <c r="K6028" s="2" t="s">
        <v>18209</v>
      </c>
      <c r="L6028" s="2" t="s">
        <v>165</v>
      </c>
      <c r="M6028" s="2">
        <v>22655.0</v>
      </c>
      <c r="N6028" s="2" t="s">
        <v>21</v>
      </c>
    </row>
    <row r="6029" ht="15.75" customHeight="1">
      <c r="A6029" s="2">
        <v>2016.0</v>
      </c>
      <c r="B6029" s="2" t="s">
        <v>26076</v>
      </c>
      <c r="C6029" s="2" t="s">
        <v>26076</v>
      </c>
      <c r="D6029" s="2" t="str">
        <f>"7855610099"</f>
        <v>7855610099</v>
      </c>
      <c r="E6029" s="2" t="s">
        <v>938</v>
      </c>
      <c r="F6029" s="2" t="s">
        <v>26077</v>
      </c>
      <c r="G6029" s="2" t="str">
        <f>"SR-8096"</f>
        <v>SR-8096</v>
      </c>
      <c r="H6029" s="2" t="s">
        <v>26078</v>
      </c>
      <c r="I6029" s="2" t="s">
        <v>26079</v>
      </c>
      <c r="K6029" s="2" t="s">
        <v>4258</v>
      </c>
      <c r="L6029" s="2" t="s">
        <v>272</v>
      </c>
      <c r="M6029" s="2">
        <v>66838.0</v>
      </c>
      <c r="N6029" s="2" t="s">
        <v>21</v>
      </c>
    </row>
    <row r="6030" ht="15.75" customHeight="1">
      <c r="A6030" s="2">
        <v>2016.0</v>
      </c>
      <c r="B6030" s="2" t="s">
        <v>26080</v>
      </c>
      <c r="C6030" s="2" t="s">
        <v>26081</v>
      </c>
      <c r="D6030" s="2" t="str">
        <f>"7706879692"</f>
        <v>7706879692</v>
      </c>
      <c r="E6030" s="2" t="s">
        <v>26082</v>
      </c>
      <c r="F6030" s="2" t="s">
        <v>26083</v>
      </c>
      <c r="G6030" s="2" t="str">
        <f>"SR-8294"</f>
        <v>SR-8294</v>
      </c>
      <c r="H6030" s="2" t="s">
        <v>26084</v>
      </c>
      <c r="I6030" s="2" t="s">
        <v>26085</v>
      </c>
      <c r="K6030" s="2" t="s">
        <v>11963</v>
      </c>
      <c r="L6030" s="2" t="s">
        <v>200</v>
      </c>
      <c r="M6030" s="2">
        <v>30114.0</v>
      </c>
      <c r="N6030" s="2" t="s">
        <v>21</v>
      </c>
    </row>
    <row r="6031" ht="15.75" customHeight="1">
      <c r="A6031" s="2">
        <v>2016.0</v>
      </c>
      <c r="B6031" s="2" t="s">
        <v>2878</v>
      </c>
      <c r="C6031" s="2" t="s">
        <v>26086</v>
      </c>
      <c r="D6031" s="2" t="str">
        <f>"7635049434"</f>
        <v>7635049434</v>
      </c>
      <c r="E6031" s="2" t="s">
        <v>26087</v>
      </c>
      <c r="F6031" s="2" t="s">
        <v>2880</v>
      </c>
      <c r="G6031" s="2" t="str">
        <f>"SR-8163"</f>
        <v>SR-8163</v>
      </c>
      <c r="H6031" s="2" t="s">
        <v>26088</v>
      </c>
      <c r="I6031" s="2" t="s">
        <v>16514</v>
      </c>
      <c r="K6031" s="2" t="s">
        <v>2883</v>
      </c>
      <c r="L6031" s="2" t="s">
        <v>62</v>
      </c>
      <c r="M6031" s="2">
        <v>55422.0</v>
      </c>
      <c r="N6031" s="2" t="s">
        <v>21</v>
      </c>
    </row>
    <row r="6032" ht="15.75" customHeight="1">
      <c r="A6032" s="2">
        <v>2016.0</v>
      </c>
      <c r="B6032" s="2" t="s">
        <v>26089</v>
      </c>
      <c r="C6032" s="2" t="s">
        <v>26090</v>
      </c>
      <c r="D6032" s="2" t="str">
        <f>"4322762804"</f>
        <v>4322762804</v>
      </c>
      <c r="E6032" s="2" t="s">
        <v>26091</v>
      </c>
      <c r="F6032" s="2" t="s">
        <v>26092</v>
      </c>
      <c r="G6032" s="2" t="str">
        <f>"SR-7840"</f>
        <v>SR-7840</v>
      </c>
      <c r="H6032" s="2" t="s">
        <v>26093</v>
      </c>
      <c r="I6032" s="2" t="s">
        <v>26094</v>
      </c>
      <c r="K6032" s="2" t="s">
        <v>286</v>
      </c>
      <c r="L6032" s="2" t="s">
        <v>172</v>
      </c>
      <c r="M6032" s="2">
        <v>79707.0</v>
      </c>
      <c r="N6032" s="2" t="s">
        <v>21</v>
      </c>
    </row>
    <row r="6033" ht="15.75" customHeight="1">
      <c r="A6033" s="2">
        <v>2016.0</v>
      </c>
      <c r="B6033" s="2" t="s">
        <v>26095</v>
      </c>
      <c r="C6033" s="2" t="s">
        <v>26096</v>
      </c>
      <c r="D6033" s="2" t="str">
        <f>"6207672636"</f>
        <v>6207672636</v>
      </c>
      <c r="E6033" s="2" t="s">
        <v>705</v>
      </c>
      <c r="F6033" s="2" t="s">
        <v>12419</v>
      </c>
      <c r="G6033" s="2" t="str">
        <f>"SR-8118"</f>
        <v>SR-8118</v>
      </c>
      <c r="H6033" s="2" t="s">
        <v>26097</v>
      </c>
      <c r="I6033" s="2" t="s">
        <v>26098</v>
      </c>
      <c r="K6033" s="2" t="s">
        <v>6149</v>
      </c>
      <c r="L6033" s="2" t="s">
        <v>272</v>
      </c>
      <c r="M6033" s="2">
        <v>66846.0</v>
      </c>
      <c r="N6033" s="2" t="s">
        <v>21</v>
      </c>
    </row>
    <row r="6034" ht="15.75" customHeight="1">
      <c r="A6034" s="2">
        <v>2016.0</v>
      </c>
      <c r="B6034" s="2" t="s">
        <v>26099</v>
      </c>
      <c r="C6034" s="2" t="s">
        <v>26099</v>
      </c>
      <c r="D6034" s="2" t="str">
        <f>"7855610622"</f>
        <v>7855610622</v>
      </c>
      <c r="E6034" s="2" t="s">
        <v>659</v>
      </c>
      <c r="F6034" s="2" t="s">
        <v>26100</v>
      </c>
      <c r="G6034" s="2" t="str">
        <f>"SR-8065"</f>
        <v>SR-8065</v>
      </c>
      <c r="H6034" s="2" t="s">
        <v>26101</v>
      </c>
      <c r="I6034" s="2" t="s">
        <v>26102</v>
      </c>
      <c r="K6034" s="2" t="s">
        <v>26103</v>
      </c>
      <c r="L6034" s="2" t="s">
        <v>272</v>
      </c>
      <c r="M6034" s="2">
        <v>66873.0</v>
      </c>
      <c r="N6034" s="2" t="s">
        <v>21</v>
      </c>
    </row>
    <row r="6035" ht="15.75" customHeight="1">
      <c r="A6035" s="2">
        <v>2016.0</v>
      </c>
      <c r="B6035" s="2" t="s">
        <v>23075</v>
      </c>
      <c r="C6035" s="2" t="s">
        <v>23076</v>
      </c>
      <c r="D6035" s="2" t="str">
        <f>"7079516543"</f>
        <v>7079516543</v>
      </c>
      <c r="E6035" s="2" t="s">
        <v>23077</v>
      </c>
      <c r="F6035" s="2" t="s">
        <v>2598</v>
      </c>
      <c r="G6035" s="2" t="str">
        <f>"SR-7107"</f>
        <v>SR-7107</v>
      </c>
      <c r="H6035" s="2" t="s">
        <v>23078</v>
      </c>
      <c r="I6035" s="2" t="s">
        <v>23079</v>
      </c>
      <c r="K6035" s="2" t="s">
        <v>16052</v>
      </c>
      <c r="L6035" s="2" t="s">
        <v>172</v>
      </c>
      <c r="M6035" s="2">
        <v>75494.0</v>
      </c>
      <c r="N6035" s="2" t="s">
        <v>21</v>
      </c>
    </row>
    <row r="6036" ht="15.75" customHeight="1">
      <c r="A6036" s="2">
        <v>2016.0</v>
      </c>
      <c r="B6036" s="2" t="s">
        <v>26104</v>
      </c>
      <c r="C6036" s="2" t="s">
        <v>26105</v>
      </c>
      <c r="D6036" s="2" t="str">
        <f>"432-230-7364"</f>
        <v>432-230-7364</v>
      </c>
      <c r="E6036" s="2" t="s">
        <v>19160</v>
      </c>
      <c r="F6036" s="2" t="s">
        <v>472</v>
      </c>
      <c r="G6036" s="2" t="str">
        <f>"SR-8295"</f>
        <v>SR-8295</v>
      </c>
      <c r="H6036" s="2" t="s">
        <v>26106</v>
      </c>
      <c r="I6036" s="2" t="s">
        <v>26107</v>
      </c>
      <c r="K6036" s="2" t="s">
        <v>286</v>
      </c>
      <c r="L6036" s="2" t="s">
        <v>172</v>
      </c>
      <c r="M6036" s="2">
        <v>79707.0</v>
      </c>
      <c r="N6036" s="2" t="s">
        <v>21</v>
      </c>
    </row>
    <row r="6037" ht="15.75" customHeight="1">
      <c r="A6037" s="2">
        <v>2016.0</v>
      </c>
      <c r="B6037" s="2" t="s">
        <v>26108</v>
      </c>
      <c r="D6037" s="2" t="str">
        <f>""</f>
        <v/>
      </c>
      <c r="E6037" s="2" t="s">
        <v>3693</v>
      </c>
      <c r="F6037" s="2" t="s">
        <v>26109</v>
      </c>
      <c r="G6037" s="2" t="str">
        <f>"SR-8247"</f>
        <v>SR-8247</v>
      </c>
      <c r="H6037" s="2" t="s">
        <v>26110</v>
      </c>
    </row>
    <row r="6038" ht="15.75" customHeight="1">
      <c r="A6038" s="2">
        <v>2016.0</v>
      </c>
      <c r="B6038" s="2" t="s">
        <v>26111</v>
      </c>
      <c r="C6038" s="2" t="s">
        <v>26112</v>
      </c>
      <c r="D6038" s="2" t="str">
        <f>"814-941-0418"</f>
        <v>814-941-0418</v>
      </c>
      <c r="E6038" s="2" t="s">
        <v>12166</v>
      </c>
      <c r="F6038" s="2" t="s">
        <v>26113</v>
      </c>
      <c r="G6038" s="2" t="str">
        <f>"SR-8298"</f>
        <v>SR-8298</v>
      </c>
      <c r="H6038" s="2" t="s">
        <v>26114</v>
      </c>
      <c r="I6038" s="2" t="s">
        <v>26115</v>
      </c>
      <c r="K6038" s="2" t="s">
        <v>26116</v>
      </c>
      <c r="L6038" s="2" t="s">
        <v>179</v>
      </c>
      <c r="M6038" s="2">
        <v>16601.0</v>
      </c>
      <c r="N6038" s="2" t="s">
        <v>21</v>
      </c>
    </row>
    <row r="6039" ht="15.75" customHeight="1">
      <c r="A6039" s="2">
        <v>2016.0</v>
      </c>
      <c r="B6039" s="2" t="s">
        <v>26117</v>
      </c>
      <c r="D6039" s="2" t="str">
        <f>""</f>
        <v/>
      </c>
      <c r="E6039" s="2" t="s">
        <v>471</v>
      </c>
      <c r="F6039" s="2" t="s">
        <v>22708</v>
      </c>
      <c r="G6039" s="2" t="str">
        <f>"SR-8190"</f>
        <v>SR-8190</v>
      </c>
      <c r="H6039" s="2" t="s">
        <v>26118</v>
      </c>
    </row>
    <row r="6040" ht="15.75" customHeight="1">
      <c r="A6040" s="2">
        <v>2016.0</v>
      </c>
      <c r="B6040" s="2" t="s">
        <v>26119</v>
      </c>
      <c r="C6040" s="2" t="s">
        <v>26120</v>
      </c>
      <c r="D6040" s="2" t="str">
        <f>"423-364-3722"</f>
        <v>423-364-3722</v>
      </c>
      <c r="E6040" s="2" t="s">
        <v>7145</v>
      </c>
      <c r="F6040" s="2" t="s">
        <v>26121</v>
      </c>
      <c r="G6040" s="2" t="str">
        <f>"SR-8304"</f>
        <v>SR-8304</v>
      </c>
      <c r="H6040" s="2" t="s">
        <v>26122</v>
      </c>
      <c r="I6040" s="2" t="s">
        <v>26123</v>
      </c>
      <c r="K6040" s="2" t="s">
        <v>8231</v>
      </c>
      <c r="L6040" s="2" t="s">
        <v>279</v>
      </c>
      <c r="M6040" s="2">
        <v>37322.0</v>
      </c>
      <c r="N6040" s="2" t="s">
        <v>21</v>
      </c>
    </row>
    <row r="6041" ht="15.75" customHeight="1">
      <c r="A6041" s="2">
        <v>2016.0</v>
      </c>
      <c r="B6041" s="2" t="s">
        <v>8846</v>
      </c>
      <c r="C6041" s="2" t="s">
        <v>8846</v>
      </c>
      <c r="D6041" s="2" t="str">
        <f>"847-915-1576"</f>
        <v>847-915-1576</v>
      </c>
      <c r="E6041" s="2" t="s">
        <v>239</v>
      </c>
      <c r="F6041" s="2" t="s">
        <v>8847</v>
      </c>
      <c r="G6041" s="2" t="str">
        <f>"SR-2430"</f>
        <v>SR-2430</v>
      </c>
      <c r="H6041" s="2" t="s">
        <v>8848</v>
      </c>
      <c r="I6041" s="2" t="s">
        <v>8849</v>
      </c>
      <c r="K6041" s="2" t="s">
        <v>5946</v>
      </c>
      <c r="L6041" s="2" t="s">
        <v>422</v>
      </c>
      <c r="M6041" s="2">
        <v>85750.0</v>
      </c>
      <c r="N6041" s="2" t="s">
        <v>21</v>
      </c>
    </row>
    <row r="6042" ht="15.75" customHeight="1">
      <c r="A6042" s="2">
        <v>2016.0</v>
      </c>
      <c r="B6042" s="2" t="s">
        <v>26124</v>
      </c>
      <c r="C6042" s="2" t="s">
        <v>26124</v>
      </c>
      <c r="D6042" s="2" t="str">
        <f>"7632187180"</f>
        <v>7632187180</v>
      </c>
      <c r="E6042" s="2" t="s">
        <v>2598</v>
      </c>
      <c r="F6042" s="2" t="s">
        <v>19752</v>
      </c>
      <c r="G6042" s="2" t="str">
        <f>"SR-7864"</f>
        <v>SR-7864</v>
      </c>
      <c r="H6042" s="2" t="s">
        <v>26125</v>
      </c>
      <c r="I6042" s="2" t="s">
        <v>26126</v>
      </c>
      <c r="K6042" s="2" t="s">
        <v>3420</v>
      </c>
      <c r="L6042" s="2" t="s">
        <v>62</v>
      </c>
      <c r="M6042" s="2">
        <v>55008.0</v>
      </c>
      <c r="N6042" s="2" t="s">
        <v>21</v>
      </c>
    </row>
    <row r="6043" ht="15.75" customHeight="1">
      <c r="A6043" s="2">
        <v>2016.0</v>
      </c>
      <c r="B6043" s="2" t="s">
        <v>8846</v>
      </c>
      <c r="C6043" s="2" t="s">
        <v>26127</v>
      </c>
      <c r="D6043" s="2" t="str">
        <f>"5209079946"</f>
        <v>5209079946</v>
      </c>
      <c r="E6043" s="2" t="s">
        <v>26128</v>
      </c>
      <c r="F6043" s="2" t="s">
        <v>8847</v>
      </c>
      <c r="G6043" s="2" t="str">
        <f>"SR-7175"</f>
        <v>SR-7175</v>
      </c>
      <c r="H6043" s="2" t="s">
        <v>26129</v>
      </c>
      <c r="I6043" s="2" t="s">
        <v>8849</v>
      </c>
      <c r="K6043" s="2" t="s">
        <v>5946</v>
      </c>
      <c r="L6043" s="2" t="s">
        <v>422</v>
      </c>
      <c r="M6043" s="2">
        <v>85750.0</v>
      </c>
      <c r="N6043" s="2" t="s">
        <v>21</v>
      </c>
    </row>
    <row r="6044" ht="15.75" customHeight="1">
      <c r="A6044" s="2">
        <v>2016.0</v>
      </c>
      <c r="B6044" s="2" t="s">
        <v>26130</v>
      </c>
      <c r="C6044" s="2" t="s">
        <v>26131</v>
      </c>
      <c r="D6044" s="2" t="str">
        <f>"727-581-7646"</f>
        <v>727-581-7646</v>
      </c>
      <c r="E6044" s="2" t="s">
        <v>926</v>
      </c>
      <c r="F6044" s="2" t="s">
        <v>26132</v>
      </c>
      <c r="G6044" s="2" t="str">
        <f>"SR-8301"</f>
        <v>SR-8301</v>
      </c>
      <c r="H6044" s="2" t="s">
        <v>26133</v>
      </c>
      <c r="I6044" s="2" t="s">
        <v>26134</v>
      </c>
      <c r="K6044" s="2" t="s">
        <v>414</v>
      </c>
      <c r="L6044" s="2" t="s">
        <v>208</v>
      </c>
      <c r="M6044" s="2">
        <v>33770.0</v>
      </c>
      <c r="N6044" s="2" t="s">
        <v>21</v>
      </c>
    </row>
    <row r="6045" ht="15.75" customHeight="1">
      <c r="A6045" s="2">
        <v>2016.0</v>
      </c>
      <c r="B6045" s="2" t="s">
        <v>26135</v>
      </c>
      <c r="C6045" s="2" t="s">
        <v>26135</v>
      </c>
      <c r="D6045" s="2" t="str">
        <f>"(864) 704-9202"</f>
        <v>(864) 704-9202</v>
      </c>
      <c r="E6045" s="2" t="s">
        <v>26136</v>
      </c>
      <c r="F6045" s="2" t="s">
        <v>10603</v>
      </c>
      <c r="G6045" s="2" t="str">
        <f>"SR-8271"</f>
        <v>SR-8271</v>
      </c>
      <c r="H6045" s="2" t="s">
        <v>26137</v>
      </c>
      <c r="I6045" s="2" t="s">
        <v>26138</v>
      </c>
      <c r="K6045" s="2" t="s">
        <v>3385</v>
      </c>
      <c r="L6045" s="2" t="s">
        <v>55</v>
      </c>
      <c r="M6045" s="2">
        <v>29651.0</v>
      </c>
      <c r="N6045" s="2" t="s">
        <v>21</v>
      </c>
    </row>
    <row r="6046" ht="15.75" customHeight="1">
      <c r="A6046" s="2">
        <v>2016.0</v>
      </c>
      <c r="B6046" s="2" t="s">
        <v>26139</v>
      </c>
      <c r="C6046" s="2" t="s">
        <v>26139</v>
      </c>
      <c r="D6046" s="2" t="str">
        <f>"864 907-1897"</f>
        <v>864 907-1897</v>
      </c>
      <c r="E6046" s="2" t="s">
        <v>2378</v>
      </c>
      <c r="F6046" s="2" t="s">
        <v>984</v>
      </c>
      <c r="G6046" s="2" t="str">
        <f>"SR-8270"</f>
        <v>SR-8270</v>
      </c>
      <c r="H6046" s="2" t="s">
        <v>11717</v>
      </c>
      <c r="I6046" s="2" t="s">
        <v>26140</v>
      </c>
      <c r="K6046" s="2" t="s">
        <v>3385</v>
      </c>
      <c r="L6046" s="2" t="s">
        <v>55</v>
      </c>
      <c r="M6046" s="2">
        <v>29651.0</v>
      </c>
      <c r="N6046" s="2" t="s">
        <v>21</v>
      </c>
    </row>
    <row r="6047" ht="15.75" customHeight="1">
      <c r="A6047" s="2">
        <v>2016.0</v>
      </c>
      <c r="B6047" s="2" t="s">
        <v>26141</v>
      </c>
      <c r="C6047" s="2" t="s">
        <v>26141</v>
      </c>
      <c r="D6047" s="2" t="str">
        <f>"617-594-0325"</f>
        <v>617-594-0325</v>
      </c>
      <c r="E6047" s="2" t="s">
        <v>26142</v>
      </c>
      <c r="F6047" s="2" t="s">
        <v>4968</v>
      </c>
      <c r="G6047" s="2" t="str">
        <f>"SR-7519"</f>
        <v>SR-7519</v>
      </c>
      <c r="H6047" s="2" t="s">
        <v>26143</v>
      </c>
      <c r="I6047" s="2" t="s">
        <v>26144</v>
      </c>
      <c r="K6047" s="2" t="s">
        <v>22425</v>
      </c>
      <c r="L6047" s="2" t="s">
        <v>208</v>
      </c>
      <c r="M6047" s="2">
        <v>32514.0</v>
      </c>
      <c r="N6047" s="2" t="s">
        <v>21</v>
      </c>
    </row>
    <row r="6048" ht="15.75" customHeight="1">
      <c r="A6048" s="2">
        <v>2016.0</v>
      </c>
      <c r="B6048" s="2" t="s">
        <v>26145</v>
      </c>
      <c r="C6048" s="2" t="s">
        <v>26145</v>
      </c>
      <c r="D6048" s="2" t="str">
        <f>"7275012768"</f>
        <v>7275012768</v>
      </c>
      <c r="E6048" s="2" t="s">
        <v>5760</v>
      </c>
      <c r="F6048" s="2" t="s">
        <v>9417</v>
      </c>
      <c r="G6048" s="2" t="str">
        <f>"SR-8113"</f>
        <v>SR-8113</v>
      </c>
      <c r="H6048" s="2" t="s">
        <v>26146</v>
      </c>
      <c r="I6048" s="2" t="s">
        <v>9419</v>
      </c>
      <c r="K6048" s="2" t="s">
        <v>4042</v>
      </c>
      <c r="L6048" s="2" t="s">
        <v>208</v>
      </c>
      <c r="M6048" s="2">
        <v>33776.0</v>
      </c>
      <c r="N6048" s="2" t="s">
        <v>21</v>
      </c>
    </row>
    <row r="6049" ht="15.75" customHeight="1">
      <c r="A6049" s="2">
        <v>2016.0</v>
      </c>
      <c r="B6049" s="2" t="s">
        <v>12453</v>
      </c>
      <c r="C6049" s="2" t="s">
        <v>12453</v>
      </c>
      <c r="D6049" s="2" t="str">
        <f>"607-844-8835"</f>
        <v>607-844-8835</v>
      </c>
      <c r="E6049" s="2" t="s">
        <v>282</v>
      </c>
      <c r="F6049" s="2" t="s">
        <v>12454</v>
      </c>
      <c r="G6049" s="2" t="str">
        <f>"SR-8305"</f>
        <v>SR-8305</v>
      </c>
      <c r="H6049" s="2" t="s">
        <v>26147</v>
      </c>
      <c r="I6049" s="2" t="s">
        <v>12456</v>
      </c>
      <c r="K6049" s="2" t="s">
        <v>12457</v>
      </c>
      <c r="L6049" s="2" t="s">
        <v>142</v>
      </c>
      <c r="M6049" s="2">
        <v>13068.0</v>
      </c>
      <c r="N6049" s="2" t="s">
        <v>21</v>
      </c>
    </row>
    <row r="6050" ht="15.75" customHeight="1">
      <c r="A6050" s="2">
        <v>2016.0</v>
      </c>
      <c r="B6050" s="2" t="s">
        <v>26148</v>
      </c>
      <c r="C6050" s="2" t="s">
        <v>26149</v>
      </c>
      <c r="D6050" s="2" t="str">
        <f>"303-703-4515"</f>
        <v>303-703-4515</v>
      </c>
      <c r="E6050" s="2" t="s">
        <v>26150</v>
      </c>
      <c r="F6050" s="2" t="s">
        <v>962</v>
      </c>
      <c r="G6050" s="2" t="str">
        <f>"SR-7844"</f>
        <v>SR-7844</v>
      </c>
      <c r="H6050" s="2" t="s">
        <v>26151</v>
      </c>
      <c r="I6050" s="2" t="s">
        <v>5547</v>
      </c>
      <c r="K6050" s="2" t="s">
        <v>992</v>
      </c>
      <c r="L6050" s="2" t="s">
        <v>157</v>
      </c>
      <c r="M6050" s="2">
        <v>80122.0</v>
      </c>
      <c r="N6050" s="2" t="s">
        <v>21</v>
      </c>
    </row>
    <row r="6051" ht="15.75" customHeight="1">
      <c r="A6051" s="2">
        <v>2016.0</v>
      </c>
      <c r="B6051" s="2" t="s">
        <v>22299</v>
      </c>
      <c r="C6051" s="2" t="s">
        <v>22300</v>
      </c>
      <c r="D6051" s="2" t="str">
        <f>"(912)658-0958"</f>
        <v>(912)658-0958</v>
      </c>
      <c r="E6051" s="2" t="s">
        <v>22301</v>
      </c>
      <c r="F6051" s="2" t="s">
        <v>13666</v>
      </c>
      <c r="G6051" s="2" t="str">
        <f>"SR-5413"</f>
        <v>SR-5413</v>
      </c>
      <c r="H6051" s="2" t="s">
        <v>22302</v>
      </c>
      <c r="I6051" s="2" t="s">
        <v>22303</v>
      </c>
      <c r="K6051" s="2" t="s">
        <v>22304</v>
      </c>
      <c r="L6051" s="2" t="s">
        <v>200</v>
      </c>
      <c r="M6051" s="2">
        <v>31302.0</v>
      </c>
      <c r="N6051" s="2" t="s">
        <v>21</v>
      </c>
    </row>
    <row r="6052" ht="15.75" customHeight="1">
      <c r="A6052" s="2">
        <v>2016.0</v>
      </c>
      <c r="B6052" s="2" t="s">
        <v>22426</v>
      </c>
      <c r="C6052" s="2" t="s">
        <v>22427</v>
      </c>
      <c r="D6052" s="2" t="str">
        <f>"931-273-1141"</f>
        <v>931-273-1141</v>
      </c>
      <c r="E6052" s="2" t="s">
        <v>225</v>
      </c>
      <c r="F6052" s="2" t="s">
        <v>22428</v>
      </c>
      <c r="G6052" s="2" t="str">
        <f>"SR-6794"</f>
        <v>SR-6794</v>
      </c>
      <c r="H6052" s="2" t="s">
        <v>22429</v>
      </c>
      <c r="I6052" s="2" t="s">
        <v>22430</v>
      </c>
      <c r="K6052" s="2" t="s">
        <v>8351</v>
      </c>
      <c r="L6052" s="2" t="s">
        <v>279</v>
      </c>
      <c r="M6052" s="2">
        <v>37388.0</v>
      </c>
      <c r="N6052" s="2" t="s">
        <v>21</v>
      </c>
    </row>
    <row r="6053" ht="15.75" customHeight="1">
      <c r="A6053" s="2">
        <v>2016.0</v>
      </c>
      <c r="B6053" s="2" t="s">
        <v>26152</v>
      </c>
      <c r="C6053" s="2" t="s">
        <v>26152</v>
      </c>
      <c r="D6053" s="2" t="str">
        <f>"3167309367"</f>
        <v>3167309367</v>
      </c>
      <c r="E6053" s="2" t="s">
        <v>261</v>
      </c>
      <c r="F6053" s="2" t="s">
        <v>17577</v>
      </c>
      <c r="G6053" s="2" t="str">
        <f>"SR-8026"</f>
        <v>SR-8026</v>
      </c>
      <c r="H6053" s="2" t="s">
        <v>17578</v>
      </c>
      <c r="I6053" s="2" t="s">
        <v>26153</v>
      </c>
      <c r="K6053" s="2" t="s">
        <v>6543</v>
      </c>
      <c r="L6053" s="2" t="s">
        <v>272</v>
      </c>
      <c r="M6053" s="2">
        <v>67013.0</v>
      </c>
      <c r="N6053" s="2" t="s">
        <v>21</v>
      </c>
    </row>
    <row r="6054" ht="15.75" customHeight="1">
      <c r="A6054" s="2">
        <v>2016.0</v>
      </c>
      <c r="B6054" s="2" t="s">
        <v>26154</v>
      </c>
      <c r="C6054" s="2" t="s">
        <v>26155</v>
      </c>
      <c r="D6054" s="2" t="str">
        <f>"9544483576"</f>
        <v>9544483576</v>
      </c>
      <c r="E6054" s="2" t="s">
        <v>250</v>
      </c>
      <c r="F6054" s="2" t="s">
        <v>10492</v>
      </c>
      <c r="G6054" s="2" t="str">
        <f>"SR-7460"</f>
        <v>SR-7460</v>
      </c>
      <c r="H6054" s="2" t="s">
        <v>26156</v>
      </c>
      <c r="I6054" s="2" t="s">
        <v>26157</v>
      </c>
      <c r="K6054" s="2" t="s">
        <v>19644</v>
      </c>
      <c r="L6054" s="2" t="s">
        <v>208</v>
      </c>
      <c r="M6054" s="2">
        <v>33317.0</v>
      </c>
      <c r="N6054" s="2" t="s">
        <v>21</v>
      </c>
    </row>
    <row r="6055" ht="15.75" customHeight="1">
      <c r="A6055" s="2">
        <v>2016.0</v>
      </c>
      <c r="B6055" s="2" t="s">
        <v>26158</v>
      </c>
      <c r="C6055" s="2" t="s">
        <v>26159</v>
      </c>
      <c r="D6055" s="2" t="str">
        <f>"317-679-9407"</f>
        <v>317-679-9407</v>
      </c>
      <c r="E6055" s="2" t="s">
        <v>1450</v>
      </c>
      <c r="F6055" s="2" t="s">
        <v>26160</v>
      </c>
      <c r="G6055" s="2" t="str">
        <f>"SR-8316"</f>
        <v>SR-8316</v>
      </c>
      <c r="H6055" s="2" t="s">
        <v>26161</v>
      </c>
      <c r="I6055" s="2" t="s">
        <v>26162</v>
      </c>
      <c r="K6055" s="2" t="s">
        <v>2674</v>
      </c>
      <c r="L6055" s="2" t="s">
        <v>149</v>
      </c>
      <c r="M6055" s="2">
        <v>46142.0</v>
      </c>
      <c r="N6055" s="2" t="s">
        <v>21</v>
      </c>
    </row>
    <row r="6056" ht="15.75" customHeight="1">
      <c r="A6056" s="2">
        <v>2016.0</v>
      </c>
      <c r="B6056" s="2" t="s">
        <v>26163</v>
      </c>
      <c r="C6056" s="2" t="s">
        <v>26164</v>
      </c>
      <c r="D6056" s="2" t="str">
        <f>"406-256-2360"</f>
        <v>406-256-2360</v>
      </c>
      <c r="E6056" s="2" t="s">
        <v>26165</v>
      </c>
      <c r="F6056" s="2" t="s">
        <v>26166</v>
      </c>
      <c r="G6056" s="2" t="str">
        <f>"SR-8306"</f>
        <v>SR-8306</v>
      </c>
      <c r="H6056" s="2" t="s">
        <v>26167</v>
      </c>
      <c r="I6056" s="2" t="s">
        <v>26168</v>
      </c>
      <c r="K6056" s="2" t="s">
        <v>20109</v>
      </c>
      <c r="L6056" s="2" t="s">
        <v>2696</v>
      </c>
      <c r="M6056" s="2">
        <v>59066.0</v>
      </c>
      <c r="N6056" s="2" t="s">
        <v>21</v>
      </c>
    </row>
    <row r="6057" ht="15.75" customHeight="1">
      <c r="A6057" s="2">
        <v>2016.0</v>
      </c>
      <c r="B6057" s="2" t="s">
        <v>19904</v>
      </c>
      <c r="C6057" s="2" t="s">
        <v>26169</v>
      </c>
      <c r="D6057" s="2" t="str">
        <f>"2085594007"</f>
        <v>2085594007</v>
      </c>
      <c r="E6057" s="2" t="s">
        <v>6202</v>
      </c>
      <c r="F6057" s="2" t="s">
        <v>5911</v>
      </c>
      <c r="G6057" s="2" t="str">
        <f>"SR-7912"</f>
        <v>SR-7912</v>
      </c>
      <c r="H6057" s="2" t="s">
        <v>26170</v>
      </c>
      <c r="I6057" s="2" t="s">
        <v>26171</v>
      </c>
      <c r="K6057" s="2" t="s">
        <v>10703</v>
      </c>
      <c r="L6057" s="2" t="s">
        <v>2613</v>
      </c>
      <c r="M6057" s="2">
        <v>83686.0</v>
      </c>
      <c r="N6057" s="2" t="s">
        <v>21</v>
      </c>
    </row>
    <row r="6058" ht="15.75" customHeight="1">
      <c r="A6058" s="2">
        <v>2016.0</v>
      </c>
      <c r="B6058" s="2" t="s">
        <v>19904</v>
      </c>
      <c r="C6058" s="2" t="s">
        <v>19904</v>
      </c>
      <c r="D6058" s="2" t="str">
        <f>"208-559-4007"</f>
        <v>208-559-4007</v>
      </c>
      <c r="E6058" s="2" t="s">
        <v>26172</v>
      </c>
      <c r="F6058" s="2" t="s">
        <v>5911</v>
      </c>
      <c r="G6058" s="2" t="str">
        <f>"SR-7913"</f>
        <v>SR-7913</v>
      </c>
      <c r="H6058" s="2" t="s">
        <v>26173</v>
      </c>
      <c r="I6058" s="2" t="s">
        <v>26174</v>
      </c>
      <c r="K6058" s="2" t="s">
        <v>10703</v>
      </c>
      <c r="L6058" s="2" t="s">
        <v>2613</v>
      </c>
      <c r="M6058" s="2">
        <v>83686.0</v>
      </c>
      <c r="N6058" s="2" t="s">
        <v>21</v>
      </c>
    </row>
    <row r="6059" ht="15.75" customHeight="1">
      <c r="A6059" s="2">
        <v>2016.0</v>
      </c>
      <c r="B6059" s="2" t="s">
        <v>26175</v>
      </c>
      <c r="C6059" s="2" t="s">
        <v>26176</v>
      </c>
      <c r="D6059" s="2" t="str">
        <f>"979-436-3966"</f>
        <v>979-436-3966</v>
      </c>
      <c r="E6059" s="2" t="s">
        <v>684</v>
      </c>
      <c r="F6059" s="2" t="s">
        <v>6779</v>
      </c>
      <c r="G6059" s="2" t="str">
        <f>"SR-8287"</f>
        <v>SR-8287</v>
      </c>
      <c r="H6059" s="2" t="s">
        <v>26177</v>
      </c>
      <c r="I6059" s="2" t="s">
        <v>26178</v>
      </c>
      <c r="K6059" s="2" t="s">
        <v>2969</v>
      </c>
      <c r="L6059" s="2" t="s">
        <v>172</v>
      </c>
      <c r="M6059" s="2">
        <v>77845.0</v>
      </c>
      <c r="N6059" s="2" t="s">
        <v>21</v>
      </c>
    </row>
    <row r="6060" ht="15.75" customHeight="1">
      <c r="A6060" s="2">
        <v>2016.0</v>
      </c>
      <c r="B6060" s="2" t="s">
        <v>26179</v>
      </c>
      <c r="C6060" s="2" t="s">
        <v>26180</v>
      </c>
      <c r="D6060" s="2" t="str">
        <f>"662-312-2282"</f>
        <v>662-312-2282</v>
      </c>
      <c r="E6060" s="2" t="s">
        <v>1094</v>
      </c>
      <c r="F6060" s="2" t="s">
        <v>2296</v>
      </c>
      <c r="G6060" s="2" t="str">
        <f>"SR-8314"</f>
        <v>SR-8314</v>
      </c>
      <c r="H6060" s="2" t="s">
        <v>26181</v>
      </c>
      <c r="I6060" s="2" t="s">
        <v>26182</v>
      </c>
      <c r="K6060" s="2" t="s">
        <v>1901</v>
      </c>
      <c r="L6060" s="2" t="s">
        <v>1722</v>
      </c>
      <c r="M6060" s="2">
        <v>39759.0</v>
      </c>
      <c r="N6060" s="2" t="s">
        <v>21</v>
      </c>
    </row>
    <row r="6061" ht="15.75" customHeight="1">
      <c r="A6061" s="2">
        <v>2016.0</v>
      </c>
      <c r="B6061" s="2" t="s">
        <v>16156</v>
      </c>
      <c r="C6061" s="2" t="s">
        <v>16157</v>
      </c>
      <c r="D6061" s="2" t="str">
        <f>"865-748-9231"</f>
        <v>865-748-9231</v>
      </c>
      <c r="E6061" s="2" t="s">
        <v>645</v>
      </c>
      <c r="F6061" s="2" t="s">
        <v>5962</v>
      </c>
      <c r="G6061" s="2" t="str">
        <f>"SR-4811"</f>
        <v>SR-4811</v>
      </c>
      <c r="H6061" s="2" t="s">
        <v>16158</v>
      </c>
      <c r="I6061" s="2" t="s">
        <v>16159</v>
      </c>
      <c r="K6061" s="2" t="s">
        <v>16160</v>
      </c>
      <c r="L6061" s="2" t="s">
        <v>279</v>
      </c>
      <c r="M6061" s="2">
        <v>37779.0</v>
      </c>
      <c r="N6061" s="2" t="s">
        <v>21</v>
      </c>
    </row>
    <row r="6062" ht="15.75" customHeight="1">
      <c r="A6062" s="2">
        <v>2016.0</v>
      </c>
      <c r="B6062" s="2" t="s">
        <v>26183</v>
      </c>
      <c r="C6062" s="2" t="s">
        <v>26184</v>
      </c>
      <c r="D6062" s="2" t="str">
        <f>"6207673492"</f>
        <v>6207673492</v>
      </c>
      <c r="E6062" s="2" t="s">
        <v>862</v>
      </c>
      <c r="F6062" s="2" t="s">
        <v>3144</v>
      </c>
      <c r="G6062" s="2" t="str">
        <f>"SR-8219"</f>
        <v>SR-8219</v>
      </c>
      <c r="H6062" s="2" t="s">
        <v>26185</v>
      </c>
      <c r="I6062" s="2" t="s">
        <v>26186</v>
      </c>
      <c r="K6062" s="2" t="s">
        <v>6149</v>
      </c>
      <c r="L6062" s="2" t="s">
        <v>272</v>
      </c>
      <c r="M6062" s="2">
        <v>66846.0</v>
      </c>
      <c r="N6062" s="2" t="s">
        <v>21</v>
      </c>
    </row>
    <row r="6063" ht="15.75" customHeight="1">
      <c r="A6063" s="2">
        <v>2016.0</v>
      </c>
      <c r="B6063" s="2" t="s">
        <v>25283</v>
      </c>
      <c r="C6063" s="2" t="s">
        <v>26187</v>
      </c>
      <c r="D6063" s="2" t="str">
        <f>"2144558043"</f>
        <v>2144558043</v>
      </c>
      <c r="E6063" s="2" t="s">
        <v>26188</v>
      </c>
      <c r="F6063" s="2" t="s">
        <v>25286</v>
      </c>
      <c r="G6063" s="2" t="str">
        <f>"SR-7539"</f>
        <v>SR-7539</v>
      </c>
      <c r="H6063" s="2" t="s">
        <v>26189</v>
      </c>
      <c r="I6063" s="2" t="s">
        <v>25288</v>
      </c>
      <c r="K6063" s="2" t="s">
        <v>25289</v>
      </c>
      <c r="L6063" s="2" t="s">
        <v>172</v>
      </c>
      <c r="M6063" s="2">
        <v>75035.0</v>
      </c>
      <c r="N6063" s="2" t="s">
        <v>21</v>
      </c>
    </row>
    <row r="6064" ht="15.75" customHeight="1">
      <c r="A6064" s="2">
        <v>2016.0</v>
      </c>
      <c r="B6064" s="2" t="s">
        <v>26190</v>
      </c>
      <c r="C6064" s="2" t="s">
        <v>26191</v>
      </c>
      <c r="D6064" s="2" t="str">
        <f>"4072524353"</f>
        <v>4072524353</v>
      </c>
      <c r="E6064" s="2" t="s">
        <v>72</v>
      </c>
      <c r="F6064" s="2" t="s">
        <v>26192</v>
      </c>
      <c r="G6064" s="2" t="str">
        <f>"SR-8272"</f>
        <v>SR-8272</v>
      </c>
      <c r="H6064" s="2" t="s">
        <v>26193</v>
      </c>
      <c r="I6064" s="2" t="s">
        <v>26194</v>
      </c>
      <c r="K6064" s="2" t="s">
        <v>4724</v>
      </c>
      <c r="L6064" s="2" t="s">
        <v>208</v>
      </c>
      <c r="M6064" s="2">
        <v>32832.0</v>
      </c>
      <c r="N6064" s="2" t="s">
        <v>21</v>
      </c>
    </row>
    <row r="6065" ht="15.75" customHeight="1">
      <c r="A6065" s="2">
        <v>2016.0</v>
      </c>
      <c r="B6065" s="2" t="s">
        <v>26195</v>
      </c>
      <c r="C6065" s="2" t="s">
        <v>26196</v>
      </c>
      <c r="D6065" s="2" t="str">
        <f>"4029442053"</f>
        <v>4029442053</v>
      </c>
      <c r="E6065" s="2" t="s">
        <v>2083</v>
      </c>
      <c r="F6065" s="2" t="s">
        <v>10595</v>
      </c>
      <c r="G6065" s="2" t="str">
        <f>"SR-7854"</f>
        <v>SR-7854</v>
      </c>
      <c r="H6065" s="2" t="s">
        <v>26197</v>
      </c>
      <c r="I6065" s="2" t="s">
        <v>26198</v>
      </c>
      <c r="K6065" s="2" t="s">
        <v>1154</v>
      </c>
      <c r="L6065" s="2" t="s">
        <v>757</v>
      </c>
      <c r="M6065" s="2">
        <v>68003.0</v>
      </c>
      <c r="N6065" s="2" t="s">
        <v>21</v>
      </c>
    </row>
    <row r="6066" ht="15.75" customHeight="1">
      <c r="A6066" s="2">
        <v>2016.0</v>
      </c>
      <c r="B6066" s="2" t="s">
        <v>26199</v>
      </c>
      <c r="C6066" s="2" t="s">
        <v>26200</v>
      </c>
      <c r="D6066" s="2" t="str">
        <f>"469-247-9447"</f>
        <v>469-247-9447</v>
      </c>
      <c r="E6066" s="2" t="s">
        <v>651</v>
      </c>
      <c r="F6066" s="2" t="s">
        <v>19165</v>
      </c>
      <c r="G6066" s="2" t="str">
        <f>"SR-8322"</f>
        <v>SR-8322</v>
      </c>
      <c r="H6066" s="2" t="s">
        <v>26201</v>
      </c>
      <c r="I6066" s="2" t="s">
        <v>26202</v>
      </c>
      <c r="K6066" s="2" t="s">
        <v>3144</v>
      </c>
      <c r="L6066" s="2" t="s">
        <v>172</v>
      </c>
      <c r="M6066" s="2">
        <v>75002.0</v>
      </c>
      <c r="N6066" s="2" t="s">
        <v>21</v>
      </c>
    </row>
    <row r="6067" ht="15.75" customHeight="1">
      <c r="A6067" s="2">
        <v>2016.0</v>
      </c>
      <c r="B6067" s="2" t="s">
        <v>26203</v>
      </c>
      <c r="C6067" s="2" t="s">
        <v>26204</v>
      </c>
      <c r="D6067" s="2" t="str">
        <f>"805-462-1836"</f>
        <v>805-462-1836</v>
      </c>
      <c r="E6067" s="2" t="s">
        <v>385</v>
      </c>
      <c r="F6067" s="2" t="s">
        <v>20622</v>
      </c>
      <c r="G6067" s="2" t="str">
        <f>"SR-8130"</f>
        <v>SR-8130</v>
      </c>
      <c r="H6067" s="2" t="s">
        <v>26205</v>
      </c>
      <c r="I6067" s="2" t="s">
        <v>26206</v>
      </c>
      <c r="K6067" s="2" t="s">
        <v>10498</v>
      </c>
      <c r="L6067" s="2" t="s">
        <v>222</v>
      </c>
      <c r="M6067" s="2">
        <v>93422.0</v>
      </c>
      <c r="N6067" s="2" t="s">
        <v>21</v>
      </c>
    </row>
    <row r="6068" ht="15.75" customHeight="1">
      <c r="A6068" s="2">
        <v>2016.0</v>
      </c>
      <c r="B6068" s="2" t="s">
        <v>19630</v>
      </c>
      <c r="C6068" s="2" t="s">
        <v>26207</v>
      </c>
      <c r="D6068" s="2" t="str">
        <f>"901-832-9240"</f>
        <v>901-832-9240</v>
      </c>
      <c r="E6068" s="2" t="s">
        <v>26208</v>
      </c>
      <c r="F6068" s="2" t="s">
        <v>4322</v>
      </c>
      <c r="G6068" s="2" t="str">
        <f>"SR-8192"</f>
        <v>SR-8192</v>
      </c>
      <c r="H6068" s="2" t="s">
        <v>26209</v>
      </c>
      <c r="I6068" s="2" t="s">
        <v>19633</v>
      </c>
      <c r="K6068" s="2" t="s">
        <v>2906</v>
      </c>
      <c r="L6068" s="2" t="s">
        <v>279</v>
      </c>
      <c r="M6068" s="2">
        <v>38052.0</v>
      </c>
      <c r="N6068" s="2" t="s">
        <v>21</v>
      </c>
    </row>
    <row r="6069" ht="15.75" customHeight="1">
      <c r="A6069" s="2">
        <v>2016.0</v>
      </c>
      <c r="B6069" s="2" t="s">
        <v>20419</v>
      </c>
      <c r="C6069" s="2" t="s">
        <v>20420</v>
      </c>
      <c r="D6069" s="2" t="str">
        <f>"3167335833"</f>
        <v>3167335833</v>
      </c>
      <c r="E6069" s="2" t="s">
        <v>580</v>
      </c>
      <c r="F6069" s="2" t="s">
        <v>20421</v>
      </c>
      <c r="G6069" s="2" t="str">
        <f>"SR-6117"</f>
        <v>SR-6117</v>
      </c>
      <c r="H6069" s="2" t="s">
        <v>20422</v>
      </c>
      <c r="I6069" s="2" t="s">
        <v>20423</v>
      </c>
      <c r="K6069" s="2" t="s">
        <v>606</v>
      </c>
      <c r="L6069" s="2" t="s">
        <v>272</v>
      </c>
      <c r="M6069" s="2">
        <v>67230.0</v>
      </c>
      <c r="N6069" s="2" t="s">
        <v>21</v>
      </c>
    </row>
    <row r="6070" ht="15.75" customHeight="1">
      <c r="A6070" s="2">
        <v>2016.0</v>
      </c>
      <c r="B6070" s="2" t="s">
        <v>26210</v>
      </c>
      <c r="C6070" s="2" t="s">
        <v>26210</v>
      </c>
      <c r="D6070" s="2" t="str">
        <f>"763-559-2779"</f>
        <v>763-559-2779</v>
      </c>
      <c r="E6070" s="2" t="s">
        <v>26211</v>
      </c>
      <c r="F6070" s="2" t="s">
        <v>256</v>
      </c>
      <c r="G6070" s="2" t="str">
        <f>"SR-8323"</f>
        <v>SR-8323</v>
      </c>
      <c r="H6070" s="2" t="s">
        <v>26212</v>
      </c>
      <c r="I6070" s="2" t="s">
        <v>26213</v>
      </c>
      <c r="K6070" s="2" t="s">
        <v>8609</v>
      </c>
      <c r="L6070" s="2" t="s">
        <v>62</v>
      </c>
      <c r="M6070" s="2">
        <v>55311.0</v>
      </c>
      <c r="N6070" s="2" t="s">
        <v>21</v>
      </c>
    </row>
    <row r="6071" ht="15.75" customHeight="1">
      <c r="A6071" s="2">
        <v>2016.0</v>
      </c>
      <c r="B6071" s="2" t="s">
        <v>26214</v>
      </c>
      <c r="C6071" s="2" t="s">
        <v>26215</v>
      </c>
      <c r="D6071" s="2" t="str">
        <f>"540-554-2153"</f>
        <v>540-554-2153</v>
      </c>
      <c r="E6071" s="2" t="s">
        <v>1197</v>
      </c>
      <c r="F6071" s="2" t="s">
        <v>4519</v>
      </c>
      <c r="G6071" s="2" t="str">
        <f>"SR-8104"</f>
        <v>SR-8104</v>
      </c>
      <c r="H6071" s="2" t="s">
        <v>26216</v>
      </c>
      <c r="I6071" s="2" t="s">
        <v>26217</v>
      </c>
      <c r="K6071" s="2" t="s">
        <v>2551</v>
      </c>
      <c r="L6071" s="2" t="s">
        <v>165</v>
      </c>
      <c r="M6071" s="2">
        <v>20135.0</v>
      </c>
      <c r="N6071" s="2" t="s">
        <v>21</v>
      </c>
    </row>
    <row r="6072" ht="15.75" customHeight="1">
      <c r="A6072" s="2">
        <v>2016.0</v>
      </c>
      <c r="B6072" s="2" t="s">
        <v>17655</v>
      </c>
      <c r="C6072" s="2" t="s">
        <v>17656</v>
      </c>
      <c r="D6072" s="2" t="str">
        <f>"662/4183724"</f>
        <v>662/4183724</v>
      </c>
      <c r="E6072" s="2" t="s">
        <v>15</v>
      </c>
      <c r="F6072" s="2" t="s">
        <v>17657</v>
      </c>
      <c r="G6072" s="2" t="str">
        <f>"SR-5098"</f>
        <v>SR-5098</v>
      </c>
      <c r="H6072" s="2" t="s">
        <v>17658</v>
      </c>
      <c r="I6072" s="2" t="s">
        <v>17659</v>
      </c>
      <c r="K6072" s="2" t="s">
        <v>1901</v>
      </c>
      <c r="L6072" s="2" t="s">
        <v>1722</v>
      </c>
      <c r="M6072" s="2">
        <v>39759.0</v>
      </c>
      <c r="N6072" s="2" t="s">
        <v>21</v>
      </c>
    </row>
    <row r="6073" ht="15.75" customHeight="1">
      <c r="A6073" s="2">
        <v>2016.0</v>
      </c>
      <c r="B6073" s="2" t="s">
        <v>26218</v>
      </c>
      <c r="C6073" s="2" t="s">
        <v>26219</v>
      </c>
      <c r="D6073" s="2" t="str">
        <f>"562-553-2228"</f>
        <v>562-553-2228</v>
      </c>
      <c r="E6073" s="2" t="s">
        <v>26220</v>
      </c>
      <c r="F6073" s="2" t="s">
        <v>26221</v>
      </c>
      <c r="G6073" s="2" t="str">
        <f>"SR-7681"</f>
        <v>SR-7681</v>
      </c>
      <c r="H6073" s="2" t="s">
        <v>26222</v>
      </c>
      <c r="I6073" s="2" t="s">
        <v>26223</v>
      </c>
      <c r="K6073" s="2" t="s">
        <v>24539</v>
      </c>
      <c r="L6073" s="2" t="s">
        <v>222</v>
      </c>
      <c r="M6073" s="2">
        <v>90604.0</v>
      </c>
      <c r="N6073" s="2" t="s">
        <v>21</v>
      </c>
    </row>
    <row r="6074" ht="15.75" customHeight="1">
      <c r="A6074" s="2">
        <v>2016.0</v>
      </c>
      <c r="B6074" s="2" t="s">
        <v>26224</v>
      </c>
      <c r="C6074" s="2" t="s">
        <v>26224</v>
      </c>
      <c r="D6074" s="2" t="str">
        <f>"2148024959"</f>
        <v>2148024959</v>
      </c>
      <c r="E6074" s="2" t="s">
        <v>12156</v>
      </c>
      <c r="F6074" s="2" t="s">
        <v>3762</v>
      </c>
      <c r="G6074" s="2" t="str">
        <f>"SR-8072"</f>
        <v>SR-8072</v>
      </c>
      <c r="H6074" s="2" t="s">
        <v>26225</v>
      </c>
      <c r="I6074" s="2" t="s">
        <v>3764</v>
      </c>
      <c r="K6074" s="2" t="s">
        <v>1255</v>
      </c>
      <c r="L6074" s="2" t="s">
        <v>172</v>
      </c>
      <c r="M6074" s="2">
        <v>75214.0</v>
      </c>
      <c r="N6074" s="2" t="s">
        <v>21</v>
      </c>
    </row>
    <row r="6075" ht="15.75" customHeight="1">
      <c r="A6075" s="2">
        <v>2016.0</v>
      </c>
      <c r="B6075" s="2" t="s">
        <v>26218</v>
      </c>
      <c r="C6075" s="2" t="s">
        <v>26226</v>
      </c>
      <c r="D6075" s="2" t="str">
        <f>"(562)-686-3690"</f>
        <v>(562)-686-3690</v>
      </c>
      <c r="E6075" s="2" t="s">
        <v>26227</v>
      </c>
      <c r="F6075" s="2" t="s">
        <v>26221</v>
      </c>
      <c r="G6075" s="2" t="str">
        <f>"SR-8328"</f>
        <v>SR-8328</v>
      </c>
      <c r="H6075" s="2" t="s">
        <v>26228</v>
      </c>
      <c r="I6075" s="2" t="s">
        <v>26229</v>
      </c>
      <c r="K6075" s="2" t="s">
        <v>24539</v>
      </c>
      <c r="L6075" s="2" t="s">
        <v>222</v>
      </c>
      <c r="M6075" s="2">
        <v>90638.0</v>
      </c>
      <c r="N6075" s="2" t="s">
        <v>21</v>
      </c>
    </row>
    <row r="6076" ht="15.75" customHeight="1">
      <c r="A6076" s="2">
        <v>2016.0</v>
      </c>
      <c r="B6076" s="2" t="s">
        <v>26230</v>
      </c>
      <c r="C6076" s="2" t="s">
        <v>26231</v>
      </c>
      <c r="D6076" s="2" t="str">
        <f>"(479) 409-5953"</f>
        <v>(479) 409-5953</v>
      </c>
      <c r="E6076" s="2" t="s">
        <v>19160</v>
      </c>
      <c r="F6076" s="2" t="s">
        <v>4011</v>
      </c>
      <c r="G6076" s="2" t="str">
        <f>"SR-8089"</f>
        <v>SR-8089</v>
      </c>
      <c r="H6076" s="2" t="s">
        <v>26232</v>
      </c>
      <c r="I6076" s="2" t="s">
        <v>26233</v>
      </c>
      <c r="K6076" s="2" t="s">
        <v>26234</v>
      </c>
      <c r="L6076" s="2" t="s">
        <v>1012</v>
      </c>
      <c r="M6076" s="2">
        <v>72745.0</v>
      </c>
      <c r="N6076" s="2" t="s">
        <v>21</v>
      </c>
    </row>
    <row r="6077" ht="15.75" customHeight="1">
      <c r="A6077" s="2">
        <v>2016.0</v>
      </c>
      <c r="B6077" s="2" t="s">
        <v>26235</v>
      </c>
      <c r="C6077" s="2" t="s">
        <v>26236</v>
      </c>
      <c r="D6077" s="2" t="str">
        <f>"952-926-6797"</f>
        <v>952-926-6797</v>
      </c>
      <c r="E6077" s="2" t="s">
        <v>705</v>
      </c>
      <c r="F6077" s="2" t="s">
        <v>26237</v>
      </c>
      <c r="G6077" s="2" t="str">
        <f>"SR-8327"</f>
        <v>SR-8327</v>
      </c>
      <c r="H6077" s="2" t="s">
        <v>26238</v>
      </c>
      <c r="I6077" s="2" t="s">
        <v>26239</v>
      </c>
      <c r="K6077" s="2" t="s">
        <v>3109</v>
      </c>
      <c r="L6077" s="2" t="s">
        <v>62</v>
      </c>
      <c r="M6077" s="2">
        <v>55439.0</v>
      </c>
      <c r="N6077" s="2" t="s">
        <v>21</v>
      </c>
    </row>
    <row r="6078" ht="15.75" customHeight="1">
      <c r="A6078" s="2">
        <v>2016.0</v>
      </c>
      <c r="B6078" s="2" t="s">
        <v>26240</v>
      </c>
      <c r="C6078" s="2" t="s">
        <v>26241</v>
      </c>
      <c r="D6078" s="2" t="str">
        <f>"3864530574"</f>
        <v>3864530574</v>
      </c>
      <c r="E6078" s="2" t="s">
        <v>718</v>
      </c>
      <c r="F6078" s="2" t="s">
        <v>26242</v>
      </c>
      <c r="G6078" s="2" t="str">
        <f>"SR-8248"</f>
        <v>SR-8248</v>
      </c>
      <c r="H6078" s="2" t="s">
        <v>26243</v>
      </c>
      <c r="I6078" s="2" t="s">
        <v>26244</v>
      </c>
      <c r="K6078" s="2" t="s">
        <v>26245</v>
      </c>
      <c r="L6078" s="2" t="s">
        <v>208</v>
      </c>
      <c r="M6078" s="2">
        <v>32127.0</v>
      </c>
      <c r="N6078" s="2" t="s">
        <v>21</v>
      </c>
    </row>
    <row r="6079" ht="15.75" customHeight="1">
      <c r="A6079" s="2">
        <v>2016.0</v>
      </c>
      <c r="B6079" s="2" t="s">
        <v>19329</v>
      </c>
      <c r="C6079" s="2" t="s">
        <v>19369</v>
      </c>
      <c r="D6079" s="2" t="str">
        <f>"616-528-2297"</f>
        <v>616-528-2297</v>
      </c>
      <c r="E6079" s="2" t="s">
        <v>57</v>
      </c>
      <c r="F6079" s="2" t="s">
        <v>1929</v>
      </c>
      <c r="G6079" s="2" t="str">
        <f>"SR-6022"</f>
        <v>SR-6022</v>
      </c>
      <c r="H6079" s="2" t="s">
        <v>18744</v>
      </c>
      <c r="I6079" s="2" t="s">
        <v>19370</v>
      </c>
      <c r="K6079" s="2" t="s">
        <v>28</v>
      </c>
      <c r="L6079" s="2" t="s">
        <v>29</v>
      </c>
      <c r="M6079" s="2">
        <v>49301.0</v>
      </c>
      <c r="N6079" s="2" t="s">
        <v>21</v>
      </c>
    </row>
    <row r="6080" ht="15.75" customHeight="1">
      <c r="A6080" s="2">
        <v>2016.0</v>
      </c>
      <c r="B6080" s="2" t="s">
        <v>26246</v>
      </c>
      <c r="C6080" s="2" t="s">
        <v>26247</v>
      </c>
      <c r="D6080" s="2" t="str">
        <f>"702-580-4070"</f>
        <v>702-580-4070</v>
      </c>
      <c r="E6080" s="2" t="s">
        <v>456</v>
      </c>
      <c r="F6080" s="2" t="s">
        <v>26248</v>
      </c>
      <c r="G6080" s="2" t="str">
        <f>"SR-7212"</f>
        <v>SR-7212</v>
      </c>
      <c r="H6080" s="2" t="s">
        <v>26249</v>
      </c>
      <c r="I6080" s="2" t="s">
        <v>26250</v>
      </c>
      <c r="K6080" s="2" t="s">
        <v>26251</v>
      </c>
      <c r="L6080" s="2" t="s">
        <v>55</v>
      </c>
      <c r="M6080" s="2">
        <v>29410.0</v>
      </c>
      <c r="N6080" s="2" t="s">
        <v>21</v>
      </c>
    </row>
    <row r="6081" ht="15.75" customHeight="1">
      <c r="A6081" s="2">
        <v>2016.0</v>
      </c>
      <c r="B6081" s="2" t="s">
        <v>26252</v>
      </c>
      <c r="C6081" s="2" t="s">
        <v>26253</v>
      </c>
      <c r="D6081" s="2" t="str">
        <f>"864-415-1314"</f>
        <v>864-415-1314</v>
      </c>
      <c r="E6081" s="2" t="s">
        <v>137</v>
      </c>
      <c r="F6081" s="2" t="s">
        <v>26254</v>
      </c>
      <c r="G6081" s="2" t="str">
        <f>"SR-8232"</f>
        <v>SR-8232</v>
      </c>
      <c r="H6081" s="2" t="s">
        <v>26255</v>
      </c>
      <c r="I6081" s="2" t="s">
        <v>26256</v>
      </c>
      <c r="K6081" s="2" t="s">
        <v>13339</v>
      </c>
      <c r="L6081" s="2" t="s">
        <v>55</v>
      </c>
      <c r="M6081" s="2">
        <v>29316.0</v>
      </c>
      <c r="N6081" s="2" t="s">
        <v>21</v>
      </c>
    </row>
    <row r="6082" ht="15.75" customHeight="1">
      <c r="A6082" s="2">
        <v>2016.0</v>
      </c>
      <c r="B6082" s="2" t="s">
        <v>16969</v>
      </c>
      <c r="C6082" s="2" t="s">
        <v>26257</v>
      </c>
      <c r="D6082" s="2" t="str">
        <f>"2188394812"</f>
        <v>2188394812</v>
      </c>
      <c r="E6082" s="2" t="s">
        <v>26258</v>
      </c>
      <c r="F6082" s="2" t="s">
        <v>16972</v>
      </c>
      <c r="G6082" s="2" t="str">
        <f>"SR-8041"</f>
        <v>SR-8041</v>
      </c>
      <c r="H6082" s="2" t="s">
        <v>26259</v>
      </c>
      <c r="I6082" s="2" t="s">
        <v>16974</v>
      </c>
      <c r="K6082" s="2" t="s">
        <v>16975</v>
      </c>
      <c r="L6082" s="2" t="s">
        <v>62</v>
      </c>
      <c r="M6082" s="2">
        <v>56466.0</v>
      </c>
      <c r="N6082" s="2" t="s">
        <v>21</v>
      </c>
    </row>
    <row r="6083" ht="15.75" customHeight="1">
      <c r="A6083" s="2">
        <v>2016.0</v>
      </c>
      <c r="B6083" s="2" t="s">
        <v>26260</v>
      </c>
      <c r="C6083" s="2" t="s">
        <v>26261</v>
      </c>
      <c r="D6083" s="2" t="str">
        <f>"5152319941"</f>
        <v>5152319941</v>
      </c>
      <c r="E6083" s="2" t="s">
        <v>562</v>
      </c>
      <c r="F6083" s="2" t="s">
        <v>11611</v>
      </c>
      <c r="G6083" s="2" t="str">
        <f>"SR-8092"</f>
        <v>SR-8092</v>
      </c>
      <c r="H6083" s="2" t="s">
        <v>26262</v>
      </c>
      <c r="I6083" s="2" t="s">
        <v>11613</v>
      </c>
      <c r="K6083" s="2" t="s">
        <v>6354</v>
      </c>
      <c r="L6083" s="2" t="s">
        <v>560</v>
      </c>
      <c r="M6083" s="2">
        <v>50010.0</v>
      </c>
      <c r="N6083" s="2" t="s">
        <v>21</v>
      </c>
    </row>
    <row r="6084" ht="15.75" customHeight="1">
      <c r="A6084" s="2">
        <v>2016.0</v>
      </c>
      <c r="B6084" s="2" t="s">
        <v>26263</v>
      </c>
      <c r="C6084" s="2" t="s">
        <v>26264</v>
      </c>
      <c r="D6084" s="2" t="str">
        <f>"406-850-1958"</f>
        <v>406-850-1958</v>
      </c>
      <c r="E6084" s="2" t="s">
        <v>3603</v>
      </c>
      <c r="F6084" s="2" t="s">
        <v>4171</v>
      </c>
      <c r="G6084" s="2" t="str">
        <f>"SR-8265"</f>
        <v>SR-8265</v>
      </c>
      <c r="H6084" s="2" t="s">
        <v>26265</v>
      </c>
      <c r="I6084" s="2" t="s">
        <v>26266</v>
      </c>
      <c r="K6084" s="2" t="s">
        <v>3548</v>
      </c>
      <c r="L6084" s="2" t="s">
        <v>2696</v>
      </c>
      <c r="M6084" s="2">
        <v>59106.0</v>
      </c>
      <c r="N6084" s="2" t="s">
        <v>21</v>
      </c>
    </row>
    <row r="6085" ht="15.75" customHeight="1">
      <c r="A6085" s="2">
        <v>2016.0</v>
      </c>
      <c r="B6085" s="2" t="s">
        <v>26267</v>
      </c>
      <c r="C6085" s="2" t="s">
        <v>26267</v>
      </c>
      <c r="D6085" s="2" t="str">
        <f>"425-985-1922"</f>
        <v>425-985-1922</v>
      </c>
      <c r="E6085" s="2" t="s">
        <v>15187</v>
      </c>
      <c r="F6085" s="2" t="s">
        <v>19752</v>
      </c>
      <c r="G6085" s="2" t="str">
        <f>"SR-8341"</f>
        <v>SR-8341</v>
      </c>
      <c r="H6085" s="2" t="s">
        <v>26268</v>
      </c>
      <c r="I6085" s="2" t="s">
        <v>26269</v>
      </c>
      <c r="K6085" s="2" t="s">
        <v>26270</v>
      </c>
      <c r="L6085" s="2" t="s">
        <v>86</v>
      </c>
      <c r="M6085" s="2">
        <v>98014.0</v>
      </c>
      <c r="N6085" s="2" t="s">
        <v>21</v>
      </c>
    </row>
    <row r="6086" ht="15.75" customHeight="1">
      <c r="A6086" s="2">
        <v>2016.0</v>
      </c>
      <c r="B6086" s="2" t="s">
        <v>26271</v>
      </c>
      <c r="C6086" s="2" t="s">
        <v>26272</v>
      </c>
      <c r="D6086" s="2" t="str">
        <f>"715 632 2156"</f>
        <v>715 632 2156</v>
      </c>
      <c r="E6086" s="2" t="s">
        <v>1554</v>
      </c>
      <c r="F6086" s="2" t="s">
        <v>1451</v>
      </c>
      <c r="G6086" s="2" t="str">
        <f>"SR-8028"</f>
        <v>SR-8028</v>
      </c>
      <c r="H6086" s="2" t="s">
        <v>26273</v>
      </c>
      <c r="I6086" s="2" t="s">
        <v>26274</v>
      </c>
      <c r="K6086" s="2" t="s">
        <v>26275</v>
      </c>
      <c r="L6086" s="2" t="s">
        <v>193</v>
      </c>
      <c r="M6086" s="2">
        <v>54725.0</v>
      </c>
      <c r="N6086" s="2" t="s">
        <v>21</v>
      </c>
    </row>
    <row r="6087" ht="15.75" customHeight="1">
      <c r="A6087" s="2">
        <v>2016.0</v>
      </c>
      <c r="B6087" s="2" t="s">
        <v>17439</v>
      </c>
      <c r="C6087" s="2" t="s">
        <v>17440</v>
      </c>
      <c r="D6087" s="2" t="str">
        <f>"7708804286"</f>
        <v>7708804286</v>
      </c>
      <c r="E6087" s="2" t="s">
        <v>984</v>
      </c>
      <c r="F6087" s="2" t="s">
        <v>1533</v>
      </c>
      <c r="G6087" s="2" t="str">
        <f>"SR-5319"</f>
        <v>SR-5319</v>
      </c>
      <c r="H6087" s="2" t="s">
        <v>17441</v>
      </c>
      <c r="I6087" s="2" t="s">
        <v>17442</v>
      </c>
      <c r="K6087" s="2" t="s">
        <v>4569</v>
      </c>
      <c r="L6087" s="2" t="s">
        <v>200</v>
      </c>
      <c r="M6087" s="2">
        <v>30736.0</v>
      </c>
      <c r="N6087" s="2" t="s">
        <v>21</v>
      </c>
    </row>
    <row r="6088" ht="15.75" customHeight="1">
      <c r="A6088" s="2">
        <v>2016.0</v>
      </c>
      <c r="B6088" s="2" t="s">
        <v>26276</v>
      </c>
      <c r="C6088" s="2" t="s">
        <v>26276</v>
      </c>
      <c r="D6088" s="2" t="str">
        <f>"785-709-0639"</f>
        <v>785-709-0639</v>
      </c>
      <c r="E6088" s="2" t="s">
        <v>4968</v>
      </c>
      <c r="F6088" s="2" t="s">
        <v>26277</v>
      </c>
      <c r="G6088" s="2" t="str">
        <f>"SR-8255"</f>
        <v>SR-8255</v>
      </c>
      <c r="H6088" s="2" t="s">
        <v>26278</v>
      </c>
      <c r="I6088" s="2" t="s">
        <v>26279</v>
      </c>
      <c r="K6088" s="2" t="s">
        <v>6149</v>
      </c>
      <c r="L6088" s="2" t="s">
        <v>272</v>
      </c>
      <c r="M6088" s="2">
        <v>66846.0</v>
      </c>
      <c r="N6088" s="2" t="s">
        <v>21</v>
      </c>
    </row>
    <row r="6089" ht="15.75" customHeight="1">
      <c r="A6089" s="2">
        <v>2016.0</v>
      </c>
      <c r="B6089" s="2" t="s">
        <v>26280</v>
      </c>
      <c r="C6089" s="2" t="s">
        <v>26281</v>
      </c>
      <c r="D6089" s="2" t="str">
        <f>"785-983-4307"</f>
        <v>785-983-4307</v>
      </c>
      <c r="E6089" s="2" t="s">
        <v>751</v>
      </c>
      <c r="F6089" s="2" t="s">
        <v>26282</v>
      </c>
      <c r="G6089" s="2" t="str">
        <f>"SR-8308"</f>
        <v>SR-8308</v>
      </c>
      <c r="H6089" s="2" t="s">
        <v>26283</v>
      </c>
      <c r="I6089" s="2" t="s">
        <v>26284</v>
      </c>
      <c r="J6089" s="2" t="s">
        <v>26285</v>
      </c>
      <c r="K6089" s="2" t="s">
        <v>4258</v>
      </c>
      <c r="L6089" s="2" t="s">
        <v>272</v>
      </c>
      <c r="M6089" s="2">
        <v>66838.0</v>
      </c>
      <c r="N6089" s="2" t="s">
        <v>21</v>
      </c>
    </row>
    <row r="6090" ht="15.75" customHeight="1">
      <c r="A6090" s="2">
        <v>2016.0</v>
      </c>
      <c r="B6090" s="2" t="s">
        <v>26286</v>
      </c>
      <c r="C6090" s="2" t="s">
        <v>26287</v>
      </c>
      <c r="D6090" s="2" t="str">
        <f>"6623240206"</f>
        <v>6623240206</v>
      </c>
      <c r="E6090" s="2" t="s">
        <v>417</v>
      </c>
      <c r="F6090" s="2" t="s">
        <v>26288</v>
      </c>
      <c r="G6090" s="2" t="str">
        <f>"SR-8353"</f>
        <v>SR-8353</v>
      </c>
      <c r="H6090" s="2" t="s">
        <v>26289</v>
      </c>
      <c r="I6090" s="2" t="s">
        <v>26290</v>
      </c>
      <c r="K6090" s="2" t="s">
        <v>1901</v>
      </c>
      <c r="L6090" s="2" t="s">
        <v>1722</v>
      </c>
      <c r="M6090" s="2">
        <v>39759.0</v>
      </c>
      <c r="N6090" s="2" t="s">
        <v>21</v>
      </c>
    </row>
    <row r="6091" ht="15.75" customHeight="1">
      <c r="A6091" s="2">
        <v>2016.0</v>
      </c>
      <c r="B6091" s="2" t="s">
        <v>26291</v>
      </c>
      <c r="C6091" s="2" t="s">
        <v>26292</v>
      </c>
      <c r="D6091" s="2" t="str">
        <f>"2542268212"</f>
        <v>2542268212</v>
      </c>
      <c r="E6091" s="2" t="s">
        <v>7042</v>
      </c>
      <c r="F6091" s="2" t="s">
        <v>26293</v>
      </c>
      <c r="G6091" s="2" t="str">
        <f>"SR-8311"</f>
        <v>SR-8311</v>
      </c>
      <c r="H6091" s="2" t="s">
        <v>26294</v>
      </c>
      <c r="I6091" s="2" t="s">
        <v>26295</v>
      </c>
      <c r="K6091" s="2" t="s">
        <v>2985</v>
      </c>
      <c r="L6091" s="2" t="s">
        <v>172</v>
      </c>
      <c r="M6091" s="2">
        <v>76534.0</v>
      </c>
      <c r="N6091" s="2" t="s">
        <v>21</v>
      </c>
    </row>
    <row r="6092" ht="15.75" customHeight="1">
      <c r="A6092" s="2">
        <v>2016.0</v>
      </c>
      <c r="B6092" s="2" t="s">
        <v>26296</v>
      </c>
      <c r="C6092" s="2" t="s">
        <v>26296</v>
      </c>
      <c r="D6092" s="2" t="str">
        <f>"8634416516"</f>
        <v>8634416516</v>
      </c>
      <c r="E6092" s="2" t="s">
        <v>8159</v>
      </c>
      <c r="F6092" s="2" t="s">
        <v>26297</v>
      </c>
      <c r="G6092" s="2" t="str">
        <f>"SR-8313"</f>
        <v>SR-8313</v>
      </c>
      <c r="H6092" s="2" t="s">
        <v>26298</v>
      </c>
      <c r="I6092" s="2" t="s">
        <v>26299</v>
      </c>
      <c r="K6092" s="2" t="s">
        <v>26300</v>
      </c>
      <c r="L6092" s="2" t="s">
        <v>208</v>
      </c>
      <c r="M6092" s="2">
        <v>33862.0</v>
      </c>
      <c r="N6092" s="2" t="s">
        <v>21</v>
      </c>
    </row>
    <row r="6093" ht="15.75" customHeight="1">
      <c r="A6093" s="2">
        <v>2016.0</v>
      </c>
      <c r="B6093" s="2" t="s">
        <v>26301</v>
      </c>
      <c r="C6093" s="2" t="s">
        <v>26302</v>
      </c>
      <c r="D6093" s="2" t="str">
        <f>"504-273-0421"</f>
        <v>504-273-0421</v>
      </c>
      <c r="E6093" s="2" t="s">
        <v>6266</v>
      </c>
      <c r="F6093" s="2" t="s">
        <v>26303</v>
      </c>
      <c r="G6093" s="2" t="str">
        <f>"SR-8157"</f>
        <v>SR-8157</v>
      </c>
      <c r="H6093" s="2" t="s">
        <v>26304</v>
      </c>
      <c r="I6093" s="2" t="s">
        <v>26305</v>
      </c>
      <c r="K6093" s="2" t="s">
        <v>26306</v>
      </c>
      <c r="L6093" s="2" t="s">
        <v>26307</v>
      </c>
      <c r="M6093" s="2" t="s">
        <v>26308</v>
      </c>
      <c r="N6093" s="2" t="s">
        <v>5746</v>
      </c>
    </row>
    <row r="6094" ht="15.75" customHeight="1">
      <c r="A6094" s="2">
        <v>2016.0</v>
      </c>
      <c r="B6094" s="2" t="s">
        <v>4837</v>
      </c>
      <c r="C6094" s="2" t="s">
        <v>26309</v>
      </c>
      <c r="D6094" s="2" t="str">
        <f>"307 254-4842"</f>
        <v>307 254-4842</v>
      </c>
      <c r="E6094" s="2" t="s">
        <v>1713</v>
      </c>
      <c r="F6094" s="2" t="s">
        <v>4839</v>
      </c>
      <c r="G6094" s="2" t="str">
        <f>"SR-8078"</f>
        <v>SR-8078</v>
      </c>
      <c r="H6094" s="2" t="s">
        <v>26310</v>
      </c>
      <c r="I6094" s="2" t="s">
        <v>26311</v>
      </c>
      <c r="K6094" s="2" t="s">
        <v>2771</v>
      </c>
      <c r="L6094" s="2" t="s">
        <v>1540</v>
      </c>
      <c r="M6094" s="2">
        <v>82435.0</v>
      </c>
      <c r="N6094" s="2" t="s">
        <v>21</v>
      </c>
    </row>
    <row r="6095" ht="15.75" customHeight="1">
      <c r="A6095" s="2">
        <v>2016.0</v>
      </c>
      <c r="B6095" s="2" t="s">
        <v>26312</v>
      </c>
      <c r="C6095" s="2" t="s">
        <v>26313</v>
      </c>
      <c r="D6095" s="2" t="str">
        <f>"9099026124"</f>
        <v>9099026124</v>
      </c>
      <c r="E6095" s="2" t="s">
        <v>26314</v>
      </c>
      <c r="F6095" s="2" t="s">
        <v>26315</v>
      </c>
      <c r="G6095" s="2" t="str">
        <f>"SR-8360"</f>
        <v>SR-8360</v>
      </c>
      <c r="H6095" s="2" t="s">
        <v>26316</v>
      </c>
      <c r="I6095" s="2" t="s">
        <v>26317</v>
      </c>
      <c r="K6095" s="2" t="s">
        <v>10340</v>
      </c>
      <c r="L6095" s="2" t="s">
        <v>222</v>
      </c>
      <c r="M6095" s="2">
        <v>91709.0</v>
      </c>
      <c r="N6095" s="2" t="s">
        <v>21</v>
      </c>
    </row>
    <row r="6096" ht="15.75" customHeight="1">
      <c r="A6096" s="2">
        <v>2016.0</v>
      </c>
      <c r="B6096" s="2" t="s">
        <v>26318</v>
      </c>
      <c r="C6096" s="2" t="s">
        <v>26319</v>
      </c>
      <c r="D6096" s="2" t="str">
        <f>"813-629-4400"</f>
        <v>813-629-4400</v>
      </c>
      <c r="E6096" s="2" t="s">
        <v>167</v>
      </c>
      <c r="F6096" s="2" t="s">
        <v>26320</v>
      </c>
      <c r="G6096" s="2" t="str">
        <f>"SR-7883"</f>
        <v>SR-7883</v>
      </c>
      <c r="H6096" s="2" t="s">
        <v>26321</v>
      </c>
      <c r="I6096" s="2" t="s">
        <v>26322</v>
      </c>
      <c r="K6096" s="2" t="s">
        <v>168</v>
      </c>
      <c r="L6096" s="2" t="s">
        <v>208</v>
      </c>
      <c r="M6096" s="2">
        <v>33549.0</v>
      </c>
      <c r="N6096" s="2" t="s">
        <v>21</v>
      </c>
    </row>
    <row r="6097" ht="15.75" customHeight="1">
      <c r="A6097" s="2">
        <v>2016.0</v>
      </c>
      <c r="B6097" s="2" t="s">
        <v>26323</v>
      </c>
      <c r="C6097" s="2" t="s">
        <v>26323</v>
      </c>
      <c r="D6097" s="2" t="str">
        <f>"615-786-9231"</f>
        <v>615-786-9231</v>
      </c>
      <c r="E6097" s="2" t="s">
        <v>26324</v>
      </c>
      <c r="F6097" s="2" t="s">
        <v>26325</v>
      </c>
      <c r="G6097" s="2" t="str">
        <f>"SR-8370"</f>
        <v>SR-8370</v>
      </c>
      <c r="H6097" s="2" t="s">
        <v>26326</v>
      </c>
      <c r="I6097" s="2" t="s">
        <v>26327</v>
      </c>
      <c r="K6097" s="2" t="s">
        <v>278</v>
      </c>
      <c r="L6097" s="2" t="s">
        <v>279</v>
      </c>
      <c r="M6097" s="2">
        <v>37064.0</v>
      </c>
      <c r="N6097" s="2" t="s">
        <v>21</v>
      </c>
    </row>
    <row r="6098" ht="15.75" customHeight="1">
      <c r="A6098" s="2">
        <v>2016.0</v>
      </c>
      <c r="B6098" s="2" t="s">
        <v>26328</v>
      </c>
      <c r="C6098" s="2" t="s">
        <v>26329</v>
      </c>
      <c r="D6098" s="2" t="str">
        <f>"6199252714"</f>
        <v>6199252714</v>
      </c>
      <c r="E6098" s="2" t="s">
        <v>20336</v>
      </c>
      <c r="F6098" s="2" t="s">
        <v>26330</v>
      </c>
      <c r="G6098" s="2" t="str">
        <f>"SR-8372"</f>
        <v>SR-8372</v>
      </c>
      <c r="H6098" s="2" t="s">
        <v>26331</v>
      </c>
      <c r="I6098" s="2" t="s">
        <v>26332</v>
      </c>
      <c r="K6098" s="2" t="s">
        <v>8639</v>
      </c>
      <c r="L6098" s="2" t="s">
        <v>222</v>
      </c>
      <c r="M6098" s="2">
        <v>92071.0</v>
      </c>
      <c r="N6098" s="2" t="s">
        <v>21</v>
      </c>
    </row>
    <row r="6099" ht="15.75" customHeight="1">
      <c r="A6099" s="2">
        <v>2016.0</v>
      </c>
      <c r="B6099" s="2" t="s">
        <v>26333</v>
      </c>
      <c r="C6099" s="2" t="s">
        <v>26334</v>
      </c>
      <c r="D6099" s="2" t="str">
        <f>"805-215-2982"</f>
        <v>805-215-2982</v>
      </c>
      <c r="E6099" s="2" t="s">
        <v>11583</v>
      </c>
      <c r="F6099" s="2" t="s">
        <v>2753</v>
      </c>
      <c r="G6099" s="2" t="str">
        <f>"SR-8184"</f>
        <v>SR-8184</v>
      </c>
      <c r="H6099" s="2" t="s">
        <v>26335</v>
      </c>
      <c r="I6099" s="2" t="s">
        <v>26336</v>
      </c>
      <c r="K6099" s="2" t="s">
        <v>26337</v>
      </c>
      <c r="L6099" s="2" t="s">
        <v>222</v>
      </c>
      <c r="M6099" s="2">
        <v>93453.0</v>
      </c>
      <c r="N6099" s="2" t="s">
        <v>21</v>
      </c>
    </row>
    <row r="6100" ht="15.75" customHeight="1">
      <c r="A6100" s="2">
        <v>2016.0</v>
      </c>
      <c r="B6100" s="2" t="s">
        <v>26338</v>
      </c>
      <c r="C6100" s="2" t="s">
        <v>26339</v>
      </c>
      <c r="D6100" s="2" t="str">
        <f>"4023203206"</f>
        <v>4023203206</v>
      </c>
      <c r="E6100" s="2" t="s">
        <v>2752</v>
      </c>
      <c r="F6100" s="2" t="s">
        <v>2771</v>
      </c>
      <c r="G6100" s="2" t="str">
        <f>"SR-8373"</f>
        <v>SR-8373</v>
      </c>
      <c r="H6100" s="2" t="s">
        <v>26340</v>
      </c>
      <c r="I6100" s="2" t="s">
        <v>26341</v>
      </c>
      <c r="K6100" s="2" t="s">
        <v>1470</v>
      </c>
      <c r="L6100" s="2" t="s">
        <v>757</v>
      </c>
      <c r="M6100" s="2">
        <v>68136.0</v>
      </c>
      <c r="N6100" s="2" t="s">
        <v>21</v>
      </c>
    </row>
    <row r="6101" ht="15.75" customHeight="1">
      <c r="A6101" s="2">
        <v>2016.0</v>
      </c>
      <c r="B6101" s="2" t="s">
        <v>26342</v>
      </c>
      <c r="C6101" s="2" t="s">
        <v>26343</v>
      </c>
      <c r="D6101" s="2" t="str">
        <f>"702-355-8940"</f>
        <v>702-355-8940</v>
      </c>
      <c r="E6101" s="2" t="s">
        <v>6606</v>
      </c>
      <c r="F6101" s="2" t="s">
        <v>26344</v>
      </c>
      <c r="G6101" s="2" t="str">
        <f>"SR-8363"</f>
        <v>SR-8363</v>
      </c>
      <c r="H6101" s="2" t="s">
        <v>26345</v>
      </c>
      <c r="I6101" s="2" t="s">
        <v>26346</v>
      </c>
      <c r="K6101" s="2" t="s">
        <v>3128</v>
      </c>
      <c r="L6101" s="2" t="s">
        <v>1419</v>
      </c>
      <c r="M6101" s="2">
        <v>89143.0</v>
      </c>
      <c r="N6101" s="2" t="s">
        <v>21</v>
      </c>
    </row>
    <row r="6102" ht="15.75" customHeight="1">
      <c r="A6102" s="2">
        <v>2016.0</v>
      </c>
      <c r="B6102" s="2" t="s">
        <v>26342</v>
      </c>
      <c r="C6102" s="2" t="s">
        <v>26347</v>
      </c>
      <c r="D6102" s="2" t="str">
        <f>"702-910-8910"</f>
        <v>702-910-8910</v>
      </c>
      <c r="E6102" s="2" t="s">
        <v>2243</v>
      </c>
      <c r="F6102" s="2" t="s">
        <v>26344</v>
      </c>
      <c r="G6102" s="2" t="str">
        <f>"SR-8365"</f>
        <v>SR-8365</v>
      </c>
      <c r="H6102" s="2" t="s">
        <v>26348</v>
      </c>
      <c r="I6102" s="2" t="s">
        <v>26346</v>
      </c>
      <c r="K6102" s="2" t="s">
        <v>3128</v>
      </c>
      <c r="L6102" s="2" t="s">
        <v>1419</v>
      </c>
      <c r="M6102" s="2">
        <v>89143.0</v>
      </c>
      <c r="N6102" s="2" t="s">
        <v>21</v>
      </c>
    </row>
    <row r="6103" ht="15.75" customHeight="1">
      <c r="A6103" s="2">
        <v>2016.0</v>
      </c>
      <c r="B6103" s="2" t="s">
        <v>26342</v>
      </c>
      <c r="C6103" s="2" t="s">
        <v>26349</v>
      </c>
      <c r="D6103" s="2" t="str">
        <f>"702-785-8193"</f>
        <v>702-785-8193</v>
      </c>
      <c r="E6103" s="2" t="s">
        <v>9605</v>
      </c>
      <c r="F6103" s="2" t="s">
        <v>26344</v>
      </c>
      <c r="G6103" s="2" t="str">
        <f>"SR-8364"</f>
        <v>SR-8364</v>
      </c>
      <c r="H6103" s="2" t="s">
        <v>26350</v>
      </c>
      <c r="I6103" s="2" t="s">
        <v>26346</v>
      </c>
      <c r="K6103" s="2" t="s">
        <v>3128</v>
      </c>
      <c r="L6103" s="2" t="s">
        <v>1419</v>
      </c>
      <c r="M6103" s="2">
        <v>89143.0</v>
      </c>
      <c r="N6103" s="2" t="s">
        <v>21</v>
      </c>
    </row>
    <row r="6104" ht="15.75" customHeight="1">
      <c r="A6104" s="2">
        <v>2016.0</v>
      </c>
      <c r="B6104" s="2" t="s">
        <v>26351</v>
      </c>
      <c r="C6104" s="2" t="s">
        <v>26351</v>
      </c>
      <c r="D6104" s="2" t="str">
        <f>"202-525-0892"</f>
        <v>202-525-0892</v>
      </c>
      <c r="E6104" s="2" t="s">
        <v>167</v>
      </c>
      <c r="F6104" s="2" t="s">
        <v>26352</v>
      </c>
      <c r="G6104" s="2" t="str">
        <f>"SR-8148"</f>
        <v>SR-8148</v>
      </c>
      <c r="H6104" s="2" t="s">
        <v>26353</v>
      </c>
      <c r="I6104" s="2" t="s">
        <v>26354</v>
      </c>
      <c r="K6104" s="2" t="s">
        <v>26355</v>
      </c>
      <c r="L6104" s="2" t="s">
        <v>165</v>
      </c>
      <c r="M6104" s="2">
        <v>22060.0</v>
      </c>
      <c r="N6104" s="2" t="s">
        <v>21</v>
      </c>
    </row>
    <row r="6105" ht="15.75" customHeight="1">
      <c r="A6105" s="2">
        <v>2016.0</v>
      </c>
      <c r="B6105" s="2" t="s">
        <v>26356</v>
      </c>
      <c r="C6105" s="2" t="s">
        <v>26356</v>
      </c>
      <c r="D6105" s="2" t="str">
        <f>"406-320-2400"</f>
        <v>406-320-2400</v>
      </c>
      <c r="E6105" s="2" t="s">
        <v>15532</v>
      </c>
      <c r="F6105" s="2" t="s">
        <v>2491</v>
      </c>
      <c r="G6105" s="2" t="str">
        <f>"SR-8269"</f>
        <v>SR-8269</v>
      </c>
      <c r="H6105" s="2" t="s">
        <v>26357</v>
      </c>
      <c r="I6105" s="2" t="s">
        <v>26358</v>
      </c>
      <c r="K6105" s="2" t="s">
        <v>26359</v>
      </c>
      <c r="L6105" s="2" t="s">
        <v>2696</v>
      </c>
      <c r="M6105" s="2">
        <v>59072.0</v>
      </c>
      <c r="N6105" s="2" t="s">
        <v>21</v>
      </c>
    </row>
    <row r="6106" ht="15.75" customHeight="1">
      <c r="A6106" s="2">
        <v>2016.0</v>
      </c>
      <c r="B6106" s="2" t="s">
        <v>26360</v>
      </c>
      <c r="C6106" s="2" t="s">
        <v>26361</v>
      </c>
      <c r="D6106" s="2" t="str">
        <f>"303-829-9924"</f>
        <v>303-829-9924</v>
      </c>
      <c r="E6106" s="2" t="s">
        <v>5872</v>
      </c>
      <c r="F6106" s="2" t="s">
        <v>737</v>
      </c>
      <c r="G6106" s="2" t="str">
        <f>"SR-8210"</f>
        <v>SR-8210</v>
      </c>
      <c r="H6106" s="2" t="s">
        <v>26362</v>
      </c>
      <c r="I6106" s="2" t="s">
        <v>26363</v>
      </c>
      <c r="K6106" s="2" t="s">
        <v>1889</v>
      </c>
      <c r="L6106" s="2" t="s">
        <v>157</v>
      </c>
      <c r="M6106" s="2">
        <v>80123.0</v>
      </c>
      <c r="N6106" s="2" t="s">
        <v>21</v>
      </c>
    </row>
    <row r="6107" ht="15.75" customHeight="1">
      <c r="A6107" s="2">
        <v>2016.0</v>
      </c>
      <c r="B6107" s="2" t="s">
        <v>26364</v>
      </c>
      <c r="C6107" s="2" t="s">
        <v>26365</v>
      </c>
      <c r="D6107" s="2" t="str">
        <f>"2696559382"</f>
        <v>2696559382</v>
      </c>
      <c r="E6107" s="2" t="s">
        <v>3037</v>
      </c>
      <c r="F6107" s="2" t="s">
        <v>15428</v>
      </c>
      <c r="G6107" s="2" t="str">
        <f>"SR-8377"</f>
        <v>SR-8377</v>
      </c>
      <c r="H6107" s="2" t="s">
        <v>26366</v>
      </c>
      <c r="I6107" s="2" t="s">
        <v>26367</v>
      </c>
      <c r="K6107" s="2" t="s">
        <v>26368</v>
      </c>
      <c r="L6107" s="2" t="s">
        <v>29</v>
      </c>
      <c r="M6107" s="2">
        <v>49079.0</v>
      </c>
      <c r="N6107" s="2" t="s">
        <v>21</v>
      </c>
    </row>
    <row r="6108" ht="15.75" customHeight="1">
      <c r="A6108" s="2">
        <v>2016.0</v>
      </c>
      <c r="B6108" s="2" t="s">
        <v>26369</v>
      </c>
      <c r="C6108" s="2" t="s">
        <v>26370</v>
      </c>
      <c r="D6108" s="2" t="str">
        <f>"2182528224"</f>
        <v>2182528224</v>
      </c>
      <c r="E6108" s="2" t="s">
        <v>301</v>
      </c>
      <c r="F6108" s="2" t="s">
        <v>2930</v>
      </c>
      <c r="G6108" s="2" t="str">
        <f>"SR-8334"</f>
        <v>SR-8334</v>
      </c>
      <c r="H6108" s="2" t="s">
        <v>26371</v>
      </c>
      <c r="I6108" s="2" t="s">
        <v>26372</v>
      </c>
      <c r="K6108" s="2" t="s">
        <v>11688</v>
      </c>
      <c r="L6108" s="2" t="s">
        <v>62</v>
      </c>
      <c r="M6108" s="2">
        <v>56470.0</v>
      </c>
      <c r="N6108" s="2" t="s">
        <v>21</v>
      </c>
    </row>
    <row r="6109" ht="15.75" customHeight="1">
      <c r="A6109" s="2">
        <v>2016.0</v>
      </c>
      <c r="B6109" s="2" t="s">
        <v>26373</v>
      </c>
      <c r="C6109" s="2" t="s">
        <v>26373</v>
      </c>
      <c r="D6109" s="2" t="str">
        <f>"5032696812"</f>
        <v>5032696812</v>
      </c>
      <c r="E6109" s="2" t="s">
        <v>862</v>
      </c>
      <c r="F6109" s="2" t="s">
        <v>26374</v>
      </c>
      <c r="G6109" s="2" t="str">
        <f>"SR-8381"</f>
        <v>SR-8381</v>
      </c>
      <c r="H6109" s="2" t="s">
        <v>26375</v>
      </c>
      <c r="I6109" s="2" t="s">
        <v>26376</v>
      </c>
      <c r="K6109" s="2" t="s">
        <v>26377</v>
      </c>
      <c r="L6109" s="2" t="s">
        <v>2389</v>
      </c>
      <c r="M6109" s="2">
        <v>97383.0</v>
      </c>
      <c r="N6109" s="2" t="s">
        <v>21</v>
      </c>
    </row>
    <row r="6110" ht="15.75" customHeight="1">
      <c r="A6110" s="2">
        <v>2016.0</v>
      </c>
      <c r="B6110" s="2" t="s">
        <v>26378</v>
      </c>
      <c r="C6110" s="2" t="s">
        <v>26379</v>
      </c>
      <c r="D6110" s="2" t="str">
        <f>"269 353-9192"</f>
        <v>269 353-9192</v>
      </c>
      <c r="E6110" s="2" t="s">
        <v>1810</v>
      </c>
      <c r="F6110" s="2" t="s">
        <v>26380</v>
      </c>
      <c r="G6110" s="2" t="str">
        <f>"SR-7307"</f>
        <v>SR-7307</v>
      </c>
      <c r="H6110" s="2" t="s">
        <v>26381</v>
      </c>
      <c r="I6110" s="2" t="s">
        <v>26382</v>
      </c>
      <c r="K6110" s="2" t="s">
        <v>18709</v>
      </c>
      <c r="L6110" s="2" t="s">
        <v>29</v>
      </c>
      <c r="M6110" s="2">
        <v>49009.0</v>
      </c>
      <c r="N6110" s="2" t="s">
        <v>21</v>
      </c>
    </row>
    <row r="6111" ht="15.75" customHeight="1">
      <c r="A6111" s="2">
        <v>2016.0</v>
      </c>
      <c r="B6111" s="2" t="s">
        <v>26383</v>
      </c>
      <c r="C6111" s="2" t="s">
        <v>26384</v>
      </c>
      <c r="D6111" s="2" t="str">
        <f>"515-988-7309"</f>
        <v>515-988-7309</v>
      </c>
      <c r="E6111" s="2" t="s">
        <v>11423</v>
      </c>
      <c r="F6111" s="2" t="s">
        <v>26385</v>
      </c>
      <c r="G6111" s="2" t="str">
        <f>"SR-8383"</f>
        <v>SR-8383</v>
      </c>
      <c r="H6111" s="2" t="s">
        <v>26386</v>
      </c>
      <c r="I6111" s="2" t="s">
        <v>26387</v>
      </c>
      <c r="K6111" s="2" t="s">
        <v>2066</v>
      </c>
      <c r="L6111" s="2" t="s">
        <v>560</v>
      </c>
      <c r="M6111" s="2">
        <v>50266.0</v>
      </c>
      <c r="N6111" s="2" t="s">
        <v>21</v>
      </c>
    </row>
    <row r="6112" ht="15.75" customHeight="1">
      <c r="A6112" s="2">
        <v>2016.0</v>
      </c>
      <c r="B6112" s="2" t="s">
        <v>26388</v>
      </c>
      <c r="C6112" s="2" t="s">
        <v>26388</v>
      </c>
      <c r="D6112" s="2" t="str">
        <f>"8069226089"</f>
        <v>8069226089</v>
      </c>
      <c r="E6112" s="2" t="s">
        <v>5736</v>
      </c>
      <c r="F6112" s="2" t="s">
        <v>26389</v>
      </c>
      <c r="G6112" s="2" t="str">
        <f>"SR-8168"</f>
        <v>SR-8168</v>
      </c>
      <c r="H6112" s="2" t="s">
        <v>26390</v>
      </c>
      <c r="I6112" s="2" t="s">
        <v>26391</v>
      </c>
      <c r="K6112" s="2" t="s">
        <v>26392</v>
      </c>
      <c r="L6112" s="2" t="s">
        <v>840</v>
      </c>
      <c r="M6112" s="2">
        <v>73937.0</v>
      </c>
      <c r="N6112" s="2" t="s">
        <v>21</v>
      </c>
    </row>
    <row r="6113" ht="15.75" customHeight="1">
      <c r="A6113" s="2">
        <v>2016.0</v>
      </c>
      <c r="B6113" s="2" t="s">
        <v>26393</v>
      </c>
      <c r="C6113" s="2" t="s">
        <v>26394</v>
      </c>
      <c r="D6113" s="2" t="str">
        <f>"337-639-4725"</f>
        <v>337-639-4725</v>
      </c>
      <c r="E6113" s="2" t="s">
        <v>1108</v>
      </c>
      <c r="F6113" s="2" t="s">
        <v>1718</v>
      </c>
      <c r="G6113" s="2" t="str">
        <f>"SR-8173"</f>
        <v>SR-8173</v>
      </c>
      <c r="H6113" s="2" t="s">
        <v>26395</v>
      </c>
      <c r="I6113" s="2" t="s">
        <v>26396</v>
      </c>
      <c r="K6113" s="2" t="s">
        <v>26397</v>
      </c>
      <c r="L6113" s="2" t="s">
        <v>715</v>
      </c>
      <c r="M6113" s="2">
        <v>70654.0</v>
      </c>
      <c r="N6113" s="2" t="s">
        <v>21</v>
      </c>
    </row>
    <row r="6114" ht="15.75" customHeight="1">
      <c r="A6114" s="2">
        <v>2016.0</v>
      </c>
      <c r="B6114" s="2" t="s">
        <v>26398</v>
      </c>
      <c r="C6114" s="2" t="s">
        <v>26399</v>
      </c>
      <c r="D6114" s="2" t="str">
        <f>"626-794-1008"</f>
        <v>626-794-1008</v>
      </c>
      <c r="E6114" s="2" t="s">
        <v>1141</v>
      </c>
      <c r="F6114" s="2" t="s">
        <v>591</v>
      </c>
      <c r="G6114" s="2" t="str">
        <f>"SR-4309"</f>
        <v>SR-4309</v>
      </c>
      <c r="H6114" s="2" t="s">
        <v>26400</v>
      </c>
      <c r="I6114" s="2" t="s">
        <v>26401</v>
      </c>
      <c r="K6114" s="2" t="s">
        <v>4435</v>
      </c>
      <c r="L6114" s="2" t="s">
        <v>222</v>
      </c>
      <c r="M6114" s="2">
        <v>91001.0</v>
      </c>
      <c r="N6114" s="2" t="s">
        <v>21</v>
      </c>
    </row>
    <row r="6115" ht="15.75" customHeight="1">
      <c r="A6115" s="2">
        <v>2016.0</v>
      </c>
      <c r="B6115" s="2" t="s">
        <v>3607</v>
      </c>
      <c r="C6115" s="2" t="s">
        <v>26402</v>
      </c>
      <c r="D6115" s="2" t="str">
        <f>"541-212-2394"</f>
        <v>541-212-2394</v>
      </c>
      <c r="E6115" s="2" t="s">
        <v>666</v>
      </c>
      <c r="F6115" s="2" t="s">
        <v>511</v>
      </c>
      <c r="G6115" s="2" t="str">
        <f>"SR-7857"</f>
        <v>SR-7857</v>
      </c>
      <c r="H6115" s="2" t="s">
        <v>26403</v>
      </c>
      <c r="I6115" s="2" t="s">
        <v>26404</v>
      </c>
      <c r="K6115" s="2" t="s">
        <v>2015</v>
      </c>
      <c r="L6115" s="2" t="s">
        <v>2389</v>
      </c>
      <c r="M6115" s="2">
        <v>97914.0</v>
      </c>
      <c r="N6115" s="2" t="s">
        <v>21</v>
      </c>
    </row>
    <row r="6116" ht="15.75" customHeight="1">
      <c r="A6116" s="2">
        <v>2016.0</v>
      </c>
      <c r="B6116" s="2" t="s">
        <v>26405</v>
      </c>
      <c r="C6116" s="2" t="s">
        <v>26405</v>
      </c>
      <c r="D6116" s="2" t="str">
        <f>"651-779-6340"</f>
        <v>651-779-6340</v>
      </c>
      <c r="E6116" s="2" t="s">
        <v>7930</v>
      </c>
      <c r="F6116" s="2" t="s">
        <v>26406</v>
      </c>
      <c r="G6116" s="2" t="str">
        <f>"SR-8382"</f>
        <v>SR-8382</v>
      </c>
      <c r="H6116" s="2" t="s">
        <v>26407</v>
      </c>
      <c r="I6116" s="2" t="s">
        <v>26408</v>
      </c>
      <c r="K6116" s="2" t="s">
        <v>26409</v>
      </c>
      <c r="L6116" s="2" t="s">
        <v>62</v>
      </c>
      <c r="M6116" s="2">
        <v>55115.0</v>
      </c>
      <c r="N6116" s="2" t="s">
        <v>21</v>
      </c>
    </row>
    <row r="6117" ht="15.75" customHeight="1">
      <c r="A6117" s="2">
        <v>2016.0</v>
      </c>
      <c r="B6117" s="2" t="s">
        <v>26410</v>
      </c>
      <c r="C6117" s="2" t="s">
        <v>26411</v>
      </c>
      <c r="D6117" s="2" t="str">
        <f>"480-458-7151"</f>
        <v>480-458-7151</v>
      </c>
      <c r="E6117" s="2" t="s">
        <v>124</v>
      </c>
      <c r="F6117" s="2" t="s">
        <v>94</v>
      </c>
      <c r="G6117" s="2" t="str">
        <f>"SR-8338"</f>
        <v>SR-8338</v>
      </c>
      <c r="H6117" s="2" t="s">
        <v>26412</v>
      </c>
      <c r="I6117" s="2" t="s">
        <v>26413</v>
      </c>
      <c r="K6117" s="2" t="s">
        <v>1593</v>
      </c>
      <c r="L6117" s="2" t="s">
        <v>422</v>
      </c>
      <c r="M6117" s="2">
        <v>85259.0</v>
      </c>
      <c r="N6117" s="2" t="s">
        <v>21</v>
      </c>
    </row>
    <row r="6118" ht="15.75" customHeight="1">
      <c r="A6118" s="2">
        <v>2016.0</v>
      </c>
      <c r="B6118" s="2" t="s">
        <v>26414</v>
      </c>
      <c r="C6118" s="2" t="s">
        <v>26415</v>
      </c>
      <c r="D6118" s="2" t="str">
        <f>"4024040857"</f>
        <v>4024040857</v>
      </c>
      <c r="E6118" s="2" t="s">
        <v>167</v>
      </c>
      <c r="F6118" s="2" t="s">
        <v>26416</v>
      </c>
      <c r="G6118" s="2" t="str">
        <f>"SR-8391"</f>
        <v>SR-8391</v>
      </c>
      <c r="H6118" s="2" t="s">
        <v>26417</v>
      </c>
      <c r="I6118" s="2" t="s">
        <v>26418</v>
      </c>
      <c r="K6118" s="2" t="s">
        <v>26419</v>
      </c>
      <c r="L6118" s="2" t="s">
        <v>757</v>
      </c>
      <c r="M6118" s="2">
        <v>68776.0</v>
      </c>
      <c r="N6118" s="2" t="s">
        <v>21</v>
      </c>
    </row>
    <row r="6119" ht="15.75" customHeight="1">
      <c r="A6119" s="2">
        <v>2016.0</v>
      </c>
      <c r="B6119" s="2" t="s">
        <v>26420</v>
      </c>
      <c r="C6119" s="2" t="s">
        <v>26420</v>
      </c>
      <c r="D6119" s="2" t="str">
        <f>"618-971-3746"</f>
        <v>618-971-3746</v>
      </c>
      <c r="E6119" s="2" t="s">
        <v>26421</v>
      </c>
      <c r="F6119" s="2" t="s">
        <v>26422</v>
      </c>
      <c r="G6119" s="2" t="str">
        <f>"SR-7260"</f>
        <v>SR-7260</v>
      </c>
      <c r="H6119" s="2" t="s">
        <v>26423</v>
      </c>
      <c r="I6119" s="2" t="s">
        <v>26424</v>
      </c>
      <c r="K6119" s="2" t="s">
        <v>8693</v>
      </c>
      <c r="L6119" s="2" t="s">
        <v>105</v>
      </c>
      <c r="M6119" s="2">
        <v>62293.0</v>
      </c>
      <c r="N6119" s="2" t="s">
        <v>21</v>
      </c>
    </row>
    <row r="6120" ht="15.75" customHeight="1">
      <c r="A6120" s="2">
        <v>2016.0</v>
      </c>
      <c r="B6120" s="2" t="s">
        <v>21102</v>
      </c>
      <c r="C6120" s="2" t="s">
        <v>21103</v>
      </c>
      <c r="D6120" s="2" t="str">
        <f>"(919)658-8658"</f>
        <v>(919)658-8658</v>
      </c>
      <c r="E6120" s="2" t="s">
        <v>2941</v>
      </c>
      <c r="F6120" s="2" t="s">
        <v>2753</v>
      </c>
      <c r="G6120" s="2" t="str">
        <f>"SR-6463"</f>
        <v>SR-6463</v>
      </c>
      <c r="H6120" s="2" t="s">
        <v>21104</v>
      </c>
      <c r="I6120" s="2" t="s">
        <v>21105</v>
      </c>
      <c r="K6120" s="2" t="s">
        <v>21106</v>
      </c>
      <c r="L6120" s="2" t="s">
        <v>20</v>
      </c>
      <c r="M6120" s="2">
        <v>28365.0</v>
      </c>
      <c r="N6120" s="2" t="s">
        <v>21</v>
      </c>
    </row>
    <row r="6121" ht="15.75" customHeight="1">
      <c r="A6121" s="2">
        <v>2016.0</v>
      </c>
      <c r="B6121" s="2" t="s">
        <v>21102</v>
      </c>
      <c r="C6121" s="2" t="s">
        <v>21107</v>
      </c>
      <c r="D6121" s="2" t="str">
        <f>"919-658-8658"</f>
        <v>919-658-8658</v>
      </c>
      <c r="E6121" s="2" t="s">
        <v>167</v>
      </c>
      <c r="F6121" s="2" t="s">
        <v>2753</v>
      </c>
      <c r="G6121" s="2" t="str">
        <f>"SR-6456"</f>
        <v>SR-6456</v>
      </c>
      <c r="H6121" s="2" t="s">
        <v>21108</v>
      </c>
      <c r="I6121" s="2" t="s">
        <v>21105</v>
      </c>
      <c r="K6121" s="2" t="s">
        <v>21106</v>
      </c>
      <c r="L6121" s="2" t="s">
        <v>20</v>
      </c>
      <c r="M6121" s="2">
        <v>28365.0</v>
      </c>
      <c r="N6121" s="2" t="s">
        <v>21</v>
      </c>
    </row>
    <row r="6122" ht="15.75" customHeight="1">
      <c r="A6122" s="2">
        <v>2016.0</v>
      </c>
      <c r="B6122" s="2" t="s">
        <v>26425</v>
      </c>
      <c r="C6122" s="2" t="s">
        <v>26425</v>
      </c>
      <c r="D6122" s="2" t="str">
        <f>"9317397909"</f>
        <v>9317397909</v>
      </c>
      <c r="E6122" s="2" t="s">
        <v>1190</v>
      </c>
      <c r="F6122" s="2" t="s">
        <v>3779</v>
      </c>
      <c r="G6122" s="2" t="str">
        <f>"SR-8393"</f>
        <v>SR-8393</v>
      </c>
      <c r="H6122" s="2" t="s">
        <v>26426</v>
      </c>
      <c r="I6122" s="2" t="s">
        <v>26427</v>
      </c>
      <c r="K6122" s="2" t="s">
        <v>3849</v>
      </c>
      <c r="L6122" s="2" t="s">
        <v>279</v>
      </c>
      <c r="M6122" s="2">
        <v>38583.0</v>
      </c>
      <c r="N6122" s="2" t="s">
        <v>21</v>
      </c>
    </row>
    <row r="6123" ht="15.75" customHeight="1">
      <c r="A6123" s="2">
        <v>2016.0</v>
      </c>
      <c r="B6123" s="2" t="s">
        <v>26428</v>
      </c>
      <c r="C6123" s="2" t="s">
        <v>26428</v>
      </c>
      <c r="D6123" s="2" t="str">
        <f>"860-381-5077"</f>
        <v>860-381-5077</v>
      </c>
      <c r="E6123" s="2" t="s">
        <v>471</v>
      </c>
      <c r="F6123" s="2" t="s">
        <v>23001</v>
      </c>
      <c r="G6123" s="2" t="str">
        <f>"SR-8395"</f>
        <v>SR-8395</v>
      </c>
      <c r="H6123" s="2" t="s">
        <v>26429</v>
      </c>
      <c r="I6123" s="2" t="s">
        <v>26430</v>
      </c>
      <c r="K6123" s="2" t="s">
        <v>26431</v>
      </c>
      <c r="L6123" s="2" t="s">
        <v>4836</v>
      </c>
      <c r="M6123" s="2">
        <v>6339.0</v>
      </c>
      <c r="N6123" s="2" t="s">
        <v>21</v>
      </c>
    </row>
    <row r="6124" ht="15.75" customHeight="1">
      <c r="A6124" s="2">
        <v>2016.0</v>
      </c>
      <c r="B6124" s="2" t="s">
        <v>8715</v>
      </c>
      <c r="C6124" s="2" t="s">
        <v>8715</v>
      </c>
      <c r="D6124" s="2" t="str">
        <f>"(309) 339-5318"</f>
        <v>(309) 339-5318</v>
      </c>
      <c r="E6124" s="2" t="s">
        <v>1440</v>
      </c>
      <c r="F6124" s="2" t="s">
        <v>8716</v>
      </c>
      <c r="G6124" s="2" t="str">
        <f>"SR-2523"</f>
        <v>SR-2523</v>
      </c>
      <c r="H6124" s="2" t="s">
        <v>8717</v>
      </c>
      <c r="I6124" s="2" t="s">
        <v>8718</v>
      </c>
      <c r="K6124" s="2" t="s">
        <v>104</v>
      </c>
      <c r="L6124" s="2" t="s">
        <v>105</v>
      </c>
      <c r="M6124" s="2">
        <v>61615.0</v>
      </c>
      <c r="N6124" s="2" t="s">
        <v>21</v>
      </c>
    </row>
    <row r="6125" ht="15.75" customHeight="1">
      <c r="A6125" s="2">
        <v>2016.0</v>
      </c>
      <c r="B6125" s="2" t="s">
        <v>26432</v>
      </c>
      <c r="C6125" s="2" t="s">
        <v>26433</v>
      </c>
      <c r="D6125" s="2" t="str">
        <f>"512-820-2793"</f>
        <v>512-820-2793</v>
      </c>
      <c r="E6125" s="2" t="s">
        <v>373</v>
      </c>
      <c r="F6125" s="2" t="s">
        <v>1151</v>
      </c>
      <c r="G6125" s="2" t="str">
        <f>"SR-6921"</f>
        <v>SR-6921</v>
      </c>
      <c r="H6125" s="2" t="s">
        <v>26434</v>
      </c>
      <c r="I6125" s="2" t="s">
        <v>26435</v>
      </c>
      <c r="K6125" s="2" t="s">
        <v>538</v>
      </c>
      <c r="L6125" s="2" t="s">
        <v>172</v>
      </c>
      <c r="M6125" s="2">
        <v>77316.0</v>
      </c>
      <c r="N6125" s="2" t="s">
        <v>21</v>
      </c>
    </row>
    <row r="6126" ht="15.75" customHeight="1">
      <c r="A6126" s="2">
        <v>2016.0</v>
      </c>
      <c r="B6126" s="2" t="s">
        <v>26436</v>
      </c>
      <c r="C6126" s="2" t="s">
        <v>26436</v>
      </c>
      <c r="D6126" s="2" t="str">
        <f>"9403001659"</f>
        <v>9403001659</v>
      </c>
      <c r="E6126" s="2" t="s">
        <v>4300</v>
      </c>
      <c r="F6126" s="2" t="s">
        <v>26437</v>
      </c>
      <c r="G6126" s="2" t="str">
        <f>"SR-8399"</f>
        <v>SR-8399</v>
      </c>
      <c r="H6126" s="2" t="s">
        <v>26438</v>
      </c>
      <c r="I6126" s="2" t="s">
        <v>26439</v>
      </c>
      <c r="K6126" s="2" t="s">
        <v>26440</v>
      </c>
      <c r="L6126" s="2" t="s">
        <v>172</v>
      </c>
      <c r="M6126" s="2">
        <v>76259.0</v>
      </c>
      <c r="N6126" s="2" t="s">
        <v>21</v>
      </c>
    </row>
    <row r="6127" ht="15.75" customHeight="1">
      <c r="A6127" s="2">
        <v>2016.0</v>
      </c>
      <c r="B6127" s="2" t="s">
        <v>12254</v>
      </c>
      <c r="C6127" s="2" t="s">
        <v>26441</v>
      </c>
      <c r="D6127" s="2" t="str">
        <f>"515-664-6702"</f>
        <v>515-664-6702</v>
      </c>
      <c r="E6127" s="2" t="s">
        <v>3037</v>
      </c>
      <c r="F6127" s="2" t="s">
        <v>12257</v>
      </c>
      <c r="G6127" s="2" t="str">
        <f>"SR-8254"</f>
        <v>SR-8254</v>
      </c>
      <c r="H6127" s="2" t="s">
        <v>26442</v>
      </c>
      <c r="I6127" s="2" t="s">
        <v>12259</v>
      </c>
      <c r="K6127" s="2" t="s">
        <v>26443</v>
      </c>
      <c r="L6127" s="2" t="s">
        <v>560</v>
      </c>
      <c r="M6127" s="2">
        <v>50325.0</v>
      </c>
      <c r="N6127" s="2" t="s">
        <v>21</v>
      </c>
    </row>
    <row r="6128" ht="15.75" customHeight="1">
      <c r="A6128" s="2">
        <v>2016.0</v>
      </c>
      <c r="B6128" s="2" t="s">
        <v>26444</v>
      </c>
      <c r="C6128" s="2" t="s">
        <v>26444</v>
      </c>
      <c r="D6128" s="2" t="str">
        <f>"8285454671"</f>
        <v>8285454671</v>
      </c>
      <c r="E6128" s="2" t="s">
        <v>2126</v>
      </c>
      <c r="F6128" s="2" t="s">
        <v>26445</v>
      </c>
      <c r="G6128" s="2" t="str">
        <f>"SR-7213"</f>
        <v>SR-7213</v>
      </c>
      <c r="H6128" s="2" t="s">
        <v>26446</v>
      </c>
      <c r="I6128" s="2" t="s">
        <v>26447</v>
      </c>
      <c r="K6128" s="2" t="s">
        <v>17947</v>
      </c>
      <c r="L6128" s="2" t="s">
        <v>20</v>
      </c>
      <c r="M6128" s="2">
        <v>28730.0</v>
      </c>
      <c r="N6128" s="2" t="s">
        <v>21</v>
      </c>
    </row>
    <row r="6129" ht="15.75" customHeight="1">
      <c r="A6129" s="2">
        <v>2016.0</v>
      </c>
      <c r="B6129" s="2" t="s">
        <v>26448</v>
      </c>
      <c r="C6129" s="2" t="s">
        <v>26448</v>
      </c>
      <c r="D6129" s="2" t="str">
        <f>"7192528102"</f>
        <v>7192528102</v>
      </c>
      <c r="E6129" s="2" t="s">
        <v>261</v>
      </c>
      <c r="F6129" s="2" t="s">
        <v>26449</v>
      </c>
      <c r="G6129" s="2" t="str">
        <f>"SR-8402"</f>
        <v>SR-8402</v>
      </c>
      <c r="H6129" s="2" t="s">
        <v>26450</v>
      </c>
      <c r="I6129" s="2" t="s">
        <v>26451</v>
      </c>
      <c r="K6129" s="2" t="s">
        <v>12320</v>
      </c>
      <c r="L6129" s="2" t="s">
        <v>157</v>
      </c>
      <c r="M6129" s="2">
        <v>81039.0</v>
      </c>
      <c r="N6129" s="2" t="s">
        <v>21</v>
      </c>
    </row>
    <row r="6130" ht="15.75" customHeight="1">
      <c r="A6130" s="2">
        <v>2016.0</v>
      </c>
      <c r="B6130" s="2" t="s">
        <v>26452</v>
      </c>
      <c r="C6130" s="2" t="s">
        <v>26452</v>
      </c>
      <c r="D6130" s="2" t="str">
        <f>"402-455-2038"</f>
        <v>402-455-2038</v>
      </c>
      <c r="E6130" s="2" t="s">
        <v>9470</v>
      </c>
      <c r="F6130" s="2" t="s">
        <v>5414</v>
      </c>
      <c r="G6130" s="2" t="str">
        <f>"SR-8296"</f>
        <v>SR-8296</v>
      </c>
      <c r="H6130" s="2" t="s">
        <v>26453</v>
      </c>
      <c r="I6130" s="2" t="s">
        <v>26454</v>
      </c>
      <c r="K6130" s="2" t="s">
        <v>1470</v>
      </c>
      <c r="L6130" s="2" t="s">
        <v>757</v>
      </c>
      <c r="M6130" s="2">
        <v>68104.0</v>
      </c>
      <c r="N6130" s="2" t="s">
        <v>21</v>
      </c>
    </row>
    <row r="6131" ht="15.75" customHeight="1">
      <c r="A6131" s="2">
        <v>2016.0</v>
      </c>
      <c r="B6131" s="2" t="s">
        <v>26455</v>
      </c>
      <c r="C6131" s="2" t="s">
        <v>26455</v>
      </c>
      <c r="D6131" s="2" t="str">
        <f>"8045167494"</f>
        <v>8045167494</v>
      </c>
      <c r="E6131" s="2" t="s">
        <v>4716</v>
      </c>
      <c r="F6131" s="2" t="s">
        <v>26456</v>
      </c>
      <c r="G6131" s="2" t="str">
        <f>"SR-8406"</f>
        <v>SR-8406</v>
      </c>
      <c r="H6131" s="2" t="s">
        <v>26457</v>
      </c>
      <c r="I6131" s="2" t="s">
        <v>26458</v>
      </c>
      <c r="K6131" s="2" t="s">
        <v>11179</v>
      </c>
      <c r="L6131" s="2" t="s">
        <v>165</v>
      </c>
      <c r="M6131" s="2">
        <v>23112.0</v>
      </c>
      <c r="N6131" s="2" t="s">
        <v>21</v>
      </c>
    </row>
    <row r="6132" ht="15.75" customHeight="1">
      <c r="A6132" s="2">
        <v>2016.0</v>
      </c>
      <c r="B6132" s="2" t="s">
        <v>26459</v>
      </c>
      <c r="C6132" s="2" t="s">
        <v>26460</v>
      </c>
      <c r="D6132" s="2" t="str">
        <f>"505 672-9708"</f>
        <v>505 672-9708</v>
      </c>
      <c r="E6132" s="2" t="s">
        <v>751</v>
      </c>
      <c r="F6132" s="2" t="s">
        <v>26461</v>
      </c>
      <c r="G6132" s="2" t="str">
        <f>"SR-8407"</f>
        <v>SR-8407</v>
      </c>
      <c r="H6132" s="2" t="s">
        <v>26462</v>
      </c>
      <c r="I6132" s="2" t="s">
        <v>26463</v>
      </c>
      <c r="J6132" s="2" t="s">
        <v>26464</v>
      </c>
      <c r="K6132" s="2" t="s">
        <v>16861</v>
      </c>
      <c r="L6132" s="2" t="s">
        <v>789</v>
      </c>
      <c r="M6132" s="2">
        <v>87544.0</v>
      </c>
      <c r="N6132" s="2" t="s">
        <v>21</v>
      </c>
    </row>
    <row r="6133" ht="15.75" customHeight="1">
      <c r="A6133" s="2">
        <v>2016.0</v>
      </c>
      <c r="B6133" s="2" t="s">
        <v>26465</v>
      </c>
      <c r="C6133" s="2" t="s">
        <v>26466</v>
      </c>
      <c r="D6133" s="2" t="str">
        <f>"901-267-9107"</f>
        <v>901-267-9107</v>
      </c>
      <c r="E6133" s="2" t="s">
        <v>282</v>
      </c>
      <c r="F6133" s="2" t="s">
        <v>26467</v>
      </c>
      <c r="G6133" s="2" t="str">
        <f>"SR-8245"</f>
        <v>SR-8245</v>
      </c>
      <c r="H6133" s="2" t="s">
        <v>26468</v>
      </c>
      <c r="I6133" s="2" t="s">
        <v>26469</v>
      </c>
      <c r="K6133" s="2" t="s">
        <v>26470</v>
      </c>
      <c r="L6133" s="2" t="s">
        <v>279</v>
      </c>
      <c r="M6133" s="2">
        <v>38066.0</v>
      </c>
      <c r="N6133" s="2" t="s">
        <v>21</v>
      </c>
    </row>
    <row r="6134" ht="15.75" customHeight="1">
      <c r="A6134" s="2">
        <v>2016.0</v>
      </c>
      <c r="B6134" s="2" t="s">
        <v>26471</v>
      </c>
      <c r="C6134" s="2" t="s">
        <v>26472</v>
      </c>
      <c r="D6134" s="2" t="str">
        <f>"423-303-6661"</f>
        <v>423-303-6661</v>
      </c>
      <c r="E6134" s="2" t="s">
        <v>26473</v>
      </c>
      <c r="F6134" s="2" t="s">
        <v>1101</v>
      </c>
      <c r="G6134" s="2" t="str">
        <f>"SR-7651"</f>
        <v>SR-7651</v>
      </c>
      <c r="H6134" s="2" t="s">
        <v>26474</v>
      </c>
      <c r="I6134" s="2" t="s">
        <v>26475</v>
      </c>
      <c r="K6134" s="2" t="s">
        <v>1408</v>
      </c>
      <c r="L6134" s="2" t="s">
        <v>279</v>
      </c>
      <c r="M6134" s="2">
        <v>37312.0</v>
      </c>
      <c r="N6134" s="2" t="s">
        <v>21</v>
      </c>
    </row>
    <row r="6135" ht="15.75" customHeight="1">
      <c r="A6135" s="2">
        <v>2016.0</v>
      </c>
      <c r="B6135" s="2" t="s">
        <v>26476</v>
      </c>
      <c r="C6135" s="2" t="s">
        <v>26477</v>
      </c>
      <c r="D6135" s="2" t="str">
        <f>"713-443-7203"</f>
        <v>713-443-7203</v>
      </c>
      <c r="E6135" s="2" t="s">
        <v>5760</v>
      </c>
      <c r="F6135" s="2" t="s">
        <v>1040</v>
      </c>
      <c r="G6135" s="2" t="str">
        <f>"SR-8369"</f>
        <v>SR-8369</v>
      </c>
      <c r="H6135" s="2" t="s">
        <v>26478</v>
      </c>
      <c r="I6135" s="2" t="s">
        <v>26479</v>
      </c>
      <c r="K6135" s="2" t="s">
        <v>538</v>
      </c>
      <c r="L6135" s="2" t="s">
        <v>172</v>
      </c>
      <c r="M6135" s="2">
        <v>77356.0</v>
      </c>
      <c r="N6135" s="2" t="s">
        <v>21</v>
      </c>
    </row>
    <row r="6136" ht="15.75" customHeight="1">
      <c r="A6136" s="2">
        <v>2016.0</v>
      </c>
      <c r="B6136" s="2" t="s">
        <v>26480</v>
      </c>
      <c r="C6136" s="2" t="s">
        <v>26481</v>
      </c>
      <c r="D6136" s="2" t="str">
        <f>"515-528-1845"</f>
        <v>515-528-1845</v>
      </c>
      <c r="E6136" s="2" t="s">
        <v>225</v>
      </c>
      <c r="F6136" s="2" t="s">
        <v>11456</v>
      </c>
      <c r="G6136" s="2" t="str">
        <f>"SR-8384"</f>
        <v>SR-8384</v>
      </c>
      <c r="H6136" s="2" t="s">
        <v>26482</v>
      </c>
      <c r="I6136" s="2" t="s">
        <v>26483</v>
      </c>
      <c r="J6136" s="2" t="s">
        <v>26484</v>
      </c>
      <c r="K6136" s="2" t="s">
        <v>26485</v>
      </c>
      <c r="L6136" s="2" t="s">
        <v>560</v>
      </c>
      <c r="M6136" s="2">
        <v>50069.0</v>
      </c>
      <c r="N6136" s="2" t="s">
        <v>21</v>
      </c>
    </row>
    <row r="6137" ht="15.75" customHeight="1">
      <c r="A6137" s="2">
        <v>2016.0</v>
      </c>
      <c r="B6137" s="2" t="s">
        <v>26486</v>
      </c>
      <c r="C6137" s="2" t="s">
        <v>26487</v>
      </c>
      <c r="D6137" s="2" t="str">
        <f>"6147577084"</f>
        <v>6147577084</v>
      </c>
      <c r="E6137" s="2" t="s">
        <v>5736</v>
      </c>
      <c r="F6137" s="2" t="s">
        <v>26488</v>
      </c>
      <c r="G6137" s="2" t="str">
        <f>"SR-8413"</f>
        <v>SR-8413</v>
      </c>
      <c r="H6137" s="2" t="s">
        <v>26489</v>
      </c>
      <c r="I6137" s="2" t="s">
        <v>26490</v>
      </c>
      <c r="K6137" s="2" t="s">
        <v>26491</v>
      </c>
      <c r="L6137" s="2" t="s">
        <v>344</v>
      </c>
      <c r="M6137" s="2">
        <v>43026.0</v>
      </c>
      <c r="N6137" s="2" t="s">
        <v>21</v>
      </c>
    </row>
    <row r="6138" ht="15.75" customHeight="1">
      <c r="A6138" s="2">
        <v>2016.0</v>
      </c>
      <c r="B6138" s="2" t="s">
        <v>26492</v>
      </c>
      <c r="C6138" s="2" t="s">
        <v>26492</v>
      </c>
      <c r="D6138" s="2" t="str">
        <f>"9702092292"</f>
        <v>9702092292</v>
      </c>
      <c r="E6138" s="2" t="s">
        <v>453</v>
      </c>
      <c r="F6138" s="2" t="s">
        <v>26493</v>
      </c>
      <c r="G6138" s="2" t="str">
        <f>"SR-8409"</f>
        <v>SR-8409</v>
      </c>
      <c r="H6138" s="2" t="s">
        <v>26494</v>
      </c>
      <c r="I6138" s="2" t="s">
        <v>26495</v>
      </c>
      <c r="K6138" s="2" t="s">
        <v>26496</v>
      </c>
      <c r="L6138" s="2" t="s">
        <v>157</v>
      </c>
      <c r="M6138" s="2">
        <v>81401.0</v>
      </c>
      <c r="N6138" s="2" t="s">
        <v>21</v>
      </c>
    </row>
    <row r="6139" ht="15.75" customHeight="1">
      <c r="A6139" s="2">
        <v>2016.0</v>
      </c>
      <c r="B6139" s="2" t="s">
        <v>26497</v>
      </c>
      <c r="C6139" s="2" t="s">
        <v>26497</v>
      </c>
      <c r="D6139" s="2" t="str">
        <f>"6786285717"</f>
        <v>6786285717</v>
      </c>
      <c r="E6139" s="2" t="s">
        <v>1450</v>
      </c>
      <c r="F6139" s="2" t="s">
        <v>1101</v>
      </c>
      <c r="G6139" s="2" t="str">
        <f>"SR-8416"</f>
        <v>SR-8416</v>
      </c>
      <c r="H6139" s="2" t="s">
        <v>26498</v>
      </c>
      <c r="I6139" s="2" t="s">
        <v>26499</v>
      </c>
      <c r="K6139" s="2" t="s">
        <v>11963</v>
      </c>
      <c r="L6139" s="2" t="s">
        <v>200</v>
      </c>
      <c r="M6139" s="2">
        <v>30114.0</v>
      </c>
      <c r="N6139" s="2" t="s">
        <v>21</v>
      </c>
    </row>
    <row r="6140" ht="15.75" customHeight="1">
      <c r="A6140" s="2">
        <v>2016.0</v>
      </c>
      <c r="B6140" s="2" t="s">
        <v>26500</v>
      </c>
      <c r="C6140" s="2" t="s">
        <v>26500</v>
      </c>
      <c r="D6140" s="2" t="str">
        <f>"4408046561"</f>
        <v>4408046561</v>
      </c>
      <c r="E6140" s="2" t="s">
        <v>830</v>
      </c>
      <c r="F6140" s="2" t="s">
        <v>16749</v>
      </c>
      <c r="G6140" s="2" t="str">
        <f>"SR-8368"</f>
        <v>SR-8368</v>
      </c>
      <c r="H6140" s="2" t="s">
        <v>26501</v>
      </c>
      <c r="I6140" s="2" t="s">
        <v>26502</v>
      </c>
      <c r="K6140" s="2" t="s">
        <v>26503</v>
      </c>
      <c r="L6140" s="2" t="s">
        <v>344</v>
      </c>
      <c r="M6140" s="2">
        <v>44022.0</v>
      </c>
      <c r="N6140" s="2" t="s">
        <v>21</v>
      </c>
    </row>
    <row r="6141" ht="15.75" customHeight="1">
      <c r="A6141" s="2">
        <v>2016.0</v>
      </c>
      <c r="B6141" s="2" t="s">
        <v>26504</v>
      </c>
      <c r="C6141" s="2" t="s">
        <v>26504</v>
      </c>
      <c r="D6141" s="2" t="str">
        <f>"(540) 597-8529"</f>
        <v>(540) 597-8529</v>
      </c>
      <c r="E6141" s="2" t="s">
        <v>13027</v>
      </c>
      <c r="F6141" s="2" t="s">
        <v>3817</v>
      </c>
      <c r="G6141" s="2" t="str">
        <f>"SR-8403"</f>
        <v>SR-8403</v>
      </c>
      <c r="H6141" s="2" t="s">
        <v>26505</v>
      </c>
      <c r="I6141" s="2" t="s">
        <v>12222</v>
      </c>
      <c r="K6141" s="2" t="s">
        <v>12223</v>
      </c>
      <c r="L6141" s="2" t="s">
        <v>165</v>
      </c>
      <c r="M6141" s="2">
        <v>24121.0</v>
      </c>
      <c r="N6141" s="2" t="s">
        <v>21</v>
      </c>
    </row>
    <row r="6142" ht="15.75" customHeight="1">
      <c r="A6142" s="2">
        <v>2016.0</v>
      </c>
      <c r="B6142" s="2" t="s">
        <v>26506</v>
      </c>
      <c r="C6142" s="2" t="s">
        <v>26507</v>
      </c>
      <c r="D6142" s="2" t="str">
        <f>"407-467-0940"</f>
        <v>407-467-0940</v>
      </c>
      <c r="E6142" s="2" t="s">
        <v>2263</v>
      </c>
      <c r="F6142" s="2" t="s">
        <v>7265</v>
      </c>
      <c r="G6142" s="2" t="str">
        <f>"SR-8418"</f>
        <v>SR-8418</v>
      </c>
      <c r="H6142" s="2" t="s">
        <v>26508</v>
      </c>
      <c r="I6142" s="2" t="s">
        <v>26509</v>
      </c>
      <c r="K6142" s="2" t="s">
        <v>26510</v>
      </c>
      <c r="L6142" s="2" t="s">
        <v>208</v>
      </c>
      <c r="M6142" s="2">
        <v>34734.0</v>
      </c>
      <c r="N6142" s="2" t="s">
        <v>21</v>
      </c>
    </row>
    <row r="6143" ht="15.75" customHeight="1">
      <c r="A6143" s="2">
        <v>2016.0</v>
      </c>
      <c r="B6143" s="2" t="s">
        <v>22746</v>
      </c>
      <c r="C6143" s="2" t="s">
        <v>22746</v>
      </c>
      <c r="D6143" s="2" t="str">
        <f>"678-628-9612"</f>
        <v>678-628-9612</v>
      </c>
      <c r="E6143" s="2" t="s">
        <v>2752</v>
      </c>
      <c r="F6143" s="2" t="s">
        <v>1101</v>
      </c>
      <c r="G6143" s="2" t="str">
        <f>"SR-6954"</f>
        <v>SR-6954</v>
      </c>
      <c r="H6143" s="2" t="s">
        <v>22747</v>
      </c>
      <c r="I6143" s="2" t="s">
        <v>22748</v>
      </c>
      <c r="K6143" s="2" t="s">
        <v>11963</v>
      </c>
      <c r="L6143" s="2" t="s">
        <v>200</v>
      </c>
      <c r="M6143" s="2">
        <v>30114.0</v>
      </c>
      <c r="N6143" s="2" t="s">
        <v>21</v>
      </c>
    </row>
    <row r="6144" ht="15.75" customHeight="1">
      <c r="A6144" s="2">
        <v>2016.0</v>
      </c>
      <c r="B6144" s="2" t="s">
        <v>26511</v>
      </c>
      <c r="C6144" s="2" t="s">
        <v>26511</v>
      </c>
      <c r="D6144" s="2" t="str">
        <f>"8632432200"</f>
        <v>8632432200</v>
      </c>
      <c r="E6144" s="2" t="s">
        <v>26512</v>
      </c>
      <c r="F6144" s="2" t="s">
        <v>26513</v>
      </c>
      <c r="G6144" s="2" t="str">
        <f>"SR-8419"</f>
        <v>SR-8419</v>
      </c>
      <c r="H6144" s="2" t="s">
        <v>26514</v>
      </c>
      <c r="I6144" s="2" t="s">
        <v>26515</v>
      </c>
      <c r="K6144" s="2" t="s">
        <v>26300</v>
      </c>
      <c r="L6144" s="2" t="s">
        <v>208</v>
      </c>
      <c r="M6144" s="2">
        <v>33852.0</v>
      </c>
      <c r="N6144" s="2" t="s">
        <v>21</v>
      </c>
    </row>
    <row r="6145" ht="15.75" customHeight="1">
      <c r="A6145" s="2">
        <v>2016.0</v>
      </c>
      <c r="B6145" s="2" t="s">
        <v>26516</v>
      </c>
      <c r="C6145" s="2" t="s">
        <v>26516</v>
      </c>
      <c r="D6145" s="2" t="str">
        <f>"(540) 966-4365"</f>
        <v>(540) 966-4365</v>
      </c>
      <c r="E6145" s="2" t="s">
        <v>862</v>
      </c>
      <c r="F6145" s="2" t="s">
        <v>638</v>
      </c>
      <c r="G6145" s="2" t="str">
        <f>"SR-8411"</f>
        <v>SR-8411</v>
      </c>
      <c r="H6145" s="2" t="s">
        <v>26517</v>
      </c>
      <c r="I6145" s="2" t="s">
        <v>26518</v>
      </c>
      <c r="K6145" s="2" t="s">
        <v>4577</v>
      </c>
      <c r="L6145" s="2" t="s">
        <v>165</v>
      </c>
      <c r="M6145" s="2">
        <v>24019.0</v>
      </c>
      <c r="N6145" s="2" t="s">
        <v>21</v>
      </c>
    </row>
    <row r="6146" ht="15.75" customHeight="1">
      <c r="A6146" s="2">
        <v>2016.0</v>
      </c>
      <c r="B6146" s="2" t="s">
        <v>26519</v>
      </c>
      <c r="C6146" s="2" t="s">
        <v>26520</v>
      </c>
      <c r="D6146" s="2" t="str">
        <f>"727-392-5657"</f>
        <v>727-392-5657</v>
      </c>
      <c r="E6146" s="2" t="s">
        <v>26521</v>
      </c>
      <c r="F6146" s="2" t="s">
        <v>26522</v>
      </c>
      <c r="G6146" s="2" t="str">
        <f>"SR-8003"</f>
        <v>SR-8003</v>
      </c>
      <c r="H6146" s="2" t="s">
        <v>26523</v>
      </c>
      <c r="I6146" s="2" t="s">
        <v>26524</v>
      </c>
      <c r="K6146" s="2" t="s">
        <v>4042</v>
      </c>
      <c r="L6146" s="2" t="s">
        <v>208</v>
      </c>
      <c r="M6146" s="2">
        <v>33772.0</v>
      </c>
      <c r="N6146" s="2" t="s">
        <v>21</v>
      </c>
    </row>
    <row r="6147" ht="15.75" customHeight="1">
      <c r="A6147" s="2">
        <v>2016.0</v>
      </c>
      <c r="B6147" s="2" t="s">
        <v>26525</v>
      </c>
      <c r="C6147" s="2" t="s">
        <v>26525</v>
      </c>
      <c r="D6147" s="2" t="str">
        <f>"541-366-1479"</f>
        <v>541-366-1479</v>
      </c>
      <c r="E6147" s="2" t="s">
        <v>2438</v>
      </c>
      <c r="F6147" s="2" t="s">
        <v>26526</v>
      </c>
      <c r="G6147" s="2" t="str">
        <f>"SR-8345"</f>
        <v>SR-8345</v>
      </c>
      <c r="H6147" s="2" t="s">
        <v>26527</v>
      </c>
      <c r="I6147" s="2" t="s">
        <v>26528</v>
      </c>
      <c r="K6147" s="2" t="s">
        <v>26529</v>
      </c>
      <c r="L6147" s="2" t="s">
        <v>2389</v>
      </c>
      <c r="M6147" s="2">
        <v>97414.0</v>
      </c>
      <c r="N6147" s="2" t="s">
        <v>21</v>
      </c>
    </row>
    <row r="6148" ht="15.75" customHeight="1">
      <c r="A6148" s="2">
        <v>2016.0</v>
      </c>
      <c r="B6148" s="2" t="s">
        <v>26525</v>
      </c>
      <c r="C6148" s="2" t="s">
        <v>26525</v>
      </c>
      <c r="D6148" s="2" t="str">
        <f>"541-290-0177"</f>
        <v>541-290-0177</v>
      </c>
      <c r="E6148" s="2" t="s">
        <v>2259</v>
      </c>
      <c r="F6148" s="2" t="s">
        <v>26530</v>
      </c>
      <c r="G6148" s="2" t="str">
        <f>"SR-8350"</f>
        <v>SR-8350</v>
      </c>
      <c r="H6148" s="2" t="s">
        <v>26531</v>
      </c>
      <c r="I6148" s="2" t="s">
        <v>26532</v>
      </c>
      <c r="K6148" s="2" t="s">
        <v>18755</v>
      </c>
      <c r="L6148" s="2" t="s">
        <v>2389</v>
      </c>
      <c r="M6148" s="2">
        <v>97458.0</v>
      </c>
      <c r="N6148" s="2" t="s">
        <v>21</v>
      </c>
    </row>
    <row r="6149" ht="15.75" customHeight="1">
      <c r="A6149" s="2">
        <v>2016.0</v>
      </c>
      <c r="B6149" s="2" t="s">
        <v>26533</v>
      </c>
      <c r="C6149" s="2" t="s">
        <v>26533</v>
      </c>
      <c r="D6149" s="2" t="str">
        <f>"832-407-0202"</f>
        <v>832-407-0202</v>
      </c>
      <c r="E6149" s="2" t="s">
        <v>1263</v>
      </c>
      <c r="F6149" s="2" t="s">
        <v>25683</v>
      </c>
      <c r="G6149" s="2" t="str">
        <f>"SR-8343"</f>
        <v>SR-8343</v>
      </c>
      <c r="H6149" s="2" t="s">
        <v>26534</v>
      </c>
      <c r="I6149" s="2" t="s">
        <v>26535</v>
      </c>
      <c r="K6149" s="2" t="s">
        <v>444</v>
      </c>
      <c r="L6149" s="2" t="s">
        <v>172</v>
      </c>
      <c r="M6149" s="2">
        <v>77070.0</v>
      </c>
      <c r="N6149" s="2" t="s">
        <v>21</v>
      </c>
    </row>
    <row r="6150" ht="15.75" customHeight="1">
      <c r="A6150" s="2">
        <v>2016.0</v>
      </c>
      <c r="B6150" s="2" t="s">
        <v>26536</v>
      </c>
      <c r="C6150" s="2" t="s">
        <v>26536</v>
      </c>
      <c r="D6150" s="2" t="str">
        <f>"719-248-1884"</f>
        <v>719-248-1884</v>
      </c>
      <c r="E6150" s="2" t="s">
        <v>1782</v>
      </c>
      <c r="F6150" s="2" t="s">
        <v>26449</v>
      </c>
      <c r="G6150" s="2" t="str">
        <f>"SR-8405"</f>
        <v>SR-8405</v>
      </c>
      <c r="H6150" s="2" t="s">
        <v>26537</v>
      </c>
      <c r="I6150" s="2" t="s">
        <v>26538</v>
      </c>
      <c r="K6150" s="2" t="s">
        <v>12320</v>
      </c>
      <c r="L6150" s="2" t="s">
        <v>157</v>
      </c>
      <c r="M6150" s="2">
        <v>81039.0</v>
      </c>
      <c r="N6150" s="2" t="s">
        <v>21</v>
      </c>
    </row>
    <row r="6151" ht="15.75" customHeight="1">
      <c r="A6151" s="2">
        <v>2016.0</v>
      </c>
      <c r="B6151" s="2" t="s">
        <v>26539</v>
      </c>
      <c r="C6151" s="2" t="s">
        <v>26540</v>
      </c>
      <c r="D6151" s="2" t="str">
        <f>"803.968.9019"</f>
        <v>803.968.9019</v>
      </c>
      <c r="E6151" s="2" t="s">
        <v>225</v>
      </c>
      <c r="F6151" s="2" t="s">
        <v>26541</v>
      </c>
      <c r="G6151" s="2" t="str">
        <f>"SR-8136"</f>
        <v>SR-8136</v>
      </c>
      <c r="H6151" s="2" t="s">
        <v>26542</v>
      </c>
      <c r="I6151" s="2" t="s">
        <v>26543</v>
      </c>
      <c r="K6151" s="2" t="s">
        <v>26544</v>
      </c>
      <c r="L6151" s="2" t="s">
        <v>172</v>
      </c>
      <c r="M6151" s="2">
        <v>75189.0</v>
      </c>
      <c r="N6151" s="2" t="s">
        <v>21</v>
      </c>
    </row>
    <row r="6152" ht="15.75" customHeight="1">
      <c r="A6152" s="2">
        <v>2016.0</v>
      </c>
      <c r="B6152" s="2" t="s">
        <v>26545</v>
      </c>
      <c r="C6152" s="2" t="s">
        <v>26546</v>
      </c>
      <c r="D6152" s="2" t="str">
        <f>"865-399-5202"</f>
        <v>865-399-5202</v>
      </c>
      <c r="E6152" s="2" t="s">
        <v>26547</v>
      </c>
      <c r="F6152" s="2" t="s">
        <v>26548</v>
      </c>
      <c r="G6152" s="2" t="str">
        <f>"SR-8352"</f>
        <v>SR-8352</v>
      </c>
      <c r="H6152" s="2" t="s">
        <v>26549</v>
      </c>
      <c r="I6152" s="2" t="s">
        <v>26550</v>
      </c>
      <c r="K6152" s="2" t="s">
        <v>1791</v>
      </c>
      <c r="L6152" s="2" t="s">
        <v>279</v>
      </c>
      <c r="M6152" s="2">
        <v>37716.0</v>
      </c>
      <c r="N6152" s="2" t="s">
        <v>21</v>
      </c>
    </row>
    <row r="6153" ht="15.75" customHeight="1">
      <c r="A6153" s="2">
        <v>2016.0</v>
      </c>
      <c r="B6153" s="2" t="s">
        <v>26551</v>
      </c>
      <c r="C6153" s="2" t="s">
        <v>26552</v>
      </c>
      <c r="D6153" s="2" t="str">
        <f>"15632935175"</f>
        <v>15632935175</v>
      </c>
      <c r="E6153" s="2" t="s">
        <v>26553</v>
      </c>
      <c r="F6153" s="2" t="s">
        <v>4566</v>
      </c>
      <c r="G6153" s="2" t="str">
        <f>"SR-8443"</f>
        <v>SR-8443</v>
      </c>
      <c r="H6153" s="2" t="s">
        <v>26554</v>
      </c>
      <c r="I6153" s="2" t="s">
        <v>26555</v>
      </c>
      <c r="K6153" s="2" t="s">
        <v>3273</v>
      </c>
      <c r="L6153" s="2" t="s">
        <v>560</v>
      </c>
      <c r="M6153" s="2">
        <v>52405.0</v>
      </c>
      <c r="N6153" s="2" t="s">
        <v>21</v>
      </c>
    </row>
    <row r="6154" ht="15.75" customHeight="1">
      <c r="A6154" s="2">
        <v>2016.0</v>
      </c>
      <c r="B6154" s="2" t="s">
        <v>26556</v>
      </c>
      <c r="C6154" s="2" t="s">
        <v>21224</v>
      </c>
      <c r="D6154" s="2" t="str">
        <f>"540-421-3067"</f>
        <v>540-421-3067</v>
      </c>
      <c r="E6154" s="2" t="s">
        <v>2083</v>
      </c>
      <c r="F6154" s="2" t="s">
        <v>1040</v>
      </c>
      <c r="G6154" s="2" t="str">
        <f>"SR-8445"</f>
        <v>SR-8445</v>
      </c>
      <c r="H6154" s="2" t="s">
        <v>21225</v>
      </c>
      <c r="I6154" s="2">
        <v>3425.0</v>
      </c>
      <c r="J6154" s="2" t="s">
        <v>26557</v>
      </c>
      <c r="K6154" s="2" t="s">
        <v>10716</v>
      </c>
      <c r="L6154" s="2" t="s">
        <v>165</v>
      </c>
      <c r="M6154" s="2">
        <v>22801.0</v>
      </c>
      <c r="N6154" s="2" t="s">
        <v>21</v>
      </c>
    </row>
    <row r="6155" ht="15.75" customHeight="1">
      <c r="A6155" s="2">
        <v>2016.0</v>
      </c>
      <c r="B6155" s="2" t="s">
        <v>26551</v>
      </c>
      <c r="C6155" s="2" t="s">
        <v>26558</v>
      </c>
      <c r="D6155" s="2" t="str">
        <f>"15632935175"</f>
        <v>15632935175</v>
      </c>
      <c r="E6155" s="2" t="s">
        <v>26559</v>
      </c>
      <c r="F6155" s="2" t="s">
        <v>4566</v>
      </c>
      <c r="G6155" s="2" t="str">
        <f>"SR-8439"</f>
        <v>SR-8439</v>
      </c>
      <c r="H6155" s="2" t="s">
        <v>26560</v>
      </c>
      <c r="I6155" s="2" t="s">
        <v>26555</v>
      </c>
      <c r="K6155" s="2" t="s">
        <v>26561</v>
      </c>
      <c r="L6155" s="2" t="s">
        <v>560</v>
      </c>
      <c r="M6155" s="2">
        <v>52405.0</v>
      </c>
      <c r="N6155" s="2" t="s">
        <v>21</v>
      </c>
    </row>
    <row r="6156" ht="15.75" customHeight="1">
      <c r="A6156" s="2">
        <v>2016.0</v>
      </c>
      <c r="B6156" s="2" t="s">
        <v>26562</v>
      </c>
      <c r="C6156" s="2" t="s">
        <v>26563</v>
      </c>
      <c r="D6156" s="2" t="str">
        <f>"7048772789"</f>
        <v>7048772789</v>
      </c>
      <c r="E6156" s="2" t="s">
        <v>705</v>
      </c>
      <c r="F6156" s="2" t="s">
        <v>26564</v>
      </c>
      <c r="G6156" s="2" t="str">
        <f>"SR-8449"</f>
        <v>SR-8449</v>
      </c>
      <c r="H6156" s="2" t="s">
        <v>26565</v>
      </c>
      <c r="I6156" s="2" t="s">
        <v>26566</v>
      </c>
      <c r="K6156" s="2" t="s">
        <v>19</v>
      </c>
      <c r="L6156" s="2" t="s">
        <v>20</v>
      </c>
      <c r="M6156" s="2">
        <v>28269.0</v>
      </c>
      <c r="N6156" s="2" t="s">
        <v>21</v>
      </c>
    </row>
    <row r="6157" ht="15.75" customHeight="1">
      <c r="A6157" s="2">
        <v>2016.0</v>
      </c>
      <c r="B6157" s="2" t="s">
        <v>22740</v>
      </c>
      <c r="C6157" s="2" t="s">
        <v>26567</v>
      </c>
      <c r="D6157" s="2" t="str">
        <f>"530-249-0912"</f>
        <v>530-249-0912</v>
      </c>
      <c r="E6157" s="2" t="s">
        <v>282</v>
      </c>
      <c r="F6157" s="2" t="s">
        <v>22742</v>
      </c>
      <c r="G6157" s="2" t="str">
        <f>"SR-6981"</f>
        <v>SR-6981</v>
      </c>
      <c r="H6157" s="2" t="s">
        <v>26568</v>
      </c>
      <c r="I6157" s="2" t="s">
        <v>26569</v>
      </c>
      <c r="K6157" s="2" t="s">
        <v>22745</v>
      </c>
      <c r="L6157" s="2" t="s">
        <v>222</v>
      </c>
      <c r="M6157" s="2">
        <v>95695.0</v>
      </c>
      <c r="N6157" s="2" t="s">
        <v>21</v>
      </c>
    </row>
    <row r="6158" ht="15.75" customHeight="1">
      <c r="A6158" s="2">
        <v>2016.0</v>
      </c>
      <c r="B6158" s="2" t="s">
        <v>26570</v>
      </c>
      <c r="C6158" s="2" t="s">
        <v>26571</v>
      </c>
      <c r="D6158" s="2" t="str">
        <f>"407-790-1544"</f>
        <v>407-790-1544</v>
      </c>
      <c r="E6158" s="2" t="s">
        <v>373</v>
      </c>
      <c r="F6158" s="2" t="s">
        <v>26572</v>
      </c>
      <c r="G6158" s="2" t="str">
        <f>"SR-7666"</f>
        <v>SR-7666</v>
      </c>
      <c r="H6158" s="2" t="s">
        <v>26573</v>
      </c>
      <c r="I6158" s="2" t="s">
        <v>26574</v>
      </c>
      <c r="K6158" s="2" t="s">
        <v>299</v>
      </c>
      <c r="L6158" s="2" t="s">
        <v>208</v>
      </c>
      <c r="M6158" s="2">
        <v>32751.0</v>
      </c>
      <c r="N6158" s="2" t="s">
        <v>21</v>
      </c>
    </row>
    <row r="6159" ht="15.75" customHeight="1">
      <c r="A6159" s="2">
        <v>2016.0</v>
      </c>
      <c r="B6159" s="2" t="s">
        <v>26575</v>
      </c>
      <c r="C6159" s="2" t="s">
        <v>26576</v>
      </c>
      <c r="D6159" s="2" t="str">
        <f>"8595332133"</f>
        <v>8595332133</v>
      </c>
      <c r="E6159" s="2" t="s">
        <v>261</v>
      </c>
      <c r="F6159" s="2" t="s">
        <v>17721</v>
      </c>
      <c r="G6159" s="2" t="str">
        <f>"SR-7641"</f>
        <v>SR-7641</v>
      </c>
      <c r="H6159" s="2" t="s">
        <v>26577</v>
      </c>
      <c r="I6159" s="2" t="s">
        <v>17723</v>
      </c>
      <c r="K6159" s="2" t="s">
        <v>254</v>
      </c>
      <c r="L6159" s="2" t="s">
        <v>1236</v>
      </c>
      <c r="M6159" s="2">
        <v>40515.0</v>
      </c>
      <c r="N6159" s="2" t="s">
        <v>21</v>
      </c>
    </row>
    <row r="6160" ht="15.75" customHeight="1">
      <c r="A6160" s="2">
        <v>2016.0</v>
      </c>
      <c r="B6160" s="2" t="s">
        <v>26570</v>
      </c>
      <c r="C6160" s="2" t="s">
        <v>26578</v>
      </c>
      <c r="D6160" s="2" t="str">
        <f>"4079513111"</f>
        <v>4079513111</v>
      </c>
      <c r="E6160" s="2" t="s">
        <v>1278</v>
      </c>
      <c r="F6160" s="2" t="s">
        <v>26572</v>
      </c>
      <c r="G6160" s="2" t="str">
        <f>"SR-7685"</f>
        <v>SR-7685</v>
      </c>
      <c r="H6160" s="2" t="s">
        <v>26579</v>
      </c>
      <c r="I6160" s="2" t="s">
        <v>26580</v>
      </c>
      <c r="K6160" s="2" t="s">
        <v>299</v>
      </c>
      <c r="L6160" s="2" t="s">
        <v>208</v>
      </c>
      <c r="M6160" s="2">
        <v>32751.0</v>
      </c>
      <c r="N6160" s="2" t="s">
        <v>21</v>
      </c>
    </row>
    <row r="6161" ht="15.75" customHeight="1">
      <c r="A6161" s="2">
        <v>2016.0</v>
      </c>
      <c r="B6161" s="2" t="s">
        <v>26581</v>
      </c>
      <c r="C6161" s="2" t="s">
        <v>26582</v>
      </c>
      <c r="D6161" s="2" t="str">
        <f>"9032610210"</f>
        <v>9032610210</v>
      </c>
      <c r="E6161" s="2" t="s">
        <v>6202</v>
      </c>
      <c r="F6161" s="2" t="s">
        <v>26583</v>
      </c>
      <c r="G6161" s="2" t="str">
        <f>"SR-8430"</f>
        <v>SR-8430</v>
      </c>
      <c r="H6161" s="2" t="s">
        <v>26584</v>
      </c>
      <c r="I6161" s="2" t="s">
        <v>26585</v>
      </c>
      <c r="K6161" s="2" t="s">
        <v>4808</v>
      </c>
      <c r="L6161" s="2" t="s">
        <v>172</v>
      </c>
      <c r="M6161" s="2">
        <v>75605.0</v>
      </c>
      <c r="N6161" s="2" t="s">
        <v>21</v>
      </c>
    </row>
    <row r="6162" ht="15.75" customHeight="1">
      <c r="A6162" s="2">
        <v>2016.0</v>
      </c>
      <c r="B6162" s="2" t="s">
        <v>26586</v>
      </c>
      <c r="C6162" s="2" t="s">
        <v>26587</v>
      </c>
      <c r="D6162" s="2" t="str">
        <f>"7194782165"</f>
        <v>7194782165</v>
      </c>
      <c r="E6162" s="2" t="s">
        <v>3977</v>
      </c>
      <c r="F6162" s="2" t="s">
        <v>26588</v>
      </c>
      <c r="G6162" s="2" t="str">
        <f>"SR-8415"</f>
        <v>SR-8415</v>
      </c>
      <c r="H6162" s="2" t="s">
        <v>26589</v>
      </c>
      <c r="I6162" s="2" t="s">
        <v>26590</v>
      </c>
      <c r="K6162" s="2" t="s">
        <v>10840</v>
      </c>
      <c r="L6162" s="2" t="s">
        <v>157</v>
      </c>
      <c r="M6162" s="2">
        <v>80864.0</v>
      </c>
      <c r="N6162" s="2" t="s">
        <v>21</v>
      </c>
    </row>
    <row r="6163" ht="15.75" customHeight="1">
      <c r="A6163" s="2">
        <v>2016.0</v>
      </c>
      <c r="B6163" s="2" t="s">
        <v>26591</v>
      </c>
      <c r="D6163" s="2" t="str">
        <f>""</f>
        <v/>
      </c>
      <c r="E6163" s="2" t="s">
        <v>26592</v>
      </c>
      <c r="F6163" s="2" t="s">
        <v>1615</v>
      </c>
      <c r="G6163" s="2" t="str">
        <f>"SR-8457"</f>
        <v>SR-8457</v>
      </c>
      <c r="H6163" s="2" t="s">
        <v>26593</v>
      </c>
      <c r="N6163" s="2" t="s">
        <v>21</v>
      </c>
    </row>
    <row r="6164" ht="15.75" customHeight="1">
      <c r="A6164" s="2">
        <v>2016.0</v>
      </c>
      <c r="B6164" s="2" t="s">
        <v>26556</v>
      </c>
      <c r="C6164" s="2" t="s">
        <v>26594</v>
      </c>
      <c r="D6164" s="2" t="str">
        <f>"540-383-7807"</f>
        <v>540-383-7807</v>
      </c>
      <c r="E6164" s="2" t="s">
        <v>2598</v>
      </c>
      <c r="F6164" s="2" t="s">
        <v>1040</v>
      </c>
      <c r="G6164" s="2" t="str">
        <f>"SR-8446"</f>
        <v>SR-8446</v>
      </c>
      <c r="H6164" s="2" t="s">
        <v>26595</v>
      </c>
      <c r="I6164" s="2" t="s">
        <v>21226</v>
      </c>
      <c r="K6164" s="2" t="s">
        <v>10716</v>
      </c>
      <c r="L6164" s="2" t="s">
        <v>165</v>
      </c>
      <c r="M6164" s="2">
        <v>22801.0</v>
      </c>
      <c r="N6164" s="2" t="s">
        <v>21</v>
      </c>
    </row>
    <row r="6165" ht="15.75" customHeight="1">
      <c r="A6165" s="2">
        <v>2016.0</v>
      </c>
      <c r="B6165" s="2" t="s">
        <v>26596</v>
      </c>
      <c r="C6165" s="2" t="s">
        <v>26597</v>
      </c>
      <c r="D6165" s="2" t="str">
        <f>"931-446-1575"</f>
        <v>931-446-1575</v>
      </c>
      <c r="E6165" s="2" t="s">
        <v>160</v>
      </c>
      <c r="F6165" s="2" t="s">
        <v>26598</v>
      </c>
      <c r="G6165" s="2" t="str">
        <f>"SR-8303"</f>
        <v>SR-8303</v>
      </c>
      <c r="H6165" s="2" t="s">
        <v>26599</v>
      </c>
      <c r="I6165" s="2" t="s">
        <v>26600</v>
      </c>
      <c r="K6165" s="2" t="s">
        <v>2750</v>
      </c>
      <c r="L6165" s="2" t="s">
        <v>279</v>
      </c>
      <c r="M6165" s="2">
        <v>38401.0</v>
      </c>
      <c r="N6165" s="2" t="s">
        <v>21</v>
      </c>
    </row>
    <row r="6166" ht="15.75" customHeight="1">
      <c r="A6166" s="2">
        <v>2016.0</v>
      </c>
      <c r="B6166" s="2" t="s">
        <v>26601</v>
      </c>
      <c r="C6166" s="2" t="s">
        <v>26601</v>
      </c>
      <c r="D6166" s="2" t="str">
        <f>"(636)875-0402"</f>
        <v>(636)875-0402</v>
      </c>
      <c r="E6166" s="2" t="s">
        <v>7145</v>
      </c>
      <c r="F6166" s="2" t="s">
        <v>26602</v>
      </c>
      <c r="G6166" s="2" t="str">
        <f>"SR-8456"</f>
        <v>SR-8456</v>
      </c>
      <c r="H6166" s="2" t="s">
        <v>26603</v>
      </c>
      <c r="I6166" s="2" t="s">
        <v>26604</v>
      </c>
      <c r="K6166" s="2" t="s">
        <v>24853</v>
      </c>
      <c r="L6166" s="2" t="s">
        <v>214</v>
      </c>
      <c r="M6166" s="2">
        <v>63366.0</v>
      </c>
      <c r="N6166" s="2" t="s">
        <v>21</v>
      </c>
    </row>
    <row r="6167" ht="15.75" customHeight="1">
      <c r="A6167" s="2">
        <v>2016.0</v>
      </c>
      <c r="B6167" s="2" t="s">
        <v>26605</v>
      </c>
      <c r="C6167" s="2" t="s">
        <v>26605</v>
      </c>
      <c r="D6167" s="2" t="str">
        <f>"612-559-4313"</f>
        <v>612-559-4313</v>
      </c>
      <c r="E6167" s="2" t="s">
        <v>13640</v>
      </c>
      <c r="F6167" s="2" t="s">
        <v>26606</v>
      </c>
      <c r="G6167" s="2" t="str">
        <f>"SR-8389"</f>
        <v>SR-8389</v>
      </c>
      <c r="H6167" s="2" t="s">
        <v>26607</v>
      </c>
      <c r="I6167" s="2" t="s">
        <v>26608</v>
      </c>
      <c r="K6167" s="2" t="s">
        <v>9930</v>
      </c>
      <c r="L6167" s="2" t="s">
        <v>62</v>
      </c>
      <c r="M6167" s="2">
        <v>55343.0</v>
      </c>
      <c r="N6167" s="2" t="s">
        <v>21</v>
      </c>
    </row>
    <row r="6168" ht="15.75" customHeight="1">
      <c r="A6168" s="2">
        <v>2016.0</v>
      </c>
      <c r="B6168" s="2" t="s">
        <v>26609</v>
      </c>
      <c r="C6168" s="2" t="s">
        <v>26610</v>
      </c>
      <c r="D6168" s="2" t="str">
        <f>"3036420757"</f>
        <v>3036420757</v>
      </c>
      <c r="E6168" s="2" t="s">
        <v>824</v>
      </c>
      <c r="F6168" s="2" t="s">
        <v>26611</v>
      </c>
      <c r="G6168" s="2" t="str">
        <f>"SR-8447"</f>
        <v>SR-8447</v>
      </c>
      <c r="H6168" s="2" t="s">
        <v>26612</v>
      </c>
      <c r="I6168" s="2" t="s">
        <v>26613</v>
      </c>
      <c r="K6168" s="2" t="s">
        <v>26614</v>
      </c>
      <c r="L6168" s="2" t="s">
        <v>157</v>
      </c>
      <c r="M6168" s="2">
        <v>80403.0</v>
      </c>
      <c r="N6168" s="2" t="s">
        <v>21</v>
      </c>
    </row>
    <row r="6169" ht="15.75" customHeight="1">
      <c r="A6169" s="2">
        <v>2016.0</v>
      </c>
      <c r="B6169" s="2" t="s">
        <v>26615</v>
      </c>
      <c r="C6169" s="2" t="s">
        <v>26615</v>
      </c>
      <c r="D6169" s="2" t="str">
        <f>"405-888-9443"</f>
        <v>405-888-9443</v>
      </c>
      <c r="E6169" s="2" t="s">
        <v>250</v>
      </c>
      <c r="F6169" s="2" t="s">
        <v>3017</v>
      </c>
      <c r="G6169" s="2" t="str">
        <f>"SR-8317"</f>
        <v>SR-8317</v>
      </c>
      <c r="H6169" s="2" t="s">
        <v>26616</v>
      </c>
      <c r="I6169" s="2" t="s">
        <v>26617</v>
      </c>
      <c r="K6169" s="2" t="s">
        <v>26618</v>
      </c>
      <c r="L6169" s="2" t="s">
        <v>840</v>
      </c>
      <c r="M6169" s="2">
        <v>74881.0</v>
      </c>
      <c r="N6169" s="2" t="s">
        <v>21</v>
      </c>
    </row>
    <row r="6170" ht="15.75" customHeight="1">
      <c r="A6170" s="2">
        <v>2016.0</v>
      </c>
      <c r="B6170" s="2" t="s">
        <v>26619</v>
      </c>
      <c r="C6170" s="2" t="s">
        <v>26620</v>
      </c>
      <c r="D6170" s="2" t="str">
        <f>"815-744-2013"</f>
        <v>815-744-2013</v>
      </c>
      <c r="E6170" s="2" t="s">
        <v>26621</v>
      </c>
      <c r="F6170" s="2" t="s">
        <v>26622</v>
      </c>
      <c r="G6170" s="2" t="str">
        <f>"SR-8464"</f>
        <v>SR-8464</v>
      </c>
      <c r="H6170" s="2" t="s">
        <v>26623</v>
      </c>
      <c r="I6170" s="2" t="s">
        <v>26624</v>
      </c>
      <c r="K6170" s="2" t="s">
        <v>26625</v>
      </c>
      <c r="L6170" s="2" t="s">
        <v>105</v>
      </c>
      <c r="M6170" s="2">
        <v>60435.0</v>
      </c>
      <c r="N6170" s="2" t="s">
        <v>21</v>
      </c>
    </row>
    <row r="6171" ht="15.75" customHeight="1">
      <c r="A6171" s="2">
        <v>2016.0</v>
      </c>
      <c r="B6171" s="2" t="s">
        <v>26626</v>
      </c>
      <c r="C6171" s="2" t="s">
        <v>26626</v>
      </c>
      <c r="D6171" s="2" t="str">
        <f>"931-813-3200"</f>
        <v>931-813-3200</v>
      </c>
      <c r="E6171" s="2" t="s">
        <v>26627</v>
      </c>
      <c r="F6171" s="2" t="s">
        <v>26628</v>
      </c>
      <c r="G6171" s="2" t="str">
        <f>"SR-8462"</f>
        <v>SR-8462</v>
      </c>
      <c r="H6171" s="2" t="s">
        <v>26629</v>
      </c>
      <c r="I6171" s="2" t="s">
        <v>26630</v>
      </c>
      <c r="K6171" s="2" t="s">
        <v>13851</v>
      </c>
      <c r="L6171" s="2" t="s">
        <v>279</v>
      </c>
      <c r="M6171" s="2">
        <v>37183.0</v>
      </c>
      <c r="N6171" s="2" t="s">
        <v>21</v>
      </c>
    </row>
    <row r="6172" ht="15.75" customHeight="1">
      <c r="A6172" s="2">
        <v>2016.0</v>
      </c>
      <c r="B6172" s="2" t="s">
        <v>26631</v>
      </c>
      <c r="C6172" s="2" t="s">
        <v>26631</v>
      </c>
      <c r="D6172" s="2" t="str">
        <f>"(717) 715-7058"</f>
        <v>(717) 715-7058</v>
      </c>
      <c r="E6172" s="2" t="s">
        <v>167</v>
      </c>
      <c r="F6172" s="2" t="s">
        <v>26632</v>
      </c>
      <c r="G6172" s="2" t="str">
        <f>"SR-8385"</f>
        <v>SR-8385</v>
      </c>
      <c r="H6172" s="2" t="s">
        <v>26633</v>
      </c>
      <c r="I6172" s="2" t="s">
        <v>26634</v>
      </c>
      <c r="K6172" s="2" t="s">
        <v>2969</v>
      </c>
      <c r="L6172" s="2" t="s">
        <v>172</v>
      </c>
      <c r="M6172" s="2">
        <v>77845.0</v>
      </c>
      <c r="N6172" s="2" t="s">
        <v>21</v>
      </c>
    </row>
    <row r="6173" ht="15.75" customHeight="1">
      <c r="A6173" s="2">
        <v>2016.0</v>
      </c>
      <c r="B6173" s="2" t="s">
        <v>11620</v>
      </c>
      <c r="C6173" s="2" t="s">
        <v>26635</v>
      </c>
      <c r="D6173" s="2" t="str">
        <f>"903-868-2750"</f>
        <v>903-868-2750</v>
      </c>
      <c r="E6173" s="2" t="s">
        <v>2988</v>
      </c>
      <c r="F6173" s="2" t="s">
        <v>8260</v>
      </c>
      <c r="G6173" s="2" t="str">
        <f>"SR-8442"</f>
        <v>SR-8442</v>
      </c>
      <c r="H6173" s="2" t="s">
        <v>26636</v>
      </c>
      <c r="I6173" s="2" t="s">
        <v>11623</v>
      </c>
      <c r="K6173" s="2" t="s">
        <v>9547</v>
      </c>
      <c r="L6173" s="2" t="s">
        <v>172</v>
      </c>
      <c r="M6173" s="2">
        <v>75090.0</v>
      </c>
      <c r="N6173" s="2" t="s">
        <v>21</v>
      </c>
    </row>
    <row r="6174" ht="15.75" customHeight="1">
      <c r="A6174" s="2">
        <v>2016.0</v>
      </c>
      <c r="B6174" s="2" t="s">
        <v>26637</v>
      </c>
      <c r="C6174" s="2" t="s">
        <v>26638</v>
      </c>
      <c r="D6174" s="2" t="str">
        <f>"9126594344"</f>
        <v>9126594344</v>
      </c>
      <c r="E6174" s="2" t="s">
        <v>26639</v>
      </c>
      <c r="F6174" s="2" t="s">
        <v>529</v>
      </c>
      <c r="G6174" s="2" t="str">
        <f>"SR-8468"</f>
        <v>SR-8468</v>
      </c>
      <c r="H6174" s="2" t="s">
        <v>26640</v>
      </c>
      <c r="I6174" s="2" t="s">
        <v>26641</v>
      </c>
      <c r="K6174" s="2" t="s">
        <v>1239</v>
      </c>
      <c r="L6174" s="2" t="s">
        <v>200</v>
      </c>
      <c r="M6174" s="2">
        <v>31411.0</v>
      </c>
      <c r="N6174" s="2" t="s">
        <v>21</v>
      </c>
    </row>
    <row r="6175" ht="15.75" customHeight="1">
      <c r="A6175" s="2">
        <v>2016.0</v>
      </c>
      <c r="B6175" s="2" t="s">
        <v>26642</v>
      </c>
      <c r="C6175" s="2" t="s">
        <v>26643</v>
      </c>
      <c r="D6175" s="2" t="str">
        <f>"3345413453"</f>
        <v>3345413453</v>
      </c>
      <c r="E6175" s="2" t="s">
        <v>4111</v>
      </c>
      <c r="F6175" s="2" t="s">
        <v>778</v>
      </c>
      <c r="G6175" s="2" t="str">
        <f>"SR-7632"</f>
        <v>SR-7632</v>
      </c>
      <c r="H6175" s="2" t="s">
        <v>26644</v>
      </c>
      <c r="I6175" s="2" t="s">
        <v>26645</v>
      </c>
      <c r="K6175" s="2" t="s">
        <v>26646</v>
      </c>
      <c r="L6175" s="2" t="s">
        <v>539</v>
      </c>
      <c r="M6175" s="2">
        <v>36024.0</v>
      </c>
      <c r="N6175" s="2" t="s">
        <v>21</v>
      </c>
    </row>
    <row r="6176" ht="15.75" customHeight="1">
      <c r="A6176" s="2">
        <v>2016.0</v>
      </c>
      <c r="B6176" s="2" t="s">
        <v>26647</v>
      </c>
      <c r="C6176" s="2" t="s">
        <v>26648</v>
      </c>
      <c r="D6176" s="2" t="str">
        <f>"714-925-8259"</f>
        <v>714-925-8259</v>
      </c>
      <c r="E6176" s="2" t="s">
        <v>57</v>
      </c>
      <c r="F6176" s="2" t="s">
        <v>13200</v>
      </c>
      <c r="G6176" s="2" t="str">
        <f>"SR-8349"</f>
        <v>SR-8349</v>
      </c>
      <c r="H6176" s="2" t="s">
        <v>13201</v>
      </c>
      <c r="I6176" s="2" t="s">
        <v>26649</v>
      </c>
      <c r="K6176" s="2" t="s">
        <v>11684</v>
      </c>
      <c r="L6176" s="2" t="s">
        <v>222</v>
      </c>
      <c r="M6176" s="2">
        <v>92704.0</v>
      </c>
      <c r="N6176" s="2" t="s">
        <v>21</v>
      </c>
    </row>
    <row r="6177" ht="15.75" customHeight="1">
      <c r="A6177" s="2">
        <v>2016.0</v>
      </c>
      <c r="B6177" s="2" t="s">
        <v>26650</v>
      </c>
      <c r="C6177" s="2" t="s">
        <v>26651</v>
      </c>
      <c r="D6177" s="2" t="str">
        <f>"602-316-7546"</f>
        <v>602-316-7546</v>
      </c>
      <c r="E6177" s="2" t="s">
        <v>3878</v>
      </c>
      <c r="F6177" s="2" t="s">
        <v>26652</v>
      </c>
      <c r="G6177" s="2" t="str">
        <f>"SR-8336"</f>
        <v>SR-8336</v>
      </c>
      <c r="H6177" s="2" t="s">
        <v>26653</v>
      </c>
      <c r="I6177" s="2" t="s">
        <v>26654</v>
      </c>
      <c r="K6177" s="2" t="s">
        <v>1593</v>
      </c>
      <c r="L6177" s="2" t="s">
        <v>422</v>
      </c>
      <c r="M6177" s="2">
        <v>85260.0</v>
      </c>
      <c r="N6177" s="2" t="s">
        <v>21</v>
      </c>
    </row>
    <row r="6178" ht="15.75" customHeight="1">
      <c r="A6178" s="2">
        <v>2016.0</v>
      </c>
      <c r="B6178" s="2" t="s">
        <v>26655</v>
      </c>
      <c r="C6178" s="2" t="s">
        <v>26656</v>
      </c>
      <c r="D6178" s="2" t="str">
        <f>"7203735389"</f>
        <v>7203735389</v>
      </c>
      <c r="E6178" s="2" t="s">
        <v>19353</v>
      </c>
      <c r="F6178" s="2" t="s">
        <v>26657</v>
      </c>
      <c r="G6178" s="2" t="str">
        <f>"SR-8436"</f>
        <v>SR-8436</v>
      </c>
      <c r="H6178" s="2" t="s">
        <v>26658</v>
      </c>
      <c r="I6178" s="2" t="s">
        <v>26659</v>
      </c>
      <c r="K6178" s="2" t="s">
        <v>992</v>
      </c>
      <c r="L6178" s="2" t="s">
        <v>157</v>
      </c>
      <c r="M6178" s="2">
        <v>80015.0</v>
      </c>
      <c r="N6178" s="2" t="s">
        <v>21</v>
      </c>
    </row>
    <row r="6179" ht="15.75" customHeight="1">
      <c r="A6179" s="2">
        <v>2016.0</v>
      </c>
      <c r="B6179" s="2" t="s">
        <v>26660</v>
      </c>
      <c r="C6179" s="2" t="s">
        <v>26661</v>
      </c>
      <c r="D6179" s="2" t="str">
        <f>"7706560874"</f>
        <v>7706560874</v>
      </c>
      <c r="E6179" s="2" t="s">
        <v>4300</v>
      </c>
      <c r="F6179" s="2" t="s">
        <v>5721</v>
      </c>
      <c r="G6179" s="2" t="str">
        <f>"SR-8471"</f>
        <v>SR-8471</v>
      </c>
      <c r="H6179" s="2" t="s">
        <v>26662</v>
      </c>
      <c r="I6179" s="2" t="s">
        <v>26663</v>
      </c>
      <c r="K6179" s="2" t="s">
        <v>26664</v>
      </c>
      <c r="L6179" s="2" t="s">
        <v>200</v>
      </c>
      <c r="M6179" s="2">
        <v>30185.0</v>
      </c>
      <c r="N6179" s="2" t="s">
        <v>21</v>
      </c>
    </row>
    <row r="6180" ht="15.75" customHeight="1">
      <c r="A6180" s="2">
        <v>2016.0</v>
      </c>
      <c r="B6180" s="2" t="s">
        <v>26665</v>
      </c>
      <c r="C6180" s="2" t="s">
        <v>26665</v>
      </c>
      <c r="D6180" s="2" t="str">
        <f>"4787336541"</f>
        <v>4787336541</v>
      </c>
      <c r="E6180" s="2" t="s">
        <v>13027</v>
      </c>
      <c r="F6180" s="2" t="s">
        <v>26666</v>
      </c>
      <c r="G6180" s="2" t="str">
        <f>"SR-7922"</f>
        <v>SR-7922</v>
      </c>
      <c r="H6180" s="2" t="s">
        <v>26667</v>
      </c>
      <c r="I6180" s="2" t="s">
        <v>26668</v>
      </c>
      <c r="K6180" s="2" t="s">
        <v>10358</v>
      </c>
      <c r="L6180" s="2" t="s">
        <v>200</v>
      </c>
      <c r="M6180" s="2">
        <v>31008.0</v>
      </c>
      <c r="N6180" s="2" t="s">
        <v>21</v>
      </c>
    </row>
    <row r="6181" ht="15.75" customHeight="1">
      <c r="A6181" s="2">
        <v>2016.0</v>
      </c>
      <c r="B6181" s="2" t="s">
        <v>26669</v>
      </c>
      <c r="C6181" s="2" t="s">
        <v>26669</v>
      </c>
      <c r="D6181" s="2" t="str">
        <f>"9172150061"</f>
        <v>9172150061</v>
      </c>
      <c r="E6181" s="2" t="s">
        <v>926</v>
      </c>
      <c r="F6181" s="2" t="s">
        <v>26670</v>
      </c>
      <c r="G6181" s="2" t="str">
        <f>"SR-8473"</f>
        <v>SR-8473</v>
      </c>
      <c r="H6181" s="2" t="s">
        <v>26671</v>
      </c>
      <c r="I6181" s="2" t="s">
        <v>26672</v>
      </c>
      <c r="K6181" s="2" t="s">
        <v>15498</v>
      </c>
      <c r="L6181" s="2" t="s">
        <v>142</v>
      </c>
      <c r="M6181" s="2">
        <v>11228.0</v>
      </c>
      <c r="N6181" s="2" t="s">
        <v>21</v>
      </c>
    </row>
    <row r="6182" ht="15.75" customHeight="1">
      <c r="A6182" s="2">
        <v>2016.0</v>
      </c>
      <c r="B6182" s="2" t="s">
        <v>26673</v>
      </c>
      <c r="C6182" s="2" t="s">
        <v>26674</v>
      </c>
      <c r="D6182" s="2" t="str">
        <f>"3608015760"</f>
        <v>3608015760</v>
      </c>
      <c r="E6182" s="2" t="s">
        <v>50</v>
      </c>
      <c r="F6182" s="2" t="s">
        <v>2635</v>
      </c>
      <c r="G6182" s="2" t="str">
        <f>"SR-8061"</f>
        <v>SR-8061</v>
      </c>
      <c r="H6182" s="2" t="s">
        <v>26675</v>
      </c>
      <c r="I6182" s="2" t="s">
        <v>26676</v>
      </c>
      <c r="K6182" s="2" t="s">
        <v>26677</v>
      </c>
      <c r="L6182" s="2" t="s">
        <v>86</v>
      </c>
      <c r="M6182" s="2">
        <v>98380.0</v>
      </c>
      <c r="N6182" s="2" t="s">
        <v>21</v>
      </c>
    </row>
    <row r="6183" ht="15.75" customHeight="1">
      <c r="A6183" s="2">
        <v>2016.0</v>
      </c>
      <c r="B6183" s="2" t="s">
        <v>5330</v>
      </c>
      <c r="C6183" s="2" t="s">
        <v>26678</v>
      </c>
      <c r="D6183" s="2" t="str">
        <f>"513-398-6538"</f>
        <v>513-398-6538</v>
      </c>
      <c r="E6183" s="2" t="s">
        <v>4769</v>
      </c>
      <c r="F6183" s="2" t="s">
        <v>448</v>
      </c>
      <c r="G6183" s="2" t="str">
        <f>"SR-8280"</f>
        <v>SR-8280</v>
      </c>
      <c r="H6183" s="2" t="s">
        <v>26679</v>
      </c>
      <c r="I6183" s="2" t="s">
        <v>5334</v>
      </c>
      <c r="K6183" s="2" t="s">
        <v>5335</v>
      </c>
      <c r="L6183" s="2" t="s">
        <v>344</v>
      </c>
      <c r="M6183" s="2">
        <v>45040.0</v>
      </c>
      <c r="N6183" s="2" t="s">
        <v>21</v>
      </c>
    </row>
    <row r="6184" ht="15.75" customHeight="1">
      <c r="A6184" s="2">
        <v>2016.0</v>
      </c>
      <c r="B6184" s="2" t="s">
        <v>26680</v>
      </c>
      <c r="C6184" s="2" t="s">
        <v>26680</v>
      </c>
      <c r="D6184" s="2" t="str">
        <f>"9178373878"</f>
        <v>9178373878</v>
      </c>
      <c r="E6184" s="2" t="s">
        <v>26681</v>
      </c>
      <c r="F6184" s="2" t="s">
        <v>26682</v>
      </c>
      <c r="G6184" s="2" t="str">
        <f>"SR-8476"</f>
        <v>SR-8476</v>
      </c>
      <c r="H6184" s="2" t="s">
        <v>26683</v>
      </c>
      <c r="I6184" s="2" t="s">
        <v>26684</v>
      </c>
      <c r="K6184" s="2" t="s">
        <v>26685</v>
      </c>
      <c r="L6184" s="2" t="s">
        <v>142</v>
      </c>
      <c r="M6184" s="2">
        <v>10314.0</v>
      </c>
      <c r="N6184" s="2" t="s">
        <v>21</v>
      </c>
    </row>
    <row r="6185" ht="15.75" customHeight="1">
      <c r="A6185" s="2">
        <v>2016.0</v>
      </c>
      <c r="B6185" s="2" t="s">
        <v>26686</v>
      </c>
      <c r="C6185" s="2" t="s">
        <v>26687</v>
      </c>
      <c r="D6185" s="2" t="str">
        <f>"7186893445"</f>
        <v>7186893445</v>
      </c>
      <c r="E6185" s="2" t="s">
        <v>385</v>
      </c>
      <c r="F6185" s="2" t="s">
        <v>2753</v>
      </c>
      <c r="G6185" s="2" t="str">
        <f>"SR-8470"</f>
        <v>SR-8470</v>
      </c>
      <c r="H6185" s="2" t="s">
        <v>5824</v>
      </c>
      <c r="I6185" s="2" t="s">
        <v>26688</v>
      </c>
      <c r="K6185" s="2" t="s">
        <v>26685</v>
      </c>
      <c r="L6185" s="2" t="s">
        <v>142</v>
      </c>
      <c r="M6185" s="2">
        <v>10314.0</v>
      </c>
      <c r="N6185" s="2" t="s">
        <v>21</v>
      </c>
    </row>
    <row r="6186" ht="15.75" customHeight="1">
      <c r="A6186" s="2">
        <v>2016.0</v>
      </c>
      <c r="B6186" s="2" t="s">
        <v>26689</v>
      </c>
      <c r="C6186" s="2" t="s">
        <v>26690</v>
      </c>
      <c r="D6186" s="2" t="str">
        <f>"347-559-9521"</f>
        <v>347-559-9521</v>
      </c>
      <c r="E6186" s="2" t="s">
        <v>908</v>
      </c>
      <c r="F6186" s="2" t="s">
        <v>2954</v>
      </c>
      <c r="G6186" s="2" t="str">
        <f>"SR-8429"</f>
        <v>SR-8429</v>
      </c>
      <c r="H6186" s="2" t="s">
        <v>26691</v>
      </c>
      <c r="I6186" s="2" t="s">
        <v>26692</v>
      </c>
      <c r="K6186" s="2" t="s">
        <v>6789</v>
      </c>
      <c r="L6186" s="2" t="s">
        <v>142</v>
      </c>
      <c r="M6186" s="2">
        <v>10302.0</v>
      </c>
      <c r="N6186" s="2" t="s">
        <v>21</v>
      </c>
    </row>
    <row r="6187" ht="15.75" customHeight="1">
      <c r="A6187" s="2">
        <v>2016.0</v>
      </c>
      <c r="B6187" s="2" t="s">
        <v>26693</v>
      </c>
      <c r="C6187" s="2" t="s">
        <v>26693</v>
      </c>
      <c r="D6187" s="2" t="str">
        <f>"(231) 818-1255"</f>
        <v>(231) 818-1255</v>
      </c>
      <c r="E6187" s="2" t="s">
        <v>57</v>
      </c>
      <c r="F6187" s="2" t="s">
        <v>26694</v>
      </c>
      <c r="G6187" s="2" t="str">
        <f>"SR-8478"</f>
        <v>SR-8478</v>
      </c>
      <c r="H6187" s="2" t="s">
        <v>26695</v>
      </c>
      <c r="I6187" s="2" t="s">
        <v>26696</v>
      </c>
      <c r="K6187" s="2" t="s">
        <v>26697</v>
      </c>
      <c r="L6187" s="2" t="s">
        <v>29</v>
      </c>
      <c r="M6187" s="2">
        <v>49721.0</v>
      </c>
      <c r="N6187" s="2" t="s">
        <v>21</v>
      </c>
    </row>
    <row r="6188" ht="15.75" customHeight="1">
      <c r="A6188" s="2">
        <v>2016.0</v>
      </c>
      <c r="B6188" s="2" t="s">
        <v>26698</v>
      </c>
      <c r="C6188" s="2" t="s">
        <v>26699</v>
      </c>
      <c r="D6188" s="2" t="str">
        <f>"7175845105"</f>
        <v>7175845105</v>
      </c>
      <c r="E6188" s="2" t="s">
        <v>1015</v>
      </c>
      <c r="F6188" s="2" t="s">
        <v>26700</v>
      </c>
      <c r="G6188" s="2" t="str">
        <f>"SR-8480"</f>
        <v>SR-8480</v>
      </c>
      <c r="H6188" s="2" t="s">
        <v>26701</v>
      </c>
      <c r="I6188" s="2" t="s">
        <v>26702</v>
      </c>
      <c r="K6188" s="2" t="s">
        <v>2449</v>
      </c>
      <c r="L6188" s="2" t="s">
        <v>179</v>
      </c>
      <c r="M6188" s="2">
        <v>17603.0</v>
      </c>
      <c r="N6188" s="2" t="s">
        <v>21</v>
      </c>
    </row>
    <row r="6189" ht="15.75" customHeight="1">
      <c r="A6189" s="2">
        <v>2016.0</v>
      </c>
      <c r="B6189" s="2" t="s">
        <v>26703</v>
      </c>
      <c r="C6189" s="2" t="s">
        <v>26703</v>
      </c>
      <c r="D6189" s="2" t="str">
        <f>"9725175178"</f>
        <v>9725175178</v>
      </c>
      <c r="E6189" s="2" t="s">
        <v>12434</v>
      </c>
      <c r="F6189" s="2" t="s">
        <v>4978</v>
      </c>
      <c r="G6189" s="2" t="str">
        <f>"SR-8441"</f>
        <v>SR-8441</v>
      </c>
      <c r="H6189" s="2" t="s">
        <v>26704</v>
      </c>
      <c r="I6189" s="2" t="s">
        <v>26705</v>
      </c>
      <c r="K6189" s="2" t="s">
        <v>357</v>
      </c>
      <c r="L6189" s="2" t="s">
        <v>172</v>
      </c>
      <c r="M6189" s="2">
        <v>75023.0</v>
      </c>
      <c r="N6189" s="2" t="s">
        <v>21</v>
      </c>
    </row>
    <row r="6190" ht="15.75" customHeight="1">
      <c r="A6190" s="2">
        <v>2016.0</v>
      </c>
      <c r="B6190" s="2" t="s">
        <v>26706</v>
      </c>
      <c r="C6190" s="2" t="s">
        <v>26707</v>
      </c>
      <c r="D6190" s="2" t="str">
        <f>"432-352-4196"</f>
        <v>432-352-4196</v>
      </c>
      <c r="E6190" s="2" t="s">
        <v>492</v>
      </c>
      <c r="F6190" s="2" t="s">
        <v>26708</v>
      </c>
      <c r="G6190" s="2" t="str">
        <f>"SR-8300"</f>
        <v>SR-8300</v>
      </c>
      <c r="H6190" s="2" t="s">
        <v>26709</v>
      </c>
      <c r="I6190" s="2" t="s">
        <v>26710</v>
      </c>
      <c r="K6190" s="2" t="s">
        <v>286</v>
      </c>
      <c r="L6190" s="2" t="s">
        <v>172</v>
      </c>
      <c r="M6190" s="2">
        <v>79707.0</v>
      </c>
      <c r="N6190" s="2" t="s">
        <v>21</v>
      </c>
    </row>
    <row r="6191" ht="15.75" customHeight="1">
      <c r="A6191" s="2">
        <v>2016.0</v>
      </c>
      <c r="B6191" s="2" t="s">
        <v>26711</v>
      </c>
      <c r="C6191" s="2" t="s">
        <v>26712</v>
      </c>
      <c r="D6191" s="2" t="str">
        <f>"573-364-3909"</f>
        <v>573-364-3909</v>
      </c>
      <c r="E6191" s="2" t="s">
        <v>167</v>
      </c>
      <c r="F6191" s="2" t="s">
        <v>962</v>
      </c>
      <c r="G6191" s="2" t="str">
        <f>"SR-7939"</f>
        <v>SR-7939</v>
      </c>
      <c r="H6191" s="2" t="s">
        <v>5948</v>
      </c>
      <c r="I6191" s="2" t="s">
        <v>26713</v>
      </c>
      <c r="K6191" s="2" t="s">
        <v>22002</v>
      </c>
      <c r="L6191" s="2" t="s">
        <v>214</v>
      </c>
      <c r="M6191" s="2">
        <v>65401.0</v>
      </c>
      <c r="N6191" s="2" t="s">
        <v>21</v>
      </c>
    </row>
    <row r="6192" ht="15.75" customHeight="1">
      <c r="A6192" s="2">
        <v>2016.0</v>
      </c>
      <c r="B6192" s="2" t="s">
        <v>26318</v>
      </c>
      <c r="C6192" s="2" t="s">
        <v>26714</v>
      </c>
      <c r="D6192" s="2" t="str">
        <f>"813-817-4828"</f>
        <v>813-817-4828</v>
      </c>
      <c r="E6192" s="2" t="s">
        <v>580</v>
      </c>
      <c r="F6192" s="2" t="s">
        <v>26320</v>
      </c>
      <c r="G6192" s="2" t="str">
        <f>"SR-7881"</f>
        <v>SR-7881</v>
      </c>
      <c r="H6192" s="2" t="s">
        <v>26715</v>
      </c>
      <c r="I6192" s="2" t="s">
        <v>26322</v>
      </c>
      <c r="K6192" s="2" t="s">
        <v>168</v>
      </c>
      <c r="L6192" s="2" t="s">
        <v>208</v>
      </c>
      <c r="M6192" s="2">
        <v>33549.0</v>
      </c>
      <c r="N6192" s="2" t="s">
        <v>21</v>
      </c>
    </row>
    <row r="6193" ht="15.75" customHeight="1">
      <c r="A6193" s="2">
        <v>2016.0</v>
      </c>
      <c r="B6193" s="2" t="s">
        <v>26716</v>
      </c>
      <c r="C6193" s="2" t="s">
        <v>26717</v>
      </c>
      <c r="D6193" s="2" t="str">
        <f>"575-200-9027"</f>
        <v>575-200-9027</v>
      </c>
      <c r="E6193" s="2" t="s">
        <v>26718</v>
      </c>
      <c r="F6193" s="2" t="s">
        <v>26719</v>
      </c>
      <c r="G6193" s="2" t="str">
        <f>"SR-7075"</f>
        <v>SR-7075</v>
      </c>
      <c r="H6193" s="2" t="s">
        <v>26720</v>
      </c>
      <c r="I6193" s="2" t="s">
        <v>26721</v>
      </c>
      <c r="K6193" s="2" t="s">
        <v>13081</v>
      </c>
      <c r="L6193" s="2" t="s">
        <v>789</v>
      </c>
      <c r="M6193" s="2">
        <v>88220.0</v>
      </c>
      <c r="N6193" s="2" t="s">
        <v>21</v>
      </c>
    </row>
    <row r="6194" ht="15.75" customHeight="1">
      <c r="A6194" s="2">
        <v>2016.0</v>
      </c>
      <c r="B6194" s="2" t="s">
        <v>26722</v>
      </c>
      <c r="C6194" s="2" t="s">
        <v>26722</v>
      </c>
      <c r="D6194" s="2" t="str">
        <f>"718-608-4298"</f>
        <v>718-608-4298</v>
      </c>
      <c r="E6194" s="2" t="s">
        <v>19492</v>
      </c>
      <c r="F6194" s="2" t="s">
        <v>2753</v>
      </c>
      <c r="G6194" s="2" t="str">
        <f>"SR-8486"</f>
        <v>SR-8486</v>
      </c>
      <c r="H6194" s="2" t="s">
        <v>26723</v>
      </c>
      <c r="I6194" s="2" t="s">
        <v>26688</v>
      </c>
      <c r="K6194" s="2" t="s">
        <v>26685</v>
      </c>
      <c r="L6194" s="2" t="s">
        <v>142</v>
      </c>
      <c r="M6194" s="2">
        <v>10314.0</v>
      </c>
      <c r="N6194" s="2" t="s">
        <v>21</v>
      </c>
    </row>
    <row r="6195" ht="15.75" customHeight="1">
      <c r="A6195" s="2">
        <v>2016.0</v>
      </c>
      <c r="B6195" s="2" t="s">
        <v>26724</v>
      </c>
      <c r="C6195" s="2" t="s">
        <v>26724</v>
      </c>
      <c r="D6195" s="2" t="str">
        <f>"347 536 4627"</f>
        <v>347 536 4627</v>
      </c>
      <c r="E6195" s="2" t="s">
        <v>2412</v>
      </c>
      <c r="F6195" s="2" t="s">
        <v>26725</v>
      </c>
      <c r="G6195" s="2" t="str">
        <f>"SR-8421"</f>
        <v>SR-8421</v>
      </c>
      <c r="H6195" s="2" t="s">
        <v>26726</v>
      </c>
      <c r="I6195" s="2" t="s">
        <v>26727</v>
      </c>
      <c r="K6195" s="2" t="s">
        <v>15498</v>
      </c>
      <c r="L6195" s="2" t="s">
        <v>142</v>
      </c>
      <c r="M6195" s="2">
        <v>11214.0</v>
      </c>
      <c r="N6195" s="2" t="s">
        <v>21</v>
      </c>
    </row>
    <row r="6196" ht="15.75" customHeight="1">
      <c r="A6196" s="2">
        <v>2016.0</v>
      </c>
      <c r="B6196" s="2" t="s">
        <v>26728</v>
      </c>
      <c r="C6196" s="2" t="s">
        <v>26729</v>
      </c>
      <c r="D6196" s="2" t="str">
        <f>"(847) 525-6873"</f>
        <v>(847) 525-6873</v>
      </c>
      <c r="E6196" s="2" t="s">
        <v>1761</v>
      </c>
      <c r="F6196" s="2" t="s">
        <v>26730</v>
      </c>
      <c r="G6196" s="2" t="str">
        <f>"SR-8485"</f>
        <v>SR-8485</v>
      </c>
      <c r="H6196" s="2" t="s">
        <v>26731</v>
      </c>
      <c r="I6196" s="2" t="s">
        <v>26732</v>
      </c>
      <c r="K6196" s="2" t="s">
        <v>7681</v>
      </c>
      <c r="L6196" s="2" t="s">
        <v>1600</v>
      </c>
      <c r="M6196" s="2" t="s">
        <v>26733</v>
      </c>
      <c r="N6196" s="2" t="s">
        <v>1602</v>
      </c>
    </row>
    <row r="6197" ht="15.75" customHeight="1">
      <c r="A6197" s="2">
        <v>2016.0</v>
      </c>
      <c r="B6197" s="2" t="s">
        <v>8281</v>
      </c>
      <c r="C6197" s="2" t="s">
        <v>26734</v>
      </c>
      <c r="D6197" s="2" t="str">
        <f>"8436947665"</f>
        <v>8436947665</v>
      </c>
      <c r="E6197" s="2" t="s">
        <v>2031</v>
      </c>
      <c r="F6197" s="2" t="s">
        <v>836</v>
      </c>
      <c r="G6197" s="2" t="str">
        <f>"SR-8290"</f>
        <v>SR-8290</v>
      </c>
      <c r="H6197" s="2" t="s">
        <v>26735</v>
      </c>
      <c r="I6197" s="2" t="s">
        <v>26736</v>
      </c>
      <c r="K6197" s="2" t="s">
        <v>26737</v>
      </c>
      <c r="L6197" s="2" t="s">
        <v>55</v>
      </c>
      <c r="M6197" s="2">
        <v>29906.0</v>
      </c>
      <c r="N6197" s="2" t="s">
        <v>21</v>
      </c>
    </row>
    <row r="6198" ht="15.75" customHeight="1">
      <c r="A6198" s="2">
        <v>2016.0</v>
      </c>
      <c r="B6198" s="2" t="s">
        <v>8281</v>
      </c>
      <c r="C6198" s="2" t="s">
        <v>26738</v>
      </c>
      <c r="D6198" s="2" t="str">
        <f>"18433847423"</f>
        <v>18433847423</v>
      </c>
      <c r="E6198" s="2" t="s">
        <v>453</v>
      </c>
      <c r="F6198" s="2" t="s">
        <v>836</v>
      </c>
      <c r="G6198" s="2" t="str">
        <f>"SR-8487"</f>
        <v>SR-8487</v>
      </c>
      <c r="H6198" s="2" t="s">
        <v>837</v>
      </c>
      <c r="I6198" s="2" t="s">
        <v>26736</v>
      </c>
      <c r="K6198" s="2" t="s">
        <v>26737</v>
      </c>
      <c r="L6198" s="2" t="s">
        <v>55</v>
      </c>
      <c r="M6198" s="2">
        <v>29906.0</v>
      </c>
      <c r="N6198" s="2" t="s">
        <v>21</v>
      </c>
    </row>
    <row r="6199" ht="15.75" customHeight="1">
      <c r="A6199" s="2">
        <v>2016.0</v>
      </c>
      <c r="B6199" s="2" t="s">
        <v>26739</v>
      </c>
      <c r="C6199" s="2" t="s">
        <v>26740</v>
      </c>
      <c r="D6199" s="2" t="str">
        <f>"260 639-6564"</f>
        <v>260 639-6564</v>
      </c>
      <c r="E6199" s="2" t="s">
        <v>751</v>
      </c>
      <c r="F6199" s="2" t="s">
        <v>9434</v>
      </c>
      <c r="G6199" s="2" t="str">
        <f>"SR-8488"</f>
        <v>SR-8488</v>
      </c>
      <c r="H6199" s="2" t="s">
        <v>26741</v>
      </c>
      <c r="I6199" s="2" t="s">
        <v>26742</v>
      </c>
      <c r="K6199" s="2" t="s">
        <v>13862</v>
      </c>
      <c r="L6199" s="2" t="s">
        <v>149</v>
      </c>
      <c r="M6199" s="2">
        <v>46745.0</v>
      </c>
      <c r="N6199" s="2" t="s">
        <v>21</v>
      </c>
    </row>
    <row r="6200" ht="15.75" customHeight="1">
      <c r="A6200" s="2">
        <v>2016.0</v>
      </c>
      <c r="B6200" s="2" t="s">
        <v>26743</v>
      </c>
      <c r="C6200" s="2" t="s">
        <v>26744</v>
      </c>
      <c r="D6200" s="2" t="str">
        <f>"9016874393"</f>
        <v>9016874393</v>
      </c>
      <c r="E6200" s="2" t="s">
        <v>3790</v>
      </c>
      <c r="F6200" s="2" t="s">
        <v>26745</v>
      </c>
      <c r="G6200" s="2" t="str">
        <f>"SR-8371"</f>
        <v>SR-8371</v>
      </c>
      <c r="H6200" s="2" t="s">
        <v>26746</v>
      </c>
      <c r="I6200" s="2" t="s">
        <v>26747</v>
      </c>
      <c r="K6200" s="2" t="s">
        <v>26748</v>
      </c>
      <c r="L6200" s="2" t="s">
        <v>279</v>
      </c>
      <c r="M6200" s="2">
        <v>38053.0</v>
      </c>
      <c r="N6200" s="2" t="s">
        <v>21</v>
      </c>
    </row>
    <row r="6201" ht="15.75" customHeight="1">
      <c r="A6201" s="2">
        <v>2016.0</v>
      </c>
      <c r="B6201" s="2" t="s">
        <v>26749</v>
      </c>
      <c r="C6201" s="2" t="s">
        <v>26749</v>
      </c>
      <c r="D6201" s="2" t="str">
        <f>"2606331073"</f>
        <v>2606331073</v>
      </c>
      <c r="E6201" s="2" t="s">
        <v>9476</v>
      </c>
      <c r="F6201" s="2" t="s">
        <v>12676</v>
      </c>
      <c r="G6201" s="2" t="str">
        <f>"SR-8284"</f>
        <v>SR-8284</v>
      </c>
      <c r="H6201" s="2" t="s">
        <v>26750</v>
      </c>
      <c r="I6201" s="2" t="s">
        <v>26751</v>
      </c>
      <c r="K6201" s="2" t="s">
        <v>26752</v>
      </c>
      <c r="L6201" s="2" t="s">
        <v>149</v>
      </c>
      <c r="M6201" s="2">
        <v>46743.0</v>
      </c>
      <c r="N6201" s="2" t="s">
        <v>21</v>
      </c>
    </row>
    <row r="6202" ht="15.75" customHeight="1">
      <c r="A6202" s="2">
        <v>2016.0</v>
      </c>
      <c r="B6202" s="2" t="s">
        <v>26753</v>
      </c>
      <c r="C6202" s="2" t="s">
        <v>26754</v>
      </c>
      <c r="D6202" s="2" t="str">
        <f>"865-448-1618"</f>
        <v>865-448-1618</v>
      </c>
      <c r="E6202" s="2" t="s">
        <v>26755</v>
      </c>
      <c r="F6202" s="2" t="s">
        <v>26756</v>
      </c>
      <c r="G6202" s="2" t="str">
        <f>"SR-8472"</f>
        <v>SR-8472</v>
      </c>
      <c r="H6202" s="2" t="s">
        <v>26757</v>
      </c>
      <c r="I6202" s="2" t="s">
        <v>26758</v>
      </c>
      <c r="K6202" s="2" t="s">
        <v>20210</v>
      </c>
      <c r="L6202" s="2" t="s">
        <v>279</v>
      </c>
      <c r="M6202" s="2">
        <v>37882.0</v>
      </c>
      <c r="N6202" s="2" t="s">
        <v>21</v>
      </c>
    </row>
    <row r="6203" ht="15.75" customHeight="1">
      <c r="A6203" s="2">
        <v>2016.0</v>
      </c>
      <c r="B6203" s="2" t="s">
        <v>26759</v>
      </c>
      <c r="C6203" s="2" t="s">
        <v>26759</v>
      </c>
      <c r="D6203" s="2" t="str">
        <f>"2602321095"</f>
        <v>2602321095</v>
      </c>
      <c r="E6203" s="2" t="s">
        <v>9815</v>
      </c>
      <c r="F6203" s="2" t="s">
        <v>7165</v>
      </c>
      <c r="G6203" s="2" t="str">
        <f>"SR-8283"</f>
        <v>SR-8283</v>
      </c>
      <c r="H6203" s="2" t="s">
        <v>26760</v>
      </c>
      <c r="I6203" s="2" t="s">
        <v>26761</v>
      </c>
      <c r="K6203" s="2" t="s">
        <v>6312</v>
      </c>
      <c r="L6203" s="2" t="s">
        <v>149</v>
      </c>
      <c r="M6203" s="2">
        <v>46706.0</v>
      </c>
      <c r="N6203" s="2" t="s">
        <v>21</v>
      </c>
    </row>
    <row r="6204" ht="15.75" customHeight="1">
      <c r="A6204" s="2">
        <v>2016.0</v>
      </c>
      <c r="B6204" s="2" t="s">
        <v>26762</v>
      </c>
      <c r="C6204" s="2" t="s">
        <v>26762</v>
      </c>
      <c r="D6204" s="2" t="str">
        <f>"927-8330"</f>
        <v>927-8330</v>
      </c>
      <c r="E6204" s="2" t="s">
        <v>160</v>
      </c>
      <c r="F6204" s="2" t="s">
        <v>1517</v>
      </c>
      <c r="G6204" s="2" t="str">
        <f>"SR-8277"</f>
        <v>SR-8277</v>
      </c>
      <c r="H6204" s="2" t="s">
        <v>26763</v>
      </c>
      <c r="I6204" s="2" t="s">
        <v>26764</v>
      </c>
      <c r="K6204" s="2" t="s">
        <v>6312</v>
      </c>
      <c r="L6204" s="2" t="s">
        <v>149</v>
      </c>
      <c r="M6204" s="2">
        <v>46706.0</v>
      </c>
      <c r="N6204" s="2" t="s">
        <v>21</v>
      </c>
    </row>
    <row r="6205" ht="15.75" customHeight="1">
      <c r="A6205" s="2">
        <v>2016.0</v>
      </c>
      <c r="B6205" s="2" t="s">
        <v>26765</v>
      </c>
      <c r="D6205" s="2" t="str">
        <f>""</f>
        <v/>
      </c>
      <c r="E6205" s="2" t="s">
        <v>645</v>
      </c>
      <c r="F6205" s="2" t="s">
        <v>22584</v>
      </c>
      <c r="G6205" s="2" t="str">
        <f>"SR-7981"</f>
        <v>SR-7981</v>
      </c>
      <c r="H6205" s="2" t="s">
        <v>26766</v>
      </c>
      <c r="N6205" s="2" t="s">
        <v>21</v>
      </c>
    </row>
    <row r="6206" ht="15.75" customHeight="1">
      <c r="A6206" s="2">
        <v>2016.0</v>
      </c>
      <c r="B6206" s="2" t="s">
        <v>9627</v>
      </c>
      <c r="C6206" s="2" t="s">
        <v>9627</v>
      </c>
      <c r="D6206" s="2" t="str">
        <f>"865.278.3975"</f>
        <v>865.278.3975</v>
      </c>
      <c r="E6206" s="2" t="s">
        <v>250</v>
      </c>
      <c r="F6206" s="2" t="s">
        <v>718</v>
      </c>
      <c r="G6206" s="2" t="str">
        <f>"SR-6370"</f>
        <v>SR-6370</v>
      </c>
      <c r="H6206" s="2" t="s">
        <v>20639</v>
      </c>
      <c r="I6206" s="2" t="s">
        <v>20640</v>
      </c>
      <c r="K6206" s="2" t="s">
        <v>9630</v>
      </c>
      <c r="L6206" s="2" t="s">
        <v>279</v>
      </c>
      <c r="M6206" s="2">
        <v>37866.0</v>
      </c>
      <c r="N6206" s="2" t="s">
        <v>21</v>
      </c>
    </row>
    <row r="6207" ht="15.75" customHeight="1">
      <c r="A6207" s="2">
        <v>2016.0</v>
      </c>
      <c r="B6207" s="2" t="s">
        <v>26739</v>
      </c>
      <c r="C6207" s="2" t="s">
        <v>26767</v>
      </c>
      <c r="D6207" s="2" t="str">
        <f>"260 639-6564"</f>
        <v>260 639-6564</v>
      </c>
      <c r="E6207" s="2" t="s">
        <v>908</v>
      </c>
      <c r="F6207" s="2" t="s">
        <v>9434</v>
      </c>
      <c r="G6207" s="2" t="str">
        <f>"SR-8438"</f>
        <v>SR-8438</v>
      </c>
      <c r="H6207" s="2" t="s">
        <v>26768</v>
      </c>
      <c r="I6207" s="2" t="s">
        <v>26742</v>
      </c>
      <c r="K6207" s="2" t="s">
        <v>13862</v>
      </c>
      <c r="L6207" s="2" t="s">
        <v>149</v>
      </c>
      <c r="M6207" s="2">
        <v>46745.0</v>
      </c>
      <c r="N6207" s="2" t="s">
        <v>21</v>
      </c>
    </row>
    <row r="6208" ht="15.75" customHeight="1">
      <c r="A6208" s="2">
        <v>2016.0</v>
      </c>
      <c r="B6208" s="2" t="s">
        <v>26769</v>
      </c>
      <c r="C6208" s="2" t="s">
        <v>26769</v>
      </c>
      <c r="D6208" s="2" t="str">
        <f>"260-515-9803"</f>
        <v>260-515-9803</v>
      </c>
      <c r="E6208" s="2" t="s">
        <v>6121</v>
      </c>
      <c r="F6208" s="2" t="s">
        <v>26770</v>
      </c>
      <c r="G6208" s="2" t="str">
        <f>"SR-8275"</f>
        <v>SR-8275</v>
      </c>
      <c r="H6208" s="2" t="s">
        <v>26771</v>
      </c>
      <c r="I6208" s="2" t="s">
        <v>26772</v>
      </c>
      <c r="K6208" s="2" t="s">
        <v>4298</v>
      </c>
      <c r="L6208" s="2" t="s">
        <v>149</v>
      </c>
      <c r="M6208" s="2">
        <v>46845.0</v>
      </c>
      <c r="N6208" s="2" t="s">
        <v>21</v>
      </c>
    </row>
    <row r="6209" ht="15.75" customHeight="1">
      <c r="A6209" s="2">
        <v>2016.0</v>
      </c>
      <c r="B6209" s="2" t="s">
        <v>26773</v>
      </c>
      <c r="C6209" s="2" t="s">
        <v>26774</v>
      </c>
      <c r="D6209" s="2" t="str">
        <f>"2042047972988"</f>
        <v>2042047972988</v>
      </c>
      <c r="E6209" s="2" t="s">
        <v>8649</v>
      </c>
      <c r="F6209" s="2" t="s">
        <v>26775</v>
      </c>
      <c r="G6209" s="2" t="str">
        <f>"SR-8491"</f>
        <v>SR-8491</v>
      </c>
      <c r="H6209" s="2" t="s">
        <v>26776</v>
      </c>
      <c r="I6209" s="2" t="s">
        <v>26777</v>
      </c>
      <c r="K6209" s="2" t="s">
        <v>7681</v>
      </c>
      <c r="L6209" s="2" t="s">
        <v>7682</v>
      </c>
      <c r="M6209" s="2" t="s">
        <v>26778</v>
      </c>
      <c r="N6209" s="2" t="s">
        <v>1602</v>
      </c>
    </row>
    <row r="6210" ht="15.75" customHeight="1">
      <c r="A6210" s="2">
        <v>2016.0</v>
      </c>
      <c r="B6210" s="2" t="s">
        <v>26779</v>
      </c>
      <c r="C6210" s="2" t="s">
        <v>26780</v>
      </c>
      <c r="D6210" s="2" t="str">
        <f>"2149147493"</f>
        <v>2149147493</v>
      </c>
      <c r="E6210" s="2" t="s">
        <v>684</v>
      </c>
      <c r="F6210" s="2" t="s">
        <v>26781</v>
      </c>
      <c r="G6210" s="2" t="str">
        <f>"SR-8367"</f>
        <v>SR-8367</v>
      </c>
      <c r="H6210" s="2" t="s">
        <v>26782</v>
      </c>
      <c r="I6210" s="2" t="s">
        <v>26783</v>
      </c>
      <c r="K6210" s="2" t="s">
        <v>1929</v>
      </c>
      <c r="L6210" s="2" t="s">
        <v>172</v>
      </c>
      <c r="M6210" s="2">
        <v>75094.0</v>
      </c>
      <c r="N6210" s="2" t="s">
        <v>21</v>
      </c>
    </row>
    <row r="6211" ht="15.75" customHeight="1">
      <c r="A6211" s="2">
        <v>2016.0</v>
      </c>
      <c r="B6211" s="2" t="s">
        <v>13119</v>
      </c>
      <c r="C6211" s="2" t="s">
        <v>26784</v>
      </c>
      <c r="D6211" s="2" t="str">
        <f>"407-739-4344"</f>
        <v>407-739-4344</v>
      </c>
      <c r="E6211" s="2" t="s">
        <v>908</v>
      </c>
      <c r="F6211" s="2" t="s">
        <v>10856</v>
      </c>
      <c r="G6211" s="2" t="str">
        <f>"SR-8390"</f>
        <v>SR-8390</v>
      </c>
      <c r="H6211" s="2" t="s">
        <v>26785</v>
      </c>
      <c r="I6211" s="2" t="s">
        <v>26786</v>
      </c>
      <c r="K6211" s="2" t="s">
        <v>4773</v>
      </c>
      <c r="L6211" s="2" t="s">
        <v>208</v>
      </c>
      <c r="M6211" s="2">
        <v>32773.0</v>
      </c>
      <c r="N6211" s="2" t="s">
        <v>21</v>
      </c>
    </row>
    <row r="6212" ht="15.75" customHeight="1">
      <c r="A6212" s="2">
        <v>2016.0</v>
      </c>
      <c r="B6212" s="2" t="s">
        <v>26787</v>
      </c>
      <c r="C6212" s="2" t="s">
        <v>26788</v>
      </c>
      <c r="D6212" s="2" t="str">
        <f>"813-383-2519"</f>
        <v>813-383-2519</v>
      </c>
      <c r="E6212" s="2" t="s">
        <v>915</v>
      </c>
      <c r="F6212" s="2" t="s">
        <v>26789</v>
      </c>
      <c r="G6212" s="2" t="str">
        <f>"SR-8401"</f>
        <v>SR-8401</v>
      </c>
      <c r="H6212" s="2" t="s">
        <v>26790</v>
      </c>
      <c r="I6212" s="2" t="s">
        <v>26791</v>
      </c>
      <c r="K6212" s="2" t="s">
        <v>3431</v>
      </c>
      <c r="L6212" s="2" t="s">
        <v>208</v>
      </c>
      <c r="M6212" s="2">
        <v>33626.0</v>
      </c>
      <c r="N6212" s="2" t="s">
        <v>21</v>
      </c>
    </row>
    <row r="6213" ht="15.75" customHeight="1">
      <c r="A6213" s="2">
        <v>2016.0</v>
      </c>
      <c r="B6213" s="2" t="s">
        <v>26792</v>
      </c>
      <c r="C6213" s="2" t="s">
        <v>26792</v>
      </c>
      <c r="D6213" s="2" t="str">
        <f>"9525647950"</f>
        <v>9525647950</v>
      </c>
      <c r="E6213" s="2" t="s">
        <v>26793</v>
      </c>
      <c r="F6213" s="2" t="s">
        <v>26794</v>
      </c>
      <c r="G6213" s="2" t="str">
        <f>"SR-8451"</f>
        <v>SR-8451</v>
      </c>
      <c r="H6213" s="2" t="s">
        <v>26795</v>
      </c>
      <c r="I6213" s="2" t="s">
        <v>26796</v>
      </c>
      <c r="K6213" s="2" t="s">
        <v>1321</v>
      </c>
      <c r="L6213" s="2" t="s">
        <v>62</v>
      </c>
      <c r="M6213" s="2">
        <v>55372.0</v>
      </c>
      <c r="N6213" s="2" t="s">
        <v>21</v>
      </c>
    </row>
    <row r="6214" ht="15.75" customHeight="1">
      <c r="A6214" s="2">
        <v>2016.0</v>
      </c>
      <c r="B6214" s="2" t="s">
        <v>26797</v>
      </c>
      <c r="C6214" s="2" t="s">
        <v>26797</v>
      </c>
      <c r="D6214" s="2" t="str">
        <f>"615-916-1400"</f>
        <v>615-916-1400</v>
      </c>
      <c r="E6214" s="2" t="s">
        <v>385</v>
      </c>
      <c r="F6214" s="2" t="s">
        <v>1960</v>
      </c>
      <c r="G6214" s="2" t="str">
        <f>"SR-7954"</f>
        <v>SR-7954</v>
      </c>
      <c r="H6214" s="2" t="s">
        <v>26798</v>
      </c>
      <c r="I6214" s="2" t="s">
        <v>26799</v>
      </c>
      <c r="K6214" s="2" t="s">
        <v>278</v>
      </c>
      <c r="L6214" s="2" t="s">
        <v>279</v>
      </c>
      <c r="M6214" s="2">
        <v>37064.0</v>
      </c>
      <c r="N6214" s="2" t="s">
        <v>21</v>
      </c>
    </row>
    <row r="6215" ht="15.75" customHeight="1">
      <c r="A6215" s="2">
        <v>2016.0</v>
      </c>
      <c r="B6215" s="2" t="s">
        <v>26800</v>
      </c>
      <c r="C6215" s="2" t="s">
        <v>26800</v>
      </c>
      <c r="D6215" s="2" t="str">
        <f>"714-675-9424"</f>
        <v>714-675-9424</v>
      </c>
      <c r="E6215" s="2" t="s">
        <v>977</v>
      </c>
      <c r="F6215" s="2" t="s">
        <v>12086</v>
      </c>
      <c r="G6215" s="2" t="str">
        <f>"SR-8386"</f>
        <v>SR-8386</v>
      </c>
      <c r="H6215" s="2" t="s">
        <v>26801</v>
      </c>
      <c r="I6215" s="2" t="s">
        <v>26802</v>
      </c>
      <c r="K6215" s="2" t="s">
        <v>11684</v>
      </c>
      <c r="L6215" s="2" t="s">
        <v>222</v>
      </c>
      <c r="M6215" s="2">
        <v>92707.0</v>
      </c>
      <c r="N6215" s="2" t="s">
        <v>21</v>
      </c>
    </row>
    <row r="6216" ht="15.75" customHeight="1">
      <c r="A6216" s="2">
        <v>2016.0</v>
      </c>
      <c r="B6216" s="2" t="s">
        <v>26803</v>
      </c>
      <c r="C6216" s="2" t="s">
        <v>26803</v>
      </c>
      <c r="D6216" s="2" t="str">
        <f>"5803778709"</f>
        <v>5803778709</v>
      </c>
      <c r="E6216" s="2" t="s">
        <v>1129</v>
      </c>
      <c r="F6216" s="2" t="s">
        <v>10561</v>
      </c>
      <c r="G6216" s="2" t="str">
        <f>"SR-8481"</f>
        <v>SR-8481</v>
      </c>
      <c r="H6216" s="2" t="s">
        <v>26804</v>
      </c>
      <c r="I6216" s="2" t="s">
        <v>26805</v>
      </c>
      <c r="K6216" s="2" t="s">
        <v>3220</v>
      </c>
      <c r="L6216" s="2" t="s">
        <v>840</v>
      </c>
      <c r="M6216" s="2">
        <v>73801.0</v>
      </c>
      <c r="N6216" s="2" t="s">
        <v>21</v>
      </c>
    </row>
    <row r="6217" ht="15.75" customHeight="1">
      <c r="A6217" s="2">
        <v>2016.0</v>
      </c>
      <c r="B6217" s="2" t="s">
        <v>26806</v>
      </c>
      <c r="C6217" s="2" t="s">
        <v>26806</v>
      </c>
      <c r="D6217" s="2" t="str">
        <f>"608-879-0340"</f>
        <v>608-879-0340</v>
      </c>
      <c r="E6217" s="2" t="s">
        <v>2401</v>
      </c>
      <c r="F6217" s="2" t="s">
        <v>26807</v>
      </c>
      <c r="G6217" s="2" t="str">
        <f>"SR-8482"</f>
        <v>SR-8482</v>
      </c>
      <c r="H6217" s="2" t="s">
        <v>26808</v>
      </c>
      <c r="I6217" s="2" t="s">
        <v>26809</v>
      </c>
      <c r="K6217" s="2" t="s">
        <v>26810</v>
      </c>
      <c r="L6217" s="2" t="s">
        <v>62</v>
      </c>
      <c r="M6217" s="2">
        <v>55963.0</v>
      </c>
      <c r="N6217" s="2" t="s">
        <v>21</v>
      </c>
    </row>
    <row r="6218" ht="15.75" customHeight="1">
      <c r="A6218" s="2">
        <v>2016.0</v>
      </c>
      <c r="B6218" s="2" t="s">
        <v>26811</v>
      </c>
      <c r="C6218" s="2" t="s">
        <v>26811</v>
      </c>
      <c r="D6218" s="2" t="str">
        <f>"817-459-1272"</f>
        <v>817-459-1272</v>
      </c>
      <c r="E6218" s="2" t="s">
        <v>8887</v>
      </c>
      <c r="F6218" s="2" t="s">
        <v>26812</v>
      </c>
      <c r="G6218" s="2" t="str">
        <f>"SR-8392"</f>
        <v>SR-8392</v>
      </c>
      <c r="H6218" s="2" t="s">
        <v>26813</v>
      </c>
      <c r="I6218" s="2" t="s">
        <v>26814</v>
      </c>
      <c r="K6218" s="2" t="s">
        <v>26815</v>
      </c>
      <c r="L6218" s="2" t="s">
        <v>172</v>
      </c>
      <c r="M6218" s="2">
        <v>76013.0</v>
      </c>
      <c r="N6218" s="2" t="s">
        <v>21</v>
      </c>
    </row>
    <row r="6219" ht="15.75" customHeight="1">
      <c r="A6219" s="2">
        <v>2016.0</v>
      </c>
      <c r="B6219" s="2" t="s">
        <v>26816</v>
      </c>
      <c r="C6219" s="2" t="s">
        <v>26817</v>
      </c>
      <c r="D6219" s="2" t="str">
        <f>"5052984888"</f>
        <v>5052984888</v>
      </c>
      <c r="E6219" s="2" t="s">
        <v>26818</v>
      </c>
      <c r="F6219" s="2" t="s">
        <v>26819</v>
      </c>
      <c r="G6219" s="2" t="str">
        <f>"SR-8466"</f>
        <v>SR-8466</v>
      </c>
      <c r="H6219" s="2" t="s">
        <v>26820</v>
      </c>
      <c r="I6219" s="2" t="s">
        <v>26821</v>
      </c>
      <c r="K6219" s="2" t="s">
        <v>3705</v>
      </c>
      <c r="L6219" s="2" t="s">
        <v>789</v>
      </c>
      <c r="M6219" s="2">
        <v>87111.0</v>
      </c>
      <c r="N6219" s="2" t="s">
        <v>21</v>
      </c>
    </row>
    <row r="6220" ht="15.75" customHeight="1">
      <c r="A6220" s="2">
        <v>2016.0</v>
      </c>
      <c r="B6220" s="2" t="s">
        <v>26822</v>
      </c>
      <c r="C6220" s="2" t="s">
        <v>23069</v>
      </c>
      <c r="D6220" s="2" t="str">
        <f>"7072186596"</f>
        <v>7072186596</v>
      </c>
      <c r="E6220" s="2" t="s">
        <v>2306</v>
      </c>
      <c r="F6220" s="2" t="s">
        <v>2598</v>
      </c>
      <c r="G6220" s="2" t="str">
        <f>"SR-4436"</f>
        <v>SR-4436</v>
      </c>
      <c r="H6220" s="2" t="s">
        <v>23070</v>
      </c>
      <c r="I6220" s="2" t="s">
        <v>26823</v>
      </c>
      <c r="K6220" s="2" t="s">
        <v>26824</v>
      </c>
      <c r="L6220" s="2" t="s">
        <v>172</v>
      </c>
      <c r="M6220" s="2">
        <v>75494.0</v>
      </c>
      <c r="N6220" s="2" t="s">
        <v>21</v>
      </c>
    </row>
    <row r="6221" ht="15.75" customHeight="1">
      <c r="A6221" s="2">
        <v>2016.0</v>
      </c>
      <c r="B6221" s="2" t="s">
        <v>26825</v>
      </c>
      <c r="C6221" s="2" t="s">
        <v>25643</v>
      </c>
      <c r="D6221" s="2" t="str">
        <f>"7193321261"</f>
        <v>7193321261</v>
      </c>
      <c r="E6221" s="2" t="s">
        <v>26826</v>
      </c>
      <c r="F6221" s="2" t="s">
        <v>11845</v>
      </c>
      <c r="G6221" s="2" t="str">
        <f>"SR-8489"</f>
        <v>SR-8489</v>
      </c>
      <c r="H6221" s="2" t="s">
        <v>26827</v>
      </c>
      <c r="I6221" s="2" t="s">
        <v>26828</v>
      </c>
      <c r="K6221" s="2" t="s">
        <v>656</v>
      </c>
      <c r="L6221" s="2" t="s">
        <v>157</v>
      </c>
      <c r="M6221" s="2">
        <v>80522.0</v>
      </c>
      <c r="N6221" s="2" t="s">
        <v>21</v>
      </c>
    </row>
    <row r="6222" ht="15.75" customHeight="1">
      <c r="A6222" s="2">
        <v>2016.0</v>
      </c>
      <c r="B6222" s="2" t="s">
        <v>26829</v>
      </c>
      <c r="C6222" s="2" t="s">
        <v>26830</v>
      </c>
      <c r="D6222" s="2" t="str">
        <f>"828-421-6739"</f>
        <v>828-421-6739</v>
      </c>
      <c r="E6222" s="2" t="s">
        <v>2083</v>
      </c>
      <c r="F6222" s="2" t="s">
        <v>26831</v>
      </c>
      <c r="G6222" s="2" t="str">
        <f>"SR-8046"</f>
        <v>SR-8046</v>
      </c>
      <c r="H6222" s="2" t="s">
        <v>26832</v>
      </c>
      <c r="I6222" s="2" t="s">
        <v>26833</v>
      </c>
      <c r="K6222" s="2" t="s">
        <v>278</v>
      </c>
      <c r="L6222" s="2" t="s">
        <v>20</v>
      </c>
      <c r="M6222" s="2">
        <v>28734.0</v>
      </c>
      <c r="N6222" s="2" t="s">
        <v>21</v>
      </c>
    </row>
    <row r="6223" ht="15.75" customHeight="1">
      <c r="A6223" s="2">
        <v>2016.0</v>
      </c>
      <c r="B6223" s="2" t="s">
        <v>26834</v>
      </c>
      <c r="C6223" s="2" t="s">
        <v>26834</v>
      </c>
      <c r="D6223" s="2" t="str">
        <f>"916 833 9760"</f>
        <v>916 833 9760</v>
      </c>
      <c r="E6223" s="2" t="s">
        <v>239</v>
      </c>
      <c r="F6223" s="2" t="s">
        <v>26835</v>
      </c>
      <c r="G6223" s="2" t="str">
        <f>"SR-8500"</f>
        <v>SR-8500</v>
      </c>
      <c r="H6223" s="2" t="s">
        <v>26836</v>
      </c>
      <c r="I6223" s="2" t="s">
        <v>26837</v>
      </c>
      <c r="K6223" s="2" t="s">
        <v>7233</v>
      </c>
      <c r="L6223" s="2" t="s">
        <v>222</v>
      </c>
      <c r="M6223" s="2">
        <v>95658.0</v>
      </c>
      <c r="N6223" s="2" t="s">
        <v>21</v>
      </c>
    </row>
    <row r="6224" ht="15.75" customHeight="1">
      <c r="A6224" s="2">
        <v>2016.0</v>
      </c>
      <c r="B6224" s="2" t="s">
        <v>26838</v>
      </c>
      <c r="C6224" s="2" t="s">
        <v>26838</v>
      </c>
      <c r="D6224" s="2" t="str">
        <f>"3475924552"</f>
        <v>3475924552</v>
      </c>
      <c r="E6224" s="2" t="s">
        <v>26839</v>
      </c>
      <c r="F6224" s="2" t="s">
        <v>26840</v>
      </c>
      <c r="G6224" s="2" t="str">
        <f>"SR-8417"</f>
        <v>SR-8417</v>
      </c>
      <c r="H6224" s="2" t="s">
        <v>26841</v>
      </c>
      <c r="I6224" s="2" t="s">
        <v>26842</v>
      </c>
      <c r="K6224" s="2" t="s">
        <v>26685</v>
      </c>
      <c r="L6224" s="2" t="s">
        <v>142</v>
      </c>
      <c r="M6224" s="2">
        <v>10314.0</v>
      </c>
      <c r="N6224" s="2" t="s">
        <v>21</v>
      </c>
    </row>
    <row r="6225" ht="15.75" customHeight="1">
      <c r="A6225" s="2">
        <v>2016.0</v>
      </c>
      <c r="B6225" s="2" t="s">
        <v>26843</v>
      </c>
      <c r="C6225" s="2" t="s">
        <v>26844</v>
      </c>
      <c r="D6225" s="2" t="str">
        <f>"2812659453"</f>
        <v>2812659453</v>
      </c>
      <c r="E6225" s="2" t="s">
        <v>50</v>
      </c>
      <c r="F6225" s="2" t="s">
        <v>2378</v>
      </c>
      <c r="G6225" s="2" t="str">
        <f>"SR-8508"</f>
        <v>SR-8508</v>
      </c>
      <c r="H6225" s="2" t="s">
        <v>26845</v>
      </c>
      <c r="I6225" s="2" t="s">
        <v>26846</v>
      </c>
      <c r="K6225" s="2" t="s">
        <v>2182</v>
      </c>
      <c r="L6225" s="2" t="s">
        <v>172</v>
      </c>
      <c r="M6225" s="2">
        <v>77479.0</v>
      </c>
      <c r="N6225" s="2" t="s">
        <v>21</v>
      </c>
    </row>
    <row r="6226" ht="15.75" customHeight="1">
      <c r="A6226" s="2">
        <v>2016.0</v>
      </c>
      <c r="B6226" s="2" t="s">
        <v>26847</v>
      </c>
      <c r="C6226" s="2" t="s">
        <v>26848</v>
      </c>
      <c r="D6226" s="2" t="str">
        <f>"859-396-0267"</f>
        <v>859-396-0267</v>
      </c>
      <c r="E6226" s="2" t="s">
        <v>465</v>
      </c>
      <c r="F6226" s="2" t="s">
        <v>10530</v>
      </c>
      <c r="G6226" s="2" t="str">
        <f>"SR-8504"</f>
        <v>SR-8504</v>
      </c>
      <c r="H6226" s="2" t="s">
        <v>26849</v>
      </c>
      <c r="I6226" s="2" t="s">
        <v>26850</v>
      </c>
      <c r="K6226" s="2" t="s">
        <v>23544</v>
      </c>
      <c r="L6226" s="2" t="s">
        <v>1236</v>
      </c>
      <c r="M6226" s="2">
        <v>40361.0</v>
      </c>
      <c r="N6226" s="2" t="s">
        <v>21</v>
      </c>
    </row>
    <row r="6227" ht="15.75" customHeight="1">
      <c r="A6227" s="2">
        <v>2016.0</v>
      </c>
      <c r="B6227" s="2" t="s">
        <v>21678</v>
      </c>
      <c r="D6227" s="2" t="str">
        <f>""</f>
        <v/>
      </c>
      <c r="E6227" s="2" t="s">
        <v>10350</v>
      </c>
      <c r="F6227" s="2" t="s">
        <v>21679</v>
      </c>
      <c r="G6227" s="2" t="str">
        <f>"SR-6604"</f>
        <v>SR-6604</v>
      </c>
      <c r="H6227" s="2" t="s">
        <v>21681</v>
      </c>
    </row>
    <row r="6228" ht="15.75" customHeight="1">
      <c r="A6228" s="2">
        <v>2016.0</v>
      </c>
      <c r="B6228" s="2" t="s">
        <v>3896</v>
      </c>
      <c r="C6228" s="2" t="s">
        <v>26851</v>
      </c>
      <c r="D6228" s="2" t="str">
        <f>"8643227117"</f>
        <v>8643227117</v>
      </c>
      <c r="E6228" s="2" t="s">
        <v>261</v>
      </c>
      <c r="F6228" s="2" t="s">
        <v>3898</v>
      </c>
      <c r="G6228" s="2" t="str">
        <f>"SR-4891"</f>
        <v>SR-4891</v>
      </c>
      <c r="H6228" s="2" t="s">
        <v>26852</v>
      </c>
      <c r="I6228" s="2" t="s">
        <v>3900</v>
      </c>
      <c r="K6228" s="2" t="s">
        <v>3385</v>
      </c>
      <c r="L6228" s="2" t="s">
        <v>55</v>
      </c>
      <c r="M6228" s="2">
        <v>29650.0</v>
      </c>
      <c r="N6228" s="2" t="s">
        <v>21</v>
      </c>
    </row>
    <row r="6229" ht="15.75" customHeight="1">
      <c r="A6229" s="2">
        <v>2016.0</v>
      </c>
      <c r="B6229" s="2" t="s">
        <v>26853</v>
      </c>
      <c r="C6229" s="2" t="s">
        <v>26853</v>
      </c>
      <c r="D6229" s="2" t="str">
        <f>"641-373-6158"</f>
        <v>641-373-6158</v>
      </c>
      <c r="E6229" s="2" t="s">
        <v>3144</v>
      </c>
      <c r="F6229" s="2" t="s">
        <v>24286</v>
      </c>
      <c r="G6229" s="2" t="str">
        <f>"SR-8422"</f>
        <v>SR-8422</v>
      </c>
      <c r="H6229" s="2" t="s">
        <v>26854</v>
      </c>
      <c r="I6229" s="2" t="s">
        <v>26855</v>
      </c>
      <c r="K6229" s="2" t="s">
        <v>26856</v>
      </c>
      <c r="L6229" s="2" t="s">
        <v>560</v>
      </c>
      <c r="M6229" s="2">
        <v>50230.0</v>
      </c>
      <c r="N6229" s="2" t="s">
        <v>21</v>
      </c>
    </row>
    <row r="6230" ht="15.75" customHeight="1">
      <c r="A6230" s="2">
        <v>2016.0</v>
      </c>
      <c r="B6230" s="2" t="s">
        <v>26857</v>
      </c>
      <c r="C6230" s="2" t="s">
        <v>26858</v>
      </c>
      <c r="D6230" s="2" t="str">
        <f>"6823517861"</f>
        <v>6823517861</v>
      </c>
      <c r="E6230" s="2" t="s">
        <v>26859</v>
      </c>
      <c r="F6230" s="2" t="s">
        <v>26725</v>
      </c>
      <c r="G6230" s="2" t="str">
        <f>"SR-7712"</f>
        <v>SR-7712</v>
      </c>
      <c r="H6230" s="2" t="s">
        <v>26860</v>
      </c>
      <c r="I6230" s="2" t="s">
        <v>26861</v>
      </c>
      <c r="J6230" s="2" t="s">
        <v>26862</v>
      </c>
      <c r="K6230" s="2" t="s">
        <v>1255</v>
      </c>
      <c r="L6230" s="2" t="s">
        <v>172</v>
      </c>
      <c r="M6230" s="2">
        <v>75211.0</v>
      </c>
      <c r="N6230" s="2" t="s">
        <v>21</v>
      </c>
    </row>
    <row r="6231" ht="15.75" customHeight="1">
      <c r="A6231" s="2">
        <v>2016.0</v>
      </c>
      <c r="B6231" s="2" t="s">
        <v>26863</v>
      </c>
      <c r="C6231" s="2" t="s">
        <v>26864</v>
      </c>
      <c r="D6231" s="2" t="str">
        <f>"318 278 9747"</f>
        <v>318 278 9747</v>
      </c>
      <c r="E6231" s="2" t="s">
        <v>13952</v>
      </c>
      <c r="F6231" s="2" t="s">
        <v>26865</v>
      </c>
      <c r="G6231" s="2" t="str">
        <f>"SR-8398"</f>
        <v>SR-8398</v>
      </c>
      <c r="H6231" s="2" t="s">
        <v>26866</v>
      </c>
      <c r="I6231" s="2" t="s">
        <v>26867</v>
      </c>
      <c r="K6231" s="2" t="s">
        <v>714</v>
      </c>
      <c r="L6231" s="2" t="s">
        <v>715</v>
      </c>
      <c r="M6231" s="2">
        <v>71270.0</v>
      </c>
      <c r="N6231" s="2" t="s">
        <v>21</v>
      </c>
    </row>
    <row r="6232" ht="15.75" customHeight="1">
      <c r="A6232" s="2">
        <v>2016.0</v>
      </c>
      <c r="B6232" s="2" t="s">
        <v>18148</v>
      </c>
      <c r="C6232" s="2" t="s">
        <v>18149</v>
      </c>
      <c r="D6232" s="2" t="str">
        <f>"9256740735"</f>
        <v>9256740735</v>
      </c>
      <c r="E6232" s="2" t="s">
        <v>843</v>
      </c>
      <c r="F6232" s="2" t="s">
        <v>18150</v>
      </c>
      <c r="G6232" s="2" t="str">
        <f>"SR-5575"</f>
        <v>SR-5575</v>
      </c>
      <c r="H6232" s="2" t="s">
        <v>18151</v>
      </c>
      <c r="I6232" s="2" t="s">
        <v>18152</v>
      </c>
      <c r="K6232" s="2" t="s">
        <v>8923</v>
      </c>
      <c r="L6232" s="2" t="s">
        <v>222</v>
      </c>
      <c r="M6232" s="2">
        <v>94523.0</v>
      </c>
      <c r="N6232" s="2" t="s">
        <v>21</v>
      </c>
    </row>
    <row r="6233" ht="15.75" customHeight="1">
      <c r="A6233" s="2">
        <v>2016.0</v>
      </c>
      <c r="B6233" s="2" t="s">
        <v>26246</v>
      </c>
      <c r="C6233" s="2" t="s">
        <v>26868</v>
      </c>
      <c r="D6233" s="2" t="str">
        <f>"7025804070"</f>
        <v>7025804070</v>
      </c>
      <c r="E6233" s="2" t="s">
        <v>373</v>
      </c>
      <c r="F6233" s="2" t="s">
        <v>26248</v>
      </c>
      <c r="G6233" s="2" t="str">
        <f>"SR-8516"</f>
        <v>SR-8516</v>
      </c>
      <c r="H6233" s="2" t="s">
        <v>26869</v>
      </c>
      <c r="I6233" s="2" t="s">
        <v>26870</v>
      </c>
      <c r="K6233" s="2" t="s">
        <v>26251</v>
      </c>
      <c r="L6233" s="2" t="s">
        <v>55</v>
      </c>
      <c r="M6233" s="2">
        <v>29410.0</v>
      </c>
      <c r="N6233" s="2" t="s">
        <v>21</v>
      </c>
    </row>
    <row r="6234" ht="15.75" customHeight="1">
      <c r="A6234" s="2">
        <v>2016.0</v>
      </c>
      <c r="B6234" s="2" t="s">
        <v>20693</v>
      </c>
      <c r="C6234" s="2" t="s">
        <v>20694</v>
      </c>
      <c r="D6234" s="2" t="str">
        <f>"5613799889"</f>
        <v>5613799889</v>
      </c>
      <c r="E6234" s="2" t="s">
        <v>2361</v>
      </c>
      <c r="F6234" s="2" t="s">
        <v>20695</v>
      </c>
      <c r="G6234" s="2" t="str">
        <f>"SR-6378"</f>
        <v>SR-6378</v>
      </c>
      <c r="H6234" s="2" t="s">
        <v>20696</v>
      </c>
      <c r="I6234" s="2" t="s">
        <v>20697</v>
      </c>
      <c r="K6234" s="2" t="s">
        <v>8413</v>
      </c>
      <c r="L6234" s="2" t="s">
        <v>208</v>
      </c>
      <c r="M6234" s="2">
        <v>33414.0</v>
      </c>
      <c r="N6234" s="2" t="s">
        <v>21</v>
      </c>
    </row>
    <row r="6235" ht="15.75" customHeight="1">
      <c r="A6235" s="2">
        <v>2016.0</v>
      </c>
      <c r="B6235" s="2" t="s">
        <v>26871</v>
      </c>
      <c r="C6235" s="2" t="s">
        <v>26872</v>
      </c>
      <c r="D6235" s="2" t="str">
        <f>"4694382764"</f>
        <v>4694382764</v>
      </c>
      <c r="E6235" s="2" t="s">
        <v>26873</v>
      </c>
      <c r="F6235" s="2" t="s">
        <v>26874</v>
      </c>
      <c r="G6235" s="2" t="str">
        <f>"SR-7785"</f>
        <v>SR-7785</v>
      </c>
      <c r="H6235" s="2" t="s">
        <v>26875</v>
      </c>
      <c r="I6235" s="2" t="s">
        <v>26876</v>
      </c>
      <c r="K6235" s="2" t="s">
        <v>1255</v>
      </c>
      <c r="L6235" s="2" t="s">
        <v>172</v>
      </c>
      <c r="M6235" s="2">
        <v>75236.0</v>
      </c>
      <c r="N6235" s="2" t="s">
        <v>21</v>
      </c>
    </row>
    <row r="6236" ht="15.75" customHeight="1">
      <c r="A6236" s="2">
        <v>2016.0</v>
      </c>
      <c r="B6236" s="2" t="s">
        <v>26877</v>
      </c>
      <c r="C6236" s="2" t="s">
        <v>26877</v>
      </c>
      <c r="D6236" s="2" t="str">
        <f>"803-372-1636"</f>
        <v>803-372-1636</v>
      </c>
      <c r="E6236" s="2" t="s">
        <v>2988</v>
      </c>
      <c r="F6236" s="2" t="s">
        <v>182</v>
      </c>
      <c r="G6236" s="2" t="str">
        <f>"SR-8222"</f>
        <v>SR-8222</v>
      </c>
      <c r="H6236" s="2" t="s">
        <v>26878</v>
      </c>
      <c r="I6236" s="2" t="s">
        <v>13167</v>
      </c>
      <c r="K6236" s="2" t="s">
        <v>12999</v>
      </c>
      <c r="L6236" s="2" t="s">
        <v>55</v>
      </c>
      <c r="M6236" s="2">
        <v>29710.0</v>
      </c>
      <c r="N6236" s="2" t="s">
        <v>21</v>
      </c>
    </row>
    <row r="6237" ht="15.75" customHeight="1">
      <c r="A6237" s="2">
        <v>2016.0</v>
      </c>
      <c r="B6237" s="2" t="s">
        <v>26879</v>
      </c>
      <c r="C6237" s="2" t="s">
        <v>20056</v>
      </c>
      <c r="D6237" s="2" t="str">
        <f>"6623125634"</f>
        <v>6623125634</v>
      </c>
      <c r="E6237" s="2" t="s">
        <v>580</v>
      </c>
      <c r="F6237" s="2" t="s">
        <v>20057</v>
      </c>
      <c r="G6237" s="2" t="str">
        <f>"SR-8379"</f>
        <v>SR-8379</v>
      </c>
      <c r="H6237" s="2" t="s">
        <v>20058</v>
      </c>
      <c r="I6237" s="2" t="s">
        <v>20059</v>
      </c>
      <c r="K6237" s="2" t="s">
        <v>1901</v>
      </c>
      <c r="L6237" s="2" t="s">
        <v>1722</v>
      </c>
      <c r="M6237" s="2">
        <v>39759.0</v>
      </c>
      <c r="N6237" s="2" t="s">
        <v>21</v>
      </c>
    </row>
    <row r="6238" ht="15.75" customHeight="1">
      <c r="A6238" s="2">
        <v>2016.0</v>
      </c>
      <c r="B6238" s="2" t="s">
        <v>26880</v>
      </c>
      <c r="C6238" s="2" t="s">
        <v>26880</v>
      </c>
      <c r="D6238" s="2" t="str">
        <f>"7164442690"</f>
        <v>7164442690</v>
      </c>
      <c r="E6238" s="2" t="s">
        <v>19780</v>
      </c>
      <c r="F6238" s="2" t="s">
        <v>26881</v>
      </c>
      <c r="G6238" s="2" t="str">
        <f>"SR-8233"</f>
        <v>SR-8233</v>
      </c>
      <c r="H6238" s="2" t="s">
        <v>26882</v>
      </c>
      <c r="I6238" s="2" t="s">
        <v>26883</v>
      </c>
      <c r="K6238" s="2" t="s">
        <v>26884</v>
      </c>
      <c r="L6238" s="2" t="s">
        <v>142</v>
      </c>
      <c r="M6238" s="2">
        <v>14226.0</v>
      </c>
      <c r="N6238" s="2" t="s">
        <v>21</v>
      </c>
    </row>
    <row r="6239" ht="15.75" customHeight="1">
      <c r="A6239" s="2">
        <v>2016.0</v>
      </c>
      <c r="B6239" s="2" t="s">
        <v>26885</v>
      </c>
      <c r="C6239" s="2" t="s">
        <v>26886</v>
      </c>
      <c r="D6239" s="2" t="str">
        <f>"(970) 281-2602"</f>
        <v>(970) 281-2602</v>
      </c>
      <c r="E6239" s="2" t="s">
        <v>12166</v>
      </c>
      <c r="F6239" s="2" t="s">
        <v>26887</v>
      </c>
      <c r="G6239" s="2" t="str">
        <f>"SR-8513"</f>
        <v>SR-8513</v>
      </c>
      <c r="H6239" s="2" t="s">
        <v>26888</v>
      </c>
      <c r="I6239" s="2" t="s">
        <v>26889</v>
      </c>
      <c r="K6239" s="2" t="s">
        <v>11204</v>
      </c>
      <c r="L6239" s="2" t="s">
        <v>157</v>
      </c>
      <c r="M6239" s="2">
        <v>80497.0</v>
      </c>
      <c r="N6239" s="2" t="s">
        <v>21</v>
      </c>
    </row>
    <row r="6240" ht="15.75" customHeight="1">
      <c r="A6240" s="2">
        <v>2016.0</v>
      </c>
      <c r="B6240" s="2" t="s">
        <v>26890</v>
      </c>
      <c r="C6240" s="2" t="s">
        <v>26891</v>
      </c>
      <c r="D6240" s="2" t="str">
        <f>"4074096820"</f>
        <v>4074096820</v>
      </c>
      <c r="E6240" s="2" t="s">
        <v>1088</v>
      </c>
      <c r="F6240" s="2" t="s">
        <v>14639</v>
      </c>
      <c r="G6240" s="2" t="str">
        <f>"SR-7458"</f>
        <v>SR-7458</v>
      </c>
      <c r="H6240" s="2" t="s">
        <v>26892</v>
      </c>
      <c r="I6240" s="2" t="s">
        <v>26893</v>
      </c>
      <c r="K6240" s="2" t="s">
        <v>26894</v>
      </c>
      <c r="L6240" s="2" t="s">
        <v>179</v>
      </c>
      <c r="M6240" s="2">
        <v>19460.0</v>
      </c>
      <c r="N6240" s="2" t="s">
        <v>21</v>
      </c>
    </row>
    <row r="6241" ht="15.75" customHeight="1">
      <c r="A6241" s="2">
        <v>2016.0</v>
      </c>
      <c r="B6241" s="2" t="s">
        <v>26895</v>
      </c>
      <c r="C6241" s="2" t="s">
        <v>26896</v>
      </c>
      <c r="D6241" s="2" t="str">
        <f>"562-688-6240"</f>
        <v>562-688-6240</v>
      </c>
      <c r="E6241" s="2" t="s">
        <v>26897</v>
      </c>
      <c r="F6241" s="2" t="s">
        <v>26898</v>
      </c>
      <c r="G6241" s="2" t="str">
        <f>"SR-8521"</f>
        <v>SR-8521</v>
      </c>
      <c r="H6241" s="2" t="s">
        <v>26899</v>
      </c>
      <c r="I6241" s="2" t="s">
        <v>26900</v>
      </c>
      <c r="K6241" s="2" t="s">
        <v>26901</v>
      </c>
      <c r="L6241" s="2" t="s">
        <v>222</v>
      </c>
      <c r="M6241" s="2">
        <v>90621.0</v>
      </c>
      <c r="N6241" s="2" t="s">
        <v>21</v>
      </c>
    </row>
    <row r="6242" ht="15.75" customHeight="1">
      <c r="A6242" s="2">
        <v>2016.0</v>
      </c>
      <c r="B6242" s="2" t="s">
        <v>26822</v>
      </c>
      <c r="C6242" s="2" t="s">
        <v>26902</v>
      </c>
      <c r="D6242" s="2" t="str">
        <f>"9039755990"</f>
        <v>9039755990</v>
      </c>
      <c r="E6242" s="2" t="s">
        <v>26903</v>
      </c>
      <c r="F6242" s="2" t="s">
        <v>2598</v>
      </c>
      <c r="G6242" s="2" t="str">
        <f>"SR-8397"</f>
        <v>SR-8397</v>
      </c>
      <c r="H6242" s="2" t="s">
        <v>26904</v>
      </c>
      <c r="I6242" s="2" t="s">
        <v>26905</v>
      </c>
      <c r="K6242" s="2" t="s">
        <v>16052</v>
      </c>
      <c r="L6242" s="2" t="s">
        <v>172</v>
      </c>
      <c r="M6242" s="2">
        <v>75494.0</v>
      </c>
      <c r="N6242" s="2" t="s">
        <v>21</v>
      </c>
    </row>
    <row r="6243" ht="15.75" customHeight="1">
      <c r="A6243" s="2">
        <v>2016.0</v>
      </c>
      <c r="B6243" s="2" t="s">
        <v>26895</v>
      </c>
      <c r="C6243" s="2" t="s">
        <v>26906</v>
      </c>
      <c r="D6243" s="2" t="str">
        <f>"562-688-6240"</f>
        <v>562-688-6240</v>
      </c>
      <c r="E6243" s="2" t="s">
        <v>6098</v>
      </c>
      <c r="F6243" s="2" t="s">
        <v>26898</v>
      </c>
      <c r="G6243" s="2" t="str">
        <f>"SR-8523"</f>
        <v>SR-8523</v>
      </c>
      <c r="H6243" s="2" t="s">
        <v>26907</v>
      </c>
      <c r="I6243" s="2" t="s">
        <v>26900</v>
      </c>
      <c r="K6243" s="2" t="s">
        <v>26901</v>
      </c>
      <c r="L6243" s="2" t="s">
        <v>222</v>
      </c>
      <c r="M6243" s="2">
        <v>90621.0</v>
      </c>
      <c r="N6243" s="2" t="s">
        <v>21</v>
      </c>
    </row>
    <row r="6244" ht="15.75" customHeight="1">
      <c r="A6244" s="2">
        <v>2016.0</v>
      </c>
      <c r="B6244" s="2" t="s">
        <v>26908</v>
      </c>
      <c r="C6244" s="2" t="s">
        <v>26908</v>
      </c>
      <c r="D6244" s="2" t="str">
        <f>"(949)338-9501"</f>
        <v>(949)338-9501</v>
      </c>
      <c r="E6244" s="2" t="s">
        <v>1595</v>
      </c>
      <c r="F6244" s="2" t="s">
        <v>26909</v>
      </c>
      <c r="G6244" s="2" t="str">
        <f>"SR-7935"</f>
        <v>SR-7935</v>
      </c>
      <c r="H6244" s="2" t="s">
        <v>26910</v>
      </c>
      <c r="I6244" s="2" t="s">
        <v>26911</v>
      </c>
      <c r="K6244" s="2" t="s">
        <v>18685</v>
      </c>
      <c r="L6244" s="2" t="s">
        <v>222</v>
      </c>
      <c r="M6244" s="2">
        <v>92694.0</v>
      </c>
      <c r="N6244" s="2" t="s">
        <v>21</v>
      </c>
    </row>
    <row r="6245" ht="15.75" customHeight="1">
      <c r="A6245" s="2">
        <v>2016.0</v>
      </c>
      <c r="B6245" s="2" t="s">
        <v>26912</v>
      </c>
      <c r="C6245" s="2" t="s">
        <v>26913</v>
      </c>
      <c r="D6245" s="2" t="str">
        <f>"5072894009"</f>
        <v>5072894009</v>
      </c>
      <c r="E6245" s="2" t="s">
        <v>2941</v>
      </c>
      <c r="F6245" s="2" t="s">
        <v>8985</v>
      </c>
      <c r="G6245" s="2" t="str">
        <f>"SR-8077"</f>
        <v>SR-8077</v>
      </c>
      <c r="H6245" s="2" t="s">
        <v>26914</v>
      </c>
      <c r="I6245" s="2" t="s">
        <v>26915</v>
      </c>
      <c r="K6245" s="2" t="s">
        <v>2804</v>
      </c>
      <c r="L6245" s="2" t="s">
        <v>62</v>
      </c>
      <c r="M6245" s="2">
        <v>55902.0</v>
      </c>
      <c r="N6245" s="2" t="s">
        <v>21</v>
      </c>
    </row>
    <row r="6246" ht="15.75" customHeight="1">
      <c r="A6246" s="2">
        <v>2016.0</v>
      </c>
      <c r="B6246" s="2" t="s">
        <v>26916</v>
      </c>
      <c r="C6246" s="2" t="s">
        <v>26917</v>
      </c>
      <c r="D6246" s="2" t="str">
        <f>"7814925407"</f>
        <v>7814925407</v>
      </c>
      <c r="E6246" s="2" t="s">
        <v>2598</v>
      </c>
      <c r="F6246" s="2" t="s">
        <v>26918</v>
      </c>
      <c r="G6246" s="2" t="str">
        <f>"SR-8249"</f>
        <v>SR-8249</v>
      </c>
      <c r="H6246" s="2" t="s">
        <v>26919</v>
      </c>
      <c r="I6246" s="2" t="s">
        <v>26920</v>
      </c>
      <c r="K6246" s="2" t="s">
        <v>26921</v>
      </c>
      <c r="L6246" s="2" t="s">
        <v>2534</v>
      </c>
      <c r="M6246" s="2">
        <v>58204.0</v>
      </c>
      <c r="N6246" s="2" t="s">
        <v>21</v>
      </c>
    </row>
    <row r="6247" ht="15.75" customHeight="1">
      <c r="A6247" s="2">
        <v>2016.0</v>
      </c>
      <c r="B6247" s="2" t="s">
        <v>26922</v>
      </c>
      <c r="C6247" s="2" t="s">
        <v>26923</v>
      </c>
      <c r="D6247" s="2" t="str">
        <f>"7152070458"</f>
        <v>7152070458</v>
      </c>
      <c r="E6247" s="2" t="s">
        <v>385</v>
      </c>
      <c r="F6247" s="2" t="s">
        <v>26924</v>
      </c>
      <c r="G6247" s="2" t="str">
        <f>"SR-8526"</f>
        <v>SR-8526</v>
      </c>
      <c r="H6247" s="2" t="s">
        <v>26925</v>
      </c>
      <c r="I6247" s="2" t="s">
        <v>26926</v>
      </c>
      <c r="K6247" s="2" t="s">
        <v>669</v>
      </c>
      <c r="L6247" s="2" t="s">
        <v>193</v>
      </c>
      <c r="M6247" s="2">
        <v>54449.0</v>
      </c>
      <c r="N6247" s="2" t="s">
        <v>21</v>
      </c>
    </row>
    <row r="6248" ht="15.75" customHeight="1">
      <c r="A6248" s="2">
        <v>2016.0</v>
      </c>
      <c r="B6248" s="2" t="s">
        <v>26927</v>
      </c>
      <c r="C6248" s="2" t="s">
        <v>26928</v>
      </c>
      <c r="D6248" s="2" t="str">
        <f>"9405953038"</f>
        <v>9405953038</v>
      </c>
      <c r="E6248" s="2" t="s">
        <v>26929</v>
      </c>
      <c r="F6248" s="2" t="s">
        <v>26930</v>
      </c>
      <c r="G6248" s="2" t="str">
        <f>"SR-8520"</f>
        <v>SR-8520</v>
      </c>
      <c r="H6248" s="2" t="s">
        <v>26931</v>
      </c>
      <c r="I6248" s="2" t="s">
        <v>26932</v>
      </c>
      <c r="K6248" s="2" t="s">
        <v>6539</v>
      </c>
      <c r="L6248" s="2" t="s">
        <v>172</v>
      </c>
      <c r="M6248" s="2">
        <v>76210.0</v>
      </c>
      <c r="N6248" s="2" t="s">
        <v>21</v>
      </c>
    </row>
    <row r="6249" ht="15.75" customHeight="1">
      <c r="A6249" s="2">
        <v>2016.0</v>
      </c>
      <c r="B6249" s="2" t="s">
        <v>26933</v>
      </c>
      <c r="C6249" s="2" t="s">
        <v>26934</v>
      </c>
      <c r="D6249" s="2" t="str">
        <f>"319-373-3508"</f>
        <v>319-373-3508</v>
      </c>
      <c r="E6249" s="2" t="s">
        <v>1015</v>
      </c>
      <c r="F6249" s="2" t="s">
        <v>26935</v>
      </c>
      <c r="G6249" s="2" t="str">
        <f>"SR-8302"</f>
        <v>SR-8302</v>
      </c>
      <c r="H6249" s="2" t="s">
        <v>26936</v>
      </c>
      <c r="I6249" s="2" t="s">
        <v>26937</v>
      </c>
      <c r="K6249" s="2" t="s">
        <v>3273</v>
      </c>
      <c r="L6249" s="2" t="s">
        <v>560</v>
      </c>
      <c r="M6249" s="2">
        <v>52402.0</v>
      </c>
      <c r="N6249" s="2" t="s">
        <v>21</v>
      </c>
    </row>
    <row r="6250" ht="15.75" customHeight="1">
      <c r="A6250" s="2">
        <v>2016.0</v>
      </c>
      <c r="B6250" s="2" t="s">
        <v>26938</v>
      </c>
      <c r="C6250" s="2" t="s">
        <v>26939</v>
      </c>
      <c r="D6250" s="2" t="str">
        <f>"208-283-2810"</f>
        <v>208-283-2810</v>
      </c>
      <c r="E6250" s="2" t="s">
        <v>1141</v>
      </c>
      <c r="F6250" s="2" t="s">
        <v>256</v>
      </c>
      <c r="G6250" s="2" t="str">
        <f>"SR-8235"</f>
        <v>SR-8235</v>
      </c>
      <c r="H6250" s="2" t="s">
        <v>26940</v>
      </c>
      <c r="I6250" s="2" t="s">
        <v>26941</v>
      </c>
      <c r="K6250" s="2" t="s">
        <v>2906</v>
      </c>
      <c r="L6250" s="2" t="s">
        <v>2613</v>
      </c>
      <c r="M6250" s="2">
        <v>83644.0</v>
      </c>
      <c r="N6250" s="2" t="s">
        <v>21</v>
      </c>
    </row>
    <row r="6251" ht="15.75" customHeight="1">
      <c r="A6251" s="2">
        <v>2016.0</v>
      </c>
      <c r="B6251" s="2" t="s">
        <v>11136</v>
      </c>
      <c r="C6251" s="2" t="s">
        <v>26942</v>
      </c>
      <c r="D6251" s="2" t="str">
        <f>"3039853362"</f>
        <v>3039853362</v>
      </c>
      <c r="E6251" s="2" t="s">
        <v>18027</v>
      </c>
      <c r="F6251" s="2" t="s">
        <v>11138</v>
      </c>
      <c r="G6251" s="2" t="str">
        <f>"SR-7948"</f>
        <v>SR-7948</v>
      </c>
      <c r="H6251" s="2" t="s">
        <v>26943</v>
      </c>
      <c r="I6251" s="2" t="s">
        <v>26944</v>
      </c>
      <c r="K6251" s="2" t="s">
        <v>6514</v>
      </c>
      <c r="L6251" s="2" t="s">
        <v>157</v>
      </c>
      <c r="M6251" s="2">
        <v>80227.0</v>
      </c>
      <c r="N6251" s="2" t="s">
        <v>21</v>
      </c>
    </row>
    <row r="6252" ht="15.75" customHeight="1">
      <c r="A6252" s="2">
        <v>2016.0</v>
      </c>
      <c r="B6252" s="2" t="s">
        <v>664</v>
      </c>
      <c r="C6252" s="2" t="s">
        <v>664</v>
      </c>
      <c r="D6252" s="2" t="str">
        <f>"715-384-7998"</f>
        <v>715-384-7998</v>
      </c>
      <c r="E6252" s="2" t="s">
        <v>22433</v>
      </c>
      <c r="F6252" s="2" t="s">
        <v>645</v>
      </c>
      <c r="G6252" s="2" t="str">
        <f>"SR-8528"</f>
        <v>SR-8528</v>
      </c>
      <c r="H6252" s="2" t="s">
        <v>26945</v>
      </c>
      <c r="I6252" s="2" t="s">
        <v>26946</v>
      </c>
      <c r="K6252" s="2" t="s">
        <v>669</v>
      </c>
      <c r="L6252" s="2" t="s">
        <v>193</v>
      </c>
      <c r="M6252" s="2">
        <v>54449.0</v>
      </c>
      <c r="N6252" s="2" t="s">
        <v>21</v>
      </c>
    </row>
    <row r="6253" ht="15.75" customHeight="1">
      <c r="A6253" s="2">
        <v>2016.0</v>
      </c>
      <c r="B6253" s="2" t="s">
        <v>26947</v>
      </c>
      <c r="C6253" s="2" t="s">
        <v>26948</v>
      </c>
      <c r="D6253" s="2" t="str">
        <f>"615-414-4946"</f>
        <v>615-414-4946</v>
      </c>
      <c r="E6253" s="2" t="s">
        <v>1257</v>
      </c>
      <c r="F6253" s="2" t="s">
        <v>26949</v>
      </c>
      <c r="G6253" s="2" t="str">
        <f>"SR-8226"</f>
        <v>SR-8226</v>
      </c>
      <c r="H6253" s="2" t="s">
        <v>26950</v>
      </c>
      <c r="I6253" s="2" t="s">
        <v>26951</v>
      </c>
      <c r="K6253" s="2" t="s">
        <v>278</v>
      </c>
      <c r="L6253" s="2" t="s">
        <v>279</v>
      </c>
      <c r="M6253" s="2">
        <v>37064.0</v>
      </c>
      <c r="N6253" s="2" t="s">
        <v>21</v>
      </c>
    </row>
    <row r="6254" ht="15.75" customHeight="1">
      <c r="A6254" s="2">
        <v>2016.0</v>
      </c>
      <c r="B6254" s="2" t="s">
        <v>26952</v>
      </c>
      <c r="C6254" s="2" t="s">
        <v>26953</v>
      </c>
      <c r="D6254" s="2" t="str">
        <f>"530-478-0687"</f>
        <v>530-478-0687</v>
      </c>
      <c r="E6254" s="2" t="s">
        <v>26954</v>
      </c>
      <c r="F6254" s="2" t="s">
        <v>5808</v>
      </c>
      <c r="G6254" s="2" t="str">
        <f>"SR-8534"</f>
        <v>SR-8534</v>
      </c>
      <c r="H6254" s="2" t="s">
        <v>26955</v>
      </c>
      <c r="I6254" s="2" t="s">
        <v>26956</v>
      </c>
      <c r="K6254" s="2" t="s">
        <v>26957</v>
      </c>
      <c r="L6254" s="2" t="s">
        <v>222</v>
      </c>
      <c r="M6254" s="2">
        <v>95959.0</v>
      </c>
      <c r="N6254" s="2" t="s">
        <v>21</v>
      </c>
    </row>
    <row r="6255" ht="15.75" customHeight="1">
      <c r="A6255" s="2">
        <v>2016.0</v>
      </c>
      <c r="B6255" s="2" t="s">
        <v>22101</v>
      </c>
      <c r="C6255" s="2" t="s">
        <v>22102</v>
      </c>
      <c r="D6255" s="2" t="str">
        <f>"5039850099"</f>
        <v>5039850099</v>
      </c>
      <c r="E6255" s="2" t="s">
        <v>22103</v>
      </c>
      <c r="F6255" s="2" t="s">
        <v>13200</v>
      </c>
      <c r="G6255" s="2" t="str">
        <f>"SR-5855"</f>
        <v>SR-5855</v>
      </c>
      <c r="H6255" s="2" t="s">
        <v>22104</v>
      </c>
      <c r="I6255" s="2" t="s">
        <v>22105</v>
      </c>
      <c r="K6255" s="2" t="s">
        <v>4054</v>
      </c>
      <c r="L6255" s="2" t="s">
        <v>2389</v>
      </c>
      <c r="M6255" s="2">
        <v>97119.0</v>
      </c>
      <c r="N6255" s="2" t="s">
        <v>21</v>
      </c>
    </row>
    <row r="6256" ht="15.75" customHeight="1">
      <c r="A6256" s="2">
        <v>2016.0</v>
      </c>
      <c r="B6256" s="2" t="s">
        <v>26958</v>
      </c>
      <c r="C6256" s="2" t="s">
        <v>26959</v>
      </c>
      <c r="D6256" s="2" t="str">
        <f>"541-928-4033"</f>
        <v>541-928-4033</v>
      </c>
      <c r="E6256" s="2" t="s">
        <v>1180</v>
      </c>
      <c r="F6256" s="2" t="s">
        <v>26960</v>
      </c>
      <c r="G6256" s="2" t="str">
        <f>"SR-8529"</f>
        <v>SR-8529</v>
      </c>
      <c r="H6256" s="2" t="s">
        <v>26961</v>
      </c>
      <c r="I6256" s="2" t="s">
        <v>26962</v>
      </c>
      <c r="K6256" s="2" t="s">
        <v>7670</v>
      </c>
      <c r="L6256" s="2" t="s">
        <v>2389</v>
      </c>
      <c r="M6256" s="2">
        <v>97321.0</v>
      </c>
      <c r="N6256" s="2" t="s">
        <v>21</v>
      </c>
    </row>
    <row r="6257" ht="15.75" customHeight="1">
      <c r="A6257" s="2">
        <v>2016.0</v>
      </c>
      <c r="B6257" s="2" t="s">
        <v>26963</v>
      </c>
      <c r="C6257" s="2" t="s">
        <v>26963</v>
      </c>
      <c r="D6257" s="2" t="str">
        <f>"6052096685"</f>
        <v>6052096685</v>
      </c>
      <c r="E6257" s="2" t="s">
        <v>1022</v>
      </c>
      <c r="F6257" s="2" t="s">
        <v>11406</v>
      </c>
      <c r="G6257" s="2" t="str">
        <f>"SR-8537"</f>
        <v>SR-8537</v>
      </c>
      <c r="H6257" s="2" t="s">
        <v>26964</v>
      </c>
      <c r="I6257" s="2" t="s">
        <v>26965</v>
      </c>
      <c r="K6257" s="2" t="s">
        <v>10102</v>
      </c>
      <c r="L6257" s="2" t="s">
        <v>920</v>
      </c>
      <c r="M6257" s="2">
        <v>57769.0</v>
      </c>
      <c r="N6257" s="2" t="s">
        <v>21</v>
      </c>
    </row>
    <row r="6258" ht="15.75" customHeight="1">
      <c r="A6258" s="2">
        <v>2016.0</v>
      </c>
      <c r="B6258" s="2" t="s">
        <v>26966</v>
      </c>
      <c r="C6258" s="2" t="s">
        <v>26967</v>
      </c>
      <c r="D6258" s="2" t="str">
        <f>"2183484056"</f>
        <v>2183484056</v>
      </c>
      <c r="E6258" s="2" t="s">
        <v>26968</v>
      </c>
      <c r="F6258" s="2" t="s">
        <v>26969</v>
      </c>
      <c r="G6258" s="2" t="str">
        <f>"SR-8388"</f>
        <v>SR-8388</v>
      </c>
      <c r="H6258" s="2" t="s">
        <v>26970</v>
      </c>
      <c r="I6258" s="2" t="s">
        <v>26971</v>
      </c>
      <c r="K6258" s="2" t="s">
        <v>26972</v>
      </c>
      <c r="L6258" s="2" t="s">
        <v>193</v>
      </c>
      <c r="M6258" s="2">
        <v>54873.0</v>
      </c>
      <c r="N6258" s="2" t="s">
        <v>21</v>
      </c>
    </row>
    <row r="6259" ht="15.75" customHeight="1">
      <c r="A6259" s="2">
        <v>2016.0</v>
      </c>
      <c r="B6259" s="2" t="s">
        <v>26973</v>
      </c>
      <c r="C6259" s="2" t="s">
        <v>26973</v>
      </c>
      <c r="D6259" s="2" t="str">
        <f>"530-878-2012"</f>
        <v>530-878-2012</v>
      </c>
      <c r="E6259" s="2" t="s">
        <v>3778</v>
      </c>
      <c r="F6259" s="2" t="s">
        <v>6324</v>
      </c>
      <c r="G6259" s="2" t="str">
        <f>"SR-8320"</f>
        <v>SR-8320</v>
      </c>
      <c r="H6259" s="2" t="s">
        <v>26974</v>
      </c>
      <c r="I6259" s="2" t="s">
        <v>26975</v>
      </c>
      <c r="K6259" s="2" t="s">
        <v>15823</v>
      </c>
      <c r="L6259" s="2" t="s">
        <v>222</v>
      </c>
      <c r="M6259" s="2">
        <v>95722.0</v>
      </c>
      <c r="N6259" s="2" t="s">
        <v>21</v>
      </c>
    </row>
    <row r="6260" ht="15.75" customHeight="1">
      <c r="A6260" s="2">
        <v>2016.0</v>
      </c>
      <c r="B6260" s="2" t="s">
        <v>26976</v>
      </c>
      <c r="C6260" s="2" t="s">
        <v>26977</v>
      </c>
      <c r="D6260" s="2" t="str">
        <f>"402-464-3998"</f>
        <v>402-464-3998</v>
      </c>
      <c r="E6260" s="2" t="s">
        <v>1664</v>
      </c>
      <c r="F6260" s="2" t="s">
        <v>26978</v>
      </c>
      <c r="G6260" s="2" t="str">
        <f>"SR-7517"</f>
        <v>SR-7517</v>
      </c>
      <c r="H6260" s="2" t="s">
        <v>26979</v>
      </c>
      <c r="I6260" s="2" t="s">
        <v>26980</v>
      </c>
      <c r="K6260" s="2" t="s">
        <v>572</v>
      </c>
      <c r="L6260" s="2" t="s">
        <v>757</v>
      </c>
      <c r="M6260" s="2">
        <v>68506.0</v>
      </c>
      <c r="N6260" s="2" t="s">
        <v>21</v>
      </c>
    </row>
    <row r="6261" ht="15.75" customHeight="1">
      <c r="A6261" s="2">
        <v>2016.0</v>
      </c>
      <c r="B6261" s="2" t="s">
        <v>17357</v>
      </c>
      <c r="C6261" s="2" t="s">
        <v>26981</v>
      </c>
      <c r="D6261" s="2" t="str">
        <f>"903-922-6476"</f>
        <v>903-922-6476</v>
      </c>
      <c r="E6261" s="2" t="s">
        <v>1362</v>
      </c>
      <c r="F6261" s="2" t="s">
        <v>17359</v>
      </c>
      <c r="G6261" s="2" t="str">
        <f>"SR-8258"</f>
        <v>SR-8258</v>
      </c>
      <c r="H6261" s="2" t="s">
        <v>26982</v>
      </c>
      <c r="I6261" s="2" t="s">
        <v>17361</v>
      </c>
      <c r="K6261" s="2" t="s">
        <v>17362</v>
      </c>
      <c r="L6261" s="2" t="s">
        <v>172</v>
      </c>
      <c r="M6261" s="2">
        <v>75801.0</v>
      </c>
      <c r="N6261" s="2" t="s">
        <v>21</v>
      </c>
    </row>
    <row r="6262" ht="15.75" customHeight="1">
      <c r="A6262" s="2">
        <v>2016.0</v>
      </c>
      <c r="B6262" s="2" t="s">
        <v>26983</v>
      </c>
      <c r="C6262" s="2" t="s">
        <v>26983</v>
      </c>
      <c r="D6262" s="2" t="str">
        <f>"13078995167"</f>
        <v>13078995167</v>
      </c>
      <c r="E6262" s="2" t="s">
        <v>7336</v>
      </c>
      <c r="F6262" s="2" t="s">
        <v>26984</v>
      </c>
      <c r="G6262" s="2" t="str">
        <f>"SR-8460"</f>
        <v>SR-8460</v>
      </c>
      <c r="H6262" s="2" t="s">
        <v>26985</v>
      </c>
      <c r="I6262" s="2" t="s">
        <v>26986</v>
      </c>
      <c r="K6262" s="2" t="s">
        <v>88</v>
      </c>
      <c r="L6262" s="2" t="s">
        <v>1540</v>
      </c>
      <c r="M6262" s="2">
        <v>82414.0</v>
      </c>
      <c r="N6262" s="2" t="s">
        <v>21</v>
      </c>
    </row>
    <row r="6263" ht="15.75" customHeight="1">
      <c r="A6263" s="2">
        <v>2016.0</v>
      </c>
      <c r="B6263" s="2" t="s">
        <v>26987</v>
      </c>
      <c r="C6263" s="2" t="s">
        <v>26988</v>
      </c>
      <c r="D6263" s="2" t="str">
        <f>"423-618-9586"</f>
        <v>423-618-9586</v>
      </c>
      <c r="E6263" s="2" t="s">
        <v>225</v>
      </c>
      <c r="F6263" s="2" t="s">
        <v>962</v>
      </c>
      <c r="G6263" s="2" t="str">
        <f>"SR-8549"</f>
        <v>SR-8549</v>
      </c>
      <c r="H6263" s="2" t="s">
        <v>26989</v>
      </c>
      <c r="I6263" s="2" t="s">
        <v>26990</v>
      </c>
      <c r="K6263" s="2" t="s">
        <v>26991</v>
      </c>
      <c r="L6263" s="2" t="s">
        <v>279</v>
      </c>
      <c r="M6263" s="2">
        <v>37880.0</v>
      </c>
      <c r="N6263" s="2" t="s">
        <v>21</v>
      </c>
    </row>
    <row r="6264" ht="15.75" customHeight="1">
      <c r="A6264" s="2">
        <v>2016.0</v>
      </c>
      <c r="B6264" s="2" t="s">
        <v>15019</v>
      </c>
      <c r="C6264" s="2" t="s">
        <v>26992</v>
      </c>
      <c r="D6264" s="2" t="str">
        <f>"7193750774"</f>
        <v>7193750774</v>
      </c>
      <c r="E6264" s="2" t="s">
        <v>3191</v>
      </c>
      <c r="F6264" s="2" t="s">
        <v>2424</v>
      </c>
      <c r="G6264" s="2" t="str">
        <f>"SR-7715"</f>
        <v>SR-7715</v>
      </c>
      <c r="H6264" s="2" t="s">
        <v>3192</v>
      </c>
      <c r="I6264" s="2" t="s">
        <v>15023</v>
      </c>
      <c r="K6264" s="2" t="s">
        <v>507</v>
      </c>
      <c r="L6264" s="2" t="s">
        <v>157</v>
      </c>
      <c r="M6264" s="2">
        <v>80132.0</v>
      </c>
      <c r="N6264" s="2" t="s">
        <v>21</v>
      </c>
    </row>
    <row r="6265" ht="15.75" customHeight="1">
      <c r="A6265" s="2">
        <v>2016.0</v>
      </c>
      <c r="B6265" s="2" t="s">
        <v>19317</v>
      </c>
      <c r="C6265" s="2" t="s">
        <v>19322</v>
      </c>
      <c r="D6265" s="2" t="str">
        <f>"3058536337"</f>
        <v>3058536337</v>
      </c>
      <c r="E6265" s="2" t="s">
        <v>50</v>
      </c>
      <c r="F6265" s="2" t="s">
        <v>19323</v>
      </c>
      <c r="G6265" s="2" t="str">
        <f>"SR-5978"</f>
        <v>SR-5978</v>
      </c>
      <c r="H6265" s="2" t="s">
        <v>19324</v>
      </c>
      <c r="I6265" s="2" t="s">
        <v>19325</v>
      </c>
      <c r="K6265" s="2" t="s">
        <v>7229</v>
      </c>
      <c r="L6265" s="2" t="s">
        <v>208</v>
      </c>
      <c r="M6265" s="2">
        <v>33030.0</v>
      </c>
      <c r="N6265" s="2" t="s">
        <v>21</v>
      </c>
    </row>
    <row r="6266" ht="15.75" customHeight="1">
      <c r="A6266" s="2">
        <v>2016.0</v>
      </c>
      <c r="B6266" s="2" t="s">
        <v>26993</v>
      </c>
      <c r="C6266" s="2" t="s">
        <v>26994</v>
      </c>
      <c r="D6266" s="2" t="str">
        <f>"703 753 5177"</f>
        <v>703 753 5177</v>
      </c>
      <c r="E6266" s="2" t="s">
        <v>447</v>
      </c>
      <c r="F6266" s="2" t="s">
        <v>10257</v>
      </c>
      <c r="G6266" s="2" t="str">
        <f>"SR-8346"</f>
        <v>SR-8346</v>
      </c>
      <c r="H6266" s="2" t="s">
        <v>26995</v>
      </c>
      <c r="I6266" s="2" t="s">
        <v>12515</v>
      </c>
      <c r="K6266" s="2" t="s">
        <v>12516</v>
      </c>
      <c r="L6266" s="2" t="s">
        <v>165</v>
      </c>
      <c r="M6266" s="2">
        <v>20169.0</v>
      </c>
      <c r="N6266" s="2" t="s">
        <v>21</v>
      </c>
    </row>
    <row r="6267" ht="15.75" customHeight="1">
      <c r="A6267" s="2">
        <v>2016.0</v>
      </c>
      <c r="B6267" s="2" t="s">
        <v>19317</v>
      </c>
      <c r="C6267" s="2" t="s">
        <v>19531</v>
      </c>
      <c r="D6267" s="2" t="str">
        <f>"(305) 393-9581"</f>
        <v>(305) 393-9581</v>
      </c>
      <c r="E6267" s="2" t="s">
        <v>580</v>
      </c>
      <c r="F6267" s="2" t="s">
        <v>13083</v>
      </c>
      <c r="G6267" s="2" t="str">
        <f>"SR-5989"</f>
        <v>SR-5989</v>
      </c>
      <c r="H6267" s="2" t="s">
        <v>19532</v>
      </c>
      <c r="I6267" s="2" t="s">
        <v>19533</v>
      </c>
      <c r="K6267" s="2" t="s">
        <v>7229</v>
      </c>
      <c r="L6267" s="2" t="s">
        <v>208</v>
      </c>
      <c r="M6267" s="2">
        <v>33030.0</v>
      </c>
      <c r="N6267" s="2" t="s">
        <v>21</v>
      </c>
    </row>
    <row r="6268" ht="15.75" customHeight="1">
      <c r="A6268" s="2">
        <v>2016.0</v>
      </c>
      <c r="B6268" s="2" t="s">
        <v>13164</v>
      </c>
      <c r="C6268" s="2" t="s">
        <v>13165</v>
      </c>
      <c r="D6268" s="2" t="str">
        <f>"803-526-3599"</f>
        <v>803-526-3599</v>
      </c>
      <c r="E6268" s="2" t="s">
        <v>282</v>
      </c>
      <c r="F6268" s="2" t="s">
        <v>182</v>
      </c>
      <c r="G6268" s="2" t="str">
        <f>"SR-3724"</f>
        <v>SR-3724</v>
      </c>
      <c r="H6268" s="2" t="s">
        <v>13166</v>
      </c>
      <c r="I6268" s="2" t="s">
        <v>13167</v>
      </c>
      <c r="K6268" s="2" t="s">
        <v>12999</v>
      </c>
      <c r="L6268" s="2" t="s">
        <v>55</v>
      </c>
      <c r="M6268" s="2">
        <v>29710.0</v>
      </c>
      <c r="N6268" s="2" t="s">
        <v>21</v>
      </c>
    </row>
    <row r="6269" ht="15.75" customHeight="1">
      <c r="A6269" s="2">
        <v>2016.0</v>
      </c>
      <c r="B6269" s="2" t="s">
        <v>26996</v>
      </c>
      <c r="C6269" s="2" t="s">
        <v>26997</v>
      </c>
      <c r="D6269" s="2" t="str">
        <f>"9205857675"</f>
        <v>9205857675</v>
      </c>
      <c r="E6269" s="2" t="s">
        <v>4275</v>
      </c>
      <c r="F6269" s="2" t="s">
        <v>962</v>
      </c>
      <c r="G6269" s="2" t="str">
        <f>"SR-8448"</f>
        <v>SR-8448</v>
      </c>
      <c r="H6269" s="2" t="s">
        <v>26998</v>
      </c>
      <c r="I6269" s="2" t="s">
        <v>26999</v>
      </c>
      <c r="K6269" s="2" t="s">
        <v>27000</v>
      </c>
      <c r="L6269" s="2" t="s">
        <v>193</v>
      </c>
      <c r="M6269" s="2">
        <v>54210.0</v>
      </c>
      <c r="N6269" s="2" t="s">
        <v>21</v>
      </c>
    </row>
    <row r="6270" ht="15.75" customHeight="1">
      <c r="A6270" s="2">
        <v>2016.0</v>
      </c>
      <c r="B6270" s="2" t="s">
        <v>27001</v>
      </c>
      <c r="C6270" s="2" t="s">
        <v>27002</v>
      </c>
      <c r="D6270" s="2" t="str">
        <f>"419-304-7453"</f>
        <v>419-304-7453</v>
      </c>
      <c r="E6270" s="2" t="s">
        <v>1548</v>
      </c>
      <c r="F6270" s="2" t="s">
        <v>27003</v>
      </c>
      <c r="G6270" s="2" t="str">
        <f>"SR-8547"</f>
        <v>SR-8547</v>
      </c>
      <c r="H6270" s="2" t="s">
        <v>27004</v>
      </c>
      <c r="I6270" s="2" t="s">
        <v>27005</v>
      </c>
      <c r="K6270" s="2" t="s">
        <v>2985</v>
      </c>
      <c r="L6270" s="2" t="s">
        <v>344</v>
      </c>
      <c r="M6270" s="2">
        <v>43528.0</v>
      </c>
      <c r="N6270" s="2" t="s">
        <v>21</v>
      </c>
    </row>
    <row r="6271" ht="15.75" customHeight="1">
      <c r="A6271" s="2">
        <v>2016.0</v>
      </c>
      <c r="B6271" s="2" t="s">
        <v>27006</v>
      </c>
      <c r="C6271" s="2" t="s">
        <v>27007</v>
      </c>
      <c r="D6271" s="2" t="str">
        <f>"260925-1557"</f>
        <v>260925-1557</v>
      </c>
      <c r="E6271" s="2" t="s">
        <v>27008</v>
      </c>
      <c r="F6271" s="2" t="s">
        <v>27009</v>
      </c>
      <c r="G6271" s="2" t="str">
        <f>"SR-8546"</f>
        <v>SR-8546</v>
      </c>
      <c r="H6271" s="2" t="s">
        <v>27010</v>
      </c>
      <c r="I6271" s="2" t="s">
        <v>27011</v>
      </c>
      <c r="K6271" s="2" t="s">
        <v>6312</v>
      </c>
      <c r="L6271" s="2" t="s">
        <v>149</v>
      </c>
      <c r="M6271" s="2">
        <v>46706.0</v>
      </c>
      <c r="N6271" s="2" t="s">
        <v>21</v>
      </c>
    </row>
    <row r="6272" ht="15.75" customHeight="1">
      <c r="A6272" s="2">
        <v>2016.0</v>
      </c>
      <c r="B6272" s="2" t="s">
        <v>27012</v>
      </c>
      <c r="C6272" s="2" t="s">
        <v>27013</v>
      </c>
      <c r="D6272" s="2" t="str">
        <f>"970-381-9831"</f>
        <v>970-381-9831</v>
      </c>
      <c r="E6272" s="2" t="s">
        <v>239</v>
      </c>
      <c r="F6272" s="2" t="s">
        <v>27014</v>
      </c>
      <c r="G6272" s="2" t="str">
        <f>"SR-8552"</f>
        <v>SR-8552</v>
      </c>
      <c r="H6272" s="2" t="s">
        <v>27015</v>
      </c>
      <c r="I6272" s="2" t="s">
        <v>27016</v>
      </c>
      <c r="K6272" s="2" t="s">
        <v>498</v>
      </c>
      <c r="L6272" s="2" t="s">
        <v>157</v>
      </c>
      <c r="M6272" s="2">
        <v>80615.0</v>
      </c>
      <c r="N6272" s="2" t="s">
        <v>21</v>
      </c>
    </row>
    <row r="6273" ht="15.75" customHeight="1">
      <c r="A6273" s="2">
        <v>2016.0</v>
      </c>
      <c r="B6273" s="2" t="s">
        <v>27017</v>
      </c>
      <c r="C6273" s="2" t="s">
        <v>27018</v>
      </c>
      <c r="D6273" s="2" t="str">
        <f>"260-925-3303"</f>
        <v>260-925-3303</v>
      </c>
      <c r="E6273" s="2" t="s">
        <v>1946</v>
      </c>
      <c r="F6273" s="2" t="s">
        <v>27019</v>
      </c>
      <c r="G6273" s="2" t="str">
        <f>"SR-8544"</f>
        <v>SR-8544</v>
      </c>
      <c r="H6273" s="2" t="s">
        <v>27020</v>
      </c>
      <c r="I6273" s="2" t="s">
        <v>27021</v>
      </c>
      <c r="K6273" s="2" t="s">
        <v>6312</v>
      </c>
      <c r="L6273" s="2" t="s">
        <v>149</v>
      </c>
      <c r="M6273" s="2">
        <v>46706.0</v>
      </c>
      <c r="N6273" s="2" t="s">
        <v>21</v>
      </c>
    </row>
    <row r="6274" ht="15.75" customHeight="1">
      <c r="A6274" s="2">
        <v>2016.0</v>
      </c>
      <c r="B6274" s="2" t="s">
        <v>27022</v>
      </c>
      <c r="C6274" s="2" t="s">
        <v>27023</v>
      </c>
      <c r="D6274" s="2" t="str">
        <f>"860-287-7252"</f>
        <v>860-287-7252</v>
      </c>
      <c r="E6274" s="2" t="s">
        <v>11043</v>
      </c>
      <c r="F6274" s="2" t="s">
        <v>27024</v>
      </c>
      <c r="G6274" s="2" t="str">
        <f>"SR-8555"</f>
        <v>SR-8555</v>
      </c>
      <c r="H6274" s="2" t="s">
        <v>27025</v>
      </c>
      <c r="I6274" s="2" t="s">
        <v>27026</v>
      </c>
      <c r="K6274" s="2" t="s">
        <v>27027</v>
      </c>
      <c r="L6274" s="2" t="s">
        <v>4836</v>
      </c>
      <c r="M6274" s="2">
        <v>6385.0</v>
      </c>
      <c r="N6274" s="2" t="s">
        <v>21</v>
      </c>
    </row>
    <row r="6275" ht="15.75" customHeight="1">
      <c r="A6275" s="2">
        <v>2016.0</v>
      </c>
      <c r="B6275" s="2" t="s">
        <v>27028</v>
      </c>
      <c r="C6275" s="2" t="s">
        <v>27029</v>
      </c>
      <c r="D6275" s="2" t="str">
        <f>"505 9779449"</f>
        <v>505 9779449</v>
      </c>
      <c r="E6275" s="2" t="s">
        <v>1054</v>
      </c>
      <c r="F6275" s="2" t="s">
        <v>1461</v>
      </c>
      <c r="G6275" s="2" t="str">
        <f>"SR-8557"</f>
        <v>SR-8557</v>
      </c>
      <c r="H6275" s="2" t="s">
        <v>27030</v>
      </c>
      <c r="I6275" s="2" t="s">
        <v>27031</v>
      </c>
      <c r="K6275" s="2" t="s">
        <v>3705</v>
      </c>
      <c r="L6275" s="2" t="s">
        <v>789</v>
      </c>
      <c r="M6275" s="2">
        <v>87114.0</v>
      </c>
      <c r="N6275" s="2" t="s">
        <v>21</v>
      </c>
    </row>
    <row r="6276" ht="15.75" customHeight="1">
      <c r="A6276" s="2">
        <v>2016.0</v>
      </c>
      <c r="B6276" s="2" t="s">
        <v>27032</v>
      </c>
      <c r="D6276" s="2" t="str">
        <f>""</f>
        <v/>
      </c>
      <c r="E6276" s="2" t="s">
        <v>843</v>
      </c>
      <c r="F6276" s="2" t="s">
        <v>27033</v>
      </c>
      <c r="G6276" s="2" t="str">
        <f>"SR-7984"</f>
        <v>SR-7984</v>
      </c>
      <c r="H6276" s="2" t="s">
        <v>27034</v>
      </c>
      <c r="N6276" s="2" t="s">
        <v>21</v>
      </c>
    </row>
    <row r="6277" ht="15.75" customHeight="1">
      <c r="A6277" s="2">
        <v>2016.0</v>
      </c>
      <c r="B6277" s="2" t="s">
        <v>19329</v>
      </c>
      <c r="C6277" s="2" t="s">
        <v>19330</v>
      </c>
      <c r="D6277" s="2" t="str">
        <f>"616-634-9178"</f>
        <v>616-634-9178</v>
      </c>
      <c r="E6277" s="2" t="s">
        <v>1278</v>
      </c>
      <c r="F6277" s="2" t="s">
        <v>1929</v>
      </c>
      <c r="G6277" s="2" t="str">
        <f>"SR-6019"</f>
        <v>SR-6019</v>
      </c>
      <c r="H6277" s="2" t="s">
        <v>19331</v>
      </c>
      <c r="I6277" s="2" t="s">
        <v>19332</v>
      </c>
      <c r="K6277" s="2" t="s">
        <v>7204</v>
      </c>
      <c r="L6277" s="2" t="s">
        <v>29</v>
      </c>
      <c r="M6277" s="2">
        <v>49316.0</v>
      </c>
      <c r="N6277" s="2" t="s">
        <v>21</v>
      </c>
    </row>
    <row r="6278" ht="15.75" customHeight="1">
      <c r="A6278" s="2">
        <v>2016.0</v>
      </c>
      <c r="B6278" s="2" t="s">
        <v>27035</v>
      </c>
      <c r="C6278" s="2" t="s">
        <v>27035</v>
      </c>
      <c r="D6278" s="2" t="str">
        <f>"(334)-792-2400"</f>
        <v>(334)-792-2400</v>
      </c>
      <c r="E6278" s="2" t="s">
        <v>50</v>
      </c>
      <c r="F6278" s="2" t="s">
        <v>27036</v>
      </c>
      <c r="G6278" s="2" t="str">
        <f>"SR-8558"</f>
        <v>SR-8558</v>
      </c>
      <c r="H6278" s="2" t="s">
        <v>27037</v>
      </c>
      <c r="I6278" s="2" t="s">
        <v>27038</v>
      </c>
      <c r="K6278" s="2" t="s">
        <v>27039</v>
      </c>
      <c r="L6278" s="2" t="s">
        <v>539</v>
      </c>
      <c r="M6278" s="2">
        <v>36303.0</v>
      </c>
      <c r="N6278" s="2" t="s">
        <v>21</v>
      </c>
    </row>
    <row r="6279" ht="15.75" customHeight="1">
      <c r="A6279" s="2">
        <v>2016.0</v>
      </c>
      <c r="B6279" s="2" t="s">
        <v>27040</v>
      </c>
      <c r="C6279" s="2" t="s">
        <v>27041</v>
      </c>
      <c r="D6279" s="2" t="str">
        <f>"5018333403"</f>
        <v>5018333403</v>
      </c>
      <c r="E6279" s="2" t="s">
        <v>2243</v>
      </c>
      <c r="F6279" s="2" t="s">
        <v>5365</v>
      </c>
      <c r="G6279" s="2" t="str">
        <f>"SR-8493"</f>
        <v>SR-8493</v>
      </c>
      <c r="H6279" s="2" t="s">
        <v>27042</v>
      </c>
      <c r="I6279" s="2" t="s">
        <v>27043</v>
      </c>
      <c r="K6279" s="2" t="s">
        <v>20891</v>
      </c>
      <c r="L6279" s="2" t="s">
        <v>1012</v>
      </c>
      <c r="M6279" s="2">
        <v>72120.0</v>
      </c>
      <c r="N6279" s="2" t="s">
        <v>21</v>
      </c>
    </row>
    <row r="6280" ht="15.75" customHeight="1">
      <c r="A6280" s="2">
        <v>2016.0</v>
      </c>
      <c r="B6280" s="2" t="s">
        <v>27044</v>
      </c>
      <c r="C6280" s="2" t="s">
        <v>27045</v>
      </c>
      <c r="D6280" s="2" t="str">
        <f>"903-714-1380"</f>
        <v>903-714-1380</v>
      </c>
      <c r="E6280" s="2" t="s">
        <v>27046</v>
      </c>
      <c r="F6280" s="2" t="s">
        <v>3106</v>
      </c>
      <c r="G6280" s="2" t="str">
        <f>"SR-8431"</f>
        <v>SR-8431</v>
      </c>
      <c r="H6280" s="2" t="s">
        <v>27047</v>
      </c>
      <c r="I6280" s="2" t="s">
        <v>27048</v>
      </c>
      <c r="K6280" s="2" t="s">
        <v>27049</v>
      </c>
      <c r="L6280" s="2" t="s">
        <v>200</v>
      </c>
      <c r="M6280" s="2">
        <v>30127.0</v>
      </c>
      <c r="N6280" s="2" t="s">
        <v>21</v>
      </c>
    </row>
    <row r="6281" ht="15.75" customHeight="1">
      <c r="A6281" s="2">
        <v>2016.0</v>
      </c>
      <c r="B6281" s="2" t="s">
        <v>27050</v>
      </c>
      <c r="C6281" s="2" t="s">
        <v>27050</v>
      </c>
      <c r="D6281" s="2" t="str">
        <f>"804 624 0145"</f>
        <v>804 624 0145</v>
      </c>
      <c r="E6281" s="2" t="s">
        <v>81</v>
      </c>
      <c r="F6281" s="2" t="s">
        <v>718</v>
      </c>
      <c r="G6281" s="2" t="str">
        <f>"SR-8519"</f>
        <v>SR-8519</v>
      </c>
      <c r="H6281" s="2" t="s">
        <v>27051</v>
      </c>
      <c r="I6281" s="2" t="s">
        <v>27052</v>
      </c>
      <c r="K6281" s="2" t="s">
        <v>4216</v>
      </c>
      <c r="L6281" s="2" t="s">
        <v>165</v>
      </c>
      <c r="M6281" s="2">
        <v>23229.0</v>
      </c>
      <c r="N6281" s="2" t="s">
        <v>21</v>
      </c>
    </row>
    <row r="6282" ht="15.75" customHeight="1">
      <c r="A6282" s="2">
        <v>2016.0</v>
      </c>
      <c r="B6282" s="2" t="s">
        <v>23973</v>
      </c>
      <c r="C6282" s="2" t="s">
        <v>27053</v>
      </c>
      <c r="D6282" s="2" t="str">
        <f>"707-761-5506"</f>
        <v>707-761-5506</v>
      </c>
      <c r="E6282" s="2" t="s">
        <v>24052</v>
      </c>
      <c r="F6282" s="2" t="s">
        <v>23975</v>
      </c>
      <c r="G6282" s="2" t="str">
        <f>"SR-7542"</f>
        <v>SR-7542</v>
      </c>
      <c r="H6282" s="2" t="s">
        <v>27054</v>
      </c>
      <c r="I6282" s="2" t="s">
        <v>27055</v>
      </c>
      <c r="K6282" s="2" t="s">
        <v>3803</v>
      </c>
      <c r="L6282" s="2" t="s">
        <v>789</v>
      </c>
      <c r="M6282" s="2">
        <v>87144.0</v>
      </c>
      <c r="N6282" s="2" t="s">
        <v>21</v>
      </c>
    </row>
    <row r="6283" ht="15.75" customHeight="1">
      <c r="A6283" s="2">
        <v>2016.0</v>
      </c>
      <c r="B6283" s="2" t="s">
        <v>27056</v>
      </c>
      <c r="C6283" s="2" t="s">
        <v>27057</v>
      </c>
      <c r="D6283" s="2" t="str">
        <f>"540-315-8932"</f>
        <v>540-315-8932</v>
      </c>
      <c r="E6283" s="2" t="s">
        <v>2361</v>
      </c>
      <c r="F6283" s="2" t="s">
        <v>27058</v>
      </c>
      <c r="G6283" s="2" t="str">
        <f>"SR-8510"</f>
        <v>SR-8510</v>
      </c>
      <c r="H6283" s="2" t="s">
        <v>27059</v>
      </c>
      <c r="I6283" s="2" t="s">
        <v>27060</v>
      </c>
      <c r="K6283" s="2" t="s">
        <v>9877</v>
      </c>
      <c r="L6283" s="2" t="s">
        <v>165</v>
      </c>
      <c r="M6283" s="2">
        <v>24060.0</v>
      </c>
      <c r="N6283" s="2" t="s">
        <v>21</v>
      </c>
    </row>
    <row r="6284" ht="15.75" customHeight="1">
      <c r="A6284" s="2">
        <v>2016.0</v>
      </c>
      <c r="B6284" s="2" t="s">
        <v>20312</v>
      </c>
      <c r="C6284" s="2" t="s">
        <v>20312</v>
      </c>
      <c r="D6284" s="2" t="str">
        <f>"(970) 468-2256"</f>
        <v>(970) 468-2256</v>
      </c>
      <c r="E6284" s="2" t="s">
        <v>659</v>
      </c>
      <c r="F6284" s="2" t="s">
        <v>5493</v>
      </c>
      <c r="G6284" s="2" t="str">
        <f>"SR-5692"</f>
        <v>SR-5692</v>
      </c>
      <c r="H6284" s="2" t="s">
        <v>20313</v>
      </c>
      <c r="I6284" s="2" t="s">
        <v>20314</v>
      </c>
      <c r="K6284" s="2" t="s">
        <v>11204</v>
      </c>
      <c r="L6284" s="2" t="s">
        <v>157</v>
      </c>
      <c r="M6284" s="2">
        <v>80498.0</v>
      </c>
      <c r="N6284" s="2" t="s">
        <v>21</v>
      </c>
    </row>
    <row r="6285" ht="15.75" customHeight="1">
      <c r="A6285" s="2">
        <v>2016.0</v>
      </c>
      <c r="B6285" s="2" t="s">
        <v>27061</v>
      </c>
      <c r="C6285" s="2" t="s">
        <v>27061</v>
      </c>
      <c r="D6285" s="2" t="str">
        <f>"4028027749"</f>
        <v>4028027749</v>
      </c>
      <c r="E6285" s="2" t="s">
        <v>485</v>
      </c>
      <c r="F6285" s="2" t="s">
        <v>27062</v>
      </c>
      <c r="G6285" s="2" t="str">
        <f>"SR-7484"</f>
        <v>SR-7484</v>
      </c>
      <c r="H6285" s="2" t="s">
        <v>27063</v>
      </c>
      <c r="I6285" s="2" t="s">
        <v>27064</v>
      </c>
      <c r="K6285" s="2" t="s">
        <v>572</v>
      </c>
      <c r="L6285" s="2" t="s">
        <v>757</v>
      </c>
      <c r="M6285" s="2">
        <v>68506.0</v>
      </c>
      <c r="N6285" s="2" t="s">
        <v>21</v>
      </c>
    </row>
    <row r="6286" ht="15.75" customHeight="1">
      <c r="A6286" s="2">
        <v>2016.0</v>
      </c>
      <c r="B6286" s="2" t="s">
        <v>27065</v>
      </c>
      <c r="C6286" s="2" t="s">
        <v>27065</v>
      </c>
      <c r="D6286" s="2" t="str">
        <f>"254-981-3284"</f>
        <v>254-981-3284</v>
      </c>
      <c r="E6286" s="2" t="s">
        <v>3903</v>
      </c>
      <c r="F6286" s="2" t="s">
        <v>21136</v>
      </c>
      <c r="G6286" s="2" t="str">
        <f>"SR-8424"</f>
        <v>SR-8424</v>
      </c>
      <c r="H6286" s="2" t="s">
        <v>27066</v>
      </c>
      <c r="I6286" s="2" t="s">
        <v>27067</v>
      </c>
      <c r="K6286" s="2" t="s">
        <v>4482</v>
      </c>
      <c r="L6286" s="2" t="s">
        <v>172</v>
      </c>
      <c r="M6286" s="2">
        <v>78626.0</v>
      </c>
      <c r="N6286" s="2" t="s">
        <v>21</v>
      </c>
    </row>
    <row r="6287" ht="15.75" customHeight="1">
      <c r="A6287" s="2">
        <v>2016.0</v>
      </c>
      <c r="B6287" s="2" t="s">
        <v>27068</v>
      </c>
      <c r="C6287" s="2" t="s">
        <v>27068</v>
      </c>
      <c r="D6287" s="2" t="str">
        <f>"330-714-9861"</f>
        <v>330-714-9861</v>
      </c>
      <c r="E6287" s="2" t="s">
        <v>282</v>
      </c>
      <c r="F6287" s="2" t="s">
        <v>7940</v>
      </c>
      <c r="G6287" s="2" t="str">
        <f>"SR-8563"</f>
        <v>SR-8563</v>
      </c>
      <c r="H6287" s="2" t="s">
        <v>27069</v>
      </c>
      <c r="I6287" s="2" t="s">
        <v>27070</v>
      </c>
      <c r="K6287" s="2" t="s">
        <v>18428</v>
      </c>
      <c r="L6287" s="2" t="s">
        <v>344</v>
      </c>
      <c r="M6287" s="2">
        <v>44230.0</v>
      </c>
      <c r="N6287" s="2" t="s">
        <v>21</v>
      </c>
    </row>
    <row r="6288" ht="15.75" customHeight="1">
      <c r="A6288" s="2">
        <v>2016.0</v>
      </c>
      <c r="B6288" s="2" t="s">
        <v>27071</v>
      </c>
      <c r="C6288" s="2" t="s">
        <v>27071</v>
      </c>
      <c r="D6288" s="2" t="str">
        <f>"2162466566"</f>
        <v>2162466566</v>
      </c>
      <c r="E6288" s="2" t="s">
        <v>908</v>
      </c>
      <c r="F6288" s="2" t="s">
        <v>26136</v>
      </c>
      <c r="G6288" s="2" t="str">
        <f>"SR-8568"</f>
        <v>SR-8568</v>
      </c>
      <c r="H6288" s="2" t="s">
        <v>27072</v>
      </c>
      <c r="I6288" s="2" t="s">
        <v>27073</v>
      </c>
      <c r="K6288" s="2" t="s">
        <v>27074</v>
      </c>
      <c r="L6288" s="2" t="s">
        <v>344</v>
      </c>
      <c r="M6288" s="2">
        <v>44131.0</v>
      </c>
      <c r="N6288" s="2" t="s">
        <v>21</v>
      </c>
    </row>
    <row r="6289" ht="15.75" customHeight="1">
      <c r="A6289" s="2">
        <v>2016.0</v>
      </c>
      <c r="B6289" s="2" t="s">
        <v>15682</v>
      </c>
      <c r="D6289" s="2" t="str">
        <f>""</f>
        <v/>
      </c>
      <c r="E6289" s="2" t="s">
        <v>19353</v>
      </c>
      <c r="F6289" s="2" t="s">
        <v>15684</v>
      </c>
      <c r="G6289" s="2" t="str">
        <f>"SR-8378"</f>
        <v>SR-8378</v>
      </c>
      <c r="H6289" s="2" t="s">
        <v>27075</v>
      </c>
      <c r="N6289" s="2" t="s">
        <v>21</v>
      </c>
    </row>
    <row r="6290" ht="15.75" customHeight="1">
      <c r="A6290" s="2">
        <v>2016.0</v>
      </c>
      <c r="B6290" s="2" t="s">
        <v>27076</v>
      </c>
      <c r="C6290" s="2" t="s">
        <v>27077</v>
      </c>
      <c r="D6290" s="2" t="str">
        <f>"2569901802"</f>
        <v>2569901802</v>
      </c>
      <c r="E6290" s="2" t="s">
        <v>1548</v>
      </c>
      <c r="F6290" s="2" t="s">
        <v>3342</v>
      </c>
      <c r="G6290" s="2" t="str">
        <f>"SR-8530"</f>
        <v>SR-8530</v>
      </c>
      <c r="H6290" s="2" t="s">
        <v>27078</v>
      </c>
      <c r="I6290" s="2" t="s">
        <v>27079</v>
      </c>
      <c r="K6290" s="2" t="s">
        <v>27080</v>
      </c>
      <c r="L6290" s="2" t="s">
        <v>539</v>
      </c>
      <c r="M6290" s="2">
        <v>35739.0</v>
      </c>
      <c r="N6290" s="2" t="s">
        <v>21</v>
      </c>
    </row>
    <row r="6291" ht="15.75" customHeight="1">
      <c r="A6291" s="2">
        <v>2016.0</v>
      </c>
      <c r="B6291" s="2" t="s">
        <v>27081</v>
      </c>
      <c r="C6291" s="2" t="s">
        <v>27082</v>
      </c>
      <c r="D6291" s="2" t="str">
        <f>"2147629230"</f>
        <v>2147629230</v>
      </c>
      <c r="E6291" s="2" t="s">
        <v>12838</v>
      </c>
      <c r="F6291" s="2" t="s">
        <v>4422</v>
      </c>
      <c r="G6291" s="2" t="str">
        <f>"SR-8082"</f>
        <v>SR-8082</v>
      </c>
      <c r="H6291" s="2" t="s">
        <v>27083</v>
      </c>
      <c r="I6291" s="2" t="s">
        <v>27084</v>
      </c>
      <c r="K6291" s="2" t="s">
        <v>9975</v>
      </c>
      <c r="L6291" s="2" t="s">
        <v>172</v>
      </c>
      <c r="M6291" s="2">
        <v>76227.0</v>
      </c>
      <c r="N6291" s="2" t="s">
        <v>21</v>
      </c>
    </row>
    <row r="6292" ht="15.75" customHeight="1">
      <c r="A6292" s="2">
        <v>2016.0</v>
      </c>
      <c r="B6292" s="2" t="s">
        <v>27085</v>
      </c>
      <c r="C6292" s="2" t="s">
        <v>27086</v>
      </c>
      <c r="D6292" s="2" t="str">
        <f>"303-915-9380"</f>
        <v>303-915-9380</v>
      </c>
      <c r="E6292" s="2" t="s">
        <v>124</v>
      </c>
      <c r="F6292" s="2" t="s">
        <v>27087</v>
      </c>
      <c r="G6292" s="2" t="str">
        <f>"SR-8084"</f>
        <v>SR-8084</v>
      </c>
      <c r="H6292" s="2" t="s">
        <v>27088</v>
      </c>
      <c r="I6292" s="2" t="s">
        <v>27089</v>
      </c>
      <c r="K6292" s="2" t="s">
        <v>1398</v>
      </c>
      <c r="L6292" s="2" t="s">
        <v>157</v>
      </c>
      <c r="M6292" s="2">
        <v>80104.0</v>
      </c>
      <c r="N6292" s="2" t="s">
        <v>21</v>
      </c>
    </row>
    <row r="6293" ht="15.75" customHeight="1">
      <c r="A6293" s="2">
        <v>2016.0</v>
      </c>
      <c r="B6293" s="2" t="s">
        <v>27090</v>
      </c>
      <c r="C6293" s="2" t="s">
        <v>27090</v>
      </c>
      <c r="D6293" s="2" t="str">
        <f>"3096606156"</f>
        <v>3096606156</v>
      </c>
      <c r="E6293" s="2" t="s">
        <v>282</v>
      </c>
      <c r="F6293" s="2" t="s">
        <v>11233</v>
      </c>
      <c r="G6293" s="2" t="str">
        <f>"SR-8223"</f>
        <v>SR-8223</v>
      </c>
      <c r="H6293" s="2" t="s">
        <v>27091</v>
      </c>
      <c r="I6293" s="2" t="s">
        <v>27092</v>
      </c>
      <c r="K6293" s="2" t="s">
        <v>3273</v>
      </c>
      <c r="L6293" s="2" t="s">
        <v>560</v>
      </c>
      <c r="M6293" s="2">
        <v>52402.0</v>
      </c>
      <c r="N6293" s="2" t="s">
        <v>21</v>
      </c>
    </row>
    <row r="6294" ht="15.75" customHeight="1">
      <c r="A6294" s="2">
        <v>2016.0</v>
      </c>
      <c r="B6294" s="2" t="s">
        <v>27093</v>
      </c>
      <c r="C6294" s="2" t="s">
        <v>27094</v>
      </c>
      <c r="D6294" s="2" t="str">
        <f>"(970)541-7155"</f>
        <v>(970)541-7155</v>
      </c>
      <c r="E6294" s="2" t="s">
        <v>1263</v>
      </c>
      <c r="F6294" s="2" t="s">
        <v>15549</v>
      </c>
      <c r="G6294" s="2" t="str">
        <f>"SR-8554"</f>
        <v>SR-8554</v>
      </c>
      <c r="H6294" s="2" t="s">
        <v>27095</v>
      </c>
      <c r="I6294" s="2" t="s">
        <v>27096</v>
      </c>
      <c r="K6294" s="2" t="s">
        <v>1048</v>
      </c>
      <c r="L6294" s="2" t="s">
        <v>157</v>
      </c>
      <c r="M6294" s="2">
        <v>80538.0</v>
      </c>
      <c r="N6294" s="2" t="s">
        <v>21</v>
      </c>
    </row>
    <row r="6295" ht="15.75" customHeight="1">
      <c r="A6295" s="2">
        <v>2016.0</v>
      </c>
      <c r="B6295" s="2" t="s">
        <v>6722</v>
      </c>
      <c r="C6295" s="2" t="s">
        <v>10244</v>
      </c>
      <c r="D6295" s="2" t="str">
        <f>"4034377336"</f>
        <v>4034377336</v>
      </c>
      <c r="E6295" s="2" t="s">
        <v>1725</v>
      </c>
      <c r="F6295" s="2" t="s">
        <v>3978</v>
      </c>
      <c r="G6295" s="2" t="str">
        <f>"SR-3012"</f>
        <v>SR-3012</v>
      </c>
      <c r="H6295" s="2" t="s">
        <v>10245</v>
      </c>
      <c r="I6295" s="2" t="s">
        <v>10246</v>
      </c>
      <c r="K6295" s="2" t="s">
        <v>6725</v>
      </c>
      <c r="L6295" s="2" t="s">
        <v>6726</v>
      </c>
      <c r="M6295" s="2" t="s">
        <v>10247</v>
      </c>
      <c r="N6295" s="2" t="s">
        <v>1602</v>
      </c>
    </row>
    <row r="6296" ht="15.75" customHeight="1">
      <c r="A6296" s="2">
        <v>2016.0</v>
      </c>
      <c r="B6296" s="2" t="s">
        <v>27097</v>
      </c>
      <c r="C6296" s="2" t="s">
        <v>27097</v>
      </c>
      <c r="D6296" s="2" t="str">
        <f>"9783037339"</f>
        <v>9783037339</v>
      </c>
      <c r="E6296" s="2" t="s">
        <v>843</v>
      </c>
      <c r="F6296" s="2" t="s">
        <v>27098</v>
      </c>
      <c r="G6296" s="2" t="str">
        <f>"SR-8522"</f>
        <v>SR-8522</v>
      </c>
      <c r="H6296" s="2" t="s">
        <v>27099</v>
      </c>
      <c r="I6296" s="2" t="s">
        <v>27100</v>
      </c>
      <c r="K6296" s="2" t="s">
        <v>27101</v>
      </c>
      <c r="L6296" s="2" t="s">
        <v>142</v>
      </c>
      <c r="M6296" s="2">
        <v>11764.0</v>
      </c>
      <c r="N6296" s="2" t="s">
        <v>21</v>
      </c>
    </row>
    <row r="6297" ht="15.75" customHeight="1">
      <c r="A6297" s="2">
        <v>2016.0</v>
      </c>
      <c r="B6297" s="2" t="s">
        <v>27102</v>
      </c>
      <c r="C6297" s="2" t="s">
        <v>27103</v>
      </c>
      <c r="D6297" s="2" t="str">
        <f>"6209514704"</f>
        <v>6209514704</v>
      </c>
      <c r="E6297" s="2" t="s">
        <v>678</v>
      </c>
      <c r="F6297" s="2" t="s">
        <v>27104</v>
      </c>
      <c r="G6297" s="2" t="str">
        <f>"SR-8475"</f>
        <v>SR-8475</v>
      </c>
      <c r="H6297" s="2" t="s">
        <v>27105</v>
      </c>
      <c r="I6297" s="2" t="s">
        <v>27106</v>
      </c>
      <c r="K6297" s="2" t="s">
        <v>10093</v>
      </c>
      <c r="L6297" s="2" t="s">
        <v>272</v>
      </c>
      <c r="M6297" s="2">
        <v>67062.0</v>
      </c>
      <c r="N6297" s="2" t="s">
        <v>21</v>
      </c>
    </row>
    <row r="6298" ht="15.75" customHeight="1">
      <c r="A6298" s="2">
        <v>2016.0</v>
      </c>
      <c r="B6298" s="2" t="s">
        <v>27107</v>
      </c>
      <c r="C6298" s="2" t="s">
        <v>27108</v>
      </c>
      <c r="D6298" s="2" t="str">
        <f>"3048874541"</f>
        <v>3048874541</v>
      </c>
      <c r="E6298" s="2" t="s">
        <v>27109</v>
      </c>
      <c r="F6298" s="2" t="s">
        <v>27110</v>
      </c>
      <c r="G6298" s="2" t="str">
        <f>"SR-8551"</f>
        <v>SR-8551</v>
      </c>
      <c r="H6298" s="2" t="s">
        <v>27111</v>
      </c>
      <c r="I6298" s="2" t="s">
        <v>27112</v>
      </c>
      <c r="K6298" s="2" t="s">
        <v>21136</v>
      </c>
      <c r="L6298" s="2" t="s">
        <v>6449</v>
      </c>
      <c r="M6298" s="2">
        <v>24801.0</v>
      </c>
      <c r="N6298" s="2" t="s">
        <v>21</v>
      </c>
    </row>
    <row r="6299" ht="15.75" customHeight="1">
      <c r="A6299" s="2">
        <v>2016.0</v>
      </c>
      <c r="B6299" s="2" t="s">
        <v>27113</v>
      </c>
      <c r="C6299" s="2" t="s">
        <v>27114</v>
      </c>
      <c r="D6299" s="2" t="str">
        <f>"334 797-5686"</f>
        <v>334 797-5686</v>
      </c>
      <c r="E6299" s="2" t="s">
        <v>10949</v>
      </c>
      <c r="F6299" s="2" t="s">
        <v>27115</v>
      </c>
      <c r="G6299" s="2" t="str">
        <f>"SR-8512"</f>
        <v>SR-8512</v>
      </c>
      <c r="H6299" s="2" t="s">
        <v>27116</v>
      </c>
      <c r="I6299" s="2" t="s">
        <v>27117</v>
      </c>
      <c r="K6299" s="2" t="s">
        <v>27118</v>
      </c>
      <c r="L6299" s="2" t="s">
        <v>539</v>
      </c>
      <c r="M6299" s="2">
        <v>36321.0</v>
      </c>
      <c r="N6299" s="2" t="s">
        <v>21</v>
      </c>
    </row>
    <row r="6300" ht="15.75" customHeight="1">
      <c r="A6300" s="2">
        <v>2016.0</v>
      </c>
      <c r="B6300" s="2" t="s">
        <v>27119</v>
      </c>
      <c r="C6300" s="2" t="s">
        <v>27120</v>
      </c>
      <c r="D6300" s="2" t="str">
        <f>"9126674214"</f>
        <v>9126674214</v>
      </c>
      <c r="E6300" s="2" t="s">
        <v>72</v>
      </c>
      <c r="F6300" s="2" t="s">
        <v>27121</v>
      </c>
      <c r="G6300" s="2" t="str">
        <f>"SR-8075"</f>
        <v>SR-8075</v>
      </c>
      <c r="H6300" s="2" t="s">
        <v>27122</v>
      </c>
      <c r="I6300" s="2" t="s">
        <v>27123</v>
      </c>
      <c r="K6300" s="2" t="s">
        <v>1239</v>
      </c>
      <c r="L6300" s="2" t="s">
        <v>200</v>
      </c>
      <c r="M6300" s="2">
        <v>31419.0</v>
      </c>
      <c r="N6300" s="2" t="s">
        <v>21</v>
      </c>
    </row>
    <row r="6301" ht="15.75" customHeight="1">
      <c r="A6301" s="2">
        <v>2016.0</v>
      </c>
      <c r="B6301" s="2" t="s">
        <v>27124</v>
      </c>
      <c r="C6301" s="2" t="s">
        <v>27125</v>
      </c>
      <c r="D6301" s="2" t="str">
        <f>"405-285-5755"</f>
        <v>405-285-5755</v>
      </c>
      <c r="E6301" s="2" t="s">
        <v>282</v>
      </c>
      <c r="F6301" s="2" t="s">
        <v>27126</v>
      </c>
      <c r="G6301" s="2" t="str">
        <f>"SR-8564"</f>
        <v>SR-8564</v>
      </c>
      <c r="H6301" s="2" t="s">
        <v>27127</v>
      </c>
      <c r="I6301" s="2" t="s">
        <v>27128</v>
      </c>
      <c r="K6301" s="2" t="s">
        <v>1546</v>
      </c>
      <c r="L6301" s="2" t="s">
        <v>840</v>
      </c>
      <c r="M6301" s="2">
        <v>73034.0</v>
      </c>
      <c r="N6301" s="2" t="s">
        <v>21</v>
      </c>
    </row>
    <row r="6302" ht="15.75" customHeight="1">
      <c r="A6302" s="2">
        <v>2016.0</v>
      </c>
      <c r="B6302" s="2" t="s">
        <v>27129</v>
      </c>
      <c r="C6302" s="2" t="s">
        <v>27130</v>
      </c>
      <c r="D6302" s="2" t="str">
        <f>"3038881846"</f>
        <v>3038881846</v>
      </c>
      <c r="E6302" s="2" t="s">
        <v>2243</v>
      </c>
      <c r="F6302" s="2" t="s">
        <v>20218</v>
      </c>
      <c r="G6302" s="2" t="str">
        <f>"SR-6790"</f>
        <v>SR-6790</v>
      </c>
      <c r="H6302" s="2" t="s">
        <v>27131</v>
      </c>
      <c r="I6302" s="2" t="s">
        <v>27132</v>
      </c>
      <c r="K6302" s="2" t="s">
        <v>1398</v>
      </c>
      <c r="L6302" s="2" t="s">
        <v>157</v>
      </c>
      <c r="M6302" s="2">
        <v>80108.0</v>
      </c>
      <c r="N6302" s="2" t="s">
        <v>21</v>
      </c>
    </row>
    <row r="6303" ht="15.75" customHeight="1">
      <c r="A6303" s="2">
        <v>2016.0</v>
      </c>
      <c r="B6303" s="2" t="s">
        <v>27044</v>
      </c>
      <c r="C6303" s="2" t="s">
        <v>27133</v>
      </c>
      <c r="D6303" s="2" t="str">
        <f>"903-714-1379"</f>
        <v>903-714-1379</v>
      </c>
      <c r="E6303" s="2" t="s">
        <v>27134</v>
      </c>
      <c r="F6303" s="2" t="s">
        <v>3106</v>
      </c>
      <c r="G6303" s="2" t="str">
        <f>"SR-8434"</f>
        <v>SR-8434</v>
      </c>
      <c r="H6303" s="2" t="s">
        <v>27135</v>
      </c>
      <c r="I6303" s="2" t="s">
        <v>27048</v>
      </c>
      <c r="K6303" s="2" t="s">
        <v>27049</v>
      </c>
      <c r="L6303" s="2" t="s">
        <v>200</v>
      </c>
      <c r="M6303" s="2">
        <v>30127.0</v>
      </c>
      <c r="N6303" s="2" t="s">
        <v>21</v>
      </c>
    </row>
    <row r="6304" ht="15.75" customHeight="1">
      <c r="A6304" s="2">
        <v>2016.0</v>
      </c>
      <c r="B6304" s="2" t="s">
        <v>27136</v>
      </c>
      <c r="C6304" s="2" t="s">
        <v>27137</v>
      </c>
      <c r="D6304" s="2" t="str">
        <f>"9122248478"</f>
        <v>9122248478</v>
      </c>
      <c r="E6304" s="2" t="s">
        <v>926</v>
      </c>
      <c r="F6304" s="2" t="s">
        <v>21429</v>
      </c>
      <c r="G6304" s="2" t="str">
        <f>"SR-7995"</f>
        <v>SR-7995</v>
      </c>
      <c r="H6304" s="2" t="s">
        <v>27138</v>
      </c>
      <c r="I6304" s="2" t="s">
        <v>27139</v>
      </c>
      <c r="K6304" s="2" t="s">
        <v>1239</v>
      </c>
      <c r="L6304" s="2" t="s">
        <v>200</v>
      </c>
      <c r="M6304" s="2">
        <v>31405.0</v>
      </c>
      <c r="N6304" s="2" t="s">
        <v>21</v>
      </c>
    </row>
    <row r="6305" ht="15.75" customHeight="1">
      <c r="A6305" s="2">
        <v>2016.0</v>
      </c>
      <c r="B6305" s="2" t="s">
        <v>27140</v>
      </c>
      <c r="C6305" s="2" t="s">
        <v>27141</v>
      </c>
      <c r="D6305" s="2" t="str">
        <f>"9129447654"</f>
        <v>9129447654</v>
      </c>
      <c r="E6305" s="2" t="s">
        <v>2314</v>
      </c>
      <c r="F6305" s="2" t="s">
        <v>27142</v>
      </c>
      <c r="G6305" s="2" t="str">
        <f>"SR-8115"</f>
        <v>SR-8115</v>
      </c>
      <c r="H6305" s="2" t="s">
        <v>27143</v>
      </c>
      <c r="I6305" s="2" t="s">
        <v>27144</v>
      </c>
      <c r="K6305" s="2" t="s">
        <v>1239</v>
      </c>
      <c r="L6305" s="2" t="s">
        <v>200</v>
      </c>
      <c r="M6305" s="2">
        <v>31405.0</v>
      </c>
      <c r="N6305" s="2" t="s">
        <v>21</v>
      </c>
    </row>
    <row r="6306" ht="15.75" customHeight="1">
      <c r="A6306" s="2">
        <v>2016.0</v>
      </c>
      <c r="B6306" s="2" t="s">
        <v>27145</v>
      </c>
      <c r="C6306" s="2" t="s">
        <v>27145</v>
      </c>
      <c r="D6306" s="2" t="str">
        <f>"9129259877"</f>
        <v>9129259877</v>
      </c>
      <c r="E6306" s="2" t="s">
        <v>261</v>
      </c>
      <c r="F6306" s="2" t="s">
        <v>7815</v>
      </c>
      <c r="G6306" s="2" t="str">
        <f>"SR-8119"</f>
        <v>SR-8119</v>
      </c>
      <c r="H6306" s="2" t="s">
        <v>27146</v>
      </c>
      <c r="I6306" s="2" t="s">
        <v>7817</v>
      </c>
      <c r="K6306" s="2" t="s">
        <v>1239</v>
      </c>
      <c r="L6306" s="2" t="s">
        <v>200</v>
      </c>
      <c r="M6306" s="2">
        <v>31419.0</v>
      </c>
      <c r="N6306" s="2" t="s">
        <v>21</v>
      </c>
    </row>
    <row r="6307" ht="15.75" customHeight="1">
      <c r="A6307" s="2">
        <v>2016.0</v>
      </c>
      <c r="B6307" s="2" t="s">
        <v>27147</v>
      </c>
      <c r="C6307" s="2" t="s">
        <v>27148</v>
      </c>
      <c r="D6307" s="2" t="str">
        <f>"9122249517"</f>
        <v>9122249517</v>
      </c>
      <c r="E6307" s="2" t="s">
        <v>465</v>
      </c>
      <c r="F6307" s="2" t="s">
        <v>10173</v>
      </c>
      <c r="G6307" s="2" t="str">
        <f>"SR-8009"</f>
        <v>SR-8009</v>
      </c>
      <c r="H6307" s="2" t="s">
        <v>27149</v>
      </c>
      <c r="I6307" s="2" t="s">
        <v>27150</v>
      </c>
      <c r="K6307" s="2" t="s">
        <v>1239</v>
      </c>
      <c r="L6307" s="2" t="s">
        <v>200</v>
      </c>
      <c r="M6307" s="2">
        <v>31410.0</v>
      </c>
      <c r="N6307" s="2" t="s">
        <v>21</v>
      </c>
    </row>
    <row r="6308" ht="15.75" customHeight="1">
      <c r="A6308" s="2">
        <v>2016.0</v>
      </c>
      <c r="B6308" s="2" t="s">
        <v>27151</v>
      </c>
      <c r="C6308" s="2" t="s">
        <v>27151</v>
      </c>
      <c r="D6308" s="2" t="str">
        <f>"912-661-9860"</f>
        <v>912-661-9860</v>
      </c>
      <c r="E6308" s="2" t="s">
        <v>2412</v>
      </c>
      <c r="F6308" s="2" t="s">
        <v>27152</v>
      </c>
      <c r="G6308" s="2" t="str">
        <f>"SR-7783"</f>
        <v>SR-7783</v>
      </c>
      <c r="H6308" s="2" t="s">
        <v>27153</v>
      </c>
      <c r="I6308" s="2" t="s">
        <v>27154</v>
      </c>
      <c r="K6308" s="2" t="s">
        <v>1239</v>
      </c>
      <c r="L6308" s="2" t="s">
        <v>200</v>
      </c>
      <c r="M6308" s="2">
        <v>31406.0</v>
      </c>
      <c r="N6308" s="2" t="s">
        <v>21</v>
      </c>
    </row>
    <row r="6309" ht="15.75" customHeight="1">
      <c r="A6309" s="2">
        <v>2016.0</v>
      </c>
      <c r="B6309" s="2" t="s">
        <v>27155</v>
      </c>
      <c r="C6309" s="2" t="s">
        <v>27155</v>
      </c>
      <c r="D6309" s="2" t="str">
        <f>"281-309-8891"</f>
        <v>281-309-8891</v>
      </c>
      <c r="E6309" s="2" t="s">
        <v>678</v>
      </c>
      <c r="F6309" s="2" t="s">
        <v>2771</v>
      </c>
      <c r="G6309" s="2" t="str">
        <f>"SR-8325"</f>
        <v>SR-8325</v>
      </c>
      <c r="H6309" s="2" t="s">
        <v>27156</v>
      </c>
      <c r="I6309" s="2" t="s">
        <v>27157</v>
      </c>
      <c r="K6309" s="2" t="s">
        <v>5855</v>
      </c>
      <c r="L6309" s="2" t="s">
        <v>172</v>
      </c>
      <c r="M6309" s="2">
        <v>77389.0</v>
      </c>
      <c r="N6309" s="2" t="s">
        <v>21</v>
      </c>
    </row>
    <row r="6310" ht="15.75" customHeight="1">
      <c r="A6310" s="2">
        <v>2016.0</v>
      </c>
      <c r="B6310" s="2" t="s">
        <v>27158</v>
      </c>
      <c r="C6310" s="2" t="s">
        <v>27159</v>
      </c>
      <c r="D6310" s="2" t="str">
        <f>"215 350 3044"</f>
        <v>215 350 3044</v>
      </c>
      <c r="E6310" s="2" t="s">
        <v>27160</v>
      </c>
      <c r="F6310" s="2" t="s">
        <v>27161</v>
      </c>
      <c r="G6310" s="2" t="str">
        <f>"SR-7283"</f>
        <v>SR-7283</v>
      </c>
      <c r="H6310" s="2" t="s">
        <v>27162</v>
      </c>
      <c r="I6310" s="2" t="s">
        <v>27163</v>
      </c>
      <c r="K6310" s="2" t="s">
        <v>27164</v>
      </c>
      <c r="L6310" s="2" t="s">
        <v>179</v>
      </c>
      <c r="M6310" s="2">
        <v>19547.0</v>
      </c>
      <c r="N6310" s="2" t="s">
        <v>21</v>
      </c>
    </row>
    <row r="6311" ht="15.75" customHeight="1">
      <c r="A6311" s="2">
        <v>2016.0</v>
      </c>
      <c r="B6311" s="2" t="s">
        <v>27165</v>
      </c>
      <c r="C6311" s="2" t="s">
        <v>27165</v>
      </c>
      <c r="D6311" s="2" t="str">
        <f>"423-260-0944"</f>
        <v>423-260-0944</v>
      </c>
      <c r="E6311" s="2" t="s">
        <v>453</v>
      </c>
      <c r="F6311" s="2" t="s">
        <v>16668</v>
      </c>
      <c r="G6311" s="2" t="str">
        <f>"SR-8581"</f>
        <v>SR-8581</v>
      </c>
      <c r="H6311" s="2" t="s">
        <v>27166</v>
      </c>
      <c r="I6311" s="2" t="s">
        <v>27167</v>
      </c>
      <c r="K6311" s="2" t="s">
        <v>4310</v>
      </c>
      <c r="L6311" s="2" t="s">
        <v>279</v>
      </c>
      <c r="M6311" s="2">
        <v>37321.0</v>
      </c>
      <c r="N6311" s="2" t="s">
        <v>21</v>
      </c>
    </row>
    <row r="6312" ht="15.75" customHeight="1">
      <c r="A6312" s="2">
        <v>2016.0</v>
      </c>
      <c r="B6312" s="2" t="s">
        <v>6261</v>
      </c>
      <c r="C6312" s="2" t="s">
        <v>27168</v>
      </c>
      <c r="D6312" s="2" t="str">
        <f>"319-241-6375"</f>
        <v>319-241-6375</v>
      </c>
      <c r="E6312" s="2" t="s">
        <v>2162</v>
      </c>
      <c r="F6312" s="2" t="s">
        <v>962</v>
      </c>
      <c r="G6312" s="2" t="str">
        <f>"SR-7463"</f>
        <v>SR-7463</v>
      </c>
      <c r="H6312" s="2" t="s">
        <v>12318</v>
      </c>
      <c r="I6312" s="2" t="s">
        <v>27169</v>
      </c>
      <c r="K6312" s="2" t="s">
        <v>3273</v>
      </c>
      <c r="L6312" s="2" t="s">
        <v>560</v>
      </c>
      <c r="M6312" s="2">
        <v>52403.0</v>
      </c>
      <c r="N6312" s="2" t="s">
        <v>21</v>
      </c>
    </row>
    <row r="6313" ht="15.75" customHeight="1">
      <c r="A6313" s="2">
        <v>2016.0</v>
      </c>
      <c r="B6313" s="2" t="s">
        <v>27170</v>
      </c>
      <c r="C6313" s="2" t="s">
        <v>27171</v>
      </c>
      <c r="D6313" s="2" t="str">
        <f t="shared" ref="D6313:D6314" si="111">"4693587580"</f>
        <v>4693587580</v>
      </c>
      <c r="E6313" s="2" t="s">
        <v>3434</v>
      </c>
      <c r="F6313" s="2" t="s">
        <v>27172</v>
      </c>
      <c r="G6313" s="2" t="str">
        <f>"SR-8548"</f>
        <v>SR-8548</v>
      </c>
      <c r="H6313" s="2" t="s">
        <v>27173</v>
      </c>
      <c r="I6313" s="2" t="s">
        <v>27174</v>
      </c>
      <c r="K6313" s="2" t="s">
        <v>2643</v>
      </c>
      <c r="L6313" s="2" t="s">
        <v>172</v>
      </c>
      <c r="M6313" s="2">
        <v>75022.0</v>
      </c>
      <c r="N6313" s="2" t="s">
        <v>21</v>
      </c>
    </row>
    <row r="6314" ht="15.75" customHeight="1">
      <c r="A6314" s="2">
        <v>2016.0</v>
      </c>
      <c r="B6314" s="2" t="s">
        <v>27170</v>
      </c>
      <c r="C6314" s="2" t="s">
        <v>27175</v>
      </c>
      <c r="D6314" s="2" t="str">
        <f t="shared" si="111"/>
        <v>4693587580</v>
      </c>
      <c r="E6314" s="2" t="s">
        <v>1135</v>
      </c>
      <c r="F6314" s="2" t="s">
        <v>27172</v>
      </c>
      <c r="G6314" s="2" t="str">
        <f>"SR-8545"</f>
        <v>SR-8545</v>
      </c>
      <c r="H6314" s="2" t="s">
        <v>27176</v>
      </c>
      <c r="I6314" s="2" t="s">
        <v>27174</v>
      </c>
      <c r="K6314" s="2" t="s">
        <v>2643</v>
      </c>
      <c r="L6314" s="2" t="s">
        <v>172</v>
      </c>
      <c r="M6314" s="2">
        <v>75022.0</v>
      </c>
      <c r="N6314" s="2" t="s">
        <v>21</v>
      </c>
    </row>
    <row r="6315" ht="15.75" customHeight="1">
      <c r="A6315" s="2">
        <v>2016.0</v>
      </c>
      <c r="B6315" s="2" t="s">
        <v>27177</v>
      </c>
      <c r="C6315" s="2" t="s">
        <v>27178</v>
      </c>
      <c r="D6315" s="2" t="str">
        <f>"919 608-4224"</f>
        <v>919 608-4224</v>
      </c>
      <c r="E6315" s="2" t="s">
        <v>27179</v>
      </c>
      <c r="F6315" s="2" t="s">
        <v>27180</v>
      </c>
      <c r="G6315" s="2" t="str">
        <f>"SR-8380"</f>
        <v>SR-8380</v>
      </c>
      <c r="H6315" s="2" t="s">
        <v>27181</v>
      </c>
      <c r="I6315" s="2" t="s">
        <v>27182</v>
      </c>
      <c r="K6315" s="2" t="s">
        <v>14454</v>
      </c>
      <c r="L6315" s="2" t="s">
        <v>20</v>
      </c>
      <c r="M6315" s="2">
        <v>27502.0</v>
      </c>
      <c r="N6315" s="2" t="s">
        <v>21</v>
      </c>
    </row>
    <row r="6316" ht="15.75" customHeight="1">
      <c r="A6316" s="2">
        <v>2016.0</v>
      </c>
      <c r="B6316" s="2" t="s">
        <v>27183</v>
      </c>
      <c r="C6316" s="2" t="s">
        <v>27184</v>
      </c>
      <c r="D6316" s="2" t="str">
        <f>"8322656926"</f>
        <v>8322656926</v>
      </c>
      <c r="E6316" s="2" t="s">
        <v>611</v>
      </c>
      <c r="F6316" s="2" t="s">
        <v>27185</v>
      </c>
      <c r="G6316" s="2" t="str">
        <f>"SR-8514"</f>
        <v>SR-8514</v>
      </c>
      <c r="H6316" s="2" t="s">
        <v>27186</v>
      </c>
      <c r="I6316" s="2" t="s">
        <v>27187</v>
      </c>
      <c r="K6316" s="2" t="s">
        <v>5855</v>
      </c>
      <c r="L6316" s="2" t="s">
        <v>172</v>
      </c>
      <c r="M6316" s="2">
        <v>77389.0</v>
      </c>
      <c r="N6316" s="2" t="s">
        <v>21</v>
      </c>
    </row>
    <row r="6317" ht="15.75" customHeight="1">
      <c r="A6317" s="2">
        <v>2016.0</v>
      </c>
      <c r="B6317" s="2" t="s">
        <v>27170</v>
      </c>
      <c r="C6317" s="2" t="s">
        <v>27188</v>
      </c>
      <c r="D6317" s="2" t="str">
        <f>"4693587580"</f>
        <v>4693587580</v>
      </c>
      <c r="E6317" s="2" t="s">
        <v>27189</v>
      </c>
      <c r="F6317" s="2" t="s">
        <v>27172</v>
      </c>
      <c r="G6317" s="2" t="str">
        <f>"SR-8550"</f>
        <v>SR-8550</v>
      </c>
      <c r="H6317" s="2" t="s">
        <v>27190</v>
      </c>
      <c r="I6317" s="2" t="s">
        <v>27174</v>
      </c>
      <c r="K6317" s="2" t="s">
        <v>2643</v>
      </c>
      <c r="L6317" s="2" t="s">
        <v>172</v>
      </c>
      <c r="M6317" s="2">
        <v>75022.0</v>
      </c>
      <c r="N6317" s="2" t="s">
        <v>21</v>
      </c>
    </row>
    <row r="6318" ht="15.75" customHeight="1">
      <c r="A6318" s="2">
        <v>2016.0</v>
      </c>
      <c r="B6318" s="2" t="s">
        <v>27191</v>
      </c>
      <c r="C6318" s="2" t="s">
        <v>27192</v>
      </c>
      <c r="D6318" s="2" t="str">
        <f>"303-648-9880"</f>
        <v>303-648-9880</v>
      </c>
      <c r="E6318" s="2" t="s">
        <v>2438</v>
      </c>
      <c r="F6318" s="2" t="s">
        <v>6030</v>
      </c>
      <c r="G6318" s="2" t="str">
        <f>"SR-8483"</f>
        <v>SR-8483</v>
      </c>
      <c r="H6318" s="2" t="s">
        <v>27193</v>
      </c>
      <c r="I6318" s="2" t="s">
        <v>27194</v>
      </c>
      <c r="K6318" s="2" t="s">
        <v>15953</v>
      </c>
      <c r="L6318" s="2" t="s">
        <v>157</v>
      </c>
      <c r="M6318" s="2">
        <v>80117.0</v>
      </c>
      <c r="N6318" s="2" t="s">
        <v>21</v>
      </c>
    </row>
    <row r="6319" ht="15.75" customHeight="1">
      <c r="A6319" s="2">
        <v>2016.0</v>
      </c>
      <c r="B6319" s="2" t="s">
        <v>19317</v>
      </c>
      <c r="C6319" s="2" t="s">
        <v>27195</v>
      </c>
      <c r="D6319" s="2" t="str">
        <f>"3054912941"</f>
        <v>3054912941</v>
      </c>
      <c r="E6319" s="2" t="s">
        <v>843</v>
      </c>
      <c r="F6319" s="2" t="s">
        <v>19323</v>
      </c>
      <c r="G6319" s="2" t="str">
        <f>"SR-8496"</f>
        <v>SR-8496</v>
      </c>
      <c r="H6319" s="2" t="s">
        <v>27196</v>
      </c>
      <c r="I6319" s="2" t="s">
        <v>19325</v>
      </c>
      <c r="K6319" s="2" t="s">
        <v>7229</v>
      </c>
      <c r="L6319" s="2" t="s">
        <v>208</v>
      </c>
      <c r="M6319" s="2">
        <v>33030.0</v>
      </c>
      <c r="N6319" s="2" t="s">
        <v>21</v>
      </c>
    </row>
    <row r="6320" ht="15.75" customHeight="1">
      <c r="A6320" s="2">
        <v>2016.0</v>
      </c>
      <c r="B6320" s="2" t="s">
        <v>27197</v>
      </c>
      <c r="C6320" s="2" t="s">
        <v>27197</v>
      </c>
      <c r="D6320" s="2" t="str">
        <f>"9728355825"</f>
        <v>9728355825</v>
      </c>
      <c r="E6320" s="2" t="s">
        <v>1263</v>
      </c>
      <c r="F6320" s="2" t="s">
        <v>27198</v>
      </c>
      <c r="G6320" s="2" t="str">
        <f>"SR-7385"</f>
        <v>SR-7385</v>
      </c>
      <c r="H6320" s="2" t="s">
        <v>27199</v>
      </c>
      <c r="I6320" s="2" t="s">
        <v>27200</v>
      </c>
      <c r="K6320" s="2" t="s">
        <v>6718</v>
      </c>
      <c r="L6320" s="2" t="s">
        <v>172</v>
      </c>
      <c r="M6320" s="2">
        <v>75002.0</v>
      </c>
      <c r="N6320" s="2" t="s">
        <v>21</v>
      </c>
    </row>
    <row r="6321" ht="15.75" customHeight="1">
      <c r="A6321" s="2">
        <v>2016.0</v>
      </c>
      <c r="B6321" s="2" t="s">
        <v>27201</v>
      </c>
      <c r="C6321" s="2" t="s">
        <v>27202</v>
      </c>
      <c r="D6321" s="2" t="str">
        <f>"931 593 2988"</f>
        <v>931 593 2988</v>
      </c>
      <c r="E6321" s="2" t="s">
        <v>1440</v>
      </c>
      <c r="F6321" s="2" t="s">
        <v>27203</v>
      </c>
      <c r="G6321" s="2" t="str">
        <f>"SR-8351"</f>
        <v>SR-8351</v>
      </c>
      <c r="H6321" s="2" t="s">
        <v>27204</v>
      </c>
      <c r="I6321" s="2" t="s">
        <v>27205</v>
      </c>
      <c r="K6321" s="2" t="s">
        <v>27206</v>
      </c>
      <c r="L6321" s="2" t="s">
        <v>279</v>
      </c>
      <c r="M6321" s="2">
        <v>37033.0</v>
      </c>
      <c r="N6321" s="2" t="s">
        <v>21</v>
      </c>
    </row>
    <row r="6322" ht="15.75" customHeight="1">
      <c r="A6322" s="2">
        <v>2016.0</v>
      </c>
      <c r="B6322" s="2" t="s">
        <v>27207</v>
      </c>
      <c r="C6322" s="2" t="s">
        <v>27208</v>
      </c>
      <c r="D6322" s="2" t="str">
        <f>"8302795793"</f>
        <v>8302795793</v>
      </c>
      <c r="E6322" s="2" t="s">
        <v>1208</v>
      </c>
      <c r="F6322" s="2" t="s">
        <v>1689</v>
      </c>
      <c r="G6322" s="2" t="str">
        <f>"SR-8469"</f>
        <v>SR-8469</v>
      </c>
      <c r="H6322" s="2" t="s">
        <v>27209</v>
      </c>
      <c r="I6322" s="2" t="s">
        <v>27210</v>
      </c>
      <c r="K6322" s="2" t="s">
        <v>10933</v>
      </c>
      <c r="L6322" s="2" t="s">
        <v>172</v>
      </c>
      <c r="M6322" s="2">
        <v>78801.0</v>
      </c>
      <c r="N6322" s="2" t="s">
        <v>21</v>
      </c>
    </row>
    <row r="6323" ht="15.75" customHeight="1">
      <c r="A6323" s="2">
        <v>2016.0</v>
      </c>
      <c r="B6323" s="2" t="s">
        <v>27211</v>
      </c>
      <c r="C6323" s="2" t="s">
        <v>27211</v>
      </c>
      <c r="D6323" s="2" t="str">
        <f>"615-944-5390"</f>
        <v>615-944-5390</v>
      </c>
      <c r="E6323" s="2" t="s">
        <v>7996</v>
      </c>
      <c r="F6323" s="2" t="s">
        <v>27212</v>
      </c>
      <c r="G6323" s="2" t="str">
        <f>"SR-8556"</f>
        <v>SR-8556</v>
      </c>
      <c r="H6323" s="2" t="s">
        <v>27213</v>
      </c>
      <c r="I6323" s="2" t="s">
        <v>27214</v>
      </c>
      <c r="K6323" s="2" t="s">
        <v>278</v>
      </c>
      <c r="L6323" s="2" t="s">
        <v>279</v>
      </c>
      <c r="M6323" s="2">
        <v>37068.0</v>
      </c>
      <c r="N6323" s="2" t="s">
        <v>21</v>
      </c>
    </row>
    <row r="6324" ht="15.75" customHeight="1">
      <c r="A6324" s="2">
        <v>2016.0</v>
      </c>
      <c r="B6324" s="2" t="s">
        <v>27215</v>
      </c>
      <c r="C6324" s="2" t="s">
        <v>27216</v>
      </c>
      <c r="D6324" s="2" t="str">
        <f>"320-491-7574"</f>
        <v>320-491-7574</v>
      </c>
      <c r="E6324" s="2" t="s">
        <v>2259</v>
      </c>
      <c r="F6324" s="2" t="s">
        <v>27217</v>
      </c>
      <c r="G6324" s="2" t="str">
        <f>"SR-8220"</f>
        <v>SR-8220</v>
      </c>
      <c r="H6324" s="2" t="s">
        <v>27218</v>
      </c>
      <c r="I6324" s="2" t="s">
        <v>27219</v>
      </c>
      <c r="K6324" s="2" t="s">
        <v>404</v>
      </c>
      <c r="L6324" s="2" t="s">
        <v>62</v>
      </c>
      <c r="M6324" s="2">
        <v>56308.0</v>
      </c>
      <c r="N6324" s="2" t="s">
        <v>21</v>
      </c>
    </row>
    <row r="6325" ht="15.75" customHeight="1">
      <c r="A6325" s="2">
        <v>2016.0</v>
      </c>
      <c r="B6325" s="2" t="s">
        <v>27220</v>
      </c>
      <c r="C6325" s="2" t="s">
        <v>27221</v>
      </c>
      <c r="D6325" s="2" t="str">
        <f>"7865375861"</f>
        <v>7865375861</v>
      </c>
      <c r="E6325" s="2" t="s">
        <v>453</v>
      </c>
      <c r="F6325" s="2" t="s">
        <v>3533</v>
      </c>
      <c r="G6325" s="2" t="str">
        <f>"SR-8586"</f>
        <v>SR-8586</v>
      </c>
      <c r="H6325" s="2" t="s">
        <v>27222</v>
      </c>
      <c r="I6325" s="2" t="s">
        <v>27223</v>
      </c>
      <c r="K6325" s="2" t="s">
        <v>7192</v>
      </c>
      <c r="L6325" s="2" t="s">
        <v>208</v>
      </c>
      <c r="M6325" s="2">
        <v>33016.0</v>
      </c>
      <c r="N6325" s="2" t="s">
        <v>21</v>
      </c>
    </row>
    <row r="6326" ht="15.75" customHeight="1">
      <c r="A6326" s="2">
        <v>2016.0</v>
      </c>
      <c r="B6326" s="2" t="s">
        <v>27224</v>
      </c>
      <c r="C6326" s="2" t="s">
        <v>27224</v>
      </c>
      <c r="D6326" s="2" t="str">
        <f>"423-839-0270"</f>
        <v>423-839-0270</v>
      </c>
      <c r="E6326" s="2" t="s">
        <v>2930</v>
      </c>
      <c r="F6326" s="2" t="s">
        <v>27225</v>
      </c>
      <c r="G6326" s="2" t="str">
        <f>"SR-8587"</f>
        <v>SR-8587</v>
      </c>
      <c r="H6326" s="2" t="s">
        <v>27226</v>
      </c>
      <c r="I6326" s="2" t="s">
        <v>27227</v>
      </c>
      <c r="K6326" s="2" t="s">
        <v>3397</v>
      </c>
      <c r="L6326" s="2" t="s">
        <v>279</v>
      </c>
      <c r="M6326" s="2">
        <v>37813.0</v>
      </c>
      <c r="N6326" s="2" t="s">
        <v>21</v>
      </c>
    </row>
    <row r="6327" ht="15.75" customHeight="1">
      <c r="A6327" s="2">
        <v>2016.0</v>
      </c>
      <c r="B6327" s="2" t="s">
        <v>27228</v>
      </c>
      <c r="C6327" s="2" t="s">
        <v>27228</v>
      </c>
      <c r="D6327" s="2" t="str">
        <f>"919-636-0602"</f>
        <v>919-636-0602</v>
      </c>
      <c r="E6327" s="2" t="s">
        <v>261</v>
      </c>
      <c r="F6327" s="2" t="s">
        <v>27229</v>
      </c>
      <c r="G6327" s="2" t="str">
        <f>"SR-8588"</f>
        <v>SR-8588</v>
      </c>
      <c r="H6327" s="2" t="s">
        <v>27230</v>
      </c>
      <c r="I6327" s="2" t="s">
        <v>27231</v>
      </c>
      <c r="K6327" s="2" t="s">
        <v>14454</v>
      </c>
      <c r="L6327" s="2" t="s">
        <v>20</v>
      </c>
      <c r="M6327" s="2">
        <v>27502.0</v>
      </c>
      <c r="N6327" s="2" t="s">
        <v>21</v>
      </c>
    </row>
    <row r="6328" ht="15.75" customHeight="1">
      <c r="A6328" s="2">
        <v>2016.0</v>
      </c>
      <c r="B6328" s="2" t="s">
        <v>27220</v>
      </c>
      <c r="C6328" s="2" t="s">
        <v>27232</v>
      </c>
      <c r="D6328" s="2" t="str">
        <f>"7865375428"</f>
        <v>7865375428</v>
      </c>
      <c r="E6328" s="2" t="s">
        <v>72</v>
      </c>
      <c r="F6328" s="2" t="s">
        <v>3533</v>
      </c>
      <c r="G6328" s="2" t="str">
        <f>"SR-8592"</f>
        <v>SR-8592</v>
      </c>
      <c r="H6328" s="2" t="s">
        <v>27233</v>
      </c>
      <c r="I6328" s="2" t="s">
        <v>27223</v>
      </c>
      <c r="K6328" s="2" t="s">
        <v>7192</v>
      </c>
      <c r="L6328" s="2" t="s">
        <v>208</v>
      </c>
      <c r="M6328" s="2">
        <v>33016.0</v>
      </c>
      <c r="N6328" s="2" t="s">
        <v>21</v>
      </c>
    </row>
    <row r="6329" ht="15.75" customHeight="1">
      <c r="A6329" s="2">
        <v>2016.0</v>
      </c>
      <c r="B6329" s="2" t="s">
        <v>8764</v>
      </c>
      <c r="C6329" s="2" t="s">
        <v>27234</v>
      </c>
      <c r="D6329" s="2" t="str">
        <f>"7707372412"</f>
        <v>7707372412</v>
      </c>
      <c r="E6329" s="2" t="s">
        <v>1810</v>
      </c>
      <c r="F6329" s="2" t="s">
        <v>8766</v>
      </c>
      <c r="G6329" s="2" t="str">
        <f>"SR-8582"</f>
        <v>SR-8582</v>
      </c>
      <c r="H6329" s="2" t="s">
        <v>8775</v>
      </c>
      <c r="I6329" s="2" t="s">
        <v>16849</v>
      </c>
      <c r="K6329" s="2" t="s">
        <v>1915</v>
      </c>
      <c r="L6329" s="2" t="s">
        <v>200</v>
      </c>
      <c r="M6329" s="2">
        <v>30143.0</v>
      </c>
      <c r="N6329" s="2" t="s">
        <v>21</v>
      </c>
    </row>
    <row r="6330" ht="15.75" customHeight="1">
      <c r="A6330" s="2">
        <v>2016.0</v>
      </c>
      <c r="B6330" s="2" t="s">
        <v>27235</v>
      </c>
      <c r="C6330" s="2" t="s">
        <v>27235</v>
      </c>
      <c r="D6330" s="2" t="str">
        <f>"620-217-1219"</f>
        <v>620-217-1219</v>
      </c>
      <c r="E6330" s="2" t="s">
        <v>13609</v>
      </c>
      <c r="F6330" s="2" t="s">
        <v>27236</v>
      </c>
      <c r="G6330" s="2" t="str">
        <f>"SR-8387"</f>
        <v>SR-8387</v>
      </c>
      <c r="H6330" s="2" t="s">
        <v>27237</v>
      </c>
      <c r="I6330" s="2" t="s">
        <v>27238</v>
      </c>
      <c r="K6330" s="2" t="s">
        <v>10093</v>
      </c>
      <c r="L6330" s="2" t="s">
        <v>272</v>
      </c>
      <c r="M6330" s="2">
        <v>67062.0</v>
      </c>
      <c r="N6330" s="2" t="s">
        <v>21</v>
      </c>
    </row>
    <row r="6331" ht="15.75" customHeight="1">
      <c r="A6331" s="2">
        <v>2016.0</v>
      </c>
      <c r="B6331" s="2" t="s">
        <v>27239</v>
      </c>
      <c r="C6331" s="2" t="s">
        <v>27240</v>
      </c>
      <c r="D6331" s="2" t="str">
        <f>"865-766-0682"</f>
        <v>865-766-0682</v>
      </c>
      <c r="E6331" s="2" t="s">
        <v>14532</v>
      </c>
      <c r="F6331" s="2" t="s">
        <v>27241</v>
      </c>
      <c r="G6331" s="2" t="str">
        <f>"SR-8527"</f>
        <v>SR-8527</v>
      </c>
      <c r="H6331" s="2" t="s">
        <v>27242</v>
      </c>
      <c r="I6331" s="2" t="s">
        <v>27243</v>
      </c>
      <c r="K6331" s="2" t="s">
        <v>6168</v>
      </c>
      <c r="L6331" s="2" t="s">
        <v>279</v>
      </c>
      <c r="M6331" s="2">
        <v>37923.0</v>
      </c>
      <c r="N6331" s="2" t="s">
        <v>21</v>
      </c>
    </row>
    <row r="6332" ht="15.75" customHeight="1">
      <c r="A6332" s="2">
        <v>2016.0</v>
      </c>
      <c r="B6332" s="2" t="s">
        <v>27244</v>
      </c>
      <c r="C6332" s="2" t="s">
        <v>27245</v>
      </c>
      <c r="D6332" s="2" t="str">
        <f>"225-301-7596"</f>
        <v>225-301-7596</v>
      </c>
      <c r="E6332" s="2" t="s">
        <v>27246</v>
      </c>
      <c r="F6332" s="2" t="s">
        <v>27247</v>
      </c>
      <c r="G6332" s="2" t="str">
        <f>"SR-8193"</f>
        <v>SR-8193</v>
      </c>
      <c r="H6332" s="2" t="s">
        <v>27248</v>
      </c>
      <c r="I6332" s="2" t="s">
        <v>27249</v>
      </c>
      <c r="K6332" s="2" t="s">
        <v>456</v>
      </c>
      <c r="L6332" s="2" t="s">
        <v>715</v>
      </c>
      <c r="M6332" s="2">
        <v>70791.0</v>
      </c>
      <c r="N6332" s="2" t="s">
        <v>21</v>
      </c>
    </row>
    <row r="6333" ht="15.75" customHeight="1">
      <c r="A6333" s="2">
        <v>2016.0</v>
      </c>
      <c r="B6333" s="2" t="s">
        <v>27250</v>
      </c>
      <c r="C6333" s="2" t="s">
        <v>27251</v>
      </c>
      <c r="D6333" s="2" t="str">
        <f>"9032672449"</f>
        <v>9032672449</v>
      </c>
      <c r="E6333" s="2" t="s">
        <v>6966</v>
      </c>
      <c r="F6333" s="2" t="s">
        <v>2632</v>
      </c>
      <c r="G6333" s="2" t="str">
        <f>"SR-8098"</f>
        <v>SR-8098</v>
      </c>
      <c r="H6333" s="2" t="s">
        <v>27252</v>
      </c>
      <c r="I6333" s="2" t="s">
        <v>27253</v>
      </c>
      <c r="K6333" s="2" t="s">
        <v>9547</v>
      </c>
      <c r="L6333" s="2" t="s">
        <v>172</v>
      </c>
      <c r="M6333" s="2">
        <v>75092.0</v>
      </c>
      <c r="N6333" s="2" t="s">
        <v>21</v>
      </c>
    </row>
    <row r="6334" ht="15.75" customHeight="1">
      <c r="A6334" s="2">
        <v>2016.0</v>
      </c>
      <c r="B6334" s="2" t="s">
        <v>27254</v>
      </c>
      <c r="C6334" s="2" t="s">
        <v>27255</v>
      </c>
      <c r="D6334" s="2" t="str">
        <f>"3163057973"</f>
        <v>3163057973</v>
      </c>
      <c r="E6334" s="2" t="s">
        <v>890</v>
      </c>
      <c r="F6334" s="2" t="s">
        <v>27256</v>
      </c>
      <c r="G6334" s="2" t="str">
        <f>"SR-8490"</f>
        <v>SR-8490</v>
      </c>
      <c r="H6334" s="2" t="s">
        <v>27257</v>
      </c>
      <c r="I6334" s="2" t="s">
        <v>27258</v>
      </c>
      <c r="K6334" s="2" t="s">
        <v>27259</v>
      </c>
      <c r="L6334" s="2" t="s">
        <v>272</v>
      </c>
      <c r="M6334" s="2">
        <v>67146.0</v>
      </c>
      <c r="N6334" s="2" t="s">
        <v>21</v>
      </c>
    </row>
    <row r="6335" ht="15.75" customHeight="1">
      <c r="A6335" s="2">
        <v>2016.0</v>
      </c>
      <c r="B6335" s="2" t="s">
        <v>20474</v>
      </c>
      <c r="C6335" s="2" t="s">
        <v>27260</v>
      </c>
      <c r="D6335" s="2" t="str">
        <f>"229-881-7205"</f>
        <v>229-881-7205</v>
      </c>
      <c r="E6335" s="2" t="s">
        <v>314</v>
      </c>
      <c r="F6335" s="2" t="s">
        <v>3551</v>
      </c>
      <c r="G6335" s="2" t="str">
        <f>"SR-8362"</f>
        <v>SR-8362</v>
      </c>
      <c r="H6335" s="2" t="s">
        <v>27261</v>
      </c>
      <c r="I6335" s="2" t="s">
        <v>27262</v>
      </c>
      <c r="K6335" s="2" t="s">
        <v>8132</v>
      </c>
      <c r="L6335" s="2" t="s">
        <v>200</v>
      </c>
      <c r="M6335" s="2">
        <v>31791.0</v>
      </c>
      <c r="N6335" s="2" t="s">
        <v>21</v>
      </c>
    </row>
    <row r="6336" ht="15.75" customHeight="1">
      <c r="A6336" s="2">
        <v>2016.0</v>
      </c>
      <c r="B6336" s="2" t="s">
        <v>20474</v>
      </c>
      <c r="C6336" s="2" t="s">
        <v>20474</v>
      </c>
      <c r="D6336" s="2" t="str">
        <f>"(229)-288-9761"</f>
        <v>(229)-288-9761</v>
      </c>
      <c r="E6336" s="2" t="s">
        <v>1288</v>
      </c>
      <c r="F6336" s="2" t="s">
        <v>3551</v>
      </c>
      <c r="G6336" s="2" t="str">
        <f>"SR-4927"</f>
        <v>SR-4927</v>
      </c>
      <c r="H6336" s="2" t="s">
        <v>20475</v>
      </c>
      <c r="I6336" s="2" t="s">
        <v>8131</v>
      </c>
      <c r="K6336" s="2" t="s">
        <v>8132</v>
      </c>
      <c r="L6336" s="2" t="s">
        <v>200</v>
      </c>
      <c r="M6336" s="2">
        <v>31791.0</v>
      </c>
      <c r="N6336" s="2" t="s">
        <v>21</v>
      </c>
    </row>
    <row r="6337" ht="15.75" customHeight="1">
      <c r="A6337" s="2">
        <v>2016.0</v>
      </c>
      <c r="B6337" s="2" t="s">
        <v>16752</v>
      </c>
      <c r="C6337" s="2" t="s">
        <v>16753</v>
      </c>
      <c r="D6337" s="2" t="str">
        <f>"484-919-6638"</f>
        <v>484-919-6638</v>
      </c>
      <c r="E6337" s="2" t="s">
        <v>5548</v>
      </c>
      <c r="F6337" s="2" t="s">
        <v>472</v>
      </c>
      <c r="G6337" s="2" t="str">
        <f>"SR-5111"</f>
        <v>SR-5111</v>
      </c>
      <c r="H6337" s="2" t="s">
        <v>16754</v>
      </c>
      <c r="I6337" s="2" t="s">
        <v>16755</v>
      </c>
      <c r="K6337" s="2" t="s">
        <v>16756</v>
      </c>
      <c r="L6337" s="2" t="s">
        <v>172</v>
      </c>
      <c r="M6337" s="2">
        <v>75098.0</v>
      </c>
      <c r="N6337" s="2" t="s">
        <v>21</v>
      </c>
    </row>
    <row r="6338" ht="15.75" customHeight="1">
      <c r="A6338" s="2">
        <v>2016.0</v>
      </c>
      <c r="B6338" s="2" t="s">
        <v>27263</v>
      </c>
      <c r="C6338" s="2" t="s">
        <v>27264</v>
      </c>
      <c r="D6338" s="2" t="str">
        <f>"5405330391"</f>
        <v>5405330391</v>
      </c>
      <c r="E6338" s="2" t="s">
        <v>27265</v>
      </c>
      <c r="F6338" s="2" t="s">
        <v>27266</v>
      </c>
      <c r="G6338" s="2" t="str">
        <f>"SR-8576"</f>
        <v>SR-8576</v>
      </c>
      <c r="H6338" s="2" t="s">
        <v>27267</v>
      </c>
      <c r="I6338" s="2" t="s">
        <v>27268</v>
      </c>
      <c r="K6338" s="2" t="s">
        <v>594</v>
      </c>
      <c r="L6338" s="2" t="s">
        <v>165</v>
      </c>
      <c r="M6338" s="2">
        <v>22601.0</v>
      </c>
      <c r="N6338" s="2" t="s">
        <v>21</v>
      </c>
    </row>
    <row r="6339" ht="15.75" customHeight="1">
      <c r="A6339" s="2">
        <v>2016.0</v>
      </c>
      <c r="B6339" s="2" t="s">
        <v>27269</v>
      </c>
      <c r="C6339" s="2" t="s">
        <v>27269</v>
      </c>
      <c r="D6339" s="2" t="str">
        <f>"3183597372"</f>
        <v>3183597372</v>
      </c>
      <c r="E6339" s="2" t="s">
        <v>10225</v>
      </c>
      <c r="F6339" s="2" t="s">
        <v>27270</v>
      </c>
      <c r="G6339" s="2" t="str">
        <f>"SR-8562"</f>
        <v>SR-8562</v>
      </c>
      <c r="H6339" s="2" t="s">
        <v>27271</v>
      </c>
      <c r="I6339" s="2" t="s">
        <v>27272</v>
      </c>
      <c r="K6339" s="2" t="s">
        <v>1403</v>
      </c>
      <c r="L6339" s="2" t="s">
        <v>715</v>
      </c>
      <c r="M6339" s="2">
        <v>71360.0</v>
      </c>
      <c r="N6339" s="2" t="s">
        <v>21</v>
      </c>
    </row>
    <row r="6340" ht="15.75" customHeight="1">
      <c r="A6340" s="2">
        <v>2016.0</v>
      </c>
      <c r="B6340" s="2" t="s">
        <v>26922</v>
      </c>
      <c r="C6340" s="2" t="s">
        <v>27273</v>
      </c>
      <c r="D6340" s="2" t="str">
        <f>"7152070458"</f>
        <v>7152070458</v>
      </c>
      <c r="E6340" s="2" t="s">
        <v>144</v>
      </c>
      <c r="F6340" s="2" t="s">
        <v>26924</v>
      </c>
      <c r="G6340" s="2" t="str">
        <f>"SR-8524"</f>
        <v>SR-8524</v>
      </c>
      <c r="H6340" s="2" t="s">
        <v>27274</v>
      </c>
      <c r="I6340" s="2" t="s">
        <v>26926</v>
      </c>
      <c r="K6340" s="2" t="s">
        <v>669</v>
      </c>
      <c r="L6340" s="2" t="s">
        <v>193</v>
      </c>
      <c r="M6340" s="2">
        <v>54449.0</v>
      </c>
      <c r="N6340" s="2" t="s">
        <v>21</v>
      </c>
    </row>
    <row r="6341" ht="15.75" customHeight="1">
      <c r="A6341" s="2">
        <v>2016.0</v>
      </c>
      <c r="B6341" s="2" t="s">
        <v>21446</v>
      </c>
      <c r="C6341" s="2" t="s">
        <v>21447</v>
      </c>
      <c r="D6341" s="2" t="str">
        <f>"864-444-0334"</f>
        <v>864-444-0334</v>
      </c>
      <c r="E6341" s="2" t="s">
        <v>15</v>
      </c>
      <c r="F6341" s="2" t="s">
        <v>21448</v>
      </c>
      <c r="G6341" s="2" t="str">
        <f>"SR-6509"</f>
        <v>SR-6509</v>
      </c>
      <c r="H6341" s="2" t="s">
        <v>21449</v>
      </c>
      <c r="I6341" s="2" t="s">
        <v>21450</v>
      </c>
      <c r="K6341" s="2" t="s">
        <v>10102</v>
      </c>
      <c r="L6341" s="2" t="s">
        <v>55</v>
      </c>
      <c r="M6341" s="2">
        <v>29673.0</v>
      </c>
      <c r="N6341" s="2" t="s">
        <v>21</v>
      </c>
    </row>
    <row r="6342" ht="15.75" customHeight="1">
      <c r="A6342" s="2">
        <v>2016.0</v>
      </c>
      <c r="B6342" s="2" t="s">
        <v>27275</v>
      </c>
      <c r="C6342" s="2" t="s">
        <v>27276</v>
      </c>
      <c r="D6342" s="2" t="str">
        <f>"319-310-9811"</f>
        <v>319-310-9811</v>
      </c>
      <c r="E6342" s="2" t="s">
        <v>2147</v>
      </c>
      <c r="F6342" s="2" t="s">
        <v>27277</v>
      </c>
      <c r="G6342" s="2" t="str">
        <f>"SR-8542"</f>
        <v>SR-8542</v>
      </c>
      <c r="H6342" s="2" t="s">
        <v>27278</v>
      </c>
      <c r="I6342" s="2" t="s">
        <v>27279</v>
      </c>
      <c r="K6342" s="2" t="s">
        <v>3273</v>
      </c>
      <c r="L6342" s="2" t="s">
        <v>560</v>
      </c>
      <c r="M6342" s="2">
        <v>52411.0</v>
      </c>
      <c r="N6342" s="2" t="s">
        <v>21</v>
      </c>
    </row>
    <row r="6343" ht="15.75" customHeight="1">
      <c r="A6343" s="2">
        <v>2016.0</v>
      </c>
      <c r="B6343" s="2" t="s">
        <v>13335</v>
      </c>
      <c r="C6343" s="2" t="s">
        <v>13336</v>
      </c>
      <c r="D6343" s="2" t="str">
        <f>"864-599-9411"</f>
        <v>864-599-9411</v>
      </c>
      <c r="E6343" s="2" t="s">
        <v>225</v>
      </c>
      <c r="F6343" s="2" t="s">
        <v>1756</v>
      </c>
      <c r="G6343" s="2" t="str">
        <f>"SR-8358"</f>
        <v>SR-8358</v>
      </c>
      <c r="H6343" s="2" t="s">
        <v>27280</v>
      </c>
      <c r="I6343" s="2" t="s">
        <v>13338</v>
      </c>
      <c r="K6343" s="2" t="s">
        <v>13339</v>
      </c>
      <c r="L6343" s="2" t="s">
        <v>55</v>
      </c>
      <c r="M6343" s="2">
        <v>29316.0</v>
      </c>
      <c r="N6343" s="2" t="s">
        <v>21</v>
      </c>
    </row>
    <row r="6344" ht="15.75" customHeight="1">
      <c r="A6344" s="2">
        <v>2016.0</v>
      </c>
      <c r="B6344" s="2" t="s">
        <v>20438</v>
      </c>
      <c r="C6344" s="2" t="s">
        <v>20438</v>
      </c>
      <c r="D6344" s="2" t="str">
        <f>"7872498226"</f>
        <v>7872498226</v>
      </c>
      <c r="E6344" s="2" t="s">
        <v>20439</v>
      </c>
      <c r="F6344" s="2" t="s">
        <v>20440</v>
      </c>
      <c r="G6344" s="2" t="str">
        <f>"SR-6311"</f>
        <v>SR-6311</v>
      </c>
      <c r="H6344" s="2" t="s">
        <v>20441</v>
      </c>
      <c r="I6344" s="2" t="s">
        <v>20442</v>
      </c>
      <c r="J6344" s="2" t="s">
        <v>20443</v>
      </c>
      <c r="K6344" s="2" t="s">
        <v>20444</v>
      </c>
      <c r="L6344" s="2" t="s">
        <v>208</v>
      </c>
      <c r="M6344" s="2">
        <v>33782.0</v>
      </c>
      <c r="N6344" s="2" t="s">
        <v>21</v>
      </c>
    </row>
    <row r="6345" ht="15.75" customHeight="1">
      <c r="A6345" s="2">
        <v>2016.0</v>
      </c>
      <c r="B6345" s="2" t="s">
        <v>27281</v>
      </c>
      <c r="C6345" s="2" t="s">
        <v>27281</v>
      </c>
      <c r="D6345" s="2" t="str">
        <f>"4234021420"</f>
        <v>4234021420</v>
      </c>
      <c r="E6345" s="2" t="s">
        <v>4224</v>
      </c>
      <c r="F6345" s="2" t="s">
        <v>27282</v>
      </c>
      <c r="G6345" s="2" t="str">
        <f>"SR-8602"</f>
        <v>SR-8602</v>
      </c>
      <c r="H6345" s="2" t="s">
        <v>27283</v>
      </c>
      <c r="I6345" s="2" t="s">
        <v>27284</v>
      </c>
      <c r="K6345" s="2" t="s">
        <v>27285</v>
      </c>
      <c r="L6345" s="2" t="s">
        <v>279</v>
      </c>
      <c r="M6345" s="2">
        <v>37412.0</v>
      </c>
      <c r="N6345" s="2" t="s">
        <v>21</v>
      </c>
    </row>
    <row r="6346" ht="15.75" customHeight="1">
      <c r="A6346" s="2">
        <v>2016.0</v>
      </c>
      <c r="B6346" s="2" t="s">
        <v>27286</v>
      </c>
      <c r="C6346" s="2" t="s">
        <v>27287</v>
      </c>
      <c r="D6346" s="2" t="str">
        <f>"8659190157"</f>
        <v>8659190157</v>
      </c>
      <c r="E6346" s="2" t="s">
        <v>1891</v>
      </c>
      <c r="F6346" s="2" t="s">
        <v>2511</v>
      </c>
      <c r="G6346" s="2" t="str">
        <f>"SR-8601"</f>
        <v>SR-8601</v>
      </c>
      <c r="H6346" s="2" t="s">
        <v>27288</v>
      </c>
      <c r="I6346" s="2" t="s">
        <v>27289</v>
      </c>
      <c r="K6346" s="2" t="s">
        <v>27290</v>
      </c>
      <c r="L6346" s="2" t="s">
        <v>279</v>
      </c>
      <c r="M6346" s="2">
        <v>37881.0</v>
      </c>
      <c r="N6346" s="2" t="s">
        <v>21</v>
      </c>
    </row>
    <row r="6347" ht="15.75" customHeight="1">
      <c r="A6347" s="2">
        <v>2016.0</v>
      </c>
      <c r="B6347" s="2" t="s">
        <v>27291</v>
      </c>
      <c r="C6347" s="2" t="s">
        <v>27291</v>
      </c>
      <c r="D6347" s="2" t="str">
        <f>"8505754009"</f>
        <v>8505754009</v>
      </c>
      <c r="E6347" s="2" t="s">
        <v>1263</v>
      </c>
      <c r="F6347" s="2" t="s">
        <v>2032</v>
      </c>
      <c r="G6347" s="2" t="str">
        <f>"SR-8590"</f>
        <v>SR-8590</v>
      </c>
      <c r="H6347" s="2" t="s">
        <v>27292</v>
      </c>
      <c r="I6347" s="2" t="s">
        <v>2034</v>
      </c>
      <c r="K6347" s="2" t="s">
        <v>2007</v>
      </c>
      <c r="L6347" s="2" t="s">
        <v>208</v>
      </c>
      <c r="M6347" s="2">
        <v>32308.0</v>
      </c>
      <c r="N6347" s="2" t="s">
        <v>21</v>
      </c>
    </row>
    <row r="6348" ht="15.75" customHeight="1">
      <c r="A6348" s="2">
        <v>2016.0</v>
      </c>
      <c r="B6348" s="2" t="s">
        <v>17576</v>
      </c>
      <c r="C6348" s="2" t="s">
        <v>17576</v>
      </c>
      <c r="D6348" s="2" t="str">
        <f>"620-488-3486"</f>
        <v>620-488-3486</v>
      </c>
      <c r="E6348" s="2" t="s">
        <v>301</v>
      </c>
      <c r="F6348" s="2" t="s">
        <v>17577</v>
      </c>
      <c r="G6348" s="2" t="str">
        <f>"SR-8171"</f>
        <v>SR-8171</v>
      </c>
      <c r="H6348" s="2" t="s">
        <v>27293</v>
      </c>
      <c r="I6348" s="2" t="s">
        <v>17579</v>
      </c>
      <c r="K6348" s="2" t="s">
        <v>6543</v>
      </c>
      <c r="L6348" s="2" t="s">
        <v>272</v>
      </c>
      <c r="M6348" s="2">
        <v>67013.0</v>
      </c>
      <c r="N6348" s="2" t="s">
        <v>21</v>
      </c>
    </row>
    <row r="6349" ht="15.75" customHeight="1">
      <c r="A6349" s="2">
        <v>2016.0</v>
      </c>
      <c r="B6349" s="2" t="s">
        <v>27294</v>
      </c>
      <c r="C6349" s="2" t="s">
        <v>27295</v>
      </c>
      <c r="D6349" s="2" t="str">
        <f>"7176652579"</f>
        <v>7176652579</v>
      </c>
      <c r="E6349" s="2" t="s">
        <v>1015</v>
      </c>
      <c r="F6349" s="2" t="s">
        <v>645</v>
      </c>
      <c r="G6349" s="2" t="str">
        <f>"SR-8291"</f>
        <v>SR-8291</v>
      </c>
      <c r="H6349" s="2" t="s">
        <v>27296</v>
      </c>
      <c r="I6349" s="2" t="s">
        <v>27297</v>
      </c>
      <c r="K6349" s="2" t="s">
        <v>27298</v>
      </c>
      <c r="L6349" s="2" t="s">
        <v>179</v>
      </c>
      <c r="M6349" s="2">
        <v>17545.0</v>
      </c>
      <c r="N6349" s="2" t="s">
        <v>21</v>
      </c>
    </row>
    <row r="6350" ht="15.75" customHeight="1">
      <c r="A6350" s="2">
        <v>2016.0</v>
      </c>
      <c r="B6350" s="2" t="s">
        <v>27299</v>
      </c>
      <c r="C6350" s="2" t="s">
        <v>27299</v>
      </c>
      <c r="D6350" s="2" t="str">
        <f>"256-679-2010"</f>
        <v>256-679-2010</v>
      </c>
      <c r="E6350" s="2" t="s">
        <v>267</v>
      </c>
      <c r="F6350" s="2" t="s">
        <v>20594</v>
      </c>
      <c r="G6350" s="2" t="str">
        <f>"SR-8394"</f>
        <v>SR-8394</v>
      </c>
      <c r="H6350" s="2" t="s">
        <v>27300</v>
      </c>
      <c r="I6350" s="2" t="s">
        <v>27301</v>
      </c>
      <c r="K6350" s="2" t="s">
        <v>659</v>
      </c>
      <c r="L6350" s="2" t="s">
        <v>539</v>
      </c>
      <c r="M6350" s="2">
        <v>35758.0</v>
      </c>
      <c r="N6350" s="2" t="s">
        <v>21</v>
      </c>
    </row>
    <row r="6351" ht="15.75" customHeight="1">
      <c r="A6351" s="2">
        <v>2016.0</v>
      </c>
      <c r="B6351" s="2" t="s">
        <v>21851</v>
      </c>
      <c r="C6351" s="2" t="s">
        <v>27302</v>
      </c>
      <c r="D6351" s="2" t="str">
        <f>"8083544558"</f>
        <v>8083544558</v>
      </c>
      <c r="E6351" s="2" t="s">
        <v>27303</v>
      </c>
      <c r="F6351" s="2" t="s">
        <v>5632</v>
      </c>
      <c r="G6351" s="2" t="str">
        <f>"SR-8560"</f>
        <v>SR-8560</v>
      </c>
      <c r="H6351" s="2" t="s">
        <v>27304</v>
      </c>
      <c r="I6351" s="2" t="s">
        <v>27305</v>
      </c>
      <c r="K6351" s="2" t="s">
        <v>27306</v>
      </c>
      <c r="L6351" s="2" t="s">
        <v>200</v>
      </c>
      <c r="M6351" s="2">
        <v>31779.0</v>
      </c>
      <c r="N6351" s="2" t="s">
        <v>21</v>
      </c>
    </row>
    <row r="6352" ht="15.75" customHeight="1">
      <c r="A6352" s="2">
        <v>2016.0</v>
      </c>
      <c r="B6352" s="2" t="s">
        <v>12138</v>
      </c>
      <c r="C6352" s="2" t="s">
        <v>27307</v>
      </c>
      <c r="D6352" s="2" t="str">
        <f>"8506274459"</f>
        <v>8506274459</v>
      </c>
      <c r="E6352" s="2" t="s">
        <v>167</v>
      </c>
      <c r="F6352" s="2" t="s">
        <v>7647</v>
      </c>
      <c r="G6352" s="2" t="str">
        <f>"SR-8591"</f>
        <v>SR-8591</v>
      </c>
      <c r="H6352" s="2" t="s">
        <v>27308</v>
      </c>
      <c r="I6352" s="2" t="s">
        <v>27309</v>
      </c>
      <c r="K6352" s="2" t="s">
        <v>16529</v>
      </c>
      <c r="L6352" s="2" t="s">
        <v>208</v>
      </c>
      <c r="M6352" s="2">
        <v>32351.0</v>
      </c>
      <c r="N6352" s="2" t="s">
        <v>21</v>
      </c>
    </row>
    <row r="6353" ht="15.75" customHeight="1">
      <c r="A6353" s="2">
        <v>2016.0</v>
      </c>
      <c r="B6353" s="2" t="s">
        <v>7535</v>
      </c>
      <c r="C6353" s="2" t="s">
        <v>14219</v>
      </c>
      <c r="D6353" s="2" t="str">
        <f>"260-515-7152"</f>
        <v>260-515-7152</v>
      </c>
      <c r="E6353" s="2" t="s">
        <v>705</v>
      </c>
      <c r="F6353" s="2" t="s">
        <v>7537</v>
      </c>
      <c r="G6353" s="2" t="str">
        <f>"SR-3519"</f>
        <v>SR-3519</v>
      </c>
      <c r="H6353" s="2" t="s">
        <v>14220</v>
      </c>
      <c r="I6353" s="2" t="s">
        <v>14221</v>
      </c>
      <c r="K6353" s="2" t="s">
        <v>14222</v>
      </c>
      <c r="L6353" s="2" t="s">
        <v>165</v>
      </c>
      <c r="M6353" s="2">
        <v>22625.0</v>
      </c>
      <c r="N6353" s="2" t="s">
        <v>21</v>
      </c>
    </row>
    <row r="6354" ht="15.75" customHeight="1">
      <c r="A6354" s="2">
        <v>2016.0</v>
      </c>
      <c r="B6354" s="2" t="s">
        <v>27310</v>
      </c>
      <c r="C6354" s="2" t="s">
        <v>27311</v>
      </c>
      <c r="D6354" s="2" t="str">
        <f>"256-509-8297"</f>
        <v>256-509-8297</v>
      </c>
      <c r="E6354" s="2" t="s">
        <v>15</v>
      </c>
      <c r="F6354" s="2" t="s">
        <v>645</v>
      </c>
      <c r="G6354" s="2" t="str">
        <f>"SR-8506"</f>
        <v>SR-8506</v>
      </c>
      <c r="H6354" s="2" t="s">
        <v>27312</v>
      </c>
      <c r="I6354" s="2" t="s">
        <v>27313</v>
      </c>
      <c r="K6354" s="2" t="s">
        <v>1953</v>
      </c>
      <c r="L6354" s="2" t="s">
        <v>539</v>
      </c>
      <c r="M6354" s="2">
        <v>35802.0</v>
      </c>
      <c r="N6354" s="2" t="s">
        <v>21</v>
      </c>
    </row>
    <row r="6355" ht="15.75" customHeight="1">
      <c r="A6355" s="2">
        <v>2016.0</v>
      </c>
      <c r="B6355" s="2" t="s">
        <v>27314</v>
      </c>
      <c r="C6355" s="2" t="s">
        <v>27314</v>
      </c>
      <c r="D6355" s="2" t="str">
        <f>"5613190843"</f>
        <v>5613190843</v>
      </c>
      <c r="E6355" s="2" t="s">
        <v>1094</v>
      </c>
      <c r="F6355" s="2" t="s">
        <v>1151</v>
      </c>
      <c r="G6355" s="2" t="str">
        <f>"SR-8604"</f>
        <v>SR-8604</v>
      </c>
      <c r="H6355" s="2" t="s">
        <v>23060</v>
      </c>
      <c r="I6355" s="2" t="s">
        <v>27315</v>
      </c>
      <c r="K6355" s="2" t="s">
        <v>27316</v>
      </c>
      <c r="L6355" s="2" t="s">
        <v>208</v>
      </c>
      <c r="M6355" s="2">
        <v>33411.0</v>
      </c>
      <c r="N6355" s="2" t="s">
        <v>21</v>
      </c>
    </row>
    <row r="6356" ht="15.75" customHeight="1">
      <c r="A6356" s="2">
        <v>2016.0</v>
      </c>
      <c r="B6356" s="2" t="s">
        <v>11174</v>
      </c>
      <c r="C6356" s="2" t="s">
        <v>27317</v>
      </c>
      <c r="D6356" s="2" t="str">
        <f>"804-897-3526"</f>
        <v>804-897-3526</v>
      </c>
      <c r="E6356" s="2" t="s">
        <v>2941</v>
      </c>
      <c r="F6356" s="2" t="s">
        <v>11176</v>
      </c>
      <c r="G6356" s="2" t="str">
        <f>"SR-8610"</f>
        <v>SR-8610</v>
      </c>
      <c r="H6356" s="2" t="s">
        <v>27318</v>
      </c>
      <c r="I6356" s="2" t="s">
        <v>11178</v>
      </c>
      <c r="K6356" s="2" t="s">
        <v>11179</v>
      </c>
      <c r="L6356" s="2" t="s">
        <v>165</v>
      </c>
      <c r="M6356" s="2">
        <v>23113.0</v>
      </c>
      <c r="N6356" s="2" t="s">
        <v>21</v>
      </c>
    </row>
    <row r="6357" ht="15.75" customHeight="1">
      <c r="A6357" s="2">
        <v>2016.0</v>
      </c>
      <c r="B6357" s="2" t="s">
        <v>27319</v>
      </c>
      <c r="C6357" s="2" t="s">
        <v>27320</v>
      </c>
      <c r="D6357" s="2" t="str">
        <f>"(405) 754-3333"</f>
        <v>(405) 754-3333</v>
      </c>
      <c r="E6357" s="2" t="s">
        <v>7498</v>
      </c>
      <c r="F6357" s="2" t="s">
        <v>1151</v>
      </c>
      <c r="G6357" s="2" t="str">
        <f>"SR-8606"</f>
        <v>SR-8606</v>
      </c>
      <c r="H6357" s="2" t="s">
        <v>27321</v>
      </c>
      <c r="I6357" s="2" t="s">
        <v>27322</v>
      </c>
      <c r="K6357" s="2" t="s">
        <v>8558</v>
      </c>
      <c r="L6357" s="2" t="s">
        <v>840</v>
      </c>
      <c r="M6357" s="2">
        <v>73007.0</v>
      </c>
      <c r="N6357" s="2" t="s">
        <v>21</v>
      </c>
    </row>
    <row r="6358" ht="15.75" customHeight="1">
      <c r="A6358" s="2">
        <v>2016.0</v>
      </c>
      <c r="B6358" s="2" t="s">
        <v>27323</v>
      </c>
      <c r="C6358" s="2" t="s">
        <v>27323</v>
      </c>
      <c r="D6358" s="2" t="str">
        <f>"3089423158"</f>
        <v>3089423158</v>
      </c>
      <c r="E6358" s="2" t="s">
        <v>1664</v>
      </c>
      <c r="F6358" s="2" t="s">
        <v>27324</v>
      </c>
      <c r="G6358" s="2" t="str">
        <f>"SR-8613"</f>
        <v>SR-8613</v>
      </c>
      <c r="H6358" s="2" t="s">
        <v>27325</v>
      </c>
      <c r="I6358" s="2" t="s">
        <v>27326</v>
      </c>
      <c r="K6358" s="2" t="s">
        <v>2598</v>
      </c>
      <c r="L6358" s="2" t="s">
        <v>757</v>
      </c>
      <c r="M6358" s="2">
        <v>68879.0</v>
      </c>
      <c r="N6358" s="2" t="s">
        <v>21</v>
      </c>
    </row>
    <row r="6359" ht="15.75" customHeight="1">
      <c r="A6359" s="2">
        <v>2016.0</v>
      </c>
      <c r="B6359" s="2" t="s">
        <v>27327</v>
      </c>
      <c r="C6359" s="2" t="s">
        <v>27328</v>
      </c>
      <c r="D6359" s="2" t="str">
        <f>"972-523-4293"</f>
        <v>972-523-4293</v>
      </c>
      <c r="E6359" s="2" t="s">
        <v>5548</v>
      </c>
      <c r="F6359" s="2" t="s">
        <v>10492</v>
      </c>
      <c r="G6359" s="2" t="str">
        <f>"SR-7841"</f>
        <v>SR-7841</v>
      </c>
      <c r="H6359" s="2" t="s">
        <v>27329</v>
      </c>
      <c r="I6359" s="2" t="s">
        <v>27330</v>
      </c>
      <c r="K6359" s="2" t="s">
        <v>3144</v>
      </c>
      <c r="L6359" s="2" t="s">
        <v>172</v>
      </c>
      <c r="M6359" s="2">
        <v>75013.0</v>
      </c>
      <c r="N6359" s="2" t="s">
        <v>21</v>
      </c>
    </row>
    <row r="6360" ht="15.75" customHeight="1">
      <c r="A6360" s="2">
        <v>2016.0</v>
      </c>
      <c r="B6360" s="2" t="s">
        <v>27331</v>
      </c>
      <c r="C6360" s="2" t="s">
        <v>27332</v>
      </c>
      <c r="D6360" s="2" t="str">
        <f>"214-843-7303"</f>
        <v>214-843-7303</v>
      </c>
      <c r="E6360" s="2" t="s">
        <v>9975</v>
      </c>
      <c r="F6360" s="2" t="s">
        <v>2985</v>
      </c>
      <c r="G6360" s="2" t="str">
        <f>"SR-8608"</f>
        <v>SR-8608</v>
      </c>
      <c r="H6360" s="2" t="s">
        <v>27333</v>
      </c>
      <c r="I6360" s="2" t="s">
        <v>27334</v>
      </c>
      <c r="K6360" s="2" t="s">
        <v>3144</v>
      </c>
      <c r="L6360" s="2" t="s">
        <v>172</v>
      </c>
      <c r="M6360" s="2">
        <v>75013.0</v>
      </c>
      <c r="N6360" s="2" t="s">
        <v>21</v>
      </c>
    </row>
    <row r="6361" ht="15.75" customHeight="1">
      <c r="A6361" s="2">
        <v>2016.0</v>
      </c>
      <c r="B6361" s="2" t="s">
        <v>27335</v>
      </c>
      <c r="C6361" s="2" t="s">
        <v>27336</v>
      </c>
      <c r="D6361" s="2" t="str">
        <f>"407-436-4971"</f>
        <v>407-436-4971</v>
      </c>
      <c r="E6361" s="2" t="s">
        <v>1208</v>
      </c>
      <c r="F6361" s="2" t="s">
        <v>27337</v>
      </c>
      <c r="G6361" s="2" t="str">
        <f>"SR-4819"</f>
        <v>SR-4819</v>
      </c>
      <c r="H6361" s="2" t="s">
        <v>27338</v>
      </c>
      <c r="I6361" s="2" t="s">
        <v>27339</v>
      </c>
      <c r="K6361" s="2" t="s">
        <v>11526</v>
      </c>
      <c r="L6361" s="2" t="s">
        <v>208</v>
      </c>
      <c r="M6361" s="2">
        <v>34772.0</v>
      </c>
      <c r="N6361" s="2" t="s">
        <v>21</v>
      </c>
    </row>
    <row r="6362" ht="15.75" customHeight="1">
      <c r="A6362" s="2">
        <v>2016.0</v>
      </c>
      <c r="B6362" s="2" t="s">
        <v>27340</v>
      </c>
      <c r="C6362" s="2" t="s">
        <v>27341</v>
      </c>
      <c r="D6362" s="2" t="str">
        <f>"8165653574"</f>
        <v>8165653574</v>
      </c>
      <c r="E6362" s="2" t="s">
        <v>843</v>
      </c>
      <c r="F6362" s="2" t="s">
        <v>1095</v>
      </c>
      <c r="G6362" s="2" t="str">
        <f>"SR-8183"</f>
        <v>SR-8183</v>
      </c>
      <c r="H6362" s="2" t="s">
        <v>27342</v>
      </c>
      <c r="I6362" s="2" t="s">
        <v>27343</v>
      </c>
      <c r="J6362" s="2" t="s">
        <v>27344</v>
      </c>
      <c r="K6362" s="2" t="s">
        <v>19</v>
      </c>
      <c r="L6362" s="2" t="s">
        <v>279</v>
      </c>
      <c r="M6362" s="2">
        <v>37036.0</v>
      </c>
      <c r="N6362" s="2" t="s">
        <v>21</v>
      </c>
    </row>
    <row r="6363" ht="15.75" customHeight="1">
      <c r="A6363" s="2">
        <v>2016.0</v>
      </c>
      <c r="B6363" s="2" t="s">
        <v>27345</v>
      </c>
      <c r="C6363" s="2" t="s">
        <v>27346</v>
      </c>
      <c r="D6363" s="2" t="str">
        <f>"4234637995"</f>
        <v>4234637995</v>
      </c>
      <c r="E6363" s="2" t="s">
        <v>301</v>
      </c>
      <c r="F6363" s="2" t="s">
        <v>5911</v>
      </c>
      <c r="G6363" s="2" t="str">
        <f>"SR-8612"</f>
        <v>SR-8612</v>
      </c>
      <c r="H6363" s="2" t="s">
        <v>27347</v>
      </c>
      <c r="I6363" s="2" t="s">
        <v>27348</v>
      </c>
      <c r="K6363" s="2" t="s">
        <v>3975</v>
      </c>
      <c r="L6363" s="2" t="s">
        <v>279</v>
      </c>
      <c r="M6363" s="2">
        <v>37412.0</v>
      </c>
      <c r="N6363" s="2" t="s">
        <v>21</v>
      </c>
    </row>
    <row r="6364" ht="15.75" customHeight="1">
      <c r="A6364" s="2">
        <v>2016.0</v>
      </c>
      <c r="B6364" s="2" t="s">
        <v>2076</v>
      </c>
      <c r="C6364" s="2" t="s">
        <v>2076</v>
      </c>
      <c r="D6364" s="2" t="str">
        <f>"817 992 3123"</f>
        <v>817 992 3123</v>
      </c>
      <c r="E6364" s="2" t="s">
        <v>10566</v>
      </c>
      <c r="F6364" s="2" t="s">
        <v>2078</v>
      </c>
      <c r="G6364" s="2" t="str">
        <f>"SR-8509"</f>
        <v>SR-8509</v>
      </c>
      <c r="H6364" s="2" t="s">
        <v>27349</v>
      </c>
      <c r="I6364" s="2" t="s">
        <v>2080</v>
      </c>
      <c r="K6364" s="2" t="s">
        <v>882</v>
      </c>
      <c r="L6364" s="2" t="s">
        <v>172</v>
      </c>
      <c r="M6364" s="2">
        <v>76001.0</v>
      </c>
      <c r="N6364" s="2" t="s">
        <v>21</v>
      </c>
    </row>
    <row r="6365" ht="15.75" customHeight="1">
      <c r="A6365" s="2">
        <v>2016.0</v>
      </c>
      <c r="B6365" s="2" t="s">
        <v>27350</v>
      </c>
      <c r="C6365" s="2" t="s">
        <v>27351</v>
      </c>
      <c r="D6365" s="2" t="str">
        <f>"8634503370"</f>
        <v>8634503370</v>
      </c>
      <c r="E6365" s="2" t="s">
        <v>843</v>
      </c>
      <c r="F6365" s="2" t="s">
        <v>9047</v>
      </c>
      <c r="G6365" s="2" t="str">
        <f>"SR-8620"</f>
        <v>SR-8620</v>
      </c>
      <c r="H6365" s="2" t="s">
        <v>27352</v>
      </c>
      <c r="I6365" s="2" t="s">
        <v>27353</v>
      </c>
      <c r="K6365" s="2" t="s">
        <v>11560</v>
      </c>
      <c r="L6365" s="2" t="s">
        <v>208</v>
      </c>
      <c r="M6365" s="2">
        <v>32963.0</v>
      </c>
      <c r="N6365" s="2" t="s">
        <v>21</v>
      </c>
    </row>
    <row r="6366" ht="15.75" customHeight="1">
      <c r="A6366" s="2">
        <v>2016.0</v>
      </c>
      <c r="B6366" s="2" t="s">
        <v>27354</v>
      </c>
      <c r="C6366" s="2" t="s">
        <v>27355</v>
      </c>
      <c r="D6366" s="2" t="str">
        <f>"6056499927"</f>
        <v>6056499927</v>
      </c>
      <c r="E6366" s="2" t="s">
        <v>50</v>
      </c>
      <c r="F6366" s="2" t="s">
        <v>27356</v>
      </c>
      <c r="G6366" s="2" t="str">
        <f>"SR-5553"</f>
        <v>SR-5553</v>
      </c>
      <c r="H6366" s="2" t="s">
        <v>27357</v>
      </c>
      <c r="I6366" s="2" t="s">
        <v>27358</v>
      </c>
      <c r="K6366" s="2" t="s">
        <v>18927</v>
      </c>
      <c r="L6366" s="2" t="s">
        <v>920</v>
      </c>
      <c r="M6366" s="2">
        <v>57472.0</v>
      </c>
      <c r="N6366" s="2" t="s">
        <v>21</v>
      </c>
    </row>
    <row r="6367" ht="15.75" customHeight="1">
      <c r="A6367" s="2">
        <v>2016.0</v>
      </c>
      <c r="B6367" s="2" t="s">
        <v>19129</v>
      </c>
      <c r="C6367" s="2" t="s">
        <v>19129</v>
      </c>
      <c r="D6367" s="2" t="str">
        <f>"2544491197"</f>
        <v>2544491197</v>
      </c>
      <c r="E6367" s="2" t="s">
        <v>580</v>
      </c>
      <c r="F6367" s="2" t="s">
        <v>19130</v>
      </c>
      <c r="G6367" s="2" t="str">
        <f>"SR-5956"</f>
        <v>SR-5956</v>
      </c>
      <c r="H6367" s="2" t="s">
        <v>19131</v>
      </c>
      <c r="I6367" s="2" t="s">
        <v>19132</v>
      </c>
      <c r="K6367" s="2" t="s">
        <v>19133</v>
      </c>
      <c r="L6367" s="2" t="s">
        <v>172</v>
      </c>
      <c r="M6367" s="2">
        <v>76522.0</v>
      </c>
      <c r="N6367" s="2" t="s">
        <v>21</v>
      </c>
    </row>
    <row r="6368" ht="15.75" customHeight="1">
      <c r="A6368" s="2">
        <v>2016.0</v>
      </c>
      <c r="B6368" s="2" t="s">
        <v>27350</v>
      </c>
      <c r="C6368" s="2" t="s">
        <v>27359</v>
      </c>
      <c r="D6368" s="2" t="str">
        <f>"8634503370"</f>
        <v>8634503370</v>
      </c>
      <c r="E6368" s="2" t="s">
        <v>1263</v>
      </c>
      <c r="F6368" s="2" t="s">
        <v>9047</v>
      </c>
      <c r="G6368" s="2" t="str">
        <f>"SR-7345"</f>
        <v>SR-7345</v>
      </c>
      <c r="H6368" s="2" t="s">
        <v>27360</v>
      </c>
      <c r="I6368" s="2" t="s">
        <v>27353</v>
      </c>
      <c r="K6368" s="2" t="s">
        <v>11560</v>
      </c>
      <c r="L6368" s="2" t="s">
        <v>208</v>
      </c>
      <c r="M6368" s="2">
        <v>32963.0</v>
      </c>
      <c r="N6368" s="2" t="s">
        <v>21</v>
      </c>
    </row>
    <row r="6369" ht="15.75" customHeight="1">
      <c r="A6369" s="2">
        <v>2016.0</v>
      </c>
      <c r="B6369" s="2" t="s">
        <v>18191</v>
      </c>
      <c r="C6369" s="2" t="s">
        <v>18192</v>
      </c>
      <c r="D6369" s="2" t="str">
        <f>"8633705004"</f>
        <v>8633705004</v>
      </c>
      <c r="E6369" s="2" t="s">
        <v>1274</v>
      </c>
      <c r="F6369" s="2" t="s">
        <v>18193</v>
      </c>
      <c r="G6369" s="2" t="str">
        <f>"SR-5579"</f>
        <v>SR-5579</v>
      </c>
      <c r="H6369" s="2" t="s">
        <v>18194</v>
      </c>
      <c r="I6369" s="2" t="s">
        <v>18195</v>
      </c>
      <c r="K6369" s="2" t="s">
        <v>18196</v>
      </c>
      <c r="L6369" s="2" t="s">
        <v>208</v>
      </c>
      <c r="M6369" s="2">
        <v>33805.0</v>
      </c>
      <c r="N6369" s="2" t="s">
        <v>21</v>
      </c>
    </row>
    <row r="6370" ht="15.75" customHeight="1">
      <c r="A6370" s="2">
        <v>2016.0</v>
      </c>
      <c r="B6370" s="2" t="s">
        <v>27361</v>
      </c>
      <c r="C6370" s="2" t="s">
        <v>27361</v>
      </c>
      <c r="D6370" s="2" t="str">
        <f>"3472150456"</f>
        <v>3472150456</v>
      </c>
      <c r="E6370" s="2" t="s">
        <v>1088</v>
      </c>
      <c r="F6370" s="2" t="s">
        <v>27362</v>
      </c>
      <c r="G6370" s="2" t="str">
        <f>"SR-8477"</f>
        <v>SR-8477</v>
      </c>
      <c r="H6370" s="2" t="s">
        <v>27363</v>
      </c>
      <c r="I6370" s="2" t="s">
        <v>27364</v>
      </c>
      <c r="K6370" s="2" t="s">
        <v>26685</v>
      </c>
      <c r="L6370" s="2" t="s">
        <v>142</v>
      </c>
      <c r="M6370" s="2">
        <v>10309.0</v>
      </c>
      <c r="N6370" s="2" t="s">
        <v>21</v>
      </c>
    </row>
    <row r="6371" ht="15.75" customHeight="1">
      <c r="A6371" s="2">
        <v>2016.0</v>
      </c>
      <c r="B6371" s="2" t="s">
        <v>27350</v>
      </c>
      <c r="C6371" s="2" t="s">
        <v>27365</v>
      </c>
      <c r="D6371" s="2" t="str">
        <f>"8634503370"</f>
        <v>8634503370</v>
      </c>
      <c r="E6371" s="2" t="s">
        <v>339</v>
      </c>
      <c r="F6371" s="2" t="s">
        <v>9047</v>
      </c>
      <c r="G6371" s="2" t="str">
        <f>"SR-8615"</f>
        <v>SR-8615</v>
      </c>
      <c r="H6371" s="2" t="s">
        <v>27366</v>
      </c>
      <c r="I6371" s="2" t="s">
        <v>27353</v>
      </c>
      <c r="K6371" s="2" t="s">
        <v>11560</v>
      </c>
      <c r="L6371" s="2" t="s">
        <v>208</v>
      </c>
      <c r="M6371" s="2">
        <v>32963.0</v>
      </c>
      <c r="N6371" s="2" t="s">
        <v>21</v>
      </c>
    </row>
    <row r="6372" ht="15.75" customHeight="1">
      <c r="A6372" s="2">
        <v>2016.0</v>
      </c>
      <c r="B6372" s="2" t="s">
        <v>27367</v>
      </c>
      <c r="C6372" s="2" t="s">
        <v>27368</v>
      </c>
      <c r="D6372" s="2" t="str">
        <f>"310-710-6585"</f>
        <v>310-710-6585</v>
      </c>
      <c r="E6372" s="2" t="s">
        <v>72</v>
      </c>
      <c r="F6372" s="2" t="s">
        <v>27369</v>
      </c>
      <c r="G6372" s="2" t="str">
        <f>"SR-8425"</f>
        <v>SR-8425</v>
      </c>
      <c r="H6372" s="2" t="s">
        <v>27370</v>
      </c>
      <c r="I6372" s="2" t="s">
        <v>27371</v>
      </c>
      <c r="K6372" s="2" t="s">
        <v>27372</v>
      </c>
      <c r="L6372" s="2" t="s">
        <v>222</v>
      </c>
      <c r="M6372" s="2">
        <v>90274.0</v>
      </c>
      <c r="N6372" s="2" t="s">
        <v>21</v>
      </c>
    </row>
    <row r="6373" ht="15.75" customHeight="1">
      <c r="A6373" s="2">
        <v>2016.0</v>
      </c>
      <c r="B6373" s="2" t="s">
        <v>27367</v>
      </c>
      <c r="C6373" s="2" t="s">
        <v>27373</v>
      </c>
      <c r="D6373" s="2" t="str">
        <f>"310-415-3373"</f>
        <v>310-415-3373</v>
      </c>
      <c r="E6373" s="2" t="s">
        <v>2031</v>
      </c>
      <c r="F6373" s="2" t="s">
        <v>12612</v>
      </c>
      <c r="G6373" s="2" t="str">
        <f>"SR-8426"</f>
        <v>SR-8426</v>
      </c>
      <c r="H6373" s="2" t="s">
        <v>27374</v>
      </c>
      <c r="I6373" s="2" t="s">
        <v>27375</v>
      </c>
      <c r="K6373" s="2" t="s">
        <v>5955</v>
      </c>
      <c r="L6373" s="2" t="s">
        <v>222</v>
      </c>
      <c r="M6373" s="2">
        <v>90503.0</v>
      </c>
      <c r="N6373" s="2" t="s">
        <v>21</v>
      </c>
    </row>
    <row r="6374" ht="15.75" customHeight="1">
      <c r="A6374" s="2">
        <v>2016.0</v>
      </c>
      <c r="B6374" s="2" t="s">
        <v>27367</v>
      </c>
      <c r="D6374" s="2" t="str">
        <f>""</f>
        <v/>
      </c>
      <c r="E6374" s="2" t="s">
        <v>988</v>
      </c>
      <c r="F6374" s="2" t="s">
        <v>108</v>
      </c>
      <c r="G6374" s="2" t="str">
        <f>"SR-8427"</f>
        <v>SR-8427</v>
      </c>
      <c r="H6374" s="2" t="s">
        <v>27376</v>
      </c>
      <c r="N6374" s="2" t="s">
        <v>21</v>
      </c>
    </row>
    <row r="6375" ht="15.75" customHeight="1">
      <c r="A6375" s="2">
        <v>2016.0</v>
      </c>
      <c r="B6375" s="2" t="s">
        <v>27367</v>
      </c>
      <c r="C6375" s="2" t="s">
        <v>27377</v>
      </c>
      <c r="D6375" s="2" t="str">
        <f>"310-424-0173"</f>
        <v>310-424-0173</v>
      </c>
      <c r="E6375" s="2" t="s">
        <v>27378</v>
      </c>
      <c r="F6375" s="2" t="s">
        <v>7557</v>
      </c>
      <c r="G6375" s="2" t="str">
        <f>"SR-8428"</f>
        <v>SR-8428</v>
      </c>
      <c r="H6375" s="2" t="s">
        <v>27379</v>
      </c>
      <c r="I6375" s="2" t="s">
        <v>27380</v>
      </c>
      <c r="K6375" s="2" t="s">
        <v>5955</v>
      </c>
      <c r="L6375" s="2" t="s">
        <v>222</v>
      </c>
      <c r="M6375" s="2">
        <v>90503.0</v>
      </c>
      <c r="N6375" s="2" t="s">
        <v>21</v>
      </c>
    </row>
    <row r="6376" ht="15.75" customHeight="1">
      <c r="A6376" s="2">
        <v>2016.0</v>
      </c>
      <c r="B6376" s="2" t="s">
        <v>27381</v>
      </c>
      <c r="C6376" s="2" t="s">
        <v>27381</v>
      </c>
      <c r="D6376" s="2" t="str">
        <f>"3089423158"</f>
        <v>3089423158</v>
      </c>
      <c r="E6376" s="2" t="s">
        <v>2752</v>
      </c>
      <c r="F6376" s="2" t="s">
        <v>27324</v>
      </c>
      <c r="G6376" s="2" t="str">
        <f>"SR-8621"</f>
        <v>SR-8621</v>
      </c>
      <c r="H6376" s="2" t="s">
        <v>27382</v>
      </c>
      <c r="I6376" s="2" t="s">
        <v>27383</v>
      </c>
      <c r="K6376" s="2" t="s">
        <v>2598</v>
      </c>
      <c r="L6376" s="2" t="s">
        <v>757</v>
      </c>
      <c r="M6376" s="2">
        <v>68879.0</v>
      </c>
      <c r="N6376" s="2" t="s">
        <v>21</v>
      </c>
    </row>
    <row r="6377" ht="15.75" customHeight="1">
      <c r="A6377" s="2">
        <v>2016.0</v>
      </c>
      <c r="B6377" s="2" t="s">
        <v>27384</v>
      </c>
      <c r="C6377" s="2" t="s">
        <v>27384</v>
      </c>
      <c r="D6377" s="2" t="str">
        <f>"3086418247"</f>
        <v>3086418247</v>
      </c>
      <c r="E6377" s="2" t="s">
        <v>27385</v>
      </c>
      <c r="F6377" s="2" t="s">
        <v>27386</v>
      </c>
      <c r="G6377" s="2" t="str">
        <f>"SR-7059"</f>
        <v>SR-7059</v>
      </c>
      <c r="H6377" s="2" t="s">
        <v>27387</v>
      </c>
      <c r="I6377" s="2" t="s">
        <v>27388</v>
      </c>
      <c r="K6377" s="2" t="s">
        <v>17842</v>
      </c>
      <c r="L6377" s="2" t="s">
        <v>757</v>
      </c>
      <c r="M6377" s="2">
        <v>69341.0</v>
      </c>
      <c r="N6377" s="2" t="s">
        <v>21</v>
      </c>
    </row>
    <row r="6378" ht="15.75" customHeight="1">
      <c r="A6378" s="2">
        <v>2016.0</v>
      </c>
      <c r="B6378" s="2" t="s">
        <v>1212</v>
      </c>
      <c r="C6378" s="2" t="s">
        <v>27389</v>
      </c>
      <c r="D6378" s="2" t="str">
        <f>"316-283-2213"</f>
        <v>316-283-2213</v>
      </c>
      <c r="E6378" s="2" t="s">
        <v>1015</v>
      </c>
      <c r="F6378" s="2" t="s">
        <v>1214</v>
      </c>
      <c r="G6378" s="2" t="str">
        <f>"SR-8622"</f>
        <v>SR-8622</v>
      </c>
      <c r="H6378" s="2" t="s">
        <v>27390</v>
      </c>
      <c r="I6378" s="2" t="s">
        <v>27391</v>
      </c>
      <c r="K6378" s="2" t="s">
        <v>1217</v>
      </c>
      <c r="L6378" s="2" t="s">
        <v>272</v>
      </c>
      <c r="M6378" s="2">
        <v>67154.0</v>
      </c>
      <c r="N6378" s="2" t="s">
        <v>21</v>
      </c>
    </row>
    <row r="6379" ht="15.75" customHeight="1">
      <c r="A6379" s="2">
        <v>2016.0</v>
      </c>
      <c r="B6379" s="2" t="s">
        <v>27350</v>
      </c>
      <c r="C6379" s="2" t="s">
        <v>27392</v>
      </c>
      <c r="D6379" s="2" t="str">
        <f>"8634503370"</f>
        <v>8634503370</v>
      </c>
      <c r="E6379" s="2" t="s">
        <v>386</v>
      </c>
      <c r="F6379" s="2" t="s">
        <v>9047</v>
      </c>
      <c r="G6379" s="2" t="str">
        <f>"SR-8617"</f>
        <v>SR-8617</v>
      </c>
      <c r="H6379" s="2" t="s">
        <v>27393</v>
      </c>
      <c r="I6379" s="2" t="s">
        <v>27353</v>
      </c>
      <c r="K6379" s="2" t="s">
        <v>11560</v>
      </c>
      <c r="L6379" s="2" t="s">
        <v>208</v>
      </c>
      <c r="M6379" s="2">
        <v>32963.0</v>
      </c>
      <c r="N6379" s="2" t="s">
        <v>21</v>
      </c>
    </row>
    <row r="6380" ht="15.75" customHeight="1">
      <c r="A6380" s="2">
        <v>2016.0</v>
      </c>
      <c r="B6380" s="2" t="s">
        <v>27394</v>
      </c>
      <c r="C6380" s="2" t="s">
        <v>27394</v>
      </c>
      <c r="D6380" s="2" t="str">
        <f>"615-904-8904"</f>
        <v>615-904-8904</v>
      </c>
      <c r="E6380" s="2" t="s">
        <v>137</v>
      </c>
      <c r="F6380" s="2" t="s">
        <v>27395</v>
      </c>
      <c r="G6380" s="2" t="str">
        <f>"SR-8559"</f>
        <v>SR-8559</v>
      </c>
      <c r="H6380" s="2" t="s">
        <v>27396</v>
      </c>
      <c r="I6380" s="2" t="s">
        <v>27397</v>
      </c>
      <c r="K6380" s="2" t="s">
        <v>12405</v>
      </c>
      <c r="L6380" s="2" t="s">
        <v>279</v>
      </c>
      <c r="M6380" s="2">
        <v>37128.0</v>
      </c>
      <c r="N6380" s="2" t="s">
        <v>21</v>
      </c>
    </row>
    <row r="6381" ht="15.75" customHeight="1">
      <c r="A6381" s="2">
        <v>2016.0</v>
      </c>
      <c r="B6381" s="2" t="s">
        <v>21946</v>
      </c>
      <c r="C6381" s="2" t="s">
        <v>21946</v>
      </c>
      <c r="D6381" s="2" t="str">
        <f>"3162936263"</f>
        <v>3162936263</v>
      </c>
      <c r="E6381" s="2" t="s">
        <v>2632</v>
      </c>
      <c r="F6381" s="2" t="s">
        <v>21947</v>
      </c>
      <c r="G6381" s="2" t="str">
        <f>"SR-6691"</f>
        <v>SR-6691</v>
      </c>
      <c r="H6381" s="2" t="s">
        <v>21948</v>
      </c>
      <c r="I6381" s="2" t="s">
        <v>21949</v>
      </c>
      <c r="K6381" s="2" t="s">
        <v>606</v>
      </c>
      <c r="L6381" s="2" t="s">
        <v>272</v>
      </c>
      <c r="M6381" s="2">
        <v>67204.0</v>
      </c>
      <c r="N6381" s="2" t="s">
        <v>21</v>
      </c>
    </row>
    <row r="6382" ht="15.75" customHeight="1">
      <c r="A6382" s="2">
        <v>2016.0</v>
      </c>
      <c r="B6382" s="2" t="s">
        <v>27398</v>
      </c>
      <c r="C6382" s="2" t="s">
        <v>27398</v>
      </c>
      <c r="D6382" s="2" t="str">
        <f>"256 620 3196"</f>
        <v>256 620 3196</v>
      </c>
      <c r="E6382" s="2" t="s">
        <v>27399</v>
      </c>
      <c r="F6382" s="2" t="s">
        <v>27400</v>
      </c>
      <c r="G6382" s="2" t="str">
        <f>"SR-8626"</f>
        <v>SR-8626</v>
      </c>
      <c r="H6382" s="2" t="s">
        <v>27401</v>
      </c>
      <c r="I6382" s="2" t="s">
        <v>27402</v>
      </c>
      <c r="K6382" s="2" t="s">
        <v>21375</v>
      </c>
      <c r="L6382" s="2" t="s">
        <v>539</v>
      </c>
      <c r="M6382" s="2">
        <v>35055.0</v>
      </c>
      <c r="N6382" s="2" t="s">
        <v>21</v>
      </c>
    </row>
    <row r="6383" ht="15.75" customHeight="1">
      <c r="A6383" s="2">
        <v>2016.0</v>
      </c>
      <c r="B6383" s="2" t="s">
        <v>13629</v>
      </c>
      <c r="C6383" s="2" t="s">
        <v>27403</v>
      </c>
      <c r="D6383" s="2" t="str">
        <f>"719-487-3294"</f>
        <v>719-487-3294</v>
      </c>
      <c r="E6383" s="2" t="s">
        <v>339</v>
      </c>
      <c r="F6383" s="2" t="s">
        <v>13631</v>
      </c>
      <c r="G6383" s="2" t="str">
        <f>"SR-8632"</f>
        <v>SR-8632</v>
      </c>
      <c r="H6383" s="2" t="s">
        <v>27404</v>
      </c>
      <c r="I6383" s="2" t="s">
        <v>13633</v>
      </c>
      <c r="K6383" s="2" t="s">
        <v>809</v>
      </c>
      <c r="L6383" s="2" t="s">
        <v>157</v>
      </c>
      <c r="M6383" s="2">
        <v>80921.0</v>
      </c>
      <c r="N6383" s="2" t="s">
        <v>21</v>
      </c>
    </row>
    <row r="6384" ht="15.75" customHeight="1">
      <c r="A6384" s="2">
        <v>2016.0</v>
      </c>
      <c r="B6384" s="2" t="s">
        <v>27405</v>
      </c>
      <c r="C6384" s="2" t="s">
        <v>27406</v>
      </c>
      <c r="D6384" s="2" t="str">
        <f>"719-264-6677"</f>
        <v>719-264-6677</v>
      </c>
      <c r="E6384" s="2" t="s">
        <v>19271</v>
      </c>
      <c r="F6384" s="2" t="s">
        <v>27407</v>
      </c>
      <c r="G6384" s="2" t="str">
        <f>"SR-8627"</f>
        <v>SR-8627</v>
      </c>
      <c r="H6384" s="2" t="s">
        <v>27408</v>
      </c>
      <c r="I6384" s="2" t="s">
        <v>27409</v>
      </c>
      <c r="K6384" s="2" t="s">
        <v>809</v>
      </c>
      <c r="L6384" s="2" t="s">
        <v>157</v>
      </c>
      <c r="M6384" s="2">
        <v>80920.0</v>
      </c>
      <c r="N6384" s="2" t="s">
        <v>21</v>
      </c>
    </row>
    <row r="6385" ht="15.75" customHeight="1">
      <c r="A6385" s="2">
        <v>2016.0</v>
      </c>
      <c r="B6385" s="2" t="s">
        <v>27410</v>
      </c>
      <c r="C6385" s="2" t="s">
        <v>27411</v>
      </c>
      <c r="D6385" s="2" t="str">
        <f>"620-867-2205"</f>
        <v>620-867-2205</v>
      </c>
      <c r="E6385" s="2" t="s">
        <v>18870</v>
      </c>
      <c r="F6385" s="2" t="s">
        <v>962</v>
      </c>
      <c r="G6385" s="2" t="str">
        <f>"SR-8432"</f>
        <v>SR-8432</v>
      </c>
      <c r="H6385" s="2" t="s">
        <v>18871</v>
      </c>
      <c r="I6385" s="2" t="s">
        <v>27412</v>
      </c>
      <c r="K6385" s="2" t="s">
        <v>6543</v>
      </c>
      <c r="L6385" s="2" t="s">
        <v>272</v>
      </c>
      <c r="M6385" s="2">
        <v>67013.0</v>
      </c>
      <c r="N6385" s="2" t="s">
        <v>21</v>
      </c>
    </row>
    <row r="6386" ht="15.75" customHeight="1">
      <c r="A6386" s="2">
        <v>2016.0</v>
      </c>
      <c r="B6386" s="2" t="s">
        <v>27413</v>
      </c>
      <c r="C6386" s="2" t="s">
        <v>27414</v>
      </c>
      <c r="D6386" s="2" t="str">
        <f t="shared" ref="D6386:D6387" si="112">"9014824429"</f>
        <v>9014824429</v>
      </c>
      <c r="E6386" s="2" t="s">
        <v>1015</v>
      </c>
      <c r="F6386" s="2" t="s">
        <v>17184</v>
      </c>
      <c r="G6386" s="2" t="str">
        <f>"SR-7754"</f>
        <v>SR-7754</v>
      </c>
      <c r="H6386" s="2" t="s">
        <v>27415</v>
      </c>
      <c r="I6386" s="2" t="s">
        <v>27416</v>
      </c>
      <c r="K6386" s="2" t="s">
        <v>9257</v>
      </c>
      <c r="L6386" s="2" t="s">
        <v>279</v>
      </c>
      <c r="M6386" s="2">
        <v>38183.0</v>
      </c>
      <c r="N6386" s="2" t="s">
        <v>21</v>
      </c>
    </row>
    <row r="6387" ht="15.75" customHeight="1">
      <c r="A6387" s="2">
        <v>2016.0</v>
      </c>
      <c r="B6387" s="2" t="s">
        <v>27413</v>
      </c>
      <c r="C6387" s="2" t="s">
        <v>27417</v>
      </c>
      <c r="D6387" s="2" t="str">
        <f t="shared" si="112"/>
        <v>9014824429</v>
      </c>
      <c r="E6387" s="2" t="s">
        <v>590</v>
      </c>
      <c r="F6387" s="2" t="s">
        <v>17184</v>
      </c>
      <c r="G6387" s="2" t="str">
        <f>"SR-8640"</f>
        <v>SR-8640</v>
      </c>
      <c r="H6387" s="2" t="s">
        <v>27418</v>
      </c>
      <c r="I6387" s="2" t="s">
        <v>27419</v>
      </c>
      <c r="K6387" s="2" t="s">
        <v>9257</v>
      </c>
      <c r="L6387" s="2" t="s">
        <v>279</v>
      </c>
      <c r="M6387" s="2">
        <v>38183.0</v>
      </c>
      <c r="N6387" s="2" t="s">
        <v>21</v>
      </c>
    </row>
    <row r="6388" ht="15.75" customHeight="1">
      <c r="A6388" s="2">
        <v>2016.0</v>
      </c>
      <c r="B6388" s="2" t="s">
        <v>27405</v>
      </c>
      <c r="C6388" s="2" t="s">
        <v>27420</v>
      </c>
      <c r="D6388" s="2" t="str">
        <f>"719-232-8400"</f>
        <v>719-232-8400</v>
      </c>
      <c r="E6388" s="2" t="s">
        <v>7652</v>
      </c>
      <c r="F6388" s="2" t="s">
        <v>27407</v>
      </c>
      <c r="G6388" s="2" t="str">
        <f>"SR-8638"</f>
        <v>SR-8638</v>
      </c>
      <c r="H6388" s="2" t="s">
        <v>27421</v>
      </c>
      <c r="I6388" s="2" t="s">
        <v>27409</v>
      </c>
      <c r="K6388" s="2" t="s">
        <v>809</v>
      </c>
      <c r="L6388" s="2" t="s">
        <v>157</v>
      </c>
      <c r="M6388" s="2">
        <v>80920.0</v>
      </c>
      <c r="N6388" s="2" t="s">
        <v>21</v>
      </c>
    </row>
    <row r="6389" ht="15.75" customHeight="1">
      <c r="A6389" s="2">
        <v>2016.0</v>
      </c>
      <c r="B6389" s="2" t="s">
        <v>27422</v>
      </c>
      <c r="C6389" s="2" t="s">
        <v>27422</v>
      </c>
      <c r="D6389" s="2" t="str">
        <f>"913-837-0102"</f>
        <v>913-837-0102</v>
      </c>
      <c r="E6389" s="2" t="s">
        <v>678</v>
      </c>
      <c r="F6389" s="2" t="s">
        <v>1615</v>
      </c>
      <c r="G6389" s="2" t="str">
        <f>"SR-8639"</f>
        <v>SR-8639</v>
      </c>
      <c r="H6389" s="2" t="s">
        <v>27423</v>
      </c>
      <c r="I6389" s="2" t="s">
        <v>27424</v>
      </c>
      <c r="K6389" s="2" t="s">
        <v>27425</v>
      </c>
      <c r="L6389" s="2" t="s">
        <v>272</v>
      </c>
      <c r="M6389" s="2">
        <v>66053.0</v>
      </c>
      <c r="N6389" s="2" t="s">
        <v>21</v>
      </c>
    </row>
    <row r="6390" ht="15.75" customHeight="1">
      <c r="A6390" s="2">
        <v>2016.0</v>
      </c>
      <c r="B6390" s="2" t="s">
        <v>27426</v>
      </c>
      <c r="C6390" s="2" t="s">
        <v>27426</v>
      </c>
      <c r="D6390" s="2" t="str">
        <f>"979-413-1315"</f>
        <v>979-413-1315</v>
      </c>
      <c r="E6390" s="2" t="s">
        <v>2296</v>
      </c>
      <c r="F6390" s="2" t="s">
        <v>18658</v>
      </c>
      <c r="G6390" s="2" t="str">
        <f>"SR-7941"</f>
        <v>SR-7941</v>
      </c>
      <c r="H6390" s="2" t="s">
        <v>27427</v>
      </c>
      <c r="I6390" s="2" t="s">
        <v>27428</v>
      </c>
      <c r="K6390" s="2" t="s">
        <v>12522</v>
      </c>
      <c r="L6390" s="2" t="s">
        <v>172</v>
      </c>
      <c r="M6390" s="2">
        <v>77410.0</v>
      </c>
      <c r="N6390" s="2" t="s">
        <v>21</v>
      </c>
    </row>
    <row r="6391" ht="15.75" customHeight="1">
      <c r="A6391" s="2">
        <v>2016.0</v>
      </c>
      <c r="B6391" s="2" t="s">
        <v>27429</v>
      </c>
      <c r="C6391" s="2" t="s">
        <v>27430</v>
      </c>
      <c r="D6391" s="2" t="str">
        <f>"414 526 1258"</f>
        <v>414 526 1258</v>
      </c>
      <c r="E6391" s="2" t="s">
        <v>14038</v>
      </c>
      <c r="F6391" s="2" t="s">
        <v>23742</v>
      </c>
      <c r="G6391" s="2" t="str">
        <f>"SR-8637"</f>
        <v>SR-8637</v>
      </c>
      <c r="H6391" s="2" t="s">
        <v>27431</v>
      </c>
      <c r="I6391" s="2" t="s">
        <v>27432</v>
      </c>
      <c r="K6391" s="2" t="s">
        <v>27433</v>
      </c>
      <c r="L6391" s="2" t="s">
        <v>193</v>
      </c>
      <c r="M6391" s="2">
        <v>53095.0</v>
      </c>
      <c r="N6391" s="2" t="s">
        <v>21</v>
      </c>
    </row>
    <row r="6392" ht="15.75" customHeight="1">
      <c r="A6392" s="2">
        <v>2016.0</v>
      </c>
      <c r="B6392" s="2" t="s">
        <v>27434</v>
      </c>
      <c r="C6392" s="2" t="s">
        <v>27435</v>
      </c>
      <c r="D6392" s="2" t="str">
        <f>"7206264855"</f>
        <v>7206264855</v>
      </c>
      <c r="E6392" s="2" t="s">
        <v>385</v>
      </c>
      <c r="F6392" s="2" t="s">
        <v>15594</v>
      </c>
      <c r="G6392" s="2" t="str">
        <f>"SR-8111"</f>
        <v>SR-8111</v>
      </c>
      <c r="H6392" s="2" t="s">
        <v>27436</v>
      </c>
      <c r="I6392" s="2" t="s">
        <v>27437</v>
      </c>
      <c r="K6392" s="2" t="s">
        <v>1889</v>
      </c>
      <c r="L6392" s="2" t="s">
        <v>157</v>
      </c>
      <c r="M6392" s="2">
        <v>80124.0</v>
      </c>
      <c r="N6392" s="2" t="s">
        <v>21</v>
      </c>
    </row>
    <row r="6393" ht="15.75" customHeight="1">
      <c r="A6393" s="2">
        <v>2016.0</v>
      </c>
      <c r="B6393" s="2" t="s">
        <v>27438</v>
      </c>
      <c r="C6393" s="2" t="s">
        <v>27438</v>
      </c>
      <c r="D6393" s="2" t="str">
        <f>"7752175881"</f>
        <v>7752175881</v>
      </c>
      <c r="E6393" s="2" t="s">
        <v>1094</v>
      </c>
      <c r="F6393" s="2" t="s">
        <v>27439</v>
      </c>
      <c r="G6393" s="2" t="str">
        <f>"SR-8641"</f>
        <v>SR-8641</v>
      </c>
      <c r="H6393" s="2" t="s">
        <v>27440</v>
      </c>
      <c r="I6393" s="2" t="s">
        <v>27441</v>
      </c>
      <c r="K6393" s="2" t="s">
        <v>27442</v>
      </c>
      <c r="L6393" s="2" t="s">
        <v>1419</v>
      </c>
      <c r="M6393" s="2">
        <v>89406.0</v>
      </c>
      <c r="N6393" s="2" t="s">
        <v>21</v>
      </c>
    </row>
    <row r="6394" ht="15.75" customHeight="1">
      <c r="A6394" s="2">
        <v>2016.0</v>
      </c>
      <c r="B6394" s="2" t="s">
        <v>27443</v>
      </c>
      <c r="C6394" s="2" t="s">
        <v>27443</v>
      </c>
      <c r="D6394" s="2" t="str">
        <f>"7634023922"</f>
        <v>7634023922</v>
      </c>
      <c r="E6394" s="2" t="s">
        <v>27444</v>
      </c>
      <c r="F6394" s="2" t="s">
        <v>27445</v>
      </c>
      <c r="G6394" s="2" t="str">
        <f>"SR-7352"</f>
        <v>SR-7352</v>
      </c>
      <c r="H6394" s="2" t="s">
        <v>27446</v>
      </c>
      <c r="I6394" s="2" t="s">
        <v>27447</v>
      </c>
      <c r="K6394" s="2" t="s">
        <v>3037</v>
      </c>
      <c r="L6394" s="2" t="s">
        <v>62</v>
      </c>
      <c r="M6394" s="2">
        <v>55115.0</v>
      </c>
      <c r="N6394" s="2" t="s">
        <v>21</v>
      </c>
    </row>
    <row r="6395" ht="15.75" customHeight="1">
      <c r="A6395" s="2">
        <v>2016.0</v>
      </c>
      <c r="B6395" s="2" t="s">
        <v>27448</v>
      </c>
      <c r="C6395" s="2" t="s">
        <v>27448</v>
      </c>
      <c r="D6395" s="2" t="str">
        <f>"7757507074"</f>
        <v>7757507074</v>
      </c>
      <c r="E6395" s="2" t="s">
        <v>4300</v>
      </c>
      <c r="F6395" s="2" t="s">
        <v>27449</v>
      </c>
      <c r="G6395" s="2" t="str">
        <f>"SR-8645"</f>
        <v>SR-8645</v>
      </c>
      <c r="H6395" s="2" t="s">
        <v>27450</v>
      </c>
      <c r="I6395" s="2" t="s">
        <v>27451</v>
      </c>
      <c r="K6395" s="2" t="s">
        <v>3556</v>
      </c>
      <c r="L6395" s="2" t="s">
        <v>1419</v>
      </c>
      <c r="M6395" s="2">
        <v>89441.0</v>
      </c>
      <c r="N6395" s="2" t="s">
        <v>21</v>
      </c>
    </row>
    <row r="6396" ht="15.75" customHeight="1">
      <c r="A6396" s="2">
        <v>2016.0</v>
      </c>
      <c r="B6396" s="2" t="s">
        <v>20213</v>
      </c>
      <c r="C6396" s="2" t="s">
        <v>20214</v>
      </c>
      <c r="D6396" s="2" t="str">
        <f>"303-695-6109"</f>
        <v>303-695-6109</v>
      </c>
      <c r="E6396" s="2" t="s">
        <v>2361</v>
      </c>
      <c r="F6396" s="2" t="s">
        <v>6633</v>
      </c>
      <c r="G6396" s="2" t="str">
        <f>"SR-6250"</f>
        <v>SR-6250</v>
      </c>
      <c r="H6396" s="2" t="s">
        <v>20215</v>
      </c>
      <c r="I6396" s="2" t="s">
        <v>20216</v>
      </c>
      <c r="K6396" s="2" t="s">
        <v>1520</v>
      </c>
      <c r="L6396" s="2" t="s">
        <v>157</v>
      </c>
      <c r="M6396" s="2">
        <v>80012.0</v>
      </c>
      <c r="N6396" s="2" t="s">
        <v>21</v>
      </c>
    </row>
    <row r="6397" ht="15.75" customHeight="1">
      <c r="A6397" s="2">
        <v>2016.0</v>
      </c>
      <c r="B6397" s="2" t="s">
        <v>27452</v>
      </c>
      <c r="C6397" s="2" t="s">
        <v>27453</v>
      </c>
      <c r="D6397" s="2" t="str">
        <f>"480-794-0517"</f>
        <v>480-794-0517</v>
      </c>
      <c r="E6397" s="2" t="s">
        <v>7892</v>
      </c>
      <c r="F6397" s="2" t="s">
        <v>13033</v>
      </c>
      <c r="G6397" s="2" t="str">
        <f>"SR-8647"</f>
        <v>SR-8647</v>
      </c>
      <c r="H6397" s="2" t="s">
        <v>27454</v>
      </c>
      <c r="I6397" s="2" t="s">
        <v>27455</v>
      </c>
      <c r="J6397" s="2" t="s">
        <v>27456</v>
      </c>
      <c r="K6397" s="2" t="s">
        <v>1593</v>
      </c>
      <c r="L6397" s="2" t="s">
        <v>422</v>
      </c>
      <c r="M6397" s="2">
        <v>85258.0</v>
      </c>
      <c r="N6397" s="2" t="s">
        <v>21</v>
      </c>
    </row>
    <row r="6398" ht="15.75" customHeight="1">
      <c r="A6398" s="2">
        <v>2016.0</v>
      </c>
      <c r="B6398" s="2" t="s">
        <v>27457</v>
      </c>
      <c r="C6398" s="2" t="s">
        <v>27457</v>
      </c>
      <c r="D6398" s="2" t="str">
        <f>"6058911293"</f>
        <v>6058911293</v>
      </c>
      <c r="E6398" s="2" t="s">
        <v>1015</v>
      </c>
      <c r="F6398" s="2" t="s">
        <v>27458</v>
      </c>
      <c r="G6398" s="2" t="str">
        <f>"SR-8572"</f>
        <v>SR-8572</v>
      </c>
      <c r="H6398" s="2" t="s">
        <v>27459</v>
      </c>
      <c r="I6398" s="2" t="s">
        <v>27460</v>
      </c>
      <c r="K6398" s="2" t="s">
        <v>27461</v>
      </c>
      <c r="L6398" s="2" t="s">
        <v>920</v>
      </c>
      <c r="M6398" s="2">
        <v>57747.0</v>
      </c>
      <c r="N6398" s="2" t="s">
        <v>21</v>
      </c>
    </row>
    <row r="6399" ht="15.75" customHeight="1">
      <c r="A6399" s="2">
        <v>2016.0</v>
      </c>
      <c r="B6399" s="2" t="s">
        <v>27462</v>
      </c>
      <c r="C6399" s="2" t="s">
        <v>27462</v>
      </c>
      <c r="D6399" s="2" t="str">
        <f>"3177529581"</f>
        <v>3177529581</v>
      </c>
      <c r="E6399" s="2" t="s">
        <v>13386</v>
      </c>
      <c r="F6399" s="2" t="s">
        <v>27463</v>
      </c>
      <c r="G6399" s="2" t="str">
        <f>"SR-8648"</f>
        <v>SR-8648</v>
      </c>
      <c r="H6399" s="2" t="s">
        <v>27464</v>
      </c>
      <c r="I6399" s="2" t="s">
        <v>27465</v>
      </c>
      <c r="K6399" s="2" t="s">
        <v>17916</v>
      </c>
      <c r="L6399" s="2" t="s">
        <v>149</v>
      </c>
      <c r="M6399" s="2">
        <v>46122.0</v>
      </c>
      <c r="N6399" s="2" t="s">
        <v>21</v>
      </c>
    </row>
    <row r="6400" ht="15.75" customHeight="1">
      <c r="A6400" s="2">
        <v>2016.0</v>
      </c>
      <c r="B6400" s="2" t="s">
        <v>27466</v>
      </c>
      <c r="C6400" s="2" t="s">
        <v>27466</v>
      </c>
      <c r="D6400" s="2" t="str">
        <f>"587-987-4555"</f>
        <v>587-987-4555</v>
      </c>
      <c r="E6400" s="2" t="s">
        <v>690</v>
      </c>
      <c r="F6400" s="2" t="s">
        <v>27467</v>
      </c>
      <c r="G6400" s="2" t="str">
        <f>"SR-8502"</f>
        <v>SR-8502</v>
      </c>
      <c r="H6400" s="2" t="s">
        <v>27468</v>
      </c>
      <c r="I6400" s="2" t="s">
        <v>27469</v>
      </c>
      <c r="K6400" s="2" t="s">
        <v>13836</v>
      </c>
      <c r="L6400" s="2" t="s">
        <v>2397</v>
      </c>
      <c r="M6400" s="2" t="s">
        <v>27470</v>
      </c>
      <c r="N6400" s="2" t="s">
        <v>1602</v>
      </c>
    </row>
    <row r="6401" ht="15.75" customHeight="1">
      <c r="A6401" s="2">
        <v>2016.0</v>
      </c>
      <c r="B6401" s="2" t="s">
        <v>27471</v>
      </c>
      <c r="C6401" s="2" t="s">
        <v>27471</v>
      </c>
      <c r="D6401" s="2" t="str">
        <f>"7199303660"</f>
        <v>7199303660</v>
      </c>
      <c r="E6401" s="2" t="s">
        <v>27472</v>
      </c>
      <c r="F6401" s="2" t="s">
        <v>27473</v>
      </c>
      <c r="G6401" s="2" t="str">
        <f>"SR-8654"</f>
        <v>SR-8654</v>
      </c>
      <c r="H6401" s="2" t="s">
        <v>27474</v>
      </c>
      <c r="I6401" s="2" t="s">
        <v>27475</v>
      </c>
      <c r="K6401" s="2" t="s">
        <v>1862</v>
      </c>
      <c r="L6401" s="2" t="s">
        <v>157</v>
      </c>
      <c r="M6401" s="2">
        <v>80911.0</v>
      </c>
      <c r="N6401" s="2" t="s">
        <v>21</v>
      </c>
    </row>
    <row r="6402" ht="15.75" customHeight="1">
      <c r="A6402" s="2">
        <v>2016.0</v>
      </c>
      <c r="B6402" s="2" t="s">
        <v>27476</v>
      </c>
      <c r="D6402" s="2" t="str">
        <f>""</f>
        <v/>
      </c>
      <c r="E6402" s="2" t="s">
        <v>2243</v>
      </c>
      <c r="F6402" s="2" t="s">
        <v>108</v>
      </c>
      <c r="G6402" s="2" t="str">
        <f>"SR-8333"</f>
        <v>SR-8333</v>
      </c>
      <c r="H6402" s="2" t="s">
        <v>27477</v>
      </c>
      <c r="N6402" s="2" t="s">
        <v>21</v>
      </c>
    </row>
    <row r="6403" ht="15.75" customHeight="1">
      <c r="A6403" s="2">
        <v>2016.0</v>
      </c>
      <c r="B6403" s="2" t="s">
        <v>27478</v>
      </c>
      <c r="C6403" s="2" t="s">
        <v>27479</v>
      </c>
      <c r="D6403" s="2" t="str">
        <f>"9313073072"</f>
        <v>9313073072</v>
      </c>
      <c r="E6403" s="2" t="s">
        <v>339</v>
      </c>
      <c r="F6403" s="2" t="s">
        <v>7165</v>
      </c>
      <c r="G6403" s="2" t="str">
        <f>"SR-8642"</f>
        <v>SR-8642</v>
      </c>
      <c r="H6403" s="2" t="s">
        <v>27480</v>
      </c>
      <c r="I6403" s="2" t="s">
        <v>27481</v>
      </c>
      <c r="K6403" s="2" t="s">
        <v>3164</v>
      </c>
      <c r="L6403" s="2" t="s">
        <v>279</v>
      </c>
      <c r="M6403" s="2">
        <v>37334.0</v>
      </c>
      <c r="N6403" s="2" t="s">
        <v>21</v>
      </c>
    </row>
    <row r="6404" ht="15.75" customHeight="1">
      <c r="A6404" s="2">
        <v>2016.0</v>
      </c>
      <c r="B6404" s="2" t="s">
        <v>27482</v>
      </c>
      <c r="C6404" s="2" t="s">
        <v>27483</v>
      </c>
      <c r="D6404" s="2" t="str">
        <f>"6088506648"</f>
        <v>6088506648</v>
      </c>
      <c r="E6404" s="2" t="s">
        <v>27484</v>
      </c>
      <c r="F6404" s="2" t="s">
        <v>27485</v>
      </c>
      <c r="G6404" s="2" t="str">
        <f>"SR-8573"</f>
        <v>SR-8573</v>
      </c>
      <c r="H6404" s="2" t="s">
        <v>27486</v>
      </c>
      <c r="I6404" s="2" t="s">
        <v>27487</v>
      </c>
      <c r="K6404" s="2" t="s">
        <v>27488</v>
      </c>
      <c r="L6404" s="2" t="s">
        <v>193</v>
      </c>
      <c r="M6404" s="2">
        <v>53597.0</v>
      </c>
      <c r="N6404" s="2" t="s">
        <v>21</v>
      </c>
    </row>
    <row r="6405" ht="15.75" customHeight="1">
      <c r="A6405" s="2">
        <v>2016.0</v>
      </c>
      <c r="B6405" s="2" t="s">
        <v>27489</v>
      </c>
      <c r="C6405" s="2" t="s">
        <v>27490</v>
      </c>
      <c r="D6405" s="2" t="str">
        <f>"(402) 860-2652"</f>
        <v>(402) 860-2652</v>
      </c>
      <c r="E6405" s="2" t="s">
        <v>17971</v>
      </c>
      <c r="F6405" s="2" t="s">
        <v>27491</v>
      </c>
      <c r="G6405" s="2" t="str">
        <f>"SR-8565"</f>
        <v>SR-8565</v>
      </c>
      <c r="H6405" s="2" t="s">
        <v>27492</v>
      </c>
      <c r="I6405" s="2" t="s">
        <v>27493</v>
      </c>
      <c r="K6405" s="2" t="s">
        <v>27494</v>
      </c>
      <c r="L6405" s="2" t="s">
        <v>757</v>
      </c>
      <c r="M6405" s="2">
        <v>68758.0</v>
      </c>
      <c r="N6405" s="2" t="s">
        <v>21</v>
      </c>
    </row>
    <row r="6406" ht="15.75" customHeight="1">
      <c r="A6406" s="2">
        <v>2016.0</v>
      </c>
      <c r="B6406" s="2" t="s">
        <v>27495</v>
      </c>
      <c r="C6406" s="2" t="s">
        <v>27496</v>
      </c>
      <c r="D6406" s="2" t="str">
        <f>"4024972339"</f>
        <v>4024972339</v>
      </c>
      <c r="E6406" s="2" t="s">
        <v>2912</v>
      </c>
      <c r="F6406" s="2" t="s">
        <v>27497</v>
      </c>
      <c r="G6406" s="2" t="str">
        <f>"SR-8659"</f>
        <v>SR-8659</v>
      </c>
      <c r="H6406" s="2" t="s">
        <v>27498</v>
      </c>
      <c r="I6406" s="2" t="s">
        <v>27499</v>
      </c>
      <c r="K6406" s="2" t="s">
        <v>6527</v>
      </c>
      <c r="L6406" s="2" t="s">
        <v>757</v>
      </c>
      <c r="M6406" s="2">
        <v>68753.0</v>
      </c>
      <c r="N6406" s="2" t="s">
        <v>21</v>
      </c>
    </row>
    <row r="6407" ht="15.75" customHeight="1">
      <c r="A6407" s="2">
        <v>2016.0</v>
      </c>
      <c r="B6407" s="2" t="s">
        <v>8904</v>
      </c>
      <c r="C6407" s="2" t="s">
        <v>27500</v>
      </c>
      <c r="D6407" s="2" t="str">
        <f>"3192105312"</f>
        <v>3192105312</v>
      </c>
      <c r="E6407" s="2" t="s">
        <v>137</v>
      </c>
      <c r="F6407" s="2" t="s">
        <v>8906</v>
      </c>
      <c r="G6407" s="2" t="str">
        <f>"SR-8661"</f>
        <v>SR-8661</v>
      </c>
      <c r="H6407" s="2" t="s">
        <v>27501</v>
      </c>
      <c r="I6407" s="2" t="s">
        <v>8908</v>
      </c>
      <c r="K6407" s="2" t="s">
        <v>8909</v>
      </c>
      <c r="L6407" s="2" t="s">
        <v>560</v>
      </c>
      <c r="M6407" s="2">
        <v>52338.0</v>
      </c>
      <c r="N6407" s="2" t="s">
        <v>21</v>
      </c>
    </row>
    <row r="6408" ht="15.75" customHeight="1">
      <c r="A6408" s="2">
        <v>2016.0</v>
      </c>
      <c r="B6408" s="2" t="s">
        <v>21855</v>
      </c>
      <c r="C6408" s="2" t="s">
        <v>21856</v>
      </c>
      <c r="D6408" s="2" t="str">
        <f>"336-293-4866"</f>
        <v>336-293-4866</v>
      </c>
      <c r="E6408" s="2" t="s">
        <v>339</v>
      </c>
      <c r="F6408" s="2" t="s">
        <v>21857</v>
      </c>
      <c r="G6408" s="2" t="str">
        <f>"SR-6488"</f>
        <v>SR-6488</v>
      </c>
      <c r="H6408" s="2" t="s">
        <v>21858</v>
      </c>
      <c r="I6408" s="2" t="s">
        <v>21859</v>
      </c>
      <c r="K6408" s="2" t="s">
        <v>7630</v>
      </c>
      <c r="L6408" s="2" t="s">
        <v>20</v>
      </c>
      <c r="M6408" s="2">
        <v>27107.0</v>
      </c>
      <c r="N6408" s="2" t="s">
        <v>21</v>
      </c>
    </row>
    <row r="6409" ht="15.75" customHeight="1">
      <c r="A6409" s="2">
        <v>2016.0</v>
      </c>
      <c r="B6409" s="2" t="s">
        <v>27502</v>
      </c>
      <c r="C6409" s="2" t="s">
        <v>27503</v>
      </c>
      <c r="D6409" s="2" t="str">
        <f>"513-441-7127"</f>
        <v>513-441-7127</v>
      </c>
      <c r="E6409" s="2" t="s">
        <v>385</v>
      </c>
      <c r="F6409" s="2" t="s">
        <v>27504</v>
      </c>
      <c r="G6409" s="2" t="str">
        <f>"SR-8578"</f>
        <v>SR-8578</v>
      </c>
      <c r="H6409" s="2" t="s">
        <v>27505</v>
      </c>
      <c r="I6409" s="2" t="s">
        <v>27506</v>
      </c>
      <c r="K6409" s="2" t="s">
        <v>10119</v>
      </c>
      <c r="L6409" s="2" t="s">
        <v>344</v>
      </c>
      <c r="M6409" s="2">
        <v>45241.0</v>
      </c>
      <c r="N6409" s="2" t="s">
        <v>21</v>
      </c>
    </row>
    <row r="6410" ht="15.75" customHeight="1">
      <c r="A6410" s="2">
        <v>2016.0</v>
      </c>
      <c r="B6410" s="2" t="s">
        <v>27507</v>
      </c>
      <c r="C6410" s="2" t="s">
        <v>27507</v>
      </c>
      <c r="D6410" s="2" t="str">
        <f>"6365449833"</f>
        <v>6365449833</v>
      </c>
      <c r="E6410" s="2" t="s">
        <v>203</v>
      </c>
      <c r="F6410" s="2" t="s">
        <v>18542</v>
      </c>
      <c r="G6410" s="2" t="str">
        <f>"SR-7683"</f>
        <v>SR-7683</v>
      </c>
      <c r="H6410" s="2" t="s">
        <v>27508</v>
      </c>
      <c r="I6410" s="2" t="s">
        <v>27509</v>
      </c>
      <c r="K6410" s="2" t="s">
        <v>27510</v>
      </c>
      <c r="L6410" s="2" t="s">
        <v>214</v>
      </c>
      <c r="M6410" s="2">
        <v>63304.0</v>
      </c>
      <c r="N6410" s="2" t="s">
        <v>21</v>
      </c>
    </row>
    <row r="6411" ht="15.75" customHeight="1">
      <c r="A6411" s="2">
        <v>2016.0</v>
      </c>
      <c r="B6411" s="2" t="s">
        <v>27511</v>
      </c>
      <c r="C6411" s="2" t="s">
        <v>27512</v>
      </c>
      <c r="D6411" s="2" t="str">
        <f>"7194482344"</f>
        <v>7194482344</v>
      </c>
      <c r="E6411" s="2" t="s">
        <v>955</v>
      </c>
      <c r="F6411" s="2" t="s">
        <v>6655</v>
      </c>
      <c r="G6411" s="2" t="str">
        <f>"SR-8662"</f>
        <v>SR-8662</v>
      </c>
      <c r="H6411" s="2" t="s">
        <v>27513</v>
      </c>
      <c r="I6411" s="2" t="s">
        <v>22643</v>
      </c>
      <c r="K6411" s="2" t="s">
        <v>809</v>
      </c>
      <c r="L6411" s="2" t="s">
        <v>157</v>
      </c>
      <c r="M6411" s="2">
        <v>80921.0</v>
      </c>
      <c r="N6411" s="2" t="s">
        <v>21</v>
      </c>
    </row>
    <row r="6412" ht="15.75" customHeight="1">
      <c r="A6412" s="2">
        <v>2016.0</v>
      </c>
      <c r="B6412" s="2" t="s">
        <v>27514</v>
      </c>
      <c r="C6412" s="2" t="s">
        <v>27515</v>
      </c>
      <c r="D6412" s="2" t="str">
        <f>"352-321-7072"</f>
        <v>352-321-7072</v>
      </c>
      <c r="E6412" s="2" t="s">
        <v>4782</v>
      </c>
      <c r="F6412" s="2" t="s">
        <v>6413</v>
      </c>
      <c r="G6412" s="2" t="str">
        <f>"SR-8664"</f>
        <v>SR-8664</v>
      </c>
      <c r="H6412" s="2" t="s">
        <v>27516</v>
      </c>
      <c r="I6412" s="2" t="s">
        <v>27517</v>
      </c>
      <c r="K6412" s="2" t="s">
        <v>27518</v>
      </c>
      <c r="L6412" s="2" t="s">
        <v>208</v>
      </c>
      <c r="M6412" s="2">
        <v>34736.0</v>
      </c>
      <c r="N6412" s="2" t="s">
        <v>21</v>
      </c>
    </row>
    <row r="6413" ht="15.75" customHeight="1">
      <c r="A6413" s="2">
        <v>2016.0</v>
      </c>
      <c r="B6413" s="2" t="s">
        <v>21816</v>
      </c>
      <c r="C6413" s="2" t="s">
        <v>27519</v>
      </c>
      <c r="D6413" s="2" t="str">
        <f>"910-231-8786"</f>
        <v>910-231-8786</v>
      </c>
      <c r="E6413" s="2" t="s">
        <v>27520</v>
      </c>
      <c r="F6413" s="2" t="s">
        <v>27521</v>
      </c>
      <c r="G6413" s="2" t="str">
        <f>"SR-8205"</f>
        <v>SR-8205</v>
      </c>
      <c r="H6413" s="2" t="s">
        <v>27522</v>
      </c>
      <c r="I6413" s="2" t="s">
        <v>27523</v>
      </c>
      <c r="K6413" s="2" t="s">
        <v>11784</v>
      </c>
      <c r="L6413" s="2" t="s">
        <v>20</v>
      </c>
      <c r="M6413" s="2">
        <v>28411.0</v>
      </c>
      <c r="N6413" s="2" t="s">
        <v>21</v>
      </c>
    </row>
    <row r="6414" ht="15.75" customHeight="1">
      <c r="A6414" s="2">
        <v>2016.0</v>
      </c>
      <c r="B6414" s="2" t="s">
        <v>27524</v>
      </c>
      <c r="C6414" s="2" t="s">
        <v>27525</v>
      </c>
      <c r="D6414" s="2" t="str">
        <f>"704-843-5325"</f>
        <v>704-843-5325</v>
      </c>
      <c r="E6414" s="2" t="s">
        <v>4300</v>
      </c>
      <c r="F6414" s="2" t="s">
        <v>4484</v>
      </c>
      <c r="G6414" s="2" t="str">
        <f>"SR-8660"</f>
        <v>SR-8660</v>
      </c>
      <c r="H6414" s="2" t="s">
        <v>27526</v>
      </c>
      <c r="I6414" s="2" t="s">
        <v>27527</v>
      </c>
      <c r="K6414" s="2" t="s">
        <v>4304</v>
      </c>
      <c r="L6414" s="2" t="s">
        <v>20</v>
      </c>
      <c r="M6414" s="2">
        <v>28173.0</v>
      </c>
      <c r="N6414" s="2" t="s">
        <v>21</v>
      </c>
    </row>
    <row r="6415" ht="15.75" customHeight="1">
      <c r="A6415" s="2">
        <v>2016.0</v>
      </c>
      <c r="B6415" s="2" t="s">
        <v>27528</v>
      </c>
      <c r="C6415" s="2" t="s">
        <v>27528</v>
      </c>
      <c r="D6415" s="2" t="str">
        <f>"9126567514"</f>
        <v>9126567514</v>
      </c>
      <c r="E6415" s="2" t="s">
        <v>2841</v>
      </c>
      <c r="F6415" s="2" t="s">
        <v>25366</v>
      </c>
      <c r="G6415" s="2" t="str">
        <f>"SR-8056"</f>
        <v>SR-8056</v>
      </c>
      <c r="H6415" s="2" t="s">
        <v>27529</v>
      </c>
      <c r="I6415" s="2" t="s">
        <v>27530</v>
      </c>
      <c r="K6415" s="2" t="s">
        <v>7831</v>
      </c>
      <c r="L6415" s="2" t="s">
        <v>200</v>
      </c>
      <c r="M6415" s="2">
        <v>31322.0</v>
      </c>
      <c r="N6415" s="2" t="s">
        <v>21</v>
      </c>
    </row>
    <row r="6416" ht="15.75" customHeight="1">
      <c r="A6416" s="2">
        <v>2016.0</v>
      </c>
      <c r="B6416" s="2" t="s">
        <v>22640</v>
      </c>
      <c r="C6416" s="2" t="s">
        <v>22641</v>
      </c>
      <c r="D6416" s="2" t="str">
        <f>"7194882344"</f>
        <v>7194882344</v>
      </c>
      <c r="E6416" s="2" t="s">
        <v>144</v>
      </c>
      <c r="F6416" s="2" t="s">
        <v>6655</v>
      </c>
      <c r="G6416" s="2" t="str">
        <f>"SR-6945"</f>
        <v>SR-6945</v>
      </c>
      <c r="H6416" s="2" t="s">
        <v>22642</v>
      </c>
      <c r="I6416" s="2" t="s">
        <v>22643</v>
      </c>
      <c r="K6416" s="2" t="s">
        <v>809</v>
      </c>
      <c r="L6416" s="2" t="s">
        <v>157</v>
      </c>
      <c r="M6416" s="2">
        <v>80921.0</v>
      </c>
      <c r="N6416" s="2" t="s">
        <v>21</v>
      </c>
    </row>
    <row r="6417" ht="15.75" customHeight="1">
      <c r="A6417" s="2">
        <v>2016.0</v>
      </c>
      <c r="B6417" s="2" t="s">
        <v>27531</v>
      </c>
      <c r="C6417" s="2" t="s">
        <v>27532</v>
      </c>
      <c r="D6417" s="2" t="str">
        <f>"704-999-0369"</f>
        <v>704-999-0369</v>
      </c>
      <c r="E6417" s="2" t="s">
        <v>5760</v>
      </c>
      <c r="F6417" s="2" t="s">
        <v>27533</v>
      </c>
      <c r="G6417" s="2" t="str">
        <f>"SR-8635"</f>
        <v>SR-8635</v>
      </c>
      <c r="H6417" s="2" t="s">
        <v>27534</v>
      </c>
      <c r="I6417" s="2" t="s">
        <v>27535</v>
      </c>
      <c r="K6417" s="2" t="s">
        <v>27536</v>
      </c>
      <c r="L6417" s="2" t="s">
        <v>172</v>
      </c>
      <c r="M6417" s="2">
        <v>78642.0</v>
      </c>
      <c r="N6417" s="2" t="s">
        <v>21</v>
      </c>
    </row>
    <row r="6418" ht="15.75" customHeight="1">
      <c r="A6418" s="2">
        <v>2016.0</v>
      </c>
      <c r="B6418" s="2" t="s">
        <v>27537</v>
      </c>
      <c r="C6418" s="2" t="s">
        <v>27537</v>
      </c>
      <c r="D6418" s="2" t="str">
        <f>"6156724730"</f>
        <v>6156724730</v>
      </c>
      <c r="E6418" s="2" t="s">
        <v>843</v>
      </c>
      <c r="F6418" s="2" t="s">
        <v>27538</v>
      </c>
      <c r="G6418" s="2" t="str">
        <f>"SR-5974"</f>
        <v>SR-5974</v>
      </c>
      <c r="H6418" s="2" t="s">
        <v>27539</v>
      </c>
      <c r="I6418" s="2" t="s">
        <v>27540</v>
      </c>
      <c r="K6418" s="2" t="s">
        <v>27541</v>
      </c>
      <c r="L6418" s="2" t="s">
        <v>279</v>
      </c>
      <c r="M6418" s="2">
        <v>37072.0</v>
      </c>
      <c r="N6418" s="2" t="s">
        <v>21</v>
      </c>
    </row>
    <row r="6419" ht="15.75" customHeight="1">
      <c r="A6419" s="2">
        <v>2016.0</v>
      </c>
      <c r="B6419" s="2" t="s">
        <v>22999</v>
      </c>
      <c r="C6419" s="2" t="s">
        <v>23000</v>
      </c>
      <c r="D6419" s="2" t="str">
        <f>"(325) 896-2299"</f>
        <v>(325) 896-2299</v>
      </c>
      <c r="E6419" s="2" t="s">
        <v>7046</v>
      </c>
      <c r="F6419" s="2" t="s">
        <v>23001</v>
      </c>
      <c r="G6419" s="2" t="str">
        <f>"SR-7064"</f>
        <v>SR-7064</v>
      </c>
      <c r="H6419" s="2" t="s">
        <v>23002</v>
      </c>
      <c r="I6419" s="2" t="s">
        <v>23003</v>
      </c>
      <c r="K6419" s="2" t="s">
        <v>23004</v>
      </c>
      <c r="L6419" s="2" t="s">
        <v>172</v>
      </c>
      <c r="M6419" s="2">
        <v>76935.0</v>
      </c>
      <c r="N6419" s="2" t="s">
        <v>21</v>
      </c>
    </row>
    <row r="6420" ht="15.75" customHeight="1">
      <c r="A6420" s="2">
        <v>2016.0</v>
      </c>
      <c r="B6420" s="2" t="s">
        <v>27542</v>
      </c>
      <c r="C6420" s="2" t="s">
        <v>27543</v>
      </c>
      <c r="D6420" s="2" t="str">
        <f>"9705892763"</f>
        <v>9705892763</v>
      </c>
      <c r="E6420" s="2" t="s">
        <v>27544</v>
      </c>
      <c r="F6420" s="2" t="s">
        <v>199</v>
      </c>
      <c r="G6420" s="2" t="str">
        <f>"SR-8412"</f>
        <v>SR-8412</v>
      </c>
      <c r="H6420" s="2" t="s">
        <v>27545</v>
      </c>
      <c r="I6420" s="2" t="s">
        <v>27546</v>
      </c>
      <c r="K6420" s="2" t="s">
        <v>27547</v>
      </c>
      <c r="L6420" s="2" t="s">
        <v>157</v>
      </c>
      <c r="M6420" s="2">
        <v>81416.0</v>
      </c>
      <c r="N6420" s="2" t="s">
        <v>21</v>
      </c>
    </row>
    <row r="6421" ht="15.75" customHeight="1">
      <c r="A6421" s="2">
        <v>2016.0</v>
      </c>
      <c r="B6421" s="2" t="s">
        <v>27548</v>
      </c>
      <c r="C6421" s="2" t="s">
        <v>27548</v>
      </c>
      <c r="D6421" s="2" t="str">
        <f>"931-200-2905"</f>
        <v>931-200-2905</v>
      </c>
      <c r="E6421" s="2" t="s">
        <v>27549</v>
      </c>
      <c r="F6421" s="2" t="s">
        <v>27550</v>
      </c>
      <c r="G6421" s="2" t="str">
        <f>"SR-8525"</f>
        <v>SR-8525</v>
      </c>
      <c r="H6421" s="2" t="s">
        <v>27551</v>
      </c>
      <c r="I6421" s="2" t="s">
        <v>27552</v>
      </c>
      <c r="K6421" s="2" t="s">
        <v>16670</v>
      </c>
      <c r="L6421" s="2" t="s">
        <v>279</v>
      </c>
      <c r="M6421" s="2">
        <v>38555.0</v>
      </c>
      <c r="N6421" s="2" t="s">
        <v>21</v>
      </c>
    </row>
    <row r="6422" ht="15.75" customHeight="1">
      <c r="A6422" s="2">
        <v>2016.0</v>
      </c>
      <c r="B6422" s="2" t="s">
        <v>27553</v>
      </c>
      <c r="C6422" s="2" t="s">
        <v>27554</v>
      </c>
      <c r="D6422" s="2" t="str">
        <f>"615-788-2124"</f>
        <v>615-788-2124</v>
      </c>
      <c r="E6422" s="2" t="s">
        <v>441</v>
      </c>
      <c r="F6422" s="2" t="s">
        <v>1859</v>
      </c>
      <c r="G6422" s="2" t="str">
        <f>"SR-8674"</f>
        <v>SR-8674</v>
      </c>
      <c r="H6422" s="2" t="s">
        <v>27555</v>
      </c>
      <c r="I6422" s="2" t="s">
        <v>27556</v>
      </c>
      <c r="K6422" s="2" t="s">
        <v>27557</v>
      </c>
      <c r="L6422" s="2" t="s">
        <v>279</v>
      </c>
      <c r="M6422" s="2">
        <v>37051.0</v>
      </c>
      <c r="N6422" s="2" t="s">
        <v>21</v>
      </c>
    </row>
    <row r="6423" ht="15.75" customHeight="1">
      <c r="A6423" s="2">
        <v>2016.0</v>
      </c>
      <c r="B6423" s="2" t="s">
        <v>22999</v>
      </c>
      <c r="C6423" s="2" t="s">
        <v>23005</v>
      </c>
      <c r="D6423" s="2" t="str">
        <f>"325-896-2299"</f>
        <v>325-896-2299</v>
      </c>
      <c r="E6423" s="2" t="s">
        <v>160</v>
      </c>
      <c r="F6423" s="2" t="s">
        <v>23001</v>
      </c>
      <c r="G6423" s="2" t="str">
        <f>"SR-7065"</f>
        <v>SR-7065</v>
      </c>
      <c r="H6423" s="2" t="s">
        <v>23006</v>
      </c>
      <c r="I6423" s="2" t="s">
        <v>23003</v>
      </c>
      <c r="K6423" s="2" t="s">
        <v>23004</v>
      </c>
      <c r="L6423" s="2" t="s">
        <v>172</v>
      </c>
      <c r="M6423" s="2">
        <v>76935.0</v>
      </c>
      <c r="N6423" s="2" t="s">
        <v>21</v>
      </c>
    </row>
    <row r="6424" ht="15.75" customHeight="1">
      <c r="A6424" s="2">
        <v>2016.0</v>
      </c>
      <c r="B6424" s="2" t="s">
        <v>27558</v>
      </c>
      <c r="C6424" s="2" t="s">
        <v>27559</v>
      </c>
      <c r="D6424" s="2" t="str">
        <f>"8646380344"</f>
        <v>8646380344</v>
      </c>
      <c r="E6424" s="2" t="s">
        <v>22235</v>
      </c>
      <c r="F6424" s="2" t="s">
        <v>26681</v>
      </c>
      <c r="G6424" s="2" t="str">
        <f>"SR-8673"</f>
        <v>SR-8673</v>
      </c>
      <c r="H6424" s="2" t="s">
        <v>27560</v>
      </c>
      <c r="I6424" s="2" t="s">
        <v>27561</v>
      </c>
      <c r="K6424" s="2" t="s">
        <v>27562</v>
      </c>
      <c r="L6424" s="2" t="s">
        <v>55</v>
      </c>
      <c r="M6424" s="2">
        <v>29691.0</v>
      </c>
      <c r="N6424" s="2" t="s">
        <v>21</v>
      </c>
    </row>
    <row r="6425" ht="15.75" customHeight="1">
      <c r="A6425" s="2">
        <v>2016.0</v>
      </c>
      <c r="B6425" s="2" t="s">
        <v>26996</v>
      </c>
      <c r="C6425" s="2" t="s">
        <v>27563</v>
      </c>
      <c r="D6425" s="2" t="str">
        <f>"9204212242"</f>
        <v>9204212242</v>
      </c>
      <c r="E6425" s="2" t="s">
        <v>6381</v>
      </c>
      <c r="F6425" s="2" t="s">
        <v>27564</v>
      </c>
      <c r="G6425" s="2" t="str">
        <f>"SR-8444"</f>
        <v>SR-8444</v>
      </c>
      <c r="H6425" s="2" t="s">
        <v>27565</v>
      </c>
      <c r="I6425" s="2" t="s">
        <v>27566</v>
      </c>
      <c r="K6425" s="2" t="s">
        <v>27000</v>
      </c>
      <c r="L6425" s="2" t="s">
        <v>193</v>
      </c>
      <c r="M6425" s="2">
        <v>54210.0</v>
      </c>
      <c r="N6425" s="2" t="s">
        <v>21</v>
      </c>
    </row>
    <row r="6426" ht="15.75" customHeight="1">
      <c r="A6426" s="2">
        <v>2016.0</v>
      </c>
      <c r="B6426" s="2" t="s">
        <v>27567</v>
      </c>
      <c r="C6426" s="2" t="s">
        <v>27567</v>
      </c>
      <c r="D6426" s="2" t="str">
        <f>"817-808-1329"</f>
        <v>817-808-1329</v>
      </c>
      <c r="E6426" s="2" t="s">
        <v>4935</v>
      </c>
      <c r="F6426" s="2" t="s">
        <v>7537</v>
      </c>
      <c r="G6426" s="2" t="str">
        <f>"SR-8676"</f>
        <v>SR-8676</v>
      </c>
      <c r="H6426" s="2" t="s">
        <v>27568</v>
      </c>
      <c r="I6426" s="2" t="s">
        <v>27569</v>
      </c>
      <c r="K6426" s="2" t="s">
        <v>1260</v>
      </c>
      <c r="L6426" s="2" t="s">
        <v>172</v>
      </c>
      <c r="M6426" s="2">
        <v>76244.0</v>
      </c>
      <c r="N6426" s="2" t="s">
        <v>21</v>
      </c>
    </row>
    <row r="6427" ht="15.75" customHeight="1">
      <c r="A6427" s="2">
        <v>2016.0</v>
      </c>
      <c r="B6427" s="2" t="s">
        <v>27570</v>
      </c>
      <c r="C6427" s="2" t="s">
        <v>27570</v>
      </c>
      <c r="D6427" s="2" t="str">
        <f>"4023691616"</f>
        <v>4023691616</v>
      </c>
      <c r="E6427" s="2" t="s">
        <v>4769</v>
      </c>
      <c r="F6427" s="2" t="s">
        <v>15168</v>
      </c>
      <c r="G6427" s="2" t="str">
        <f>"SR-8501"</f>
        <v>SR-8501</v>
      </c>
      <c r="H6427" s="2" t="s">
        <v>27571</v>
      </c>
      <c r="I6427" s="2" t="s">
        <v>27572</v>
      </c>
      <c r="K6427" s="2" t="s">
        <v>23987</v>
      </c>
      <c r="L6427" s="2" t="s">
        <v>757</v>
      </c>
      <c r="M6427" s="2">
        <v>68787.0</v>
      </c>
      <c r="N6427" s="2" t="s">
        <v>21</v>
      </c>
    </row>
    <row r="6428" ht="15.75" customHeight="1">
      <c r="A6428" s="2">
        <v>2016.0</v>
      </c>
      <c r="B6428" s="2" t="s">
        <v>27573</v>
      </c>
      <c r="D6428" s="2" t="str">
        <f>""</f>
        <v/>
      </c>
      <c r="E6428" s="2" t="s">
        <v>27574</v>
      </c>
      <c r="F6428" s="2" t="s">
        <v>718</v>
      </c>
      <c r="G6428" s="2" t="str">
        <f>"SR-8665"</f>
        <v>SR-8665</v>
      </c>
      <c r="H6428" s="2" t="s">
        <v>27575</v>
      </c>
    </row>
    <row r="6429" ht="15.75" customHeight="1">
      <c r="A6429" s="2">
        <v>2016.0</v>
      </c>
      <c r="B6429" s="2" t="s">
        <v>27576</v>
      </c>
      <c r="C6429" s="2" t="s">
        <v>27577</v>
      </c>
      <c r="D6429" s="2" t="str">
        <f>"715-415-2777"</f>
        <v>715-415-2777</v>
      </c>
      <c r="E6429" s="2" t="s">
        <v>908</v>
      </c>
      <c r="F6429" s="2" t="s">
        <v>3445</v>
      </c>
      <c r="G6429" s="2" t="str">
        <f>"SR-8675"</f>
        <v>SR-8675</v>
      </c>
      <c r="H6429" s="2" t="s">
        <v>27578</v>
      </c>
      <c r="I6429" s="2" t="s">
        <v>27579</v>
      </c>
      <c r="K6429" s="2" t="s">
        <v>27580</v>
      </c>
      <c r="L6429" s="2" t="s">
        <v>193</v>
      </c>
      <c r="M6429" s="2">
        <v>54526.0</v>
      </c>
      <c r="N6429" s="2" t="s">
        <v>21</v>
      </c>
    </row>
    <row r="6430" ht="15.75" customHeight="1">
      <c r="A6430" s="2">
        <v>2016.0</v>
      </c>
      <c r="B6430" s="2" t="s">
        <v>27581</v>
      </c>
      <c r="C6430" s="2" t="s">
        <v>27582</v>
      </c>
      <c r="D6430" s="2" t="str">
        <f>"3165227178"</f>
        <v>3165227178</v>
      </c>
      <c r="E6430" s="2" t="s">
        <v>4206</v>
      </c>
      <c r="F6430" s="2" t="s">
        <v>4120</v>
      </c>
      <c r="G6430" s="2" t="str">
        <f>"SR-8160"</f>
        <v>SR-8160</v>
      </c>
      <c r="H6430" s="2" t="s">
        <v>27583</v>
      </c>
      <c r="I6430" s="2" t="s">
        <v>27584</v>
      </c>
      <c r="K6430" s="2" t="s">
        <v>3716</v>
      </c>
      <c r="L6430" s="2" t="s">
        <v>272</v>
      </c>
      <c r="M6430" s="2">
        <v>67120.0</v>
      </c>
      <c r="N6430" s="2" t="s">
        <v>21</v>
      </c>
    </row>
    <row r="6431" ht="15.75" customHeight="1">
      <c r="A6431" s="2">
        <v>2016.0</v>
      </c>
      <c r="B6431" s="2" t="s">
        <v>27585</v>
      </c>
      <c r="C6431" s="2" t="s">
        <v>27585</v>
      </c>
      <c r="D6431" s="2" t="str">
        <f>"843-415-3925"</f>
        <v>843-415-3925</v>
      </c>
      <c r="E6431" s="2" t="s">
        <v>50</v>
      </c>
      <c r="F6431" s="2" t="s">
        <v>27586</v>
      </c>
      <c r="G6431" s="2" t="str">
        <f>"SR-8679"</f>
        <v>SR-8679</v>
      </c>
      <c r="H6431" s="2" t="s">
        <v>27587</v>
      </c>
      <c r="I6431" s="2" t="s">
        <v>27588</v>
      </c>
      <c r="K6431" s="2" t="s">
        <v>5724</v>
      </c>
      <c r="L6431" s="2" t="s">
        <v>55</v>
      </c>
      <c r="M6431" s="2">
        <v>29926.0</v>
      </c>
      <c r="N6431" s="2" t="s">
        <v>21</v>
      </c>
    </row>
    <row r="6432" ht="15.75" customHeight="1">
      <c r="A6432" s="2">
        <v>2016.0</v>
      </c>
      <c r="B6432" s="2" t="s">
        <v>27576</v>
      </c>
      <c r="C6432" s="2" t="s">
        <v>27589</v>
      </c>
      <c r="D6432" s="2" t="str">
        <f>"715-415-2777"</f>
        <v>715-415-2777</v>
      </c>
      <c r="E6432" s="2" t="s">
        <v>1548</v>
      </c>
      <c r="F6432" s="2" t="s">
        <v>3445</v>
      </c>
      <c r="G6432" s="2" t="str">
        <f>"SR-8680"</f>
        <v>SR-8680</v>
      </c>
      <c r="H6432" s="2" t="s">
        <v>27590</v>
      </c>
      <c r="I6432" s="2" t="s">
        <v>27579</v>
      </c>
      <c r="K6432" s="2" t="s">
        <v>27580</v>
      </c>
      <c r="L6432" s="2" t="s">
        <v>193</v>
      </c>
      <c r="M6432" s="2">
        <v>54526.0</v>
      </c>
      <c r="N6432" s="2" t="s">
        <v>21</v>
      </c>
    </row>
    <row r="6433" ht="15.75" customHeight="1">
      <c r="A6433" s="2">
        <v>2016.0</v>
      </c>
      <c r="B6433" s="2" t="s">
        <v>27591</v>
      </c>
      <c r="C6433" s="2" t="s">
        <v>27592</v>
      </c>
      <c r="D6433" s="2" t="str">
        <f>"865-363-4121"</f>
        <v>865-363-4121</v>
      </c>
      <c r="E6433" s="2" t="s">
        <v>137</v>
      </c>
      <c r="F6433" s="2" t="s">
        <v>2753</v>
      </c>
      <c r="G6433" s="2" t="str">
        <f>"SR-8566"</f>
        <v>SR-8566</v>
      </c>
      <c r="H6433" s="2" t="s">
        <v>27593</v>
      </c>
      <c r="I6433" s="2" t="s">
        <v>27594</v>
      </c>
      <c r="K6433" s="2" t="s">
        <v>6168</v>
      </c>
      <c r="L6433" s="2" t="s">
        <v>279</v>
      </c>
      <c r="M6433" s="2">
        <v>37931.0</v>
      </c>
      <c r="N6433" s="2" t="s">
        <v>21</v>
      </c>
    </row>
    <row r="6434" ht="15.75" customHeight="1">
      <c r="A6434" s="2">
        <v>2016.0</v>
      </c>
      <c r="B6434" s="2" t="s">
        <v>27595</v>
      </c>
      <c r="C6434" s="2" t="s">
        <v>27595</v>
      </c>
      <c r="D6434" s="2" t="str">
        <f>"970-201-6882"</f>
        <v>970-201-6882</v>
      </c>
      <c r="E6434" s="2" t="s">
        <v>3668</v>
      </c>
      <c r="F6434" s="2" t="s">
        <v>26248</v>
      </c>
      <c r="G6434" s="2" t="str">
        <f>"SR-8643"</f>
        <v>SR-8643</v>
      </c>
      <c r="H6434" s="2" t="s">
        <v>27596</v>
      </c>
      <c r="I6434" s="2" t="s">
        <v>27597</v>
      </c>
      <c r="K6434" s="2" t="s">
        <v>8681</v>
      </c>
      <c r="L6434" s="2" t="s">
        <v>157</v>
      </c>
      <c r="M6434" s="2">
        <v>81418.0</v>
      </c>
      <c r="N6434" s="2" t="s">
        <v>21</v>
      </c>
    </row>
    <row r="6435" ht="15.75" customHeight="1">
      <c r="A6435" s="2">
        <v>2016.0</v>
      </c>
      <c r="B6435" s="2" t="s">
        <v>27598</v>
      </c>
      <c r="C6435" s="2" t="s">
        <v>27598</v>
      </c>
      <c r="D6435" s="2" t="str">
        <f>"6202299804"</f>
        <v>6202299804</v>
      </c>
      <c r="E6435" s="2" t="s">
        <v>217</v>
      </c>
      <c r="F6435" s="2" t="s">
        <v>256</v>
      </c>
      <c r="G6435" s="2" t="str">
        <f>"SR-8274"</f>
        <v>SR-8274</v>
      </c>
      <c r="H6435" s="2" t="s">
        <v>18110</v>
      </c>
      <c r="I6435" s="2">
        <v>11251.0</v>
      </c>
      <c r="K6435" s="2" t="s">
        <v>3530</v>
      </c>
      <c r="L6435" s="2" t="s">
        <v>272</v>
      </c>
      <c r="M6435" s="2">
        <v>67156.0</v>
      </c>
      <c r="N6435" s="2" t="s">
        <v>21</v>
      </c>
    </row>
    <row r="6436" ht="15.75" customHeight="1">
      <c r="A6436" s="2">
        <v>2016.0</v>
      </c>
      <c r="B6436" s="2" t="s">
        <v>27599</v>
      </c>
      <c r="C6436" s="2" t="s">
        <v>27599</v>
      </c>
      <c r="D6436" s="2" t="str">
        <f>"7177335500"</f>
        <v>7177335500</v>
      </c>
      <c r="E6436" s="2" t="s">
        <v>43</v>
      </c>
      <c r="F6436" s="2" t="s">
        <v>7637</v>
      </c>
      <c r="G6436" s="2" t="str">
        <f>"SR-8607"</f>
        <v>SR-8607</v>
      </c>
      <c r="H6436" s="2" t="s">
        <v>27600</v>
      </c>
      <c r="I6436" s="2" t="s">
        <v>27601</v>
      </c>
      <c r="K6436" s="2" t="s">
        <v>27602</v>
      </c>
      <c r="L6436" s="2" t="s">
        <v>179</v>
      </c>
      <c r="M6436" s="2">
        <v>17543.0</v>
      </c>
      <c r="N6436" s="2" t="s">
        <v>21</v>
      </c>
    </row>
    <row r="6437" ht="15.75" customHeight="1">
      <c r="A6437" s="2">
        <v>2016.0</v>
      </c>
      <c r="B6437" s="2" t="s">
        <v>27603</v>
      </c>
      <c r="C6437" s="2" t="s">
        <v>27604</v>
      </c>
      <c r="D6437" s="2" t="str">
        <f>"417-274-3122"</f>
        <v>417-274-3122</v>
      </c>
      <c r="E6437" s="2" t="s">
        <v>862</v>
      </c>
      <c r="F6437" s="2" t="s">
        <v>27605</v>
      </c>
      <c r="G6437" s="2" t="str">
        <f>"SR-8583"</f>
        <v>SR-8583</v>
      </c>
      <c r="H6437" s="2" t="s">
        <v>27606</v>
      </c>
      <c r="I6437" s="2" t="s">
        <v>27607</v>
      </c>
      <c r="K6437" s="2" t="s">
        <v>229</v>
      </c>
      <c r="L6437" s="2" t="s">
        <v>214</v>
      </c>
      <c r="M6437" s="2">
        <v>65775.0</v>
      </c>
      <c r="N6437" s="2" t="s">
        <v>21</v>
      </c>
    </row>
    <row r="6438" ht="15.75" customHeight="1">
      <c r="A6438" s="2">
        <v>2016.0</v>
      </c>
      <c r="B6438" s="2" t="s">
        <v>26996</v>
      </c>
      <c r="C6438" s="2" t="s">
        <v>27608</v>
      </c>
      <c r="D6438" s="2" t="str">
        <f>"9208540010"</f>
        <v>9208540010</v>
      </c>
      <c r="E6438" s="2" t="s">
        <v>15112</v>
      </c>
      <c r="F6438" s="2" t="s">
        <v>27609</v>
      </c>
      <c r="G6438" s="2" t="str">
        <f>"SR-8452"</f>
        <v>SR-8452</v>
      </c>
      <c r="H6438" s="2" t="s">
        <v>27610</v>
      </c>
      <c r="I6438" s="2" t="s">
        <v>27611</v>
      </c>
      <c r="K6438" s="2" t="s">
        <v>27612</v>
      </c>
      <c r="L6438" s="2" t="s">
        <v>193</v>
      </c>
      <c r="M6438" s="2">
        <v>54234.0</v>
      </c>
      <c r="N6438" s="2" t="s">
        <v>21</v>
      </c>
    </row>
    <row r="6439" ht="15.75" customHeight="1">
      <c r="A6439" s="2">
        <v>2016.0</v>
      </c>
      <c r="B6439" s="2" t="s">
        <v>20974</v>
      </c>
      <c r="D6439" s="2" t="str">
        <f>""</f>
        <v/>
      </c>
      <c r="E6439" s="2" t="s">
        <v>14988</v>
      </c>
      <c r="F6439" s="2" t="s">
        <v>81</v>
      </c>
      <c r="G6439" s="2" t="str">
        <f>"SR-6070"</f>
        <v>SR-6070</v>
      </c>
      <c r="H6439" s="2" t="s">
        <v>20975</v>
      </c>
      <c r="N6439" s="2" t="s">
        <v>21</v>
      </c>
    </row>
    <row r="6440" ht="15.75" customHeight="1">
      <c r="A6440" s="2">
        <v>2016.0</v>
      </c>
      <c r="B6440" s="2" t="s">
        <v>27613</v>
      </c>
      <c r="C6440" s="2" t="s">
        <v>27614</v>
      </c>
      <c r="D6440" s="2" t="str">
        <f>"702-328-0838"</f>
        <v>702-328-0838</v>
      </c>
      <c r="E6440" s="2" t="s">
        <v>137</v>
      </c>
      <c r="F6440" s="2" t="s">
        <v>27615</v>
      </c>
      <c r="G6440" s="2" t="str">
        <f>"SR-8678"</f>
        <v>SR-8678</v>
      </c>
      <c r="H6440" s="2" t="s">
        <v>27616</v>
      </c>
      <c r="I6440" s="2" t="s">
        <v>27617</v>
      </c>
      <c r="K6440" s="2" t="s">
        <v>27618</v>
      </c>
      <c r="L6440" s="2" t="s">
        <v>1419</v>
      </c>
      <c r="M6440" s="2">
        <v>89142.0</v>
      </c>
      <c r="N6440" s="2" t="s">
        <v>21</v>
      </c>
    </row>
    <row r="6441" ht="15.75" customHeight="1">
      <c r="A6441" s="2">
        <v>2016.0</v>
      </c>
      <c r="B6441" s="2" t="s">
        <v>27619</v>
      </c>
      <c r="C6441" s="2" t="s">
        <v>27620</v>
      </c>
      <c r="D6441" s="2" t="str">
        <f>"7018335661"</f>
        <v>7018335661</v>
      </c>
      <c r="E6441" s="2" t="s">
        <v>43</v>
      </c>
      <c r="F6441" s="2" t="s">
        <v>27621</v>
      </c>
      <c r="G6441" s="2" t="str">
        <f>"SR-8682"</f>
        <v>SR-8682</v>
      </c>
      <c r="H6441" s="2" t="s">
        <v>27622</v>
      </c>
      <c r="I6441" s="2" t="s">
        <v>27623</v>
      </c>
      <c r="K6441" s="2" t="s">
        <v>5965</v>
      </c>
      <c r="L6441" s="2" t="s">
        <v>2534</v>
      </c>
      <c r="M6441" s="2">
        <v>58701.0</v>
      </c>
      <c r="N6441" s="2" t="s">
        <v>21</v>
      </c>
    </row>
    <row r="6442" ht="15.75" customHeight="1">
      <c r="A6442" s="2">
        <v>2016.0</v>
      </c>
      <c r="B6442" s="2" t="s">
        <v>13369</v>
      </c>
      <c r="C6442" s="2" t="s">
        <v>27624</v>
      </c>
      <c r="D6442" s="2" t="str">
        <f>"850 544-4429"</f>
        <v>850 544-4429</v>
      </c>
      <c r="E6442" s="2" t="s">
        <v>5542</v>
      </c>
      <c r="F6442" s="2" t="s">
        <v>13371</v>
      </c>
      <c r="G6442" s="2" t="str">
        <f>"SR-8683"</f>
        <v>SR-8683</v>
      </c>
      <c r="H6442" s="2" t="s">
        <v>27625</v>
      </c>
      <c r="I6442" s="2" t="s">
        <v>27626</v>
      </c>
      <c r="K6442" s="2" t="s">
        <v>2007</v>
      </c>
      <c r="L6442" s="2" t="s">
        <v>208</v>
      </c>
      <c r="M6442" s="2">
        <v>32309.0</v>
      </c>
      <c r="N6442" s="2" t="s">
        <v>21</v>
      </c>
    </row>
    <row r="6443" ht="15.75" customHeight="1">
      <c r="A6443" s="2">
        <v>2016.0</v>
      </c>
      <c r="B6443" s="2" t="s">
        <v>27627</v>
      </c>
      <c r="C6443" s="2" t="s">
        <v>27628</v>
      </c>
      <c r="D6443" s="2" t="str">
        <f>"4237180107"</f>
        <v>4237180107</v>
      </c>
      <c r="E6443" s="2" t="s">
        <v>2243</v>
      </c>
      <c r="F6443" s="2" t="s">
        <v>7747</v>
      </c>
      <c r="G6443" s="2" t="str">
        <f>"SR-7424"</f>
        <v>SR-7424</v>
      </c>
      <c r="H6443" s="2" t="s">
        <v>27629</v>
      </c>
      <c r="I6443" s="2" t="s">
        <v>27630</v>
      </c>
      <c r="K6443" s="2" t="s">
        <v>4569</v>
      </c>
      <c r="L6443" s="2" t="s">
        <v>200</v>
      </c>
      <c r="M6443" s="2">
        <v>30736.0</v>
      </c>
      <c r="N6443" s="2" t="s">
        <v>21</v>
      </c>
    </row>
    <row r="6444" ht="15.75" customHeight="1">
      <c r="A6444" s="2">
        <v>2016.0</v>
      </c>
      <c r="B6444" s="2" t="s">
        <v>27631</v>
      </c>
      <c r="C6444" s="2" t="s">
        <v>27632</v>
      </c>
      <c r="D6444" s="2" t="str">
        <f>"8157512283"</f>
        <v>8157512283</v>
      </c>
      <c r="E6444" s="2" t="s">
        <v>2361</v>
      </c>
      <c r="F6444" s="2" t="s">
        <v>256</v>
      </c>
      <c r="G6444" s="2" t="str">
        <f>"SR-8688"</f>
        <v>SR-8688</v>
      </c>
      <c r="H6444" s="2" t="s">
        <v>27633</v>
      </c>
      <c r="I6444" s="2" t="s">
        <v>27634</v>
      </c>
      <c r="K6444" s="2" t="s">
        <v>5198</v>
      </c>
      <c r="L6444" s="2" t="s">
        <v>105</v>
      </c>
      <c r="M6444" s="2">
        <v>60178.0</v>
      </c>
      <c r="N6444" s="2" t="s">
        <v>21</v>
      </c>
    </row>
    <row r="6445" ht="15.75" customHeight="1">
      <c r="A6445" s="2">
        <v>2016.0</v>
      </c>
      <c r="B6445" s="2" t="s">
        <v>27635</v>
      </c>
      <c r="C6445" s="2" t="s">
        <v>27635</v>
      </c>
      <c r="D6445" s="2" t="str">
        <f>"7203520391"</f>
        <v>7203520391</v>
      </c>
      <c r="E6445" s="2" t="s">
        <v>843</v>
      </c>
      <c r="F6445" s="2" t="s">
        <v>320</v>
      </c>
      <c r="G6445" s="2" t="str">
        <f>"SR-8515"</f>
        <v>SR-8515</v>
      </c>
      <c r="H6445" s="2" t="s">
        <v>27636</v>
      </c>
      <c r="I6445" s="2" t="s">
        <v>27637</v>
      </c>
      <c r="K6445" s="2" t="s">
        <v>11204</v>
      </c>
      <c r="L6445" s="2" t="s">
        <v>157</v>
      </c>
      <c r="M6445" s="2">
        <v>80498.0</v>
      </c>
      <c r="N6445" s="2" t="s">
        <v>21</v>
      </c>
    </row>
    <row r="6446" ht="15.75" customHeight="1">
      <c r="A6446" s="2">
        <v>2016.0</v>
      </c>
      <c r="B6446" s="2" t="s">
        <v>27638</v>
      </c>
      <c r="C6446" s="2" t="s">
        <v>27638</v>
      </c>
      <c r="D6446" s="2" t="str">
        <f>"(785) 410-9619"</f>
        <v>(785) 410-9619</v>
      </c>
      <c r="E6446" s="2" t="s">
        <v>1208</v>
      </c>
      <c r="F6446" s="2" t="s">
        <v>1804</v>
      </c>
      <c r="G6446" s="2" t="str">
        <f>"SR-8597"</f>
        <v>SR-8597</v>
      </c>
      <c r="H6446" s="2" t="s">
        <v>27639</v>
      </c>
      <c r="I6446" s="2" t="s">
        <v>27640</v>
      </c>
      <c r="K6446" s="2" t="s">
        <v>1807</v>
      </c>
      <c r="L6446" s="2" t="s">
        <v>272</v>
      </c>
      <c r="M6446" s="2">
        <v>66503.0</v>
      </c>
      <c r="N6446" s="2" t="s">
        <v>21</v>
      </c>
    </row>
    <row r="6447" ht="15.75" customHeight="1">
      <c r="A6447" s="2">
        <v>2016.0</v>
      </c>
      <c r="B6447" s="2" t="s">
        <v>27641</v>
      </c>
      <c r="C6447" s="2" t="s">
        <v>27642</v>
      </c>
      <c r="D6447" s="2" t="str">
        <f>"231-932-5273"</f>
        <v>231-932-5273</v>
      </c>
      <c r="E6447" s="2" t="s">
        <v>1440</v>
      </c>
      <c r="F6447" s="2" t="s">
        <v>7659</v>
      </c>
      <c r="G6447" s="2" t="str">
        <f>"SR-8689"</f>
        <v>SR-8689</v>
      </c>
      <c r="H6447" s="2" t="s">
        <v>27643</v>
      </c>
      <c r="I6447" s="2" t="s">
        <v>27644</v>
      </c>
      <c r="K6447" s="2" t="s">
        <v>7662</v>
      </c>
      <c r="L6447" s="2" t="s">
        <v>29</v>
      </c>
      <c r="M6447" s="2">
        <v>49684.0</v>
      </c>
      <c r="N6447" s="2" t="s">
        <v>21</v>
      </c>
    </row>
    <row r="6448" ht="15.75" customHeight="1">
      <c r="A6448" s="2">
        <v>2016.0</v>
      </c>
      <c r="B6448" s="2" t="s">
        <v>6807</v>
      </c>
      <c r="C6448" s="2" t="s">
        <v>27645</v>
      </c>
      <c r="D6448" s="2" t="str">
        <f>"949 9230955"</f>
        <v>949 9230955</v>
      </c>
      <c r="E6448" s="2" t="s">
        <v>160</v>
      </c>
      <c r="F6448" s="2" t="s">
        <v>2753</v>
      </c>
      <c r="G6448" s="2" t="str">
        <f>"SR-8538"</f>
        <v>SR-8538</v>
      </c>
      <c r="H6448" s="2" t="s">
        <v>27646</v>
      </c>
      <c r="I6448" s="2" t="s">
        <v>6810</v>
      </c>
      <c r="K6448" s="2" t="s">
        <v>6811</v>
      </c>
      <c r="L6448" s="2" t="s">
        <v>222</v>
      </c>
      <c r="M6448" s="2">
        <v>92653.0</v>
      </c>
      <c r="N6448" s="2" t="s">
        <v>21</v>
      </c>
    </row>
    <row r="6449" ht="15.75" customHeight="1">
      <c r="A6449" s="2">
        <v>2016.0</v>
      </c>
      <c r="B6449" s="2" t="s">
        <v>27647</v>
      </c>
      <c r="C6449" s="2" t="s">
        <v>27648</v>
      </c>
      <c r="D6449" s="2" t="str">
        <f>"9704061229"</f>
        <v>9704061229</v>
      </c>
      <c r="E6449" s="2" t="s">
        <v>353</v>
      </c>
      <c r="F6449" s="2" t="s">
        <v>27649</v>
      </c>
      <c r="G6449" s="2" t="str">
        <f>"SR-8310"</f>
        <v>SR-8310</v>
      </c>
      <c r="H6449" s="2" t="s">
        <v>27650</v>
      </c>
      <c r="I6449" s="2" t="s">
        <v>27651</v>
      </c>
      <c r="J6449" s="2" t="s">
        <v>27652</v>
      </c>
      <c r="K6449" s="2" t="s">
        <v>5011</v>
      </c>
      <c r="L6449" s="2" t="s">
        <v>157</v>
      </c>
      <c r="M6449" s="2">
        <v>80443.0</v>
      </c>
      <c r="N6449" s="2" t="s">
        <v>21</v>
      </c>
    </row>
    <row r="6450" ht="15.75" customHeight="1">
      <c r="A6450" s="2">
        <v>2016.0</v>
      </c>
      <c r="B6450" s="2" t="s">
        <v>27653</v>
      </c>
      <c r="C6450" s="2" t="s">
        <v>27653</v>
      </c>
      <c r="D6450" s="2" t="str">
        <f>"951-533-9320"</f>
        <v>951-533-9320</v>
      </c>
      <c r="E6450" s="2" t="s">
        <v>2941</v>
      </c>
      <c r="F6450" s="2" t="s">
        <v>27654</v>
      </c>
      <c r="G6450" s="2" t="str">
        <f>"SR-8315"</f>
        <v>SR-8315</v>
      </c>
      <c r="H6450" s="2" t="s">
        <v>27655</v>
      </c>
      <c r="I6450" s="2" t="s">
        <v>27656</v>
      </c>
      <c r="K6450" s="2" t="s">
        <v>9348</v>
      </c>
      <c r="L6450" s="2" t="s">
        <v>222</v>
      </c>
      <c r="M6450" s="2">
        <v>92505.0</v>
      </c>
      <c r="N6450" s="2" t="s">
        <v>21</v>
      </c>
    </row>
    <row r="6451" ht="15.75" customHeight="1">
      <c r="A6451" s="2">
        <v>2016.0</v>
      </c>
      <c r="B6451" s="2" t="s">
        <v>27657</v>
      </c>
      <c r="C6451" s="2" t="s">
        <v>27657</v>
      </c>
      <c r="D6451" s="2" t="str">
        <f>"803.905.8068"</f>
        <v>803.905.8068</v>
      </c>
      <c r="E6451" s="2" t="s">
        <v>27658</v>
      </c>
      <c r="F6451" s="2" t="s">
        <v>847</v>
      </c>
      <c r="G6451" s="2" t="str">
        <f>"SR-8361"</f>
        <v>SR-8361</v>
      </c>
      <c r="H6451" s="2" t="s">
        <v>27659</v>
      </c>
      <c r="I6451" s="2" t="s">
        <v>25487</v>
      </c>
      <c r="K6451" s="2" t="s">
        <v>25488</v>
      </c>
      <c r="L6451" s="2" t="s">
        <v>55</v>
      </c>
      <c r="M6451" s="2">
        <v>29150.0</v>
      </c>
      <c r="N6451" s="2" t="s">
        <v>21</v>
      </c>
    </row>
    <row r="6452" ht="15.75" customHeight="1">
      <c r="A6452" s="2">
        <v>2016.0</v>
      </c>
      <c r="B6452" s="2" t="s">
        <v>27653</v>
      </c>
      <c r="C6452" s="2" t="s">
        <v>27653</v>
      </c>
      <c r="D6452" s="2" t="str">
        <f>"951-533-9320"</f>
        <v>951-533-9320</v>
      </c>
      <c r="E6452" s="2" t="s">
        <v>1208</v>
      </c>
      <c r="F6452" s="2" t="s">
        <v>27654</v>
      </c>
      <c r="G6452" s="2" t="str">
        <f>"SR-8312"</f>
        <v>SR-8312</v>
      </c>
      <c r="H6452" s="2" t="s">
        <v>27660</v>
      </c>
      <c r="I6452" s="2" t="s">
        <v>27656</v>
      </c>
      <c r="K6452" s="2" t="s">
        <v>9348</v>
      </c>
      <c r="L6452" s="2" t="s">
        <v>222</v>
      </c>
      <c r="M6452" s="2">
        <v>92505.0</v>
      </c>
      <c r="N6452" s="2" t="s">
        <v>21</v>
      </c>
    </row>
    <row r="6453" ht="15.75" customHeight="1">
      <c r="A6453" s="2">
        <v>2016.0</v>
      </c>
      <c r="B6453" s="2" t="s">
        <v>27661</v>
      </c>
      <c r="C6453" s="2" t="s">
        <v>27662</v>
      </c>
      <c r="D6453" s="2" t="str">
        <f>"9516439604"</f>
        <v>9516439604</v>
      </c>
      <c r="E6453" s="2" t="s">
        <v>27663</v>
      </c>
      <c r="F6453" s="2" t="s">
        <v>27664</v>
      </c>
      <c r="G6453" s="2" t="str">
        <f>"SR-8344"</f>
        <v>SR-8344</v>
      </c>
      <c r="H6453" s="2" t="s">
        <v>27665</v>
      </c>
      <c r="I6453" s="2" t="s">
        <v>27666</v>
      </c>
      <c r="K6453" s="2" t="s">
        <v>27667</v>
      </c>
      <c r="L6453" s="2" t="s">
        <v>222</v>
      </c>
      <c r="M6453" s="2">
        <v>92880.0</v>
      </c>
      <c r="N6453" s="2" t="s">
        <v>21</v>
      </c>
    </row>
    <row r="6454" ht="15.75" customHeight="1">
      <c r="A6454" s="2">
        <v>2016.0</v>
      </c>
      <c r="B6454" s="2" t="s">
        <v>27668</v>
      </c>
      <c r="C6454" s="2" t="s">
        <v>27668</v>
      </c>
      <c r="D6454" s="2" t="str">
        <f>"562 320 389"</f>
        <v>562 320 389</v>
      </c>
      <c r="E6454" s="2" t="s">
        <v>26559</v>
      </c>
      <c r="F6454" s="2" t="s">
        <v>27669</v>
      </c>
      <c r="G6454" s="2" t="str">
        <f>"SR-8354"</f>
        <v>SR-8354</v>
      </c>
      <c r="H6454" s="2" t="s">
        <v>27670</v>
      </c>
      <c r="I6454" s="2" t="s">
        <v>27671</v>
      </c>
      <c r="K6454" s="2" t="s">
        <v>10340</v>
      </c>
      <c r="L6454" s="2" t="s">
        <v>222</v>
      </c>
      <c r="M6454" s="2">
        <v>91709.0</v>
      </c>
      <c r="N6454" s="2" t="s">
        <v>21</v>
      </c>
    </row>
    <row r="6455" ht="15.75" customHeight="1">
      <c r="A6455" s="2">
        <v>2016.0</v>
      </c>
      <c r="B6455" s="2" t="s">
        <v>7967</v>
      </c>
      <c r="C6455" s="2" t="s">
        <v>20823</v>
      </c>
      <c r="D6455" s="2" t="str">
        <f>"804-779-2049"</f>
        <v>804-779-2049</v>
      </c>
      <c r="E6455" s="2" t="s">
        <v>261</v>
      </c>
      <c r="F6455" s="2" t="s">
        <v>863</v>
      </c>
      <c r="G6455" s="2" t="str">
        <f>"SR-6412"</f>
        <v>SR-6412</v>
      </c>
      <c r="H6455" s="2" t="s">
        <v>20824</v>
      </c>
      <c r="I6455" s="2" t="s">
        <v>7970</v>
      </c>
      <c r="K6455" s="2" t="s">
        <v>7971</v>
      </c>
      <c r="L6455" s="2" t="s">
        <v>165</v>
      </c>
      <c r="M6455" s="2">
        <v>23111.0</v>
      </c>
      <c r="N6455" s="2" t="s">
        <v>21</v>
      </c>
    </row>
    <row r="6456" ht="15.75" customHeight="1">
      <c r="A6456" s="2">
        <v>2016.0</v>
      </c>
      <c r="B6456" s="2" t="s">
        <v>27672</v>
      </c>
      <c r="C6456" s="2" t="s">
        <v>27673</v>
      </c>
      <c r="D6456" s="2" t="str">
        <f>"909-702-0579"</f>
        <v>909-702-0579</v>
      </c>
      <c r="E6456" s="2" t="s">
        <v>453</v>
      </c>
      <c r="F6456" s="2" t="s">
        <v>27674</v>
      </c>
      <c r="G6456" s="2" t="str">
        <f>"SR-8585"</f>
        <v>SR-8585</v>
      </c>
      <c r="H6456" s="2" t="s">
        <v>27675</v>
      </c>
      <c r="I6456" s="2" t="s">
        <v>27676</v>
      </c>
      <c r="K6456" s="2" t="s">
        <v>10340</v>
      </c>
      <c r="L6456" s="2" t="s">
        <v>222</v>
      </c>
      <c r="M6456" s="2">
        <v>91709.0</v>
      </c>
      <c r="N6456" s="2" t="s">
        <v>21</v>
      </c>
    </row>
    <row r="6457" ht="15.75" customHeight="1">
      <c r="A6457" s="2">
        <v>2016.0</v>
      </c>
      <c r="B6457" s="2" t="s">
        <v>27677</v>
      </c>
      <c r="C6457" s="2" t="s">
        <v>27677</v>
      </c>
      <c r="D6457" s="2" t="str">
        <f>"9096310927"</f>
        <v>9096310927</v>
      </c>
      <c r="E6457" s="2" t="s">
        <v>24</v>
      </c>
      <c r="F6457" s="2" t="s">
        <v>666</v>
      </c>
      <c r="G6457" s="2" t="str">
        <f>"SR-8342"</f>
        <v>SR-8342</v>
      </c>
      <c r="H6457" s="2" t="s">
        <v>27678</v>
      </c>
      <c r="I6457" s="2" t="s">
        <v>27679</v>
      </c>
      <c r="K6457" s="2" t="s">
        <v>15522</v>
      </c>
      <c r="L6457" s="2" t="s">
        <v>222</v>
      </c>
      <c r="M6457" s="2">
        <v>91710.0</v>
      </c>
      <c r="N6457" s="2" t="s">
        <v>21</v>
      </c>
    </row>
    <row r="6458" ht="15.75" customHeight="1">
      <c r="A6458" s="2">
        <v>2016.0</v>
      </c>
      <c r="B6458" s="2" t="s">
        <v>27680</v>
      </c>
      <c r="C6458" s="2" t="s">
        <v>27680</v>
      </c>
      <c r="D6458" s="2" t="str">
        <f>"9097904767"</f>
        <v>9097904767</v>
      </c>
      <c r="E6458" s="2" t="s">
        <v>26211</v>
      </c>
      <c r="F6458" s="2" t="s">
        <v>124</v>
      </c>
      <c r="G6458" s="2" t="str">
        <f>"SR-8357"</f>
        <v>SR-8357</v>
      </c>
      <c r="H6458" s="2" t="s">
        <v>27681</v>
      </c>
      <c r="I6458" s="2" t="s">
        <v>27682</v>
      </c>
      <c r="K6458" s="2" t="s">
        <v>15522</v>
      </c>
      <c r="L6458" s="2" t="s">
        <v>222</v>
      </c>
      <c r="M6458" s="2">
        <v>91710.0</v>
      </c>
      <c r="N6458" s="2" t="s">
        <v>21</v>
      </c>
    </row>
    <row r="6459" ht="15.75" customHeight="1">
      <c r="A6459" s="2">
        <v>2016.0</v>
      </c>
      <c r="B6459" s="2" t="s">
        <v>27683</v>
      </c>
      <c r="C6459" s="2" t="s">
        <v>27683</v>
      </c>
      <c r="D6459" s="2" t="str">
        <f>"9099698634"</f>
        <v>9099698634</v>
      </c>
      <c r="E6459" s="2" t="s">
        <v>27684</v>
      </c>
      <c r="F6459" s="2" t="s">
        <v>27685</v>
      </c>
      <c r="G6459" s="2" t="str">
        <f>"SR-8347"</f>
        <v>SR-8347</v>
      </c>
      <c r="H6459" s="2" t="s">
        <v>27686</v>
      </c>
      <c r="I6459" s="2" t="s">
        <v>27687</v>
      </c>
      <c r="K6459" s="2" t="s">
        <v>15522</v>
      </c>
      <c r="L6459" s="2" t="s">
        <v>222</v>
      </c>
      <c r="M6459" s="2">
        <v>91710.0</v>
      </c>
      <c r="N6459" s="2" t="s">
        <v>21</v>
      </c>
    </row>
    <row r="6460" ht="15.75" customHeight="1">
      <c r="A6460" s="2">
        <v>2016.0</v>
      </c>
      <c r="B6460" s="2" t="s">
        <v>27688</v>
      </c>
      <c r="C6460" s="2" t="s">
        <v>27689</v>
      </c>
      <c r="D6460" s="2" t="str">
        <f>"9099968717"</f>
        <v>9099968717</v>
      </c>
      <c r="E6460" s="2" t="s">
        <v>644</v>
      </c>
      <c r="F6460" s="2" t="s">
        <v>21429</v>
      </c>
      <c r="G6460" s="2" t="str">
        <f>"SR-8329"</f>
        <v>SR-8329</v>
      </c>
      <c r="H6460" s="2" t="s">
        <v>27690</v>
      </c>
      <c r="I6460" s="2" t="s">
        <v>27691</v>
      </c>
      <c r="K6460" s="2" t="s">
        <v>11882</v>
      </c>
      <c r="L6460" s="2" t="s">
        <v>222</v>
      </c>
      <c r="M6460" s="2">
        <v>92880.0</v>
      </c>
      <c r="N6460" s="2" t="s">
        <v>21</v>
      </c>
    </row>
    <row r="6461" ht="15.75" customHeight="1">
      <c r="A6461" s="2">
        <v>2016.0</v>
      </c>
      <c r="B6461" s="2" t="s">
        <v>18638</v>
      </c>
      <c r="C6461" s="2" t="s">
        <v>18639</v>
      </c>
      <c r="D6461" s="2" t="str">
        <f>"8326284709"</f>
        <v>8326284709</v>
      </c>
      <c r="E6461" s="2" t="s">
        <v>8316</v>
      </c>
      <c r="F6461" s="2" t="s">
        <v>962</v>
      </c>
      <c r="G6461" s="2" t="str">
        <f>"SR-5743"</f>
        <v>SR-5743</v>
      </c>
      <c r="H6461" s="2" t="s">
        <v>18640</v>
      </c>
      <c r="I6461" s="2" t="s">
        <v>18641</v>
      </c>
      <c r="K6461" s="2" t="s">
        <v>2182</v>
      </c>
      <c r="L6461" s="2" t="s">
        <v>172</v>
      </c>
      <c r="M6461" s="2">
        <v>77479.0</v>
      </c>
      <c r="N6461" s="2" t="s">
        <v>21</v>
      </c>
    </row>
    <row r="6462" ht="15.75" customHeight="1">
      <c r="A6462" s="2">
        <v>2016.0</v>
      </c>
      <c r="B6462" s="2" t="s">
        <v>27692</v>
      </c>
      <c r="C6462" s="2" t="s">
        <v>27692</v>
      </c>
      <c r="D6462" s="2" t="str">
        <f>"9092170369"</f>
        <v>9092170369</v>
      </c>
      <c r="E6462" s="2" t="s">
        <v>13585</v>
      </c>
      <c r="F6462" s="2" t="s">
        <v>27693</v>
      </c>
      <c r="G6462" s="2" t="str">
        <f>"SR-8359"</f>
        <v>SR-8359</v>
      </c>
      <c r="H6462" s="2" t="s">
        <v>27694</v>
      </c>
      <c r="I6462" s="2" t="s">
        <v>27695</v>
      </c>
      <c r="K6462" s="2" t="s">
        <v>15522</v>
      </c>
      <c r="L6462" s="2" t="s">
        <v>222</v>
      </c>
      <c r="M6462" s="2">
        <v>91710.0</v>
      </c>
      <c r="N6462" s="2" t="s">
        <v>21</v>
      </c>
    </row>
    <row r="6463" ht="15.75" customHeight="1">
      <c r="A6463" s="2">
        <v>2016.0</v>
      </c>
      <c r="B6463" s="2" t="s">
        <v>27696</v>
      </c>
      <c r="C6463" s="2" t="s">
        <v>27697</v>
      </c>
      <c r="D6463" s="2" t="str">
        <f>"734-623-1806"</f>
        <v>734-623-1806</v>
      </c>
      <c r="E6463" s="2" t="s">
        <v>27698</v>
      </c>
      <c r="F6463" s="2" t="s">
        <v>27699</v>
      </c>
      <c r="G6463" s="2" t="str">
        <f>"SR-8693"</f>
        <v>SR-8693</v>
      </c>
      <c r="H6463" s="2" t="s">
        <v>27700</v>
      </c>
      <c r="I6463" s="2" t="s">
        <v>27701</v>
      </c>
      <c r="K6463" s="2" t="s">
        <v>4746</v>
      </c>
      <c r="L6463" s="2" t="s">
        <v>29</v>
      </c>
      <c r="M6463" s="2">
        <v>48105.0</v>
      </c>
      <c r="N6463" s="2" t="s">
        <v>21</v>
      </c>
    </row>
    <row r="6464" ht="15.75" customHeight="1">
      <c r="A6464" s="2">
        <v>2016.0</v>
      </c>
      <c r="B6464" s="2" t="s">
        <v>27702</v>
      </c>
      <c r="C6464" s="2" t="s">
        <v>27703</v>
      </c>
      <c r="D6464" s="2" t="str">
        <f>"909-459-9071"</f>
        <v>909-459-9071</v>
      </c>
      <c r="E6464" s="2" t="s">
        <v>160</v>
      </c>
      <c r="F6464" s="2" t="s">
        <v>16482</v>
      </c>
      <c r="G6464" s="2" t="str">
        <f>"SR-8324"</f>
        <v>SR-8324</v>
      </c>
      <c r="H6464" s="2" t="s">
        <v>27704</v>
      </c>
      <c r="I6464" s="2" t="s">
        <v>27705</v>
      </c>
      <c r="K6464" s="2" t="s">
        <v>15522</v>
      </c>
      <c r="L6464" s="2" t="s">
        <v>222</v>
      </c>
      <c r="M6464" s="2">
        <v>91710.0</v>
      </c>
      <c r="N6464" s="2" t="s">
        <v>21</v>
      </c>
    </row>
    <row r="6465" ht="15.75" customHeight="1">
      <c r="A6465" s="2">
        <v>2016.0</v>
      </c>
      <c r="B6465" s="2" t="s">
        <v>27706</v>
      </c>
      <c r="C6465" s="2" t="s">
        <v>27706</v>
      </c>
      <c r="D6465" s="2" t="str">
        <f>"(909) 393-6658"</f>
        <v>(909) 393-6658</v>
      </c>
      <c r="E6465" s="2" t="s">
        <v>2412</v>
      </c>
      <c r="F6465" s="2" t="s">
        <v>27707</v>
      </c>
      <c r="G6465" s="2" t="str">
        <f>"SR-8339"</f>
        <v>SR-8339</v>
      </c>
      <c r="H6465" s="2" t="s">
        <v>27708</v>
      </c>
      <c r="I6465" s="2" t="s">
        <v>27709</v>
      </c>
      <c r="K6465" s="2" t="s">
        <v>10340</v>
      </c>
      <c r="L6465" s="2" t="s">
        <v>222</v>
      </c>
      <c r="M6465" s="2">
        <v>91709.0</v>
      </c>
      <c r="N6465" s="2" t="s">
        <v>21</v>
      </c>
    </row>
    <row r="6466" ht="15.75" customHeight="1">
      <c r="A6466" s="2">
        <v>2016.0</v>
      </c>
      <c r="B6466" s="2" t="s">
        <v>27710</v>
      </c>
      <c r="C6466" s="2" t="s">
        <v>27710</v>
      </c>
      <c r="D6466" s="2" t="str">
        <f>"909-391-8968"</f>
        <v>909-391-8968</v>
      </c>
      <c r="E6466" s="2" t="s">
        <v>3878</v>
      </c>
      <c r="F6466" s="2" t="s">
        <v>22688</v>
      </c>
      <c r="G6466" s="2" t="str">
        <f>"SR-8584"</f>
        <v>SR-8584</v>
      </c>
      <c r="H6466" s="2" t="s">
        <v>27711</v>
      </c>
      <c r="I6466" s="2" t="s">
        <v>27712</v>
      </c>
      <c r="K6466" s="2" t="s">
        <v>2015</v>
      </c>
      <c r="L6466" s="2" t="s">
        <v>222</v>
      </c>
      <c r="M6466" s="2">
        <v>91762.0</v>
      </c>
      <c r="N6466" s="2" t="s">
        <v>21</v>
      </c>
    </row>
    <row r="6467" ht="15.75" customHeight="1">
      <c r="A6467" s="2">
        <v>2016.0</v>
      </c>
      <c r="B6467" s="2" t="s">
        <v>27713</v>
      </c>
      <c r="C6467" s="2" t="s">
        <v>27713</v>
      </c>
      <c r="D6467" s="2" t="str">
        <f>"770-832-6417"</f>
        <v>770-832-6417</v>
      </c>
      <c r="E6467" s="2" t="s">
        <v>7145</v>
      </c>
      <c r="F6467" s="2" t="s">
        <v>13036</v>
      </c>
      <c r="G6467" s="2" t="str">
        <f>"SR-8692"</f>
        <v>SR-8692</v>
      </c>
      <c r="H6467" s="2" t="s">
        <v>27714</v>
      </c>
      <c r="I6467" s="2" t="s">
        <v>27715</v>
      </c>
      <c r="K6467" s="2" t="s">
        <v>27716</v>
      </c>
      <c r="L6467" s="2" t="s">
        <v>200</v>
      </c>
      <c r="M6467" s="2">
        <v>30117.0</v>
      </c>
      <c r="N6467" s="2" t="s">
        <v>21</v>
      </c>
    </row>
    <row r="6468" ht="15.75" customHeight="1">
      <c r="A6468" s="2">
        <v>2016.0</v>
      </c>
      <c r="B6468" s="2" t="s">
        <v>27717</v>
      </c>
      <c r="C6468" s="2" t="s">
        <v>27717</v>
      </c>
      <c r="D6468" s="2" t="str">
        <f>"(909) 957-1504"</f>
        <v>(909) 957-1504</v>
      </c>
      <c r="E6468" s="2" t="s">
        <v>6244</v>
      </c>
      <c r="F6468" s="2" t="s">
        <v>2752</v>
      </c>
      <c r="G6468" s="2" t="str">
        <f>"SR-8580"</f>
        <v>SR-8580</v>
      </c>
      <c r="H6468" s="2" t="s">
        <v>27718</v>
      </c>
      <c r="I6468" s="2" t="s">
        <v>27719</v>
      </c>
      <c r="K6468" s="2" t="s">
        <v>15522</v>
      </c>
      <c r="L6468" s="2" t="s">
        <v>222</v>
      </c>
      <c r="M6468" s="2">
        <v>91710.0</v>
      </c>
      <c r="N6468" s="2" t="s">
        <v>21</v>
      </c>
    </row>
    <row r="6469" ht="15.75" customHeight="1">
      <c r="A6469" s="2">
        <v>2016.0</v>
      </c>
      <c r="B6469" s="2" t="s">
        <v>27720</v>
      </c>
      <c r="C6469" s="2" t="s">
        <v>27721</v>
      </c>
      <c r="D6469" s="2" t="str">
        <f>"703-888-8763"</f>
        <v>703-888-8763</v>
      </c>
      <c r="E6469" s="2" t="s">
        <v>50</v>
      </c>
      <c r="F6469" s="2" t="s">
        <v>2847</v>
      </c>
      <c r="G6469" s="2" t="str">
        <f>"SR-8561"</f>
        <v>SR-8561</v>
      </c>
      <c r="H6469" s="2" t="s">
        <v>27722</v>
      </c>
      <c r="I6469" s="2" t="s">
        <v>27723</v>
      </c>
      <c r="K6469" s="2" t="s">
        <v>5931</v>
      </c>
      <c r="L6469" s="2" t="s">
        <v>86</v>
      </c>
      <c r="M6469" s="2">
        <v>98366.0</v>
      </c>
      <c r="N6469" s="2" t="s">
        <v>21</v>
      </c>
    </row>
    <row r="6470" ht="15.75" customHeight="1">
      <c r="A6470" s="2">
        <v>2016.0</v>
      </c>
      <c r="B6470" s="2" t="s">
        <v>27724</v>
      </c>
      <c r="C6470" s="2" t="s">
        <v>27725</v>
      </c>
      <c r="D6470" s="2" t="str">
        <f>"9095489248"</f>
        <v>9095489248</v>
      </c>
      <c r="E6470" s="2" t="s">
        <v>6081</v>
      </c>
      <c r="F6470" s="2" t="s">
        <v>26583</v>
      </c>
      <c r="G6470" s="2" t="str">
        <f>"SR-8651"</f>
        <v>SR-8651</v>
      </c>
      <c r="H6470" s="2" t="s">
        <v>27726</v>
      </c>
      <c r="I6470" s="2" t="s">
        <v>27727</v>
      </c>
      <c r="K6470" s="2" t="s">
        <v>27728</v>
      </c>
      <c r="L6470" s="2" t="s">
        <v>222</v>
      </c>
      <c r="M6470" s="2">
        <v>91709.0</v>
      </c>
      <c r="N6470" s="2" t="s">
        <v>21</v>
      </c>
    </row>
    <row r="6471" ht="15.75" customHeight="1">
      <c r="A6471" s="2">
        <v>2016.0</v>
      </c>
      <c r="B6471" s="2" t="s">
        <v>27729</v>
      </c>
      <c r="C6471" s="2" t="s">
        <v>27730</v>
      </c>
      <c r="D6471" s="2" t="str">
        <f>"832-474-0886"</f>
        <v>832-474-0886</v>
      </c>
      <c r="E6471" s="2" t="s">
        <v>339</v>
      </c>
      <c r="F6471" s="2" t="s">
        <v>9244</v>
      </c>
      <c r="G6471" s="2" t="str">
        <f>"SR-8691"</f>
        <v>SR-8691</v>
      </c>
      <c r="H6471" s="2" t="s">
        <v>27731</v>
      </c>
      <c r="I6471" s="2" t="s">
        <v>27732</v>
      </c>
      <c r="K6471" s="2" t="s">
        <v>27733</v>
      </c>
      <c r="L6471" s="2" t="s">
        <v>172</v>
      </c>
      <c r="M6471" s="2">
        <v>77459.0</v>
      </c>
      <c r="N6471" s="2" t="s">
        <v>21</v>
      </c>
    </row>
    <row r="6472" ht="15.75" customHeight="1">
      <c r="A6472" s="2">
        <v>2016.0</v>
      </c>
      <c r="B6472" s="2" t="s">
        <v>27734</v>
      </c>
      <c r="C6472" s="2" t="s">
        <v>27734</v>
      </c>
      <c r="D6472" s="2" t="str">
        <f>"9092176885"</f>
        <v>9092176885</v>
      </c>
      <c r="E6472" s="2" t="s">
        <v>72</v>
      </c>
      <c r="F6472" s="2" t="s">
        <v>5632</v>
      </c>
      <c r="G6472" s="2" t="str">
        <f>"SR-8400"</f>
        <v>SR-8400</v>
      </c>
      <c r="H6472" s="2" t="s">
        <v>27735</v>
      </c>
      <c r="I6472" s="2" t="s">
        <v>27736</v>
      </c>
      <c r="K6472" s="2" t="s">
        <v>10340</v>
      </c>
      <c r="L6472" s="2" t="s">
        <v>222</v>
      </c>
      <c r="M6472" s="2">
        <v>91709.0</v>
      </c>
      <c r="N6472" s="2" t="s">
        <v>21</v>
      </c>
    </row>
    <row r="6473" ht="15.75" customHeight="1">
      <c r="A6473" s="2">
        <v>2016.0</v>
      </c>
      <c r="B6473" s="2" t="s">
        <v>27672</v>
      </c>
      <c r="C6473" s="2" t="s">
        <v>27737</v>
      </c>
      <c r="D6473" s="2" t="str">
        <f>"909-702-0579"</f>
        <v>909-702-0579</v>
      </c>
      <c r="E6473" s="2" t="s">
        <v>2126</v>
      </c>
      <c r="F6473" s="2" t="s">
        <v>27674</v>
      </c>
      <c r="G6473" s="2" t="str">
        <f>"SR-8589"</f>
        <v>SR-8589</v>
      </c>
      <c r="H6473" s="2" t="s">
        <v>27738</v>
      </c>
      <c r="I6473" s="2" t="s">
        <v>27676</v>
      </c>
      <c r="K6473" s="2" t="s">
        <v>10340</v>
      </c>
      <c r="L6473" s="2" t="s">
        <v>222</v>
      </c>
      <c r="M6473" s="2">
        <v>91709.0</v>
      </c>
      <c r="N6473" s="2" t="s">
        <v>21</v>
      </c>
    </row>
    <row r="6474" ht="15.75" customHeight="1">
      <c r="A6474" s="2">
        <v>2016.0</v>
      </c>
      <c r="B6474" s="2" t="s">
        <v>27739</v>
      </c>
      <c r="C6474" s="2" t="s">
        <v>27740</v>
      </c>
      <c r="D6474" s="2" t="str">
        <f>"502-272-0087"</f>
        <v>502-272-0087</v>
      </c>
      <c r="E6474" s="2" t="s">
        <v>385</v>
      </c>
      <c r="F6474" s="2" t="s">
        <v>27741</v>
      </c>
      <c r="G6474" s="2" t="str">
        <f>"SR-7743"</f>
        <v>SR-7743</v>
      </c>
      <c r="H6474" s="2" t="s">
        <v>27742</v>
      </c>
      <c r="I6474" s="2" t="s">
        <v>27743</v>
      </c>
      <c r="K6474" s="2" t="s">
        <v>27744</v>
      </c>
      <c r="L6474" s="2" t="s">
        <v>1236</v>
      </c>
      <c r="M6474" s="2">
        <v>40014.0</v>
      </c>
      <c r="N6474" s="2" t="s">
        <v>21</v>
      </c>
    </row>
    <row r="6475" ht="15.75" customHeight="1">
      <c r="A6475" s="2">
        <v>2016.0</v>
      </c>
      <c r="B6475" s="2" t="s">
        <v>27745</v>
      </c>
      <c r="C6475" s="2" t="s">
        <v>27745</v>
      </c>
      <c r="D6475" s="2" t="str">
        <f>"850-217-6481"</f>
        <v>850-217-6481</v>
      </c>
      <c r="E6475" s="2" t="s">
        <v>27746</v>
      </c>
      <c r="F6475" s="2" t="s">
        <v>19878</v>
      </c>
      <c r="G6475" s="2" t="str">
        <f>"SR-5936"</f>
        <v>SR-5936</v>
      </c>
      <c r="H6475" s="2" t="s">
        <v>27747</v>
      </c>
      <c r="I6475" s="2" t="s">
        <v>27748</v>
      </c>
      <c r="K6475" s="2" t="s">
        <v>27749</v>
      </c>
      <c r="L6475" s="2" t="s">
        <v>208</v>
      </c>
      <c r="M6475" s="2">
        <v>32579.0</v>
      </c>
      <c r="N6475" s="2" t="s">
        <v>21</v>
      </c>
    </row>
    <row r="6476" ht="15.75" customHeight="1">
      <c r="A6476" s="2">
        <v>2016.0</v>
      </c>
      <c r="B6476" s="2" t="s">
        <v>27750</v>
      </c>
      <c r="C6476" s="2" t="s">
        <v>27751</v>
      </c>
      <c r="D6476" s="2" t="str">
        <f>"847-516-0837"</f>
        <v>847-516-0837</v>
      </c>
      <c r="E6476" s="2" t="s">
        <v>27752</v>
      </c>
      <c r="F6476" s="2" t="s">
        <v>27753</v>
      </c>
      <c r="G6476" s="2" t="str">
        <f>"SR-8706"</f>
        <v>SR-8706</v>
      </c>
      <c r="H6476" s="2" t="s">
        <v>27754</v>
      </c>
      <c r="I6476" s="2" t="s">
        <v>27755</v>
      </c>
      <c r="K6476" s="2" t="s">
        <v>6095</v>
      </c>
      <c r="L6476" s="2" t="s">
        <v>105</v>
      </c>
      <c r="M6476" s="2">
        <v>60013.0</v>
      </c>
      <c r="N6476" s="2" t="s">
        <v>21</v>
      </c>
    </row>
    <row r="6477" ht="15.75" customHeight="1">
      <c r="A6477" s="2">
        <v>2016.0</v>
      </c>
      <c r="B6477" s="2" t="s">
        <v>27756</v>
      </c>
      <c r="C6477" s="2" t="s">
        <v>27757</v>
      </c>
      <c r="D6477" s="2" t="str">
        <f>"8034457557"</f>
        <v>8034457557</v>
      </c>
      <c r="E6477" s="2" t="s">
        <v>1782</v>
      </c>
      <c r="F6477" s="2" t="s">
        <v>690</v>
      </c>
      <c r="G6477" s="2" t="str">
        <f>"SR-8440"</f>
        <v>SR-8440</v>
      </c>
      <c r="H6477" s="2" t="s">
        <v>27758</v>
      </c>
      <c r="I6477" s="2" t="s">
        <v>27759</v>
      </c>
      <c r="K6477" s="2" t="s">
        <v>27760</v>
      </c>
      <c r="L6477" s="2" t="s">
        <v>165</v>
      </c>
      <c r="M6477" s="2">
        <v>22152.0</v>
      </c>
      <c r="N6477" s="2" t="s">
        <v>21</v>
      </c>
    </row>
    <row r="6478" ht="15.75" customHeight="1">
      <c r="A6478" s="2">
        <v>2016.0</v>
      </c>
      <c r="B6478" s="2" t="s">
        <v>27761</v>
      </c>
      <c r="C6478" s="2" t="s">
        <v>27761</v>
      </c>
      <c r="D6478" s="2" t="str">
        <f>"9196226436"</f>
        <v>9196226436</v>
      </c>
      <c r="E6478" s="2" t="s">
        <v>167</v>
      </c>
      <c r="F6478" s="2" t="s">
        <v>125</v>
      </c>
      <c r="G6478" s="2" t="str">
        <f>"SR-8703"</f>
        <v>SR-8703</v>
      </c>
      <c r="H6478" s="2" t="s">
        <v>27762</v>
      </c>
      <c r="I6478" s="2" t="s">
        <v>27763</v>
      </c>
      <c r="K6478" s="2" t="s">
        <v>7993</v>
      </c>
      <c r="L6478" s="2" t="s">
        <v>20</v>
      </c>
      <c r="M6478" s="2">
        <v>27613.0</v>
      </c>
      <c r="N6478" s="2" t="s">
        <v>21</v>
      </c>
    </row>
    <row r="6479" ht="15.75" customHeight="1">
      <c r="A6479" s="2">
        <v>2016.0</v>
      </c>
      <c r="B6479" s="2" t="s">
        <v>27764</v>
      </c>
      <c r="C6479" s="2" t="s">
        <v>27765</v>
      </c>
      <c r="D6479" s="2" t="str">
        <f>"4237184919"</f>
        <v>4237184919</v>
      </c>
      <c r="E6479" s="2" t="s">
        <v>1263</v>
      </c>
      <c r="F6479" s="2" t="s">
        <v>962</v>
      </c>
      <c r="G6479" s="2" t="str">
        <f>"SR-8707"</f>
        <v>SR-8707</v>
      </c>
      <c r="H6479" s="2" t="s">
        <v>27766</v>
      </c>
      <c r="I6479" s="2" t="s">
        <v>27767</v>
      </c>
      <c r="K6479" s="2" t="s">
        <v>23449</v>
      </c>
      <c r="L6479" s="2" t="s">
        <v>279</v>
      </c>
      <c r="M6479" s="2">
        <v>37421.0</v>
      </c>
      <c r="N6479" s="2" t="s">
        <v>21</v>
      </c>
    </row>
    <row r="6480" ht="15.75" customHeight="1">
      <c r="A6480" s="2">
        <v>2016.0</v>
      </c>
      <c r="B6480" s="2" t="s">
        <v>27768</v>
      </c>
      <c r="C6480" s="2" t="s">
        <v>27769</v>
      </c>
      <c r="D6480" s="2" t="str">
        <f>"319-573-4332"</f>
        <v>319-573-4332</v>
      </c>
      <c r="E6480" s="2" t="s">
        <v>14422</v>
      </c>
      <c r="F6480" s="2" t="s">
        <v>27770</v>
      </c>
      <c r="G6480" s="2" t="str">
        <f>"SR-8677"</f>
        <v>SR-8677</v>
      </c>
      <c r="H6480" s="2" t="s">
        <v>27771</v>
      </c>
      <c r="I6480" s="2" t="s">
        <v>27772</v>
      </c>
      <c r="K6480" s="2" t="s">
        <v>3273</v>
      </c>
      <c r="L6480" s="2" t="s">
        <v>560</v>
      </c>
      <c r="M6480" s="2">
        <v>52402.0</v>
      </c>
      <c r="N6480" s="2" t="s">
        <v>21</v>
      </c>
    </row>
    <row r="6481" ht="15.75" customHeight="1">
      <c r="A6481" s="2">
        <v>2016.0</v>
      </c>
      <c r="B6481" s="2" t="s">
        <v>12118</v>
      </c>
      <c r="C6481" s="2" t="s">
        <v>12118</v>
      </c>
      <c r="D6481" s="2" t="str">
        <f>"615-772-3605"</f>
        <v>615-772-3605</v>
      </c>
      <c r="E6481" s="2" t="s">
        <v>580</v>
      </c>
      <c r="F6481" s="2" t="s">
        <v>2231</v>
      </c>
      <c r="G6481" s="2" t="str">
        <f>"SR-8705"</f>
        <v>SR-8705</v>
      </c>
      <c r="H6481" s="2" t="s">
        <v>27773</v>
      </c>
      <c r="I6481" s="2" t="s">
        <v>12121</v>
      </c>
      <c r="K6481" s="2" t="s">
        <v>27774</v>
      </c>
      <c r="L6481" s="2" t="s">
        <v>279</v>
      </c>
      <c r="M6481" s="2">
        <v>37122.0</v>
      </c>
      <c r="N6481" s="2" t="s">
        <v>21</v>
      </c>
    </row>
    <row r="6482" ht="15.75" customHeight="1">
      <c r="A6482" s="2">
        <v>2016.0</v>
      </c>
      <c r="B6482" s="2" t="s">
        <v>27775</v>
      </c>
      <c r="C6482" s="2" t="s">
        <v>27776</v>
      </c>
      <c r="D6482" s="2" t="str">
        <f>"8599059930"</f>
        <v>8599059930</v>
      </c>
      <c r="E6482" s="2" t="s">
        <v>2648</v>
      </c>
      <c r="F6482" s="2" t="s">
        <v>1169</v>
      </c>
      <c r="G6482" s="2" t="str">
        <f>"SR-8658"</f>
        <v>SR-8658</v>
      </c>
      <c r="H6482" s="2" t="s">
        <v>27777</v>
      </c>
      <c r="I6482" s="2" t="s">
        <v>27778</v>
      </c>
      <c r="K6482" s="2" t="s">
        <v>14667</v>
      </c>
      <c r="L6482" s="2" t="s">
        <v>1236</v>
      </c>
      <c r="M6482" s="2">
        <v>41091.0</v>
      </c>
      <c r="N6482" s="2" t="s">
        <v>21</v>
      </c>
    </row>
    <row r="6483" ht="15.75" customHeight="1">
      <c r="A6483" s="2">
        <v>2016.0</v>
      </c>
      <c r="B6483" s="2" t="s">
        <v>27779</v>
      </c>
      <c r="C6483" s="2" t="s">
        <v>27780</v>
      </c>
      <c r="D6483" s="2" t="str">
        <f>"626-294-0378"</f>
        <v>626-294-0378</v>
      </c>
      <c r="E6483" s="2" t="s">
        <v>27781</v>
      </c>
      <c r="F6483" s="2" t="s">
        <v>27782</v>
      </c>
      <c r="G6483" s="2" t="str">
        <f>"SR-8633"</f>
        <v>SR-8633</v>
      </c>
      <c r="H6483" s="2" t="s">
        <v>27783</v>
      </c>
      <c r="I6483" s="2" t="s">
        <v>27784</v>
      </c>
      <c r="K6483" s="2" t="s">
        <v>27785</v>
      </c>
      <c r="L6483" s="2" t="s">
        <v>222</v>
      </c>
      <c r="M6483" s="2">
        <v>91006.0</v>
      </c>
      <c r="N6483" s="2" t="s">
        <v>21</v>
      </c>
    </row>
    <row r="6484" ht="15.75" customHeight="1">
      <c r="A6484" s="2">
        <v>2016.0</v>
      </c>
      <c r="B6484" s="2" t="s">
        <v>17747</v>
      </c>
      <c r="D6484" s="2" t="str">
        <f>""</f>
        <v/>
      </c>
      <c r="E6484" s="2" t="s">
        <v>3196</v>
      </c>
      <c r="F6484" s="2" t="s">
        <v>3028</v>
      </c>
      <c r="G6484" s="2" t="str">
        <f>"SR-5424"</f>
        <v>SR-5424</v>
      </c>
      <c r="H6484" s="2" t="s">
        <v>17748</v>
      </c>
    </row>
    <row r="6485" ht="15.75" customHeight="1">
      <c r="A6485" s="2">
        <v>2016.0</v>
      </c>
      <c r="B6485" s="2" t="s">
        <v>27779</v>
      </c>
      <c r="C6485" s="2" t="s">
        <v>27786</v>
      </c>
      <c r="D6485" s="2" t="str">
        <f>"626-294-0378"</f>
        <v>626-294-0378</v>
      </c>
      <c r="E6485" s="2" t="s">
        <v>27787</v>
      </c>
      <c r="F6485" s="2" t="s">
        <v>27782</v>
      </c>
      <c r="G6485" s="2" t="str">
        <f>"SR-8628"</f>
        <v>SR-8628</v>
      </c>
      <c r="H6485" s="2" t="s">
        <v>27788</v>
      </c>
      <c r="I6485" s="2" t="s">
        <v>27784</v>
      </c>
      <c r="K6485" s="2" t="s">
        <v>27785</v>
      </c>
      <c r="L6485" s="2" t="s">
        <v>222</v>
      </c>
      <c r="M6485" s="2">
        <v>91006.0</v>
      </c>
      <c r="N6485" s="2" t="s">
        <v>21</v>
      </c>
    </row>
    <row r="6486" ht="15.75" customHeight="1">
      <c r="A6486" s="2">
        <v>2016.0</v>
      </c>
      <c r="B6486" s="2" t="s">
        <v>27789</v>
      </c>
      <c r="C6486" s="2" t="s">
        <v>27790</v>
      </c>
      <c r="D6486" s="2" t="str">
        <f>"478-955-5225"</f>
        <v>478-955-5225</v>
      </c>
      <c r="E6486" s="2" t="s">
        <v>15674</v>
      </c>
      <c r="F6486" s="2" t="s">
        <v>27791</v>
      </c>
      <c r="G6486" s="2" t="str">
        <f>"SR-8702"</f>
        <v>SR-8702</v>
      </c>
      <c r="H6486" s="2" t="s">
        <v>27792</v>
      </c>
      <c r="I6486" s="2" t="s">
        <v>27793</v>
      </c>
      <c r="K6486" s="2" t="s">
        <v>27794</v>
      </c>
      <c r="L6486" s="2" t="s">
        <v>200</v>
      </c>
      <c r="M6486" s="2">
        <v>31088.0</v>
      </c>
      <c r="N6486" s="2" t="s">
        <v>21</v>
      </c>
    </row>
    <row r="6487" ht="15.75" customHeight="1">
      <c r="A6487" s="2">
        <v>2016.0</v>
      </c>
      <c r="B6487" s="2" t="s">
        <v>27795</v>
      </c>
      <c r="C6487" s="2" t="s">
        <v>27796</v>
      </c>
      <c r="D6487" s="2" t="str">
        <f>"6266105506"</f>
        <v>6266105506</v>
      </c>
      <c r="E6487" s="2" t="s">
        <v>1255</v>
      </c>
      <c r="F6487" s="2" t="s">
        <v>51</v>
      </c>
      <c r="G6487" s="2" t="str">
        <f>"SR-7914"</f>
        <v>SR-7914</v>
      </c>
      <c r="H6487" s="2" t="s">
        <v>27797</v>
      </c>
      <c r="I6487" s="2" t="s">
        <v>27798</v>
      </c>
      <c r="K6487" s="2" t="s">
        <v>7320</v>
      </c>
      <c r="L6487" s="2" t="s">
        <v>222</v>
      </c>
      <c r="M6487" s="2">
        <v>91740.0</v>
      </c>
      <c r="N6487" s="2" t="s">
        <v>21</v>
      </c>
    </row>
    <row r="6488" ht="15.75" customHeight="1">
      <c r="A6488" s="2">
        <v>2016.0</v>
      </c>
      <c r="B6488" s="2" t="s">
        <v>27799</v>
      </c>
      <c r="C6488" s="2" t="s">
        <v>27800</v>
      </c>
      <c r="D6488" s="2" t="str">
        <f>"9132768518"</f>
        <v>9132768518</v>
      </c>
      <c r="E6488" s="2" t="s">
        <v>584</v>
      </c>
      <c r="F6488" s="2" t="s">
        <v>1101</v>
      </c>
      <c r="G6488" s="2" t="str">
        <f>"SR-8713"</f>
        <v>SR-8713</v>
      </c>
      <c r="H6488" s="2" t="s">
        <v>4444</v>
      </c>
      <c r="I6488" s="2" t="s">
        <v>27801</v>
      </c>
      <c r="K6488" s="2" t="s">
        <v>1814</v>
      </c>
      <c r="L6488" s="2" t="s">
        <v>272</v>
      </c>
      <c r="M6488" s="2">
        <v>66109.0</v>
      </c>
      <c r="N6488" s="2" t="s">
        <v>21</v>
      </c>
    </row>
    <row r="6489" ht="15.75" customHeight="1">
      <c r="A6489" s="2">
        <v>2016.0</v>
      </c>
      <c r="B6489" s="2" t="s">
        <v>7641</v>
      </c>
      <c r="C6489" s="2" t="s">
        <v>27802</v>
      </c>
      <c r="D6489" s="2" t="str">
        <f>"904-518-0962"</f>
        <v>904-518-0962</v>
      </c>
      <c r="E6489" s="2" t="s">
        <v>428</v>
      </c>
      <c r="F6489" s="2" t="s">
        <v>5035</v>
      </c>
      <c r="G6489" s="2" t="str">
        <f>"SR-8685"</f>
        <v>SR-8685</v>
      </c>
      <c r="H6489" s="2" t="s">
        <v>27803</v>
      </c>
      <c r="I6489" s="2" t="s">
        <v>7644</v>
      </c>
      <c r="K6489" s="2" t="s">
        <v>27804</v>
      </c>
      <c r="L6489" s="2" t="s">
        <v>208</v>
      </c>
      <c r="M6489" s="2">
        <v>32259.0</v>
      </c>
      <c r="N6489" s="2" t="s">
        <v>21</v>
      </c>
    </row>
    <row r="6490" ht="15.75" customHeight="1">
      <c r="A6490" s="2">
        <v>2016.0</v>
      </c>
      <c r="B6490" s="2" t="s">
        <v>27805</v>
      </c>
      <c r="C6490" s="2" t="s">
        <v>27806</v>
      </c>
      <c r="D6490" s="2" t="str">
        <f>"304-862-2262"</f>
        <v>304-862-2262</v>
      </c>
      <c r="E6490" s="2" t="s">
        <v>1554</v>
      </c>
      <c r="F6490" s="2" t="s">
        <v>12070</v>
      </c>
      <c r="G6490" s="2" t="str">
        <f>"SR-8596"</f>
        <v>SR-8596</v>
      </c>
      <c r="H6490" s="2" t="s">
        <v>27807</v>
      </c>
      <c r="I6490" s="2" t="s">
        <v>27808</v>
      </c>
      <c r="K6490" s="2" t="s">
        <v>9635</v>
      </c>
      <c r="L6490" s="2" t="s">
        <v>6449</v>
      </c>
      <c r="M6490" s="2">
        <v>24831.0</v>
      </c>
      <c r="N6490" s="2" t="s">
        <v>21</v>
      </c>
    </row>
    <row r="6491" ht="15.75" customHeight="1">
      <c r="A6491" s="2">
        <v>2016.0</v>
      </c>
      <c r="B6491" s="2" t="s">
        <v>27809</v>
      </c>
      <c r="C6491" s="2" t="s">
        <v>27809</v>
      </c>
      <c r="D6491" s="2" t="str">
        <f>"843-290-9908"</f>
        <v>843-290-9908</v>
      </c>
      <c r="E6491" s="2" t="s">
        <v>453</v>
      </c>
      <c r="F6491" s="2" t="s">
        <v>27586</v>
      </c>
      <c r="G6491" s="2" t="str">
        <f>"SR-8712"</f>
        <v>SR-8712</v>
      </c>
      <c r="H6491" s="2" t="s">
        <v>27810</v>
      </c>
      <c r="I6491" s="2" t="s">
        <v>27588</v>
      </c>
      <c r="K6491" s="2" t="s">
        <v>5724</v>
      </c>
      <c r="L6491" s="2" t="s">
        <v>55</v>
      </c>
      <c r="M6491" s="2">
        <v>29926.0</v>
      </c>
      <c r="N6491" s="2" t="s">
        <v>21</v>
      </c>
    </row>
    <row r="6492" ht="15.75" customHeight="1">
      <c r="A6492" s="2">
        <v>2016.0</v>
      </c>
      <c r="B6492" s="2" t="s">
        <v>27811</v>
      </c>
      <c r="C6492" s="2" t="s">
        <v>27811</v>
      </c>
      <c r="D6492" s="2" t="str">
        <f>"4064045562"</f>
        <v>4064045562</v>
      </c>
      <c r="E6492" s="2" t="s">
        <v>385</v>
      </c>
      <c r="F6492" s="2" t="s">
        <v>1648</v>
      </c>
      <c r="G6492" s="2" t="str">
        <f>"SR-8709"</f>
        <v>SR-8709</v>
      </c>
      <c r="H6492" s="2" t="s">
        <v>27812</v>
      </c>
      <c r="I6492" s="2" t="s">
        <v>27813</v>
      </c>
      <c r="K6492" s="2" t="s">
        <v>2868</v>
      </c>
      <c r="L6492" s="2" t="s">
        <v>2696</v>
      </c>
      <c r="M6492" s="2">
        <v>59745.0</v>
      </c>
      <c r="N6492" s="2" t="s">
        <v>21</v>
      </c>
    </row>
    <row r="6493" ht="15.75" customHeight="1">
      <c r="A6493" s="2">
        <v>2016.0</v>
      </c>
      <c r="B6493" s="2" t="s">
        <v>27756</v>
      </c>
      <c r="C6493" s="2" t="s">
        <v>27814</v>
      </c>
      <c r="D6493" s="2" t="str">
        <f>"8035534545"</f>
        <v>8035534545</v>
      </c>
      <c r="E6493" s="2" t="s">
        <v>225</v>
      </c>
      <c r="F6493" s="2" t="s">
        <v>690</v>
      </c>
      <c r="G6493" s="2" t="str">
        <f>"SR-8710"</f>
        <v>SR-8710</v>
      </c>
      <c r="H6493" s="2" t="s">
        <v>9285</v>
      </c>
      <c r="I6493" s="2" t="s">
        <v>27759</v>
      </c>
      <c r="K6493" s="2" t="s">
        <v>3239</v>
      </c>
      <c r="L6493" s="2" t="s">
        <v>165</v>
      </c>
      <c r="M6493" s="2">
        <v>22152.0</v>
      </c>
      <c r="N6493" s="2" t="s">
        <v>21</v>
      </c>
    </row>
    <row r="6494" ht="15.75" customHeight="1">
      <c r="A6494" s="2">
        <v>2016.0</v>
      </c>
      <c r="B6494" s="2" t="s">
        <v>27815</v>
      </c>
      <c r="C6494" s="2" t="s">
        <v>27816</v>
      </c>
      <c r="D6494" s="2" t="str">
        <f>"(530) 846-6807"</f>
        <v>(530) 846-6807</v>
      </c>
      <c r="E6494" s="2" t="s">
        <v>339</v>
      </c>
      <c r="F6494" s="2" t="s">
        <v>5855</v>
      </c>
      <c r="G6494" s="2" t="str">
        <f>"SR-8540"</f>
        <v>SR-8540</v>
      </c>
      <c r="H6494" s="2" t="s">
        <v>27817</v>
      </c>
      <c r="I6494" s="2" t="s">
        <v>27818</v>
      </c>
      <c r="K6494" s="2" t="s">
        <v>27819</v>
      </c>
      <c r="L6494" s="2" t="s">
        <v>222</v>
      </c>
      <c r="M6494" s="2">
        <v>95948.0</v>
      </c>
      <c r="N6494" s="2" t="s">
        <v>21</v>
      </c>
    </row>
    <row r="6495" ht="15.75" customHeight="1">
      <c r="A6495" s="2">
        <v>2016.0</v>
      </c>
      <c r="B6495" s="2" t="s">
        <v>27820</v>
      </c>
      <c r="C6495" s="2" t="s">
        <v>27820</v>
      </c>
      <c r="D6495" s="2" t="str">
        <f>"5129716242"</f>
        <v>5129716242</v>
      </c>
      <c r="E6495" s="2" t="s">
        <v>27821</v>
      </c>
      <c r="F6495" s="2" t="s">
        <v>5128</v>
      </c>
      <c r="G6495" s="2" t="str">
        <f>"SR-8241"</f>
        <v>SR-8241</v>
      </c>
      <c r="H6495" s="2" t="s">
        <v>27822</v>
      </c>
      <c r="I6495" s="2" t="s">
        <v>27823</v>
      </c>
      <c r="K6495" s="2" t="s">
        <v>4687</v>
      </c>
      <c r="L6495" s="2" t="s">
        <v>172</v>
      </c>
      <c r="M6495" s="2">
        <v>78665.0</v>
      </c>
      <c r="N6495" s="2" t="s">
        <v>21</v>
      </c>
    </row>
    <row r="6496" ht="15.75" customHeight="1">
      <c r="A6496" s="2">
        <v>2016.0</v>
      </c>
      <c r="B6496" s="2" t="s">
        <v>27824</v>
      </c>
      <c r="C6496" s="2" t="s">
        <v>27825</v>
      </c>
      <c r="D6496" s="2" t="str">
        <f>"713-201-9237"</f>
        <v>713-201-9237</v>
      </c>
      <c r="E6496" s="2" t="s">
        <v>908</v>
      </c>
      <c r="F6496" s="2" t="s">
        <v>27826</v>
      </c>
      <c r="G6496" s="2" t="str">
        <f>"SR-8518"</f>
        <v>SR-8518</v>
      </c>
      <c r="H6496" s="2" t="s">
        <v>27827</v>
      </c>
      <c r="I6496" s="2" t="s">
        <v>27828</v>
      </c>
      <c r="K6496" s="2" t="s">
        <v>444</v>
      </c>
      <c r="L6496" s="2" t="s">
        <v>172</v>
      </c>
      <c r="M6496" s="2">
        <v>77288.0</v>
      </c>
      <c r="N6496" s="2" t="s">
        <v>21</v>
      </c>
    </row>
    <row r="6497" ht="15.75" customHeight="1">
      <c r="A6497" s="2">
        <v>2016.0</v>
      </c>
      <c r="B6497" s="2" t="s">
        <v>27829</v>
      </c>
      <c r="C6497" s="2" t="s">
        <v>27830</v>
      </c>
      <c r="D6497" s="2" t="str">
        <f>"843-368-0953"</f>
        <v>843-368-0953</v>
      </c>
      <c r="E6497" s="2" t="s">
        <v>2306</v>
      </c>
      <c r="F6497" s="2" t="s">
        <v>27831</v>
      </c>
      <c r="G6497" s="2" t="str">
        <f>"SR-8704"</f>
        <v>SR-8704</v>
      </c>
      <c r="H6497" s="2" t="s">
        <v>27832</v>
      </c>
      <c r="I6497" s="2" t="s">
        <v>27833</v>
      </c>
      <c r="K6497" s="2" t="s">
        <v>5724</v>
      </c>
      <c r="L6497" s="2" t="s">
        <v>55</v>
      </c>
      <c r="M6497" s="2">
        <v>29928.0</v>
      </c>
      <c r="N6497" s="2" t="s">
        <v>21</v>
      </c>
    </row>
    <row r="6498" ht="15.75" customHeight="1">
      <c r="A6498" s="2">
        <v>2016.0</v>
      </c>
      <c r="B6498" s="2" t="s">
        <v>27834</v>
      </c>
      <c r="C6498" s="2" t="s">
        <v>27834</v>
      </c>
      <c r="D6498" s="2" t="str">
        <f>"646-761-2271"</f>
        <v>646-761-2271</v>
      </c>
      <c r="E6498" s="2" t="s">
        <v>27835</v>
      </c>
      <c r="F6498" s="2" t="s">
        <v>12612</v>
      </c>
      <c r="G6498" s="2" t="str">
        <f>"SR-8533"</f>
        <v>SR-8533</v>
      </c>
      <c r="H6498" s="2" t="s">
        <v>27836</v>
      </c>
      <c r="I6498" s="2" t="s">
        <v>27837</v>
      </c>
      <c r="K6498" s="2" t="s">
        <v>26685</v>
      </c>
      <c r="L6498" s="2" t="s">
        <v>142</v>
      </c>
      <c r="M6498" s="2">
        <v>10314.0</v>
      </c>
      <c r="N6498" s="2" t="s">
        <v>21</v>
      </c>
    </row>
    <row r="6499" ht="15.75" customHeight="1">
      <c r="A6499" s="2">
        <v>2016.0</v>
      </c>
      <c r="B6499" s="2" t="s">
        <v>27838</v>
      </c>
      <c r="C6499" s="2" t="s">
        <v>27838</v>
      </c>
      <c r="D6499" s="2" t="str">
        <f>"4196343716"</f>
        <v>4196343716</v>
      </c>
      <c r="E6499" s="2" t="s">
        <v>15</v>
      </c>
      <c r="F6499" s="2" t="s">
        <v>3144</v>
      </c>
      <c r="G6499" s="2" t="str">
        <f>"SR-8004"</f>
        <v>SR-8004</v>
      </c>
      <c r="H6499" s="2" t="s">
        <v>27839</v>
      </c>
      <c r="I6499" s="2" t="s">
        <v>27840</v>
      </c>
      <c r="K6499" s="2" t="s">
        <v>28</v>
      </c>
      <c r="L6499" s="2" t="s">
        <v>344</v>
      </c>
      <c r="M6499" s="2">
        <v>45810.0</v>
      </c>
      <c r="N6499" s="2" t="s">
        <v>21</v>
      </c>
    </row>
    <row r="6500" ht="15.75" customHeight="1">
      <c r="A6500" s="2">
        <v>2016.0</v>
      </c>
      <c r="B6500" s="2" t="s">
        <v>27841</v>
      </c>
      <c r="C6500" s="2" t="s">
        <v>27841</v>
      </c>
      <c r="D6500" s="2" t="str">
        <f>"6467610275"</f>
        <v>6467610275</v>
      </c>
      <c r="E6500" s="2" t="s">
        <v>27842</v>
      </c>
      <c r="F6500" s="2" t="s">
        <v>12612</v>
      </c>
      <c r="G6500" s="2" t="str">
        <f>"SR-8414"</f>
        <v>SR-8414</v>
      </c>
      <c r="H6500" s="2" t="s">
        <v>27843</v>
      </c>
      <c r="I6500" s="2" t="s">
        <v>27837</v>
      </c>
      <c r="K6500" s="2" t="s">
        <v>26685</v>
      </c>
      <c r="L6500" s="2" t="s">
        <v>142</v>
      </c>
      <c r="M6500" s="2">
        <v>10314.0</v>
      </c>
      <c r="N6500" s="2" t="s">
        <v>21</v>
      </c>
    </row>
    <row r="6501" ht="15.75" customHeight="1">
      <c r="A6501" s="2">
        <v>2016.0</v>
      </c>
      <c r="B6501" s="2" t="s">
        <v>27844</v>
      </c>
      <c r="D6501" s="2" t="str">
        <f>""</f>
        <v/>
      </c>
      <c r="E6501" s="2" t="s">
        <v>1301</v>
      </c>
      <c r="F6501" s="2" t="s">
        <v>27845</v>
      </c>
      <c r="G6501" s="2" t="str">
        <f>"SR-8408"</f>
        <v>SR-8408</v>
      </c>
      <c r="H6501" s="2" t="s">
        <v>27846</v>
      </c>
    </row>
    <row r="6502" ht="15.75" customHeight="1">
      <c r="A6502" s="2">
        <v>2016.0</v>
      </c>
      <c r="B6502" s="2" t="s">
        <v>27847</v>
      </c>
      <c r="C6502" s="2" t="s">
        <v>27848</v>
      </c>
      <c r="D6502" s="2" t="str">
        <f>"253-921-1013"</f>
        <v>253-921-1013</v>
      </c>
      <c r="E6502" s="2" t="s">
        <v>456</v>
      </c>
      <c r="F6502" s="2" t="s">
        <v>12293</v>
      </c>
      <c r="G6502" s="2" t="str">
        <f>"SR-8722"</f>
        <v>SR-8722</v>
      </c>
      <c r="H6502" s="2" t="s">
        <v>27849</v>
      </c>
      <c r="I6502" s="2" t="s">
        <v>27850</v>
      </c>
      <c r="K6502" s="2" t="s">
        <v>27851</v>
      </c>
      <c r="L6502" s="2" t="s">
        <v>222</v>
      </c>
      <c r="M6502" s="2">
        <v>92056.0</v>
      </c>
      <c r="N6502" s="2" t="s">
        <v>21</v>
      </c>
    </row>
    <row r="6503" ht="15.75" customHeight="1">
      <c r="A6503" s="2">
        <v>2016.0</v>
      </c>
      <c r="B6503" s="2" t="s">
        <v>27852</v>
      </c>
      <c r="C6503" s="2" t="s">
        <v>27852</v>
      </c>
      <c r="D6503" s="2" t="str">
        <f>"8328301341"</f>
        <v>8328301341</v>
      </c>
      <c r="E6503" s="2" t="s">
        <v>27853</v>
      </c>
      <c r="F6503" s="2" t="s">
        <v>12784</v>
      </c>
      <c r="G6503" s="2" t="str">
        <f>"SR-8650"</f>
        <v>SR-8650</v>
      </c>
      <c r="H6503" s="2" t="s">
        <v>27854</v>
      </c>
      <c r="I6503" s="2" t="s">
        <v>27855</v>
      </c>
      <c r="K6503" s="2" t="s">
        <v>444</v>
      </c>
      <c r="L6503" s="2" t="s">
        <v>172</v>
      </c>
      <c r="M6503" s="2">
        <v>77085.0</v>
      </c>
      <c r="N6503" s="2" t="s">
        <v>21</v>
      </c>
    </row>
    <row r="6504" ht="15.75" customHeight="1">
      <c r="A6504" s="2">
        <v>2016.0</v>
      </c>
      <c r="B6504" s="2" t="s">
        <v>27856</v>
      </c>
      <c r="C6504" s="2" t="s">
        <v>27857</v>
      </c>
      <c r="D6504" s="2" t="str">
        <f>"7134479256"</f>
        <v>7134479256</v>
      </c>
      <c r="E6504" s="2" t="s">
        <v>27858</v>
      </c>
      <c r="F6504" s="2" t="s">
        <v>12973</v>
      </c>
      <c r="G6504" s="2" t="str">
        <f>"SR-8138"</f>
        <v>SR-8138</v>
      </c>
      <c r="H6504" s="2" t="s">
        <v>27859</v>
      </c>
      <c r="I6504" s="2" t="s">
        <v>27860</v>
      </c>
      <c r="K6504" s="2" t="s">
        <v>444</v>
      </c>
      <c r="L6504" s="2" t="s">
        <v>172</v>
      </c>
      <c r="M6504" s="2">
        <v>77243.0</v>
      </c>
      <c r="N6504" s="2" t="s">
        <v>21</v>
      </c>
    </row>
    <row r="6505" ht="15.75" customHeight="1">
      <c r="A6505" s="2">
        <v>2016.0</v>
      </c>
      <c r="B6505" s="2" t="s">
        <v>27861</v>
      </c>
      <c r="C6505" s="2" t="s">
        <v>27862</v>
      </c>
      <c r="D6505" s="2" t="str">
        <f>"5135448445"</f>
        <v>5135448445</v>
      </c>
      <c r="E6505" s="2" t="s">
        <v>2384</v>
      </c>
      <c r="F6505" s="2" t="s">
        <v>701</v>
      </c>
      <c r="G6505" s="2" t="str">
        <f>"SR-8720"</f>
        <v>SR-8720</v>
      </c>
      <c r="H6505" s="2" t="s">
        <v>27863</v>
      </c>
      <c r="I6505" s="2" t="s">
        <v>27864</v>
      </c>
      <c r="K6505" s="2" t="s">
        <v>5335</v>
      </c>
      <c r="L6505" s="2" t="s">
        <v>344</v>
      </c>
      <c r="M6505" s="2">
        <v>45040.0</v>
      </c>
      <c r="N6505" s="2" t="s">
        <v>21</v>
      </c>
    </row>
    <row r="6506" ht="15.75" customHeight="1">
      <c r="A6506" s="2">
        <v>2016.0</v>
      </c>
      <c r="B6506" s="2" t="s">
        <v>27865</v>
      </c>
      <c r="C6506" s="2" t="s">
        <v>27865</v>
      </c>
      <c r="D6506" s="2" t="str">
        <f>"9519706491"</f>
        <v>9519706491</v>
      </c>
      <c r="E6506" s="2" t="s">
        <v>1015</v>
      </c>
      <c r="F6506" s="2" t="s">
        <v>320</v>
      </c>
      <c r="G6506" s="2" t="str">
        <f>"SR-8723"</f>
        <v>SR-8723</v>
      </c>
      <c r="H6506" s="2" t="s">
        <v>12407</v>
      </c>
      <c r="I6506" s="2" t="s">
        <v>27637</v>
      </c>
      <c r="K6506" s="2" t="s">
        <v>11204</v>
      </c>
      <c r="L6506" s="2" t="s">
        <v>157</v>
      </c>
      <c r="M6506" s="2">
        <v>80498.0</v>
      </c>
      <c r="N6506" s="2" t="s">
        <v>21</v>
      </c>
    </row>
    <row r="6507" ht="15.75" customHeight="1">
      <c r="A6507" s="2">
        <v>2016.0</v>
      </c>
      <c r="B6507" s="2" t="s">
        <v>27866</v>
      </c>
      <c r="D6507" s="2" t="str">
        <f>""</f>
        <v/>
      </c>
      <c r="E6507" s="2" t="s">
        <v>50</v>
      </c>
      <c r="F6507" s="2" t="s">
        <v>27867</v>
      </c>
      <c r="G6507" s="2" t="str">
        <f>"SR-7302"</f>
        <v>SR-7302</v>
      </c>
      <c r="H6507" s="2" t="s">
        <v>27868</v>
      </c>
      <c r="N6507" s="2" t="s">
        <v>21</v>
      </c>
    </row>
    <row r="6508" ht="15.75" customHeight="1">
      <c r="A6508" s="2">
        <v>2016.0</v>
      </c>
      <c r="B6508" s="2" t="s">
        <v>27869</v>
      </c>
      <c r="C6508" s="2" t="s">
        <v>27870</v>
      </c>
      <c r="D6508" s="2" t="str">
        <f>"417 543 5583"</f>
        <v>417 543 5583</v>
      </c>
      <c r="E6508" s="2" t="s">
        <v>160</v>
      </c>
      <c r="F6508" s="2" t="s">
        <v>27871</v>
      </c>
      <c r="G6508" s="2" t="str">
        <f>"SR-8719"</f>
        <v>SR-8719</v>
      </c>
      <c r="H6508" s="2" t="s">
        <v>27872</v>
      </c>
      <c r="I6508" s="2" t="s">
        <v>13293</v>
      </c>
      <c r="K6508" s="2" t="s">
        <v>27873</v>
      </c>
      <c r="L6508" s="2" t="s">
        <v>214</v>
      </c>
      <c r="M6508" s="2">
        <v>65608.0</v>
      </c>
      <c r="N6508" s="2" t="s">
        <v>21</v>
      </c>
    </row>
    <row r="6509" ht="15.75" customHeight="1">
      <c r="A6509" s="2">
        <v>2016.0</v>
      </c>
      <c r="B6509" s="2" t="s">
        <v>27874</v>
      </c>
      <c r="C6509" s="2" t="s">
        <v>27875</v>
      </c>
      <c r="D6509" s="2" t="str">
        <f>"4235857134"</f>
        <v>4235857134</v>
      </c>
      <c r="E6509" s="2" t="s">
        <v>160</v>
      </c>
      <c r="F6509" s="2" t="s">
        <v>5205</v>
      </c>
      <c r="G6509" s="2" t="str">
        <f>"SR-8726"</f>
        <v>SR-8726</v>
      </c>
      <c r="H6509" s="2" t="s">
        <v>27876</v>
      </c>
      <c r="I6509" s="2" t="s">
        <v>27877</v>
      </c>
      <c r="K6509" s="2" t="s">
        <v>3397</v>
      </c>
      <c r="L6509" s="2" t="s">
        <v>279</v>
      </c>
      <c r="M6509" s="2">
        <v>37813.0</v>
      </c>
      <c r="N6509" s="2" t="s">
        <v>21</v>
      </c>
    </row>
    <row r="6510" ht="15.75" customHeight="1">
      <c r="A6510" s="2">
        <v>2016.0</v>
      </c>
      <c r="B6510" s="2" t="s">
        <v>19317</v>
      </c>
      <c r="C6510" s="2" t="s">
        <v>27878</v>
      </c>
      <c r="D6510" s="2" t="str">
        <f>"7864737006"</f>
        <v>7864737006</v>
      </c>
      <c r="E6510" s="2" t="s">
        <v>2083</v>
      </c>
      <c r="F6510" s="2" t="s">
        <v>1040</v>
      </c>
      <c r="G6510" s="2" t="str">
        <f>"SR-8497"</f>
        <v>SR-8497</v>
      </c>
      <c r="H6510" s="2" t="s">
        <v>21225</v>
      </c>
      <c r="I6510" s="2" t="s">
        <v>27879</v>
      </c>
      <c r="K6510" s="2" t="s">
        <v>7229</v>
      </c>
      <c r="L6510" s="2" t="s">
        <v>208</v>
      </c>
      <c r="M6510" s="2">
        <v>33030.0</v>
      </c>
      <c r="N6510" s="2" t="s">
        <v>21</v>
      </c>
    </row>
    <row r="6511" ht="15.75" customHeight="1">
      <c r="A6511" s="2">
        <v>2016.0</v>
      </c>
      <c r="B6511" s="2" t="s">
        <v>27880</v>
      </c>
      <c r="C6511" s="2" t="s">
        <v>27881</v>
      </c>
      <c r="D6511" s="2" t="str">
        <f>"240-577-2543"</f>
        <v>240-577-2543</v>
      </c>
      <c r="E6511" s="2" t="s">
        <v>1263</v>
      </c>
      <c r="F6511" s="2" t="s">
        <v>27882</v>
      </c>
      <c r="G6511" s="2" t="str">
        <f>"SR-8718"</f>
        <v>SR-8718</v>
      </c>
      <c r="H6511" s="2" t="s">
        <v>27883</v>
      </c>
      <c r="I6511" s="2" t="s">
        <v>27884</v>
      </c>
      <c r="K6511" s="2" t="s">
        <v>27885</v>
      </c>
      <c r="L6511" s="2" t="s">
        <v>1868</v>
      </c>
      <c r="M6511" s="2">
        <v>20650.0</v>
      </c>
      <c r="N6511" s="2" t="s">
        <v>21</v>
      </c>
    </row>
    <row r="6512" ht="15.75" customHeight="1">
      <c r="A6512" s="2">
        <v>2016.0</v>
      </c>
      <c r="B6512" s="2" t="s">
        <v>27886</v>
      </c>
      <c r="C6512" s="2" t="s">
        <v>27886</v>
      </c>
      <c r="D6512" s="2" t="str">
        <f>"(970)-218-4290"</f>
        <v>(970)-218-4290</v>
      </c>
      <c r="E6512" s="2" t="s">
        <v>1744</v>
      </c>
      <c r="F6512" s="2" t="s">
        <v>8160</v>
      </c>
      <c r="G6512" s="2" t="str">
        <f>"SR-8285"</f>
        <v>SR-8285</v>
      </c>
      <c r="H6512" s="2" t="s">
        <v>27887</v>
      </c>
      <c r="I6512" s="2" t="s">
        <v>27888</v>
      </c>
      <c r="K6512" s="2" t="s">
        <v>522</v>
      </c>
      <c r="L6512" s="2" t="s">
        <v>157</v>
      </c>
      <c r="M6512" s="2">
        <v>80612.0</v>
      </c>
      <c r="N6512" s="2" t="s">
        <v>21</v>
      </c>
    </row>
    <row r="6513" ht="15.75" customHeight="1">
      <c r="A6513" s="2">
        <v>2016.0</v>
      </c>
      <c r="B6513" s="2" t="s">
        <v>27889</v>
      </c>
      <c r="D6513" s="2" t="str">
        <f>""</f>
        <v/>
      </c>
      <c r="E6513" s="2" t="s">
        <v>22056</v>
      </c>
      <c r="F6513" s="2" t="s">
        <v>6655</v>
      </c>
      <c r="G6513" s="2" t="str">
        <f>"SR-8211"</f>
        <v>SR-8211</v>
      </c>
      <c r="H6513" s="2" t="s">
        <v>27890</v>
      </c>
    </row>
    <row r="6514" ht="15.75" customHeight="1">
      <c r="A6514" s="2">
        <v>2016.0</v>
      </c>
      <c r="B6514" s="2" t="s">
        <v>27891</v>
      </c>
      <c r="C6514" s="2" t="s">
        <v>27892</v>
      </c>
      <c r="D6514" s="2" t="str">
        <f>"8636338412"</f>
        <v>8636338412</v>
      </c>
      <c r="E6514" s="2" t="s">
        <v>81</v>
      </c>
      <c r="F6514" s="2" t="s">
        <v>27893</v>
      </c>
      <c r="G6514" s="2" t="str">
        <f>"SR-8732"</f>
        <v>SR-8732</v>
      </c>
      <c r="H6514" s="2" t="s">
        <v>27894</v>
      </c>
      <c r="I6514" s="2" t="s">
        <v>27895</v>
      </c>
      <c r="K6514" s="2" t="s">
        <v>26300</v>
      </c>
      <c r="L6514" s="2" t="s">
        <v>208</v>
      </c>
      <c r="M6514" s="2">
        <v>33852.0</v>
      </c>
      <c r="N6514" s="2" t="s">
        <v>21</v>
      </c>
    </row>
    <row r="6515" ht="15.75" customHeight="1">
      <c r="A6515" s="2">
        <v>2016.0</v>
      </c>
      <c r="B6515" s="2" t="s">
        <v>13255</v>
      </c>
      <c r="C6515" s="2" t="s">
        <v>13255</v>
      </c>
      <c r="D6515" s="2" t="str">
        <f>"6203521316"</f>
        <v>6203521316</v>
      </c>
      <c r="E6515" s="2" t="s">
        <v>718</v>
      </c>
      <c r="F6515" s="2" t="s">
        <v>13256</v>
      </c>
      <c r="G6515" s="2" t="str">
        <f>"SR-3824"</f>
        <v>SR-3824</v>
      </c>
      <c r="H6515" s="2" t="s">
        <v>13257</v>
      </c>
      <c r="I6515" s="2" t="s">
        <v>13258</v>
      </c>
      <c r="K6515" s="2" t="s">
        <v>5675</v>
      </c>
      <c r="L6515" s="2" t="s">
        <v>272</v>
      </c>
      <c r="M6515" s="2">
        <v>67578.0</v>
      </c>
      <c r="N6515" s="2" t="s">
        <v>21</v>
      </c>
    </row>
    <row r="6516" ht="15.75" customHeight="1">
      <c r="A6516" s="2">
        <v>2016.0</v>
      </c>
      <c r="B6516" s="2" t="s">
        <v>27896</v>
      </c>
      <c r="C6516" s="2" t="s">
        <v>27897</v>
      </c>
      <c r="D6516" s="2" t="str">
        <f>"205601931"</f>
        <v>205601931</v>
      </c>
      <c r="E6516" s="2" t="s">
        <v>1306</v>
      </c>
      <c r="F6516" s="2" t="s">
        <v>27898</v>
      </c>
      <c r="G6516" s="2" t="str">
        <f>"SR-3288"</f>
        <v>SR-3288</v>
      </c>
      <c r="H6516" s="2" t="s">
        <v>27899</v>
      </c>
      <c r="I6516" s="2" t="s">
        <v>27900</v>
      </c>
      <c r="K6516" s="2" t="s">
        <v>1173</v>
      </c>
      <c r="L6516" s="2" t="s">
        <v>539</v>
      </c>
      <c r="M6516" s="2">
        <v>35242.0</v>
      </c>
      <c r="N6516" s="2" t="s">
        <v>21</v>
      </c>
    </row>
    <row r="6517" ht="15.75" customHeight="1">
      <c r="A6517" s="2">
        <v>2016.0</v>
      </c>
      <c r="B6517" s="2" t="s">
        <v>27901</v>
      </c>
      <c r="C6517" s="2" t="s">
        <v>27901</v>
      </c>
      <c r="D6517" s="2" t="str">
        <f>"4024380102"</f>
        <v>4024380102</v>
      </c>
      <c r="E6517" s="2" t="s">
        <v>2243</v>
      </c>
      <c r="F6517" s="2" t="s">
        <v>27902</v>
      </c>
      <c r="G6517" s="2" t="str">
        <f>"SR-8739"</f>
        <v>SR-8739</v>
      </c>
      <c r="H6517" s="2" t="s">
        <v>27903</v>
      </c>
      <c r="I6517" s="2" t="s">
        <v>27904</v>
      </c>
      <c r="K6517" s="2" t="s">
        <v>572</v>
      </c>
      <c r="L6517" s="2" t="s">
        <v>757</v>
      </c>
      <c r="M6517" s="2">
        <v>68521.0</v>
      </c>
      <c r="N6517" s="2" t="s">
        <v>21</v>
      </c>
    </row>
    <row r="6518" ht="15.75" customHeight="1">
      <c r="A6518" s="2">
        <v>2016.0</v>
      </c>
      <c r="B6518" s="2" t="s">
        <v>27905</v>
      </c>
      <c r="C6518" s="2" t="s">
        <v>27905</v>
      </c>
      <c r="D6518" s="2" t="str">
        <f>"9709871745"</f>
        <v>9709871745</v>
      </c>
      <c r="E6518" s="2" t="s">
        <v>1239</v>
      </c>
      <c r="F6518" s="2" t="s">
        <v>448</v>
      </c>
      <c r="G6518" s="2" t="str">
        <f>"SR-8742"</f>
        <v>SR-8742</v>
      </c>
      <c r="H6518" s="2" t="s">
        <v>27906</v>
      </c>
      <c r="I6518" s="2" t="s">
        <v>27907</v>
      </c>
      <c r="K6518" s="2" t="s">
        <v>27908</v>
      </c>
      <c r="L6518" s="2" t="s">
        <v>157</v>
      </c>
      <c r="M6518" s="2">
        <v>81428.0</v>
      </c>
      <c r="N6518" s="2" t="s">
        <v>21</v>
      </c>
    </row>
    <row r="6519" ht="15.75" customHeight="1">
      <c r="A6519" s="2">
        <v>2016.0</v>
      </c>
      <c r="B6519" s="2" t="s">
        <v>27909</v>
      </c>
      <c r="C6519" s="2" t="s">
        <v>27910</v>
      </c>
      <c r="D6519" s="2" t="str">
        <f>"919-934-9317"</f>
        <v>919-934-9317</v>
      </c>
      <c r="E6519" s="2" t="s">
        <v>267</v>
      </c>
      <c r="F6519" s="2" t="s">
        <v>21136</v>
      </c>
      <c r="G6519" s="2" t="str">
        <f>"SR-8748"</f>
        <v>SR-8748</v>
      </c>
      <c r="H6519" s="2" t="s">
        <v>27911</v>
      </c>
      <c r="I6519" s="2" t="s">
        <v>27912</v>
      </c>
      <c r="K6519" s="2" t="s">
        <v>27913</v>
      </c>
      <c r="L6519" s="2" t="s">
        <v>20</v>
      </c>
      <c r="M6519" s="2">
        <v>27524.0</v>
      </c>
      <c r="N6519" s="2" t="s">
        <v>21</v>
      </c>
    </row>
    <row r="6520" ht="15.75" customHeight="1">
      <c r="A6520" s="2">
        <v>2016.0</v>
      </c>
      <c r="B6520" s="2" t="s">
        <v>27914</v>
      </c>
      <c r="C6520" s="2" t="s">
        <v>27915</v>
      </c>
      <c r="D6520" s="2" t="str">
        <f>"(229)-869-7210"</f>
        <v>(229)-869-7210</v>
      </c>
      <c r="E6520" s="2" t="s">
        <v>27916</v>
      </c>
      <c r="F6520" s="2" t="s">
        <v>16826</v>
      </c>
      <c r="G6520" s="2" t="str">
        <f>"SR-8741"</f>
        <v>SR-8741</v>
      </c>
      <c r="H6520" s="2" t="s">
        <v>27917</v>
      </c>
      <c r="I6520" s="2" t="s">
        <v>23068</v>
      </c>
      <c r="K6520" s="2" t="s">
        <v>27918</v>
      </c>
      <c r="L6520" s="2" t="s">
        <v>200</v>
      </c>
      <c r="M6520" s="2">
        <v>39826.0</v>
      </c>
      <c r="N6520" s="2" t="s">
        <v>21</v>
      </c>
    </row>
    <row r="6521" ht="15.75" customHeight="1">
      <c r="A6521" s="2">
        <v>2016.0</v>
      </c>
      <c r="B6521" s="2" t="s">
        <v>27919</v>
      </c>
      <c r="C6521" s="2" t="s">
        <v>27919</v>
      </c>
      <c r="D6521" s="2" t="str">
        <f>"631-737-1389"</f>
        <v>631-737-1389</v>
      </c>
      <c r="E6521" s="2" t="s">
        <v>2309</v>
      </c>
      <c r="F6521" s="2" t="s">
        <v>5632</v>
      </c>
      <c r="G6521" s="2" t="str">
        <f>"SR-8743"</f>
        <v>SR-8743</v>
      </c>
      <c r="H6521" s="2" t="s">
        <v>27920</v>
      </c>
      <c r="I6521" s="2" t="s">
        <v>27921</v>
      </c>
      <c r="K6521" s="2" t="s">
        <v>27922</v>
      </c>
      <c r="L6521" s="2" t="s">
        <v>142</v>
      </c>
      <c r="M6521" s="2">
        <v>11720.0</v>
      </c>
      <c r="N6521" s="2" t="s">
        <v>21</v>
      </c>
    </row>
    <row r="6522" ht="15.75" customHeight="1">
      <c r="A6522" s="2">
        <v>2016.0</v>
      </c>
      <c r="B6522" s="2" t="s">
        <v>12528</v>
      </c>
      <c r="C6522" s="2" t="s">
        <v>27923</v>
      </c>
      <c r="D6522" s="2" t="str">
        <f>"8505142259"</f>
        <v>8505142259</v>
      </c>
      <c r="E6522" s="2" t="s">
        <v>27924</v>
      </c>
      <c r="F6522" s="2" t="s">
        <v>9036</v>
      </c>
      <c r="G6522" s="2" t="str">
        <f>"SR-8749"</f>
        <v>SR-8749</v>
      </c>
      <c r="H6522" s="2" t="s">
        <v>27925</v>
      </c>
      <c r="I6522" s="2" t="s">
        <v>27926</v>
      </c>
      <c r="K6522" s="2" t="s">
        <v>2007</v>
      </c>
      <c r="L6522" s="2" t="s">
        <v>208</v>
      </c>
      <c r="M6522" s="2">
        <v>32309.0</v>
      </c>
      <c r="N6522" s="2" t="s">
        <v>21</v>
      </c>
    </row>
    <row r="6523" ht="15.75" customHeight="1">
      <c r="A6523" s="2">
        <v>2016.0</v>
      </c>
      <c r="B6523" s="2" t="s">
        <v>5265</v>
      </c>
      <c r="C6523" s="2" t="s">
        <v>27927</v>
      </c>
      <c r="D6523" s="2" t="str">
        <f>"641-752-4276"</f>
        <v>641-752-4276</v>
      </c>
      <c r="E6523" s="2" t="s">
        <v>580</v>
      </c>
      <c r="F6523" s="2" t="s">
        <v>5267</v>
      </c>
      <c r="G6523" s="2" t="str">
        <f>"SR-8733"</f>
        <v>SR-8733</v>
      </c>
      <c r="H6523" s="2" t="s">
        <v>27928</v>
      </c>
      <c r="I6523" s="2" t="s">
        <v>5269</v>
      </c>
      <c r="K6523" s="2" t="s">
        <v>5270</v>
      </c>
      <c r="L6523" s="2" t="s">
        <v>560</v>
      </c>
      <c r="M6523" s="2">
        <v>50158.0</v>
      </c>
      <c r="N6523" s="2" t="s">
        <v>21</v>
      </c>
    </row>
    <row r="6524" ht="15.75" customHeight="1">
      <c r="A6524" s="2">
        <v>2016.0</v>
      </c>
      <c r="B6524" s="2" t="s">
        <v>27929</v>
      </c>
      <c r="C6524" s="2" t="s">
        <v>27930</v>
      </c>
      <c r="D6524" s="2" t="str">
        <f>"281-996-8719"</f>
        <v>281-996-8719</v>
      </c>
      <c r="E6524" s="2" t="s">
        <v>261</v>
      </c>
      <c r="F6524" s="2" t="s">
        <v>12244</v>
      </c>
      <c r="G6524" s="2" t="str">
        <f>"SR-8753"</f>
        <v>SR-8753</v>
      </c>
      <c r="H6524" s="2" t="s">
        <v>27931</v>
      </c>
      <c r="I6524" s="2" t="s">
        <v>27932</v>
      </c>
      <c r="K6524" s="2" t="s">
        <v>3524</v>
      </c>
      <c r="L6524" s="2" t="s">
        <v>172</v>
      </c>
      <c r="M6524" s="2">
        <v>7754.0</v>
      </c>
      <c r="N6524" s="2" t="s">
        <v>21</v>
      </c>
    </row>
    <row r="6525" ht="15.75" customHeight="1">
      <c r="A6525" s="2">
        <v>2016.0</v>
      </c>
      <c r="B6525" s="2" t="s">
        <v>27933</v>
      </c>
      <c r="C6525" s="2" t="s">
        <v>27933</v>
      </c>
      <c r="D6525" s="2" t="str">
        <f>"213-700-5402"</f>
        <v>213-700-5402</v>
      </c>
      <c r="E6525" s="2" t="s">
        <v>50</v>
      </c>
      <c r="F6525" s="2" t="s">
        <v>3131</v>
      </c>
      <c r="G6525" s="2" t="str">
        <f>"SR-8499"</f>
        <v>SR-8499</v>
      </c>
      <c r="H6525" s="2" t="s">
        <v>27934</v>
      </c>
      <c r="I6525" s="2" t="s">
        <v>27935</v>
      </c>
      <c r="K6525" s="2" t="s">
        <v>13472</v>
      </c>
      <c r="L6525" s="2" t="s">
        <v>222</v>
      </c>
      <c r="M6525" s="2">
        <v>91381.0</v>
      </c>
      <c r="N6525" s="2" t="s">
        <v>21</v>
      </c>
    </row>
    <row r="6526" ht="15.75" customHeight="1">
      <c r="A6526" s="2">
        <v>2016.0</v>
      </c>
      <c r="B6526" s="2" t="s">
        <v>27936</v>
      </c>
      <c r="C6526" s="2" t="s">
        <v>27937</v>
      </c>
      <c r="D6526" s="2" t="str">
        <f>"970 773 1559"</f>
        <v>970 773 1559</v>
      </c>
      <c r="E6526" s="2" t="s">
        <v>1529</v>
      </c>
      <c r="F6526" s="2" t="s">
        <v>5721</v>
      </c>
      <c r="G6526" s="2" t="str">
        <f>"SR-8463"</f>
        <v>SR-8463</v>
      </c>
      <c r="H6526" s="2" t="s">
        <v>27938</v>
      </c>
      <c r="I6526" s="2" t="s">
        <v>27939</v>
      </c>
      <c r="K6526" s="2" t="s">
        <v>8681</v>
      </c>
      <c r="L6526" s="2" t="s">
        <v>157</v>
      </c>
      <c r="M6526" s="2">
        <v>81418.0</v>
      </c>
      <c r="N6526" s="2" t="s">
        <v>21</v>
      </c>
    </row>
    <row r="6527" ht="15.75" customHeight="1">
      <c r="A6527" s="2">
        <v>2016.0</v>
      </c>
      <c r="B6527" s="2" t="s">
        <v>27940</v>
      </c>
      <c r="C6527" s="2" t="s">
        <v>27940</v>
      </c>
      <c r="D6527" s="2" t="str">
        <f>"7579458425"</f>
        <v>7579458425</v>
      </c>
      <c r="E6527" s="2" t="s">
        <v>1803</v>
      </c>
      <c r="F6527" s="2" t="s">
        <v>1151</v>
      </c>
      <c r="G6527" s="2" t="str">
        <f>"SR-8751"</f>
        <v>SR-8751</v>
      </c>
      <c r="H6527" s="2" t="s">
        <v>27941</v>
      </c>
      <c r="I6527" s="2" t="s">
        <v>27942</v>
      </c>
      <c r="K6527" s="2" t="s">
        <v>27943</v>
      </c>
      <c r="L6527" s="2" t="s">
        <v>165</v>
      </c>
      <c r="M6527" s="2">
        <v>23693.0</v>
      </c>
      <c r="N6527" s="2" t="s">
        <v>21</v>
      </c>
    </row>
    <row r="6528" ht="15.75" customHeight="1">
      <c r="A6528" s="2">
        <v>2016.0</v>
      </c>
      <c r="B6528" s="2" t="s">
        <v>27944</v>
      </c>
      <c r="C6528" s="2" t="s">
        <v>27945</v>
      </c>
      <c r="D6528" s="2" t="str">
        <f>"1-806-790-4316"</f>
        <v>1-806-790-4316</v>
      </c>
      <c r="E6528" s="2" t="s">
        <v>18430</v>
      </c>
      <c r="F6528" s="2" t="s">
        <v>27946</v>
      </c>
      <c r="G6528" s="2" t="str">
        <f>"SR-8740"</f>
        <v>SR-8740</v>
      </c>
      <c r="H6528" s="2" t="s">
        <v>27947</v>
      </c>
      <c r="I6528" s="2" t="s">
        <v>27948</v>
      </c>
      <c r="K6528" s="2" t="s">
        <v>1121</v>
      </c>
      <c r="L6528" s="2" t="s">
        <v>172</v>
      </c>
      <c r="M6528" s="2">
        <v>79423.0</v>
      </c>
      <c r="N6528" s="2" t="s">
        <v>21</v>
      </c>
    </row>
    <row r="6529" ht="15.75" customHeight="1">
      <c r="A6529" s="2">
        <v>2016.0</v>
      </c>
      <c r="B6529" s="2" t="s">
        <v>27949</v>
      </c>
      <c r="D6529" s="2" t="str">
        <f>""</f>
        <v/>
      </c>
      <c r="E6529" s="2" t="s">
        <v>4501</v>
      </c>
      <c r="F6529" s="2" t="s">
        <v>27950</v>
      </c>
      <c r="G6529" s="2" t="str">
        <f>"SR-7556"</f>
        <v>SR-7556</v>
      </c>
      <c r="H6529" s="2" t="s">
        <v>27951</v>
      </c>
      <c r="N6529" s="2" t="s">
        <v>21</v>
      </c>
    </row>
    <row r="6530" ht="15.75" customHeight="1">
      <c r="A6530" s="2">
        <v>2016.0</v>
      </c>
      <c r="B6530" s="2" t="s">
        <v>27952</v>
      </c>
      <c r="C6530" s="2" t="s">
        <v>27952</v>
      </c>
      <c r="D6530" s="2" t="str">
        <f>"8066854631"</f>
        <v>8066854631</v>
      </c>
      <c r="E6530" s="2" t="s">
        <v>27953</v>
      </c>
      <c r="F6530" s="2" t="s">
        <v>5335</v>
      </c>
      <c r="G6530" s="2" t="str">
        <f>"SR-7592"</f>
        <v>SR-7592</v>
      </c>
      <c r="H6530" s="2" t="s">
        <v>27954</v>
      </c>
      <c r="I6530" s="2" t="s">
        <v>27955</v>
      </c>
      <c r="K6530" s="2" t="s">
        <v>1121</v>
      </c>
      <c r="L6530" s="2" t="s">
        <v>172</v>
      </c>
      <c r="M6530" s="2">
        <v>79423.0</v>
      </c>
      <c r="N6530" s="2" t="s">
        <v>21</v>
      </c>
    </row>
    <row r="6531" ht="15.75" customHeight="1">
      <c r="A6531" s="2">
        <v>2016.0</v>
      </c>
      <c r="B6531" s="2" t="s">
        <v>27956</v>
      </c>
      <c r="C6531" s="2" t="s">
        <v>27957</v>
      </c>
      <c r="D6531" s="2" t="str">
        <f>"7196944179"</f>
        <v>7196944179</v>
      </c>
      <c r="E6531" s="2" t="s">
        <v>705</v>
      </c>
      <c r="F6531" s="2" t="s">
        <v>15730</v>
      </c>
      <c r="G6531" s="2" t="str">
        <f>"SR-8644"</f>
        <v>SR-8644</v>
      </c>
      <c r="H6531" s="2" t="s">
        <v>27958</v>
      </c>
      <c r="I6531" s="2" t="s">
        <v>27959</v>
      </c>
      <c r="K6531" s="2" t="s">
        <v>809</v>
      </c>
      <c r="L6531" s="2" t="s">
        <v>157</v>
      </c>
      <c r="M6531" s="2">
        <v>80920.0</v>
      </c>
      <c r="N6531" s="2" t="s">
        <v>21</v>
      </c>
    </row>
    <row r="6532" ht="15.75" customHeight="1">
      <c r="A6532" s="2">
        <v>2016.0</v>
      </c>
      <c r="B6532" s="2" t="s">
        <v>27960</v>
      </c>
      <c r="C6532" s="2" t="s">
        <v>27961</v>
      </c>
      <c r="D6532" s="2" t="str">
        <f>"1-517-286-6685"</f>
        <v>1-517-286-6685</v>
      </c>
      <c r="E6532" s="2" t="s">
        <v>1338</v>
      </c>
      <c r="F6532" s="2" t="s">
        <v>27962</v>
      </c>
      <c r="G6532" s="2" t="str">
        <f>"SR-5073"</f>
        <v>SR-5073</v>
      </c>
      <c r="H6532" s="2" t="s">
        <v>27963</v>
      </c>
      <c r="I6532" s="2" t="s">
        <v>27964</v>
      </c>
      <c r="K6532" s="2" t="s">
        <v>27965</v>
      </c>
      <c r="L6532" s="2" t="s">
        <v>29</v>
      </c>
      <c r="M6532" s="2">
        <v>49288.0</v>
      </c>
      <c r="N6532" s="2" t="s">
        <v>21</v>
      </c>
    </row>
    <row r="6533" ht="15.75" customHeight="1">
      <c r="A6533" s="2">
        <v>2016.0</v>
      </c>
      <c r="B6533" s="2" t="s">
        <v>27966</v>
      </c>
      <c r="C6533" s="2" t="s">
        <v>27967</v>
      </c>
      <c r="D6533" s="2" t="str">
        <f>"7209792735"</f>
        <v>7209792735</v>
      </c>
      <c r="E6533" s="2" t="s">
        <v>1015</v>
      </c>
      <c r="F6533" s="2" t="s">
        <v>962</v>
      </c>
      <c r="G6533" s="2" t="str">
        <f>"SR-8686"</f>
        <v>SR-8686</v>
      </c>
      <c r="H6533" s="2" t="s">
        <v>27968</v>
      </c>
      <c r="I6533" s="2" t="s">
        <v>27969</v>
      </c>
      <c r="J6533" s="2" t="s">
        <v>27970</v>
      </c>
      <c r="K6533" s="2" t="s">
        <v>1889</v>
      </c>
      <c r="L6533" s="2" t="s">
        <v>157</v>
      </c>
      <c r="M6533" s="2">
        <v>80127.0</v>
      </c>
      <c r="N6533" s="2" t="s">
        <v>21</v>
      </c>
    </row>
    <row r="6534" ht="15.75" customHeight="1">
      <c r="A6534" s="2">
        <v>2016.0</v>
      </c>
      <c r="B6534" s="2" t="s">
        <v>27971</v>
      </c>
      <c r="C6534" s="2" t="s">
        <v>20583</v>
      </c>
      <c r="D6534" s="2" t="str">
        <f>"810-241-3066"</f>
        <v>810-241-3066</v>
      </c>
      <c r="E6534" s="2" t="s">
        <v>1076</v>
      </c>
      <c r="F6534" s="2" t="s">
        <v>20584</v>
      </c>
      <c r="G6534" s="2" t="str">
        <f>"SR-8750"</f>
        <v>SR-8750</v>
      </c>
      <c r="H6534" s="2" t="s">
        <v>20585</v>
      </c>
      <c r="I6534" s="2" t="s">
        <v>27972</v>
      </c>
      <c r="K6534" s="2" t="s">
        <v>6312</v>
      </c>
      <c r="L6534" s="2" t="s">
        <v>149</v>
      </c>
      <c r="M6534" s="2">
        <v>46706.0</v>
      </c>
      <c r="N6534" s="2" t="s">
        <v>21</v>
      </c>
    </row>
    <row r="6535" ht="15.75" customHeight="1">
      <c r="A6535" s="2">
        <v>2016.0</v>
      </c>
      <c r="B6535" s="2" t="s">
        <v>27973</v>
      </c>
      <c r="C6535" s="2" t="s">
        <v>27973</v>
      </c>
      <c r="D6535" s="2" t="str">
        <f>"5402474837"</f>
        <v>5402474837</v>
      </c>
      <c r="E6535" s="2" t="s">
        <v>36</v>
      </c>
      <c r="F6535" s="2" t="s">
        <v>4501</v>
      </c>
      <c r="G6535" s="2" t="str">
        <f>"SR-8764"</f>
        <v>SR-8764</v>
      </c>
      <c r="H6535" s="2" t="s">
        <v>27974</v>
      </c>
      <c r="I6535" s="2" t="s">
        <v>27975</v>
      </c>
      <c r="K6535" s="2" t="s">
        <v>6146</v>
      </c>
      <c r="L6535" s="2" t="s">
        <v>165</v>
      </c>
      <c r="M6535" s="2">
        <v>22620.0</v>
      </c>
      <c r="N6535" s="2" t="s">
        <v>21</v>
      </c>
    </row>
    <row r="6536" ht="15.75" customHeight="1">
      <c r="A6536" s="2">
        <v>2016.0</v>
      </c>
      <c r="B6536" s="2" t="s">
        <v>27976</v>
      </c>
      <c r="C6536" s="2" t="s">
        <v>27977</v>
      </c>
      <c r="D6536" s="2" t="str">
        <f>"9194225060"</f>
        <v>9194225060</v>
      </c>
      <c r="E6536" s="2" t="s">
        <v>27978</v>
      </c>
      <c r="F6536" s="2" t="s">
        <v>27979</v>
      </c>
      <c r="G6536" s="2" t="str">
        <f>"SR-8770"</f>
        <v>SR-8770</v>
      </c>
      <c r="H6536" s="2" t="s">
        <v>27980</v>
      </c>
      <c r="I6536" s="2" t="s">
        <v>27981</v>
      </c>
      <c r="K6536" s="2" t="s">
        <v>20129</v>
      </c>
      <c r="L6536" s="2" t="s">
        <v>20</v>
      </c>
      <c r="M6536" s="2">
        <v>27540.0</v>
      </c>
      <c r="N6536" s="2" t="s">
        <v>21</v>
      </c>
    </row>
    <row r="6537" ht="15.75" customHeight="1">
      <c r="A6537" s="2">
        <v>2016.0</v>
      </c>
      <c r="B6537" s="2" t="s">
        <v>27982</v>
      </c>
      <c r="C6537" s="2" t="s">
        <v>27982</v>
      </c>
      <c r="D6537" s="2" t="str">
        <f>"281-935-9750"</f>
        <v>281-935-9750</v>
      </c>
      <c r="E6537" s="2" t="s">
        <v>282</v>
      </c>
      <c r="F6537" s="2" t="s">
        <v>1987</v>
      </c>
      <c r="G6537" s="2" t="str">
        <f>"SR-8767"</f>
        <v>SR-8767</v>
      </c>
      <c r="H6537" s="2" t="s">
        <v>27983</v>
      </c>
      <c r="I6537" s="2" t="s">
        <v>27984</v>
      </c>
      <c r="K6537" s="2" t="s">
        <v>3524</v>
      </c>
      <c r="L6537" s="2" t="s">
        <v>172</v>
      </c>
      <c r="M6537" s="2">
        <v>77546.0</v>
      </c>
      <c r="N6537" s="2" t="s">
        <v>21</v>
      </c>
    </row>
    <row r="6538" ht="15.75" customHeight="1">
      <c r="A6538" s="2">
        <v>2016.0</v>
      </c>
      <c r="B6538" s="2" t="s">
        <v>27985</v>
      </c>
      <c r="C6538" s="2" t="s">
        <v>27985</v>
      </c>
      <c r="D6538" s="2" t="str">
        <f>"2146947284"</f>
        <v>2146947284</v>
      </c>
      <c r="E6538" s="2" t="s">
        <v>1015</v>
      </c>
      <c r="F6538" s="2" t="s">
        <v>2808</v>
      </c>
      <c r="G6538" s="2" t="str">
        <f>"SR-7839"</f>
        <v>SR-7839</v>
      </c>
      <c r="H6538" s="2" t="s">
        <v>27986</v>
      </c>
      <c r="I6538" s="2" t="s">
        <v>27987</v>
      </c>
      <c r="K6538" s="2" t="s">
        <v>4079</v>
      </c>
      <c r="L6538" s="2" t="s">
        <v>172</v>
      </c>
      <c r="M6538" s="2">
        <v>75041.0</v>
      </c>
      <c r="N6538" s="2" t="s">
        <v>21</v>
      </c>
    </row>
    <row r="6539" ht="15.75" customHeight="1">
      <c r="A6539" s="2">
        <v>2016.0</v>
      </c>
      <c r="B6539" s="2" t="s">
        <v>27988</v>
      </c>
      <c r="C6539" s="2" t="s">
        <v>27989</v>
      </c>
      <c r="D6539" s="2" t="str">
        <f>"919-414-2865"</f>
        <v>919-414-2865</v>
      </c>
      <c r="E6539" s="2" t="s">
        <v>301</v>
      </c>
      <c r="F6539" s="2" t="s">
        <v>6672</v>
      </c>
      <c r="G6539" s="2" t="str">
        <f>"SR-8771"</f>
        <v>SR-8771</v>
      </c>
      <c r="H6539" s="2" t="s">
        <v>27990</v>
      </c>
      <c r="I6539" s="2" t="s">
        <v>27991</v>
      </c>
      <c r="K6539" s="2" t="s">
        <v>18559</v>
      </c>
      <c r="L6539" s="2" t="s">
        <v>20</v>
      </c>
      <c r="M6539" s="2">
        <v>27501.0</v>
      </c>
      <c r="N6539" s="2" t="s">
        <v>21</v>
      </c>
    </row>
    <row r="6540" ht="15.75" customHeight="1">
      <c r="A6540" s="2">
        <v>2016.0</v>
      </c>
      <c r="B6540" s="2" t="s">
        <v>27992</v>
      </c>
      <c r="C6540" s="2" t="s">
        <v>27992</v>
      </c>
      <c r="D6540" s="2" t="str">
        <f>"4026727781"</f>
        <v>4026727781</v>
      </c>
      <c r="E6540" s="2" t="s">
        <v>585</v>
      </c>
      <c r="F6540" s="2" t="s">
        <v>27993</v>
      </c>
      <c r="G6540" s="2" t="str">
        <f>"SR-8736"</f>
        <v>SR-8736</v>
      </c>
      <c r="H6540" s="2" t="s">
        <v>27994</v>
      </c>
      <c r="I6540" s="2" t="s">
        <v>27995</v>
      </c>
      <c r="K6540" s="2" t="s">
        <v>9635</v>
      </c>
      <c r="L6540" s="2" t="s">
        <v>757</v>
      </c>
      <c r="M6540" s="2">
        <v>68022.0</v>
      </c>
      <c r="N6540" s="2" t="s">
        <v>21</v>
      </c>
    </row>
    <row r="6541" ht="15.75" customHeight="1">
      <c r="A6541" s="2">
        <v>2016.0</v>
      </c>
      <c r="B6541" s="2" t="s">
        <v>27750</v>
      </c>
      <c r="C6541" s="2" t="s">
        <v>27996</v>
      </c>
      <c r="D6541" s="2" t="str">
        <f>"8475160837"</f>
        <v>8475160837</v>
      </c>
      <c r="E6541" s="2" t="s">
        <v>27997</v>
      </c>
      <c r="F6541" s="2" t="s">
        <v>27753</v>
      </c>
      <c r="G6541" s="2" t="str">
        <f>"SR-8717"</f>
        <v>SR-8717</v>
      </c>
      <c r="H6541" s="2" t="s">
        <v>27998</v>
      </c>
      <c r="I6541" s="2" t="s">
        <v>27755</v>
      </c>
      <c r="K6541" s="2" t="s">
        <v>6095</v>
      </c>
      <c r="L6541" s="2" t="s">
        <v>105</v>
      </c>
      <c r="M6541" s="2">
        <v>60013.0</v>
      </c>
      <c r="N6541" s="2" t="s">
        <v>21</v>
      </c>
    </row>
    <row r="6542" ht="15.75" customHeight="1">
      <c r="A6542" s="2">
        <v>2016.0</v>
      </c>
      <c r="B6542" s="2" t="s">
        <v>18665</v>
      </c>
      <c r="C6542" s="2" t="s">
        <v>18665</v>
      </c>
      <c r="D6542" s="2" t="str">
        <f>"(360)932-7713"</f>
        <v>(360)932-7713</v>
      </c>
      <c r="E6542" s="2" t="s">
        <v>18666</v>
      </c>
      <c r="F6542" s="2" t="s">
        <v>18667</v>
      </c>
      <c r="G6542" s="2" t="str">
        <f>"SR-7564"</f>
        <v>SR-7564</v>
      </c>
      <c r="H6542" s="2" t="s">
        <v>18668</v>
      </c>
      <c r="I6542" s="2" t="s">
        <v>27999</v>
      </c>
      <c r="K6542" s="2" t="s">
        <v>6075</v>
      </c>
      <c r="L6542" s="2" t="s">
        <v>86</v>
      </c>
      <c r="M6542" s="2">
        <v>98233.0</v>
      </c>
      <c r="N6542" s="2" t="s">
        <v>21</v>
      </c>
    </row>
    <row r="6543" ht="15.75" customHeight="1">
      <c r="A6543" s="2">
        <v>2016.0</v>
      </c>
      <c r="B6543" s="2" t="s">
        <v>27966</v>
      </c>
      <c r="C6543" s="2" t="s">
        <v>28000</v>
      </c>
      <c r="D6543" s="2" t="str">
        <f>"7209792735"</f>
        <v>7209792735</v>
      </c>
      <c r="E6543" s="2" t="s">
        <v>261</v>
      </c>
      <c r="F6543" s="2" t="s">
        <v>962</v>
      </c>
      <c r="G6543" s="2" t="str">
        <f>"SR-8681"</f>
        <v>SR-8681</v>
      </c>
      <c r="H6543" s="2" t="s">
        <v>13887</v>
      </c>
      <c r="I6543" s="2" t="s">
        <v>27969</v>
      </c>
      <c r="J6543" s="2" t="s">
        <v>27970</v>
      </c>
      <c r="K6543" s="2" t="s">
        <v>1889</v>
      </c>
      <c r="L6543" s="2" t="s">
        <v>157</v>
      </c>
      <c r="M6543" s="2">
        <v>80127.0</v>
      </c>
      <c r="N6543" s="2" t="s">
        <v>21</v>
      </c>
    </row>
    <row r="6544" ht="15.75" customHeight="1">
      <c r="A6544" s="2">
        <v>2016.0</v>
      </c>
      <c r="B6544" s="2" t="s">
        <v>4190</v>
      </c>
      <c r="C6544" s="2" t="s">
        <v>28001</v>
      </c>
      <c r="D6544" s="2" t="str">
        <f>"810 748 7141"</f>
        <v>810 748 7141</v>
      </c>
      <c r="E6544" s="2" t="s">
        <v>137</v>
      </c>
      <c r="F6544" s="2" t="s">
        <v>4192</v>
      </c>
      <c r="G6544" s="2" t="str">
        <f>"SR-8780"</f>
        <v>SR-8780</v>
      </c>
      <c r="H6544" s="2" t="s">
        <v>28002</v>
      </c>
      <c r="I6544" s="2" t="s">
        <v>4194</v>
      </c>
      <c r="K6544" s="2" t="s">
        <v>4195</v>
      </c>
      <c r="L6544" s="2" t="s">
        <v>29</v>
      </c>
      <c r="M6544" s="2">
        <v>48039.0</v>
      </c>
      <c r="N6544" s="2" t="s">
        <v>21</v>
      </c>
    </row>
    <row r="6545" ht="15.75" customHeight="1">
      <c r="A6545" s="2">
        <v>2016.0</v>
      </c>
      <c r="B6545" s="2" t="s">
        <v>28003</v>
      </c>
      <c r="C6545" s="2" t="s">
        <v>28004</v>
      </c>
      <c r="D6545" s="2" t="str">
        <f>"4234998589"</f>
        <v>4234998589</v>
      </c>
      <c r="E6545" s="2" t="s">
        <v>9707</v>
      </c>
      <c r="F6545" s="2" t="s">
        <v>28005</v>
      </c>
      <c r="G6545" s="2" t="str">
        <f>"SR-8505"</f>
        <v>SR-8505</v>
      </c>
      <c r="H6545" s="2" t="s">
        <v>28006</v>
      </c>
      <c r="I6545" s="2" t="s">
        <v>28007</v>
      </c>
      <c r="K6545" s="2" t="s">
        <v>3975</v>
      </c>
      <c r="L6545" s="2" t="s">
        <v>279</v>
      </c>
      <c r="M6545" s="2">
        <v>37421.0</v>
      </c>
      <c r="N6545" s="2" t="s">
        <v>21</v>
      </c>
    </row>
    <row r="6546" ht="15.75" customHeight="1">
      <c r="A6546" s="2">
        <v>2016.0</v>
      </c>
      <c r="B6546" s="2" t="s">
        <v>28008</v>
      </c>
      <c r="C6546" s="2" t="s">
        <v>28008</v>
      </c>
      <c r="D6546" s="2" t="str">
        <f>"3605241814"</f>
        <v>3605241814</v>
      </c>
      <c r="E6546" s="2" t="s">
        <v>1918</v>
      </c>
      <c r="F6546" s="2" t="s">
        <v>28009</v>
      </c>
      <c r="G6546" s="2" t="str">
        <f>"SR-7635"</f>
        <v>SR-7635</v>
      </c>
      <c r="H6546" s="2" t="s">
        <v>28010</v>
      </c>
      <c r="I6546" s="2" t="s">
        <v>28011</v>
      </c>
      <c r="K6546" s="2" t="s">
        <v>13145</v>
      </c>
      <c r="L6546" s="2" t="s">
        <v>86</v>
      </c>
      <c r="M6546" s="2">
        <v>98661.0</v>
      </c>
      <c r="N6546" s="2" t="s">
        <v>21</v>
      </c>
    </row>
    <row r="6547" ht="15.75" customHeight="1">
      <c r="A6547" s="2">
        <v>2016.0</v>
      </c>
      <c r="B6547" s="2" t="s">
        <v>28012</v>
      </c>
      <c r="C6547" s="2" t="s">
        <v>28012</v>
      </c>
      <c r="D6547" s="2" t="str">
        <f>"(661) 236-3085"</f>
        <v>(661) 236-3085</v>
      </c>
      <c r="E6547" s="2" t="s">
        <v>1208</v>
      </c>
      <c r="F6547" s="2" t="s">
        <v>2861</v>
      </c>
      <c r="G6547" s="2" t="str">
        <f>"SR-8663"</f>
        <v>SR-8663</v>
      </c>
      <c r="H6547" s="2" t="s">
        <v>28013</v>
      </c>
      <c r="I6547" s="2" t="s">
        <v>28014</v>
      </c>
      <c r="K6547" s="2" t="s">
        <v>28015</v>
      </c>
      <c r="L6547" s="2" t="s">
        <v>222</v>
      </c>
      <c r="M6547" s="2">
        <v>93560.0</v>
      </c>
      <c r="N6547" s="2" t="s">
        <v>21</v>
      </c>
    </row>
    <row r="6548" ht="15.75" customHeight="1">
      <c r="A6548" s="2">
        <v>2016.0</v>
      </c>
      <c r="B6548" s="2" t="s">
        <v>28016</v>
      </c>
      <c r="C6548" s="2" t="s">
        <v>28017</v>
      </c>
      <c r="D6548" s="2" t="str">
        <f>"678-709-9603"</f>
        <v>678-709-9603</v>
      </c>
      <c r="E6548" s="2" t="s">
        <v>2841</v>
      </c>
      <c r="F6548" s="2" t="s">
        <v>28018</v>
      </c>
      <c r="G6548" s="2" t="str">
        <f>"SR-8716"</f>
        <v>SR-8716</v>
      </c>
      <c r="H6548" s="2" t="s">
        <v>28019</v>
      </c>
      <c r="I6548" s="2" t="s">
        <v>28020</v>
      </c>
      <c r="K6548" s="2" t="s">
        <v>546</v>
      </c>
      <c r="L6548" s="2" t="s">
        <v>200</v>
      </c>
      <c r="M6548" s="2">
        <v>30253.0</v>
      </c>
      <c r="N6548" s="2" t="s">
        <v>21</v>
      </c>
    </row>
    <row r="6549" ht="15.75" customHeight="1">
      <c r="A6549" s="2">
        <v>2016.0</v>
      </c>
      <c r="B6549" s="2" t="s">
        <v>28021</v>
      </c>
      <c r="C6549" s="2" t="s">
        <v>28022</v>
      </c>
      <c r="D6549" s="2" t="str">
        <f>"316-209-3915"</f>
        <v>316-209-3915</v>
      </c>
      <c r="E6549" s="2" t="s">
        <v>28023</v>
      </c>
      <c r="F6549" s="2" t="s">
        <v>28024</v>
      </c>
      <c r="G6549" s="2" t="str">
        <f>"SR-8623"</f>
        <v>SR-8623</v>
      </c>
      <c r="H6549" s="2" t="s">
        <v>28025</v>
      </c>
      <c r="I6549" s="2" t="s">
        <v>28026</v>
      </c>
      <c r="K6549" s="2" t="s">
        <v>6539</v>
      </c>
      <c r="L6549" s="2" t="s">
        <v>172</v>
      </c>
      <c r="M6549" s="2">
        <v>76210.0</v>
      </c>
      <c r="N6549" s="2" t="s">
        <v>21</v>
      </c>
    </row>
    <row r="6550" ht="15.75" customHeight="1">
      <c r="A6550" s="2">
        <v>2016.0</v>
      </c>
      <c r="B6550" s="2" t="s">
        <v>28027</v>
      </c>
      <c r="C6550" s="2" t="s">
        <v>28027</v>
      </c>
      <c r="D6550" s="2" t="str">
        <f>"8045193497"</f>
        <v>8045193497</v>
      </c>
      <c r="E6550" s="2" t="s">
        <v>137</v>
      </c>
      <c r="F6550" s="2" t="s">
        <v>685</v>
      </c>
      <c r="G6550" s="2" t="str">
        <f>"SR-8574"</f>
        <v>SR-8574</v>
      </c>
      <c r="H6550" s="2" t="s">
        <v>19248</v>
      </c>
      <c r="I6550" s="2" t="s">
        <v>19249</v>
      </c>
      <c r="K6550" s="2" t="s">
        <v>11179</v>
      </c>
      <c r="L6550" s="2" t="s">
        <v>165</v>
      </c>
      <c r="M6550" s="2">
        <v>23114.0</v>
      </c>
      <c r="N6550" s="2" t="s">
        <v>21</v>
      </c>
    </row>
    <row r="6551" ht="15.75" customHeight="1">
      <c r="A6551" s="2">
        <v>2016.0</v>
      </c>
      <c r="B6551" s="2" t="s">
        <v>28028</v>
      </c>
      <c r="C6551" s="2" t="s">
        <v>28028</v>
      </c>
      <c r="D6551" s="2" t="str">
        <f>"719-238-2227"</f>
        <v>719-238-2227</v>
      </c>
      <c r="E6551" s="2" t="s">
        <v>1450</v>
      </c>
      <c r="F6551" s="2" t="s">
        <v>8328</v>
      </c>
      <c r="G6551" s="2" t="str">
        <f>"SR-8779"</f>
        <v>SR-8779</v>
      </c>
      <c r="H6551" s="2" t="s">
        <v>28029</v>
      </c>
      <c r="I6551" s="2" t="s">
        <v>28030</v>
      </c>
      <c r="K6551" s="2" t="s">
        <v>28031</v>
      </c>
      <c r="L6551" s="2" t="s">
        <v>157</v>
      </c>
      <c r="M6551" s="2">
        <v>80906.0</v>
      </c>
      <c r="N6551" s="2" t="s">
        <v>21</v>
      </c>
    </row>
    <row r="6552" ht="15.75" customHeight="1">
      <c r="A6552" s="2">
        <v>2016.0</v>
      </c>
      <c r="B6552" s="2" t="s">
        <v>28032</v>
      </c>
      <c r="C6552" s="2" t="s">
        <v>28033</v>
      </c>
      <c r="D6552" s="2" t="str">
        <f>"404-993-0939"</f>
        <v>404-993-0939</v>
      </c>
      <c r="E6552" s="2" t="s">
        <v>3411</v>
      </c>
      <c r="F6552" s="2" t="s">
        <v>17618</v>
      </c>
      <c r="G6552" s="2" t="str">
        <f>"SR-8782"</f>
        <v>SR-8782</v>
      </c>
      <c r="H6552" s="2" t="s">
        <v>28034</v>
      </c>
      <c r="I6552" s="2" t="s">
        <v>17620</v>
      </c>
      <c r="K6552" s="2" t="s">
        <v>7218</v>
      </c>
      <c r="L6552" s="2" t="s">
        <v>200</v>
      </c>
      <c r="M6552" s="2">
        <v>30075.0</v>
      </c>
      <c r="N6552" s="2" t="s">
        <v>21</v>
      </c>
    </row>
    <row r="6553" ht="15.75" customHeight="1">
      <c r="A6553" s="2">
        <v>2016.0</v>
      </c>
      <c r="B6553" s="2" t="s">
        <v>28035</v>
      </c>
      <c r="C6553" s="2" t="s">
        <v>28035</v>
      </c>
      <c r="D6553" s="2" t="str">
        <f>"6602386136"</f>
        <v>6602386136</v>
      </c>
      <c r="E6553" s="2" t="s">
        <v>261</v>
      </c>
      <c r="F6553" s="2" t="s">
        <v>28036</v>
      </c>
      <c r="G6553" s="2" t="str">
        <f>"SR-8785"</f>
        <v>SR-8785</v>
      </c>
      <c r="H6553" s="2" t="s">
        <v>28037</v>
      </c>
      <c r="I6553" s="2" t="s">
        <v>28038</v>
      </c>
      <c r="K6553" s="2" t="s">
        <v>28039</v>
      </c>
      <c r="L6553" s="2" t="s">
        <v>214</v>
      </c>
      <c r="M6553" s="2">
        <v>64021.0</v>
      </c>
      <c r="N6553" s="2" t="s">
        <v>21</v>
      </c>
    </row>
    <row r="6554" ht="15.75" customHeight="1">
      <c r="A6554" s="2">
        <v>2016.0</v>
      </c>
      <c r="B6554" s="2" t="s">
        <v>28040</v>
      </c>
      <c r="C6554" s="2" t="s">
        <v>28041</v>
      </c>
      <c r="D6554" s="2" t="str">
        <f>"832-585-2205"</f>
        <v>832-585-2205</v>
      </c>
      <c r="E6554" s="2" t="s">
        <v>2309</v>
      </c>
      <c r="F6554" s="2" t="s">
        <v>28042</v>
      </c>
      <c r="G6554" s="2" t="str">
        <f>"SR-8786"</f>
        <v>SR-8786</v>
      </c>
      <c r="H6554" s="2" t="s">
        <v>28043</v>
      </c>
      <c r="I6554" s="2" t="s">
        <v>28044</v>
      </c>
      <c r="K6554" s="2" t="s">
        <v>5855</v>
      </c>
      <c r="L6554" s="2" t="s">
        <v>172</v>
      </c>
      <c r="M6554" s="2">
        <v>77379.0</v>
      </c>
      <c r="N6554" s="2" t="s">
        <v>21</v>
      </c>
    </row>
    <row r="6555" ht="15.75" customHeight="1">
      <c r="A6555" s="2">
        <v>2016.0</v>
      </c>
      <c r="B6555" s="2" t="s">
        <v>28045</v>
      </c>
      <c r="C6555" s="2" t="s">
        <v>28046</v>
      </c>
      <c r="D6555" s="2" t="str">
        <f>"828-406-7543"</f>
        <v>828-406-7543</v>
      </c>
      <c r="E6555" s="2" t="s">
        <v>2361</v>
      </c>
      <c r="F6555" s="2" t="s">
        <v>28047</v>
      </c>
      <c r="G6555" s="2" t="str">
        <f>"SR-8784"</f>
        <v>SR-8784</v>
      </c>
      <c r="H6555" s="2" t="s">
        <v>28048</v>
      </c>
      <c r="I6555" s="2" t="s">
        <v>28049</v>
      </c>
      <c r="K6555" s="2" t="s">
        <v>10856</v>
      </c>
      <c r="L6555" s="2" t="s">
        <v>20</v>
      </c>
      <c r="M6555" s="2">
        <v>28607.0</v>
      </c>
      <c r="N6555" s="2" t="s">
        <v>21</v>
      </c>
    </row>
    <row r="6556" ht="15.75" customHeight="1">
      <c r="A6556" s="2">
        <v>2016.0</v>
      </c>
      <c r="B6556" s="2" t="s">
        <v>28050</v>
      </c>
      <c r="C6556" s="2" t="s">
        <v>28051</v>
      </c>
      <c r="D6556" s="2" t="str">
        <f>"540-337-1837"</f>
        <v>540-337-1837</v>
      </c>
      <c r="E6556" s="2" t="s">
        <v>2031</v>
      </c>
      <c r="F6556" s="2" t="s">
        <v>283</v>
      </c>
      <c r="G6556" s="2" t="str">
        <f>"SR-8787"</f>
        <v>SR-8787</v>
      </c>
      <c r="H6556" s="2" t="s">
        <v>28052</v>
      </c>
      <c r="I6556" s="2" t="s">
        <v>28053</v>
      </c>
      <c r="K6556" s="2" t="s">
        <v>28054</v>
      </c>
      <c r="L6556" s="2" t="s">
        <v>165</v>
      </c>
      <c r="M6556" s="2">
        <v>24477.0</v>
      </c>
      <c r="N6556" s="2" t="s">
        <v>21</v>
      </c>
    </row>
    <row r="6557" ht="15.75" customHeight="1">
      <c r="A6557" s="2">
        <v>2016.0</v>
      </c>
      <c r="B6557" s="2" t="s">
        <v>28021</v>
      </c>
      <c r="C6557" s="2" t="s">
        <v>28021</v>
      </c>
      <c r="D6557" s="2" t="str">
        <f>"316-209-3915"</f>
        <v>316-209-3915</v>
      </c>
      <c r="E6557" s="2" t="s">
        <v>239</v>
      </c>
      <c r="F6557" s="2" t="s">
        <v>28024</v>
      </c>
      <c r="G6557" s="2" t="str">
        <f>"SR-8789"</f>
        <v>SR-8789</v>
      </c>
      <c r="H6557" s="2" t="s">
        <v>28055</v>
      </c>
      <c r="I6557" s="2" t="s">
        <v>28026</v>
      </c>
      <c r="K6557" s="2" t="s">
        <v>6539</v>
      </c>
      <c r="L6557" s="2" t="s">
        <v>172</v>
      </c>
      <c r="M6557" s="2">
        <v>76210.0</v>
      </c>
      <c r="N6557" s="2" t="s">
        <v>21</v>
      </c>
    </row>
    <row r="6558" ht="15.75" customHeight="1">
      <c r="A6558" s="2">
        <v>2016.0</v>
      </c>
      <c r="B6558" s="2" t="s">
        <v>28056</v>
      </c>
      <c r="C6558" s="2" t="s">
        <v>28056</v>
      </c>
      <c r="D6558" s="2" t="str">
        <f>"4195426363"</f>
        <v>4195426363</v>
      </c>
      <c r="E6558" s="2" t="s">
        <v>217</v>
      </c>
      <c r="F6558" s="2" t="s">
        <v>28057</v>
      </c>
      <c r="G6558" s="2" t="str">
        <f>"SR-8792"</f>
        <v>SR-8792</v>
      </c>
      <c r="H6558" s="2" t="s">
        <v>28058</v>
      </c>
      <c r="I6558" s="2" t="s">
        <v>28059</v>
      </c>
      <c r="K6558" s="2" t="s">
        <v>28060</v>
      </c>
      <c r="L6558" s="2" t="s">
        <v>344</v>
      </c>
      <c r="M6558" s="2">
        <v>43526.0</v>
      </c>
      <c r="N6558" s="2" t="s">
        <v>21</v>
      </c>
    </row>
    <row r="6559" ht="15.75" customHeight="1">
      <c r="A6559" s="2">
        <v>2016.0</v>
      </c>
      <c r="B6559" s="2" t="s">
        <v>19198</v>
      </c>
      <c r="C6559" s="2" t="s">
        <v>19198</v>
      </c>
      <c r="D6559" s="2" t="str">
        <f>"(724) 991-1028"</f>
        <v>(724) 991-1028</v>
      </c>
      <c r="E6559" s="2" t="s">
        <v>2474</v>
      </c>
      <c r="F6559" s="2" t="s">
        <v>9930</v>
      </c>
      <c r="G6559" s="2" t="str">
        <f>"SR-5885"</f>
        <v>SR-5885</v>
      </c>
      <c r="H6559" s="2" t="s">
        <v>19199</v>
      </c>
      <c r="I6559" s="2" t="s">
        <v>19200</v>
      </c>
      <c r="K6559" s="2" t="s">
        <v>19201</v>
      </c>
      <c r="L6559" s="2" t="s">
        <v>179</v>
      </c>
      <c r="M6559" s="2">
        <v>16002.0</v>
      </c>
      <c r="N6559" s="2" t="s">
        <v>21</v>
      </c>
    </row>
    <row r="6560" ht="15.75" customHeight="1">
      <c r="A6560" s="2">
        <v>2016.0</v>
      </c>
      <c r="B6560" s="2" t="s">
        <v>28061</v>
      </c>
      <c r="D6560" s="2" t="str">
        <f>""</f>
        <v/>
      </c>
      <c r="E6560" s="2" t="s">
        <v>534</v>
      </c>
      <c r="F6560" s="2" t="s">
        <v>1170</v>
      </c>
      <c r="G6560" s="2" t="str">
        <f>"SR-8423"</f>
        <v>SR-8423</v>
      </c>
      <c r="H6560" s="2" t="s">
        <v>28062</v>
      </c>
    </row>
    <row r="6561" ht="15.75" customHeight="1">
      <c r="A6561" s="2">
        <v>2016.0</v>
      </c>
      <c r="B6561" s="2" t="s">
        <v>7666</v>
      </c>
      <c r="C6561" s="2" t="s">
        <v>28063</v>
      </c>
      <c r="D6561" s="2" t="str">
        <f>"229-343-9636"</f>
        <v>229-343-9636</v>
      </c>
      <c r="E6561" s="2" t="s">
        <v>1094</v>
      </c>
      <c r="F6561" s="2" t="s">
        <v>7667</v>
      </c>
      <c r="G6561" s="2" t="str">
        <f>"SR-8777"</f>
        <v>SR-8777</v>
      </c>
      <c r="H6561" s="2" t="s">
        <v>28064</v>
      </c>
      <c r="I6561" s="2" t="s">
        <v>28065</v>
      </c>
      <c r="K6561" s="2" t="s">
        <v>7670</v>
      </c>
      <c r="L6561" s="2" t="s">
        <v>200</v>
      </c>
      <c r="M6561" s="2">
        <v>31705.0</v>
      </c>
      <c r="N6561" s="2" t="s">
        <v>21</v>
      </c>
    </row>
    <row r="6562" ht="15.75" customHeight="1">
      <c r="A6562" s="2">
        <v>2016.0</v>
      </c>
      <c r="B6562" s="2" t="s">
        <v>28066</v>
      </c>
      <c r="C6562" s="2" t="s">
        <v>28067</v>
      </c>
      <c r="D6562" s="2" t="str">
        <f>"4237796985"</f>
        <v>4237796985</v>
      </c>
      <c r="E6562" s="2" t="s">
        <v>4300</v>
      </c>
      <c r="F6562" s="2" t="s">
        <v>28068</v>
      </c>
      <c r="G6562" s="2" t="str">
        <f>"SR-8793"</f>
        <v>SR-8793</v>
      </c>
      <c r="H6562" s="2" t="s">
        <v>28069</v>
      </c>
      <c r="I6562" s="2" t="s">
        <v>28070</v>
      </c>
      <c r="K6562" s="2" t="s">
        <v>4310</v>
      </c>
      <c r="L6562" s="2" t="s">
        <v>279</v>
      </c>
      <c r="M6562" s="2">
        <v>37321.0</v>
      </c>
      <c r="N6562" s="2" t="s">
        <v>21</v>
      </c>
    </row>
    <row r="6563" ht="15.75" customHeight="1">
      <c r="A6563" s="2">
        <v>2016.0</v>
      </c>
      <c r="B6563" s="2" t="s">
        <v>22152</v>
      </c>
      <c r="C6563" s="2" t="s">
        <v>22152</v>
      </c>
      <c r="D6563" s="2" t="str">
        <f>"248-342-8286"</f>
        <v>248-342-8286</v>
      </c>
      <c r="E6563" s="2" t="s">
        <v>1548</v>
      </c>
      <c r="F6563" s="2" t="s">
        <v>22153</v>
      </c>
      <c r="G6563" s="2" t="str">
        <f>"SR-6805"</f>
        <v>SR-6805</v>
      </c>
      <c r="H6563" s="2" t="s">
        <v>22154</v>
      </c>
      <c r="I6563" s="2" t="s">
        <v>22155</v>
      </c>
      <c r="K6563" s="2" t="s">
        <v>4115</v>
      </c>
      <c r="L6563" s="2" t="s">
        <v>29</v>
      </c>
      <c r="M6563" s="2">
        <v>48083.0</v>
      </c>
      <c r="N6563" s="2" t="s">
        <v>21</v>
      </c>
    </row>
    <row r="6564" ht="15.75" customHeight="1">
      <c r="A6564" s="2">
        <v>2016.0</v>
      </c>
      <c r="B6564" s="2" t="s">
        <v>28071</v>
      </c>
      <c r="C6564" s="2" t="s">
        <v>28072</v>
      </c>
      <c r="D6564" s="2" t="str">
        <f>"8064708797"</f>
        <v>8064708797</v>
      </c>
      <c r="E6564" s="2" t="s">
        <v>534</v>
      </c>
      <c r="F6564" s="2" t="s">
        <v>28073</v>
      </c>
      <c r="G6564" s="2" t="str">
        <f>"SR-8318"</f>
        <v>SR-8318</v>
      </c>
      <c r="H6564" s="2" t="s">
        <v>28074</v>
      </c>
      <c r="I6564" s="2" t="s">
        <v>28075</v>
      </c>
      <c r="K6564" s="2" t="s">
        <v>1121</v>
      </c>
      <c r="L6564" s="2" t="s">
        <v>172</v>
      </c>
      <c r="M6564" s="2">
        <v>79424.0</v>
      </c>
      <c r="N6564" s="2" t="s">
        <v>21</v>
      </c>
    </row>
    <row r="6565" ht="15.75" customHeight="1">
      <c r="A6565" s="2">
        <v>2016.0</v>
      </c>
      <c r="B6565" s="2" t="s">
        <v>28076</v>
      </c>
      <c r="C6565" s="2" t="s">
        <v>28077</v>
      </c>
      <c r="D6565" s="2" t="str">
        <f>"4022924395"</f>
        <v>4022924395</v>
      </c>
      <c r="E6565" s="2" t="s">
        <v>353</v>
      </c>
      <c r="F6565" s="2" t="s">
        <v>256</v>
      </c>
      <c r="G6565" s="2" t="str">
        <f>"SR-8656"</f>
        <v>SR-8656</v>
      </c>
      <c r="H6565" s="2" t="s">
        <v>28078</v>
      </c>
      <c r="I6565" s="2" t="s">
        <v>28079</v>
      </c>
      <c r="K6565" s="2" t="s">
        <v>10664</v>
      </c>
      <c r="L6565" s="2" t="s">
        <v>165</v>
      </c>
      <c r="M6565" s="2">
        <v>22193.0</v>
      </c>
      <c r="N6565" s="2" t="s">
        <v>21</v>
      </c>
    </row>
    <row r="6566" ht="15.75" customHeight="1">
      <c r="A6566" s="2">
        <v>2016.0</v>
      </c>
      <c r="B6566" s="2" t="s">
        <v>28080</v>
      </c>
      <c r="C6566" s="2" t="s">
        <v>28081</v>
      </c>
      <c r="D6566" s="2" t="str">
        <f>"785-269-7631"</f>
        <v>785-269-7631</v>
      </c>
      <c r="E6566" s="2" t="s">
        <v>81</v>
      </c>
      <c r="F6566" s="2" t="s">
        <v>28082</v>
      </c>
      <c r="G6566" s="2" t="str">
        <f>"SR-8795"</f>
        <v>SR-8795</v>
      </c>
      <c r="H6566" s="2" t="s">
        <v>28083</v>
      </c>
      <c r="I6566" s="2" t="s">
        <v>28084</v>
      </c>
      <c r="K6566" s="2" t="s">
        <v>13027</v>
      </c>
      <c r="L6566" s="2" t="s">
        <v>272</v>
      </c>
      <c r="M6566" s="2">
        <v>67701.0</v>
      </c>
      <c r="N6566" s="2" t="s">
        <v>21</v>
      </c>
    </row>
    <row r="6567" ht="15.75" customHeight="1">
      <c r="A6567" s="2">
        <v>2016.0</v>
      </c>
      <c r="B6567" s="2" t="s">
        <v>28085</v>
      </c>
      <c r="C6567" s="2" t="s">
        <v>28086</v>
      </c>
      <c r="D6567" s="2" t="str">
        <f>"5418608313"</f>
        <v>5418608313</v>
      </c>
      <c r="E6567" s="2" t="s">
        <v>585</v>
      </c>
      <c r="F6567" s="2" t="s">
        <v>6884</v>
      </c>
      <c r="G6567" s="2" t="str">
        <f>"SR-8484"</f>
        <v>SR-8484</v>
      </c>
      <c r="H6567" s="2" t="s">
        <v>28087</v>
      </c>
      <c r="I6567" s="2" t="s">
        <v>28088</v>
      </c>
      <c r="K6567" s="2" t="s">
        <v>28089</v>
      </c>
      <c r="L6567" s="2" t="s">
        <v>2389</v>
      </c>
      <c r="M6567" s="2">
        <v>97416.0</v>
      </c>
      <c r="N6567" s="2" t="s">
        <v>21</v>
      </c>
    </row>
    <row r="6568" ht="15.75" customHeight="1">
      <c r="A6568" s="2">
        <v>2016.0</v>
      </c>
      <c r="B6568" s="2" t="s">
        <v>28090</v>
      </c>
      <c r="C6568" s="2" t="s">
        <v>28090</v>
      </c>
      <c r="D6568" s="2" t="str">
        <f>"4239919566"</f>
        <v>4239919566</v>
      </c>
      <c r="E6568" s="2" t="s">
        <v>2841</v>
      </c>
      <c r="F6568" s="2" t="s">
        <v>26297</v>
      </c>
      <c r="G6568" s="2" t="str">
        <f>"SR-8619"</f>
        <v>SR-8619</v>
      </c>
      <c r="H6568" s="2" t="s">
        <v>28091</v>
      </c>
      <c r="I6568" s="2" t="s">
        <v>28092</v>
      </c>
      <c r="K6568" s="2" t="s">
        <v>14247</v>
      </c>
      <c r="L6568" s="2" t="s">
        <v>279</v>
      </c>
      <c r="M6568" s="2">
        <v>37363.0</v>
      </c>
      <c r="N6568" s="2" t="s">
        <v>21</v>
      </c>
    </row>
    <row r="6569" ht="15.75" customHeight="1">
      <c r="A6569" s="2">
        <v>2016.0</v>
      </c>
      <c r="B6569" s="2" t="s">
        <v>12553</v>
      </c>
      <c r="C6569" s="2" t="s">
        <v>28093</v>
      </c>
      <c r="D6569" s="2" t="str">
        <f>"630-261-1148"</f>
        <v>630-261-1148</v>
      </c>
      <c r="E6569" s="2" t="s">
        <v>36</v>
      </c>
      <c r="F6569" s="2" t="s">
        <v>12556</v>
      </c>
      <c r="G6569" s="2" t="str">
        <f>"SR-8775"</f>
        <v>SR-8775</v>
      </c>
      <c r="H6569" s="2" t="s">
        <v>28094</v>
      </c>
      <c r="I6569" s="2" t="s">
        <v>28095</v>
      </c>
      <c r="K6569" s="2" t="s">
        <v>12559</v>
      </c>
      <c r="L6569" s="2" t="s">
        <v>105</v>
      </c>
      <c r="M6569" s="2">
        <v>60148.0</v>
      </c>
      <c r="N6569" s="2" t="s">
        <v>21</v>
      </c>
    </row>
    <row r="6570" ht="15.75" customHeight="1">
      <c r="A6570" s="2">
        <v>2016.0</v>
      </c>
      <c r="B6570" s="2" t="s">
        <v>28096</v>
      </c>
      <c r="C6570" s="2" t="s">
        <v>28096</v>
      </c>
      <c r="D6570" s="2" t="str">
        <f>"319-622-3554"</f>
        <v>319-622-3554</v>
      </c>
      <c r="E6570" s="2" t="s">
        <v>28097</v>
      </c>
      <c r="F6570" s="2" t="s">
        <v>27770</v>
      </c>
      <c r="G6570" s="2" t="str">
        <f>"SR-8783"</f>
        <v>SR-8783</v>
      </c>
      <c r="H6570" s="2" t="s">
        <v>28098</v>
      </c>
      <c r="I6570" s="2" t="s">
        <v>28099</v>
      </c>
      <c r="K6570" s="2" t="s">
        <v>28100</v>
      </c>
      <c r="L6570" s="2" t="s">
        <v>560</v>
      </c>
      <c r="M6570" s="2">
        <v>52203.0</v>
      </c>
      <c r="N6570" s="2" t="s">
        <v>21</v>
      </c>
    </row>
    <row r="6571" ht="15.75" customHeight="1">
      <c r="A6571" s="2">
        <v>2016.0</v>
      </c>
      <c r="B6571" s="2" t="s">
        <v>19438</v>
      </c>
      <c r="C6571" s="2" t="s">
        <v>19439</v>
      </c>
      <c r="D6571" s="2" t="str">
        <f>"3004006973"</f>
        <v>3004006973</v>
      </c>
      <c r="E6571" s="2" t="s">
        <v>590</v>
      </c>
      <c r="F6571" s="2" t="s">
        <v>1040</v>
      </c>
      <c r="G6571" s="2" t="str">
        <f>"SR-4164"</f>
        <v>SR-4164</v>
      </c>
      <c r="H6571" s="2" t="s">
        <v>19440</v>
      </c>
      <c r="I6571" s="2" t="s">
        <v>19441</v>
      </c>
      <c r="K6571" s="2" t="s">
        <v>19442</v>
      </c>
      <c r="L6571" s="2" t="s">
        <v>344</v>
      </c>
      <c r="M6571" s="2">
        <v>44203.0</v>
      </c>
      <c r="N6571" s="2" t="s">
        <v>21</v>
      </c>
    </row>
    <row r="6572" ht="15.75" customHeight="1">
      <c r="A6572" s="2">
        <v>2016.0</v>
      </c>
      <c r="B6572" s="2" t="s">
        <v>28101</v>
      </c>
      <c r="C6572" s="2" t="s">
        <v>28102</v>
      </c>
      <c r="D6572" s="2" t="str">
        <f>"757-968-6689"</f>
        <v>757-968-6689</v>
      </c>
      <c r="E6572" s="2" t="s">
        <v>1190</v>
      </c>
      <c r="F6572" s="2" t="s">
        <v>28103</v>
      </c>
      <c r="G6572" s="2" t="str">
        <f>"SR-8758"</f>
        <v>SR-8758</v>
      </c>
      <c r="H6572" s="2" t="s">
        <v>28104</v>
      </c>
      <c r="I6572" s="2">
        <v>399.0</v>
      </c>
      <c r="J6572" s="2" t="s">
        <v>28105</v>
      </c>
      <c r="K6572" s="2" t="s">
        <v>4630</v>
      </c>
      <c r="L6572" s="2" t="s">
        <v>165</v>
      </c>
      <c r="M6572" s="2">
        <v>23602.0</v>
      </c>
      <c r="N6572" s="2" t="s">
        <v>21</v>
      </c>
    </row>
    <row r="6573" ht="15.75" customHeight="1">
      <c r="A6573" s="2">
        <v>2016.0</v>
      </c>
      <c r="B6573" s="2" t="s">
        <v>21631</v>
      </c>
      <c r="C6573" s="2" t="s">
        <v>21632</v>
      </c>
      <c r="D6573" s="2" t="str">
        <f>"858-692-6531"</f>
        <v>858-692-6531</v>
      </c>
      <c r="E6573" s="2" t="s">
        <v>21633</v>
      </c>
      <c r="F6573" s="2" t="s">
        <v>3674</v>
      </c>
      <c r="G6573" s="2" t="str">
        <f>"SR-6590"</f>
        <v>SR-6590</v>
      </c>
      <c r="H6573" s="2" t="s">
        <v>21634</v>
      </c>
      <c r="I6573" s="2" t="s">
        <v>21635</v>
      </c>
      <c r="K6573" s="2" t="s">
        <v>8250</v>
      </c>
      <c r="L6573" s="2" t="s">
        <v>222</v>
      </c>
      <c r="M6573" s="2">
        <v>92127.0</v>
      </c>
      <c r="N6573" s="2" t="s">
        <v>21</v>
      </c>
    </row>
    <row r="6574" ht="15.75" customHeight="1">
      <c r="A6574" s="2">
        <v>2016.0</v>
      </c>
      <c r="B6574" s="2" t="s">
        <v>28106</v>
      </c>
      <c r="C6574" s="2" t="s">
        <v>28107</v>
      </c>
      <c r="D6574" s="2" t="str">
        <f>"519-839-6314"</f>
        <v>519-839-6314</v>
      </c>
      <c r="E6574" s="2" t="s">
        <v>28108</v>
      </c>
      <c r="F6574" s="2" t="s">
        <v>9600</v>
      </c>
      <c r="G6574" s="2" t="str">
        <f>"SR-8668"</f>
        <v>SR-8668</v>
      </c>
      <c r="H6574" s="2" t="s">
        <v>28109</v>
      </c>
      <c r="I6574" s="2" t="s">
        <v>28110</v>
      </c>
      <c r="K6574" s="2" t="s">
        <v>28111</v>
      </c>
      <c r="L6574" s="2" t="s">
        <v>2015</v>
      </c>
      <c r="M6574" s="2" t="s">
        <v>28112</v>
      </c>
      <c r="N6574" s="2" t="s">
        <v>1602</v>
      </c>
    </row>
    <row r="6575" ht="15.75" customHeight="1">
      <c r="A6575" s="2">
        <v>2016.0</v>
      </c>
      <c r="B6575" s="2" t="s">
        <v>28113</v>
      </c>
      <c r="C6575" s="2" t="s">
        <v>28113</v>
      </c>
      <c r="D6575" s="2" t="str">
        <f>"3306976709"</f>
        <v>3306976709</v>
      </c>
      <c r="E6575" s="2" t="s">
        <v>28114</v>
      </c>
      <c r="F6575" s="2" t="s">
        <v>28115</v>
      </c>
      <c r="G6575" s="2" t="str">
        <f>"SR-8799"</f>
        <v>SR-8799</v>
      </c>
      <c r="H6575" s="2" t="s">
        <v>28116</v>
      </c>
      <c r="I6575" s="2" t="s">
        <v>28117</v>
      </c>
      <c r="K6575" s="2" t="s">
        <v>28118</v>
      </c>
      <c r="L6575" s="2" t="s">
        <v>344</v>
      </c>
      <c r="M6575" s="2">
        <v>44203.0</v>
      </c>
      <c r="N6575" s="2" t="s">
        <v>21</v>
      </c>
    </row>
    <row r="6576" ht="15.75" customHeight="1">
      <c r="A6576" s="2">
        <v>2016.0</v>
      </c>
      <c r="B6576" s="2" t="s">
        <v>28119</v>
      </c>
      <c r="C6576" s="2" t="s">
        <v>28120</v>
      </c>
      <c r="D6576" s="2" t="str">
        <f>"8300486-5416"</f>
        <v>8300486-5416</v>
      </c>
      <c r="E6576" s="2" t="s">
        <v>28121</v>
      </c>
      <c r="F6576" s="2" t="s">
        <v>6941</v>
      </c>
      <c r="G6576" s="2" t="str">
        <f>"SR-8800"</f>
        <v>SR-8800</v>
      </c>
      <c r="H6576" s="2" t="s">
        <v>28122</v>
      </c>
      <c r="I6576" s="2" t="s">
        <v>28123</v>
      </c>
      <c r="K6576" s="2" t="s">
        <v>10933</v>
      </c>
      <c r="L6576" s="2" t="s">
        <v>172</v>
      </c>
      <c r="M6576" s="2">
        <v>78801.0</v>
      </c>
      <c r="N6576" s="2" t="s">
        <v>21</v>
      </c>
    </row>
    <row r="6577" ht="15.75" customHeight="1">
      <c r="A6577" s="2">
        <v>2016.0</v>
      </c>
      <c r="B6577" s="2" t="s">
        <v>28124</v>
      </c>
      <c r="C6577" s="2" t="s">
        <v>28125</v>
      </c>
      <c r="D6577" s="2" t="str">
        <f>"714 5042755"</f>
        <v>714 5042755</v>
      </c>
      <c r="E6577" s="2" t="s">
        <v>4968</v>
      </c>
      <c r="F6577" s="2" t="s">
        <v>28126</v>
      </c>
      <c r="G6577" s="2" t="str">
        <f>"SR-8807"</f>
        <v>SR-8807</v>
      </c>
      <c r="H6577" s="2" t="s">
        <v>28127</v>
      </c>
      <c r="I6577" s="2" t="s">
        <v>28128</v>
      </c>
      <c r="K6577" s="2" t="s">
        <v>24702</v>
      </c>
      <c r="L6577" s="2" t="s">
        <v>222</v>
      </c>
      <c r="M6577" s="2">
        <v>92870.0</v>
      </c>
      <c r="N6577" s="2" t="s">
        <v>21</v>
      </c>
    </row>
    <row r="6578" ht="15.75" customHeight="1">
      <c r="A6578" s="2">
        <v>2016.0</v>
      </c>
      <c r="B6578" s="2" t="s">
        <v>28129</v>
      </c>
      <c r="C6578" s="2" t="s">
        <v>28130</v>
      </c>
      <c r="D6578" s="2" t="str">
        <f>"770-658-4765"</f>
        <v>770-658-4765</v>
      </c>
      <c r="E6578" s="2" t="s">
        <v>2243</v>
      </c>
      <c r="F6578" s="2" t="s">
        <v>1533</v>
      </c>
      <c r="G6578" s="2" t="str">
        <f>"SR-8804"</f>
        <v>SR-8804</v>
      </c>
      <c r="H6578" s="2" t="s">
        <v>28131</v>
      </c>
      <c r="I6578" s="2" t="s">
        <v>28132</v>
      </c>
      <c r="K6578" s="2" t="s">
        <v>28133</v>
      </c>
      <c r="L6578" s="2" t="s">
        <v>200</v>
      </c>
      <c r="M6578" s="2">
        <v>30087.0</v>
      </c>
      <c r="N6578" s="2" t="s">
        <v>21</v>
      </c>
    </row>
    <row r="6579" ht="15.75" customHeight="1">
      <c r="A6579" s="2">
        <v>2016.0</v>
      </c>
      <c r="B6579" s="2" t="s">
        <v>28134</v>
      </c>
      <c r="C6579" s="2" t="s">
        <v>28135</v>
      </c>
      <c r="D6579" s="2" t="str">
        <f>"214-497-5487"</f>
        <v>214-497-5487</v>
      </c>
      <c r="E6579" s="2" t="s">
        <v>2361</v>
      </c>
      <c r="F6579" s="2" t="s">
        <v>6539</v>
      </c>
      <c r="G6579" s="2" t="str">
        <f>"SR-8687"</f>
        <v>SR-8687</v>
      </c>
      <c r="H6579" s="2" t="s">
        <v>28136</v>
      </c>
      <c r="I6579" s="2" t="s">
        <v>28137</v>
      </c>
      <c r="K6579" s="2" t="s">
        <v>882</v>
      </c>
      <c r="L6579" s="2" t="s">
        <v>172</v>
      </c>
      <c r="M6579" s="2">
        <v>76018.0</v>
      </c>
      <c r="N6579" s="2" t="s">
        <v>21</v>
      </c>
    </row>
    <row r="6580" ht="15.75" customHeight="1">
      <c r="A6580" s="2">
        <v>2016.0</v>
      </c>
      <c r="B6580" s="2" t="s">
        <v>20951</v>
      </c>
      <c r="C6580" s="2" t="s">
        <v>20976</v>
      </c>
      <c r="D6580" s="2" t="str">
        <f>"(405) 313-3331"</f>
        <v>(405) 313-3331</v>
      </c>
      <c r="E6580" s="2" t="s">
        <v>24</v>
      </c>
      <c r="F6580" s="2" t="s">
        <v>20952</v>
      </c>
      <c r="G6580" s="2" t="str">
        <f>"SR-6445"</f>
        <v>SR-6445</v>
      </c>
      <c r="H6580" s="2" t="s">
        <v>20977</v>
      </c>
      <c r="I6580" s="2" t="s">
        <v>20954</v>
      </c>
      <c r="K6580" s="2" t="s">
        <v>1546</v>
      </c>
      <c r="L6580" s="2" t="s">
        <v>840</v>
      </c>
      <c r="M6580" s="2">
        <v>73025.0</v>
      </c>
      <c r="N6580" s="2" t="s">
        <v>21</v>
      </c>
    </row>
    <row r="6581" ht="15.75" customHeight="1">
      <c r="A6581" s="2">
        <v>2016.0</v>
      </c>
      <c r="B6581" s="2" t="s">
        <v>28138</v>
      </c>
      <c r="C6581" s="2" t="s">
        <v>28138</v>
      </c>
      <c r="D6581" s="2" t="str">
        <f>"(605) 277-6812"</f>
        <v>(605) 277-6812</v>
      </c>
      <c r="E6581" s="2" t="s">
        <v>160</v>
      </c>
      <c r="F6581" s="2" t="s">
        <v>457</v>
      </c>
      <c r="G6581" s="2" t="str">
        <f>"SR-8629"</f>
        <v>SR-8629</v>
      </c>
      <c r="H6581" s="2" t="s">
        <v>28139</v>
      </c>
      <c r="I6581" s="2" t="s">
        <v>28140</v>
      </c>
      <c r="K6581" s="2" t="s">
        <v>16552</v>
      </c>
      <c r="L6581" s="2" t="s">
        <v>920</v>
      </c>
      <c r="M6581" s="2">
        <v>57401.0</v>
      </c>
      <c r="N6581" s="2" t="s">
        <v>21</v>
      </c>
    </row>
    <row r="6582" ht="15.75" customHeight="1">
      <c r="A6582" s="2">
        <v>2016.0</v>
      </c>
      <c r="B6582" s="2" t="s">
        <v>28141</v>
      </c>
      <c r="D6582" s="2" t="str">
        <f>""</f>
        <v/>
      </c>
      <c r="E6582" s="2" t="s">
        <v>50</v>
      </c>
      <c r="F6582" s="2" t="s">
        <v>28142</v>
      </c>
      <c r="G6582" s="2" t="str">
        <f>"SR-7470"</f>
        <v>SR-7470</v>
      </c>
      <c r="H6582" s="2" t="s">
        <v>28143</v>
      </c>
    </row>
    <row r="6583" ht="15.75" customHeight="1">
      <c r="A6583" s="2">
        <v>2016.0</v>
      </c>
      <c r="B6583" s="2" t="s">
        <v>28144</v>
      </c>
      <c r="C6583" s="2" t="s">
        <v>28145</v>
      </c>
      <c r="D6583" s="2" t="str">
        <f>"218-828-1374"</f>
        <v>218-828-1374</v>
      </c>
      <c r="E6583" s="2" t="s">
        <v>261</v>
      </c>
      <c r="F6583" s="2" t="s">
        <v>28146</v>
      </c>
      <c r="G6583" s="2" t="str">
        <f>"SR-8798"</f>
        <v>SR-8798</v>
      </c>
      <c r="H6583" s="2" t="s">
        <v>28147</v>
      </c>
      <c r="I6583" s="2" t="s">
        <v>28148</v>
      </c>
      <c r="K6583" s="2" t="s">
        <v>28149</v>
      </c>
      <c r="L6583" s="2" t="s">
        <v>62</v>
      </c>
      <c r="M6583" s="2">
        <v>56401.0</v>
      </c>
      <c r="N6583" s="2" t="s">
        <v>21</v>
      </c>
    </row>
    <row r="6584" ht="15.75" customHeight="1">
      <c r="A6584" s="2">
        <v>2016.0</v>
      </c>
      <c r="B6584" s="2" t="s">
        <v>28150</v>
      </c>
      <c r="C6584" s="2" t="s">
        <v>28150</v>
      </c>
      <c r="D6584" s="2" t="str">
        <f>"540.382.1781"</f>
        <v>540.382.1781</v>
      </c>
      <c r="E6584" s="2" t="s">
        <v>9010</v>
      </c>
      <c r="F6584" s="2" t="s">
        <v>28151</v>
      </c>
      <c r="G6584" s="2" t="str">
        <f>"SR-8805"</f>
        <v>SR-8805</v>
      </c>
      <c r="H6584" s="2" t="s">
        <v>28152</v>
      </c>
      <c r="I6584" s="2" t="s">
        <v>28153</v>
      </c>
      <c r="K6584" s="2" t="s">
        <v>28154</v>
      </c>
      <c r="L6584" s="2" t="s">
        <v>165</v>
      </c>
      <c r="M6584" s="2">
        <v>24073.0</v>
      </c>
      <c r="N6584" s="2" t="s">
        <v>21</v>
      </c>
    </row>
    <row r="6585" ht="15.75" customHeight="1">
      <c r="A6585" s="2">
        <v>2016.0</v>
      </c>
      <c r="B6585" s="2" t="s">
        <v>11767</v>
      </c>
      <c r="C6585" s="2" t="s">
        <v>11768</v>
      </c>
      <c r="D6585" s="2" t="str">
        <f>"2525605352"</f>
        <v>2525605352</v>
      </c>
      <c r="E6585" s="2" t="s">
        <v>931</v>
      </c>
      <c r="F6585" s="2" t="s">
        <v>28155</v>
      </c>
      <c r="G6585" s="2" t="str">
        <f>"SR-8810"</f>
        <v>SR-8810</v>
      </c>
      <c r="H6585" s="2" t="s">
        <v>28156</v>
      </c>
      <c r="I6585" s="2" t="s">
        <v>11771</v>
      </c>
      <c r="K6585" s="2" t="s">
        <v>11772</v>
      </c>
      <c r="L6585" s="2" t="s">
        <v>20</v>
      </c>
      <c r="M6585" s="2">
        <v>28504.0</v>
      </c>
      <c r="N6585" s="2" t="s">
        <v>21</v>
      </c>
    </row>
    <row r="6586" ht="15.75" customHeight="1">
      <c r="A6586" s="2">
        <v>2016.0</v>
      </c>
      <c r="B6586" s="2" t="s">
        <v>28157</v>
      </c>
      <c r="C6586" s="2" t="s">
        <v>28158</v>
      </c>
      <c r="D6586" s="2" t="str">
        <f>"319-377-4203"</f>
        <v>319-377-4203</v>
      </c>
      <c r="E6586" s="2" t="s">
        <v>2912</v>
      </c>
      <c r="F6586" s="2" t="s">
        <v>28159</v>
      </c>
      <c r="G6586" s="2" t="str">
        <f>"SR-8806"</f>
        <v>SR-8806</v>
      </c>
      <c r="H6586" s="2" t="s">
        <v>28160</v>
      </c>
      <c r="I6586" s="2" t="s">
        <v>28161</v>
      </c>
      <c r="K6586" s="2" t="s">
        <v>3273</v>
      </c>
      <c r="L6586" s="2" t="s">
        <v>560</v>
      </c>
      <c r="M6586" s="2">
        <v>52402.0</v>
      </c>
      <c r="N6586" s="2" t="s">
        <v>21</v>
      </c>
    </row>
    <row r="6587" ht="15.75" customHeight="1">
      <c r="A6587" s="2">
        <v>2016.0</v>
      </c>
      <c r="B6587" s="2" t="s">
        <v>28162</v>
      </c>
      <c r="C6587" s="2" t="s">
        <v>28162</v>
      </c>
      <c r="D6587" s="2" t="str">
        <f>"7042215712"</f>
        <v>7042215712</v>
      </c>
      <c r="E6587" s="2" t="s">
        <v>862</v>
      </c>
      <c r="F6587" s="2" t="s">
        <v>12694</v>
      </c>
      <c r="G6587" s="2" t="str">
        <f>"SR-8769"</f>
        <v>SR-8769</v>
      </c>
      <c r="H6587" s="2" t="s">
        <v>28163</v>
      </c>
      <c r="I6587" s="2" t="s">
        <v>28164</v>
      </c>
      <c r="K6587" s="2" t="s">
        <v>572</v>
      </c>
      <c r="L6587" s="2" t="s">
        <v>222</v>
      </c>
      <c r="M6587" s="2">
        <v>95648.0</v>
      </c>
      <c r="N6587" s="2" t="s">
        <v>21</v>
      </c>
    </row>
    <row r="6588" ht="15.75" customHeight="1">
      <c r="A6588" s="2">
        <v>2016.0</v>
      </c>
      <c r="B6588" s="2" t="s">
        <v>28165</v>
      </c>
      <c r="C6588" s="2" t="s">
        <v>28166</v>
      </c>
      <c r="D6588" s="2" t="str">
        <f>"336-565-9596"</f>
        <v>336-565-9596</v>
      </c>
      <c r="E6588" s="2" t="s">
        <v>931</v>
      </c>
      <c r="F6588" s="2" t="s">
        <v>10817</v>
      </c>
      <c r="G6588" s="2" t="str">
        <f>"SR-8067"</f>
        <v>SR-8067</v>
      </c>
      <c r="H6588" s="2" t="s">
        <v>28167</v>
      </c>
      <c r="I6588" s="2" t="s">
        <v>28168</v>
      </c>
      <c r="K6588" s="2" t="s">
        <v>26032</v>
      </c>
      <c r="L6588" s="2" t="s">
        <v>20</v>
      </c>
      <c r="M6588" s="2">
        <v>27349.0</v>
      </c>
      <c r="N6588" s="2" t="s">
        <v>21</v>
      </c>
    </row>
    <row r="6589" ht="15.75" customHeight="1">
      <c r="A6589" s="2">
        <v>2016.0</v>
      </c>
      <c r="B6589" s="2" t="s">
        <v>28169</v>
      </c>
      <c r="C6589" s="2" t="s">
        <v>28170</v>
      </c>
      <c r="D6589" s="2" t="str">
        <f>"260-402-2366"</f>
        <v>260-402-2366</v>
      </c>
      <c r="E6589" s="2" t="s">
        <v>1108</v>
      </c>
      <c r="F6589" s="2" t="s">
        <v>11503</v>
      </c>
      <c r="G6589" s="2" t="str">
        <f>"SR-8631"</f>
        <v>SR-8631</v>
      </c>
      <c r="H6589" s="2" t="s">
        <v>28171</v>
      </c>
      <c r="I6589" s="2" t="s">
        <v>28172</v>
      </c>
      <c r="K6589" s="2" t="s">
        <v>4298</v>
      </c>
      <c r="L6589" s="2" t="s">
        <v>149</v>
      </c>
      <c r="M6589" s="2">
        <v>46825.0</v>
      </c>
      <c r="N6589" s="2" t="s">
        <v>21</v>
      </c>
    </row>
    <row r="6590" ht="15.75" customHeight="1">
      <c r="A6590" s="2">
        <v>2016.0</v>
      </c>
      <c r="B6590" s="2" t="s">
        <v>28173</v>
      </c>
      <c r="C6590" s="2" t="s">
        <v>28174</v>
      </c>
      <c r="D6590" s="2" t="str">
        <f>"512-293-0649"</f>
        <v>512-293-0649</v>
      </c>
      <c r="E6590" s="2" t="s">
        <v>385</v>
      </c>
      <c r="F6590" s="2" t="s">
        <v>28175</v>
      </c>
      <c r="G6590" s="2" t="str">
        <f>"SR-8340"</f>
        <v>SR-8340</v>
      </c>
      <c r="H6590" s="2" t="s">
        <v>28176</v>
      </c>
      <c r="I6590" s="2" t="s">
        <v>28177</v>
      </c>
      <c r="K6590" s="2" t="s">
        <v>4687</v>
      </c>
      <c r="L6590" s="2" t="s">
        <v>172</v>
      </c>
      <c r="M6590" s="2">
        <v>78681.0</v>
      </c>
      <c r="N6590" s="2" t="s">
        <v>21</v>
      </c>
    </row>
    <row r="6591" ht="15.75" customHeight="1">
      <c r="A6591" s="2">
        <v>2016.0</v>
      </c>
      <c r="B6591" s="2" t="s">
        <v>28178</v>
      </c>
      <c r="C6591" s="2" t="s">
        <v>28179</v>
      </c>
      <c r="D6591" s="2" t="str">
        <f>"561 333 2475"</f>
        <v>561 333 2475</v>
      </c>
      <c r="E6591" s="2" t="s">
        <v>2162</v>
      </c>
      <c r="F6591" s="2" t="s">
        <v>684</v>
      </c>
      <c r="G6591" s="2" t="str">
        <f>"SR-8818"</f>
        <v>SR-8818</v>
      </c>
      <c r="H6591" s="2" t="s">
        <v>28180</v>
      </c>
      <c r="I6591" s="2" t="s">
        <v>28181</v>
      </c>
      <c r="K6591" s="2" t="s">
        <v>8413</v>
      </c>
      <c r="L6591" s="2" t="s">
        <v>208</v>
      </c>
      <c r="M6591" s="2">
        <v>33414.0</v>
      </c>
      <c r="N6591" s="2" t="s">
        <v>21</v>
      </c>
    </row>
    <row r="6592" ht="15.75" customHeight="1">
      <c r="A6592" s="2">
        <v>2016.0</v>
      </c>
      <c r="B6592" s="2" t="s">
        <v>11810</v>
      </c>
      <c r="C6592" s="2" t="s">
        <v>28182</v>
      </c>
      <c r="D6592" s="2" t="str">
        <f>"(615) 962-2252"</f>
        <v>(615) 962-2252</v>
      </c>
      <c r="E6592" s="2" t="s">
        <v>596</v>
      </c>
      <c r="F6592" s="2" t="s">
        <v>9537</v>
      </c>
      <c r="G6592" s="2" t="str">
        <f>"SR-8790"</f>
        <v>SR-8790</v>
      </c>
      <c r="H6592" s="2" t="s">
        <v>28183</v>
      </c>
      <c r="I6592" s="2" t="s">
        <v>28184</v>
      </c>
      <c r="K6592" s="2" t="s">
        <v>28185</v>
      </c>
      <c r="L6592" s="2" t="s">
        <v>279</v>
      </c>
      <c r="M6592" s="2">
        <v>37153.0</v>
      </c>
      <c r="N6592" s="2" t="s">
        <v>21</v>
      </c>
    </row>
    <row r="6593" ht="15.75" customHeight="1">
      <c r="A6593" s="2">
        <v>2016.0</v>
      </c>
      <c r="B6593" s="2" t="s">
        <v>28186</v>
      </c>
      <c r="C6593" s="2" t="s">
        <v>28187</v>
      </c>
      <c r="D6593" s="2" t="str">
        <f>"6052902083"</f>
        <v>6052902083</v>
      </c>
      <c r="E6593" s="2" t="s">
        <v>6081</v>
      </c>
      <c r="F6593" s="2" t="s">
        <v>28188</v>
      </c>
      <c r="G6593" s="2" t="str">
        <f>"SR-8817"</f>
        <v>SR-8817</v>
      </c>
      <c r="H6593" s="2" t="s">
        <v>28189</v>
      </c>
      <c r="I6593" s="2" t="s">
        <v>28190</v>
      </c>
      <c r="K6593" s="2" t="s">
        <v>16552</v>
      </c>
      <c r="L6593" s="2" t="s">
        <v>920</v>
      </c>
      <c r="M6593" s="2">
        <v>57401.0</v>
      </c>
      <c r="N6593" s="2" t="s">
        <v>21</v>
      </c>
    </row>
    <row r="6594" ht="15.75" customHeight="1">
      <c r="A6594" s="2">
        <v>2016.0</v>
      </c>
      <c r="B6594" s="2" t="s">
        <v>28191</v>
      </c>
      <c r="C6594" s="2" t="s">
        <v>28191</v>
      </c>
      <c r="D6594" s="2" t="str">
        <f>"9313075785"</f>
        <v>9313075785</v>
      </c>
      <c r="E6594" s="2" t="s">
        <v>28192</v>
      </c>
      <c r="F6594" s="2" t="s">
        <v>28193</v>
      </c>
      <c r="G6594" s="2" t="str">
        <f>"SR-8605"</f>
        <v>SR-8605</v>
      </c>
      <c r="H6594" s="2" t="s">
        <v>28194</v>
      </c>
      <c r="I6594" s="2" t="s">
        <v>28195</v>
      </c>
      <c r="K6594" s="2" t="s">
        <v>28196</v>
      </c>
      <c r="L6594" s="2" t="s">
        <v>279</v>
      </c>
      <c r="M6594" s="2">
        <v>37324.0</v>
      </c>
      <c r="N6594" s="2" t="s">
        <v>21</v>
      </c>
    </row>
    <row r="6595" ht="15.75" customHeight="1">
      <c r="A6595" s="2">
        <v>2016.0</v>
      </c>
      <c r="B6595" s="2" t="s">
        <v>28197</v>
      </c>
      <c r="C6595" s="2" t="s">
        <v>28198</v>
      </c>
      <c r="D6595" s="2" t="str">
        <f>"2177795088"</f>
        <v>2177795088</v>
      </c>
      <c r="E6595" s="2" t="s">
        <v>1094</v>
      </c>
      <c r="F6595" s="2" t="s">
        <v>28199</v>
      </c>
      <c r="G6595" s="2" t="str">
        <f>"SR-7480"</f>
        <v>SR-7480</v>
      </c>
      <c r="H6595" s="2" t="s">
        <v>28200</v>
      </c>
      <c r="I6595" s="2" t="s">
        <v>28201</v>
      </c>
      <c r="K6595" s="2" t="s">
        <v>16529</v>
      </c>
      <c r="L6595" s="2" t="s">
        <v>105</v>
      </c>
      <c r="M6595" s="2">
        <v>62301.0</v>
      </c>
      <c r="N6595" s="2" t="s">
        <v>21</v>
      </c>
    </row>
    <row r="6596" ht="15.75" customHeight="1">
      <c r="A6596" s="2">
        <v>2016.0</v>
      </c>
      <c r="B6596" s="2" t="s">
        <v>28202</v>
      </c>
      <c r="C6596" s="2" t="s">
        <v>28202</v>
      </c>
      <c r="D6596" s="2" t="str">
        <f>"916-585-1479"</f>
        <v>916-585-1479</v>
      </c>
      <c r="E6596" s="2" t="s">
        <v>88</v>
      </c>
      <c r="F6596" s="2" t="s">
        <v>26984</v>
      </c>
      <c r="G6596" s="2" t="str">
        <f>"SR-8819"</f>
        <v>SR-8819</v>
      </c>
      <c r="H6596" s="2" t="s">
        <v>28203</v>
      </c>
      <c r="I6596" s="2" t="s">
        <v>28204</v>
      </c>
      <c r="K6596" s="2" t="s">
        <v>28205</v>
      </c>
      <c r="L6596" s="2" t="s">
        <v>222</v>
      </c>
      <c r="M6596" s="2">
        <v>95624.0</v>
      </c>
      <c r="N6596" s="2" t="s">
        <v>21</v>
      </c>
    </row>
    <row r="6597" ht="15.75" customHeight="1">
      <c r="A6597" s="2">
        <v>2016.0</v>
      </c>
      <c r="B6597" s="2" t="s">
        <v>28206</v>
      </c>
      <c r="C6597" s="2" t="s">
        <v>28207</v>
      </c>
      <c r="D6597" s="2" t="str">
        <f>"9077455148"</f>
        <v>9077455148</v>
      </c>
      <c r="E6597" s="2" t="s">
        <v>11986</v>
      </c>
      <c r="F6597" s="2" t="s">
        <v>28208</v>
      </c>
      <c r="G6597" s="2" t="str">
        <f>"SR-8814"</f>
        <v>SR-8814</v>
      </c>
      <c r="H6597" s="2" t="s">
        <v>28209</v>
      </c>
      <c r="I6597" s="2" t="s">
        <v>28210</v>
      </c>
      <c r="K6597" s="2" t="s">
        <v>24289</v>
      </c>
      <c r="L6597" s="2" t="s">
        <v>70</v>
      </c>
      <c r="M6597" s="2">
        <v>99645.0</v>
      </c>
      <c r="N6597" s="2" t="s">
        <v>21</v>
      </c>
    </row>
    <row r="6598" ht="15.75" customHeight="1">
      <c r="A6598" s="2">
        <v>2016.0</v>
      </c>
      <c r="B6598" s="2" t="s">
        <v>28211</v>
      </c>
      <c r="C6598" s="2" t="s">
        <v>28212</v>
      </c>
      <c r="D6598" s="2" t="str">
        <f t="shared" ref="D6598:D6599" si="113">"4402865630"</f>
        <v>4402865630</v>
      </c>
      <c r="E6598" s="2" t="s">
        <v>28213</v>
      </c>
      <c r="F6598" s="2" t="s">
        <v>5105</v>
      </c>
      <c r="G6598" s="2" t="str">
        <f>"SR-8653"</f>
        <v>SR-8653</v>
      </c>
      <c r="H6598" s="2" t="s">
        <v>28214</v>
      </c>
      <c r="I6598" s="2" t="s">
        <v>28215</v>
      </c>
      <c r="K6598" s="2" t="s">
        <v>13972</v>
      </c>
      <c r="L6598" s="2" t="s">
        <v>344</v>
      </c>
      <c r="M6598" s="2">
        <v>44024.0</v>
      </c>
      <c r="N6598" s="2" t="s">
        <v>21</v>
      </c>
    </row>
    <row r="6599" ht="15.75" customHeight="1">
      <c r="A6599" s="2">
        <v>2016.0</v>
      </c>
      <c r="B6599" s="2" t="s">
        <v>28211</v>
      </c>
      <c r="C6599" s="2" t="s">
        <v>28216</v>
      </c>
      <c r="D6599" s="2" t="str">
        <f t="shared" si="113"/>
        <v>4402865630</v>
      </c>
      <c r="E6599" s="2" t="s">
        <v>4246</v>
      </c>
      <c r="F6599" s="2" t="s">
        <v>5105</v>
      </c>
      <c r="G6599" s="2" t="str">
        <f>"SR-8730"</f>
        <v>SR-8730</v>
      </c>
      <c r="H6599" s="2" t="s">
        <v>28217</v>
      </c>
      <c r="I6599" s="2" t="s">
        <v>28215</v>
      </c>
      <c r="K6599" s="2" t="s">
        <v>13972</v>
      </c>
      <c r="L6599" s="2" t="s">
        <v>344</v>
      </c>
      <c r="M6599" s="2">
        <v>44024.0</v>
      </c>
      <c r="N6599" s="2" t="s">
        <v>21</v>
      </c>
    </row>
    <row r="6600" ht="15.75" customHeight="1">
      <c r="A6600" s="2">
        <v>2016.0</v>
      </c>
      <c r="B6600" s="2" t="s">
        <v>28218</v>
      </c>
      <c r="C6600" s="2" t="s">
        <v>28219</v>
      </c>
      <c r="D6600" s="2" t="str">
        <f>"423-805-8369"</f>
        <v>423-805-8369</v>
      </c>
      <c r="E6600" s="2" t="s">
        <v>534</v>
      </c>
      <c r="F6600" s="2" t="s">
        <v>28220</v>
      </c>
      <c r="G6600" s="2" t="str">
        <f>"SR-8746"</f>
        <v>SR-8746</v>
      </c>
      <c r="H6600" s="2" t="s">
        <v>28221</v>
      </c>
      <c r="I6600" s="2" t="s">
        <v>28222</v>
      </c>
      <c r="K6600" s="2" t="s">
        <v>4310</v>
      </c>
      <c r="L6600" s="2" t="s">
        <v>279</v>
      </c>
      <c r="M6600" s="2">
        <v>37321.0</v>
      </c>
      <c r="N6600" s="2" t="s">
        <v>21</v>
      </c>
    </row>
    <row r="6601" ht="15.75" customHeight="1">
      <c r="A6601" s="2">
        <v>2016.0</v>
      </c>
      <c r="B6601" s="2" t="s">
        <v>28223</v>
      </c>
      <c r="C6601" s="2" t="s">
        <v>28224</v>
      </c>
      <c r="D6601" s="2" t="str">
        <f>"4232026799"</f>
        <v>4232026799</v>
      </c>
      <c r="E6601" s="2" t="s">
        <v>3269</v>
      </c>
      <c r="F6601" s="2" t="s">
        <v>89</v>
      </c>
      <c r="G6601" s="2" t="str">
        <f>"SR-8690"</f>
        <v>SR-8690</v>
      </c>
      <c r="H6601" s="2" t="s">
        <v>28225</v>
      </c>
      <c r="I6601" s="2" t="s">
        <v>28226</v>
      </c>
      <c r="K6601" s="2" t="s">
        <v>28227</v>
      </c>
      <c r="L6601" s="2" t="s">
        <v>165</v>
      </c>
      <c r="M6601" s="2">
        <v>24263.0</v>
      </c>
      <c r="N6601" s="2" t="s">
        <v>21</v>
      </c>
    </row>
    <row r="6602" ht="15.75" customHeight="1">
      <c r="A6602" s="2">
        <v>2016.0</v>
      </c>
      <c r="B6602" s="2" t="s">
        <v>28218</v>
      </c>
      <c r="C6602" s="2" t="s">
        <v>28228</v>
      </c>
      <c r="D6602" s="2" t="str">
        <f>"423-475-4872"</f>
        <v>423-475-4872</v>
      </c>
      <c r="E6602" s="2" t="s">
        <v>137</v>
      </c>
      <c r="F6602" s="2" t="s">
        <v>28220</v>
      </c>
      <c r="G6602" s="2" t="str">
        <f>"SR-8755"</f>
        <v>SR-8755</v>
      </c>
      <c r="H6602" s="2" t="s">
        <v>28229</v>
      </c>
      <c r="I6602" s="2" t="s">
        <v>28222</v>
      </c>
      <c r="K6602" s="2" t="s">
        <v>4310</v>
      </c>
      <c r="L6602" s="2" t="s">
        <v>279</v>
      </c>
      <c r="M6602" s="2">
        <v>37321.0</v>
      </c>
      <c r="N6602" s="2" t="s">
        <v>21</v>
      </c>
    </row>
    <row r="6603" ht="15.75" customHeight="1">
      <c r="A6603" s="2">
        <v>2016.0</v>
      </c>
      <c r="B6603" s="2" t="s">
        <v>28230</v>
      </c>
      <c r="C6603" s="2" t="s">
        <v>28231</v>
      </c>
      <c r="D6603" s="2" t="str">
        <f>"3099440215"</f>
        <v>3099440215</v>
      </c>
      <c r="E6603" s="2" t="s">
        <v>5542</v>
      </c>
      <c r="F6603" s="2" t="s">
        <v>28232</v>
      </c>
      <c r="G6603" s="2" t="str">
        <f>"SR-8761"</f>
        <v>SR-8761</v>
      </c>
      <c r="H6603" s="2" t="s">
        <v>28233</v>
      </c>
      <c r="I6603" s="2" t="s">
        <v>28234</v>
      </c>
      <c r="K6603" s="2" t="s">
        <v>13224</v>
      </c>
      <c r="L6603" s="2" t="s">
        <v>105</v>
      </c>
      <c r="M6603" s="2">
        <v>61254.0</v>
      </c>
      <c r="N6603" s="2" t="s">
        <v>21</v>
      </c>
    </row>
    <row r="6604" ht="15.75" customHeight="1">
      <c r="A6604" s="2">
        <v>2016.0</v>
      </c>
      <c r="B6604" s="2" t="s">
        <v>28235</v>
      </c>
      <c r="C6604" s="2" t="s">
        <v>28236</v>
      </c>
      <c r="D6604" s="2" t="str">
        <f>"3017370497"</f>
        <v>3017370497</v>
      </c>
      <c r="E6604" s="2" t="s">
        <v>19261</v>
      </c>
      <c r="F6604" s="2" t="s">
        <v>28237</v>
      </c>
      <c r="G6604" s="2" t="str">
        <f>"SR-8744"</f>
        <v>SR-8744</v>
      </c>
      <c r="H6604" s="2" t="s">
        <v>28238</v>
      </c>
      <c r="I6604" s="2" t="s">
        <v>28239</v>
      </c>
      <c r="K6604" s="2" t="s">
        <v>28240</v>
      </c>
      <c r="L6604" s="2" t="s">
        <v>1868</v>
      </c>
      <c r="M6604" s="2">
        <v>20634.0</v>
      </c>
      <c r="N6604" s="2" t="s">
        <v>21</v>
      </c>
    </row>
    <row r="6605" ht="15.75" customHeight="1">
      <c r="A6605" s="2">
        <v>2016.0</v>
      </c>
      <c r="B6605" s="2" t="s">
        <v>28241</v>
      </c>
      <c r="C6605" s="2" t="s">
        <v>28242</v>
      </c>
      <c r="D6605" s="2" t="str">
        <f>"601-829-4294"</f>
        <v>601-829-4294</v>
      </c>
      <c r="E6605" s="2" t="s">
        <v>4749</v>
      </c>
      <c r="F6605" s="2" t="s">
        <v>12699</v>
      </c>
      <c r="G6605" s="2" t="str">
        <f>"SR-8356"</f>
        <v>SR-8356</v>
      </c>
      <c r="H6605" s="2" t="s">
        <v>28243</v>
      </c>
      <c r="I6605" s="2" t="s">
        <v>28244</v>
      </c>
      <c r="K6605" s="2" t="s">
        <v>2147</v>
      </c>
      <c r="L6605" s="2" t="s">
        <v>1722</v>
      </c>
      <c r="M6605" s="2">
        <v>39047.0</v>
      </c>
      <c r="N6605" s="2" t="s">
        <v>21</v>
      </c>
    </row>
    <row r="6606" ht="15.75" customHeight="1">
      <c r="A6606" s="2">
        <v>2016.0</v>
      </c>
      <c r="B6606" s="2" t="s">
        <v>27936</v>
      </c>
      <c r="C6606" s="2" t="s">
        <v>28245</v>
      </c>
      <c r="D6606" s="2" t="str">
        <f>"970-874-9747"</f>
        <v>970-874-9747</v>
      </c>
      <c r="E6606" s="2" t="s">
        <v>2361</v>
      </c>
      <c r="F6606" s="2" t="s">
        <v>5911</v>
      </c>
      <c r="G6606" s="2" t="str">
        <f>"SR-8465"</f>
        <v>SR-8465</v>
      </c>
      <c r="H6606" s="2" t="s">
        <v>28246</v>
      </c>
      <c r="I6606" s="2" t="s">
        <v>28247</v>
      </c>
      <c r="K6606" s="2" t="s">
        <v>27547</v>
      </c>
      <c r="L6606" s="2" t="s">
        <v>157</v>
      </c>
      <c r="M6606" s="2">
        <v>81416.0</v>
      </c>
      <c r="N6606" s="2" t="s">
        <v>21</v>
      </c>
    </row>
    <row r="6607" ht="15.75" customHeight="1">
      <c r="A6607" s="2">
        <v>2016.0</v>
      </c>
      <c r="B6607" s="2" t="s">
        <v>28248</v>
      </c>
      <c r="C6607" s="2" t="s">
        <v>28249</v>
      </c>
      <c r="D6607" s="2" t="str">
        <f>"7853462050"</f>
        <v>7853462050</v>
      </c>
      <c r="E6607" s="2" t="s">
        <v>28250</v>
      </c>
      <c r="F6607" s="2" t="s">
        <v>28251</v>
      </c>
      <c r="G6607" s="2" t="str">
        <f>"SR-8729"</f>
        <v>SR-8729</v>
      </c>
      <c r="H6607" s="2" t="s">
        <v>28252</v>
      </c>
      <c r="I6607" s="2" t="s">
        <v>28253</v>
      </c>
      <c r="K6607" s="2" t="s">
        <v>28254</v>
      </c>
      <c r="L6607" s="2" t="s">
        <v>272</v>
      </c>
      <c r="M6607" s="2">
        <v>67474.0</v>
      </c>
      <c r="N6607" s="2" t="s">
        <v>21</v>
      </c>
    </row>
    <row r="6608" ht="15.75" customHeight="1">
      <c r="A6608" s="2">
        <v>2016.0</v>
      </c>
      <c r="B6608" s="2" t="s">
        <v>21599</v>
      </c>
      <c r="C6608" s="2" t="s">
        <v>21600</v>
      </c>
      <c r="D6608" s="2" t="str">
        <f>"7076012568"</f>
        <v>7076012568</v>
      </c>
      <c r="E6608" s="2" t="s">
        <v>1440</v>
      </c>
      <c r="F6608" s="2" t="s">
        <v>21601</v>
      </c>
      <c r="G6608" s="2" t="str">
        <f>"SR-6575"</f>
        <v>SR-6575</v>
      </c>
      <c r="H6608" s="2" t="s">
        <v>21602</v>
      </c>
      <c r="I6608" s="2" t="s">
        <v>21603</v>
      </c>
      <c r="K6608" s="2" t="s">
        <v>21604</v>
      </c>
      <c r="L6608" s="2" t="s">
        <v>222</v>
      </c>
      <c r="M6608" s="2">
        <v>95519.0</v>
      </c>
      <c r="N6608" s="2" t="s">
        <v>21</v>
      </c>
    </row>
    <row r="6609" ht="15.75" customHeight="1">
      <c r="A6609" s="2">
        <v>2016.0</v>
      </c>
      <c r="B6609" s="2" t="s">
        <v>28255</v>
      </c>
      <c r="C6609" s="2" t="s">
        <v>28255</v>
      </c>
      <c r="D6609" s="2" t="str">
        <f>"8328580098"</f>
        <v>8328580098</v>
      </c>
      <c r="E6609" s="2" t="s">
        <v>1725</v>
      </c>
      <c r="F6609" s="2" t="s">
        <v>28256</v>
      </c>
      <c r="G6609" s="2" t="str">
        <f>"SR-8735"</f>
        <v>SR-8735</v>
      </c>
      <c r="H6609" s="2" t="s">
        <v>28257</v>
      </c>
      <c r="I6609" s="2" t="s">
        <v>28258</v>
      </c>
      <c r="K6609" s="2" t="s">
        <v>5855</v>
      </c>
      <c r="L6609" s="2" t="s">
        <v>172</v>
      </c>
      <c r="M6609" s="2">
        <v>77386.0</v>
      </c>
      <c r="N6609" s="2" t="s">
        <v>21</v>
      </c>
    </row>
    <row r="6610" ht="15.75" customHeight="1">
      <c r="A6610" s="2">
        <v>2016.0</v>
      </c>
      <c r="B6610" s="2" t="s">
        <v>28259</v>
      </c>
      <c r="C6610" s="2" t="s">
        <v>28259</v>
      </c>
      <c r="D6610" s="2" t="str">
        <f>"4322147194"</f>
        <v>4322147194</v>
      </c>
      <c r="E6610" s="2" t="s">
        <v>267</v>
      </c>
      <c r="F6610" s="2" t="s">
        <v>128</v>
      </c>
      <c r="G6610" s="2" t="str">
        <f>"SR-7827"</f>
        <v>SR-7827</v>
      </c>
      <c r="H6610" s="2" t="s">
        <v>28260</v>
      </c>
      <c r="I6610" s="2" t="s">
        <v>28261</v>
      </c>
      <c r="K6610" s="2" t="s">
        <v>286</v>
      </c>
      <c r="L6610" s="2" t="s">
        <v>172</v>
      </c>
      <c r="M6610" s="2">
        <v>79707.0</v>
      </c>
      <c r="N6610" s="2" t="s">
        <v>21</v>
      </c>
    </row>
    <row r="6611" ht="15.75" customHeight="1">
      <c r="A6611" s="2">
        <v>2016.0</v>
      </c>
      <c r="B6611" s="2" t="s">
        <v>28262</v>
      </c>
      <c r="C6611" s="2" t="s">
        <v>28262</v>
      </c>
      <c r="D6611" s="2" t="str">
        <f>"5128630834"</f>
        <v>5128630834</v>
      </c>
      <c r="E6611" s="2" t="s">
        <v>2433</v>
      </c>
      <c r="F6611" s="2" t="s">
        <v>701</v>
      </c>
      <c r="G6611" s="2" t="str">
        <f>"SR-8708"</f>
        <v>SR-8708</v>
      </c>
      <c r="H6611" s="2" t="s">
        <v>28263</v>
      </c>
      <c r="I6611" s="2" t="s">
        <v>28264</v>
      </c>
      <c r="K6611" s="2" t="s">
        <v>4482</v>
      </c>
      <c r="L6611" s="2" t="s">
        <v>172</v>
      </c>
      <c r="M6611" s="2">
        <v>78628.0</v>
      </c>
      <c r="N6611" s="2" t="s">
        <v>21</v>
      </c>
    </row>
    <row r="6612" ht="15.75" customHeight="1">
      <c r="A6612" s="2">
        <v>2016.0</v>
      </c>
      <c r="B6612" s="2" t="s">
        <v>28265</v>
      </c>
      <c r="C6612" s="2" t="s">
        <v>28266</v>
      </c>
      <c r="D6612" s="2" t="str">
        <f>"818-268-8155"</f>
        <v>818-268-8155</v>
      </c>
      <c r="E6612" s="2" t="s">
        <v>1767</v>
      </c>
      <c r="F6612" s="2" t="s">
        <v>1864</v>
      </c>
      <c r="G6612" s="2" t="str">
        <f>"SR-8541"</f>
        <v>SR-8541</v>
      </c>
      <c r="H6612" s="2" t="s">
        <v>28267</v>
      </c>
      <c r="I6612" s="2" t="s">
        <v>28268</v>
      </c>
      <c r="K6612" s="2" t="s">
        <v>13125</v>
      </c>
      <c r="L6612" s="2" t="s">
        <v>222</v>
      </c>
      <c r="M6612" s="2">
        <v>91307.0</v>
      </c>
      <c r="N6612" s="2" t="s">
        <v>21</v>
      </c>
    </row>
    <row r="6613" ht="15.75" customHeight="1">
      <c r="A6613" s="2">
        <v>2016.0</v>
      </c>
      <c r="B6613" s="2" t="s">
        <v>28269</v>
      </c>
      <c r="C6613" s="2" t="s">
        <v>28270</v>
      </c>
      <c r="D6613" s="2" t="str">
        <f>"540-560-4009"</f>
        <v>540-560-4009</v>
      </c>
      <c r="E6613" s="2" t="s">
        <v>1761</v>
      </c>
      <c r="F6613" s="2" t="s">
        <v>10024</v>
      </c>
      <c r="G6613" s="2" t="str">
        <f>"SR-8745"</f>
        <v>SR-8745</v>
      </c>
      <c r="H6613" s="2" t="s">
        <v>28271</v>
      </c>
      <c r="I6613" s="2" t="s">
        <v>28272</v>
      </c>
      <c r="K6613" s="2" t="s">
        <v>10716</v>
      </c>
      <c r="L6613" s="2" t="s">
        <v>165</v>
      </c>
      <c r="M6613" s="2">
        <v>22801.0</v>
      </c>
      <c r="N6613" s="2" t="s">
        <v>21</v>
      </c>
    </row>
    <row r="6614" ht="15.75" customHeight="1">
      <c r="A6614" s="2">
        <v>2016.0</v>
      </c>
      <c r="B6614" s="2" t="s">
        <v>28273</v>
      </c>
      <c r="C6614" s="2" t="s">
        <v>28274</v>
      </c>
      <c r="D6614" s="2" t="str">
        <f>"970-443-3062"</f>
        <v>970-443-3062</v>
      </c>
      <c r="E6614" s="2" t="s">
        <v>1946</v>
      </c>
      <c r="F6614" s="2" t="s">
        <v>13762</v>
      </c>
      <c r="G6614" s="2" t="str">
        <f>"SR-8821"</f>
        <v>SR-8821</v>
      </c>
      <c r="H6614" s="2" t="s">
        <v>28275</v>
      </c>
      <c r="I6614" s="2" t="s">
        <v>13764</v>
      </c>
      <c r="K6614" s="2" t="s">
        <v>1048</v>
      </c>
      <c r="L6614" s="2" t="s">
        <v>157</v>
      </c>
      <c r="M6614" s="2">
        <v>80537.0</v>
      </c>
      <c r="N6614" s="2" t="s">
        <v>21</v>
      </c>
    </row>
    <row r="6615" ht="15.75" customHeight="1">
      <c r="A6615" s="2">
        <v>2016.0</v>
      </c>
      <c r="B6615" s="2" t="s">
        <v>28276</v>
      </c>
      <c r="D6615" s="2" t="str">
        <f>""</f>
        <v/>
      </c>
      <c r="E6615" s="2" t="s">
        <v>843</v>
      </c>
      <c r="F6615" s="2" t="s">
        <v>28277</v>
      </c>
      <c r="G6615" s="2" t="str">
        <f>"SR-8376"</f>
        <v>SR-8376</v>
      </c>
      <c r="H6615" s="2" t="s">
        <v>28278</v>
      </c>
      <c r="N6615" s="2" t="s">
        <v>21</v>
      </c>
    </row>
    <row r="6616" ht="15.75" customHeight="1">
      <c r="A6616" s="2">
        <v>2016.0</v>
      </c>
      <c r="B6616" s="2" t="s">
        <v>28279</v>
      </c>
      <c r="C6616" s="2" t="s">
        <v>28279</v>
      </c>
      <c r="D6616" s="2" t="str">
        <f>"763-689-0055"</f>
        <v>763-689-0055</v>
      </c>
      <c r="E6616" s="2" t="s">
        <v>4604</v>
      </c>
      <c r="F6616" s="2" t="s">
        <v>26812</v>
      </c>
      <c r="G6616" s="2" t="str">
        <f>"SR-6884"</f>
        <v>SR-6884</v>
      </c>
      <c r="H6616" s="2" t="s">
        <v>28280</v>
      </c>
      <c r="I6616" s="2" t="s">
        <v>28281</v>
      </c>
      <c r="K6616" s="2" t="s">
        <v>3420</v>
      </c>
      <c r="L6616" s="2" t="s">
        <v>62</v>
      </c>
      <c r="M6616" s="2">
        <v>55008.0</v>
      </c>
      <c r="N6616" s="2" t="s">
        <v>21</v>
      </c>
    </row>
    <row r="6617" ht="15.75" customHeight="1">
      <c r="A6617" s="2">
        <v>2016.0</v>
      </c>
      <c r="B6617" s="2" t="s">
        <v>28282</v>
      </c>
      <c r="D6617" s="2" t="str">
        <f>""</f>
        <v/>
      </c>
      <c r="E6617" s="2" t="s">
        <v>239</v>
      </c>
      <c r="F6617" s="2" t="s">
        <v>19394</v>
      </c>
      <c r="G6617" s="2" t="str">
        <f>"SR-8636"</f>
        <v>SR-8636</v>
      </c>
      <c r="H6617" s="2" t="s">
        <v>28283</v>
      </c>
      <c r="N6617" s="2" t="s">
        <v>21</v>
      </c>
    </row>
    <row r="6618" ht="15.75" customHeight="1">
      <c r="A6618" s="2">
        <v>2016.0</v>
      </c>
      <c r="B6618" s="2" t="s">
        <v>28284</v>
      </c>
      <c r="C6618" s="2" t="s">
        <v>28285</v>
      </c>
      <c r="D6618" s="2" t="str">
        <f>"7347403106"</f>
        <v>7347403106</v>
      </c>
      <c r="E6618" s="2" t="s">
        <v>261</v>
      </c>
      <c r="F6618" s="2" t="s">
        <v>28286</v>
      </c>
      <c r="G6618" s="2" t="str">
        <f>"SR-8714"</f>
        <v>SR-8714</v>
      </c>
      <c r="H6618" s="2" t="s">
        <v>28287</v>
      </c>
      <c r="I6618" s="2" t="s">
        <v>28288</v>
      </c>
      <c r="K6618" s="2" t="s">
        <v>28289</v>
      </c>
      <c r="L6618" s="2" t="s">
        <v>29</v>
      </c>
      <c r="M6618" s="2">
        <v>48111.0</v>
      </c>
      <c r="N6618" s="2" t="s">
        <v>21</v>
      </c>
    </row>
    <row r="6619" ht="15.75" customHeight="1">
      <c r="A6619" s="2">
        <v>2016.0</v>
      </c>
      <c r="B6619" s="2" t="s">
        <v>28290</v>
      </c>
      <c r="C6619" s="2" t="s">
        <v>28291</v>
      </c>
      <c r="D6619" s="2" t="str">
        <f>"4083178454"</f>
        <v>4083178454</v>
      </c>
      <c r="E6619" s="2" t="s">
        <v>1585</v>
      </c>
      <c r="F6619" s="2" t="s">
        <v>5281</v>
      </c>
      <c r="G6619" s="2" t="str">
        <f>"SR-8571"</f>
        <v>SR-8571</v>
      </c>
      <c r="H6619" s="2" t="s">
        <v>28292</v>
      </c>
      <c r="I6619" s="2" t="s">
        <v>28293</v>
      </c>
      <c r="K6619" s="2" t="s">
        <v>28294</v>
      </c>
      <c r="L6619" s="2" t="s">
        <v>222</v>
      </c>
      <c r="M6619" s="2">
        <v>95391.0</v>
      </c>
      <c r="N6619" s="2" t="s">
        <v>21</v>
      </c>
    </row>
    <row r="6620" ht="15.75" customHeight="1">
      <c r="A6620" s="2">
        <v>2016.0</v>
      </c>
      <c r="B6620" s="2" t="s">
        <v>28290</v>
      </c>
      <c r="C6620" s="2" t="s">
        <v>28295</v>
      </c>
      <c r="D6620" s="2" t="str">
        <f>"4083178452"</f>
        <v>4083178452</v>
      </c>
      <c r="E6620" s="2" t="s">
        <v>4275</v>
      </c>
      <c r="F6620" s="2" t="s">
        <v>5281</v>
      </c>
      <c r="G6620" s="2" t="str">
        <f>"SR-8595"</f>
        <v>SR-8595</v>
      </c>
      <c r="H6620" s="2" t="s">
        <v>28296</v>
      </c>
      <c r="I6620" s="2" t="s">
        <v>28297</v>
      </c>
      <c r="K6620" s="2" t="s">
        <v>7555</v>
      </c>
      <c r="L6620" s="2" t="s">
        <v>222</v>
      </c>
      <c r="M6620" s="2">
        <v>94089.0</v>
      </c>
      <c r="N6620" s="2" t="s">
        <v>21</v>
      </c>
    </row>
    <row r="6621" ht="15.75" customHeight="1">
      <c r="A6621" s="2">
        <v>2016.0</v>
      </c>
      <c r="B6621" s="2" t="s">
        <v>27795</v>
      </c>
      <c r="C6621" s="2" t="s">
        <v>28298</v>
      </c>
      <c r="D6621" s="2" t="str">
        <f>"626-771-6610"</f>
        <v>626-771-6610</v>
      </c>
      <c r="E6621" s="2" t="s">
        <v>1999</v>
      </c>
      <c r="F6621" s="2" t="s">
        <v>51</v>
      </c>
      <c r="G6621" s="2" t="str">
        <f>"SR-7994"</f>
        <v>SR-7994</v>
      </c>
      <c r="H6621" s="2" t="s">
        <v>28299</v>
      </c>
      <c r="I6621" s="2" t="s">
        <v>27798</v>
      </c>
      <c r="K6621" s="2" t="s">
        <v>7320</v>
      </c>
      <c r="L6621" s="2" t="s">
        <v>222</v>
      </c>
      <c r="M6621" s="2">
        <v>91740.0</v>
      </c>
      <c r="N6621" s="2" t="s">
        <v>21</v>
      </c>
    </row>
    <row r="6622" ht="15.75" customHeight="1">
      <c r="A6622" s="2">
        <v>2016.0</v>
      </c>
      <c r="B6622" s="2" t="s">
        <v>28300</v>
      </c>
      <c r="C6622" s="2" t="s">
        <v>28301</v>
      </c>
      <c r="D6622" s="2" t="str">
        <f>"4708093950"</f>
        <v>4708093950</v>
      </c>
      <c r="E6622" s="2" t="s">
        <v>28302</v>
      </c>
      <c r="F6622" s="2" t="s">
        <v>31</v>
      </c>
      <c r="G6622" s="2" t="str">
        <f>"SR-8700"</f>
        <v>SR-8700</v>
      </c>
      <c r="H6622" s="2" t="s">
        <v>28303</v>
      </c>
      <c r="I6622" s="2" t="s">
        <v>28304</v>
      </c>
      <c r="K6622" s="2" t="s">
        <v>10683</v>
      </c>
      <c r="L6622" s="2" t="s">
        <v>200</v>
      </c>
      <c r="M6622" s="2">
        <v>30317.0</v>
      </c>
      <c r="N6622" s="2" t="s">
        <v>21</v>
      </c>
    </row>
    <row r="6623" ht="15.75" customHeight="1">
      <c r="A6623" s="2">
        <v>2016.0</v>
      </c>
      <c r="B6623" s="2" t="s">
        <v>28305</v>
      </c>
      <c r="C6623" s="2" t="s">
        <v>28306</v>
      </c>
      <c r="D6623" s="2" t="str">
        <f>"7757831711"</f>
        <v>7757831711</v>
      </c>
      <c r="E6623" s="2" t="s">
        <v>17850</v>
      </c>
      <c r="F6623" s="2" t="s">
        <v>28307</v>
      </c>
      <c r="G6623" s="2" t="str">
        <f>"SR-5801"</f>
        <v>SR-5801</v>
      </c>
      <c r="H6623" s="2" t="s">
        <v>28308</v>
      </c>
      <c r="I6623" s="2" t="s">
        <v>28309</v>
      </c>
      <c r="K6623" s="2" t="s">
        <v>28310</v>
      </c>
      <c r="L6623" s="2" t="s">
        <v>1419</v>
      </c>
      <c r="M6623" s="2">
        <v>89410.0</v>
      </c>
      <c r="N6623" s="2" t="s">
        <v>21</v>
      </c>
    </row>
    <row r="6624" ht="15.75" customHeight="1">
      <c r="A6624" s="2">
        <v>2016.0</v>
      </c>
      <c r="B6624" s="2" t="s">
        <v>28311</v>
      </c>
      <c r="C6624" s="2" t="s">
        <v>28312</v>
      </c>
      <c r="D6624" s="2" t="str">
        <f>"513-288-6718"</f>
        <v>513-288-6718</v>
      </c>
      <c r="E6624" s="2" t="s">
        <v>485</v>
      </c>
      <c r="F6624" s="2" t="s">
        <v>24521</v>
      </c>
      <c r="G6624" s="2" t="str">
        <f>"SR-8826"</f>
        <v>SR-8826</v>
      </c>
      <c r="H6624" s="2" t="s">
        <v>24522</v>
      </c>
      <c r="I6624" s="2" t="s">
        <v>28313</v>
      </c>
      <c r="K6624" s="2" t="s">
        <v>1520</v>
      </c>
      <c r="L6624" s="2" t="s">
        <v>344</v>
      </c>
      <c r="M6624" s="2">
        <v>44202.0</v>
      </c>
      <c r="N6624" s="2" t="s">
        <v>21</v>
      </c>
    </row>
    <row r="6625" ht="15.75" customHeight="1">
      <c r="A6625" s="2">
        <v>2016.0</v>
      </c>
      <c r="B6625" s="2" t="s">
        <v>28314</v>
      </c>
      <c r="C6625" s="2" t="s">
        <v>28315</v>
      </c>
      <c r="D6625" s="2" t="str">
        <f>"519-819-2270"</f>
        <v>519-819-2270</v>
      </c>
      <c r="E6625" s="2" t="s">
        <v>72</v>
      </c>
      <c r="F6625" s="2" t="s">
        <v>28316</v>
      </c>
      <c r="G6625" s="2" t="str">
        <f>"SR-6723"</f>
        <v>SR-6723</v>
      </c>
      <c r="H6625" s="2" t="s">
        <v>28317</v>
      </c>
      <c r="I6625" s="2" t="s">
        <v>28318</v>
      </c>
      <c r="K6625" s="2" t="s">
        <v>28319</v>
      </c>
      <c r="L6625" s="2" t="s">
        <v>2015</v>
      </c>
      <c r="M6625" s="2" t="s">
        <v>28320</v>
      </c>
      <c r="N6625" s="2" t="s">
        <v>1602</v>
      </c>
    </row>
    <row r="6626" ht="15.75" customHeight="1">
      <c r="A6626" s="2">
        <v>2016.0</v>
      </c>
      <c r="B6626" s="2" t="s">
        <v>28321</v>
      </c>
      <c r="D6626" s="2" t="str">
        <f>""</f>
        <v/>
      </c>
      <c r="E6626" s="2" t="s">
        <v>28322</v>
      </c>
      <c r="F6626" s="2" t="s">
        <v>28323</v>
      </c>
      <c r="G6626" s="2" t="str">
        <f>"SR-8824"</f>
        <v>SR-8824</v>
      </c>
      <c r="H6626" s="2" t="s">
        <v>28324</v>
      </c>
    </row>
    <row r="6627" ht="15.75" customHeight="1">
      <c r="A6627" s="2">
        <v>2016.0</v>
      </c>
      <c r="B6627" s="2" t="s">
        <v>25351</v>
      </c>
      <c r="C6627" s="2" t="s">
        <v>28325</v>
      </c>
      <c r="D6627" s="2" t="str">
        <f>"6496205692"</f>
        <v>6496205692</v>
      </c>
      <c r="E6627" s="2" t="s">
        <v>339</v>
      </c>
      <c r="F6627" s="2" t="s">
        <v>4678</v>
      </c>
      <c r="G6627" s="2" t="str">
        <f>"SR-8037"</f>
        <v>SR-8037</v>
      </c>
      <c r="H6627" s="2" t="s">
        <v>28326</v>
      </c>
      <c r="I6627" s="2" t="s">
        <v>28327</v>
      </c>
      <c r="J6627" s="2" t="s">
        <v>25355</v>
      </c>
      <c r="K6627" s="2" t="s">
        <v>25356</v>
      </c>
      <c r="L6627" s="2" t="s">
        <v>25356</v>
      </c>
      <c r="M6627" s="2">
        <v>1041.0</v>
      </c>
      <c r="N6627" s="2" t="s">
        <v>702</v>
      </c>
    </row>
    <row r="6628" ht="15.75" customHeight="1">
      <c r="A6628" s="2">
        <v>2016.0</v>
      </c>
      <c r="B6628" s="2" t="s">
        <v>7153</v>
      </c>
      <c r="C6628" s="2" t="s">
        <v>28328</v>
      </c>
      <c r="D6628" s="2" t="str">
        <f>"7204027300"</f>
        <v>7204027300</v>
      </c>
      <c r="E6628" s="2" t="s">
        <v>28329</v>
      </c>
      <c r="F6628" s="2" t="s">
        <v>2753</v>
      </c>
      <c r="G6628" s="2" t="str">
        <f>"SR-7849"</f>
        <v>SR-7849</v>
      </c>
      <c r="H6628" s="2" t="s">
        <v>28330</v>
      </c>
      <c r="I6628" s="2" t="s">
        <v>28331</v>
      </c>
      <c r="K6628" s="2" t="s">
        <v>519</v>
      </c>
      <c r="L6628" s="2" t="s">
        <v>157</v>
      </c>
      <c r="M6628" s="2">
        <v>80465.0</v>
      </c>
      <c r="N6628" s="2" t="s">
        <v>21</v>
      </c>
    </row>
    <row r="6629" ht="15.75" customHeight="1">
      <c r="A6629" s="2">
        <v>2016.0</v>
      </c>
      <c r="B6629" s="2" t="s">
        <v>28332</v>
      </c>
      <c r="C6629" s="2" t="s">
        <v>28332</v>
      </c>
      <c r="D6629" s="2" t="str">
        <f>"3018299963"</f>
        <v>3018299963</v>
      </c>
      <c r="E6629" s="2" t="s">
        <v>2635</v>
      </c>
      <c r="F6629" s="2" t="s">
        <v>1151</v>
      </c>
      <c r="G6629" s="2" t="str">
        <f>"SR-8829"</f>
        <v>SR-8829</v>
      </c>
      <c r="H6629" s="2" t="s">
        <v>28333</v>
      </c>
      <c r="I6629" s="2" t="s">
        <v>28334</v>
      </c>
      <c r="K6629" s="2" t="s">
        <v>8678</v>
      </c>
      <c r="L6629" s="2" t="s">
        <v>1868</v>
      </c>
      <c r="M6629" s="2">
        <v>21771.0</v>
      </c>
      <c r="N6629" s="2" t="s">
        <v>21</v>
      </c>
    </row>
    <row r="6630" ht="15.75" customHeight="1">
      <c r="A6630" s="2">
        <v>2016.0</v>
      </c>
      <c r="B6630" s="2" t="s">
        <v>28335</v>
      </c>
      <c r="C6630" s="2" t="s">
        <v>28336</v>
      </c>
      <c r="D6630" s="2" t="str">
        <f>"217-766-1602"</f>
        <v>217-766-1602</v>
      </c>
      <c r="E6630" s="2" t="s">
        <v>167</v>
      </c>
      <c r="F6630" s="2" t="s">
        <v>17190</v>
      </c>
      <c r="G6630" s="2" t="str">
        <f>"SR-8831"</f>
        <v>SR-8831</v>
      </c>
      <c r="H6630" s="2" t="s">
        <v>28337</v>
      </c>
      <c r="I6630" s="2" t="s">
        <v>28338</v>
      </c>
      <c r="K6630" s="2" t="s">
        <v>28339</v>
      </c>
      <c r="L6630" s="2" t="s">
        <v>105</v>
      </c>
      <c r="M6630" s="2">
        <v>61801.0</v>
      </c>
      <c r="N6630" s="2" t="s">
        <v>21</v>
      </c>
    </row>
    <row r="6631" ht="15.75" customHeight="1">
      <c r="A6631" s="2">
        <v>2016.0</v>
      </c>
      <c r="B6631" s="2" t="s">
        <v>28340</v>
      </c>
      <c r="C6631" s="2" t="s">
        <v>28340</v>
      </c>
      <c r="D6631" s="2" t="str">
        <f>"8325529764"</f>
        <v>8325529764</v>
      </c>
      <c r="E6631" s="2" t="s">
        <v>28341</v>
      </c>
      <c r="F6631" s="2" t="s">
        <v>6824</v>
      </c>
      <c r="G6631" s="2" t="str">
        <f>"SR-8825"</f>
        <v>SR-8825</v>
      </c>
      <c r="H6631" s="2" t="s">
        <v>28342</v>
      </c>
      <c r="I6631" s="2" t="s">
        <v>28343</v>
      </c>
      <c r="J6631" s="2" t="s">
        <v>28344</v>
      </c>
      <c r="K6631" s="2" t="s">
        <v>22224</v>
      </c>
      <c r="L6631" s="2" t="s">
        <v>3618</v>
      </c>
      <c r="M6631" s="2">
        <v>7002.0</v>
      </c>
      <c r="N6631" s="2" t="s">
        <v>21</v>
      </c>
    </row>
    <row r="6632" ht="15.75" customHeight="1">
      <c r="A6632" s="2">
        <v>2016.0</v>
      </c>
      <c r="B6632" s="2" t="s">
        <v>28345</v>
      </c>
      <c r="C6632" s="2" t="s">
        <v>28346</v>
      </c>
      <c r="D6632" s="2" t="str">
        <f>"5159864252"</f>
        <v>5159864252</v>
      </c>
      <c r="E6632" s="2" t="s">
        <v>17908</v>
      </c>
      <c r="F6632" s="2" t="s">
        <v>28347</v>
      </c>
      <c r="G6632" s="2" t="str">
        <f>"SR-8832"</f>
        <v>SR-8832</v>
      </c>
      <c r="H6632" s="2" t="s">
        <v>28348</v>
      </c>
      <c r="I6632" s="2" t="s">
        <v>28349</v>
      </c>
      <c r="K6632" s="2" t="s">
        <v>3961</v>
      </c>
      <c r="L6632" s="2" t="s">
        <v>560</v>
      </c>
      <c r="M6632" s="2">
        <v>50063.0</v>
      </c>
      <c r="N6632" s="2" t="s">
        <v>21</v>
      </c>
    </row>
    <row r="6633" ht="15.75" customHeight="1">
      <c r="A6633" s="2">
        <v>2016.0</v>
      </c>
      <c r="B6633" s="2" t="s">
        <v>28350</v>
      </c>
      <c r="C6633" s="2" t="s">
        <v>28350</v>
      </c>
      <c r="D6633" s="2" t="str">
        <f>"402-613-5005"</f>
        <v>402-613-5005</v>
      </c>
      <c r="E6633" s="2" t="s">
        <v>908</v>
      </c>
      <c r="F6633" s="2" t="s">
        <v>28351</v>
      </c>
      <c r="G6633" s="2" t="str">
        <f>"SR-8734"</f>
        <v>SR-8734</v>
      </c>
      <c r="H6633" s="2" t="s">
        <v>28352</v>
      </c>
      <c r="I6633" s="2" t="s">
        <v>28353</v>
      </c>
      <c r="K6633" s="2" t="s">
        <v>572</v>
      </c>
      <c r="L6633" s="2" t="s">
        <v>757</v>
      </c>
      <c r="M6633" s="2">
        <v>68516.0</v>
      </c>
      <c r="N6633" s="2" t="s">
        <v>21</v>
      </c>
    </row>
    <row r="6634" ht="15.75" customHeight="1">
      <c r="A6634" s="2">
        <v>2016.0</v>
      </c>
      <c r="B6634" s="2" t="s">
        <v>28354</v>
      </c>
      <c r="C6634" s="2" t="s">
        <v>28354</v>
      </c>
      <c r="D6634" s="2" t="str">
        <f>"2145642435"</f>
        <v>2145642435</v>
      </c>
      <c r="E6634" s="2" t="s">
        <v>25998</v>
      </c>
      <c r="F6634" s="2" t="s">
        <v>12896</v>
      </c>
      <c r="G6634" s="2" t="str">
        <f>"SR-8838"</f>
        <v>SR-8838</v>
      </c>
      <c r="H6634" s="2" t="s">
        <v>28355</v>
      </c>
      <c r="I6634" s="2" t="s">
        <v>28356</v>
      </c>
      <c r="K6634" s="2" t="s">
        <v>28357</v>
      </c>
      <c r="L6634" s="2" t="s">
        <v>172</v>
      </c>
      <c r="M6634" s="2">
        <v>75058.0</v>
      </c>
      <c r="N6634" s="2" t="s">
        <v>21</v>
      </c>
    </row>
    <row r="6635" ht="15.75" customHeight="1">
      <c r="A6635" s="2">
        <v>2016.0</v>
      </c>
      <c r="B6635" s="2" t="s">
        <v>28358</v>
      </c>
      <c r="C6635" s="2" t="s">
        <v>28359</v>
      </c>
      <c r="D6635" s="2" t="str">
        <f>"3109229716"</f>
        <v>3109229716</v>
      </c>
      <c r="E6635" s="2" t="s">
        <v>57</v>
      </c>
      <c r="F6635" s="2" t="s">
        <v>108</v>
      </c>
      <c r="G6635" s="2" t="str">
        <f>"SR-8823"</f>
        <v>SR-8823</v>
      </c>
      <c r="H6635" s="2" t="s">
        <v>28360</v>
      </c>
      <c r="I6635" s="2" t="s">
        <v>28361</v>
      </c>
      <c r="K6635" s="2" t="s">
        <v>18221</v>
      </c>
      <c r="L6635" s="2" t="s">
        <v>105</v>
      </c>
      <c r="M6635" s="2">
        <v>60625.0</v>
      </c>
      <c r="N6635" s="2" t="s">
        <v>21</v>
      </c>
    </row>
    <row r="6636" ht="15.75" customHeight="1">
      <c r="A6636" s="2">
        <v>2016.0</v>
      </c>
      <c r="B6636" s="2" t="s">
        <v>28362</v>
      </c>
      <c r="C6636" s="2" t="s">
        <v>28362</v>
      </c>
      <c r="D6636" s="2" t="str">
        <f>"913 272 8028"</f>
        <v>913 272 8028</v>
      </c>
      <c r="E6636" s="2" t="s">
        <v>250</v>
      </c>
      <c r="F6636" s="2" t="s">
        <v>1101</v>
      </c>
      <c r="G6636" s="2" t="str">
        <f>"SR-8701"</f>
        <v>SR-8701</v>
      </c>
      <c r="H6636" s="2" t="s">
        <v>28363</v>
      </c>
      <c r="I6636" s="2" t="s">
        <v>27801</v>
      </c>
      <c r="K6636" s="2" t="s">
        <v>1814</v>
      </c>
      <c r="L6636" s="2" t="s">
        <v>272</v>
      </c>
      <c r="M6636" s="2">
        <v>66109.0</v>
      </c>
      <c r="N6636" s="2" t="s">
        <v>21</v>
      </c>
    </row>
    <row r="6637" ht="15.75" customHeight="1">
      <c r="A6637" s="2">
        <v>2016.0</v>
      </c>
      <c r="B6637" s="2" t="s">
        <v>28335</v>
      </c>
      <c r="C6637" s="2" t="s">
        <v>28364</v>
      </c>
      <c r="D6637" s="2" t="str">
        <f>"(217) 418-1782"</f>
        <v>(217) 418-1782</v>
      </c>
      <c r="E6637" s="2" t="s">
        <v>843</v>
      </c>
      <c r="F6637" s="2" t="s">
        <v>17190</v>
      </c>
      <c r="G6637" s="2" t="str">
        <f>"SR-8830"</f>
        <v>SR-8830</v>
      </c>
      <c r="H6637" s="2" t="s">
        <v>28365</v>
      </c>
      <c r="I6637" s="2" t="s">
        <v>28338</v>
      </c>
      <c r="K6637" s="2" t="s">
        <v>28366</v>
      </c>
      <c r="L6637" s="2" t="s">
        <v>105</v>
      </c>
      <c r="M6637" s="2">
        <v>61801.0</v>
      </c>
      <c r="N6637" s="2" t="s">
        <v>21</v>
      </c>
    </row>
    <row r="6638" ht="15.75" customHeight="1">
      <c r="A6638" s="2">
        <v>2016.0</v>
      </c>
      <c r="B6638" s="2" t="s">
        <v>28367</v>
      </c>
      <c r="C6638" s="2" t="s">
        <v>28368</v>
      </c>
      <c r="D6638" s="2" t="str">
        <f>"9186257787"</f>
        <v>9186257787</v>
      </c>
      <c r="E6638" s="2" t="s">
        <v>22628</v>
      </c>
      <c r="F6638" s="2" t="s">
        <v>13269</v>
      </c>
      <c r="G6638" s="2" t="str">
        <f>"SR-8839"</f>
        <v>SR-8839</v>
      </c>
      <c r="H6638" s="2" t="s">
        <v>28369</v>
      </c>
      <c r="I6638" s="2" t="s">
        <v>28370</v>
      </c>
      <c r="K6638" s="2" t="s">
        <v>20517</v>
      </c>
      <c r="L6638" s="2" t="s">
        <v>840</v>
      </c>
      <c r="M6638" s="2">
        <v>74136.0</v>
      </c>
      <c r="N6638" s="2" t="s">
        <v>21</v>
      </c>
    </row>
    <row r="6639" ht="15.75" customHeight="1">
      <c r="A6639" s="2">
        <v>2016.0</v>
      </c>
      <c r="B6639" s="2" t="s">
        <v>28371</v>
      </c>
      <c r="C6639" s="2" t="s">
        <v>21084</v>
      </c>
      <c r="D6639" s="2" t="str">
        <f>"(321) 266-8578"</f>
        <v>(321) 266-8578</v>
      </c>
      <c r="E6639" s="2" t="s">
        <v>2126</v>
      </c>
      <c r="F6639" s="2" t="s">
        <v>5150</v>
      </c>
      <c r="G6639" s="2" t="str">
        <f>"SR-8603"</f>
        <v>SR-8603</v>
      </c>
      <c r="H6639" s="2" t="s">
        <v>21085</v>
      </c>
      <c r="I6639" s="2" t="s">
        <v>21086</v>
      </c>
      <c r="K6639" s="2" t="s">
        <v>21087</v>
      </c>
      <c r="L6639" s="2" t="s">
        <v>208</v>
      </c>
      <c r="M6639" s="2">
        <v>32953.0</v>
      </c>
      <c r="N6639" s="2" t="s">
        <v>21</v>
      </c>
    </row>
    <row r="6640" ht="15.75" customHeight="1">
      <c r="A6640" s="2">
        <v>2016.0</v>
      </c>
      <c r="B6640" s="2" t="s">
        <v>28372</v>
      </c>
      <c r="C6640" s="2" t="s">
        <v>28372</v>
      </c>
      <c r="D6640" s="2" t="str">
        <f>"8175130201"</f>
        <v>8175130201</v>
      </c>
      <c r="E6640" s="2" t="s">
        <v>4300</v>
      </c>
      <c r="F6640" s="2" t="s">
        <v>256</v>
      </c>
      <c r="G6640" s="2" t="str">
        <f>"SR-8845"</f>
        <v>SR-8845</v>
      </c>
      <c r="H6640" s="2" t="s">
        <v>28373</v>
      </c>
      <c r="I6640" s="2" t="s">
        <v>28374</v>
      </c>
      <c r="K6640" s="2" t="s">
        <v>882</v>
      </c>
      <c r="L6640" s="2" t="s">
        <v>172</v>
      </c>
      <c r="M6640" s="2">
        <v>76001.0</v>
      </c>
      <c r="N6640" s="2" t="s">
        <v>21</v>
      </c>
    </row>
    <row r="6641" ht="15.75" customHeight="1">
      <c r="A6641" s="2">
        <v>2016.0</v>
      </c>
      <c r="B6641" s="2" t="s">
        <v>28375</v>
      </c>
      <c r="C6641" s="2" t="s">
        <v>28375</v>
      </c>
      <c r="D6641" s="2" t="str">
        <f>"6264043974"</f>
        <v>6264043974</v>
      </c>
      <c r="E6641" s="2" t="s">
        <v>203</v>
      </c>
      <c r="F6641" s="2" t="s">
        <v>11406</v>
      </c>
      <c r="G6641" s="2" t="str">
        <f>"SR-8594"</f>
        <v>SR-8594</v>
      </c>
      <c r="H6641" s="2" t="s">
        <v>28376</v>
      </c>
      <c r="I6641" s="2" t="s">
        <v>28377</v>
      </c>
      <c r="K6641" s="2" t="s">
        <v>11882</v>
      </c>
      <c r="L6641" s="2" t="s">
        <v>222</v>
      </c>
      <c r="M6641" s="2">
        <v>92880.0</v>
      </c>
      <c r="N6641" s="2" t="s">
        <v>21</v>
      </c>
    </row>
    <row r="6642" ht="15.75" customHeight="1">
      <c r="A6642" s="2">
        <v>2016.0</v>
      </c>
      <c r="B6642" s="2" t="s">
        <v>14541</v>
      </c>
      <c r="C6642" s="2" t="s">
        <v>28378</v>
      </c>
      <c r="D6642" s="2" t="str">
        <f>"9092477838"</f>
        <v>9092477838</v>
      </c>
      <c r="E6642" s="2" t="s">
        <v>1000</v>
      </c>
      <c r="F6642" s="2" t="s">
        <v>14543</v>
      </c>
      <c r="G6642" s="2" t="str">
        <f>"SR-8646"</f>
        <v>SR-8646</v>
      </c>
      <c r="H6642" s="2" t="s">
        <v>28379</v>
      </c>
      <c r="I6642" s="2" t="s">
        <v>28380</v>
      </c>
      <c r="K6642" s="2" t="s">
        <v>10340</v>
      </c>
      <c r="L6642" s="2" t="s">
        <v>222</v>
      </c>
      <c r="M6642" s="2">
        <v>91709.0</v>
      </c>
      <c r="N6642" s="2" t="s">
        <v>21</v>
      </c>
    </row>
    <row r="6643" ht="15.75" customHeight="1">
      <c r="A6643" s="2">
        <v>2016.0</v>
      </c>
      <c r="B6643" s="2" t="s">
        <v>28381</v>
      </c>
      <c r="C6643" s="2" t="s">
        <v>28381</v>
      </c>
      <c r="D6643" s="2" t="str">
        <f>"7133445404"</f>
        <v>7133445404</v>
      </c>
      <c r="E6643" s="2" t="s">
        <v>931</v>
      </c>
      <c r="F6643" s="2" t="s">
        <v>12784</v>
      </c>
      <c r="G6643" s="2" t="str">
        <f>"SR-8614"</f>
        <v>SR-8614</v>
      </c>
      <c r="H6643" s="2" t="s">
        <v>28382</v>
      </c>
      <c r="I6643" s="2" t="s">
        <v>27855</v>
      </c>
      <c r="K6643" s="2" t="s">
        <v>444</v>
      </c>
      <c r="L6643" s="2" t="s">
        <v>172</v>
      </c>
      <c r="M6643" s="2">
        <v>77085.0</v>
      </c>
      <c r="N6643" s="2" t="s">
        <v>21</v>
      </c>
    </row>
    <row r="6644" ht="15.75" customHeight="1">
      <c r="A6644" s="2">
        <v>2016.0</v>
      </c>
      <c r="B6644" s="2" t="s">
        <v>28383</v>
      </c>
      <c r="C6644" s="2" t="s">
        <v>28384</v>
      </c>
      <c r="D6644" s="2" t="str">
        <f>"9724921131"</f>
        <v>9724921131</v>
      </c>
      <c r="E6644" s="2" t="s">
        <v>705</v>
      </c>
      <c r="F6644" s="2" t="s">
        <v>283</v>
      </c>
      <c r="G6644" s="2" t="str">
        <f>"SR-8811"</f>
        <v>SR-8811</v>
      </c>
      <c r="H6644" s="2" t="s">
        <v>20159</v>
      </c>
      <c r="I6644" s="2" t="s">
        <v>28385</v>
      </c>
      <c r="K6644" s="2" t="s">
        <v>171</v>
      </c>
      <c r="L6644" s="2" t="s">
        <v>172</v>
      </c>
      <c r="M6644" s="2">
        <v>75010.0</v>
      </c>
      <c r="N6644" s="2" t="s">
        <v>21</v>
      </c>
    </row>
    <row r="6645" ht="15.75" customHeight="1">
      <c r="A6645" s="2">
        <v>2016.0</v>
      </c>
      <c r="B6645" s="2" t="s">
        <v>18710</v>
      </c>
      <c r="C6645" s="2" t="s">
        <v>18711</v>
      </c>
      <c r="D6645" s="2" t="str">
        <f>"316-789-5422"</f>
        <v>316-789-5422</v>
      </c>
      <c r="E6645" s="2" t="s">
        <v>3191</v>
      </c>
      <c r="F6645" s="2" t="s">
        <v>2234</v>
      </c>
      <c r="G6645" s="2" t="str">
        <f>"SR-5714"</f>
        <v>SR-5714</v>
      </c>
      <c r="H6645" s="2" t="s">
        <v>18712</v>
      </c>
      <c r="I6645" s="2" t="s">
        <v>18713</v>
      </c>
      <c r="K6645" s="2" t="s">
        <v>606</v>
      </c>
      <c r="L6645" s="2" t="s">
        <v>272</v>
      </c>
      <c r="M6645" s="2">
        <v>67235.0</v>
      </c>
      <c r="N6645" s="2" t="s">
        <v>21</v>
      </c>
    </row>
    <row r="6646" ht="15.75" customHeight="1">
      <c r="A6646" s="2">
        <v>2016.0</v>
      </c>
      <c r="B6646" s="2" t="s">
        <v>6395</v>
      </c>
      <c r="C6646" s="2" t="s">
        <v>6395</v>
      </c>
      <c r="D6646" s="2" t="str">
        <f>"7205526079"</f>
        <v>7205526079</v>
      </c>
      <c r="E6646" s="2" t="s">
        <v>2031</v>
      </c>
      <c r="F6646" s="2" t="s">
        <v>3656</v>
      </c>
      <c r="G6646" s="2" t="str">
        <f>"SR-8848"</f>
        <v>SR-8848</v>
      </c>
      <c r="H6646" s="2" t="s">
        <v>6396</v>
      </c>
      <c r="I6646" s="2" t="s">
        <v>28386</v>
      </c>
      <c r="K6646" s="2" t="s">
        <v>28387</v>
      </c>
      <c r="L6646" s="2" t="s">
        <v>422</v>
      </c>
      <c r="M6646" s="2">
        <v>85621.0</v>
      </c>
      <c r="N6646" s="2" t="s">
        <v>21</v>
      </c>
    </row>
    <row r="6647" ht="15.75" customHeight="1">
      <c r="A6647" s="2">
        <v>2016.0</v>
      </c>
      <c r="B6647" s="2" t="s">
        <v>28388</v>
      </c>
      <c r="C6647" s="2" t="s">
        <v>28388</v>
      </c>
      <c r="D6647" s="2" t="str">
        <f>"9375977900"</f>
        <v>9375977900</v>
      </c>
      <c r="E6647" s="2" t="s">
        <v>385</v>
      </c>
      <c r="F6647" s="2" t="s">
        <v>28389</v>
      </c>
      <c r="G6647" s="2" t="str">
        <f>"SR-8851"</f>
        <v>SR-8851</v>
      </c>
      <c r="H6647" s="2" t="s">
        <v>28390</v>
      </c>
      <c r="I6647" s="2" t="s">
        <v>28391</v>
      </c>
      <c r="K6647" s="2" t="s">
        <v>809</v>
      </c>
      <c r="L6647" s="2" t="s">
        <v>157</v>
      </c>
      <c r="M6647" s="2">
        <v>80905.0</v>
      </c>
      <c r="N6647" s="2" t="s">
        <v>21</v>
      </c>
    </row>
    <row r="6648" ht="15.75" customHeight="1">
      <c r="A6648" s="2">
        <v>2016.0</v>
      </c>
      <c r="B6648" s="2" t="s">
        <v>27661</v>
      </c>
      <c r="C6648" s="2" t="s">
        <v>28392</v>
      </c>
      <c r="D6648" s="2" t="str">
        <f>"909 244 7182"</f>
        <v>909 244 7182</v>
      </c>
      <c r="E6648" s="2" t="s">
        <v>15</v>
      </c>
      <c r="F6648" s="2" t="s">
        <v>11248</v>
      </c>
      <c r="G6648" s="2" t="str">
        <f>"SR-8330"</f>
        <v>SR-8330</v>
      </c>
      <c r="H6648" s="2" t="s">
        <v>28393</v>
      </c>
      <c r="I6648" s="2" t="s">
        <v>27666</v>
      </c>
      <c r="K6648" s="2" t="s">
        <v>27667</v>
      </c>
      <c r="L6648" s="2" t="s">
        <v>222</v>
      </c>
      <c r="M6648" s="2">
        <v>92880.0</v>
      </c>
      <c r="N6648" s="2" t="s">
        <v>21</v>
      </c>
    </row>
    <row r="6649" ht="15.75" customHeight="1">
      <c r="A6649" s="2">
        <v>2016.0</v>
      </c>
      <c r="B6649" s="2" t="s">
        <v>20892</v>
      </c>
      <c r="C6649" s="2" t="s">
        <v>28394</v>
      </c>
      <c r="D6649" s="2" t="str">
        <f>"469-215-9213"</f>
        <v>469-215-9213</v>
      </c>
      <c r="E6649" s="2" t="s">
        <v>72</v>
      </c>
      <c r="F6649" s="2" t="s">
        <v>2378</v>
      </c>
      <c r="G6649" s="2" t="str">
        <f>"SR-8728"</f>
        <v>SR-8728</v>
      </c>
      <c r="H6649" s="2" t="s">
        <v>28395</v>
      </c>
      <c r="I6649" s="2" t="s">
        <v>20895</v>
      </c>
      <c r="K6649" s="2" t="s">
        <v>615</v>
      </c>
      <c r="L6649" s="2" t="s">
        <v>172</v>
      </c>
      <c r="M6649" s="2">
        <v>75071.0</v>
      </c>
      <c r="N6649" s="2" t="s">
        <v>21</v>
      </c>
    </row>
    <row r="6650" ht="15.75" customHeight="1">
      <c r="A6650" s="2">
        <v>2016.0</v>
      </c>
      <c r="B6650" s="2" t="s">
        <v>28396</v>
      </c>
      <c r="C6650" s="2" t="s">
        <v>28397</v>
      </c>
      <c r="D6650" s="2" t="str">
        <f>"9098159879"</f>
        <v>9098159879</v>
      </c>
      <c r="E6650" s="2" t="s">
        <v>908</v>
      </c>
      <c r="F6650" s="2" t="s">
        <v>28398</v>
      </c>
      <c r="G6650" s="2" t="str">
        <f>"SR-8598"</f>
        <v>SR-8598</v>
      </c>
      <c r="H6650" s="2" t="s">
        <v>28399</v>
      </c>
      <c r="I6650" s="2" t="s">
        <v>28400</v>
      </c>
      <c r="K6650" s="2" t="s">
        <v>13715</v>
      </c>
      <c r="L6650" s="2" t="s">
        <v>222</v>
      </c>
      <c r="M6650" s="2">
        <v>91789.0</v>
      </c>
      <c r="N6650" s="2" t="s">
        <v>21</v>
      </c>
    </row>
    <row r="6651" ht="15.75" customHeight="1">
      <c r="A6651" s="2">
        <v>2016.0</v>
      </c>
      <c r="B6651" s="2" t="s">
        <v>28401</v>
      </c>
      <c r="C6651" s="2" t="s">
        <v>28402</v>
      </c>
      <c r="D6651" s="2" t="str">
        <f>"870-340-7717"</f>
        <v>870-340-7717</v>
      </c>
      <c r="E6651" s="2" t="s">
        <v>4379</v>
      </c>
      <c r="F6651" s="2" t="s">
        <v>1001</v>
      </c>
      <c r="G6651" s="2" t="str">
        <f>"SR-8194"</f>
        <v>SR-8194</v>
      </c>
      <c r="H6651" s="2" t="s">
        <v>28403</v>
      </c>
      <c r="I6651" s="2" t="s">
        <v>28404</v>
      </c>
      <c r="K6651" s="2" t="s">
        <v>4250</v>
      </c>
      <c r="L6651" s="2" t="s">
        <v>1012</v>
      </c>
      <c r="M6651" s="2">
        <v>72404.0</v>
      </c>
      <c r="N6651" s="2" t="s">
        <v>21</v>
      </c>
    </row>
    <row r="6652" ht="15.75" customHeight="1">
      <c r="A6652" s="2">
        <v>2016.0</v>
      </c>
      <c r="B6652" s="2" t="s">
        <v>28383</v>
      </c>
      <c r="C6652" s="2" t="s">
        <v>28405</v>
      </c>
      <c r="D6652" s="2" t="str">
        <f>"972-492-1131"</f>
        <v>972-492-1131</v>
      </c>
      <c r="E6652" s="2" t="s">
        <v>137</v>
      </c>
      <c r="F6652" s="2" t="s">
        <v>283</v>
      </c>
      <c r="G6652" s="2" t="str">
        <f>"SR-8827"</f>
        <v>SR-8827</v>
      </c>
      <c r="H6652" s="2" t="s">
        <v>28406</v>
      </c>
      <c r="I6652" s="2" t="s">
        <v>28385</v>
      </c>
      <c r="K6652" s="2" t="s">
        <v>171</v>
      </c>
      <c r="L6652" s="2" t="s">
        <v>172</v>
      </c>
      <c r="M6652" s="2">
        <v>75010.0</v>
      </c>
      <c r="N6652" s="2" t="s">
        <v>21</v>
      </c>
    </row>
    <row r="6653" ht="15.75" customHeight="1">
      <c r="A6653" s="2">
        <v>2016.0</v>
      </c>
      <c r="B6653" s="2" t="s">
        <v>28407</v>
      </c>
      <c r="C6653" s="2" t="s">
        <v>28408</v>
      </c>
      <c r="D6653" s="2" t="str">
        <f>"8473629279"</f>
        <v>8473629279</v>
      </c>
      <c r="E6653" s="2" t="s">
        <v>5456</v>
      </c>
      <c r="F6653" s="2" t="s">
        <v>28409</v>
      </c>
      <c r="G6653" s="2" t="str">
        <f>"SR-8840"</f>
        <v>SR-8840</v>
      </c>
      <c r="H6653" s="2" t="s">
        <v>28410</v>
      </c>
      <c r="I6653" s="2" t="s">
        <v>28411</v>
      </c>
      <c r="K6653" s="2" t="s">
        <v>28412</v>
      </c>
      <c r="L6653" s="2" t="s">
        <v>105</v>
      </c>
      <c r="M6653" s="2">
        <v>60048.0</v>
      </c>
      <c r="N6653" s="2" t="s">
        <v>21</v>
      </c>
    </row>
    <row r="6654" ht="15.75" customHeight="1">
      <c r="A6654" s="2">
        <v>2016.0</v>
      </c>
      <c r="B6654" s="2" t="s">
        <v>28413</v>
      </c>
      <c r="C6654" s="2" t="s">
        <v>28413</v>
      </c>
      <c r="D6654" s="2" t="str">
        <f>"(916)-585-0474"</f>
        <v>(916)-585-0474</v>
      </c>
      <c r="E6654" s="2" t="s">
        <v>124</v>
      </c>
      <c r="F6654" s="2" t="s">
        <v>26984</v>
      </c>
      <c r="G6654" s="2" t="str">
        <f>"SR-8121"</f>
        <v>SR-8121</v>
      </c>
      <c r="H6654" s="2" t="s">
        <v>28414</v>
      </c>
      <c r="I6654" s="2" t="s">
        <v>28415</v>
      </c>
      <c r="K6654" s="2" t="s">
        <v>28416</v>
      </c>
      <c r="L6654" s="2" t="s">
        <v>222</v>
      </c>
      <c r="M6654" s="2">
        <v>95624.0</v>
      </c>
      <c r="N6654" s="2" t="s">
        <v>21</v>
      </c>
    </row>
    <row r="6655" ht="15.75" customHeight="1">
      <c r="A6655" s="2">
        <v>2016.0</v>
      </c>
      <c r="B6655" s="2" t="s">
        <v>28417</v>
      </c>
      <c r="C6655" s="2" t="s">
        <v>28418</v>
      </c>
      <c r="D6655" s="2" t="str">
        <f>"8508904074"</f>
        <v>8508904074</v>
      </c>
      <c r="E6655" s="2" t="s">
        <v>1311</v>
      </c>
      <c r="F6655" s="2" t="s">
        <v>457</v>
      </c>
      <c r="G6655" s="2" t="str">
        <f>"SR-8820"</f>
        <v>SR-8820</v>
      </c>
      <c r="H6655" s="2" t="s">
        <v>28419</v>
      </c>
      <c r="I6655" s="2" t="s">
        <v>28420</v>
      </c>
      <c r="K6655" s="2" t="s">
        <v>3803</v>
      </c>
      <c r="L6655" s="2" t="s">
        <v>789</v>
      </c>
      <c r="M6655" s="2">
        <v>87144.0</v>
      </c>
      <c r="N6655" s="2" t="s">
        <v>21</v>
      </c>
    </row>
    <row r="6656" ht="15.75" customHeight="1">
      <c r="A6656" s="2">
        <v>2016.0</v>
      </c>
      <c r="B6656" s="2" t="s">
        <v>28421</v>
      </c>
      <c r="C6656" s="2" t="s">
        <v>28421</v>
      </c>
      <c r="D6656" s="2" t="str">
        <f>"+82-010-6451-7377"</f>
        <v>+82-010-6451-7377</v>
      </c>
      <c r="E6656" s="2" t="s">
        <v>28422</v>
      </c>
      <c r="F6656" s="2" t="s">
        <v>28423</v>
      </c>
      <c r="G6656" s="2" t="str">
        <f>"SR-8264"</f>
        <v>SR-8264</v>
      </c>
      <c r="H6656" s="2" t="s">
        <v>28424</v>
      </c>
      <c r="I6656" s="2" t="s">
        <v>28425</v>
      </c>
      <c r="J6656" s="2" t="s">
        <v>28426</v>
      </c>
      <c r="K6656" s="2" t="s">
        <v>28427</v>
      </c>
      <c r="N6656" s="2" t="s">
        <v>1626</v>
      </c>
    </row>
    <row r="6657" ht="15.75" customHeight="1">
      <c r="A6657" s="2">
        <v>2016.0</v>
      </c>
      <c r="B6657" s="2" t="s">
        <v>28428</v>
      </c>
      <c r="C6657" s="2" t="s">
        <v>28429</v>
      </c>
      <c r="D6657" s="2" t="str">
        <f>"989-321-1964"</f>
        <v>989-321-1964</v>
      </c>
      <c r="E6657" s="2" t="s">
        <v>3144</v>
      </c>
      <c r="F6657" s="2" t="s">
        <v>28430</v>
      </c>
      <c r="G6657" s="2" t="str">
        <f>"SR-8616"</f>
        <v>SR-8616</v>
      </c>
      <c r="H6657" s="2" t="s">
        <v>28431</v>
      </c>
      <c r="I6657" s="2" t="s">
        <v>28432</v>
      </c>
      <c r="K6657" s="2" t="s">
        <v>28433</v>
      </c>
      <c r="L6657" s="2" t="s">
        <v>29</v>
      </c>
      <c r="M6657" s="2">
        <v>48708.0</v>
      </c>
      <c r="N6657" s="2" t="s">
        <v>21</v>
      </c>
    </row>
    <row r="6658" ht="15.75" customHeight="1">
      <c r="A6658" s="2">
        <v>2016.0</v>
      </c>
      <c r="B6658" s="2" t="s">
        <v>28434</v>
      </c>
      <c r="C6658" s="2" t="s">
        <v>28435</v>
      </c>
      <c r="D6658" s="2" t="str">
        <f>"9796902801"</f>
        <v>9796902801</v>
      </c>
      <c r="E6658" s="2" t="s">
        <v>22056</v>
      </c>
      <c r="F6658" s="2" t="s">
        <v>17068</v>
      </c>
      <c r="G6658" s="2" t="str">
        <f>"SR-7368"</f>
        <v>SR-7368</v>
      </c>
      <c r="H6658" s="2" t="s">
        <v>28436</v>
      </c>
      <c r="I6658" s="2" t="s">
        <v>28437</v>
      </c>
      <c r="K6658" s="2" t="s">
        <v>2969</v>
      </c>
      <c r="L6658" s="2" t="s">
        <v>172</v>
      </c>
      <c r="M6658" s="2">
        <v>77845.0</v>
      </c>
      <c r="N6658" s="2" t="s">
        <v>21</v>
      </c>
    </row>
    <row r="6659" ht="15.75" customHeight="1">
      <c r="A6659" s="2">
        <v>2016.0</v>
      </c>
      <c r="B6659" s="2" t="s">
        <v>28438</v>
      </c>
      <c r="C6659" s="2" t="s">
        <v>28439</v>
      </c>
      <c r="D6659" s="2" t="str">
        <f>"7146650904"</f>
        <v>7146650904</v>
      </c>
      <c r="E6659" s="2" t="s">
        <v>282</v>
      </c>
      <c r="F6659" s="2" t="s">
        <v>28440</v>
      </c>
      <c r="G6659" s="2" t="str">
        <f>"SR-8844"</f>
        <v>SR-8844</v>
      </c>
      <c r="H6659" s="2" t="s">
        <v>28441</v>
      </c>
      <c r="I6659" s="2" t="s">
        <v>28442</v>
      </c>
      <c r="K6659" s="2" t="s">
        <v>22290</v>
      </c>
      <c r="L6659" s="2" t="s">
        <v>222</v>
      </c>
      <c r="M6659" s="2">
        <v>92782.0</v>
      </c>
      <c r="N6659" s="2" t="s">
        <v>21</v>
      </c>
    </row>
    <row r="6660" ht="15.75" customHeight="1">
      <c r="A6660" s="2">
        <v>2016.0</v>
      </c>
      <c r="B6660" s="2" t="s">
        <v>27367</v>
      </c>
      <c r="C6660" s="2" t="s">
        <v>28443</v>
      </c>
      <c r="D6660" s="2" t="str">
        <f>"310-999-5187"</f>
        <v>310-999-5187</v>
      </c>
      <c r="E6660" s="2" t="s">
        <v>203</v>
      </c>
      <c r="F6660" s="2" t="s">
        <v>28444</v>
      </c>
      <c r="G6660" s="2" t="str">
        <f>"SR-8618"</f>
        <v>SR-8618</v>
      </c>
      <c r="H6660" s="2" t="s">
        <v>28445</v>
      </c>
      <c r="I6660" s="2" t="s">
        <v>28446</v>
      </c>
      <c r="K6660" s="2" t="s">
        <v>5955</v>
      </c>
      <c r="L6660" s="2" t="s">
        <v>222</v>
      </c>
      <c r="M6660" s="2">
        <v>90504.0</v>
      </c>
      <c r="N6660" s="2" t="s">
        <v>21</v>
      </c>
    </row>
    <row r="6661" ht="15.75" customHeight="1">
      <c r="A6661" s="2">
        <v>2016.0</v>
      </c>
      <c r="B6661" s="2" t="s">
        <v>28447</v>
      </c>
      <c r="C6661" s="2" t="s">
        <v>28448</v>
      </c>
      <c r="D6661" s="2" t="str">
        <f>"5014132323"</f>
        <v>5014132323</v>
      </c>
      <c r="E6661" s="2" t="s">
        <v>504</v>
      </c>
      <c r="F6661" s="2" t="s">
        <v>28449</v>
      </c>
      <c r="G6661" s="2" t="str">
        <f>"SR-8453"</f>
        <v>SR-8453</v>
      </c>
      <c r="H6661" s="2" t="s">
        <v>28450</v>
      </c>
      <c r="I6661" s="2" t="s">
        <v>28451</v>
      </c>
      <c r="K6661" s="2" t="s">
        <v>28452</v>
      </c>
      <c r="L6661" s="2" t="s">
        <v>1012</v>
      </c>
      <c r="M6661" s="2">
        <v>72102.0</v>
      </c>
      <c r="N6661" s="2" t="s">
        <v>21</v>
      </c>
    </row>
    <row r="6662" ht="15.75" customHeight="1">
      <c r="A6662" s="2">
        <v>2016.0</v>
      </c>
      <c r="B6662" s="2" t="s">
        <v>28453</v>
      </c>
      <c r="C6662" s="2" t="s">
        <v>28453</v>
      </c>
      <c r="D6662" s="2" t="str">
        <f>"8652783003"</f>
        <v>8652783003</v>
      </c>
      <c r="E6662" s="2" t="s">
        <v>14671</v>
      </c>
      <c r="F6662" s="2" t="s">
        <v>28454</v>
      </c>
      <c r="G6662" s="2" t="str">
        <f>"SR-8855"</f>
        <v>SR-8855</v>
      </c>
      <c r="H6662" s="2" t="s">
        <v>28455</v>
      </c>
      <c r="I6662" s="2" t="s">
        <v>28456</v>
      </c>
      <c r="K6662" s="2" t="s">
        <v>9630</v>
      </c>
      <c r="L6662" s="2" t="s">
        <v>279</v>
      </c>
      <c r="M6662" s="2">
        <v>37866.0</v>
      </c>
      <c r="N6662" s="2" t="s">
        <v>21</v>
      </c>
    </row>
    <row r="6663" ht="15.75" customHeight="1">
      <c r="A6663" s="2">
        <v>2016.0</v>
      </c>
      <c r="B6663" s="2" t="s">
        <v>28457</v>
      </c>
      <c r="C6663" s="2" t="s">
        <v>28457</v>
      </c>
      <c r="D6663" s="2" t="str">
        <f>"(405) 305-7328"</f>
        <v>(405) 305-7328</v>
      </c>
      <c r="E6663" s="2" t="s">
        <v>28458</v>
      </c>
      <c r="F6663" s="2" t="s">
        <v>28459</v>
      </c>
      <c r="G6663" s="2" t="str">
        <f>"SR-8847"</f>
        <v>SR-8847</v>
      </c>
      <c r="H6663" s="2" t="s">
        <v>28460</v>
      </c>
      <c r="I6663" s="2" t="s">
        <v>28461</v>
      </c>
      <c r="K6663" s="2" t="s">
        <v>2870</v>
      </c>
      <c r="L6663" s="2" t="s">
        <v>840</v>
      </c>
      <c r="M6663" s="2">
        <v>73072.0</v>
      </c>
      <c r="N6663" s="2" t="s">
        <v>21</v>
      </c>
    </row>
    <row r="6664" ht="15.75" customHeight="1">
      <c r="A6664" s="2">
        <v>2016.0</v>
      </c>
      <c r="B6664" s="2" t="s">
        <v>28462</v>
      </c>
      <c r="C6664" s="2" t="s">
        <v>28462</v>
      </c>
      <c r="D6664" s="2" t="str">
        <f>"5622667374"</f>
        <v>5622667374</v>
      </c>
      <c r="E6664" s="2" t="s">
        <v>678</v>
      </c>
      <c r="F6664" s="2" t="s">
        <v>2350</v>
      </c>
      <c r="G6664" s="2" t="str">
        <f>"SR-8828"</f>
        <v>SR-8828</v>
      </c>
      <c r="H6664" s="2" t="s">
        <v>28463</v>
      </c>
      <c r="I6664" s="2" t="s">
        <v>28464</v>
      </c>
      <c r="K6664" s="2" t="s">
        <v>24539</v>
      </c>
      <c r="L6664" s="2" t="s">
        <v>222</v>
      </c>
      <c r="M6664" s="2">
        <v>90638.0</v>
      </c>
      <c r="N6664" s="2" t="s">
        <v>21</v>
      </c>
    </row>
    <row r="6665" ht="15.75" customHeight="1">
      <c r="A6665" s="2">
        <v>2016.0</v>
      </c>
      <c r="B6665" s="2" t="s">
        <v>28465</v>
      </c>
      <c r="C6665" s="2" t="s">
        <v>28466</v>
      </c>
      <c r="D6665" s="2" t="str">
        <f>"319-930-1565"</f>
        <v>319-930-1565</v>
      </c>
      <c r="E6665" s="2" t="s">
        <v>485</v>
      </c>
      <c r="F6665" s="2" t="s">
        <v>28467</v>
      </c>
      <c r="G6665" s="2" t="str">
        <f>"SR-8866"</f>
        <v>SR-8866</v>
      </c>
      <c r="H6665" s="2" t="s">
        <v>28468</v>
      </c>
      <c r="I6665" s="2" t="s">
        <v>28469</v>
      </c>
      <c r="K6665" s="2" t="s">
        <v>28470</v>
      </c>
      <c r="L6665" s="2" t="s">
        <v>560</v>
      </c>
      <c r="M6665" s="2">
        <v>52356.0</v>
      </c>
      <c r="N6665" s="2" t="s">
        <v>21</v>
      </c>
    </row>
    <row r="6666" ht="15.75" customHeight="1">
      <c r="A6666" s="2">
        <v>2016.0</v>
      </c>
      <c r="B6666" s="2" t="s">
        <v>28471</v>
      </c>
      <c r="C6666" s="2" t="s">
        <v>28471</v>
      </c>
      <c r="D6666" s="2" t="str">
        <f>"7149324767"</f>
        <v>7149324767</v>
      </c>
      <c r="E6666" s="2" t="s">
        <v>8039</v>
      </c>
      <c r="F6666" s="2" t="s">
        <v>28472</v>
      </c>
      <c r="G6666" s="2" t="str">
        <f>"SR-7959"</f>
        <v>SR-7959</v>
      </c>
      <c r="H6666" s="2" t="s">
        <v>28473</v>
      </c>
      <c r="I6666" s="2" t="s">
        <v>28474</v>
      </c>
      <c r="K6666" s="2" t="s">
        <v>642</v>
      </c>
      <c r="L6666" s="2" t="s">
        <v>222</v>
      </c>
      <c r="M6666" s="2">
        <v>92866.0</v>
      </c>
      <c r="N6666" s="2" t="s">
        <v>21</v>
      </c>
    </row>
    <row r="6667" ht="15.75" customHeight="1">
      <c r="A6667" s="2">
        <v>2016.0</v>
      </c>
      <c r="B6667" s="2" t="s">
        <v>28475</v>
      </c>
      <c r="C6667" s="2" t="s">
        <v>28475</v>
      </c>
      <c r="D6667" s="2" t="str">
        <f>"3202493840"</f>
        <v>3202493840</v>
      </c>
      <c r="E6667" s="2" t="s">
        <v>24485</v>
      </c>
      <c r="F6667" s="2" t="s">
        <v>639</v>
      </c>
      <c r="G6667" s="2" t="str">
        <f>"SR-8859"</f>
        <v>SR-8859</v>
      </c>
      <c r="H6667" s="2" t="s">
        <v>28476</v>
      </c>
      <c r="I6667" s="2" t="s">
        <v>28477</v>
      </c>
      <c r="K6667" s="2" t="s">
        <v>15616</v>
      </c>
      <c r="L6667" s="2" t="s">
        <v>62</v>
      </c>
      <c r="M6667" s="2">
        <v>56377.0</v>
      </c>
      <c r="N6667" s="2" t="s">
        <v>21</v>
      </c>
    </row>
    <row r="6668" ht="15.75" customHeight="1">
      <c r="A6668" s="2">
        <v>2016.0</v>
      </c>
      <c r="B6668" s="2" t="s">
        <v>28478</v>
      </c>
      <c r="C6668" s="2" t="s">
        <v>28478</v>
      </c>
      <c r="D6668" s="2" t="str">
        <f>"01993200975"</f>
        <v>01993200975</v>
      </c>
      <c r="E6668" s="2" t="s">
        <v>1548</v>
      </c>
      <c r="F6668" s="2" t="s">
        <v>28479</v>
      </c>
      <c r="G6668" s="2" t="str">
        <f>"SR-8218"</f>
        <v>SR-8218</v>
      </c>
      <c r="H6668" s="2" t="s">
        <v>28480</v>
      </c>
      <c r="I6668" s="2" t="s">
        <v>28481</v>
      </c>
      <c r="K6668" s="2" t="s">
        <v>28482</v>
      </c>
      <c r="M6668" s="2" t="s">
        <v>28483</v>
      </c>
      <c r="N6668" s="2" t="s">
        <v>22523</v>
      </c>
    </row>
    <row r="6669" ht="15.75" customHeight="1">
      <c r="A6669" s="2">
        <v>2016.0</v>
      </c>
      <c r="B6669" s="2" t="s">
        <v>28484</v>
      </c>
      <c r="C6669" s="2" t="s">
        <v>28484</v>
      </c>
      <c r="D6669" s="2" t="str">
        <f>"3199292298"</f>
        <v>3199292298</v>
      </c>
      <c r="E6669" s="2" t="s">
        <v>4665</v>
      </c>
      <c r="F6669" s="2" t="s">
        <v>6923</v>
      </c>
      <c r="G6669" s="2" t="str">
        <f>"SR-8794"</f>
        <v>SR-8794</v>
      </c>
      <c r="H6669" s="2" t="s">
        <v>28485</v>
      </c>
      <c r="I6669" s="2" t="s">
        <v>28486</v>
      </c>
      <c r="K6669" s="2" t="s">
        <v>3273</v>
      </c>
      <c r="L6669" s="2" t="s">
        <v>560</v>
      </c>
      <c r="M6669" s="2">
        <v>52403.0</v>
      </c>
      <c r="N6669" s="2" t="s">
        <v>21</v>
      </c>
    </row>
    <row r="6670" ht="15.75" customHeight="1">
      <c r="A6670" s="2">
        <v>2016.0</v>
      </c>
      <c r="B6670" s="2" t="s">
        <v>28487</v>
      </c>
      <c r="C6670" s="2" t="s">
        <v>28487</v>
      </c>
      <c r="D6670" s="2" t="str">
        <f>"765-669-0750"</f>
        <v>765-669-0750</v>
      </c>
      <c r="E6670" s="2" t="s">
        <v>28488</v>
      </c>
      <c r="F6670" s="2" t="s">
        <v>108</v>
      </c>
      <c r="G6670" s="2" t="str">
        <f>"SR-8862"</f>
        <v>SR-8862</v>
      </c>
      <c r="H6670" s="2" t="s">
        <v>28489</v>
      </c>
      <c r="I6670" s="2" t="s">
        <v>28490</v>
      </c>
      <c r="J6670" s="2" t="s">
        <v>28491</v>
      </c>
      <c r="K6670" s="2" t="s">
        <v>11731</v>
      </c>
      <c r="L6670" s="2" t="s">
        <v>149</v>
      </c>
      <c r="M6670" s="2">
        <v>46989.0</v>
      </c>
      <c r="N6670" s="2" t="s">
        <v>21</v>
      </c>
    </row>
    <row r="6671" ht="15.75" customHeight="1">
      <c r="A6671" s="2">
        <v>2016.0</v>
      </c>
      <c r="B6671" s="2" t="s">
        <v>17143</v>
      </c>
      <c r="C6671" s="2" t="s">
        <v>17143</v>
      </c>
      <c r="D6671" s="2" t="str">
        <f>"303-358-6049"</f>
        <v>303-358-6049</v>
      </c>
      <c r="E6671" s="2" t="s">
        <v>13657</v>
      </c>
      <c r="F6671" s="2" t="s">
        <v>17144</v>
      </c>
      <c r="G6671" s="2" t="str">
        <f>"SR-5261"</f>
        <v>SR-5261</v>
      </c>
      <c r="H6671" s="2" t="s">
        <v>17145</v>
      </c>
      <c r="I6671" s="2" t="s">
        <v>17146</v>
      </c>
      <c r="K6671" s="2" t="s">
        <v>17147</v>
      </c>
      <c r="L6671" s="2" t="s">
        <v>157</v>
      </c>
      <c r="M6671" s="2">
        <v>80603.0</v>
      </c>
      <c r="N6671" s="2" t="s">
        <v>21</v>
      </c>
    </row>
    <row r="6672" ht="15.75" customHeight="1">
      <c r="A6672" s="2">
        <v>2016.0</v>
      </c>
      <c r="B6672" s="2" t="s">
        <v>28492</v>
      </c>
      <c r="C6672" s="2" t="s">
        <v>28493</v>
      </c>
      <c r="D6672" s="2" t="str">
        <f>"405-762-0562"</f>
        <v>405-762-0562</v>
      </c>
      <c r="E6672" s="2" t="s">
        <v>28494</v>
      </c>
      <c r="F6672" s="2" t="s">
        <v>962</v>
      </c>
      <c r="G6672" s="2" t="str">
        <f>"SR-8870"</f>
        <v>SR-8870</v>
      </c>
      <c r="H6672" s="2" t="s">
        <v>28495</v>
      </c>
      <c r="I6672" s="2" t="s">
        <v>28496</v>
      </c>
      <c r="K6672" s="2" t="s">
        <v>11711</v>
      </c>
      <c r="L6672" s="2" t="s">
        <v>840</v>
      </c>
      <c r="M6672" s="2">
        <v>74074.0</v>
      </c>
      <c r="N6672" s="2" t="s">
        <v>21</v>
      </c>
    </row>
    <row r="6673" ht="15.75" customHeight="1">
      <c r="A6673" s="2">
        <v>2016.0</v>
      </c>
      <c r="B6673" s="2" t="s">
        <v>28497</v>
      </c>
      <c r="C6673" s="2" t="s">
        <v>28498</v>
      </c>
      <c r="D6673" s="2" t="str">
        <f>"603-498-4754"</f>
        <v>603-498-4754</v>
      </c>
      <c r="E6673" s="2" t="s">
        <v>28499</v>
      </c>
      <c r="F6673" s="2" t="s">
        <v>13490</v>
      </c>
      <c r="G6673" s="2" t="str">
        <f>"SR-7748"</f>
        <v>SR-7748</v>
      </c>
      <c r="H6673" s="2" t="s">
        <v>28500</v>
      </c>
      <c r="I6673" s="2" t="s">
        <v>28501</v>
      </c>
      <c r="K6673" s="2" t="s">
        <v>28502</v>
      </c>
      <c r="L6673" s="2" t="s">
        <v>19930</v>
      </c>
      <c r="M6673" s="2">
        <v>3801.0</v>
      </c>
      <c r="N6673" s="2" t="s">
        <v>21</v>
      </c>
    </row>
    <row r="6674" ht="15.75" customHeight="1">
      <c r="A6674" s="2">
        <v>2016.0</v>
      </c>
      <c r="B6674" s="2" t="s">
        <v>28503</v>
      </c>
      <c r="C6674" s="2" t="s">
        <v>28504</v>
      </c>
      <c r="D6674" s="2" t="str">
        <f>"13076991637"</f>
        <v>13076991637</v>
      </c>
      <c r="E6674" s="2" t="s">
        <v>938</v>
      </c>
      <c r="F6674" s="2" t="s">
        <v>19900</v>
      </c>
      <c r="G6674" s="2" t="str">
        <f>"SR-8872"</f>
        <v>SR-8872</v>
      </c>
      <c r="H6674" s="2" t="s">
        <v>28505</v>
      </c>
      <c r="I6674" s="2" t="s">
        <v>28506</v>
      </c>
      <c r="J6674" s="2" t="s">
        <v>28507</v>
      </c>
      <c r="K6674" s="2" t="s">
        <v>1257</v>
      </c>
      <c r="L6674" s="2" t="s">
        <v>1540</v>
      </c>
      <c r="M6674" s="2">
        <v>83001.0</v>
      </c>
      <c r="N6674" s="2" t="s">
        <v>21</v>
      </c>
    </row>
    <row r="6675" ht="15.75" customHeight="1">
      <c r="A6675" s="2">
        <v>2016.0</v>
      </c>
      <c r="B6675" s="2" t="s">
        <v>28508</v>
      </c>
      <c r="C6675" s="2" t="s">
        <v>28508</v>
      </c>
      <c r="D6675" s="2" t="str">
        <f>"8634640278"</f>
        <v>8634640278</v>
      </c>
      <c r="E6675" s="2" t="s">
        <v>28509</v>
      </c>
      <c r="F6675" s="2" t="s">
        <v>538</v>
      </c>
      <c r="G6675" s="2" t="str">
        <f>"SR-8873"</f>
        <v>SR-8873</v>
      </c>
      <c r="H6675" s="2" t="s">
        <v>28510</v>
      </c>
      <c r="I6675" s="2" t="s">
        <v>28511</v>
      </c>
      <c r="K6675" s="2" t="s">
        <v>26300</v>
      </c>
      <c r="L6675" s="2" t="s">
        <v>208</v>
      </c>
      <c r="M6675" s="2">
        <v>33852.0</v>
      </c>
      <c r="N6675" s="2" t="s">
        <v>21</v>
      </c>
    </row>
    <row r="6676" ht="15.75" customHeight="1">
      <c r="A6676" s="2">
        <v>2016.0</v>
      </c>
      <c r="B6676" s="2" t="s">
        <v>28512</v>
      </c>
      <c r="C6676" s="2" t="s">
        <v>28512</v>
      </c>
      <c r="D6676" s="2" t="str">
        <f>"405 609 0171"</f>
        <v>405 609 0171</v>
      </c>
      <c r="E6676" s="2" t="s">
        <v>167</v>
      </c>
      <c r="F6676" s="2" t="s">
        <v>28513</v>
      </c>
      <c r="G6676" s="2" t="str">
        <f>"SR-7709"</f>
        <v>SR-7709</v>
      </c>
      <c r="H6676" s="2" t="s">
        <v>28514</v>
      </c>
      <c r="I6676" s="2" t="s">
        <v>28515</v>
      </c>
      <c r="K6676" s="2" t="s">
        <v>13776</v>
      </c>
      <c r="L6676" s="2" t="s">
        <v>840</v>
      </c>
      <c r="M6676" s="2">
        <v>73044.0</v>
      </c>
      <c r="N6676" s="2" t="s">
        <v>21</v>
      </c>
    </row>
    <row r="6677" ht="15.75" customHeight="1">
      <c r="A6677" s="2">
        <v>2016.0</v>
      </c>
      <c r="B6677" s="2" t="s">
        <v>27367</v>
      </c>
      <c r="C6677" s="2" t="s">
        <v>28516</v>
      </c>
      <c r="D6677" s="2" t="str">
        <f>"213-864-0523"</f>
        <v>213-864-0523</v>
      </c>
      <c r="E6677" s="2" t="s">
        <v>510</v>
      </c>
      <c r="F6677" s="2" t="s">
        <v>108</v>
      </c>
      <c r="G6677" s="2" t="str">
        <f>"SR-8624"</f>
        <v>SR-8624</v>
      </c>
      <c r="H6677" s="2" t="s">
        <v>28517</v>
      </c>
      <c r="I6677" s="2" t="s">
        <v>28518</v>
      </c>
      <c r="K6677" s="2" t="s">
        <v>5955</v>
      </c>
      <c r="L6677" s="2" t="s">
        <v>222</v>
      </c>
      <c r="M6677" s="2">
        <v>90505.0</v>
      </c>
      <c r="N6677" s="2" t="s">
        <v>21</v>
      </c>
    </row>
    <row r="6678" ht="15.75" customHeight="1">
      <c r="A6678" s="2">
        <v>2016.0</v>
      </c>
      <c r="B6678" s="2" t="s">
        <v>19755</v>
      </c>
      <c r="C6678" s="2" t="s">
        <v>19762</v>
      </c>
      <c r="D6678" s="2" t="str">
        <f>"(852) 6349 7356"</f>
        <v>(852) 6349 7356</v>
      </c>
      <c r="E6678" s="2" t="s">
        <v>453</v>
      </c>
      <c r="F6678" s="2" t="s">
        <v>19757</v>
      </c>
      <c r="G6678" s="2" t="str">
        <f>"SR-6055"</f>
        <v>SR-6055</v>
      </c>
      <c r="H6678" s="2" t="s">
        <v>19763</v>
      </c>
      <c r="I6678" s="2" t="s">
        <v>19759</v>
      </c>
      <c r="J6678" s="2" t="s">
        <v>19760</v>
      </c>
      <c r="K6678" s="2" t="s">
        <v>19761</v>
      </c>
      <c r="N6678" s="2" t="s">
        <v>19761</v>
      </c>
    </row>
    <row r="6679" ht="15.75" customHeight="1">
      <c r="A6679" s="2">
        <v>2016.0</v>
      </c>
      <c r="B6679" s="2" t="s">
        <v>28519</v>
      </c>
      <c r="C6679" s="2" t="s">
        <v>28520</v>
      </c>
      <c r="D6679" s="2" t="str">
        <f>"4058205121"</f>
        <v>4058205121</v>
      </c>
      <c r="E6679" s="2" t="s">
        <v>28521</v>
      </c>
      <c r="F6679" s="2" t="s">
        <v>1151</v>
      </c>
      <c r="G6679" s="2" t="str">
        <f>"SR-8727"</f>
        <v>SR-8727</v>
      </c>
      <c r="H6679" s="2" t="s">
        <v>28522</v>
      </c>
      <c r="I6679" s="2" t="s">
        <v>28523</v>
      </c>
      <c r="K6679" s="2" t="s">
        <v>8558</v>
      </c>
      <c r="L6679" s="2" t="s">
        <v>840</v>
      </c>
      <c r="M6679" s="2">
        <v>73007.0</v>
      </c>
      <c r="N6679" s="2" t="s">
        <v>21</v>
      </c>
    </row>
    <row r="6680" ht="15.75" customHeight="1">
      <c r="A6680" s="2">
        <v>2016.0</v>
      </c>
      <c r="B6680" s="2" t="s">
        <v>13255</v>
      </c>
      <c r="C6680" s="2" t="s">
        <v>28524</v>
      </c>
      <c r="D6680" s="2" t="str">
        <f>"6202346190"</f>
        <v>6202346190</v>
      </c>
      <c r="E6680" s="2" t="s">
        <v>267</v>
      </c>
      <c r="F6680" s="2" t="s">
        <v>13256</v>
      </c>
      <c r="G6680" s="2" t="str">
        <f>"SR-8711"</f>
        <v>SR-8711</v>
      </c>
      <c r="H6680" s="2" t="s">
        <v>28525</v>
      </c>
      <c r="I6680" s="2" t="s">
        <v>28526</v>
      </c>
      <c r="K6680" s="2" t="s">
        <v>5675</v>
      </c>
      <c r="L6680" s="2" t="s">
        <v>272</v>
      </c>
      <c r="M6680" s="2">
        <v>67578.0</v>
      </c>
      <c r="N6680" s="2" t="s">
        <v>21</v>
      </c>
    </row>
    <row r="6681" ht="15.75" customHeight="1">
      <c r="A6681" s="2">
        <v>2016.0</v>
      </c>
      <c r="B6681" s="2" t="s">
        <v>28527</v>
      </c>
      <c r="C6681" s="2" t="s">
        <v>28527</v>
      </c>
      <c r="D6681" s="2" t="str">
        <f>"4078839544"</f>
        <v>4078839544</v>
      </c>
      <c r="E6681" s="2" t="s">
        <v>28528</v>
      </c>
      <c r="F6681" s="2" t="s">
        <v>31</v>
      </c>
      <c r="G6681" s="2" t="str">
        <f>"SR-8517"</f>
        <v>SR-8517</v>
      </c>
      <c r="H6681" s="2" t="s">
        <v>28529</v>
      </c>
      <c r="I6681" s="2" t="s">
        <v>28530</v>
      </c>
      <c r="K6681" s="2" t="s">
        <v>4724</v>
      </c>
      <c r="L6681" s="2" t="s">
        <v>208</v>
      </c>
      <c r="M6681" s="2">
        <v>32824.0</v>
      </c>
      <c r="N6681" s="2" t="s">
        <v>21</v>
      </c>
    </row>
    <row r="6682" ht="15.75" customHeight="1">
      <c r="A6682" s="2">
        <v>2016.0</v>
      </c>
      <c r="B6682" s="2" t="s">
        <v>18710</v>
      </c>
      <c r="C6682" s="2" t="s">
        <v>28531</v>
      </c>
      <c r="D6682" s="2" t="str">
        <f>"316-789-4300"</f>
        <v>316-789-4300</v>
      </c>
      <c r="E6682" s="2" t="s">
        <v>301</v>
      </c>
      <c r="F6682" s="2" t="s">
        <v>2234</v>
      </c>
      <c r="G6682" s="2" t="str">
        <f>"SR-8808"</f>
        <v>SR-8808</v>
      </c>
      <c r="H6682" s="2" t="s">
        <v>28532</v>
      </c>
      <c r="I6682" s="2" t="s">
        <v>18713</v>
      </c>
      <c r="K6682" s="2" t="s">
        <v>606</v>
      </c>
      <c r="L6682" s="2" t="s">
        <v>272</v>
      </c>
      <c r="M6682" s="2">
        <v>67235.0</v>
      </c>
      <c r="N6682" s="2" t="s">
        <v>21</v>
      </c>
    </row>
    <row r="6683" ht="15.75" customHeight="1">
      <c r="A6683" s="2">
        <v>2016.0</v>
      </c>
      <c r="B6683" s="2" t="s">
        <v>28533</v>
      </c>
      <c r="C6683" s="2" t="s">
        <v>28534</v>
      </c>
      <c r="D6683" s="2" t="str">
        <f>"(719) 761-0826"</f>
        <v>(719) 761-0826</v>
      </c>
      <c r="E6683" s="2" t="s">
        <v>3978</v>
      </c>
      <c r="F6683" s="2" t="s">
        <v>28535</v>
      </c>
      <c r="G6683" s="2" t="str">
        <f>"SR-8884"</f>
        <v>SR-8884</v>
      </c>
      <c r="H6683" s="2" t="s">
        <v>28536</v>
      </c>
      <c r="I6683" s="2" t="s">
        <v>28537</v>
      </c>
      <c r="K6683" s="2" t="s">
        <v>809</v>
      </c>
      <c r="L6683" s="2" t="s">
        <v>157</v>
      </c>
      <c r="M6683" s="2">
        <v>80921.0</v>
      </c>
      <c r="N6683" s="2" t="s">
        <v>21</v>
      </c>
    </row>
    <row r="6684" ht="15.75" customHeight="1">
      <c r="A6684" s="2">
        <v>2016.0</v>
      </c>
      <c r="B6684" s="2" t="s">
        <v>28538</v>
      </c>
      <c r="C6684" s="2" t="s">
        <v>28539</v>
      </c>
      <c r="D6684" s="2" t="str">
        <f>"320 894 2578"</f>
        <v>320 894 2578</v>
      </c>
      <c r="E6684" s="2" t="s">
        <v>28540</v>
      </c>
      <c r="F6684" s="2" t="s">
        <v>28541</v>
      </c>
      <c r="G6684" s="2" t="str">
        <f>"SR-8892"</f>
        <v>SR-8892</v>
      </c>
      <c r="H6684" s="2" t="s">
        <v>28542</v>
      </c>
      <c r="I6684" s="2" t="s">
        <v>28543</v>
      </c>
      <c r="K6684" s="2" t="s">
        <v>9646</v>
      </c>
      <c r="L6684" s="2" t="s">
        <v>62</v>
      </c>
      <c r="M6684" s="2">
        <v>56273.0</v>
      </c>
      <c r="N6684" s="2" t="s">
        <v>21</v>
      </c>
    </row>
    <row r="6685" ht="15.75" customHeight="1">
      <c r="A6685" s="2">
        <v>2016.0</v>
      </c>
      <c r="B6685" s="2" t="s">
        <v>28544</v>
      </c>
      <c r="C6685" s="2" t="s">
        <v>28544</v>
      </c>
      <c r="D6685" s="2" t="str">
        <f>"4403710071"</f>
        <v>4403710071</v>
      </c>
      <c r="E6685" s="2" t="s">
        <v>843</v>
      </c>
      <c r="F6685" s="2" t="s">
        <v>16749</v>
      </c>
      <c r="G6685" s="2" t="str">
        <f>"SR-8875"</f>
        <v>SR-8875</v>
      </c>
      <c r="H6685" s="2" t="s">
        <v>28545</v>
      </c>
      <c r="I6685" s="2" t="s">
        <v>28546</v>
      </c>
      <c r="K6685" s="2" t="s">
        <v>28547</v>
      </c>
      <c r="L6685" s="2" t="s">
        <v>344</v>
      </c>
      <c r="M6685" s="2">
        <v>44039.0</v>
      </c>
      <c r="N6685" s="2" t="s">
        <v>21</v>
      </c>
    </row>
    <row r="6686" ht="15.75" customHeight="1">
      <c r="A6686" s="2">
        <v>2016.0</v>
      </c>
      <c r="B6686" s="2" t="s">
        <v>28548</v>
      </c>
      <c r="C6686" s="2" t="s">
        <v>28548</v>
      </c>
      <c r="D6686" s="2" t="str">
        <f>"8436013532"</f>
        <v>8436013532</v>
      </c>
      <c r="E6686" s="2" t="s">
        <v>651</v>
      </c>
      <c r="F6686" s="2" t="s">
        <v>25763</v>
      </c>
      <c r="G6686" s="2" t="str">
        <f>"SR-8894"</f>
        <v>SR-8894</v>
      </c>
      <c r="H6686" s="2" t="s">
        <v>28549</v>
      </c>
      <c r="I6686" s="2" t="s">
        <v>28550</v>
      </c>
      <c r="K6686" s="2" t="s">
        <v>10976</v>
      </c>
      <c r="L6686" s="2" t="s">
        <v>55</v>
      </c>
      <c r="M6686" s="2">
        <v>29161.0</v>
      </c>
      <c r="N6686" s="2" t="s">
        <v>21</v>
      </c>
    </row>
    <row r="6687" ht="15.75" customHeight="1">
      <c r="A6687" s="2">
        <v>2016.0</v>
      </c>
      <c r="B6687" s="2" t="s">
        <v>26539</v>
      </c>
      <c r="C6687" s="2" t="s">
        <v>28551</v>
      </c>
      <c r="D6687" s="2" t="str">
        <f>"803.968.9019"</f>
        <v>803.968.9019</v>
      </c>
      <c r="E6687" s="2" t="s">
        <v>15</v>
      </c>
      <c r="F6687" s="2" t="s">
        <v>26541</v>
      </c>
      <c r="G6687" s="2" t="str">
        <f>"SR-8503"</f>
        <v>SR-8503</v>
      </c>
      <c r="H6687" s="2" t="s">
        <v>28552</v>
      </c>
      <c r="I6687" s="2" t="s">
        <v>26543</v>
      </c>
      <c r="K6687" s="2" t="s">
        <v>26544</v>
      </c>
      <c r="L6687" s="2" t="s">
        <v>172</v>
      </c>
      <c r="M6687" s="2">
        <v>75189.0</v>
      </c>
      <c r="N6687" s="2" t="s">
        <v>21</v>
      </c>
    </row>
    <row r="6688" ht="15.75" customHeight="1">
      <c r="A6688" s="2">
        <v>2016.0</v>
      </c>
      <c r="B6688" s="2" t="s">
        <v>28553</v>
      </c>
      <c r="C6688" s="2" t="s">
        <v>28553</v>
      </c>
      <c r="D6688" s="2" t="str">
        <f>"7068362361"</f>
        <v>7068362361</v>
      </c>
      <c r="E6688" s="2" t="s">
        <v>28554</v>
      </c>
      <c r="F6688" s="2" t="s">
        <v>28555</v>
      </c>
      <c r="G6688" s="2" t="str">
        <f>"SR-8888"</f>
        <v>SR-8888</v>
      </c>
      <c r="H6688" s="2" t="s">
        <v>28556</v>
      </c>
      <c r="I6688" s="2" t="s">
        <v>28557</v>
      </c>
      <c r="K6688" s="2" t="s">
        <v>19068</v>
      </c>
      <c r="L6688" s="2" t="s">
        <v>200</v>
      </c>
      <c r="M6688" s="2">
        <v>30813.0</v>
      </c>
      <c r="N6688" s="2" t="s">
        <v>21</v>
      </c>
    </row>
    <row r="6689" ht="15.75" customHeight="1">
      <c r="A6689" s="2">
        <v>2016.0</v>
      </c>
      <c r="B6689" s="2" t="s">
        <v>4414</v>
      </c>
      <c r="C6689" s="2" t="s">
        <v>28558</v>
      </c>
      <c r="D6689" s="2" t="str">
        <f>"928-245-7679"</f>
        <v>928-245-7679</v>
      </c>
      <c r="E6689" s="2" t="s">
        <v>2089</v>
      </c>
      <c r="F6689" s="2" t="s">
        <v>4417</v>
      </c>
      <c r="G6689" s="2" t="str">
        <f>"SR-7767"</f>
        <v>SR-7767</v>
      </c>
      <c r="H6689" s="2" t="s">
        <v>28559</v>
      </c>
      <c r="I6689" s="2" t="s">
        <v>28560</v>
      </c>
      <c r="K6689" s="2" t="s">
        <v>28561</v>
      </c>
      <c r="L6689" s="2" t="s">
        <v>157</v>
      </c>
      <c r="M6689" s="2">
        <v>81147.0</v>
      </c>
      <c r="N6689" s="2" t="s">
        <v>21</v>
      </c>
    </row>
    <row r="6690" ht="15.75" customHeight="1">
      <c r="A6690" s="2">
        <v>2016.0</v>
      </c>
      <c r="B6690" s="2" t="s">
        <v>4414</v>
      </c>
      <c r="C6690" s="2" t="s">
        <v>15115</v>
      </c>
      <c r="D6690" s="2" t="str">
        <f>"928-674-2962"</f>
        <v>928-674-2962</v>
      </c>
      <c r="E6690" s="2" t="s">
        <v>651</v>
      </c>
      <c r="F6690" s="2" t="s">
        <v>4417</v>
      </c>
      <c r="G6690" s="2" t="str">
        <f>"SR-3482"</f>
        <v>SR-3482</v>
      </c>
      <c r="H6690" s="2" t="s">
        <v>15116</v>
      </c>
      <c r="I6690" s="2" t="s">
        <v>4419</v>
      </c>
      <c r="K6690" s="2" t="s">
        <v>4420</v>
      </c>
      <c r="L6690" s="2" t="s">
        <v>422</v>
      </c>
      <c r="M6690" s="2">
        <v>86503.0</v>
      </c>
      <c r="N6690" s="2" t="s">
        <v>21</v>
      </c>
    </row>
    <row r="6691" ht="15.75" customHeight="1">
      <c r="A6691" s="2">
        <v>2016.0</v>
      </c>
      <c r="B6691" s="2" t="s">
        <v>28562</v>
      </c>
      <c r="C6691" s="2" t="s">
        <v>28563</v>
      </c>
      <c r="D6691" s="2" t="str">
        <f>"913.544.5419"</f>
        <v>913.544.5419</v>
      </c>
      <c r="E6691" s="2" t="s">
        <v>5083</v>
      </c>
      <c r="F6691" s="2" t="s">
        <v>28564</v>
      </c>
      <c r="G6691" s="2" t="str">
        <f>"SR-4756"</f>
        <v>SR-4756</v>
      </c>
      <c r="H6691" s="2" t="s">
        <v>28565</v>
      </c>
      <c r="I6691" s="2" t="s">
        <v>28566</v>
      </c>
      <c r="K6691" s="2" t="s">
        <v>28567</v>
      </c>
      <c r="L6691" s="2" t="s">
        <v>272</v>
      </c>
      <c r="M6691" s="2">
        <v>66208.0</v>
      </c>
      <c r="N6691" s="2" t="s">
        <v>21</v>
      </c>
    </row>
    <row r="6692" ht="15.75" customHeight="1">
      <c r="A6692" s="2">
        <v>2016.0</v>
      </c>
      <c r="B6692" s="2" t="s">
        <v>28568</v>
      </c>
      <c r="C6692" s="2" t="s">
        <v>28568</v>
      </c>
      <c r="D6692" s="2" t="str">
        <f>"(949) 241-0408"</f>
        <v>(949) 241-0408</v>
      </c>
      <c r="E6692" s="2" t="s">
        <v>4111</v>
      </c>
      <c r="F6692" s="2" t="s">
        <v>28569</v>
      </c>
      <c r="G6692" s="2" t="str">
        <f>"SR-7963"</f>
        <v>SR-7963</v>
      </c>
      <c r="H6692" s="2" t="s">
        <v>28570</v>
      </c>
      <c r="I6692" s="2" t="s">
        <v>28571</v>
      </c>
      <c r="K6692" s="2" t="s">
        <v>28572</v>
      </c>
      <c r="L6692" s="2" t="s">
        <v>222</v>
      </c>
      <c r="M6692" s="2">
        <v>92629.0</v>
      </c>
      <c r="N6692" s="2" t="s">
        <v>21</v>
      </c>
    </row>
    <row r="6693" ht="15.75" customHeight="1">
      <c r="A6693" s="2">
        <v>2016.0</v>
      </c>
      <c r="B6693" s="2" t="s">
        <v>28573</v>
      </c>
      <c r="C6693" s="2" t="s">
        <v>28574</v>
      </c>
      <c r="D6693" s="2" t="str">
        <f>"8167299092"</f>
        <v>8167299092</v>
      </c>
      <c r="E6693" s="2" t="s">
        <v>250</v>
      </c>
      <c r="F6693" s="2" t="s">
        <v>28575</v>
      </c>
      <c r="G6693" s="2" t="str">
        <f>"SR-8747"</f>
        <v>SR-8747</v>
      </c>
      <c r="H6693" s="2" t="s">
        <v>28576</v>
      </c>
      <c r="I6693" s="2" t="s">
        <v>28577</v>
      </c>
      <c r="K6693" s="2" t="s">
        <v>9635</v>
      </c>
      <c r="L6693" s="2" t="s">
        <v>757</v>
      </c>
      <c r="M6693" s="2">
        <v>68022.0</v>
      </c>
      <c r="N6693" s="2" t="s">
        <v>21</v>
      </c>
    </row>
    <row r="6694" ht="15.75" customHeight="1">
      <c r="A6694" s="2">
        <v>2016.0</v>
      </c>
      <c r="B6694" s="2" t="s">
        <v>28578</v>
      </c>
      <c r="C6694" s="2" t="s">
        <v>28579</v>
      </c>
      <c r="D6694" s="2" t="str">
        <f>"7062730371"</f>
        <v>7062730371</v>
      </c>
      <c r="E6694" s="2" t="s">
        <v>6386</v>
      </c>
      <c r="F6694" s="2" t="s">
        <v>4213</v>
      </c>
      <c r="G6694" s="2" t="str">
        <f>"SR-8864"</f>
        <v>SR-8864</v>
      </c>
      <c r="H6694" s="2" t="s">
        <v>28580</v>
      </c>
      <c r="I6694" s="2" t="s">
        <v>28581</v>
      </c>
      <c r="K6694" s="2" t="s">
        <v>1915</v>
      </c>
      <c r="L6694" s="2" t="s">
        <v>200</v>
      </c>
      <c r="M6694" s="2">
        <v>30143.0</v>
      </c>
      <c r="N6694" s="2" t="s">
        <v>21</v>
      </c>
    </row>
    <row r="6695" ht="15.75" customHeight="1">
      <c r="A6695" s="2">
        <v>2016.0</v>
      </c>
      <c r="B6695" s="2" t="s">
        <v>28582</v>
      </c>
      <c r="C6695" s="2" t="s">
        <v>28583</v>
      </c>
      <c r="D6695" s="2" t="str">
        <f>"8067900989"</f>
        <v>8067900989</v>
      </c>
      <c r="E6695" s="2" t="s">
        <v>301</v>
      </c>
      <c r="F6695" s="2" t="s">
        <v>1702</v>
      </c>
      <c r="G6695" s="2" t="str">
        <f>"SR-8904"</f>
        <v>SR-8904</v>
      </c>
      <c r="H6695" s="2" t="s">
        <v>28584</v>
      </c>
      <c r="I6695" s="2" t="s">
        <v>28585</v>
      </c>
      <c r="K6695" s="2" t="s">
        <v>1121</v>
      </c>
      <c r="L6695" s="2" t="s">
        <v>172</v>
      </c>
      <c r="M6695" s="2">
        <v>79423.0</v>
      </c>
      <c r="N6695" s="2" t="s">
        <v>21</v>
      </c>
    </row>
    <row r="6696" ht="15.75" customHeight="1">
      <c r="A6696" s="2">
        <v>2016.0</v>
      </c>
      <c r="B6696" s="2" t="s">
        <v>28586</v>
      </c>
      <c r="C6696" s="2" t="s">
        <v>28587</v>
      </c>
      <c r="D6696" s="2" t="str">
        <f>"3086728263"</f>
        <v>3086728263</v>
      </c>
      <c r="E6696" s="2" t="s">
        <v>453</v>
      </c>
      <c r="F6696" s="2" t="s">
        <v>28588</v>
      </c>
      <c r="G6696" s="2" t="str">
        <f>"SR-8905"</f>
        <v>SR-8905</v>
      </c>
      <c r="H6696" s="2" t="s">
        <v>28589</v>
      </c>
      <c r="I6696" s="2" t="s">
        <v>28590</v>
      </c>
      <c r="K6696" s="2" t="s">
        <v>28591</v>
      </c>
      <c r="L6696" s="2" t="s">
        <v>757</v>
      </c>
      <c r="M6696" s="2">
        <v>69361.0</v>
      </c>
      <c r="N6696" s="2" t="s">
        <v>21</v>
      </c>
    </row>
    <row r="6697" ht="15.75" customHeight="1">
      <c r="A6697" s="2">
        <v>2016.0</v>
      </c>
      <c r="B6697" s="2" t="s">
        <v>28592</v>
      </c>
      <c r="C6697" s="2" t="s">
        <v>28593</v>
      </c>
      <c r="D6697" s="2" t="str">
        <f>"8326217600"</f>
        <v>8326217600</v>
      </c>
      <c r="E6697" s="2" t="s">
        <v>3191</v>
      </c>
      <c r="F6697" s="2" t="s">
        <v>28594</v>
      </c>
      <c r="G6697" s="2" t="str">
        <f>"SR-8906"</f>
        <v>SR-8906</v>
      </c>
      <c r="H6697" s="2" t="s">
        <v>28595</v>
      </c>
      <c r="I6697" s="2" t="s">
        <v>28596</v>
      </c>
      <c r="K6697" s="2" t="s">
        <v>3524</v>
      </c>
      <c r="L6697" s="2" t="s">
        <v>172</v>
      </c>
      <c r="M6697" s="2">
        <v>77546.0</v>
      </c>
      <c r="N6697" s="2" t="s">
        <v>21</v>
      </c>
    </row>
    <row r="6698" ht="15.75" customHeight="1">
      <c r="A6698" s="2">
        <v>2016.0</v>
      </c>
      <c r="B6698" s="2" t="s">
        <v>15565</v>
      </c>
      <c r="C6698" s="2" t="s">
        <v>28597</v>
      </c>
      <c r="D6698" s="2" t="str">
        <f>"210-620-7464"</f>
        <v>210-620-7464</v>
      </c>
      <c r="E6698" s="2" t="s">
        <v>28598</v>
      </c>
      <c r="F6698" s="2" t="s">
        <v>15567</v>
      </c>
      <c r="G6698" s="2" t="str">
        <f>"SR-7873"</f>
        <v>SR-7873</v>
      </c>
      <c r="H6698" s="2" t="s">
        <v>28599</v>
      </c>
      <c r="I6698" s="2" t="s">
        <v>28600</v>
      </c>
      <c r="K6698" s="2" t="s">
        <v>632</v>
      </c>
      <c r="L6698" s="2" t="s">
        <v>172</v>
      </c>
      <c r="M6698" s="2">
        <v>78232.0</v>
      </c>
      <c r="N6698" s="2" t="s">
        <v>21</v>
      </c>
    </row>
    <row r="6699" ht="15.75" customHeight="1">
      <c r="A6699" s="2">
        <v>2016.0</v>
      </c>
      <c r="B6699" s="2" t="s">
        <v>6722</v>
      </c>
      <c r="C6699" s="2" t="s">
        <v>23045</v>
      </c>
      <c r="D6699" s="2" t="str">
        <f>"4034377336"</f>
        <v>4034377336</v>
      </c>
      <c r="E6699" s="2" t="s">
        <v>8316</v>
      </c>
      <c r="F6699" s="2" t="s">
        <v>3978</v>
      </c>
      <c r="G6699" s="2" t="str">
        <f>"SR-7094"</f>
        <v>SR-7094</v>
      </c>
      <c r="H6699" s="2" t="s">
        <v>23046</v>
      </c>
      <c r="I6699" s="2" t="s">
        <v>23047</v>
      </c>
      <c r="K6699" s="2" t="s">
        <v>6725</v>
      </c>
      <c r="L6699" s="2" t="s">
        <v>6726</v>
      </c>
      <c r="M6699" s="2" t="s">
        <v>10247</v>
      </c>
      <c r="N6699" s="2" t="s">
        <v>1602</v>
      </c>
    </row>
    <row r="6700" ht="15.75" customHeight="1">
      <c r="A6700" s="2">
        <v>2016.0</v>
      </c>
      <c r="B6700" s="2" t="s">
        <v>28601</v>
      </c>
      <c r="C6700" s="2" t="s">
        <v>28602</v>
      </c>
      <c r="D6700" s="2" t="str">
        <f>"406-697-2627"</f>
        <v>406-697-2627</v>
      </c>
      <c r="E6700" s="2" t="s">
        <v>4968</v>
      </c>
      <c r="F6700" s="2" t="s">
        <v>28603</v>
      </c>
      <c r="G6700" s="2" t="str">
        <f>"SR-8909"</f>
        <v>SR-8909</v>
      </c>
      <c r="H6700" s="2" t="s">
        <v>28604</v>
      </c>
      <c r="I6700" s="2" t="s">
        <v>28605</v>
      </c>
      <c r="K6700" s="2" t="s">
        <v>3548</v>
      </c>
      <c r="L6700" s="2" t="s">
        <v>2696</v>
      </c>
      <c r="M6700" s="2">
        <v>59102.0</v>
      </c>
      <c r="N6700" s="2" t="s">
        <v>21</v>
      </c>
    </row>
    <row r="6701" ht="15.75" customHeight="1">
      <c r="A6701" s="2">
        <v>2016.0</v>
      </c>
      <c r="B6701" s="2" t="s">
        <v>28606</v>
      </c>
      <c r="C6701" s="2" t="s">
        <v>28607</v>
      </c>
      <c r="D6701" s="2" t="str">
        <f>"814-623-0399"</f>
        <v>814-623-0399</v>
      </c>
      <c r="E6701" s="2" t="s">
        <v>385</v>
      </c>
      <c r="F6701" s="2" t="s">
        <v>1190</v>
      </c>
      <c r="G6701" s="2" t="str">
        <f>"SR-7477"</f>
        <v>SR-7477</v>
      </c>
      <c r="H6701" s="2" t="s">
        <v>28608</v>
      </c>
      <c r="I6701" s="2" t="s">
        <v>28609</v>
      </c>
      <c r="K6701" s="2" t="s">
        <v>10762</v>
      </c>
      <c r="L6701" s="2" t="s">
        <v>179</v>
      </c>
      <c r="M6701" s="2">
        <v>15550.0</v>
      </c>
      <c r="N6701" s="2" t="s">
        <v>21</v>
      </c>
    </row>
    <row r="6702" ht="15.75" customHeight="1">
      <c r="A6702" s="2">
        <v>2016.0</v>
      </c>
      <c r="B6702" s="2" t="s">
        <v>28610</v>
      </c>
      <c r="C6702" s="2" t="s">
        <v>28611</v>
      </c>
      <c r="D6702" s="2" t="str">
        <f>"801-946-4614"</f>
        <v>801-946-4614</v>
      </c>
      <c r="E6702" s="2" t="s">
        <v>23284</v>
      </c>
      <c r="F6702" s="2" t="s">
        <v>28612</v>
      </c>
      <c r="G6702" s="2" t="str">
        <f>"SR-8917"</f>
        <v>SR-8917</v>
      </c>
      <c r="H6702" s="2" t="s">
        <v>28613</v>
      </c>
      <c r="I6702" s="2" t="s">
        <v>28614</v>
      </c>
      <c r="K6702" s="2" t="s">
        <v>28615</v>
      </c>
      <c r="L6702" s="2" t="s">
        <v>763</v>
      </c>
      <c r="M6702" s="2">
        <v>84029.0</v>
      </c>
      <c r="N6702" s="2" t="s">
        <v>21</v>
      </c>
    </row>
    <row r="6703" ht="15.75" customHeight="1">
      <c r="A6703" s="2">
        <v>2016.0</v>
      </c>
      <c r="B6703" s="2" t="s">
        <v>28616</v>
      </c>
      <c r="C6703" s="2" t="s">
        <v>28616</v>
      </c>
      <c r="D6703" s="2" t="str">
        <f>"5672770226"</f>
        <v>5672770226</v>
      </c>
      <c r="E6703" s="2" t="s">
        <v>1114</v>
      </c>
      <c r="F6703" s="2" t="s">
        <v>2231</v>
      </c>
      <c r="G6703" s="2" t="str">
        <f>"SR-8911"</f>
        <v>SR-8911</v>
      </c>
      <c r="H6703" s="2" t="s">
        <v>28617</v>
      </c>
      <c r="I6703" s="2" t="s">
        <v>28618</v>
      </c>
      <c r="K6703" s="2" t="s">
        <v>23625</v>
      </c>
      <c r="L6703" s="2" t="s">
        <v>344</v>
      </c>
      <c r="M6703" s="2">
        <v>43537.0</v>
      </c>
      <c r="N6703" s="2" t="s">
        <v>21</v>
      </c>
    </row>
    <row r="6704" ht="15.75" customHeight="1">
      <c r="A6704" s="2">
        <v>2016.0</v>
      </c>
      <c r="B6704" s="2" t="s">
        <v>28619</v>
      </c>
      <c r="C6704" s="2" t="s">
        <v>28620</v>
      </c>
      <c r="D6704" s="2" t="str">
        <f>"9099690132"</f>
        <v>9099690132</v>
      </c>
      <c r="E6704" s="2" t="s">
        <v>28621</v>
      </c>
      <c r="F6704" s="2" t="s">
        <v>28622</v>
      </c>
      <c r="G6704" s="2" t="str">
        <f>"SR-8882"</f>
        <v>SR-8882</v>
      </c>
      <c r="H6704" s="2" t="s">
        <v>28623</v>
      </c>
      <c r="I6704" s="2" t="s">
        <v>28624</v>
      </c>
      <c r="K6704" s="2" t="s">
        <v>2015</v>
      </c>
      <c r="L6704" s="2" t="s">
        <v>222</v>
      </c>
      <c r="M6704" s="2">
        <v>91761.0</v>
      </c>
      <c r="N6704" s="2" t="s">
        <v>21</v>
      </c>
    </row>
    <row r="6705" ht="15.75" customHeight="1">
      <c r="A6705" s="2">
        <v>2016.0</v>
      </c>
      <c r="B6705" s="2" t="s">
        <v>28625</v>
      </c>
      <c r="C6705" s="2" t="s">
        <v>28625</v>
      </c>
      <c r="D6705" s="2" t="str">
        <f>"9095974790"</f>
        <v>9095974790</v>
      </c>
      <c r="E6705" s="2" t="s">
        <v>7864</v>
      </c>
      <c r="F6705" s="2" t="s">
        <v>28626</v>
      </c>
      <c r="G6705" s="2" t="str">
        <f>"SR-8910"</f>
        <v>SR-8910</v>
      </c>
      <c r="H6705" s="2" t="s">
        <v>28627</v>
      </c>
      <c r="I6705" s="2" t="s">
        <v>28628</v>
      </c>
      <c r="K6705" s="2" t="s">
        <v>15522</v>
      </c>
      <c r="L6705" s="2" t="s">
        <v>222</v>
      </c>
      <c r="M6705" s="2">
        <v>91708.0</v>
      </c>
      <c r="N6705" s="2" t="s">
        <v>21</v>
      </c>
    </row>
    <row r="6706" ht="15.75" customHeight="1">
      <c r="A6706" s="2">
        <v>2016.0</v>
      </c>
      <c r="B6706" s="2" t="s">
        <v>27001</v>
      </c>
      <c r="C6706" s="2" t="s">
        <v>28629</v>
      </c>
      <c r="D6706" s="2" t="str">
        <f>"419-410-4303"</f>
        <v>419-410-4303</v>
      </c>
      <c r="E6706" s="2" t="s">
        <v>2752</v>
      </c>
      <c r="F6706" s="2" t="s">
        <v>27003</v>
      </c>
      <c r="G6706" s="2" t="str">
        <f>"SR-8919"</f>
        <v>SR-8919</v>
      </c>
      <c r="H6706" s="2" t="s">
        <v>28630</v>
      </c>
      <c r="I6706" s="2" t="s">
        <v>27005</v>
      </c>
      <c r="K6706" s="2" t="s">
        <v>2985</v>
      </c>
      <c r="L6706" s="2" t="s">
        <v>344</v>
      </c>
      <c r="M6706" s="2">
        <v>43528.0</v>
      </c>
      <c r="N6706" s="2" t="s">
        <v>21</v>
      </c>
    </row>
    <row r="6707" ht="15.75" customHeight="1">
      <c r="A6707" s="2">
        <v>2016.0</v>
      </c>
      <c r="B6707" s="2" t="s">
        <v>28631</v>
      </c>
      <c r="C6707" s="2" t="s">
        <v>28632</v>
      </c>
      <c r="D6707" s="2" t="str">
        <f>"6512747100"</f>
        <v>6512747100</v>
      </c>
      <c r="E6707" s="2" t="s">
        <v>8332</v>
      </c>
      <c r="F6707" s="2" t="s">
        <v>28633</v>
      </c>
      <c r="G6707" s="2" t="str">
        <f>"SR-8922"</f>
        <v>SR-8922</v>
      </c>
      <c r="H6707" s="2" t="s">
        <v>28634</v>
      </c>
      <c r="I6707" s="2" t="s">
        <v>28635</v>
      </c>
      <c r="K6707" s="2" t="s">
        <v>28636</v>
      </c>
      <c r="L6707" s="2" t="s">
        <v>62</v>
      </c>
      <c r="M6707" s="2">
        <v>55115.0</v>
      </c>
      <c r="N6707" s="2" t="s">
        <v>21</v>
      </c>
    </row>
    <row r="6708" ht="15.75" customHeight="1">
      <c r="A6708" s="2">
        <v>2016.0</v>
      </c>
      <c r="B6708" s="2" t="s">
        <v>28637</v>
      </c>
      <c r="C6708" s="2" t="s">
        <v>28637</v>
      </c>
      <c r="D6708" s="2" t="str">
        <f>"9498873610"</f>
        <v>9498873610</v>
      </c>
      <c r="E6708" s="2" t="s">
        <v>339</v>
      </c>
      <c r="F6708" s="2" t="s">
        <v>26909</v>
      </c>
      <c r="G6708" s="2" t="str">
        <f>"SR-7940"</f>
        <v>SR-7940</v>
      </c>
      <c r="H6708" s="2" t="s">
        <v>28638</v>
      </c>
      <c r="I6708" s="2" t="s">
        <v>28639</v>
      </c>
      <c r="K6708" s="2" t="s">
        <v>18685</v>
      </c>
      <c r="L6708" s="2" t="s">
        <v>222</v>
      </c>
      <c r="M6708" s="2">
        <v>92694.0</v>
      </c>
      <c r="N6708" s="2" t="s">
        <v>21</v>
      </c>
    </row>
    <row r="6709" ht="15.75" customHeight="1">
      <c r="A6709" s="2">
        <v>2016.0</v>
      </c>
      <c r="B6709" s="2" t="s">
        <v>28206</v>
      </c>
      <c r="C6709" s="2" t="s">
        <v>28640</v>
      </c>
      <c r="D6709" s="2" t="str">
        <f>"9077455148"</f>
        <v>9077455148</v>
      </c>
      <c r="E6709" s="2" t="s">
        <v>28641</v>
      </c>
      <c r="F6709" s="2" t="s">
        <v>28208</v>
      </c>
      <c r="G6709" s="2" t="str">
        <f>"SR-8822"</f>
        <v>SR-8822</v>
      </c>
      <c r="H6709" s="2" t="s">
        <v>28642</v>
      </c>
      <c r="I6709" s="2" t="s">
        <v>28643</v>
      </c>
      <c r="K6709" s="2" t="s">
        <v>24289</v>
      </c>
      <c r="L6709" s="2" t="s">
        <v>70</v>
      </c>
      <c r="M6709" s="2">
        <v>99645.0</v>
      </c>
      <c r="N6709" s="2" t="s">
        <v>21</v>
      </c>
    </row>
    <row r="6710" ht="15.75" customHeight="1">
      <c r="A6710" s="2">
        <v>2016.0</v>
      </c>
      <c r="B6710" s="2" t="s">
        <v>28644</v>
      </c>
      <c r="D6710" s="2" t="str">
        <f>""</f>
        <v/>
      </c>
      <c r="E6710" s="2" t="s">
        <v>28645</v>
      </c>
      <c r="F6710" s="2" t="s">
        <v>28646</v>
      </c>
      <c r="G6710" s="2" t="str">
        <f>"SR-8925"</f>
        <v>SR-8925</v>
      </c>
      <c r="H6710" s="2" t="s">
        <v>28647</v>
      </c>
    </row>
    <row r="6711" ht="15.75" customHeight="1">
      <c r="A6711" s="2">
        <v>2016.0</v>
      </c>
      <c r="B6711" s="2" t="s">
        <v>28648</v>
      </c>
      <c r="C6711" s="2" t="s">
        <v>28648</v>
      </c>
      <c r="D6711" s="2" t="str">
        <f>"2146684416"</f>
        <v>2146684416</v>
      </c>
      <c r="E6711" s="2" t="s">
        <v>16650</v>
      </c>
      <c r="F6711" s="2" t="s">
        <v>28649</v>
      </c>
      <c r="G6711" s="2" t="str">
        <f>"SR-8011"</f>
        <v>SR-8011</v>
      </c>
      <c r="H6711" s="2" t="s">
        <v>28650</v>
      </c>
      <c r="I6711" s="2" t="s">
        <v>28651</v>
      </c>
      <c r="K6711" s="2" t="s">
        <v>21389</v>
      </c>
      <c r="L6711" s="2" t="s">
        <v>208</v>
      </c>
      <c r="M6711" s="2">
        <v>32601.0</v>
      </c>
      <c r="N6711" s="2" t="s">
        <v>21</v>
      </c>
    </row>
    <row r="6712" ht="15.75" customHeight="1">
      <c r="A6712" s="2">
        <v>2016.0</v>
      </c>
      <c r="B6712" s="2" t="s">
        <v>28652</v>
      </c>
      <c r="D6712" s="2" t="str">
        <f>""</f>
        <v/>
      </c>
      <c r="E6712" s="2" t="s">
        <v>8195</v>
      </c>
      <c r="F6712" s="2" t="s">
        <v>256</v>
      </c>
      <c r="G6712" s="2" t="str">
        <f>"SR-8926"</f>
        <v>SR-8926</v>
      </c>
      <c r="H6712" s="2" t="s">
        <v>28653</v>
      </c>
      <c r="N6712" s="2" t="s">
        <v>21</v>
      </c>
    </row>
    <row r="6713" ht="15.75" customHeight="1">
      <c r="A6713" s="2">
        <v>2016.0</v>
      </c>
      <c r="B6713" s="2" t="s">
        <v>28654</v>
      </c>
      <c r="C6713" s="2" t="s">
        <v>28655</v>
      </c>
      <c r="D6713" s="2" t="str">
        <f>"317-997-9559"</f>
        <v>317-997-9559</v>
      </c>
      <c r="E6713" s="2" t="s">
        <v>9486</v>
      </c>
      <c r="F6713" s="2" t="s">
        <v>14694</v>
      </c>
      <c r="G6713" s="2" t="str">
        <f>"SR-8865"</f>
        <v>SR-8865</v>
      </c>
      <c r="H6713" s="2" t="s">
        <v>28656</v>
      </c>
      <c r="I6713" s="2" t="s">
        <v>28657</v>
      </c>
      <c r="K6713" s="2" t="s">
        <v>2750</v>
      </c>
      <c r="L6713" s="2" t="s">
        <v>214</v>
      </c>
      <c r="M6713" s="2">
        <v>65201.0</v>
      </c>
      <c r="N6713" s="2" t="s">
        <v>21</v>
      </c>
    </row>
    <row r="6714" ht="15.75" customHeight="1">
      <c r="A6714" s="2">
        <v>2016.0</v>
      </c>
      <c r="B6714" s="2" t="s">
        <v>28654</v>
      </c>
      <c r="C6714" s="2" t="s">
        <v>28658</v>
      </c>
      <c r="D6714" s="2" t="str">
        <f>"317-997-3769"</f>
        <v>317-997-3769</v>
      </c>
      <c r="E6714" s="2" t="s">
        <v>28659</v>
      </c>
      <c r="F6714" s="2" t="s">
        <v>14694</v>
      </c>
      <c r="G6714" s="2" t="str">
        <f>"SR-8835"</f>
        <v>SR-8835</v>
      </c>
      <c r="H6714" s="2" t="s">
        <v>28660</v>
      </c>
      <c r="I6714" s="2" t="s">
        <v>28657</v>
      </c>
      <c r="K6714" s="2" t="s">
        <v>2750</v>
      </c>
      <c r="L6714" s="2" t="s">
        <v>214</v>
      </c>
      <c r="M6714" s="2">
        <v>65201.0</v>
      </c>
      <c r="N6714" s="2" t="s">
        <v>21</v>
      </c>
    </row>
    <row r="6715" ht="15.75" customHeight="1">
      <c r="A6715" s="2">
        <v>2016.0</v>
      </c>
      <c r="B6715" s="2" t="s">
        <v>28661</v>
      </c>
      <c r="C6715" s="2" t="s">
        <v>28662</v>
      </c>
      <c r="D6715" s="2" t="str">
        <f>"8322871076"</f>
        <v>8322871076</v>
      </c>
      <c r="E6715" s="2" t="s">
        <v>28663</v>
      </c>
      <c r="F6715" s="2" t="s">
        <v>28664</v>
      </c>
      <c r="G6715" s="2" t="str">
        <f>"SR-8913"</f>
        <v>SR-8913</v>
      </c>
      <c r="H6715" s="2" t="s">
        <v>28665</v>
      </c>
      <c r="I6715" s="2" t="s">
        <v>28666</v>
      </c>
      <c r="K6715" s="2" t="s">
        <v>444</v>
      </c>
      <c r="L6715" s="2" t="s">
        <v>172</v>
      </c>
      <c r="M6715" s="2">
        <v>77041.0</v>
      </c>
      <c r="N6715" s="2" t="s">
        <v>21</v>
      </c>
    </row>
    <row r="6716" ht="15.75" customHeight="1">
      <c r="A6716" s="2">
        <v>2016.0</v>
      </c>
      <c r="B6716" s="2" t="s">
        <v>28667</v>
      </c>
      <c r="C6716" s="2" t="s">
        <v>28667</v>
      </c>
      <c r="D6716" s="2" t="str">
        <f>"8133636989"</f>
        <v>8133636989</v>
      </c>
      <c r="E6716" s="2" t="s">
        <v>282</v>
      </c>
      <c r="F6716" s="2" t="s">
        <v>2053</v>
      </c>
      <c r="G6716" s="2" t="str">
        <f>"SR-7261"</f>
        <v>SR-7261</v>
      </c>
      <c r="H6716" s="2" t="s">
        <v>28668</v>
      </c>
      <c r="I6716" s="2" t="s">
        <v>28669</v>
      </c>
      <c r="K6716" s="2" t="s">
        <v>1570</v>
      </c>
      <c r="L6716" s="2" t="s">
        <v>208</v>
      </c>
      <c r="M6716" s="2">
        <v>33810.0</v>
      </c>
      <c r="N6716" s="2" t="s">
        <v>21</v>
      </c>
    </row>
    <row r="6717" ht="15.75" customHeight="1">
      <c r="A6717" s="2">
        <v>2016.0</v>
      </c>
      <c r="B6717" s="2" t="s">
        <v>28670</v>
      </c>
      <c r="C6717" s="2" t="s">
        <v>28670</v>
      </c>
      <c r="D6717" s="2" t="str">
        <f>"1913-808-2003"</f>
        <v>1913-808-2003</v>
      </c>
      <c r="E6717" s="2" t="s">
        <v>751</v>
      </c>
      <c r="F6717" s="2" t="s">
        <v>320</v>
      </c>
      <c r="G6717" s="2" t="str">
        <f>"SR-8930"</f>
        <v>SR-8930</v>
      </c>
      <c r="H6717" s="2" t="s">
        <v>28671</v>
      </c>
      <c r="I6717" s="2" t="s">
        <v>28672</v>
      </c>
      <c r="K6717" s="2" t="s">
        <v>28673</v>
      </c>
      <c r="L6717" s="2" t="s">
        <v>272</v>
      </c>
      <c r="M6717" s="2">
        <v>66512.0</v>
      </c>
      <c r="N6717" s="2" t="s">
        <v>21</v>
      </c>
    </row>
    <row r="6718" ht="15.75" customHeight="1">
      <c r="A6718" s="2">
        <v>2016.0</v>
      </c>
      <c r="B6718" s="2" t="s">
        <v>28674</v>
      </c>
      <c r="C6718" s="2" t="s">
        <v>28675</v>
      </c>
      <c r="D6718" s="2" t="str">
        <f>"4239878925"</f>
        <v>4239878925</v>
      </c>
      <c r="E6718" s="2" t="s">
        <v>447</v>
      </c>
      <c r="F6718" s="2" t="s">
        <v>3283</v>
      </c>
      <c r="G6718" s="2" t="str">
        <f>"SR-7744"</f>
        <v>SR-7744</v>
      </c>
      <c r="H6718" s="2" t="s">
        <v>28676</v>
      </c>
      <c r="I6718" s="2" t="s">
        <v>28677</v>
      </c>
      <c r="K6718" s="2" t="s">
        <v>3975</v>
      </c>
      <c r="L6718" s="2" t="s">
        <v>279</v>
      </c>
      <c r="M6718" s="2">
        <v>37419.0</v>
      </c>
      <c r="N6718" s="2" t="s">
        <v>21</v>
      </c>
    </row>
    <row r="6719" ht="15.75" customHeight="1">
      <c r="A6719" s="2">
        <v>2016.0</v>
      </c>
      <c r="B6719" s="2" t="s">
        <v>28678</v>
      </c>
      <c r="C6719" s="2" t="s">
        <v>28679</v>
      </c>
      <c r="D6719" s="2" t="str">
        <f>"(760) 550-7136"</f>
        <v>(760) 550-7136</v>
      </c>
      <c r="E6719" s="2" t="s">
        <v>931</v>
      </c>
      <c r="F6719" s="2" t="s">
        <v>28680</v>
      </c>
      <c r="G6719" s="2" t="str">
        <f>"SR-8934"</f>
        <v>SR-8934</v>
      </c>
      <c r="H6719" s="2" t="s">
        <v>28681</v>
      </c>
      <c r="I6719" s="2" t="s">
        <v>28682</v>
      </c>
      <c r="K6719" s="2" t="s">
        <v>15205</v>
      </c>
      <c r="L6719" s="2" t="s">
        <v>222</v>
      </c>
      <c r="M6719" s="2">
        <v>92046.0</v>
      </c>
      <c r="N6719" s="2" t="s">
        <v>21</v>
      </c>
    </row>
    <row r="6720" ht="15.75" customHeight="1">
      <c r="A6720" s="2">
        <v>2016.0</v>
      </c>
      <c r="B6720" s="2" t="s">
        <v>21249</v>
      </c>
      <c r="C6720" s="2" t="s">
        <v>28683</v>
      </c>
      <c r="D6720" s="2" t="str">
        <f>"3039488843"</f>
        <v>3039488843</v>
      </c>
      <c r="E6720" s="2" t="s">
        <v>167</v>
      </c>
      <c r="F6720" s="2" t="s">
        <v>1756</v>
      </c>
      <c r="G6720" s="2" t="str">
        <f>"SR-8918"</f>
        <v>SR-8918</v>
      </c>
      <c r="H6720" s="2" t="s">
        <v>28684</v>
      </c>
      <c r="I6720" s="2" t="s">
        <v>21253</v>
      </c>
      <c r="K6720" s="2" t="s">
        <v>1889</v>
      </c>
      <c r="L6720" s="2" t="s">
        <v>157</v>
      </c>
      <c r="M6720" s="2">
        <v>80127.0</v>
      </c>
      <c r="N6720" s="2" t="s">
        <v>21</v>
      </c>
    </row>
    <row r="6721" ht="15.75" customHeight="1">
      <c r="A6721" s="2">
        <v>2016.0</v>
      </c>
      <c r="B6721" s="2" t="s">
        <v>28685</v>
      </c>
      <c r="C6721" s="2" t="s">
        <v>28685</v>
      </c>
      <c r="D6721" s="2" t="str">
        <f>"5624403370"</f>
        <v>5624403370</v>
      </c>
      <c r="E6721" s="2" t="s">
        <v>6170</v>
      </c>
      <c r="F6721" s="2" t="s">
        <v>28686</v>
      </c>
      <c r="G6721" s="2" t="str">
        <f>"SR-8937"</f>
        <v>SR-8937</v>
      </c>
      <c r="H6721" s="2" t="s">
        <v>28687</v>
      </c>
      <c r="I6721" s="2" t="s">
        <v>28688</v>
      </c>
      <c r="K6721" s="2" t="s">
        <v>28689</v>
      </c>
      <c r="L6721" s="2" t="s">
        <v>222</v>
      </c>
      <c r="M6721" s="2">
        <v>90706.0</v>
      </c>
      <c r="N6721" s="2" t="s">
        <v>21</v>
      </c>
    </row>
    <row r="6722" ht="15.75" customHeight="1">
      <c r="A6722" s="2">
        <v>2016.0</v>
      </c>
      <c r="B6722" s="2" t="s">
        <v>28690</v>
      </c>
      <c r="C6722" s="2" t="s">
        <v>28690</v>
      </c>
      <c r="D6722" s="2" t="str">
        <f>"423.582.6547"</f>
        <v>423.582.6547</v>
      </c>
      <c r="E6722" s="2" t="s">
        <v>28691</v>
      </c>
      <c r="F6722" s="2" t="s">
        <v>28692</v>
      </c>
      <c r="G6722" s="2" t="str">
        <f>"SR-8940"</f>
        <v>SR-8940</v>
      </c>
      <c r="H6722" s="2" t="s">
        <v>28693</v>
      </c>
      <c r="I6722" s="2" t="s">
        <v>28694</v>
      </c>
      <c r="K6722" s="2" t="s">
        <v>5671</v>
      </c>
      <c r="L6722" s="2" t="s">
        <v>279</v>
      </c>
      <c r="M6722" s="2">
        <v>37377.0</v>
      </c>
      <c r="N6722" s="2" t="s">
        <v>21</v>
      </c>
    </row>
    <row r="6723" ht="15.75" customHeight="1">
      <c r="A6723" s="2">
        <v>2016.0</v>
      </c>
      <c r="B6723" s="2" t="s">
        <v>10427</v>
      </c>
      <c r="C6723" s="2" t="s">
        <v>10427</v>
      </c>
      <c r="D6723" s="2" t="str">
        <f>"3525720472"</f>
        <v>3525720472</v>
      </c>
      <c r="E6723" s="2" t="s">
        <v>3305</v>
      </c>
      <c r="F6723" s="2" t="s">
        <v>10428</v>
      </c>
      <c r="G6723" s="2" t="str">
        <f>"SR-3091"</f>
        <v>SR-3091</v>
      </c>
      <c r="H6723" s="2" t="s">
        <v>10429</v>
      </c>
      <c r="I6723" s="2" t="s">
        <v>10430</v>
      </c>
      <c r="K6723" s="2" t="s">
        <v>10431</v>
      </c>
      <c r="L6723" s="2" t="s">
        <v>55</v>
      </c>
      <c r="M6723" s="2">
        <v>29501.0</v>
      </c>
      <c r="N6723" s="2" t="s">
        <v>21</v>
      </c>
    </row>
    <row r="6724" ht="15.75" customHeight="1">
      <c r="A6724" s="2">
        <v>2016.0</v>
      </c>
      <c r="B6724" s="2" t="s">
        <v>28695</v>
      </c>
      <c r="C6724" s="2" t="s">
        <v>28696</v>
      </c>
      <c r="D6724" s="2" t="str">
        <f t="shared" ref="D6724:D6725" si="114">"2603513835"</f>
        <v>2603513835</v>
      </c>
      <c r="E6724" s="2" t="s">
        <v>1810</v>
      </c>
      <c r="F6724" s="2" t="s">
        <v>28697</v>
      </c>
      <c r="G6724" s="2" t="str">
        <f>"SR-8943"</f>
        <v>SR-8943</v>
      </c>
      <c r="H6724" s="2" t="s">
        <v>28698</v>
      </c>
      <c r="I6724" s="2" t="s">
        <v>28699</v>
      </c>
      <c r="K6724" s="2" t="s">
        <v>4814</v>
      </c>
      <c r="L6724" s="2" t="s">
        <v>149</v>
      </c>
      <c r="M6724" s="2">
        <v>46761.0</v>
      </c>
      <c r="N6724" s="2" t="s">
        <v>21</v>
      </c>
    </row>
    <row r="6725" ht="15.75" customHeight="1">
      <c r="A6725" s="2">
        <v>2016.0</v>
      </c>
      <c r="B6725" s="2" t="s">
        <v>28700</v>
      </c>
      <c r="C6725" s="2" t="s">
        <v>28701</v>
      </c>
      <c r="D6725" s="2" t="str">
        <f t="shared" si="114"/>
        <v>2603513835</v>
      </c>
      <c r="E6725" s="2" t="s">
        <v>2480</v>
      </c>
      <c r="F6725" s="2" t="s">
        <v>28697</v>
      </c>
      <c r="G6725" s="2" t="str">
        <f>"SR-8944"</f>
        <v>SR-8944</v>
      </c>
      <c r="H6725" s="2" t="s">
        <v>28702</v>
      </c>
      <c r="I6725" s="2" t="s">
        <v>28699</v>
      </c>
      <c r="K6725" s="2" t="s">
        <v>4814</v>
      </c>
      <c r="L6725" s="2" t="s">
        <v>149</v>
      </c>
      <c r="M6725" s="2">
        <v>46761.0</v>
      </c>
      <c r="N6725" s="2" t="s">
        <v>21</v>
      </c>
    </row>
    <row r="6726" ht="15.75" customHeight="1">
      <c r="A6726" s="2">
        <v>2016.0</v>
      </c>
      <c r="B6726" s="2" t="s">
        <v>28703</v>
      </c>
      <c r="C6726" s="2" t="s">
        <v>28704</v>
      </c>
      <c r="D6726" s="2" t="str">
        <f>"719 510 0856"</f>
        <v>719 510 0856</v>
      </c>
      <c r="E6726" s="2" t="s">
        <v>28705</v>
      </c>
      <c r="F6726" s="2" t="s">
        <v>28706</v>
      </c>
      <c r="G6726" s="2" t="str">
        <f>"SR-8946"</f>
        <v>SR-8946</v>
      </c>
      <c r="H6726" s="2" t="s">
        <v>28707</v>
      </c>
      <c r="I6726" s="2" t="s">
        <v>28708</v>
      </c>
      <c r="K6726" s="2" t="s">
        <v>809</v>
      </c>
      <c r="L6726" s="2" t="s">
        <v>157</v>
      </c>
      <c r="M6726" s="2">
        <v>80911.0</v>
      </c>
      <c r="N6726" s="2" t="s">
        <v>21</v>
      </c>
    </row>
    <row r="6727" ht="15.75" customHeight="1">
      <c r="A6727" s="2">
        <v>2016.0</v>
      </c>
      <c r="B6727" s="2" t="s">
        <v>28709</v>
      </c>
      <c r="C6727" s="2" t="s">
        <v>28710</v>
      </c>
      <c r="D6727" s="2" t="str">
        <f>"8595837411"</f>
        <v>8595837411</v>
      </c>
      <c r="E6727" s="2" t="s">
        <v>14422</v>
      </c>
      <c r="F6727" s="2" t="s">
        <v>28711</v>
      </c>
      <c r="G6727" s="2" t="str">
        <f>"SR-8947"</f>
        <v>SR-8947</v>
      </c>
      <c r="H6727" s="2" t="s">
        <v>28712</v>
      </c>
      <c r="I6727" s="2" t="s">
        <v>28713</v>
      </c>
      <c r="K6727" s="2" t="s">
        <v>28714</v>
      </c>
      <c r="L6727" s="2" t="s">
        <v>1236</v>
      </c>
      <c r="M6727" s="2">
        <v>40440.0</v>
      </c>
      <c r="N6727" s="2" t="s">
        <v>21</v>
      </c>
    </row>
    <row r="6728" ht="15.75" customHeight="1">
      <c r="A6728" s="2">
        <v>2016.0</v>
      </c>
      <c r="B6728" s="2" t="s">
        <v>28715</v>
      </c>
      <c r="C6728" s="2" t="s">
        <v>28716</v>
      </c>
      <c r="D6728" s="2" t="str">
        <f>"843-339-9429"</f>
        <v>843-339-9429</v>
      </c>
      <c r="E6728" s="2" t="s">
        <v>4491</v>
      </c>
      <c r="F6728" s="2" t="s">
        <v>28717</v>
      </c>
      <c r="G6728" s="2" t="str">
        <f>"SR-8128"</f>
        <v>SR-8128</v>
      </c>
      <c r="H6728" s="2" t="s">
        <v>28718</v>
      </c>
      <c r="I6728" s="2" t="s">
        <v>28719</v>
      </c>
      <c r="K6728" s="2" t="s">
        <v>28720</v>
      </c>
      <c r="L6728" s="2" t="s">
        <v>55</v>
      </c>
      <c r="M6728" s="2">
        <v>29550.0</v>
      </c>
      <c r="N6728" s="2" t="s">
        <v>21</v>
      </c>
    </row>
    <row r="6729" ht="15.75" customHeight="1">
      <c r="A6729" s="2">
        <v>2016.0</v>
      </c>
      <c r="B6729" s="2" t="s">
        <v>28721</v>
      </c>
      <c r="C6729" s="2" t="s">
        <v>28721</v>
      </c>
      <c r="D6729" s="2" t="str">
        <f>"4023063053"</f>
        <v>4023063053</v>
      </c>
      <c r="E6729" s="2" t="s">
        <v>1208</v>
      </c>
      <c r="F6729" s="2" t="s">
        <v>15325</v>
      </c>
      <c r="G6729" s="2" t="str">
        <f>"SR-8951"</f>
        <v>SR-8951</v>
      </c>
      <c r="H6729" s="2" t="s">
        <v>28722</v>
      </c>
      <c r="I6729" s="2" t="s">
        <v>15327</v>
      </c>
      <c r="K6729" s="2" t="s">
        <v>1470</v>
      </c>
      <c r="L6729" s="2" t="s">
        <v>757</v>
      </c>
      <c r="M6729" s="2">
        <v>68134.0</v>
      </c>
      <c r="N6729" s="2" t="s">
        <v>21</v>
      </c>
    </row>
    <row r="6730" ht="15.75" customHeight="1">
      <c r="A6730" s="2">
        <v>2016.0</v>
      </c>
      <c r="B6730" s="2" t="s">
        <v>28723</v>
      </c>
      <c r="C6730" s="2" t="s">
        <v>28723</v>
      </c>
      <c r="D6730" s="2" t="str">
        <f>"213-393-9507"</f>
        <v>213-393-9507</v>
      </c>
      <c r="E6730" s="2" t="s">
        <v>6386</v>
      </c>
      <c r="F6730" s="2" t="s">
        <v>12612</v>
      </c>
      <c r="G6730" s="2" t="str">
        <f>"SR-8949"</f>
        <v>SR-8949</v>
      </c>
      <c r="H6730" s="2" t="s">
        <v>28724</v>
      </c>
      <c r="I6730" s="2" t="s">
        <v>28725</v>
      </c>
      <c r="K6730" s="2" t="s">
        <v>715</v>
      </c>
      <c r="L6730" s="2" t="s">
        <v>222</v>
      </c>
      <c r="M6730" s="2">
        <v>90005.0</v>
      </c>
      <c r="N6730" s="2" t="s">
        <v>21</v>
      </c>
    </row>
    <row r="6731" ht="15.75" customHeight="1">
      <c r="A6731" s="2">
        <v>2016.0</v>
      </c>
      <c r="B6731" s="2" t="s">
        <v>28726</v>
      </c>
      <c r="C6731" s="2" t="s">
        <v>28726</v>
      </c>
      <c r="D6731" s="2" t="str">
        <f>"901-850-9125"</f>
        <v>901-850-9125</v>
      </c>
      <c r="E6731" s="2" t="s">
        <v>339</v>
      </c>
      <c r="F6731" s="2" t="s">
        <v>28727</v>
      </c>
      <c r="G6731" s="2" t="str">
        <f>"SR-8958"</f>
        <v>SR-8958</v>
      </c>
      <c r="H6731" s="2" t="s">
        <v>28728</v>
      </c>
      <c r="I6731" s="2" t="s">
        <v>28729</v>
      </c>
      <c r="K6731" s="2" t="s">
        <v>5678</v>
      </c>
      <c r="L6731" s="2" t="s">
        <v>279</v>
      </c>
      <c r="M6731" s="2">
        <v>38017.0</v>
      </c>
      <c r="N6731" s="2" t="s">
        <v>21</v>
      </c>
    </row>
    <row r="6732" ht="15.75" customHeight="1">
      <c r="A6732" s="2">
        <v>2016.0</v>
      </c>
      <c r="B6732" s="2" t="s">
        <v>28730</v>
      </c>
      <c r="C6732" s="2" t="s">
        <v>28731</v>
      </c>
      <c r="D6732" s="2" t="str">
        <f>"402-440-3923"</f>
        <v>402-440-3923</v>
      </c>
      <c r="E6732" s="2" t="s">
        <v>534</v>
      </c>
      <c r="F6732" s="2" t="s">
        <v>28351</v>
      </c>
      <c r="G6732" s="2" t="str">
        <f>"SR-8715"</f>
        <v>SR-8715</v>
      </c>
      <c r="H6732" s="2" t="s">
        <v>28732</v>
      </c>
      <c r="I6732" s="2" t="s">
        <v>28733</v>
      </c>
      <c r="K6732" s="2" t="s">
        <v>572</v>
      </c>
      <c r="L6732" s="2" t="s">
        <v>757</v>
      </c>
      <c r="M6732" s="2">
        <v>68516.0</v>
      </c>
      <c r="N6732" s="2" t="s">
        <v>21</v>
      </c>
    </row>
    <row r="6733" ht="15.75" customHeight="1">
      <c r="A6733" s="2">
        <v>2016.0</v>
      </c>
      <c r="B6733" s="2" t="s">
        <v>28734</v>
      </c>
      <c r="C6733" s="2" t="s">
        <v>28734</v>
      </c>
      <c r="D6733" s="2" t="str">
        <f>"8645132210"</f>
        <v>8645132210</v>
      </c>
      <c r="E6733" s="2" t="s">
        <v>326</v>
      </c>
      <c r="F6733" s="2" t="s">
        <v>6532</v>
      </c>
      <c r="G6733" s="2" t="str">
        <f>"SR-8960"</f>
        <v>SR-8960</v>
      </c>
      <c r="H6733" s="2" t="s">
        <v>28735</v>
      </c>
      <c r="I6733" s="2" t="s">
        <v>28736</v>
      </c>
      <c r="K6733" s="2" t="s">
        <v>421</v>
      </c>
      <c r="L6733" s="2" t="s">
        <v>422</v>
      </c>
      <c r="M6733" s="2">
        <v>85042.0</v>
      </c>
      <c r="N6733" s="2" t="s">
        <v>21</v>
      </c>
    </row>
    <row r="6734" ht="15.75" customHeight="1">
      <c r="A6734" s="2">
        <v>2016.0</v>
      </c>
      <c r="B6734" s="2" t="s">
        <v>28737</v>
      </c>
      <c r="C6734" s="2" t="s">
        <v>28738</v>
      </c>
      <c r="D6734" s="2" t="str">
        <f>"9014873562"</f>
        <v>9014873562</v>
      </c>
      <c r="E6734" s="2" t="s">
        <v>1702</v>
      </c>
      <c r="F6734" s="2" t="s">
        <v>28739</v>
      </c>
      <c r="G6734" s="2" t="str">
        <f>"SR-8912"</f>
        <v>SR-8912</v>
      </c>
      <c r="H6734" s="2" t="s">
        <v>28740</v>
      </c>
      <c r="I6734" s="2" t="s">
        <v>28741</v>
      </c>
      <c r="K6734" s="2" t="s">
        <v>882</v>
      </c>
      <c r="L6734" s="2" t="s">
        <v>279</v>
      </c>
      <c r="M6734" s="2">
        <v>38002.0</v>
      </c>
      <c r="N6734" s="2" t="s">
        <v>21</v>
      </c>
    </row>
    <row r="6735" ht="15.75" customHeight="1">
      <c r="A6735" s="2">
        <v>2016.0</v>
      </c>
      <c r="B6735" s="2" t="s">
        <v>28742</v>
      </c>
      <c r="C6735" s="2" t="s">
        <v>4694</v>
      </c>
      <c r="D6735" s="2" t="str">
        <f>"847-854-9459"</f>
        <v>847-854-9459</v>
      </c>
      <c r="E6735" s="2" t="s">
        <v>373</v>
      </c>
      <c r="F6735" s="2" t="s">
        <v>4696</v>
      </c>
      <c r="G6735" s="2" t="str">
        <f>"SR-8754"</f>
        <v>SR-8754</v>
      </c>
      <c r="H6735" s="2" t="s">
        <v>28743</v>
      </c>
      <c r="I6735" s="2" t="s">
        <v>4698</v>
      </c>
      <c r="K6735" s="2" t="s">
        <v>3279</v>
      </c>
      <c r="L6735" s="2" t="s">
        <v>105</v>
      </c>
      <c r="M6735" s="2">
        <v>60102.0</v>
      </c>
      <c r="N6735" s="2" t="s">
        <v>21</v>
      </c>
    </row>
    <row r="6736" ht="15.75" customHeight="1">
      <c r="A6736" s="2">
        <v>2016.0</v>
      </c>
      <c r="B6736" s="2" t="s">
        <v>28744</v>
      </c>
      <c r="C6736" s="2" t="s">
        <v>28744</v>
      </c>
      <c r="D6736" s="2" t="str">
        <f>"7143923719"</f>
        <v>7143923719</v>
      </c>
      <c r="E6736" s="2" t="s">
        <v>4555</v>
      </c>
      <c r="F6736" s="2" t="s">
        <v>28745</v>
      </c>
      <c r="G6736" s="2" t="str">
        <f>"SR-8962"</f>
        <v>SR-8962</v>
      </c>
      <c r="H6736" s="2" t="s">
        <v>28746</v>
      </c>
      <c r="I6736" s="2" t="s">
        <v>28747</v>
      </c>
      <c r="K6736" s="2" t="s">
        <v>24136</v>
      </c>
      <c r="L6736" s="2" t="s">
        <v>222</v>
      </c>
      <c r="M6736" s="2">
        <v>92620.0</v>
      </c>
      <c r="N6736" s="2" t="s">
        <v>21</v>
      </c>
    </row>
    <row r="6737" ht="15.75" customHeight="1">
      <c r="A6737" s="2">
        <v>2016.0</v>
      </c>
      <c r="B6737" s="2" t="s">
        <v>28748</v>
      </c>
      <c r="C6737" s="2" t="s">
        <v>28748</v>
      </c>
      <c r="D6737" s="2" t="str">
        <f>"3237423216"</f>
        <v>3237423216</v>
      </c>
      <c r="E6737" s="2" t="s">
        <v>5483</v>
      </c>
      <c r="F6737" s="2" t="s">
        <v>28749</v>
      </c>
      <c r="G6737" s="2" t="str">
        <f>"SR-8935"</f>
        <v>SR-8935</v>
      </c>
      <c r="H6737" s="2" t="s">
        <v>28750</v>
      </c>
      <c r="I6737" s="2" t="s">
        <v>28751</v>
      </c>
      <c r="K6737" s="2" t="s">
        <v>21053</v>
      </c>
      <c r="L6737" s="2" t="s">
        <v>222</v>
      </c>
      <c r="M6737" s="2">
        <v>90065.0</v>
      </c>
      <c r="N6737" s="2" t="s">
        <v>21</v>
      </c>
    </row>
    <row r="6738" ht="15.75" customHeight="1">
      <c r="A6738" s="2">
        <v>2016.0</v>
      </c>
      <c r="B6738" s="2" t="s">
        <v>28752</v>
      </c>
      <c r="C6738" s="2" t="s">
        <v>28753</v>
      </c>
      <c r="D6738" s="2" t="str">
        <f>"5157835196"</f>
        <v>5157835196</v>
      </c>
      <c r="E6738" s="2" t="s">
        <v>28754</v>
      </c>
      <c r="F6738" s="2" t="s">
        <v>2429</v>
      </c>
      <c r="G6738" s="2" t="str">
        <f>"SR-8936"</f>
        <v>SR-8936</v>
      </c>
      <c r="H6738" s="2" t="s">
        <v>28755</v>
      </c>
      <c r="I6738" s="2" t="s">
        <v>28756</v>
      </c>
      <c r="K6738" s="2" t="s">
        <v>1996</v>
      </c>
      <c r="L6738" s="2" t="s">
        <v>560</v>
      </c>
      <c r="M6738" s="2">
        <v>50310.0</v>
      </c>
      <c r="N6738" s="2" t="s">
        <v>21</v>
      </c>
    </row>
    <row r="6739" ht="15.75" customHeight="1">
      <c r="A6739" s="2">
        <v>2016.0</v>
      </c>
      <c r="B6739" s="2" t="s">
        <v>28757</v>
      </c>
      <c r="C6739" s="2" t="s">
        <v>28758</v>
      </c>
      <c r="D6739" s="2" t="str">
        <f>"772-567-0462"</f>
        <v>772-567-0462</v>
      </c>
      <c r="E6739" s="2" t="s">
        <v>239</v>
      </c>
      <c r="F6739" s="2" t="s">
        <v>3903</v>
      </c>
      <c r="G6739" s="2" t="str">
        <f>"SR-8920"</f>
        <v>SR-8920</v>
      </c>
      <c r="H6739" s="2" t="s">
        <v>28759</v>
      </c>
      <c r="I6739" s="2" t="s">
        <v>20329</v>
      </c>
      <c r="K6739" s="2" t="s">
        <v>11560</v>
      </c>
      <c r="L6739" s="2" t="s">
        <v>208</v>
      </c>
      <c r="M6739" s="2">
        <v>32966.0</v>
      </c>
      <c r="N6739" s="2" t="s">
        <v>21</v>
      </c>
    </row>
    <row r="6740" ht="15.75" customHeight="1">
      <c r="A6740" s="2">
        <v>2016.0</v>
      </c>
      <c r="B6740" s="2" t="s">
        <v>20328</v>
      </c>
      <c r="C6740" s="2" t="s">
        <v>20328</v>
      </c>
      <c r="D6740" s="2" t="str">
        <f>"7725670462"</f>
        <v>7725670462</v>
      </c>
      <c r="E6740" s="2" t="s">
        <v>282</v>
      </c>
      <c r="F6740" s="2" t="s">
        <v>3903</v>
      </c>
      <c r="G6740" s="2" t="str">
        <f>"SR-6121"</f>
        <v>SR-6121</v>
      </c>
      <c r="H6740" s="2" t="s">
        <v>4917</v>
      </c>
      <c r="I6740" s="2" t="s">
        <v>20329</v>
      </c>
      <c r="K6740" s="2" t="s">
        <v>11560</v>
      </c>
      <c r="L6740" s="2" t="s">
        <v>208</v>
      </c>
      <c r="M6740" s="2">
        <v>32966.0</v>
      </c>
      <c r="N6740" s="2" t="s">
        <v>21</v>
      </c>
    </row>
    <row r="6741" ht="15.75" customHeight="1">
      <c r="A6741" s="2">
        <v>2016.0</v>
      </c>
      <c r="B6741" s="2" t="s">
        <v>3607</v>
      </c>
      <c r="C6741" s="2" t="s">
        <v>28760</v>
      </c>
      <c r="D6741" s="2" t="str">
        <f>"541-680-8373"</f>
        <v>541-680-8373</v>
      </c>
      <c r="E6741" s="2" t="s">
        <v>15</v>
      </c>
      <c r="F6741" s="2" t="s">
        <v>28761</v>
      </c>
      <c r="G6741" s="2" t="str">
        <f>"SR-8964"</f>
        <v>SR-8964</v>
      </c>
      <c r="H6741" s="2" t="s">
        <v>28762</v>
      </c>
      <c r="I6741" s="2" t="s">
        <v>28763</v>
      </c>
      <c r="K6741" s="2" t="s">
        <v>2015</v>
      </c>
      <c r="L6741" s="2" t="s">
        <v>2389</v>
      </c>
      <c r="M6741" s="2">
        <v>97914.0</v>
      </c>
      <c r="N6741" s="2" t="s">
        <v>21</v>
      </c>
    </row>
    <row r="6742" ht="15.75" customHeight="1">
      <c r="A6742" s="2">
        <v>2016.0</v>
      </c>
      <c r="B6742" s="2" t="s">
        <v>28764</v>
      </c>
      <c r="C6742" s="2" t="s">
        <v>28764</v>
      </c>
      <c r="D6742" s="2" t="str">
        <f>"6602876996"</f>
        <v>6602876996</v>
      </c>
      <c r="E6742" s="2" t="s">
        <v>456</v>
      </c>
      <c r="F6742" s="2" t="s">
        <v>28765</v>
      </c>
      <c r="G6742" s="2" t="str">
        <f>"SR-8842"</f>
        <v>SR-8842</v>
      </c>
      <c r="H6742" s="2" t="s">
        <v>28766</v>
      </c>
      <c r="I6742" s="2" t="s">
        <v>28767</v>
      </c>
      <c r="K6742" s="2" t="s">
        <v>5412</v>
      </c>
      <c r="L6742" s="2" t="s">
        <v>214</v>
      </c>
      <c r="M6742" s="2">
        <v>65301.0</v>
      </c>
      <c r="N6742" s="2" t="s">
        <v>21</v>
      </c>
    </row>
    <row r="6743" ht="15.75" customHeight="1">
      <c r="A6743" s="2">
        <v>2016.0</v>
      </c>
      <c r="B6743" s="2" t="s">
        <v>28768</v>
      </c>
      <c r="C6743" s="2" t="s">
        <v>28769</v>
      </c>
      <c r="D6743" s="2" t="str">
        <f>"469-400-2925"</f>
        <v>469-400-2925</v>
      </c>
      <c r="E6743" s="2" t="s">
        <v>10057</v>
      </c>
      <c r="F6743" s="2" t="s">
        <v>28770</v>
      </c>
      <c r="G6743" s="2" t="str">
        <f>"SR-8967"</f>
        <v>SR-8967</v>
      </c>
      <c r="H6743" s="2" t="s">
        <v>28771</v>
      </c>
      <c r="I6743" s="2" t="s">
        <v>28772</v>
      </c>
      <c r="K6743" s="2" t="s">
        <v>615</v>
      </c>
      <c r="L6743" s="2" t="s">
        <v>172</v>
      </c>
      <c r="M6743" s="2">
        <v>75071.0</v>
      </c>
      <c r="N6743" s="2" t="s">
        <v>21</v>
      </c>
    </row>
    <row r="6744" ht="15.75" customHeight="1">
      <c r="A6744" s="2">
        <v>2016.0</v>
      </c>
      <c r="B6744" s="2" t="s">
        <v>28773</v>
      </c>
      <c r="C6744" s="2" t="s">
        <v>28773</v>
      </c>
      <c r="D6744" s="2" t="str">
        <f>"6262771270"</f>
        <v>6262771270</v>
      </c>
      <c r="E6744" s="2" t="s">
        <v>2752</v>
      </c>
      <c r="F6744" s="2" t="s">
        <v>28774</v>
      </c>
      <c r="G6744" s="2" t="str">
        <f>"SR-8965"</f>
        <v>SR-8965</v>
      </c>
      <c r="H6744" s="2" t="s">
        <v>28775</v>
      </c>
      <c r="I6744" s="2" t="s">
        <v>28776</v>
      </c>
      <c r="K6744" s="2" t="s">
        <v>11105</v>
      </c>
      <c r="L6744" s="2" t="s">
        <v>222</v>
      </c>
      <c r="M6744" s="2">
        <v>91745.0</v>
      </c>
      <c r="N6744" s="2" t="s">
        <v>21</v>
      </c>
    </row>
    <row r="6745" ht="15.75" customHeight="1">
      <c r="A6745" s="2">
        <v>2016.0</v>
      </c>
      <c r="B6745" s="2" t="s">
        <v>28777</v>
      </c>
      <c r="C6745" s="2" t="s">
        <v>28778</v>
      </c>
      <c r="D6745" s="2" t="str">
        <f>"9312841094"</f>
        <v>9312841094</v>
      </c>
      <c r="E6745" s="2" t="s">
        <v>28779</v>
      </c>
      <c r="F6745" s="2" t="s">
        <v>28780</v>
      </c>
      <c r="G6745" s="2" t="str">
        <f>"SR-8970"</f>
        <v>SR-8970</v>
      </c>
      <c r="H6745" s="2" t="s">
        <v>28781</v>
      </c>
      <c r="I6745" s="2" t="s">
        <v>28782</v>
      </c>
      <c r="K6745" s="2" t="s">
        <v>4107</v>
      </c>
      <c r="L6745" s="2" t="s">
        <v>279</v>
      </c>
      <c r="M6745" s="2">
        <v>38574.0</v>
      </c>
      <c r="N6745" s="2" t="s">
        <v>21</v>
      </c>
    </row>
    <row r="6746" ht="15.75" customHeight="1">
      <c r="A6746" s="2">
        <v>2016.0</v>
      </c>
      <c r="B6746" s="2" t="s">
        <v>28783</v>
      </c>
      <c r="C6746" s="2" t="s">
        <v>28784</v>
      </c>
      <c r="D6746" s="2" t="str">
        <f>"331-330-6917"</f>
        <v>331-330-6917</v>
      </c>
      <c r="E6746" s="2" t="s">
        <v>988</v>
      </c>
      <c r="F6746" s="2" t="s">
        <v>28785</v>
      </c>
      <c r="G6746" s="2" t="str">
        <f>"SR-8972"</f>
        <v>SR-8972</v>
      </c>
      <c r="H6746" s="2" t="s">
        <v>28786</v>
      </c>
      <c r="I6746" s="2" t="s">
        <v>28787</v>
      </c>
      <c r="K6746" s="2" t="s">
        <v>6248</v>
      </c>
      <c r="L6746" s="2" t="s">
        <v>105</v>
      </c>
      <c r="M6746" s="2">
        <v>60126.0</v>
      </c>
      <c r="N6746" s="2" t="s">
        <v>21</v>
      </c>
    </row>
    <row r="6747" ht="15.75" customHeight="1">
      <c r="A6747" s="2">
        <v>2016.0</v>
      </c>
      <c r="B6747" s="2" t="s">
        <v>28788</v>
      </c>
      <c r="C6747" s="2" t="s">
        <v>28789</v>
      </c>
      <c r="D6747" s="2" t="str">
        <f>"405-609-0222"</f>
        <v>405-609-0222</v>
      </c>
      <c r="E6747" s="2" t="s">
        <v>261</v>
      </c>
      <c r="F6747" s="2" t="s">
        <v>28513</v>
      </c>
      <c r="G6747" s="2" t="str">
        <f>"SR-7833"</f>
        <v>SR-7833</v>
      </c>
      <c r="H6747" s="2" t="s">
        <v>28790</v>
      </c>
      <c r="I6747" s="2" t="s">
        <v>28791</v>
      </c>
      <c r="K6747" s="2" t="s">
        <v>13776</v>
      </c>
      <c r="L6747" s="2" t="s">
        <v>840</v>
      </c>
      <c r="M6747" s="2">
        <v>73044.0</v>
      </c>
      <c r="N6747" s="2" t="s">
        <v>21</v>
      </c>
    </row>
    <row r="6748" ht="15.75" customHeight="1">
      <c r="A6748" s="2">
        <v>2016.0</v>
      </c>
      <c r="B6748" s="2" t="s">
        <v>28792</v>
      </c>
      <c r="C6748" s="2" t="s">
        <v>28793</v>
      </c>
      <c r="D6748" s="2" t="str">
        <f>"612-913-0005"</f>
        <v>612-913-0005</v>
      </c>
      <c r="E6748" s="2" t="s">
        <v>2947</v>
      </c>
      <c r="F6748" s="2" t="s">
        <v>28794</v>
      </c>
      <c r="G6748" s="2" t="str">
        <f>"SR-8974"</f>
        <v>SR-8974</v>
      </c>
      <c r="H6748" s="2" t="s">
        <v>28795</v>
      </c>
      <c r="L6748" s="2" t="s">
        <v>62</v>
      </c>
      <c r="N6748" s="2" t="s">
        <v>21</v>
      </c>
    </row>
    <row r="6749" ht="15.75" customHeight="1">
      <c r="A6749" s="2">
        <v>2016.0</v>
      </c>
      <c r="B6749" s="2" t="s">
        <v>19275</v>
      </c>
      <c r="C6749" s="2" t="s">
        <v>28796</v>
      </c>
      <c r="D6749" s="2" t="str">
        <f>"6205501286"</f>
        <v>6205501286</v>
      </c>
      <c r="E6749" s="2" t="s">
        <v>160</v>
      </c>
      <c r="F6749" s="2" t="s">
        <v>19277</v>
      </c>
      <c r="G6749" s="2" t="str">
        <f>"SR-7950"</f>
        <v>SR-7950</v>
      </c>
      <c r="H6749" s="2" t="s">
        <v>28797</v>
      </c>
      <c r="I6749" s="2" t="s">
        <v>19279</v>
      </c>
      <c r="K6749" s="2" t="s">
        <v>19280</v>
      </c>
      <c r="L6749" s="2" t="s">
        <v>272</v>
      </c>
      <c r="M6749" s="2">
        <v>67024.0</v>
      </c>
      <c r="N6749" s="2" t="s">
        <v>21</v>
      </c>
    </row>
    <row r="6750" ht="15.75" customHeight="1">
      <c r="A6750" s="2">
        <v>2016.0</v>
      </c>
      <c r="B6750" s="2" t="s">
        <v>28798</v>
      </c>
      <c r="C6750" s="2" t="s">
        <v>28798</v>
      </c>
      <c r="D6750" s="2" t="str">
        <f>"4026610997"</f>
        <v>4026610997</v>
      </c>
      <c r="E6750" s="2" t="s">
        <v>1208</v>
      </c>
      <c r="F6750" s="2" t="s">
        <v>250</v>
      </c>
      <c r="G6750" s="2" t="str">
        <f>"SR-8852"</f>
        <v>SR-8852</v>
      </c>
      <c r="H6750" s="2" t="s">
        <v>28799</v>
      </c>
      <c r="I6750" s="2" t="s">
        <v>28800</v>
      </c>
      <c r="K6750" s="2" t="s">
        <v>28801</v>
      </c>
      <c r="L6750" s="2" t="s">
        <v>757</v>
      </c>
      <c r="M6750" s="2">
        <v>68108.0</v>
      </c>
      <c r="N6750" s="2" t="s">
        <v>21</v>
      </c>
    </row>
    <row r="6751" ht="15.75" customHeight="1">
      <c r="A6751" s="2">
        <v>2016.0</v>
      </c>
      <c r="B6751" s="2" t="s">
        <v>28802</v>
      </c>
      <c r="C6751" s="2" t="s">
        <v>28803</v>
      </c>
      <c r="D6751" s="2" t="str">
        <f>"6082889433"</f>
        <v>6082889433</v>
      </c>
      <c r="E6751" s="2" t="s">
        <v>28804</v>
      </c>
      <c r="F6751" s="2" t="s">
        <v>28805</v>
      </c>
      <c r="G6751" s="2" t="str">
        <f>"SR-8760"</f>
        <v>SR-8760</v>
      </c>
      <c r="H6751" s="2" t="s">
        <v>28806</v>
      </c>
      <c r="I6751" s="2" t="s">
        <v>28807</v>
      </c>
      <c r="K6751" s="2" t="s">
        <v>28808</v>
      </c>
      <c r="L6751" s="2" t="s">
        <v>193</v>
      </c>
      <c r="M6751" s="2">
        <v>53711.0</v>
      </c>
      <c r="N6751" s="2" t="s">
        <v>21</v>
      </c>
    </row>
    <row r="6752" ht="15.75" customHeight="1">
      <c r="A6752" s="2">
        <v>2016.0</v>
      </c>
      <c r="B6752" s="2" t="s">
        <v>28809</v>
      </c>
      <c r="C6752" s="2" t="s">
        <v>28810</v>
      </c>
      <c r="D6752" s="2" t="str">
        <f>"6617551236"</f>
        <v>6617551236</v>
      </c>
      <c r="E6752" s="2" t="s">
        <v>137</v>
      </c>
      <c r="F6752" s="2" t="s">
        <v>28811</v>
      </c>
      <c r="G6752" s="2" t="str">
        <f>"SR-8983"</f>
        <v>SR-8983</v>
      </c>
      <c r="H6752" s="2" t="s">
        <v>28812</v>
      </c>
      <c r="I6752" s="2" t="s">
        <v>28813</v>
      </c>
      <c r="K6752" s="2" t="s">
        <v>28814</v>
      </c>
      <c r="L6752" s="2" t="s">
        <v>222</v>
      </c>
      <c r="M6752" s="2">
        <v>91381.0</v>
      </c>
      <c r="N6752" s="2" t="s">
        <v>21</v>
      </c>
    </row>
    <row r="6753" ht="15.75" customHeight="1">
      <c r="A6753" s="2">
        <v>2016.0</v>
      </c>
      <c r="B6753" s="2" t="s">
        <v>28809</v>
      </c>
      <c r="C6753" s="2" t="s">
        <v>28809</v>
      </c>
      <c r="D6753" s="2" t="str">
        <f>"6615103972"</f>
        <v>6615103972</v>
      </c>
      <c r="E6753" s="2" t="s">
        <v>2243</v>
      </c>
      <c r="F6753" s="2" t="s">
        <v>28811</v>
      </c>
      <c r="G6753" s="2" t="str">
        <f>"SR-8985"</f>
        <v>SR-8985</v>
      </c>
      <c r="H6753" s="2" t="s">
        <v>28815</v>
      </c>
      <c r="I6753" s="2" t="s">
        <v>28813</v>
      </c>
      <c r="K6753" s="2" t="s">
        <v>28814</v>
      </c>
      <c r="L6753" s="2" t="s">
        <v>222</v>
      </c>
      <c r="M6753" s="2">
        <v>91381.0</v>
      </c>
      <c r="N6753" s="2" t="s">
        <v>21</v>
      </c>
    </row>
    <row r="6754" ht="15.75" customHeight="1">
      <c r="A6754" s="2">
        <v>2016.0</v>
      </c>
      <c r="B6754" s="2" t="s">
        <v>28816</v>
      </c>
      <c r="C6754" s="2" t="s">
        <v>28816</v>
      </c>
      <c r="D6754" s="2" t="str">
        <f>"9526077837"</f>
        <v>9526077837</v>
      </c>
      <c r="E6754" s="2" t="s">
        <v>28817</v>
      </c>
      <c r="F6754" s="2" t="s">
        <v>14349</v>
      </c>
      <c r="G6754" s="2" t="str">
        <f>"SR-8973"</f>
        <v>SR-8973</v>
      </c>
      <c r="H6754" s="2" t="s">
        <v>28818</v>
      </c>
      <c r="I6754" s="2" t="s">
        <v>28819</v>
      </c>
      <c r="K6754" s="2" t="s">
        <v>28820</v>
      </c>
      <c r="L6754" s="2" t="s">
        <v>62</v>
      </c>
      <c r="M6754" s="2">
        <v>55349.0</v>
      </c>
      <c r="N6754" s="2" t="s">
        <v>21</v>
      </c>
    </row>
    <row r="6755" ht="15.75" customHeight="1">
      <c r="A6755" s="2">
        <v>2016.0</v>
      </c>
      <c r="B6755" s="2" t="s">
        <v>28821</v>
      </c>
      <c r="D6755" s="2" t="str">
        <f>""</f>
        <v/>
      </c>
      <c r="E6755" s="2" t="s">
        <v>301</v>
      </c>
      <c r="F6755" s="2" t="s">
        <v>320</v>
      </c>
      <c r="G6755" s="2" t="str">
        <f>"SR-8309"</f>
        <v>SR-8309</v>
      </c>
      <c r="H6755" s="2" t="s">
        <v>28822</v>
      </c>
      <c r="N6755" s="2" t="s">
        <v>21</v>
      </c>
    </row>
    <row r="6756" ht="15.75" customHeight="1">
      <c r="A6756" s="2">
        <v>2016.0</v>
      </c>
      <c r="B6756" s="2" t="s">
        <v>28823</v>
      </c>
      <c r="C6756" s="2" t="s">
        <v>28824</v>
      </c>
      <c r="D6756" s="2" t="str">
        <f>"3163052676"</f>
        <v>3163052676</v>
      </c>
      <c r="E6756" s="2" t="s">
        <v>2401</v>
      </c>
      <c r="F6756" s="2" t="s">
        <v>645</v>
      </c>
      <c r="G6756" s="2" t="str">
        <f>"SR-8990"</f>
        <v>SR-8990</v>
      </c>
      <c r="H6756" s="2" t="s">
        <v>28825</v>
      </c>
      <c r="I6756" s="2" t="s">
        <v>28826</v>
      </c>
      <c r="K6756" s="2" t="s">
        <v>606</v>
      </c>
      <c r="L6756" s="2" t="s">
        <v>272</v>
      </c>
      <c r="M6756" s="2">
        <v>67228.0</v>
      </c>
      <c r="N6756" s="2" t="s">
        <v>21</v>
      </c>
    </row>
    <row r="6757" ht="15.75" customHeight="1">
      <c r="A6757" s="2">
        <v>2016.0</v>
      </c>
      <c r="B6757" s="2" t="s">
        <v>21467</v>
      </c>
      <c r="C6757" s="2" t="s">
        <v>28827</v>
      </c>
      <c r="D6757" s="2" t="str">
        <f>"719-694-8699"</f>
        <v>719-694-8699</v>
      </c>
      <c r="E6757" s="2" t="s">
        <v>456</v>
      </c>
      <c r="F6757" s="2" t="s">
        <v>21469</v>
      </c>
      <c r="G6757" s="2" t="str">
        <f>"SR-8812"</f>
        <v>SR-8812</v>
      </c>
      <c r="H6757" s="2" t="s">
        <v>28828</v>
      </c>
      <c r="I6757" s="2" t="s">
        <v>21471</v>
      </c>
      <c r="K6757" s="2" t="s">
        <v>809</v>
      </c>
      <c r="L6757" s="2" t="s">
        <v>157</v>
      </c>
      <c r="M6757" s="2">
        <v>80920.0</v>
      </c>
      <c r="N6757" s="2" t="s">
        <v>21</v>
      </c>
    </row>
    <row r="6758" ht="15.75" customHeight="1">
      <c r="A6758" s="2">
        <v>2016.0</v>
      </c>
      <c r="B6758" s="2" t="s">
        <v>28829</v>
      </c>
      <c r="C6758" s="2" t="s">
        <v>28829</v>
      </c>
      <c r="D6758" s="2" t="str">
        <f>"303-332-2222"</f>
        <v>303-332-2222</v>
      </c>
      <c r="E6758" s="2" t="s">
        <v>88</v>
      </c>
      <c r="F6758" s="2" t="s">
        <v>28830</v>
      </c>
      <c r="G6758" s="2" t="str">
        <f>"SR-8993"</f>
        <v>SR-8993</v>
      </c>
      <c r="H6758" s="2" t="s">
        <v>28831</v>
      </c>
      <c r="I6758" s="2" t="s">
        <v>28832</v>
      </c>
      <c r="K6758" s="2" t="s">
        <v>1558</v>
      </c>
      <c r="L6758" s="2" t="s">
        <v>157</v>
      </c>
      <c r="M6758" s="2">
        <v>80634.0</v>
      </c>
      <c r="N6758" s="2" t="s">
        <v>21</v>
      </c>
    </row>
    <row r="6759" ht="15.75" customHeight="1">
      <c r="A6759" s="2">
        <v>2016.0</v>
      </c>
      <c r="B6759" s="2" t="s">
        <v>28833</v>
      </c>
      <c r="D6759" s="2" t="str">
        <f>""</f>
        <v/>
      </c>
      <c r="E6759" s="2" t="s">
        <v>1208</v>
      </c>
      <c r="F6759" s="2" t="s">
        <v>639</v>
      </c>
      <c r="G6759" s="2" t="str">
        <f>"SR-8995"</f>
        <v>SR-8995</v>
      </c>
      <c r="H6759" s="2" t="s">
        <v>11761</v>
      </c>
    </row>
    <row r="6760" ht="15.75" customHeight="1">
      <c r="A6760" s="2">
        <v>2016.0</v>
      </c>
      <c r="B6760" s="2" t="s">
        <v>28834</v>
      </c>
      <c r="C6760" s="2" t="s">
        <v>28835</v>
      </c>
      <c r="D6760" s="2" t="str">
        <f>"714-283-0139"</f>
        <v>714-283-0139</v>
      </c>
      <c r="E6760" s="2" t="s">
        <v>15626</v>
      </c>
      <c r="F6760" s="2" t="s">
        <v>28836</v>
      </c>
      <c r="G6760" s="2" t="str">
        <f>"SR-8996"</f>
        <v>SR-8996</v>
      </c>
      <c r="H6760" s="2" t="s">
        <v>28837</v>
      </c>
      <c r="I6760" s="2" t="s">
        <v>28838</v>
      </c>
      <c r="K6760" s="2" t="s">
        <v>4026</v>
      </c>
      <c r="L6760" s="2" t="s">
        <v>222</v>
      </c>
      <c r="M6760" s="2">
        <v>92807.0</v>
      </c>
      <c r="N6760" s="2" t="s">
        <v>21</v>
      </c>
    </row>
    <row r="6761" ht="15.75" customHeight="1">
      <c r="A6761" s="2">
        <v>2016.0</v>
      </c>
      <c r="B6761" s="2" t="s">
        <v>28839</v>
      </c>
      <c r="C6761" s="2" t="s">
        <v>28839</v>
      </c>
      <c r="D6761" s="2" t="str">
        <f>"7157922922"</f>
        <v>7157922922</v>
      </c>
      <c r="E6761" s="2" t="s">
        <v>922</v>
      </c>
      <c r="F6761" s="2" t="s">
        <v>28840</v>
      </c>
      <c r="G6761" s="2" t="str">
        <f>"SR-8999"</f>
        <v>SR-8999</v>
      </c>
      <c r="H6761" s="2" t="s">
        <v>28841</v>
      </c>
      <c r="I6761" s="2" t="s">
        <v>28842</v>
      </c>
      <c r="K6761" s="2" t="s">
        <v>28843</v>
      </c>
      <c r="L6761" s="2" t="s">
        <v>193</v>
      </c>
      <c r="M6761" s="2">
        <v>54011.0</v>
      </c>
      <c r="N6761" s="2" t="s">
        <v>21</v>
      </c>
    </row>
    <row r="6762" ht="15.75" customHeight="1">
      <c r="A6762" s="2">
        <v>2016.0</v>
      </c>
      <c r="B6762" s="2" t="s">
        <v>28844</v>
      </c>
      <c r="C6762" s="2" t="s">
        <v>28845</v>
      </c>
      <c r="D6762" s="2" t="str">
        <f>"8037986171"</f>
        <v>8037986171</v>
      </c>
      <c r="E6762" s="2" t="s">
        <v>580</v>
      </c>
      <c r="F6762" s="2" t="s">
        <v>3301</v>
      </c>
      <c r="G6762" s="2" t="str">
        <f>"SR-8992"</f>
        <v>SR-8992</v>
      </c>
      <c r="H6762" s="2" t="s">
        <v>28846</v>
      </c>
      <c r="I6762" s="2" t="s">
        <v>28847</v>
      </c>
      <c r="K6762" s="2" t="s">
        <v>2750</v>
      </c>
      <c r="L6762" s="2" t="s">
        <v>55</v>
      </c>
      <c r="M6762" s="2">
        <v>29210.0</v>
      </c>
      <c r="N6762" s="2" t="s">
        <v>21</v>
      </c>
    </row>
    <row r="6763" ht="15.75" customHeight="1">
      <c r="A6763" s="2">
        <v>2016.0</v>
      </c>
      <c r="B6763" s="2" t="s">
        <v>28844</v>
      </c>
      <c r="C6763" s="2" t="s">
        <v>28848</v>
      </c>
      <c r="D6763" s="2" t="str">
        <f>"(803)997-1138"</f>
        <v>(803)997-1138</v>
      </c>
      <c r="E6763" s="2" t="s">
        <v>926</v>
      </c>
      <c r="F6763" s="2" t="s">
        <v>3301</v>
      </c>
      <c r="G6763" s="2" t="str">
        <f>"SR-8994"</f>
        <v>SR-8994</v>
      </c>
      <c r="H6763" s="2" t="s">
        <v>28849</v>
      </c>
      <c r="I6763" s="2" t="s">
        <v>28847</v>
      </c>
      <c r="K6763" s="2" t="s">
        <v>2750</v>
      </c>
      <c r="L6763" s="2" t="s">
        <v>55</v>
      </c>
      <c r="M6763" s="2">
        <v>29210.0</v>
      </c>
      <c r="N6763" s="2" t="s">
        <v>21</v>
      </c>
    </row>
    <row r="6764" ht="15.75" customHeight="1">
      <c r="A6764" s="2">
        <v>2016.0</v>
      </c>
      <c r="B6764" s="2" t="s">
        <v>28850</v>
      </c>
      <c r="C6764" s="2" t="s">
        <v>28850</v>
      </c>
      <c r="D6764" s="2" t="str">
        <f>"(716) 694-4043"</f>
        <v>(716) 694-4043</v>
      </c>
      <c r="E6764" s="2" t="s">
        <v>11088</v>
      </c>
      <c r="F6764" s="2" t="s">
        <v>28851</v>
      </c>
      <c r="G6764" s="2" t="str">
        <f>"SR-9000"</f>
        <v>SR-9000</v>
      </c>
      <c r="H6764" s="2" t="s">
        <v>28852</v>
      </c>
      <c r="I6764" s="2" t="s">
        <v>28853</v>
      </c>
      <c r="K6764" s="2" t="s">
        <v>28854</v>
      </c>
      <c r="L6764" s="2" t="s">
        <v>142</v>
      </c>
      <c r="M6764" s="2">
        <v>14150.0</v>
      </c>
      <c r="N6764" s="2" t="s">
        <v>21</v>
      </c>
    </row>
    <row r="6765" ht="15.75" customHeight="1">
      <c r="A6765" s="2">
        <v>2016.0</v>
      </c>
      <c r="B6765" s="2" t="s">
        <v>28855</v>
      </c>
      <c r="D6765" s="2" t="str">
        <f>""</f>
        <v/>
      </c>
      <c r="E6765" s="2" t="s">
        <v>28856</v>
      </c>
      <c r="F6765" s="2" t="s">
        <v>28857</v>
      </c>
      <c r="G6765" s="2" t="str">
        <f>"SR-8954"</f>
        <v>SR-8954</v>
      </c>
      <c r="H6765" s="2" t="s">
        <v>28858</v>
      </c>
      <c r="N6765" s="2" t="s">
        <v>21</v>
      </c>
    </row>
    <row r="6766" ht="15.75" customHeight="1">
      <c r="A6766" s="2">
        <v>2016.0</v>
      </c>
      <c r="B6766" s="2" t="s">
        <v>28859</v>
      </c>
      <c r="C6766" s="2" t="s">
        <v>28860</v>
      </c>
      <c r="D6766" s="2" t="str">
        <f>"2054809465"</f>
        <v>2054809465</v>
      </c>
      <c r="E6766" s="2" t="s">
        <v>160</v>
      </c>
      <c r="F6766" s="2" t="s">
        <v>6245</v>
      </c>
      <c r="G6766" s="2" t="str">
        <f>"SR-8837"</f>
        <v>SR-8837</v>
      </c>
      <c r="H6766" s="2" t="s">
        <v>28861</v>
      </c>
      <c r="I6766" s="2" t="s">
        <v>28862</v>
      </c>
      <c r="K6766" s="2" t="s">
        <v>1173</v>
      </c>
      <c r="L6766" s="2" t="s">
        <v>539</v>
      </c>
      <c r="M6766" s="2">
        <v>35242.0</v>
      </c>
      <c r="N6766" s="2" t="s">
        <v>21</v>
      </c>
    </row>
    <row r="6767" ht="15.75" customHeight="1">
      <c r="A6767" s="2">
        <v>2016.0</v>
      </c>
      <c r="B6767" s="2" t="s">
        <v>28863</v>
      </c>
      <c r="C6767" s="2" t="s">
        <v>28864</v>
      </c>
      <c r="D6767" s="2" t="str">
        <f>"307-413-5892"</f>
        <v>307-413-5892</v>
      </c>
      <c r="E6767" s="2" t="s">
        <v>28865</v>
      </c>
      <c r="F6767" s="2" t="s">
        <v>6463</v>
      </c>
      <c r="G6767" s="2" t="str">
        <f>"SR-8874"</f>
        <v>SR-8874</v>
      </c>
      <c r="H6767" s="2" t="s">
        <v>28866</v>
      </c>
      <c r="I6767" s="2" t="s">
        <v>6465</v>
      </c>
      <c r="K6767" s="2" t="s">
        <v>6466</v>
      </c>
      <c r="L6767" s="2" t="s">
        <v>1722</v>
      </c>
      <c r="M6767" s="2">
        <v>39120.0</v>
      </c>
      <c r="N6767" s="2" t="s">
        <v>21</v>
      </c>
    </row>
    <row r="6768" ht="15.75" customHeight="1">
      <c r="A6768" s="2">
        <v>2016.0</v>
      </c>
      <c r="B6768" s="2" t="s">
        <v>28867</v>
      </c>
      <c r="C6768" s="2" t="s">
        <v>28868</v>
      </c>
      <c r="D6768" s="2" t="str">
        <f>"719-287-7464"</f>
        <v>719-287-7464</v>
      </c>
      <c r="E6768" s="2" t="s">
        <v>2412</v>
      </c>
      <c r="F6768" s="2" t="s">
        <v>28869</v>
      </c>
      <c r="G6768" s="2" t="str">
        <f>"SR-9008"</f>
        <v>SR-9008</v>
      </c>
      <c r="H6768" s="2" t="s">
        <v>28870</v>
      </c>
      <c r="I6768" s="2" t="s">
        <v>28871</v>
      </c>
      <c r="K6768" s="2" t="s">
        <v>809</v>
      </c>
      <c r="L6768" s="2" t="s">
        <v>157</v>
      </c>
      <c r="M6768" s="2">
        <v>80911.0</v>
      </c>
      <c r="N6768" s="2" t="s">
        <v>21</v>
      </c>
    </row>
    <row r="6769" ht="15.75" customHeight="1">
      <c r="A6769" s="2">
        <v>2016.0</v>
      </c>
      <c r="B6769" s="2" t="s">
        <v>28872</v>
      </c>
      <c r="C6769" s="2" t="s">
        <v>28872</v>
      </c>
      <c r="D6769" s="2" t="str">
        <f>"970-227-0157"</f>
        <v>970-227-0157</v>
      </c>
      <c r="E6769" s="2" t="s">
        <v>3778</v>
      </c>
      <c r="F6769" s="2" t="s">
        <v>2279</v>
      </c>
      <c r="G6769" s="2" t="str">
        <f>"SR-8916"</f>
        <v>SR-8916</v>
      </c>
      <c r="H6769" s="2" t="s">
        <v>28873</v>
      </c>
      <c r="I6769" s="2" t="s">
        <v>28874</v>
      </c>
      <c r="K6769" s="2" t="s">
        <v>1048</v>
      </c>
      <c r="L6769" s="2" t="s">
        <v>157</v>
      </c>
      <c r="M6769" s="2">
        <v>80538.0</v>
      </c>
      <c r="N6769" s="2" t="s">
        <v>21</v>
      </c>
    </row>
    <row r="6770" ht="15.75" customHeight="1">
      <c r="A6770" s="2">
        <v>2016.0</v>
      </c>
      <c r="B6770" s="2" t="s">
        <v>28875</v>
      </c>
      <c r="C6770" s="2" t="s">
        <v>28875</v>
      </c>
      <c r="D6770" s="2" t="str">
        <f>"443-397-5432"</f>
        <v>443-397-5432</v>
      </c>
      <c r="E6770" s="2" t="s">
        <v>22604</v>
      </c>
      <c r="F6770" s="2" t="s">
        <v>28876</v>
      </c>
      <c r="G6770" s="2" t="str">
        <f>"SR-8976"</f>
        <v>SR-8976</v>
      </c>
      <c r="H6770" s="2" t="s">
        <v>28877</v>
      </c>
      <c r="I6770" s="2" t="s">
        <v>28878</v>
      </c>
      <c r="K6770" s="2" t="s">
        <v>28879</v>
      </c>
      <c r="L6770" s="2" t="s">
        <v>1868</v>
      </c>
      <c r="M6770" s="2">
        <v>21804.0</v>
      </c>
      <c r="N6770" s="2" t="s">
        <v>21</v>
      </c>
    </row>
    <row r="6771" ht="15.75" customHeight="1">
      <c r="A6771" s="2">
        <v>2016.0</v>
      </c>
      <c r="B6771" s="2" t="s">
        <v>28880</v>
      </c>
      <c r="C6771" s="2" t="s">
        <v>28881</v>
      </c>
      <c r="D6771" s="2" t="str">
        <f>"5408302478"</f>
        <v>5408302478</v>
      </c>
      <c r="E6771" s="2" t="s">
        <v>2433</v>
      </c>
      <c r="F6771" s="2" t="s">
        <v>543</v>
      </c>
      <c r="G6771" s="2" t="str">
        <f>"SR-9012"</f>
        <v>SR-9012</v>
      </c>
      <c r="H6771" s="2" t="s">
        <v>28882</v>
      </c>
      <c r="I6771" s="2" t="s">
        <v>28883</v>
      </c>
      <c r="K6771" s="2" t="s">
        <v>4704</v>
      </c>
      <c r="L6771" s="2" t="s">
        <v>165</v>
      </c>
      <c r="M6771" s="2">
        <v>24471.0</v>
      </c>
      <c r="N6771" s="2" t="s">
        <v>21</v>
      </c>
    </row>
    <row r="6772" ht="15.75" customHeight="1">
      <c r="A6772" s="2">
        <v>2016.0</v>
      </c>
      <c r="B6772" s="2" t="s">
        <v>28884</v>
      </c>
      <c r="C6772" s="2" t="s">
        <v>28884</v>
      </c>
      <c r="D6772" s="2" t="str">
        <f>"(909) 240-3670"</f>
        <v>(909) 240-3670</v>
      </c>
      <c r="E6772" s="2" t="s">
        <v>2031</v>
      </c>
      <c r="F6772" s="2" t="s">
        <v>28885</v>
      </c>
      <c r="G6772" s="2" t="str">
        <f>"SR-8948"</f>
        <v>SR-8948</v>
      </c>
      <c r="H6772" s="2" t="s">
        <v>28886</v>
      </c>
      <c r="I6772" s="2" t="s">
        <v>28887</v>
      </c>
      <c r="K6772" s="2" t="s">
        <v>15671</v>
      </c>
      <c r="L6772" s="2" t="s">
        <v>222</v>
      </c>
      <c r="M6772" s="2">
        <v>91766.0</v>
      </c>
      <c r="N6772" s="2" t="s">
        <v>21</v>
      </c>
    </row>
    <row r="6773" ht="15.75" customHeight="1">
      <c r="A6773" s="2">
        <v>2016.0</v>
      </c>
      <c r="B6773" s="2" t="s">
        <v>28888</v>
      </c>
      <c r="C6773" s="2" t="s">
        <v>28889</v>
      </c>
      <c r="D6773" s="2" t="str">
        <f>"253-279-9939"</f>
        <v>253-279-9939</v>
      </c>
      <c r="E6773" s="2" t="s">
        <v>2243</v>
      </c>
      <c r="F6773" s="2" t="s">
        <v>3590</v>
      </c>
      <c r="G6773" s="2" t="str">
        <f>"SR-8885"</f>
        <v>SR-8885</v>
      </c>
      <c r="H6773" s="2" t="s">
        <v>28890</v>
      </c>
      <c r="I6773" s="2" t="s">
        <v>28891</v>
      </c>
      <c r="K6773" s="2" t="s">
        <v>10252</v>
      </c>
      <c r="L6773" s="2" t="s">
        <v>86</v>
      </c>
      <c r="M6773" s="2">
        <v>98371.0</v>
      </c>
      <c r="N6773" s="2" t="s">
        <v>21</v>
      </c>
    </row>
    <row r="6774" ht="15.75" customHeight="1">
      <c r="A6774" s="2">
        <v>2016.0</v>
      </c>
      <c r="B6774" s="2" t="s">
        <v>28892</v>
      </c>
      <c r="C6774" s="2" t="s">
        <v>28892</v>
      </c>
      <c r="D6774" s="2" t="str">
        <f>"7202382461"</f>
        <v>7202382461</v>
      </c>
      <c r="E6774" s="2" t="s">
        <v>705</v>
      </c>
      <c r="F6774" s="2" t="s">
        <v>17738</v>
      </c>
      <c r="G6774" s="2" t="str">
        <f>"SR-8997"</f>
        <v>SR-8997</v>
      </c>
      <c r="H6774" s="2" t="s">
        <v>28893</v>
      </c>
      <c r="I6774" s="2" t="s">
        <v>28894</v>
      </c>
      <c r="K6774" s="2" t="s">
        <v>1398</v>
      </c>
      <c r="L6774" s="2" t="s">
        <v>157</v>
      </c>
      <c r="M6774" s="2">
        <v>80104.0</v>
      </c>
      <c r="N6774" s="2" t="s">
        <v>21</v>
      </c>
    </row>
    <row r="6775" ht="15.75" customHeight="1">
      <c r="A6775" s="2">
        <v>2016.0</v>
      </c>
      <c r="B6775" s="2" t="s">
        <v>28895</v>
      </c>
      <c r="C6775" s="2" t="s">
        <v>28896</v>
      </c>
      <c r="D6775" s="2" t="str">
        <f>"2058245393"</f>
        <v>2058245393</v>
      </c>
      <c r="E6775" s="2" t="s">
        <v>678</v>
      </c>
      <c r="F6775" s="2" t="s">
        <v>28697</v>
      </c>
      <c r="G6775" s="2" t="str">
        <f>"SR-8980"</f>
        <v>SR-8980</v>
      </c>
      <c r="H6775" s="2" t="s">
        <v>28897</v>
      </c>
      <c r="I6775" s="2" t="s">
        <v>28898</v>
      </c>
      <c r="K6775" s="2" t="s">
        <v>1173</v>
      </c>
      <c r="L6775" s="2" t="s">
        <v>539</v>
      </c>
      <c r="M6775" s="2">
        <v>35226.0</v>
      </c>
      <c r="N6775" s="2" t="s">
        <v>21</v>
      </c>
    </row>
    <row r="6776" ht="15.75" customHeight="1">
      <c r="A6776" s="2">
        <v>2016.0</v>
      </c>
      <c r="B6776" s="2" t="s">
        <v>28899</v>
      </c>
      <c r="C6776" s="2" t="s">
        <v>28900</v>
      </c>
      <c r="D6776" s="2" t="str">
        <f>"9106038313"</f>
        <v>9106038313</v>
      </c>
      <c r="E6776" s="2" t="s">
        <v>2361</v>
      </c>
      <c r="F6776" s="2" t="s">
        <v>28901</v>
      </c>
      <c r="G6776" s="2" t="str">
        <f>"SR-8724"</f>
        <v>SR-8724</v>
      </c>
      <c r="H6776" s="2" t="s">
        <v>28902</v>
      </c>
      <c r="I6776" s="2" t="s">
        <v>28903</v>
      </c>
      <c r="K6776" s="2" t="s">
        <v>809</v>
      </c>
      <c r="L6776" s="2" t="s">
        <v>157</v>
      </c>
      <c r="M6776" s="2">
        <v>80921.0</v>
      </c>
      <c r="N6776" s="2" t="s">
        <v>21</v>
      </c>
    </row>
    <row r="6777" ht="15.75" customHeight="1">
      <c r="A6777" s="2">
        <v>2016.0</v>
      </c>
      <c r="B6777" s="2" t="s">
        <v>28904</v>
      </c>
      <c r="C6777" s="2" t="s">
        <v>28905</v>
      </c>
      <c r="D6777" s="2" t="str">
        <f>"770-598-0604"</f>
        <v>770-598-0604</v>
      </c>
      <c r="E6777" s="2" t="s">
        <v>217</v>
      </c>
      <c r="F6777" s="2" t="s">
        <v>28906</v>
      </c>
      <c r="G6777" s="2" t="str">
        <f>"SR-9021"</f>
        <v>SR-9021</v>
      </c>
      <c r="H6777" s="2" t="s">
        <v>28907</v>
      </c>
      <c r="I6777" s="2" t="s">
        <v>28908</v>
      </c>
      <c r="K6777" s="2" t="s">
        <v>8398</v>
      </c>
      <c r="L6777" s="2" t="s">
        <v>172</v>
      </c>
      <c r="M6777" s="2">
        <v>75078.0</v>
      </c>
      <c r="N6777" s="2" t="s">
        <v>21</v>
      </c>
    </row>
    <row r="6778" ht="15.75" customHeight="1">
      <c r="A6778" s="2">
        <v>2016.0</v>
      </c>
      <c r="B6778" s="2" t="s">
        <v>28909</v>
      </c>
      <c r="C6778" s="2" t="s">
        <v>28909</v>
      </c>
      <c r="D6778" s="2" t="str">
        <f>"7176448214"</f>
        <v>7176448214</v>
      </c>
      <c r="E6778" s="2" t="s">
        <v>534</v>
      </c>
      <c r="F6778" s="2" t="s">
        <v>28910</v>
      </c>
      <c r="G6778" s="2" t="str">
        <f>"SR-9020"</f>
        <v>SR-9020</v>
      </c>
      <c r="H6778" s="2" t="s">
        <v>28911</v>
      </c>
      <c r="I6778" s="2" t="s">
        <v>28912</v>
      </c>
      <c r="K6778" s="2" t="s">
        <v>6760</v>
      </c>
      <c r="L6778" s="2" t="s">
        <v>179</v>
      </c>
      <c r="M6778" s="2">
        <v>17578.0</v>
      </c>
      <c r="N6778" s="2" t="s">
        <v>21</v>
      </c>
    </row>
    <row r="6779" ht="15.75" customHeight="1">
      <c r="A6779" s="2">
        <v>2016.0</v>
      </c>
      <c r="B6779" s="2" t="s">
        <v>28913</v>
      </c>
      <c r="C6779" s="2" t="s">
        <v>28914</v>
      </c>
      <c r="D6779" s="2" t="str">
        <f>"614 546 5820"</f>
        <v>614 546 5820</v>
      </c>
      <c r="E6779" s="2" t="s">
        <v>3964</v>
      </c>
      <c r="F6779" s="2" t="s">
        <v>13200</v>
      </c>
      <c r="G6779" s="2" t="str">
        <f>"SR-9013"</f>
        <v>SR-9013</v>
      </c>
      <c r="H6779" s="2" t="s">
        <v>28915</v>
      </c>
      <c r="I6779" s="2" t="s">
        <v>28916</v>
      </c>
      <c r="K6779" s="2" t="s">
        <v>28917</v>
      </c>
      <c r="L6779" s="2" t="s">
        <v>200</v>
      </c>
      <c r="M6779" s="2">
        <v>31804.0</v>
      </c>
      <c r="N6779" s="2" t="s">
        <v>21</v>
      </c>
    </row>
    <row r="6780" ht="15.75" customHeight="1">
      <c r="A6780" s="2">
        <v>2016.0</v>
      </c>
      <c r="B6780" s="2" t="s">
        <v>28918</v>
      </c>
      <c r="D6780" s="2" t="str">
        <f>""</f>
        <v/>
      </c>
      <c r="E6780" s="2" t="s">
        <v>2031</v>
      </c>
      <c r="F6780" s="2" t="s">
        <v>984</v>
      </c>
      <c r="G6780" s="2" t="str">
        <f>"SR-8907"</f>
        <v>SR-8907</v>
      </c>
      <c r="H6780" s="2" t="s">
        <v>28919</v>
      </c>
    </row>
    <row r="6781" ht="15.75" customHeight="1">
      <c r="A6781" s="2">
        <v>2016.0</v>
      </c>
      <c r="B6781" s="2" t="s">
        <v>28920</v>
      </c>
      <c r="C6781" s="2" t="s">
        <v>28921</v>
      </c>
      <c r="D6781" s="2" t="str">
        <f>"8144480039"</f>
        <v>8144480039</v>
      </c>
      <c r="E6781" s="2" t="s">
        <v>7145</v>
      </c>
      <c r="F6781" s="2" t="s">
        <v>9021</v>
      </c>
      <c r="G6781" s="2" t="str">
        <f>"SR-8998"</f>
        <v>SR-8998</v>
      </c>
      <c r="H6781" s="2" t="s">
        <v>28922</v>
      </c>
      <c r="I6781" s="2" t="s">
        <v>9903</v>
      </c>
      <c r="K6781" s="2" t="s">
        <v>9904</v>
      </c>
      <c r="L6781" s="2" t="s">
        <v>179</v>
      </c>
      <c r="M6781" s="2">
        <v>16685.0</v>
      </c>
      <c r="N6781" s="2" t="s">
        <v>21</v>
      </c>
    </row>
    <row r="6782" ht="15.75" customHeight="1">
      <c r="A6782" s="2">
        <v>2016.0</v>
      </c>
      <c r="B6782" s="2" t="s">
        <v>8001</v>
      </c>
      <c r="C6782" s="2" t="s">
        <v>28923</v>
      </c>
      <c r="D6782" s="2" t="str">
        <f>"337-476-9021"</f>
        <v>337-476-9021</v>
      </c>
      <c r="E6782" s="2" t="s">
        <v>562</v>
      </c>
      <c r="F6782" s="2" t="s">
        <v>8002</v>
      </c>
      <c r="G6782" s="2" t="str">
        <f>"SR-9031"</f>
        <v>SR-9031</v>
      </c>
      <c r="H6782" s="2" t="s">
        <v>28924</v>
      </c>
      <c r="I6782" s="2" t="s">
        <v>28925</v>
      </c>
      <c r="K6782" s="2" t="s">
        <v>8005</v>
      </c>
      <c r="L6782" s="2" t="s">
        <v>715</v>
      </c>
      <c r="M6782" s="2">
        <v>70663.0</v>
      </c>
      <c r="N6782" s="2" t="s">
        <v>21</v>
      </c>
    </row>
    <row r="6783" ht="15.75" customHeight="1">
      <c r="A6783" s="2">
        <v>2016.0</v>
      </c>
      <c r="B6783" s="2" t="s">
        <v>28926</v>
      </c>
      <c r="C6783" s="2" t="s">
        <v>28927</v>
      </c>
      <c r="D6783" s="2" t="str">
        <f>"817 5970500"</f>
        <v>817 5970500</v>
      </c>
      <c r="E6783" s="2" t="s">
        <v>2361</v>
      </c>
      <c r="F6783" s="2" t="s">
        <v>28928</v>
      </c>
      <c r="G6783" s="2" t="str">
        <f>"SR-9030"</f>
        <v>SR-9030</v>
      </c>
      <c r="H6783" s="2" t="s">
        <v>28929</v>
      </c>
      <c r="I6783" s="2" t="s">
        <v>28930</v>
      </c>
      <c r="K6783" s="2" t="s">
        <v>28931</v>
      </c>
      <c r="L6783" s="2" t="s">
        <v>172</v>
      </c>
      <c r="M6783" s="2">
        <v>76087.0</v>
      </c>
      <c r="N6783" s="2" t="s">
        <v>21</v>
      </c>
    </row>
    <row r="6784" ht="15.75" customHeight="1">
      <c r="A6784" s="2">
        <v>2016.0</v>
      </c>
      <c r="B6784" s="2" t="s">
        <v>28932</v>
      </c>
      <c r="C6784" s="2" t="s">
        <v>28933</v>
      </c>
      <c r="D6784" s="2" t="str">
        <f>"719-358-7391"</f>
        <v>719-358-7391</v>
      </c>
      <c r="E6784" s="2" t="s">
        <v>644</v>
      </c>
      <c r="F6784" s="2" t="s">
        <v>28934</v>
      </c>
      <c r="G6784" s="2" t="str">
        <f>"SR-9032"</f>
        <v>SR-9032</v>
      </c>
      <c r="H6784" s="2" t="s">
        <v>28935</v>
      </c>
      <c r="I6784" s="2" t="s">
        <v>28936</v>
      </c>
      <c r="K6784" s="2" t="s">
        <v>507</v>
      </c>
      <c r="L6784" s="2" t="s">
        <v>157</v>
      </c>
      <c r="M6784" s="2">
        <v>80132.0</v>
      </c>
      <c r="N6784" s="2" t="s">
        <v>21</v>
      </c>
    </row>
    <row r="6785" ht="15.75" customHeight="1">
      <c r="A6785" s="2">
        <v>2016.0</v>
      </c>
      <c r="B6785" s="2" t="s">
        <v>28937</v>
      </c>
      <c r="C6785" s="2" t="s">
        <v>28938</v>
      </c>
      <c r="D6785" s="2" t="str">
        <f>"606-282-8592"</f>
        <v>606-282-8592</v>
      </c>
      <c r="E6785" s="2" t="s">
        <v>1141</v>
      </c>
      <c r="F6785" s="2" t="s">
        <v>3385</v>
      </c>
      <c r="G6785" s="2" t="str">
        <f>"SR-8989"</f>
        <v>SR-8989</v>
      </c>
      <c r="H6785" s="2" t="s">
        <v>28939</v>
      </c>
      <c r="I6785" s="2" t="s">
        <v>28940</v>
      </c>
      <c r="K6785" s="2" t="s">
        <v>28941</v>
      </c>
      <c r="L6785" s="2" t="s">
        <v>1236</v>
      </c>
      <c r="M6785" s="2">
        <v>40484.0</v>
      </c>
      <c r="N6785" s="2" t="s">
        <v>21</v>
      </c>
    </row>
    <row r="6786" ht="15.75" customHeight="1">
      <c r="A6786" s="2">
        <v>2016.0</v>
      </c>
      <c r="B6786" s="2" t="s">
        <v>28942</v>
      </c>
      <c r="C6786" s="2" t="s">
        <v>28943</v>
      </c>
      <c r="D6786" s="2" t="str">
        <f>"(505)350-3936"</f>
        <v>(505)350-3936</v>
      </c>
      <c r="E6786" s="2" t="s">
        <v>1115</v>
      </c>
      <c r="F6786" s="2" t="s">
        <v>28944</v>
      </c>
      <c r="G6786" s="2" t="str">
        <f>"SR-9036"</f>
        <v>SR-9036</v>
      </c>
      <c r="H6786" s="2" t="s">
        <v>28945</v>
      </c>
      <c r="I6786" s="2" t="s">
        <v>28946</v>
      </c>
      <c r="K6786" s="2" t="s">
        <v>3705</v>
      </c>
      <c r="L6786" s="2" t="s">
        <v>789</v>
      </c>
      <c r="M6786" s="2">
        <v>87111.0</v>
      </c>
      <c r="N6786" s="2" t="s">
        <v>21</v>
      </c>
    </row>
    <row r="6787" ht="15.75" customHeight="1">
      <c r="A6787" s="2">
        <v>2016.0</v>
      </c>
      <c r="B6787" s="2" t="s">
        <v>28947</v>
      </c>
      <c r="C6787" s="2" t="s">
        <v>28948</v>
      </c>
      <c r="D6787" s="2" t="str">
        <f>"574-361-3515"</f>
        <v>574-361-3515</v>
      </c>
      <c r="E6787" s="2" t="s">
        <v>6718</v>
      </c>
      <c r="F6787" s="2" t="s">
        <v>2251</v>
      </c>
      <c r="G6787" s="2" t="str">
        <f>"SR-6673"</f>
        <v>SR-6673</v>
      </c>
      <c r="H6787" s="2" t="s">
        <v>28949</v>
      </c>
      <c r="I6787" s="2" t="s">
        <v>28950</v>
      </c>
      <c r="J6787" s="2" t="s">
        <v>28951</v>
      </c>
      <c r="K6787" s="2" t="s">
        <v>28952</v>
      </c>
      <c r="L6787" s="2" t="s">
        <v>29</v>
      </c>
      <c r="M6787" s="2">
        <v>49099.0</v>
      </c>
      <c r="N6787" s="2" t="s">
        <v>21</v>
      </c>
    </row>
    <row r="6788" ht="15.75" customHeight="1">
      <c r="A6788" s="2">
        <v>2016.0</v>
      </c>
      <c r="B6788" s="2" t="s">
        <v>28953</v>
      </c>
      <c r="C6788" s="2" t="s">
        <v>28954</v>
      </c>
      <c r="D6788" s="2" t="str">
        <f>"(970) 556-9528"</f>
        <v>(970) 556-9528</v>
      </c>
      <c r="E6788" s="2" t="s">
        <v>6081</v>
      </c>
      <c r="F6788" s="2" t="s">
        <v>28955</v>
      </c>
      <c r="G6788" s="2" t="str">
        <f>"SR-9035"</f>
        <v>SR-9035</v>
      </c>
      <c r="H6788" s="2" t="s">
        <v>28956</v>
      </c>
      <c r="I6788" s="2" t="s">
        <v>28957</v>
      </c>
      <c r="K6788" s="2" t="s">
        <v>656</v>
      </c>
      <c r="L6788" s="2" t="s">
        <v>157</v>
      </c>
      <c r="M6788" s="2">
        <v>80525.0</v>
      </c>
      <c r="N6788" s="2" t="s">
        <v>21</v>
      </c>
    </row>
    <row r="6789" ht="15.75" customHeight="1">
      <c r="A6789" s="2">
        <v>2016.0</v>
      </c>
      <c r="B6789" s="2" t="s">
        <v>28953</v>
      </c>
      <c r="C6789" s="2" t="s">
        <v>28958</v>
      </c>
      <c r="D6789" s="2" t="str">
        <f>"(970) 980-6225"</f>
        <v>(970) 980-6225</v>
      </c>
      <c r="E6789" s="2" t="s">
        <v>5332</v>
      </c>
      <c r="F6789" s="2" t="s">
        <v>28955</v>
      </c>
      <c r="G6789" s="2" t="str">
        <f>"SR-9033"</f>
        <v>SR-9033</v>
      </c>
      <c r="H6789" s="2" t="s">
        <v>28959</v>
      </c>
      <c r="I6789" s="2" t="s">
        <v>28957</v>
      </c>
      <c r="K6789" s="2" t="s">
        <v>656</v>
      </c>
      <c r="L6789" s="2" t="s">
        <v>157</v>
      </c>
      <c r="M6789" s="2">
        <v>80525.0</v>
      </c>
      <c r="N6789" s="2" t="s">
        <v>21</v>
      </c>
    </row>
    <row r="6790" ht="15.75" customHeight="1">
      <c r="A6790" s="2">
        <v>2016.0</v>
      </c>
      <c r="B6790" s="2" t="s">
        <v>28960</v>
      </c>
      <c r="C6790" s="2" t="s">
        <v>28960</v>
      </c>
      <c r="D6790" s="2" t="str">
        <f>"863-840-4325"</f>
        <v>863-840-4325</v>
      </c>
      <c r="E6790" s="2" t="s">
        <v>938</v>
      </c>
      <c r="F6790" s="2" t="s">
        <v>28961</v>
      </c>
      <c r="G6790" s="2" t="str">
        <f>"SR-8898"</f>
        <v>SR-8898</v>
      </c>
      <c r="H6790" s="2" t="s">
        <v>28962</v>
      </c>
      <c r="I6790" s="2" t="s">
        <v>28963</v>
      </c>
      <c r="K6790" s="2" t="s">
        <v>26300</v>
      </c>
      <c r="L6790" s="2" t="s">
        <v>208</v>
      </c>
      <c r="M6790" s="2">
        <v>33852.0</v>
      </c>
      <c r="N6790" s="2" t="s">
        <v>21</v>
      </c>
    </row>
    <row r="6791" ht="15.75" customHeight="1">
      <c r="A6791" s="2">
        <v>2016.0</v>
      </c>
      <c r="B6791" s="2" t="s">
        <v>28964</v>
      </c>
      <c r="C6791" s="2" t="s">
        <v>28965</v>
      </c>
      <c r="D6791" s="2" t="str">
        <f>"4075082752"</f>
        <v>4075082752</v>
      </c>
      <c r="E6791" s="2" t="s">
        <v>1974</v>
      </c>
      <c r="F6791" s="2" t="s">
        <v>14432</v>
      </c>
      <c r="G6791" s="2" t="str">
        <f>"SR-9018"</f>
        <v>SR-9018</v>
      </c>
      <c r="H6791" s="2" t="s">
        <v>28966</v>
      </c>
      <c r="I6791" s="2" t="s">
        <v>28967</v>
      </c>
      <c r="K6791" s="2" t="s">
        <v>4724</v>
      </c>
      <c r="L6791" s="2" t="s">
        <v>208</v>
      </c>
      <c r="M6791" s="2">
        <v>32837.0</v>
      </c>
      <c r="N6791" s="2" t="s">
        <v>21</v>
      </c>
    </row>
    <row r="6792" ht="15.75" customHeight="1">
      <c r="A6792" s="2">
        <v>2016.0</v>
      </c>
      <c r="B6792" s="2" t="s">
        <v>28968</v>
      </c>
      <c r="C6792" s="2" t="s">
        <v>28969</v>
      </c>
      <c r="D6792" s="2" t="str">
        <f t="shared" ref="D6792:D6793" si="115">"734-562-9076"</f>
        <v>734-562-9076</v>
      </c>
      <c r="E6792" s="2" t="s">
        <v>160</v>
      </c>
      <c r="F6792" s="2" t="s">
        <v>1083</v>
      </c>
      <c r="G6792" s="2" t="str">
        <f>"SR-9028"</f>
        <v>SR-9028</v>
      </c>
      <c r="H6792" s="2" t="s">
        <v>28970</v>
      </c>
      <c r="I6792" s="2" t="s">
        <v>28971</v>
      </c>
      <c r="K6792" s="2" t="s">
        <v>4437</v>
      </c>
      <c r="L6792" s="2" t="s">
        <v>29</v>
      </c>
      <c r="M6792" s="2">
        <v>48118.0</v>
      </c>
      <c r="N6792" s="2" t="s">
        <v>21</v>
      </c>
    </row>
    <row r="6793" ht="15.75" customHeight="1">
      <c r="A6793" s="2">
        <v>2016.0</v>
      </c>
      <c r="B6793" s="2" t="s">
        <v>28968</v>
      </c>
      <c r="C6793" s="2" t="s">
        <v>28972</v>
      </c>
      <c r="D6793" s="2" t="str">
        <f t="shared" si="115"/>
        <v>734-562-9076</v>
      </c>
      <c r="E6793" s="2" t="s">
        <v>261</v>
      </c>
      <c r="F6793" s="2" t="s">
        <v>1083</v>
      </c>
      <c r="G6793" s="2" t="str">
        <f>"SR-8887"</f>
        <v>SR-8887</v>
      </c>
      <c r="H6793" s="2" t="s">
        <v>28973</v>
      </c>
      <c r="I6793" s="2" t="s">
        <v>28971</v>
      </c>
      <c r="K6793" s="2" t="s">
        <v>4437</v>
      </c>
      <c r="L6793" s="2" t="s">
        <v>29</v>
      </c>
      <c r="M6793" s="2">
        <v>48118.0</v>
      </c>
      <c r="N6793" s="2" t="s">
        <v>21</v>
      </c>
    </row>
    <row r="6794" ht="15.75" customHeight="1">
      <c r="A6794" s="2">
        <v>2016.0</v>
      </c>
      <c r="B6794" s="2" t="s">
        <v>28974</v>
      </c>
      <c r="C6794" s="2" t="s">
        <v>28975</v>
      </c>
      <c r="D6794" s="2" t="str">
        <f>"402-556-9459"</f>
        <v>402-556-9459</v>
      </c>
      <c r="E6794" s="2" t="s">
        <v>4584</v>
      </c>
      <c r="F6794" s="2" t="s">
        <v>28976</v>
      </c>
      <c r="G6794" s="2" t="str">
        <f>"SR-7661"</f>
        <v>SR-7661</v>
      </c>
      <c r="H6794" s="2" t="s">
        <v>28977</v>
      </c>
      <c r="I6794" s="2" t="s">
        <v>28978</v>
      </c>
      <c r="K6794" s="2" t="s">
        <v>1470</v>
      </c>
      <c r="L6794" s="2" t="s">
        <v>757</v>
      </c>
      <c r="M6794" s="2">
        <v>68134.0</v>
      </c>
      <c r="N6794" s="2" t="s">
        <v>21</v>
      </c>
    </row>
    <row r="6795" ht="15.75" customHeight="1">
      <c r="A6795" s="2">
        <v>2016.0</v>
      </c>
      <c r="B6795" s="2" t="s">
        <v>28979</v>
      </c>
      <c r="C6795" s="2" t="s">
        <v>28979</v>
      </c>
      <c r="D6795" s="2" t="str">
        <f>"843-610-8704"</f>
        <v>843-610-8704</v>
      </c>
      <c r="E6795" s="2" t="s">
        <v>1738</v>
      </c>
      <c r="F6795" s="2" t="s">
        <v>7141</v>
      </c>
      <c r="G6795" s="2" t="str">
        <f>"SR-8941"</f>
        <v>SR-8941</v>
      </c>
      <c r="H6795" s="2" t="s">
        <v>28980</v>
      </c>
      <c r="I6795" s="2" t="s">
        <v>28981</v>
      </c>
      <c r="J6795" s="2" t="s">
        <v>28981</v>
      </c>
      <c r="K6795" s="2" t="s">
        <v>28982</v>
      </c>
      <c r="L6795" s="2" t="s">
        <v>55</v>
      </c>
      <c r="M6795" s="2">
        <v>29505.0</v>
      </c>
      <c r="N6795" s="2" t="s">
        <v>21</v>
      </c>
    </row>
    <row r="6796" ht="15.75" customHeight="1">
      <c r="A6796" s="2">
        <v>2016.0</v>
      </c>
      <c r="B6796" s="2" t="s">
        <v>28983</v>
      </c>
      <c r="C6796" s="2" t="s">
        <v>28983</v>
      </c>
      <c r="D6796" s="2" t="str">
        <f>"719-418-3990"</f>
        <v>719-418-3990</v>
      </c>
      <c r="E6796" s="2" t="s">
        <v>6937</v>
      </c>
      <c r="F6796" s="2" t="s">
        <v>28984</v>
      </c>
      <c r="G6796" s="2" t="str">
        <f>"SR-9044"</f>
        <v>SR-9044</v>
      </c>
      <c r="H6796" s="2" t="s">
        <v>28985</v>
      </c>
      <c r="I6796" s="2" t="s">
        <v>28986</v>
      </c>
      <c r="K6796" s="2" t="s">
        <v>809</v>
      </c>
      <c r="L6796" s="2" t="s">
        <v>157</v>
      </c>
      <c r="M6796" s="2">
        <v>80923.0</v>
      </c>
      <c r="N6796" s="2" t="s">
        <v>21</v>
      </c>
    </row>
    <row r="6797" ht="15.75" customHeight="1">
      <c r="A6797" s="2">
        <v>2016.0</v>
      </c>
      <c r="B6797" s="2" t="s">
        <v>21336</v>
      </c>
      <c r="C6797" s="2" t="s">
        <v>21337</v>
      </c>
      <c r="D6797" s="2" t="str">
        <f>"(717)479-0733"</f>
        <v>(717)479-0733</v>
      </c>
      <c r="E6797" s="2" t="s">
        <v>9828</v>
      </c>
      <c r="F6797" s="2" t="s">
        <v>21338</v>
      </c>
      <c r="G6797" s="2" t="str">
        <f>"SR-6510"</f>
        <v>SR-6510</v>
      </c>
      <c r="H6797" s="2" t="s">
        <v>21339</v>
      </c>
      <c r="I6797" s="2" t="s">
        <v>21340</v>
      </c>
      <c r="K6797" s="2" t="s">
        <v>21341</v>
      </c>
      <c r="L6797" s="2" t="s">
        <v>179</v>
      </c>
      <c r="M6797" s="2">
        <v>17331.0</v>
      </c>
      <c r="N6797" s="2" t="s">
        <v>21</v>
      </c>
    </row>
    <row r="6798" ht="15.75" customHeight="1">
      <c r="A6798" s="2">
        <v>2016.0</v>
      </c>
      <c r="B6798" s="2" t="s">
        <v>28987</v>
      </c>
      <c r="C6798" s="2" t="s">
        <v>28988</v>
      </c>
      <c r="D6798" s="2" t="str">
        <f>"619-866-8311"</f>
        <v>619-866-8311</v>
      </c>
      <c r="E6798" s="2" t="s">
        <v>2807</v>
      </c>
      <c r="F6798" s="2" t="s">
        <v>28989</v>
      </c>
      <c r="G6798" s="2" t="str">
        <f>"SR-8975"</f>
        <v>SR-8975</v>
      </c>
      <c r="H6798" s="2" t="s">
        <v>28990</v>
      </c>
      <c r="I6798" s="2" t="s">
        <v>28991</v>
      </c>
      <c r="K6798" s="2" t="s">
        <v>8250</v>
      </c>
      <c r="L6798" s="2" t="s">
        <v>222</v>
      </c>
      <c r="M6798" s="2">
        <v>92114.0</v>
      </c>
      <c r="N6798" s="2" t="s">
        <v>21</v>
      </c>
    </row>
    <row r="6799" ht="15.75" customHeight="1">
      <c r="A6799" s="2">
        <v>2016.0</v>
      </c>
      <c r="B6799" s="2" t="s">
        <v>28987</v>
      </c>
      <c r="C6799" s="2" t="s">
        <v>28992</v>
      </c>
      <c r="D6799" s="2" t="str">
        <f>"619-917-8577"</f>
        <v>619-917-8577</v>
      </c>
      <c r="E6799" s="2" t="s">
        <v>28993</v>
      </c>
      <c r="F6799" s="2" t="s">
        <v>428</v>
      </c>
      <c r="G6799" s="2" t="str">
        <f>"SR-8945"</f>
        <v>SR-8945</v>
      </c>
      <c r="H6799" s="2" t="s">
        <v>28994</v>
      </c>
      <c r="I6799" s="2" t="s">
        <v>28995</v>
      </c>
      <c r="K6799" s="2" t="s">
        <v>8250</v>
      </c>
      <c r="L6799" s="2" t="s">
        <v>222</v>
      </c>
      <c r="M6799" s="2">
        <v>92139.0</v>
      </c>
      <c r="N6799" s="2" t="s">
        <v>21</v>
      </c>
    </row>
    <row r="6800" ht="15.75" customHeight="1">
      <c r="A6800" s="2">
        <v>2016.0</v>
      </c>
      <c r="B6800" s="2" t="s">
        <v>28987</v>
      </c>
      <c r="C6800" s="2" t="s">
        <v>28996</v>
      </c>
      <c r="D6800" s="2" t="str">
        <f>"619-851-2309"</f>
        <v>619-851-2309</v>
      </c>
      <c r="E6800" s="2" t="s">
        <v>10479</v>
      </c>
      <c r="F6800" s="2" t="s">
        <v>28997</v>
      </c>
      <c r="G6800" s="2" t="str">
        <f>"SR-8977"</f>
        <v>SR-8977</v>
      </c>
      <c r="H6800" s="2" t="s">
        <v>28998</v>
      </c>
      <c r="I6800" s="2" t="s">
        <v>28999</v>
      </c>
      <c r="K6800" s="2" t="s">
        <v>18119</v>
      </c>
      <c r="L6800" s="2" t="s">
        <v>222</v>
      </c>
      <c r="M6800" s="2">
        <v>91977.0</v>
      </c>
      <c r="N6800" s="2" t="s">
        <v>21</v>
      </c>
    </row>
    <row r="6801" ht="15.75" customHeight="1">
      <c r="A6801" s="2">
        <v>2016.0</v>
      </c>
      <c r="B6801" s="2" t="s">
        <v>29000</v>
      </c>
      <c r="C6801" s="2" t="s">
        <v>29000</v>
      </c>
      <c r="D6801" s="2" t="str">
        <f>"070-6434-2502"</f>
        <v>070-6434-2502</v>
      </c>
      <c r="E6801" s="2" t="s">
        <v>29001</v>
      </c>
      <c r="F6801" s="2" t="s">
        <v>29002</v>
      </c>
      <c r="G6801" s="2" t="str">
        <f>"SR-7672"</f>
        <v>SR-7672</v>
      </c>
      <c r="H6801" s="2" t="s">
        <v>29003</v>
      </c>
      <c r="I6801" s="2" t="s">
        <v>29004</v>
      </c>
      <c r="J6801" s="2" t="s">
        <v>29005</v>
      </c>
      <c r="K6801" s="2" t="s">
        <v>29006</v>
      </c>
      <c r="L6801" s="2" t="s">
        <v>29007</v>
      </c>
      <c r="M6801" s="2" t="s">
        <v>29008</v>
      </c>
      <c r="N6801" s="2" t="s">
        <v>14622</v>
      </c>
    </row>
    <row r="6802" ht="15.75" customHeight="1">
      <c r="A6802" s="2">
        <v>2016.0</v>
      </c>
      <c r="B6802" s="2" t="s">
        <v>29009</v>
      </c>
      <c r="C6802" s="2" t="s">
        <v>29010</v>
      </c>
      <c r="D6802" s="2" t="str">
        <f>"509-301-4935"</f>
        <v>509-301-4935</v>
      </c>
      <c r="E6802" s="2" t="s">
        <v>1455</v>
      </c>
      <c r="F6802" s="2" t="s">
        <v>256</v>
      </c>
      <c r="G6802" s="2" t="str">
        <f>"SR-9004"</f>
        <v>SR-9004</v>
      </c>
      <c r="H6802" s="2" t="s">
        <v>29011</v>
      </c>
      <c r="I6802" s="2" t="s">
        <v>29012</v>
      </c>
      <c r="K6802" s="2" t="s">
        <v>29013</v>
      </c>
      <c r="L6802" s="2" t="s">
        <v>86</v>
      </c>
      <c r="M6802" s="2">
        <v>99362.0</v>
      </c>
      <c r="N6802" s="2" t="s">
        <v>21</v>
      </c>
    </row>
    <row r="6803" ht="15.75" customHeight="1">
      <c r="A6803" s="2">
        <v>2016.0</v>
      </c>
      <c r="B6803" s="2" t="s">
        <v>29014</v>
      </c>
      <c r="C6803" s="2" t="s">
        <v>29014</v>
      </c>
      <c r="D6803" s="2" t="str">
        <f>"6516055120"</f>
        <v>6516055120</v>
      </c>
      <c r="E6803" s="2" t="s">
        <v>2384</v>
      </c>
      <c r="F6803" s="2" t="s">
        <v>29015</v>
      </c>
      <c r="G6803" s="2" t="str">
        <f>"SR-8765"</f>
        <v>SR-8765</v>
      </c>
      <c r="H6803" s="2" t="s">
        <v>29016</v>
      </c>
      <c r="I6803" s="2" t="s">
        <v>29017</v>
      </c>
      <c r="K6803" s="2" t="s">
        <v>5105</v>
      </c>
      <c r="L6803" s="2" t="s">
        <v>193</v>
      </c>
      <c r="M6803" s="2">
        <v>54023.0</v>
      </c>
      <c r="N6803" s="2" t="s">
        <v>21</v>
      </c>
    </row>
    <row r="6804" ht="15.75" customHeight="1">
      <c r="A6804" s="2">
        <v>2016.0</v>
      </c>
      <c r="B6804" s="2" t="s">
        <v>29018</v>
      </c>
      <c r="C6804" s="2" t="s">
        <v>29019</v>
      </c>
      <c r="D6804" s="2" t="str">
        <f>"5132623494"</f>
        <v>5132623494</v>
      </c>
      <c r="E6804" s="2" t="s">
        <v>261</v>
      </c>
      <c r="F6804" s="2" t="s">
        <v>29020</v>
      </c>
      <c r="G6804" s="2" t="str">
        <f>"SR-9050"</f>
        <v>SR-9050</v>
      </c>
      <c r="H6804" s="2" t="s">
        <v>29021</v>
      </c>
      <c r="I6804" s="2" t="s">
        <v>29022</v>
      </c>
      <c r="K6804" s="2" t="s">
        <v>29023</v>
      </c>
      <c r="L6804" s="2" t="s">
        <v>344</v>
      </c>
      <c r="M6804" s="2">
        <v>45005.0</v>
      </c>
      <c r="N6804" s="2" t="s">
        <v>21</v>
      </c>
    </row>
    <row r="6805" ht="15.75" customHeight="1">
      <c r="A6805" s="2">
        <v>2016.0</v>
      </c>
      <c r="B6805" s="2" t="s">
        <v>29024</v>
      </c>
      <c r="C6805" s="2" t="s">
        <v>29025</v>
      </c>
      <c r="D6805" s="2" t="str">
        <f>"561-629-4769"</f>
        <v>561-629-4769</v>
      </c>
      <c r="E6805" s="2" t="s">
        <v>4322</v>
      </c>
      <c r="F6805" s="2" t="s">
        <v>29026</v>
      </c>
      <c r="G6805" s="2" t="str">
        <f>"SR-9041"</f>
        <v>SR-9041</v>
      </c>
      <c r="H6805" s="2" t="s">
        <v>29027</v>
      </c>
      <c r="I6805" s="2" t="s">
        <v>29028</v>
      </c>
      <c r="K6805" s="2" t="s">
        <v>29029</v>
      </c>
      <c r="L6805" s="2" t="s">
        <v>208</v>
      </c>
      <c r="M6805" s="2">
        <v>33411.0</v>
      </c>
      <c r="N6805" s="2" t="s">
        <v>21</v>
      </c>
    </row>
    <row r="6806" ht="15.75" customHeight="1">
      <c r="A6806" s="2">
        <v>2016.0</v>
      </c>
      <c r="B6806" s="2" t="s">
        <v>29018</v>
      </c>
      <c r="C6806" s="2" t="s">
        <v>29018</v>
      </c>
      <c r="D6806" s="2" t="str">
        <f>"5132623494"</f>
        <v>5132623494</v>
      </c>
      <c r="E6806" s="2" t="s">
        <v>386</v>
      </c>
      <c r="F6806" s="2" t="s">
        <v>29020</v>
      </c>
      <c r="G6806" s="2" t="str">
        <f>"SR-9052"</f>
        <v>SR-9052</v>
      </c>
      <c r="H6806" s="2" t="s">
        <v>29030</v>
      </c>
      <c r="I6806" s="2" t="s">
        <v>29022</v>
      </c>
      <c r="K6806" s="2" t="s">
        <v>29023</v>
      </c>
      <c r="L6806" s="2" t="s">
        <v>344</v>
      </c>
      <c r="M6806" s="2">
        <v>45005.0</v>
      </c>
      <c r="N6806" s="2" t="s">
        <v>21</v>
      </c>
    </row>
    <row r="6807" ht="15.75" customHeight="1">
      <c r="A6807" s="2">
        <v>2016.0</v>
      </c>
      <c r="B6807" s="2" t="s">
        <v>4414</v>
      </c>
      <c r="C6807" s="2" t="s">
        <v>4414</v>
      </c>
      <c r="D6807" s="2" t="str">
        <f>"928-674-2962"</f>
        <v>928-674-2962</v>
      </c>
      <c r="E6807" s="2" t="s">
        <v>2912</v>
      </c>
      <c r="F6807" s="2" t="s">
        <v>4417</v>
      </c>
      <c r="G6807" s="2" t="str">
        <f>"SR-9048"</f>
        <v>SR-9048</v>
      </c>
      <c r="H6807" s="2" t="s">
        <v>29031</v>
      </c>
      <c r="I6807" s="2" t="s">
        <v>4419</v>
      </c>
      <c r="K6807" s="2" t="s">
        <v>4420</v>
      </c>
      <c r="L6807" s="2" t="s">
        <v>422</v>
      </c>
      <c r="M6807" s="2">
        <v>86503.0</v>
      </c>
      <c r="N6807" s="2" t="s">
        <v>21</v>
      </c>
    </row>
    <row r="6808" ht="15.75" customHeight="1">
      <c r="A6808" s="2">
        <v>2016.0</v>
      </c>
      <c r="B6808" s="2" t="s">
        <v>4414</v>
      </c>
      <c r="C6808" s="2" t="s">
        <v>4415</v>
      </c>
      <c r="D6808" s="2" t="str">
        <f>"928-349-0504"</f>
        <v>928-349-0504</v>
      </c>
      <c r="E6808" s="2" t="s">
        <v>4416</v>
      </c>
      <c r="F6808" s="2" t="s">
        <v>4417</v>
      </c>
      <c r="G6808" s="2" t="str">
        <f>"SR-1322"</f>
        <v>SR-1322</v>
      </c>
      <c r="H6808" s="2" t="s">
        <v>4418</v>
      </c>
      <c r="I6808" s="2" t="s">
        <v>4419</v>
      </c>
      <c r="K6808" s="2" t="s">
        <v>4420</v>
      </c>
      <c r="L6808" s="2" t="s">
        <v>422</v>
      </c>
      <c r="M6808" s="2">
        <v>86503.0</v>
      </c>
      <c r="N6808" s="2" t="s">
        <v>21</v>
      </c>
    </row>
    <row r="6809" ht="15.75" customHeight="1">
      <c r="A6809" s="2">
        <v>2016.0</v>
      </c>
      <c r="B6809" s="2" t="s">
        <v>29032</v>
      </c>
      <c r="C6809" s="2" t="s">
        <v>29033</v>
      </c>
      <c r="D6809" s="2" t="str">
        <f>"5127753974"</f>
        <v>5127753974</v>
      </c>
      <c r="E6809" s="2" t="s">
        <v>29034</v>
      </c>
      <c r="F6809" s="2" t="s">
        <v>1151</v>
      </c>
      <c r="G6809" s="2" t="str">
        <f>"SR-8952"</f>
        <v>SR-8952</v>
      </c>
      <c r="H6809" s="2" t="s">
        <v>29035</v>
      </c>
      <c r="I6809" s="2" t="s">
        <v>29036</v>
      </c>
      <c r="K6809" s="2" t="s">
        <v>1141</v>
      </c>
      <c r="L6809" s="2" t="s">
        <v>172</v>
      </c>
      <c r="M6809" s="2">
        <v>78717.0</v>
      </c>
      <c r="N6809" s="2" t="s">
        <v>21</v>
      </c>
    </row>
    <row r="6810" ht="15.75" customHeight="1">
      <c r="A6810" s="2">
        <v>2016.0</v>
      </c>
      <c r="B6810" s="2" t="s">
        <v>29037</v>
      </c>
      <c r="C6810" s="2" t="s">
        <v>29038</v>
      </c>
      <c r="D6810" s="2" t="str">
        <f>"3167759222"</f>
        <v>3167759222</v>
      </c>
      <c r="E6810" s="2" t="s">
        <v>1263</v>
      </c>
      <c r="F6810" s="2" t="s">
        <v>29039</v>
      </c>
      <c r="G6810" s="2" t="str">
        <f>"SR-9047"</f>
        <v>SR-9047</v>
      </c>
      <c r="H6810" s="2" t="s">
        <v>29040</v>
      </c>
      <c r="I6810" s="2" t="s">
        <v>29041</v>
      </c>
      <c r="K6810" s="2" t="s">
        <v>11436</v>
      </c>
      <c r="L6810" s="2" t="s">
        <v>272</v>
      </c>
      <c r="M6810" s="2">
        <v>67010.0</v>
      </c>
      <c r="N6810" s="2" t="s">
        <v>21</v>
      </c>
    </row>
    <row r="6811" ht="15.75" customHeight="1">
      <c r="A6811" s="2">
        <v>2016.0</v>
      </c>
      <c r="B6811" s="2" t="s">
        <v>29042</v>
      </c>
      <c r="C6811" s="2" t="s">
        <v>29043</v>
      </c>
      <c r="D6811" s="2" t="str">
        <f>"8436014619"</f>
        <v>8436014619</v>
      </c>
      <c r="E6811" s="2" t="s">
        <v>167</v>
      </c>
      <c r="F6811" s="2" t="s">
        <v>29044</v>
      </c>
      <c r="G6811" s="2" t="str">
        <f>"SR-8863"</f>
        <v>SR-8863</v>
      </c>
      <c r="H6811" s="2" t="s">
        <v>29045</v>
      </c>
      <c r="I6811" s="2" t="s">
        <v>29046</v>
      </c>
      <c r="K6811" s="2" t="s">
        <v>10431</v>
      </c>
      <c r="L6811" s="2" t="s">
        <v>55</v>
      </c>
      <c r="M6811" s="2">
        <v>29501.0</v>
      </c>
      <c r="N6811" s="2" t="s">
        <v>21</v>
      </c>
    </row>
    <row r="6812" ht="15.75" customHeight="1">
      <c r="A6812" s="2">
        <v>2016.0</v>
      </c>
      <c r="B6812" s="2" t="s">
        <v>29047</v>
      </c>
      <c r="C6812" s="2" t="s">
        <v>29048</v>
      </c>
      <c r="D6812" s="2" t="str">
        <f>"901-491-3399"</f>
        <v>901-491-3399</v>
      </c>
      <c r="E6812" s="2" t="s">
        <v>596</v>
      </c>
      <c r="F6812" s="2" t="s">
        <v>457</v>
      </c>
      <c r="G6812" s="2" t="str">
        <f>"SR-9058"</f>
        <v>SR-9058</v>
      </c>
      <c r="H6812" s="2" t="s">
        <v>29049</v>
      </c>
      <c r="I6812" s="2" t="s">
        <v>29050</v>
      </c>
      <c r="K6812" s="2" t="s">
        <v>6154</v>
      </c>
      <c r="L6812" s="2" t="s">
        <v>1722</v>
      </c>
      <c r="M6812" s="2">
        <v>38618.0</v>
      </c>
      <c r="N6812" s="2" t="s">
        <v>21</v>
      </c>
    </row>
    <row r="6813" ht="15.75" customHeight="1">
      <c r="A6813" s="2">
        <v>2016.0</v>
      </c>
      <c r="B6813" s="2" t="s">
        <v>29051</v>
      </c>
      <c r="C6813" s="2" t="s">
        <v>29052</v>
      </c>
      <c r="D6813" s="2" t="str">
        <f>"901-302-0997"</f>
        <v>901-302-0997</v>
      </c>
      <c r="E6813" s="2" t="s">
        <v>659</v>
      </c>
      <c r="F6813" s="2" t="s">
        <v>448</v>
      </c>
      <c r="G6813" s="2" t="str">
        <f>"SR-9059"</f>
        <v>SR-9059</v>
      </c>
      <c r="H6813" s="2" t="s">
        <v>29053</v>
      </c>
      <c r="I6813" s="2" t="s">
        <v>29054</v>
      </c>
      <c r="K6813" s="2" t="s">
        <v>6154</v>
      </c>
      <c r="L6813" s="2" t="s">
        <v>1722</v>
      </c>
      <c r="M6813" s="2">
        <v>38618.0</v>
      </c>
      <c r="N6813" s="2" t="s">
        <v>21</v>
      </c>
    </row>
    <row r="6814" ht="15.75" customHeight="1">
      <c r="A6814" s="2">
        <v>2016.0</v>
      </c>
      <c r="B6814" s="2" t="s">
        <v>29018</v>
      </c>
      <c r="C6814" s="2" t="s">
        <v>29018</v>
      </c>
      <c r="D6814" s="2" t="str">
        <f>"5132623494"</f>
        <v>5132623494</v>
      </c>
      <c r="E6814" s="2" t="s">
        <v>2031</v>
      </c>
      <c r="F6814" s="2" t="s">
        <v>29020</v>
      </c>
      <c r="G6814" s="2" t="str">
        <f>"SR-9051"</f>
        <v>SR-9051</v>
      </c>
      <c r="H6814" s="2" t="s">
        <v>29055</v>
      </c>
      <c r="I6814" s="2" t="s">
        <v>29022</v>
      </c>
      <c r="K6814" s="2" t="s">
        <v>29023</v>
      </c>
      <c r="L6814" s="2" t="s">
        <v>344</v>
      </c>
      <c r="M6814" s="2">
        <v>45005.0</v>
      </c>
      <c r="N6814" s="2" t="s">
        <v>21</v>
      </c>
    </row>
    <row r="6815" ht="15.75" customHeight="1">
      <c r="A6815" s="2">
        <v>2016.0</v>
      </c>
      <c r="B6815" s="2" t="s">
        <v>29056</v>
      </c>
      <c r="C6815" s="2" t="s">
        <v>29056</v>
      </c>
      <c r="D6815" s="2" t="str">
        <f>"8066853007"</f>
        <v>8066853007</v>
      </c>
      <c r="E6815" s="2" t="s">
        <v>167</v>
      </c>
      <c r="F6815" s="2" t="s">
        <v>29057</v>
      </c>
      <c r="G6815" s="2" t="str">
        <f>"SR-9003"</f>
        <v>SR-9003</v>
      </c>
      <c r="H6815" s="2" t="s">
        <v>29058</v>
      </c>
      <c r="I6815" s="2" t="s">
        <v>29059</v>
      </c>
      <c r="K6815" s="2" t="s">
        <v>29060</v>
      </c>
      <c r="L6815" s="2" t="s">
        <v>172</v>
      </c>
      <c r="M6815" s="2">
        <v>79072.0</v>
      </c>
      <c r="N6815" s="2" t="s">
        <v>21</v>
      </c>
    </row>
    <row r="6816" ht="15.75" customHeight="1">
      <c r="A6816" s="2">
        <v>2016.0</v>
      </c>
      <c r="B6816" s="2" t="s">
        <v>29061</v>
      </c>
      <c r="C6816" s="2" t="s">
        <v>29061</v>
      </c>
      <c r="D6816" s="2" t="str">
        <f>"7196001110"</f>
        <v>7196001110</v>
      </c>
      <c r="E6816" s="2" t="s">
        <v>29062</v>
      </c>
      <c r="F6816" s="2" t="s">
        <v>962</v>
      </c>
      <c r="G6816" s="2" t="str">
        <f>"SR-9017"</f>
        <v>SR-9017</v>
      </c>
      <c r="H6816" s="2" t="s">
        <v>29063</v>
      </c>
      <c r="I6816" s="2" t="s">
        <v>29064</v>
      </c>
      <c r="K6816" s="2" t="s">
        <v>809</v>
      </c>
      <c r="L6816" s="2" t="s">
        <v>157</v>
      </c>
      <c r="M6816" s="2">
        <v>80904.0</v>
      </c>
      <c r="N6816" s="2" t="s">
        <v>21</v>
      </c>
    </row>
    <row r="6817" ht="15.75" customHeight="1">
      <c r="A6817" s="2">
        <v>2016.0</v>
      </c>
      <c r="B6817" s="2" t="s">
        <v>29065</v>
      </c>
      <c r="C6817" s="2" t="s">
        <v>29065</v>
      </c>
      <c r="D6817" s="2" t="str">
        <f>"931-398-8291"</f>
        <v>931-398-8291</v>
      </c>
      <c r="E6817" s="2" t="s">
        <v>2412</v>
      </c>
      <c r="F6817" s="2" t="s">
        <v>3156</v>
      </c>
      <c r="G6817" s="2" t="str">
        <f>"SR-9010"</f>
        <v>SR-9010</v>
      </c>
      <c r="H6817" s="2" t="s">
        <v>29066</v>
      </c>
      <c r="I6817" s="2" t="s">
        <v>29067</v>
      </c>
      <c r="K6817" s="2" t="s">
        <v>2750</v>
      </c>
      <c r="L6817" s="2" t="s">
        <v>279</v>
      </c>
      <c r="M6817" s="2">
        <v>38401.0</v>
      </c>
      <c r="N6817" s="2" t="s">
        <v>21</v>
      </c>
    </row>
    <row r="6818" ht="15.75" customHeight="1">
      <c r="A6818" s="2">
        <v>2016.0</v>
      </c>
      <c r="B6818" s="2" t="s">
        <v>29068</v>
      </c>
      <c r="C6818" s="2" t="s">
        <v>29069</v>
      </c>
      <c r="D6818" s="2" t="str">
        <f>"4257462449"</f>
        <v>4257462449</v>
      </c>
      <c r="E6818" s="2" t="s">
        <v>29070</v>
      </c>
      <c r="F6818" s="2" t="s">
        <v>29071</v>
      </c>
      <c r="G6818" s="2" t="str">
        <f>"SR-8908"</f>
        <v>SR-8908</v>
      </c>
      <c r="H6818" s="2" t="s">
        <v>29072</v>
      </c>
      <c r="I6818" s="2" t="s">
        <v>29073</v>
      </c>
      <c r="K6818" s="2" t="s">
        <v>29074</v>
      </c>
      <c r="L6818" s="2" t="s">
        <v>86</v>
      </c>
      <c r="M6818" s="2">
        <v>98006.0</v>
      </c>
      <c r="N6818" s="2" t="s">
        <v>21</v>
      </c>
    </row>
    <row r="6819" ht="15.75" customHeight="1">
      <c r="A6819" s="2">
        <v>2016.0</v>
      </c>
      <c r="B6819" s="2" t="s">
        <v>29075</v>
      </c>
      <c r="C6819" s="2" t="s">
        <v>29075</v>
      </c>
      <c r="D6819" s="2" t="str">
        <f>"7202157244"</f>
        <v>7202157244</v>
      </c>
      <c r="E6819" s="2" t="s">
        <v>29076</v>
      </c>
      <c r="F6819" s="2" t="s">
        <v>29077</v>
      </c>
      <c r="G6819" s="2" t="str">
        <f>"SR-9068"</f>
        <v>SR-9068</v>
      </c>
      <c r="H6819" s="2" t="s">
        <v>29078</v>
      </c>
      <c r="I6819" s="2" t="s">
        <v>29079</v>
      </c>
      <c r="K6819" s="2" t="s">
        <v>1398</v>
      </c>
      <c r="L6819" s="2" t="s">
        <v>157</v>
      </c>
      <c r="M6819" s="2">
        <v>80109.0</v>
      </c>
      <c r="N6819" s="2" t="s">
        <v>21</v>
      </c>
    </row>
    <row r="6820" ht="15.75" customHeight="1">
      <c r="A6820" s="2">
        <v>2016.0</v>
      </c>
      <c r="B6820" s="2" t="s">
        <v>29080</v>
      </c>
      <c r="C6820" s="2" t="s">
        <v>29081</v>
      </c>
      <c r="D6820" s="2" t="str">
        <f>"512.264.2118"</f>
        <v>512.264.2118</v>
      </c>
      <c r="E6820" s="2" t="s">
        <v>29082</v>
      </c>
      <c r="F6820" s="2" t="s">
        <v>1151</v>
      </c>
      <c r="G6820" s="2" t="str">
        <f>"SR-9071"</f>
        <v>SR-9071</v>
      </c>
      <c r="H6820" s="2" t="s">
        <v>29083</v>
      </c>
      <c r="I6820" s="2" t="s">
        <v>12776</v>
      </c>
      <c r="K6820" s="2" t="s">
        <v>12777</v>
      </c>
      <c r="L6820" s="2" t="s">
        <v>172</v>
      </c>
      <c r="M6820" s="2">
        <v>78669.0</v>
      </c>
      <c r="N6820" s="2" t="s">
        <v>21</v>
      </c>
    </row>
    <row r="6821" ht="15.75" customHeight="1">
      <c r="A6821" s="2">
        <v>2016.0</v>
      </c>
      <c r="B6821" s="2" t="s">
        <v>29084</v>
      </c>
      <c r="C6821" s="2" t="s">
        <v>29085</v>
      </c>
      <c r="D6821" s="2" t="str">
        <f>"806-777-2497"</f>
        <v>806-777-2497</v>
      </c>
      <c r="E6821" s="2" t="s">
        <v>8887</v>
      </c>
      <c r="F6821" s="2" t="s">
        <v>9115</v>
      </c>
      <c r="G6821" s="2" t="str">
        <f>"SR-9070"</f>
        <v>SR-9070</v>
      </c>
      <c r="H6821" s="2" t="s">
        <v>29086</v>
      </c>
      <c r="I6821" s="2" t="s">
        <v>29087</v>
      </c>
      <c r="K6821" s="2" t="s">
        <v>29088</v>
      </c>
      <c r="L6821" s="2" t="s">
        <v>172</v>
      </c>
      <c r="M6821" s="2">
        <v>79424.0</v>
      </c>
      <c r="N6821" s="2" t="s">
        <v>21</v>
      </c>
    </row>
    <row r="6822" ht="15.75" customHeight="1">
      <c r="A6822" s="2">
        <v>2016.0</v>
      </c>
      <c r="B6822" s="2" t="s">
        <v>29089</v>
      </c>
      <c r="C6822" s="2" t="s">
        <v>29090</v>
      </c>
      <c r="D6822" s="2" t="str">
        <f>"6233778377"</f>
        <v>6233778377</v>
      </c>
      <c r="E6822" s="2" t="s">
        <v>2361</v>
      </c>
      <c r="F6822" s="2" t="s">
        <v>17150</v>
      </c>
      <c r="G6822" s="2" t="str">
        <f>"SR-9053"</f>
        <v>SR-9053</v>
      </c>
      <c r="H6822" s="2" t="s">
        <v>29091</v>
      </c>
      <c r="I6822" s="2" t="s">
        <v>29092</v>
      </c>
      <c r="L6822" s="2" t="s">
        <v>422</v>
      </c>
      <c r="M6822" s="2">
        <v>85340.0</v>
      </c>
      <c r="N6822" s="2" t="s">
        <v>21</v>
      </c>
    </row>
    <row r="6823" ht="15.75" customHeight="1">
      <c r="A6823" s="2">
        <v>2016.0</v>
      </c>
      <c r="B6823" s="2" t="s">
        <v>29089</v>
      </c>
      <c r="C6823" s="2" t="s">
        <v>29093</v>
      </c>
      <c r="D6823" s="2" t="str">
        <f>"6233776943"</f>
        <v>6233776943</v>
      </c>
      <c r="E6823" s="2" t="s">
        <v>2243</v>
      </c>
      <c r="F6823" s="2" t="s">
        <v>17150</v>
      </c>
      <c r="G6823" s="2" t="str">
        <f>"SR-9078"</f>
        <v>SR-9078</v>
      </c>
      <c r="H6823" s="2" t="s">
        <v>29094</v>
      </c>
      <c r="I6823" s="2" t="s">
        <v>29092</v>
      </c>
      <c r="K6823" s="2" t="s">
        <v>29095</v>
      </c>
      <c r="L6823" s="2" t="s">
        <v>422</v>
      </c>
      <c r="M6823" s="2">
        <v>85340.0</v>
      </c>
      <c r="N6823" s="2" t="s">
        <v>21</v>
      </c>
    </row>
    <row r="6824" ht="15.75" customHeight="1">
      <c r="A6824" s="2">
        <v>2016.0</v>
      </c>
      <c r="B6824" s="2" t="s">
        <v>29096</v>
      </c>
      <c r="C6824" s="2" t="s">
        <v>29097</v>
      </c>
      <c r="D6824" s="2" t="str">
        <f>"321-506-6500"</f>
        <v>321-506-6500</v>
      </c>
      <c r="E6824" s="2" t="s">
        <v>4322</v>
      </c>
      <c r="F6824" s="2" t="s">
        <v>465</v>
      </c>
      <c r="G6824" s="2" t="str">
        <f>"SR-9073"</f>
        <v>SR-9073</v>
      </c>
      <c r="H6824" s="2" t="s">
        <v>29098</v>
      </c>
      <c r="I6824" s="2" t="s">
        <v>29099</v>
      </c>
      <c r="K6824" s="2" t="s">
        <v>906</v>
      </c>
      <c r="L6824" s="2" t="s">
        <v>208</v>
      </c>
      <c r="M6824" s="2">
        <v>32904.0</v>
      </c>
      <c r="N6824" s="2" t="s">
        <v>21</v>
      </c>
    </row>
    <row r="6825" ht="15.75" customHeight="1">
      <c r="A6825" s="2">
        <v>2016.0</v>
      </c>
      <c r="B6825" s="2" t="s">
        <v>29100</v>
      </c>
      <c r="C6825" s="2" t="s">
        <v>29101</v>
      </c>
      <c r="D6825" s="2" t="str">
        <f>"317-873-3801"</f>
        <v>317-873-3801</v>
      </c>
      <c r="E6825" s="2" t="s">
        <v>584</v>
      </c>
      <c r="F6825" s="2" t="s">
        <v>29102</v>
      </c>
      <c r="G6825" s="2" t="str">
        <f>"SR-9026"</f>
        <v>SR-9026</v>
      </c>
      <c r="H6825" s="2" t="s">
        <v>29103</v>
      </c>
      <c r="I6825" s="2" t="s">
        <v>29104</v>
      </c>
      <c r="K6825" s="2" t="s">
        <v>408</v>
      </c>
      <c r="L6825" s="2" t="s">
        <v>149</v>
      </c>
      <c r="M6825" s="2">
        <v>46077.0</v>
      </c>
      <c r="N6825" s="2" t="s">
        <v>21</v>
      </c>
    </row>
    <row r="6826" ht="15.75" customHeight="1">
      <c r="A6826" s="2">
        <v>2016.0</v>
      </c>
      <c r="B6826" s="2" t="s">
        <v>29105</v>
      </c>
      <c r="C6826" s="2" t="s">
        <v>29106</v>
      </c>
      <c r="D6826" s="2" t="str">
        <f>"6624187249"</f>
        <v>6624187249</v>
      </c>
      <c r="E6826" s="2" t="s">
        <v>1278</v>
      </c>
      <c r="F6826" s="2" t="s">
        <v>29107</v>
      </c>
      <c r="G6826" s="2" t="str">
        <f>"SR-9037"</f>
        <v>SR-9037</v>
      </c>
      <c r="H6826" s="2" t="s">
        <v>29108</v>
      </c>
      <c r="I6826" s="2" t="s">
        <v>29109</v>
      </c>
      <c r="K6826" s="2" t="s">
        <v>1901</v>
      </c>
      <c r="L6826" s="2" t="s">
        <v>1722</v>
      </c>
      <c r="M6826" s="2">
        <v>39759.0</v>
      </c>
      <c r="N6826" s="2" t="s">
        <v>21</v>
      </c>
    </row>
    <row r="6827" ht="15.75" customHeight="1">
      <c r="A6827" s="2">
        <v>2016.0</v>
      </c>
      <c r="B6827" s="2" t="s">
        <v>29110</v>
      </c>
      <c r="C6827" s="2" t="s">
        <v>29110</v>
      </c>
      <c r="D6827" s="2" t="str">
        <f>"2569756739"</f>
        <v>2569756739</v>
      </c>
      <c r="E6827" s="2" t="s">
        <v>29111</v>
      </c>
      <c r="F6827" s="2" t="s">
        <v>29112</v>
      </c>
      <c r="G6827" s="2" t="str">
        <f>"SR-8986"</f>
        <v>SR-8986</v>
      </c>
      <c r="H6827" s="2" t="s">
        <v>29113</v>
      </c>
      <c r="I6827" s="2" t="s">
        <v>29114</v>
      </c>
      <c r="K6827" s="2" t="s">
        <v>1953</v>
      </c>
      <c r="L6827" s="2" t="s">
        <v>539</v>
      </c>
      <c r="M6827" s="2">
        <v>35811.0</v>
      </c>
      <c r="N6827" s="2" t="s">
        <v>21</v>
      </c>
    </row>
    <row r="6828" ht="15.75" customHeight="1">
      <c r="A6828" s="2">
        <v>2016.0</v>
      </c>
      <c r="B6828" s="2" t="s">
        <v>29115</v>
      </c>
      <c r="C6828" s="2" t="s">
        <v>29116</v>
      </c>
      <c r="D6828" s="2" t="str">
        <f>"936-788-3160"</f>
        <v>936-788-3160</v>
      </c>
      <c r="E6828" s="2" t="s">
        <v>29117</v>
      </c>
      <c r="F6828" s="2" t="s">
        <v>21596</v>
      </c>
      <c r="G6828" s="2" t="str">
        <f>"SR-9083"</f>
        <v>SR-9083</v>
      </c>
      <c r="H6828" s="2" t="s">
        <v>29118</v>
      </c>
      <c r="I6828" s="2" t="s">
        <v>29119</v>
      </c>
      <c r="K6828" s="2" t="s">
        <v>538</v>
      </c>
      <c r="L6828" s="2" t="s">
        <v>172</v>
      </c>
      <c r="M6828" s="2">
        <v>77356.0</v>
      </c>
      <c r="N6828" s="2" t="s">
        <v>21</v>
      </c>
    </row>
    <row r="6829" ht="15.75" customHeight="1">
      <c r="A6829" s="2">
        <v>2016.0</v>
      </c>
      <c r="B6829" s="2" t="s">
        <v>29120</v>
      </c>
      <c r="C6829" s="2" t="s">
        <v>29121</v>
      </c>
      <c r="D6829" s="2" t="str">
        <f>"9726707400"</f>
        <v>9726707400</v>
      </c>
      <c r="E6829" s="2" t="s">
        <v>1450</v>
      </c>
      <c r="F6829" s="2" t="s">
        <v>28554</v>
      </c>
      <c r="G6829" s="2" t="str">
        <f>"SR-9084"</f>
        <v>SR-9084</v>
      </c>
      <c r="H6829" s="2" t="s">
        <v>29122</v>
      </c>
      <c r="I6829" s="2" t="s">
        <v>29123</v>
      </c>
      <c r="K6829" s="2" t="s">
        <v>615</v>
      </c>
      <c r="L6829" s="2" t="s">
        <v>172</v>
      </c>
      <c r="M6829" s="2">
        <v>75070.0</v>
      </c>
      <c r="N6829" s="2" t="s">
        <v>21</v>
      </c>
    </row>
    <row r="6830" ht="15.75" customHeight="1">
      <c r="A6830" s="2">
        <v>2016.0</v>
      </c>
      <c r="B6830" s="2" t="s">
        <v>29124</v>
      </c>
      <c r="C6830" s="2" t="s">
        <v>29125</v>
      </c>
      <c r="D6830" s="2" t="str">
        <f>"706-437-0697"</f>
        <v>706-437-0697</v>
      </c>
      <c r="E6830" s="2" t="s">
        <v>81</v>
      </c>
      <c r="F6830" s="2" t="s">
        <v>29126</v>
      </c>
      <c r="G6830" s="2" t="str">
        <f>"SR-9085"</f>
        <v>SR-9085</v>
      </c>
      <c r="H6830" s="2" t="s">
        <v>29127</v>
      </c>
      <c r="I6830" s="2" t="s">
        <v>29128</v>
      </c>
      <c r="K6830" s="2" t="s">
        <v>29129</v>
      </c>
      <c r="L6830" s="2" t="s">
        <v>200</v>
      </c>
      <c r="M6830" s="2">
        <v>30830.0</v>
      </c>
      <c r="N6830" s="2" t="s">
        <v>21</v>
      </c>
    </row>
    <row r="6831" ht="15.75" customHeight="1">
      <c r="A6831" s="2">
        <v>2016.0</v>
      </c>
      <c r="B6831" s="2" t="s">
        <v>26218</v>
      </c>
      <c r="C6831" s="2" t="s">
        <v>29130</v>
      </c>
      <c r="D6831" s="2" t="str">
        <f>"(562) 553-2228"</f>
        <v>(562) 553-2228</v>
      </c>
      <c r="E6831" s="2" t="s">
        <v>1141</v>
      </c>
      <c r="F6831" s="2" t="s">
        <v>26221</v>
      </c>
      <c r="G6831" s="2" t="str">
        <f>"SR-8331"</f>
        <v>SR-8331</v>
      </c>
      <c r="H6831" s="2" t="s">
        <v>29131</v>
      </c>
      <c r="I6831" s="2" t="s">
        <v>26229</v>
      </c>
      <c r="K6831" s="2" t="s">
        <v>24539</v>
      </c>
      <c r="L6831" s="2" t="s">
        <v>222</v>
      </c>
      <c r="M6831" s="2">
        <v>90638.0</v>
      </c>
      <c r="N6831" s="2" t="s">
        <v>21</v>
      </c>
    </row>
    <row r="6832" ht="15.75" customHeight="1">
      <c r="A6832" s="2">
        <v>2016.0</v>
      </c>
      <c r="B6832" s="2" t="s">
        <v>29132</v>
      </c>
      <c r="C6832" s="2" t="s">
        <v>29132</v>
      </c>
      <c r="D6832" s="2" t="str">
        <f>"260-273-5333"</f>
        <v>260-273-5333</v>
      </c>
      <c r="E6832" s="2" t="s">
        <v>1974</v>
      </c>
      <c r="F6832" s="2" t="s">
        <v>29133</v>
      </c>
      <c r="G6832" s="2" t="str">
        <f>"SR-9090"</f>
        <v>SR-9090</v>
      </c>
      <c r="H6832" s="2" t="s">
        <v>29134</v>
      </c>
      <c r="I6832" s="2" t="s">
        <v>29135</v>
      </c>
      <c r="K6832" s="2" t="s">
        <v>4552</v>
      </c>
      <c r="L6832" s="2" t="s">
        <v>149</v>
      </c>
      <c r="M6832" s="2">
        <v>46714.0</v>
      </c>
      <c r="N6832" s="2" t="s">
        <v>21</v>
      </c>
    </row>
    <row r="6833" ht="15.75" customHeight="1">
      <c r="A6833" s="2">
        <v>2016.0</v>
      </c>
      <c r="B6833" s="2" t="s">
        <v>29136</v>
      </c>
      <c r="C6833" s="2" t="s">
        <v>29137</v>
      </c>
      <c r="D6833" s="2" t="str">
        <f>"720-499-5410"</f>
        <v>720-499-5410</v>
      </c>
      <c r="E6833" s="2" t="s">
        <v>288</v>
      </c>
      <c r="F6833" s="2" t="s">
        <v>29138</v>
      </c>
      <c r="G6833" s="2" t="str">
        <f>"SR-9087"</f>
        <v>SR-9087</v>
      </c>
      <c r="H6833" s="2" t="s">
        <v>29139</v>
      </c>
      <c r="I6833" s="2" t="s">
        <v>29140</v>
      </c>
      <c r="K6833" s="2" t="s">
        <v>2527</v>
      </c>
      <c r="L6833" s="2" t="s">
        <v>157</v>
      </c>
      <c r="M6833" s="2">
        <v>80249.0</v>
      </c>
      <c r="N6833" s="2" t="s">
        <v>21</v>
      </c>
    </row>
    <row r="6834" ht="15.75" customHeight="1">
      <c r="A6834" s="2">
        <v>2016.0</v>
      </c>
      <c r="B6834" s="2" t="s">
        <v>29141</v>
      </c>
      <c r="C6834" s="2" t="s">
        <v>29141</v>
      </c>
      <c r="D6834" s="2" t="str">
        <f>"2175522688"</f>
        <v>2175522688</v>
      </c>
      <c r="E6834" s="2" t="s">
        <v>3831</v>
      </c>
      <c r="F6834" s="2" t="s">
        <v>9374</v>
      </c>
      <c r="G6834" s="2" t="str">
        <f>"SR-9066"</f>
        <v>SR-9066</v>
      </c>
      <c r="H6834" s="2" t="s">
        <v>29142</v>
      </c>
      <c r="I6834" s="2" t="s">
        <v>29143</v>
      </c>
      <c r="K6834" s="2" t="s">
        <v>5373</v>
      </c>
      <c r="L6834" s="2" t="s">
        <v>105</v>
      </c>
      <c r="M6834" s="2">
        <v>61856.0</v>
      </c>
      <c r="N6834" s="2" t="s">
        <v>21</v>
      </c>
    </row>
    <row r="6835" ht="15.75" customHeight="1">
      <c r="A6835" s="2">
        <v>2016.0</v>
      </c>
      <c r="B6835" s="2" t="s">
        <v>29144</v>
      </c>
      <c r="C6835" s="2" t="s">
        <v>29145</v>
      </c>
      <c r="D6835" s="2" t="str">
        <f>"2604024479"</f>
        <v>2604024479</v>
      </c>
      <c r="E6835" s="2" t="s">
        <v>217</v>
      </c>
      <c r="F6835" s="2" t="s">
        <v>29146</v>
      </c>
      <c r="G6835" s="2" t="str">
        <f>"SR-9091"</f>
        <v>SR-9091</v>
      </c>
      <c r="H6835" s="2" t="s">
        <v>29147</v>
      </c>
      <c r="I6835" s="2" t="s">
        <v>29148</v>
      </c>
      <c r="K6835" s="2" t="s">
        <v>4298</v>
      </c>
      <c r="L6835" s="2" t="s">
        <v>149</v>
      </c>
      <c r="M6835" s="2">
        <v>46809.0</v>
      </c>
      <c r="N6835" s="2" t="s">
        <v>21</v>
      </c>
    </row>
    <row r="6836" ht="15.75" customHeight="1">
      <c r="A6836" s="2">
        <v>2016.0</v>
      </c>
      <c r="B6836" s="2" t="s">
        <v>29149</v>
      </c>
      <c r="C6836" s="2" t="s">
        <v>29150</v>
      </c>
      <c r="D6836" s="2" t="str">
        <f>"4068909995"</f>
        <v>4068909995</v>
      </c>
      <c r="E6836" s="2" t="s">
        <v>1032</v>
      </c>
      <c r="F6836" s="2" t="s">
        <v>5632</v>
      </c>
      <c r="G6836" s="2" t="str">
        <f>"SR-9086"</f>
        <v>SR-9086</v>
      </c>
      <c r="H6836" s="2" t="s">
        <v>29151</v>
      </c>
      <c r="I6836" s="2" t="s">
        <v>29152</v>
      </c>
      <c r="K6836" s="2" t="s">
        <v>29153</v>
      </c>
      <c r="L6836" s="2" t="s">
        <v>2696</v>
      </c>
      <c r="M6836" s="2">
        <v>59912.0</v>
      </c>
      <c r="N6836" s="2" t="s">
        <v>21</v>
      </c>
    </row>
    <row r="6837" ht="15.75" customHeight="1">
      <c r="A6837" s="2">
        <v>2016.0</v>
      </c>
      <c r="B6837" s="2" t="s">
        <v>21293</v>
      </c>
      <c r="C6837" s="2" t="s">
        <v>21294</v>
      </c>
      <c r="D6837" s="2" t="str">
        <f>"1-316-682-1378"</f>
        <v>1-316-682-1378</v>
      </c>
      <c r="E6837" s="2" t="s">
        <v>21295</v>
      </c>
      <c r="F6837" s="2" t="s">
        <v>4330</v>
      </c>
      <c r="G6837" s="2" t="str">
        <f>"SR-6500"</f>
        <v>SR-6500</v>
      </c>
      <c r="H6837" s="2" t="s">
        <v>21296</v>
      </c>
      <c r="I6837" s="2" t="s">
        <v>21297</v>
      </c>
      <c r="K6837" s="2" t="s">
        <v>606</v>
      </c>
      <c r="L6837" s="2" t="s">
        <v>272</v>
      </c>
      <c r="M6837" s="2">
        <v>67206.0</v>
      </c>
      <c r="N6837" s="2" t="s">
        <v>21</v>
      </c>
    </row>
    <row r="6838" ht="15.75" customHeight="1">
      <c r="A6838" s="2">
        <v>2016.0</v>
      </c>
      <c r="B6838" s="2" t="s">
        <v>29154</v>
      </c>
      <c r="C6838" s="2" t="s">
        <v>29154</v>
      </c>
      <c r="D6838" s="2" t="str">
        <f>"260-413-4188"</f>
        <v>260-413-4188</v>
      </c>
      <c r="E6838" s="2" t="s">
        <v>29155</v>
      </c>
      <c r="F6838" s="2" t="s">
        <v>2863</v>
      </c>
      <c r="G6838" s="2" t="str">
        <f>"SR-9096"</f>
        <v>SR-9096</v>
      </c>
      <c r="H6838" s="2" t="s">
        <v>29156</v>
      </c>
      <c r="I6838" s="2" t="s">
        <v>29157</v>
      </c>
      <c r="K6838" s="2" t="s">
        <v>4298</v>
      </c>
      <c r="L6838" s="2" t="s">
        <v>149</v>
      </c>
      <c r="M6838" s="2">
        <v>46815.0</v>
      </c>
      <c r="N6838" s="2" t="s">
        <v>21</v>
      </c>
    </row>
    <row r="6839" ht="15.75" customHeight="1">
      <c r="A6839" s="2">
        <v>2016.0</v>
      </c>
      <c r="B6839" s="2" t="s">
        <v>29158</v>
      </c>
      <c r="C6839" s="2" t="s">
        <v>29159</v>
      </c>
      <c r="D6839" s="2" t="str">
        <f>"8167162021"</f>
        <v>8167162021</v>
      </c>
      <c r="E6839" s="2" t="s">
        <v>29160</v>
      </c>
      <c r="F6839" s="2" t="s">
        <v>256</v>
      </c>
      <c r="G6839" s="2" t="str">
        <f>"SR-8942"</f>
        <v>SR-8942</v>
      </c>
      <c r="H6839" s="2" t="s">
        <v>29161</v>
      </c>
      <c r="I6839" s="2" t="s">
        <v>29162</v>
      </c>
      <c r="K6839" s="2" t="s">
        <v>3588</v>
      </c>
      <c r="L6839" s="2" t="s">
        <v>272</v>
      </c>
      <c r="M6839" s="2">
        <v>66216.0</v>
      </c>
      <c r="N6839" s="2" t="s">
        <v>21</v>
      </c>
    </row>
    <row r="6840" ht="15.75" customHeight="1">
      <c r="A6840" s="2">
        <v>2016.0</v>
      </c>
      <c r="B6840" s="2" t="s">
        <v>29163</v>
      </c>
      <c r="C6840" s="2" t="s">
        <v>29164</v>
      </c>
      <c r="D6840" s="2" t="str">
        <f>"(603) 568-1788"</f>
        <v>(603) 568-1788</v>
      </c>
      <c r="E6840" s="2" t="s">
        <v>26755</v>
      </c>
      <c r="F6840" s="2" t="s">
        <v>1263</v>
      </c>
      <c r="G6840" s="2" t="str">
        <f>"SR-9054"</f>
        <v>SR-9054</v>
      </c>
      <c r="H6840" s="2" t="s">
        <v>29165</v>
      </c>
      <c r="I6840" s="2" t="s">
        <v>29166</v>
      </c>
      <c r="K6840" s="2" t="s">
        <v>29167</v>
      </c>
      <c r="L6840" s="2" t="s">
        <v>19930</v>
      </c>
      <c r="M6840" s="2">
        <v>3304.0</v>
      </c>
      <c r="N6840" s="2" t="s">
        <v>21</v>
      </c>
    </row>
    <row r="6841" ht="15.75" customHeight="1">
      <c r="A6841" s="2">
        <v>2016.0</v>
      </c>
      <c r="B6841" s="2" t="s">
        <v>29168</v>
      </c>
      <c r="C6841" s="2" t="s">
        <v>29169</v>
      </c>
      <c r="D6841" s="2" t="str">
        <f>"651-699-8964"</f>
        <v>651-699-8964</v>
      </c>
      <c r="E6841" s="2" t="s">
        <v>14150</v>
      </c>
      <c r="F6841" s="2" t="s">
        <v>29170</v>
      </c>
      <c r="G6841" s="2" t="str">
        <f>"SR-8763"</f>
        <v>SR-8763</v>
      </c>
      <c r="H6841" s="2" t="s">
        <v>29171</v>
      </c>
      <c r="I6841" s="2" t="s">
        <v>29172</v>
      </c>
      <c r="K6841" s="2" t="s">
        <v>29173</v>
      </c>
      <c r="L6841" s="2" t="s">
        <v>62</v>
      </c>
      <c r="M6841" s="2">
        <v>55120.0</v>
      </c>
      <c r="N6841" s="2" t="s">
        <v>21</v>
      </c>
    </row>
    <row r="6842" ht="15.75" customHeight="1">
      <c r="A6842" s="2">
        <v>2016.0</v>
      </c>
      <c r="B6842" s="2" t="s">
        <v>29174</v>
      </c>
      <c r="C6842" s="2" t="s">
        <v>29174</v>
      </c>
      <c r="D6842" s="2" t="str">
        <f>"9033871682"</f>
        <v>9033871682</v>
      </c>
      <c r="E6842" s="2" t="s">
        <v>29175</v>
      </c>
      <c r="F6842" s="2" t="s">
        <v>701</v>
      </c>
      <c r="G6842" s="2" t="str">
        <f>"SR-7834"</f>
        <v>SR-7834</v>
      </c>
      <c r="H6842" s="2" t="s">
        <v>29176</v>
      </c>
      <c r="I6842" s="2" t="s">
        <v>29177</v>
      </c>
      <c r="J6842" s="2" t="s">
        <v>29178</v>
      </c>
      <c r="K6842" s="2" t="s">
        <v>4808</v>
      </c>
      <c r="L6842" s="2" t="s">
        <v>172</v>
      </c>
      <c r="M6842" s="2">
        <v>75605.0</v>
      </c>
      <c r="N6842" s="2" t="s">
        <v>21</v>
      </c>
    </row>
    <row r="6843" ht="15.75" customHeight="1">
      <c r="A6843" s="2">
        <v>2016.0</v>
      </c>
      <c r="B6843" s="2" t="s">
        <v>29179</v>
      </c>
      <c r="C6843" s="2" t="s">
        <v>29180</v>
      </c>
      <c r="D6843" s="2" t="str">
        <f>"651-491-4514"</f>
        <v>651-491-4514</v>
      </c>
      <c r="E6843" s="2" t="s">
        <v>14576</v>
      </c>
      <c r="F6843" s="2" t="s">
        <v>29181</v>
      </c>
      <c r="G6843" s="2" t="str">
        <f>"SR-9106"</f>
        <v>SR-9106</v>
      </c>
      <c r="H6843" s="2" t="s">
        <v>29182</v>
      </c>
      <c r="I6843" s="2" t="s">
        <v>29183</v>
      </c>
      <c r="K6843" s="2" t="s">
        <v>5362</v>
      </c>
      <c r="L6843" s="2" t="s">
        <v>62</v>
      </c>
      <c r="M6843" s="2">
        <v>55025.0</v>
      </c>
      <c r="N6843" s="2" t="s">
        <v>21</v>
      </c>
    </row>
    <row r="6844" ht="15.75" customHeight="1">
      <c r="A6844" s="2">
        <v>2016.0</v>
      </c>
      <c r="B6844" s="2" t="s">
        <v>29184</v>
      </c>
      <c r="C6844" s="2" t="s">
        <v>29185</v>
      </c>
      <c r="D6844" s="2" t="str">
        <f>"949-374-0529"</f>
        <v>949-374-0529</v>
      </c>
      <c r="E6844" s="2" t="s">
        <v>955</v>
      </c>
      <c r="F6844" s="2" t="s">
        <v>3645</v>
      </c>
      <c r="G6844" s="2" t="str">
        <f>"SR-9055"</f>
        <v>SR-9055</v>
      </c>
      <c r="H6844" s="2" t="s">
        <v>29186</v>
      </c>
      <c r="I6844" s="2" t="s">
        <v>29187</v>
      </c>
      <c r="K6844" s="2" t="s">
        <v>28572</v>
      </c>
      <c r="L6844" s="2" t="s">
        <v>222</v>
      </c>
      <c r="M6844" s="2">
        <v>92629.0</v>
      </c>
      <c r="N6844" s="2" t="s">
        <v>21</v>
      </c>
    </row>
    <row r="6845" ht="15.75" customHeight="1">
      <c r="A6845" s="2">
        <v>2016.0</v>
      </c>
      <c r="B6845" s="2" t="s">
        <v>29188</v>
      </c>
      <c r="C6845" s="2" t="s">
        <v>29189</v>
      </c>
      <c r="D6845" s="2" t="str">
        <f>"2142985391"</f>
        <v>2142985391</v>
      </c>
      <c r="E6845" s="2" t="s">
        <v>29190</v>
      </c>
      <c r="F6845" s="2" t="s">
        <v>29191</v>
      </c>
      <c r="G6845" s="2" t="str">
        <f>"SR-9111"</f>
        <v>SR-9111</v>
      </c>
      <c r="H6845" s="2" t="s">
        <v>29192</v>
      </c>
      <c r="I6845" s="2" t="s">
        <v>29193</v>
      </c>
      <c r="K6845" s="2" t="s">
        <v>29194</v>
      </c>
      <c r="L6845" s="2" t="s">
        <v>172</v>
      </c>
      <c r="M6845" s="2">
        <v>75088.0</v>
      </c>
      <c r="N6845" s="2" t="s">
        <v>21</v>
      </c>
    </row>
    <row r="6846" ht="15.75" customHeight="1">
      <c r="A6846" s="2">
        <v>2016.0</v>
      </c>
      <c r="B6846" s="2" t="s">
        <v>29195</v>
      </c>
      <c r="C6846" s="2" t="s">
        <v>29196</v>
      </c>
      <c r="D6846" s="2" t="str">
        <f>"3107170304"</f>
        <v>3107170304</v>
      </c>
      <c r="E6846" s="2" t="s">
        <v>453</v>
      </c>
      <c r="F6846" s="2" t="s">
        <v>89</v>
      </c>
      <c r="G6846" s="2" t="str">
        <f>"SR-9107"</f>
        <v>SR-9107</v>
      </c>
      <c r="H6846" s="2" t="s">
        <v>29197</v>
      </c>
      <c r="I6846" s="2" t="s">
        <v>29198</v>
      </c>
      <c r="K6846" s="2" t="s">
        <v>27372</v>
      </c>
      <c r="L6846" s="2" t="s">
        <v>222</v>
      </c>
      <c r="M6846" s="2">
        <v>90274.0</v>
      </c>
      <c r="N6846" s="2" t="s">
        <v>21</v>
      </c>
    </row>
    <row r="6847" ht="15.75" customHeight="1">
      <c r="A6847" s="2">
        <v>2016.0</v>
      </c>
      <c r="B6847" s="2" t="s">
        <v>29199</v>
      </c>
      <c r="C6847" s="2" t="s">
        <v>29200</v>
      </c>
      <c r="D6847" s="2" t="str">
        <f>"3203962136"</f>
        <v>3203962136</v>
      </c>
      <c r="E6847" s="2" t="s">
        <v>23508</v>
      </c>
      <c r="F6847" s="2" t="s">
        <v>29201</v>
      </c>
      <c r="G6847" s="2" t="str">
        <f>"SR-8938"</f>
        <v>SR-8938</v>
      </c>
      <c r="H6847" s="2" t="s">
        <v>29202</v>
      </c>
      <c r="I6847" s="2" t="s">
        <v>29203</v>
      </c>
      <c r="K6847" s="2" t="s">
        <v>29204</v>
      </c>
      <c r="L6847" s="2" t="s">
        <v>62</v>
      </c>
      <c r="M6847" s="2">
        <v>55030.0</v>
      </c>
      <c r="N6847" s="2" t="s">
        <v>21</v>
      </c>
    </row>
    <row r="6848" ht="15.75" customHeight="1">
      <c r="A6848" s="2">
        <v>2016.0</v>
      </c>
      <c r="B6848" s="2" t="s">
        <v>29205</v>
      </c>
      <c r="C6848" s="2" t="s">
        <v>29206</v>
      </c>
      <c r="D6848" s="2" t="str">
        <f>"713-204-4443"</f>
        <v>713-204-4443</v>
      </c>
      <c r="E6848" s="2" t="s">
        <v>2373</v>
      </c>
      <c r="F6848" s="2" t="s">
        <v>29207</v>
      </c>
      <c r="G6848" s="2" t="str">
        <f>"SR-9092"</f>
        <v>SR-9092</v>
      </c>
      <c r="H6848" s="2" t="s">
        <v>29208</v>
      </c>
      <c r="I6848" s="2" t="s">
        <v>29209</v>
      </c>
      <c r="K6848" s="2" t="s">
        <v>538</v>
      </c>
      <c r="L6848" s="2" t="s">
        <v>172</v>
      </c>
      <c r="M6848" s="2">
        <v>77356.0</v>
      </c>
      <c r="N6848" s="2" t="s">
        <v>21</v>
      </c>
    </row>
    <row r="6849" ht="15.75" customHeight="1">
      <c r="A6849" s="2">
        <v>2016.0</v>
      </c>
      <c r="B6849" s="2" t="s">
        <v>29210</v>
      </c>
      <c r="C6849" s="2" t="s">
        <v>29210</v>
      </c>
      <c r="D6849" s="2" t="str">
        <f>"9728256944"</f>
        <v>9728256944</v>
      </c>
      <c r="E6849" s="2" t="s">
        <v>29211</v>
      </c>
      <c r="F6849" s="2" t="s">
        <v>256</v>
      </c>
      <c r="G6849" s="2" t="str">
        <f>"SR-9042"</f>
        <v>SR-9042</v>
      </c>
      <c r="H6849" s="2" t="s">
        <v>29212</v>
      </c>
      <c r="I6849" s="2" t="s">
        <v>29213</v>
      </c>
      <c r="K6849" s="2" t="s">
        <v>14352</v>
      </c>
      <c r="L6849" s="2" t="s">
        <v>172</v>
      </c>
      <c r="M6849" s="2">
        <v>75155.0</v>
      </c>
      <c r="N6849" s="2" t="s">
        <v>21</v>
      </c>
    </row>
    <row r="6850" ht="15.75" customHeight="1">
      <c r="A6850" s="2">
        <v>2016.0</v>
      </c>
      <c r="B6850" s="2" t="s">
        <v>29214</v>
      </c>
      <c r="C6850" s="2" t="s">
        <v>29215</v>
      </c>
      <c r="D6850" s="2" t="str">
        <f>"615-681-1036"</f>
        <v>615-681-1036</v>
      </c>
      <c r="E6850" s="2" t="s">
        <v>752</v>
      </c>
      <c r="F6850" s="2" t="s">
        <v>29216</v>
      </c>
      <c r="G6850" s="2" t="str">
        <f>"SR-9114"</f>
        <v>SR-9114</v>
      </c>
      <c r="H6850" s="2" t="s">
        <v>29217</v>
      </c>
      <c r="I6850" s="2" t="s">
        <v>29218</v>
      </c>
      <c r="K6850" s="2" t="s">
        <v>29219</v>
      </c>
      <c r="L6850" s="2" t="s">
        <v>279</v>
      </c>
      <c r="M6850" s="2">
        <v>37188.0</v>
      </c>
      <c r="N6850" s="2" t="s">
        <v>21</v>
      </c>
    </row>
    <row r="6851" ht="15.75" customHeight="1">
      <c r="A6851" s="2">
        <v>2016.0</v>
      </c>
      <c r="B6851" s="2" t="s">
        <v>29220</v>
      </c>
      <c r="C6851" s="2" t="s">
        <v>29221</v>
      </c>
      <c r="D6851" s="2" t="str">
        <f>"3862140140"</f>
        <v>3862140140</v>
      </c>
      <c r="E6851" s="2" t="s">
        <v>19516</v>
      </c>
      <c r="F6851" s="2" t="s">
        <v>29222</v>
      </c>
      <c r="G6851" s="2" t="str">
        <f>"SR-9093"</f>
        <v>SR-9093</v>
      </c>
      <c r="H6851" s="2" t="s">
        <v>29223</v>
      </c>
      <c r="I6851" s="2" t="s">
        <v>29224</v>
      </c>
      <c r="K6851" s="2" t="s">
        <v>26245</v>
      </c>
      <c r="L6851" s="2" t="s">
        <v>208</v>
      </c>
      <c r="M6851" s="2">
        <v>32127.0</v>
      </c>
      <c r="N6851" s="2" t="s">
        <v>21</v>
      </c>
    </row>
    <row r="6852" ht="15.75" customHeight="1">
      <c r="A6852" s="2">
        <v>2016.0</v>
      </c>
      <c r="B6852" s="2" t="s">
        <v>29225</v>
      </c>
      <c r="C6852" s="2" t="s">
        <v>29225</v>
      </c>
      <c r="D6852" s="2" t="str">
        <f>"2253285915"</f>
        <v>2253285915</v>
      </c>
      <c r="E6852" s="2" t="s">
        <v>4120</v>
      </c>
      <c r="F6852" s="2" t="s">
        <v>6527</v>
      </c>
      <c r="G6852" s="2" t="str">
        <f>"SR-9045"</f>
        <v>SR-9045</v>
      </c>
      <c r="H6852" s="2" t="s">
        <v>29226</v>
      </c>
      <c r="I6852" s="2" t="s">
        <v>29227</v>
      </c>
      <c r="K6852" s="2" t="s">
        <v>7771</v>
      </c>
      <c r="L6852" s="2" t="s">
        <v>715</v>
      </c>
      <c r="M6852" s="2">
        <v>70780.0</v>
      </c>
      <c r="N6852" s="2" t="s">
        <v>21</v>
      </c>
    </row>
    <row r="6853" ht="15.75" customHeight="1">
      <c r="A6853" s="2">
        <v>2016.0</v>
      </c>
      <c r="B6853" s="2" t="s">
        <v>29228</v>
      </c>
      <c r="C6853" s="2" t="s">
        <v>29229</v>
      </c>
      <c r="D6853" s="2" t="str">
        <f>"5616767695"</f>
        <v>5616767695</v>
      </c>
      <c r="E6853" s="2" t="s">
        <v>6059</v>
      </c>
      <c r="F6853" s="2" t="s">
        <v>29230</v>
      </c>
      <c r="G6853" s="2" t="str">
        <f>"SR-340"</f>
        <v>SR-340</v>
      </c>
      <c r="H6853" s="2" t="s">
        <v>29231</v>
      </c>
      <c r="I6853" s="2" t="s">
        <v>29232</v>
      </c>
      <c r="K6853" s="2" t="s">
        <v>29233</v>
      </c>
      <c r="L6853" s="2" t="s">
        <v>208</v>
      </c>
      <c r="M6853" s="2">
        <v>33462.0</v>
      </c>
      <c r="N6853" s="2" t="s">
        <v>21</v>
      </c>
    </row>
    <row r="6854" ht="15.75" customHeight="1">
      <c r="A6854" s="2">
        <v>2016.0</v>
      </c>
      <c r="B6854" s="2" t="s">
        <v>29234</v>
      </c>
      <c r="C6854" s="2" t="s">
        <v>29234</v>
      </c>
      <c r="D6854" s="2" t="str">
        <f>"4038944811"</f>
        <v>4038944811</v>
      </c>
      <c r="E6854" s="2" t="s">
        <v>4111</v>
      </c>
      <c r="F6854" s="2" t="s">
        <v>6733</v>
      </c>
      <c r="G6854" s="2" t="str">
        <f>"SR-9104"</f>
        <v>SR-9104</v>
      </c>
      <c r="H6854" s="2" t="s">
        <v>29235</v>
      </c>
      <c r="I6854" s="2" t="s">
        <v>29236</v>
      </c>
      <c r="K6854" s="2" t="s">
        <v>6736</v>
      </c>
      <c r="N6854" s="2" t="s">
        <v>1602</v>
      </c>
    </row>
    <row r="6855" ht="15.75" customHeight="1">
      <c r="A6855" s="2">
        <v>2016.0</v>
      </c>
      <c r="B6855" s="2" t="s">
        <v>29237</v>
      </c>
      <c r="C6855" s="2" t="s">
        <v>29238</v>
      </c>
      <c r="D6855" s="2" t="str">
        <f>"574-258-7988"</f>
        <v>574-258-7988</v>
      </c>
      <c r="E6855" s="2" t="s">
        <v>2162</v>
      </c>
      <c r="F6855" s="2" t="s">
        <v>3003</v>
      </c>
      <c r="G6855" s="2" t="str">
        <f>"SR-9123"</f>
        <v>SR-9123</v>
      </c>
      <c r="H6855" s="2" t="s">
        <v>29239</v>
      </c>
      <c r="I6855" s="2" t="s">
        <v>29240</v>
      </c>
      <c r="K6855" s="2" t="s">
        <v>29241</v>
      </c>
      <c r="L6855" s="2" t="s">
        <v>149</v>
      </c>
      <c r="M6855" s="2">
        <v>46545.0</v>
      </c>
      <c r="N6855" s="2" t="s">
        <v>21</v>
      </c>
    </row>
    <row r="6856" ht="15.75" customHeight="1">
      <c r="A6856" s="2">
        <v>2016.0</v>
      </c>
      <c r="B6856" s="2" t="s">
        <v>29242</v>
      </c>
      <c r="C6856" s="2" t="s">
        <v>29243</v>
      </c>
      <c r="D6856" s="2" t="str">
        <f>"9099474156"</f>
        <v>9099474156</v>
      </c>
      <c r="E6856" s="2" t="s">
        <v>5916</v>
      </c>
      <c r="F6856" s="2" t="s">
        <v>29244</v>
      </c>
      <c r="G6856" s="2" t="str">
        <f>"SR-9125"</f>
        <v>SR-9125</v>
      </c>
      <c r="H6856" s="2" t="s">
        <v>29245</v>
      </c>
      <c r="I6856" s="2" t="s">
        <v>29246</v>
      </c>
      <c r="K6856" s="2" t="s">
        <v>2015</v>
      </c>
      <c r="L6856" s="2" t="s">
        <v>222</v>
      </c>
      <c r="M6856" s="2">
        <v>91761.0</v>
      </c>
      <c r="N6856" s="2" t="s">
        <v>21</v>
      </c>
    </row>
    <row r="6857" ht="15.75" customHeight="1">
      <c r="A6857" s="2">
        <v>2016.0</v>
      </c>
      <c r="B6857" s="2" t="s">
        <v>29247</v>
      </c>
      <c r="C6857" s="2" t="s">
        <v>29248</v>
      </c>
      <c r="D6857" s="2" t="str">
        <f>"484-868-0224"</f>
        <v>484-868-0224</v>
      </c>
      <c r="E6857" s="2" t="s">
        <v>1015</v>
      </c>
      <c r="F6857" s="2" t="s">
        <v>14100</v>
      </c>
      <c r="G6857" s="2" t="str">
        <f>"SR-9117"</f>
        <v>SR-9117</v>
      </c>
      <c r="H6857" s="2" t="s">
        <v>29249</v>
      </c>
      <c r="I6857" s="2" t="s">
        <v>29250</v>
      </c>
      <c r="K6857" s="2" t="s">
        <v>29251</v>
      </c>
      <c r="L6857" s="2" t="s">
        <v>179</v>
      </c>
      <c r="M6857" s="2">
        <v>19525.0</v>
      </c>
      <c r="N6857" s="2" t="s">
        <v>21</v>
      </c>
    </row>
    <row r="6858" ht="15.75" customHeight="1">
      <c r="A6858" s="2">
        <v>2016.0</v>
      </c>
      <c r="B6858" s="2" t="s">
        <v>29252</v>
      </c>
      <c r="C6858" s="2" t="s">
        <v>29252</v>
      </c>
      <c r="D6858" s="2" t="str">
        <f>"6514910853"</f>
        <v>6514910853</v>
      </c>
      <c r="E6858" s="2" t="s">
        <v>29253</v>
      </c>
      <c r="F6858" s="2" t="s">
        <v>29254</v>
      </c>
      <c r="G6858" s="2" t="str">
        <f>"SR-7337"</f>
        <v>SR-7337</v>
      </c>
      <c r="H6858" s="2" t="s">
        <v>29255</v>
      </c>
      <c r="I6858" s="2" t="s">
        <v>29256</v>
      </c>
      <c r="K6858" s="2" t="s">
        <v>29257</v>
      </c>
      <c r="L6858" s="2" t="s">
        <v>62</v>
      </c>
      <c r="M6858" s="2">
        <v>55110.0</v>
      </c>
      <c r="N6858" s="2" t="s">
        <v>21</v>
      </c>
    </row>
    <row r="6859" ht="15.75" customHeight="1">
      <c r="A6859" s="2">
        <v>2016.0</v>
      </c>
      <c r="B6859" s="2" t="s">
        <v>29258</v>
      </c>
      <c r="C6859" s="2" t="s">
        <v>29258</v>
      </c>
      <c r="D6859" s="2" t="str">
        <f>"(250) 846-9606"</f>
        <v>(250) 846-9606</v>
      </c>
      <c r="E6859" s="2" t="s">
        <v>23508</v>
      </c>
      <c r="F6859" s="2" t="s">
        <v>29259</v>
      </c>
      <c r="G6859" s="2" t="str">
        <f>"SR-8796"</f>
        <v>SR-8796</v>
      </c>
      <c r="H6859" s="2" t="s">
        <v>29260</v>
      </c>
      <c r="I6859" s="2" t="s">
        <v>29261</v>
      </c>
      <c r="K6859" s="2" t="s">
        <v>29262</v>
      </c>
      <c r="L6859" s="2" t="s">
        <v>29263</v>
      </c>
      <c r="M6859" s="2" t="s">
        <v>29264</v>
      </c>
      <c r="N6859" s="2" t="s">
        <v>1602</v>
      </c>
    </row>
    <row r="6860" ht="15.75" customHeight="1">
      <c r="A6860" s="2">
        <v>2016.0</v>
      </c>
      <c r="B6860" s="2" t="s">
        <v>29265</v>
      </c>
      <c r="C6860" s="2" t="s">
        <v>29265</v>
      </c>
      <c r="D6860" s="2" t="str">
        <f>"12508779465"</f>
        <v>12508779465</v>
      </c>
      <c r="E6860" s="2" t="s">
        <v>955</v>
      </c>
      <c r="F6860" s="2" t="s">
        <v>29259</v>
      </c>
      <c r="G6860" s="2" t="str">
        <f>"SR-9126"</f>
        <v>SR-9126</v>
      </c>
      <c r="H6860" s="2" t="s">
        <v>29266</v>
      </c>
      <c r="I6860" s="2">
        <v>12202.0</v>
      </c>
      <c r="J6860" s="2" t="s">
        <v>29267</v>
      </c>
      <c r="K6860" s="2" t="s">
        <v>29262</v>
      </c>
      <c r="L6860" s="2" t="s">
        <v>29268</v>
      </c>
      <c r="M6860" s="2" t="s">
        <v>29264</v>
      </c>
      <c r="N6860" s="2" t="s">
        <v>1602</v>
      </c>
    </row>
    <row r="6861" ht="15.75" customHeight="1">
      <c r="A6861" s="2">
        <v>2016.0</v>
      </c>
      <c r="B6861" s="2" t="s">
        <v>29269</v>
      </c>
      <c r="C6861" s="2" t="s">
        <v>29270</v>
      </c>
      <c r="D6861" s="2" t="str">
        <f>"5172312337"</f>
        <v>5172312337</v>
      </c>
      <c r="E6861" s="2" t="s">
        <v>908</v>
      </c>
      <c r="F6861" s="2" t="s">
        <v>2847</v>
      </c>
      <c r="G6861" s="2" t="str">
        <f>"SR-9133"</f>
        <v>SR-9133</v>
      </c>
      <c r="H6861" s="2" t="s">
        <v>29271</v>
      </c>
      <c r="I6861" s="2" t="s">
        <v>29272</v>
      </c>
      <c r="K6861" s="2" t="s">
        <v>29273</v>
      </c>
      <c r="L6861" s="2" t="s">
        <v>29</v>
      </c>
      <c r="M6861" s="2">
        <v>48827.0</v>
      </c>
      <c r="N6861" s="2" t="s">
        <v>21</v>
      </c>
    </row>
    <row r="6862" ht="15.75" customHeight="1">
      <c r="A6862" s="2">
        <v>2016.0</v>
      </c>
      <c r="B6862" s="2" t="s">
        <v>29274</v>
      </c>
      <c r="C6862" s="2" t="s">
        <v>29274</v>
      </c>
      <c r="D6862" s="2" t="str">
        <f>"225-747-0413"</f>
        <v>225-747-0413</v>
      </c>
      <c r="E6862" s="2" t="s">
        <v>29275</v>
      </c>
      <c r="F6862" s="2" t="s">
        <v>29276</v>
      </c>
      <c r="G6862" s="2" t="str">
        <f>"SR-9046"</f>
        <v>SR-9046</v>
      </c>
      <c r="H6862" s="2" t="s">
        <v>29277</v>
      </c>
      <c r="I6862" s="2" t="s">
        <v>29278</v>
      </c>
      <c r="K6862" s="2" t="s">
        <v>3654</v>
      </c>
      <c r="L6862" s="2" t="s">
        <v>715</v>
      </c>
      <c r="M6862" s="2">
        <v>70817.0</v>
      </c>
      <c r="N6862" s="2" t="s">
        <v>21</v>
      </c>
    </row>
    <row r="6863" ht="15.75" customHeight="1">
      <c r="A6863" s="2">
        <v>2016.0</v>
      </c>
      <c r="B6863" s="2" t="s">
        <v>29279</v>
      </c>
      <c r="C6863" s="2" t="s">
        <v>29280</v>
      </c>
      <c r="D6863" s="2" t="str">
        <f>"9094509689"</f>
        <v>9094509689</v>
      </c>
      <c r="E6863" s="2" t="s">
        <v>1076</v>
      </c>
      <c r="F6863" s="2" t="s">
        <v>29281</v>
      </c>
      <c r="G6863" s="2" t="str">
        <f>"SR-9069"</f>
        <v>SR-9069</v>
      </c>
      <c r="H6863" s="2" t="s">
        <v>29282</v>
      </c>
      <c r="I6863" s="2" t="s">
        <v>29283</v>
      </c>
      <c r="K6863" s="2" t="s">
        <v>29284</v>
      </c>
      <c r="L6863" s="2" t="s">
        <v>222</v>
      </c>
      <c r="M6863" s="2">
        <v>91765.0</v>
      </c>
      <c r="N6863" s="2" t="s">
        <v>21</v>
      </c>
    </row>
    <row r="6864" ht="15.75" customHeight="1">
      <c r="A6864" s="2">
        <v>2016.0</v>
      </c>
      <c r="B6864" s="2" t="s">
        <v>29285</v>
      </c>
      <c r="C6864" s="2" t="s">
        <v>29286</v>
      </c>
      <c r="D6864" s="2" t="str">
        <f>"216-264-0353"</f>
        <v>216-264-0353</v>
      </c>
      <c r="E6864" s="2" t="s">
        <v>1263</v>
      </c>
      <c r="F6864" s="2" t="s">
        <v>10116</v>
      </c>
      <c r="G6864" s="2" t="str">
        <f>"SR-9098"</f>
        <v>SR-9098</v>
      </c>
      <c r="H6864" s="2" t="s">
        <v>29287</v>
      </c>
      <c r="I6864" s="2" t="s">
        <v>29288</v>
      </c>
      <c r="K6864" s="2" t="s">
        <v>15498</v>
      </c>
      <c r="L6864" s="2" t="s">
        <v>344</v>
      </c>
      <c r="M6864" s="2">
        <v>44144.0</v>
      </c>
      <c r="N6864" s="2" t="s">
        <v>21</v>
      </c>
    </row>
    <row r="6865" ht="15.75" customHeight="1">
      <c r="A6865" s="2">
        <v>2016.0</v>
      </c>
      <c r="B6865" s="2" t="s">
        <v>29289</v>
      </c>
      <c r="C6865" s="2" t="s">
        <v>29289</v>
      </c>
      <c r="D6865" s="2" t="str">
        <f>"530-820-2637"</f>
        <v>530-820-2637</v>
      </c>
      <c r="E6865" s="2" t="s">
        <v>2965</v>
      </c>
      <c r="F6865" s="2" t="s">
        <v>14694</v>
      </c>
      <c r="G6865" s="2" t="str">
        <f>"SR-9108"</f>
        <v>SR-9108</v>
      </c>
      <c r="H6865" s="2" t="s">
        <v>29290</v>
      </c>
      <c r="I6865" s="2" t="s">
        <v>29291</v>
      </c>
      <c r="K6865" s="2" t="s">
        <v>6707</v>
      </c>
      <c r="L6865" s="2" t="s">
        <v>222</v>
      </c>
      <c r="M6865" s="2">
        <v>96080.0</v>
      </c>
      <c r="N6865" s="2" t="s">
        <v>21</v>
      </c>
    </row>
    <row r="6866" ht="15.75" customHeight="1">
      <c r="A6866" s="2">
        <v>2016.0</v>
      </c>
      <c r="B6866" s="2" t="s">
        <v>29292</v>
      </c>
      <c r="C6866" s="2" t="s">
        <v>29293</v>
      </c>
      <c r="D6866" s="2" t="str">
        <f>"850-570-1312"</f>
        <v>850-570-1312</v>
      </c>
      <c r="E6866" s="2" t="s">
        <v>1263</v>
      </c>
      <c r="F6866" s="2" t="s">
        <v>29294</v>
      </c>
      <c r="G6866" s="2" t="str">
        <f>"SR-9135"</f>
        <v>SR-9135</v>
      </c>
      <c r="H6866" s="2" t="s">
        <v>29295</v>
      </c>
      <c r="I6866" s="2" t="s">
        <v>29296</v>
      </c>
      <c r="K6866" s="2" t="s">
        <v>2007</v>
      </c>
      <c r="L6866" s="2" t="s">
        <v>208</v>
      </c>
      <c r="M6866" s="2">
        <v>32308.0</v>
      </c>
      <c r="N6866" s="2" t="s">
        <v>21</v>
      </c>
    </row>
    <row r="6867" ht="15.75" customHeight="1">
      <c r="A6867" s="2">
        <v>2016.0</v>
      </c>
      <c r="B6867" s="2" t="s">
        <v>29297</v>
      </c>
      <c r="C6867" s="2" t="s">
        <v>29297</v>
      </c>
      <c r="D6867" s="2" t="str">
        <f>"805 3044405"</f>
        <v>805 3044405</v>
      </c>
      <c r="E6867" s="2" t="s">
        <v>144</v>
      </c>
      <c r="F6867" s="2" t="s">
        <v>11986</v>
      </c>
      <c r="G6867" s="2" t="str">
        <f>"SR-9094"</f>
        <v>SR-9094</v>
      </c>
      <c r="H6867" s="2" t="s">
        <v>29298</v>
      </c>
      <c r="I6867" s="2" t="s">
        <v>29299</v>
      </c>
      <c r="K6867" s="2" t="s">
        <v>29300</v>
      </c>
      <c r="L6867" s="2" t="s">
        <v>222</v>
      </c>
      <c r="M6867" s="2">
        <v>93021.0</v>
      </c>
      <c r="N6867" s="2" t="s">
        <v>21</v>
      </c>
    </row>
    <row r="6868" ht="15.75" customHeight="1">
      <c r="A6868" s="2">
        <v>2016.0</v>
      </c>
      <c r="B6868" s="2" t="s">
        <v>29301</v>
      </c>
      <c r="C6868" s="2" t="s">
        <v>29302</v>
      </c>
      <c r="D6868" s="2" t="str">
        <f>"8434217873"</f>
        <v>8434217873</v>
      </c>
      <c r="E6868" s="2" t="s">
        <v>1520</v>
      </c>
      <c r="F6868" s="2" t="s">
        <v>3319</v>
      </c>
      <c r="G6868" s="2" t="str">
        <f>"SR-9132"</f>
        <v>SR-9132</v>
      </c>
      <c r="H6868" s="2" t="s">
        <v>29303</v>
      </c>
      <c r="I6868" s="2" t="s">
        <v>29304</v>
      </c>
      <c r="K6868" s="2" t="s">
        <v>29305</v>
      </c>
      <c r="L6868" s="2" t="s">
        <v>55</v>
      </c>
      <c r="M6868" s="2">
        <v>29568.0</v>
      </c>
      <c r="N6868" s="2" t="s">
        <v>21</v>
      </c>
    </row>
    <row r="6869" ht="15.75" customHeight="1">
      <c r="A6869" s="2">
        <v>2016.0</v>
      </c>
      <c r="B6869" s="2" t="s">
        <v>29306</v>
      </c>
      <c r="C6869" s="2" t="s">
        <v>29307</v>
      </c>
      <c r="D6869" s="2" t="str">
        <f>"317-413-3145"</f>
        <v>317-413-3145</v>
      </c>
      <c r="E6869" s="2" t="s">
        <v>72</v>
      </c>
      <c r="F6869" s="2" t="s">
        <v>19130</v>
      </c>
      <c r="G6869" s="2" t="str">
        <f>"SR-9141"</f>
        <v>SR-9141</v>
      </c>
      <c r="H6869" s="2" t="s">
        <v>29308</v>
      </c>
      <c r="I6869" s="2" t="s">
        <v>29309</v>
      </c>
      <c r="K6869" s="2" t="s">
        <v>2660</v>
      </c>
      <c r="L6869" s="2" t="s">
        <v>149</v>
      </c>
      <c r="M6869" s="2">
        <v>46037.0</v>
      </c>
      <c r="N6869" s="2" t="s">
        <v>21</v>
      </c>
    </row>
    <row r="6870" ht="15.75" customHeight="1">
      <c r="A6870" s="2">
        <v>2016.0</v>
      </c>
      <c r="B6870" s="2" t="s">
        <v>29310</v>
      </c>
      <c r="C6870" s="2" t="s">
        <v>29311</v>
      </c>
      <c r="D6870" s="2" t="str">
        <f>"985 590 0073"</f>
        <v>985 590 0073</v>
      </c>
      <c r="E6870" s="2" t="s">
        <v>1400</v>
      </c>
      <c r="F6870" s="2" t="s">
        <v>29312</v>
      </c>
      <c r="G6870" s="2" t="str">
        <f>"SR-6684"</f>
        <v>SR-6684</v>
      </c>
      <c r="H6870" s="2" t="s">
        <v>29313</v>
      </c>
      <c r="I6870" s="2" t="s">
        <v>29314</v>
      </c>
      <c r="K6870" s="2" t="s">
        <v>3809</v>
      </c>
      <c r="L6870" s="2" t="s">
        <v>715</v>
      </c>
      <c r="M6870" s="2">
        <v>70471.0</v>
      </c>
      <c r="N6870" s="2" t="s">
        <v>21</v>
      </c>
    </row>
    <row r="6871" ht="15.75" customHeight="1">
      <c r="A6871" s="2">
        <v>2016.0</v>
      </c>
      <c r="B6871" s="2" t="s">
        <v>29242</v>
      </c>
      <c r="C6871" s="2" t="s">
        <v>29315</v>
      </c>
      <c r="D6871" s="2" t="str">
        <f>"9099474156"</f>
        <v>9099474156</v>
      </c>
      <c r="E6871" s="2" t="s">
        <v>339</v>
      </c>
      <c r="F6871" s="2" t="s">
        <v>29244</v>
      </c>
      <c r="G6871" s="2" t="str">
        <f>"SR-8953"</f>
        <v>SR-8953</v>
      </c>
      <c r="H6871" s="2" t="s">
        <v>29316</v>
      </c>
      <c r="I6871" s="2" t="s">
        <v>29246</v>
      </c>
      <c r="K6871" s="2" t="s">
        <v>2015</v>
      </c>
      <c r="L6871" s="2" t="s">
        <v>222</v>
      </c>
      <c r="M6871" s="2">
        <v>91761.0</v>
      </c>
      <c r="N6871" s="2" t="s">
        <v>21</v>
      </c>
    </row>
    <row r="6872" ht="15.75" customHeight="1">
      <c r="A6872" s="2">
        <v>2016.0</v>
      </c>
      <c r="B6872" s="2" t="s">
        <v>29317</v>
      </c>
      <c r="C6872" s="2" t="s">
        <v>29318</v>
      </c>
      <c r="D6872" s="2" t="str">
        <f t="shared" ref="D6872:D6873" si="116">"7604194417"</f>
        <v>7604194417</v>
      </c>
      <c r="E6872" s="2" t="s">
        <v>29319</v>
      </c>
      <c r="F6872" s="2" t="s">
        <v>29320</v>
      </c>
      <c r="G6872" s="2" t="str">
        <f>"SR-9139"</f>
        <v>SR-9139</v>
      </c>
      <c r="H6872" s="2" t="s">
        <v>29321</v>
      </c>
      <c r="I6872" s="2" t="s">
        <v>29322</v>
      </c>
      <c r="K6872" s="2" t="s">
        <v>13081</v>
      </c>
      <c r="L6872" s="2" t="s">
        <v>222</v>
      </c>
      <c r="M6872" s="2">
        <v>92009.0</v>
      </c>
      <c r="N6872" s="2" t="s">
        <v>21</v>
      </c>
    </row>
    <row r="6873" ht="15.75" customHeight="1">
      <c r="A6873" s="2">
        <v>2016.0</v>
      </c>
      <c r="B6873" s="2" t="s">
        <v>29317</v>
      </c>
      <c r="C6873" s="2" t="s">
        <v>29323</v>
      </c>
      <c r="D6873" s="2" t="str">
        <f t="shared" si="116"/>
        <v>7604194417</v>
      </c>
      <c r="E6873" s="2" t="s">
        <v>29324</v>
      </c>
      <c r="F6873" s="2" t="s">
        <v>29320</v>
      </c>
      <c r="G6873" s="2" t="str">
        <f>"SR-9143"</f>
        <v>SR-9143</v>
      </c>
      <c r="H6873" s="2" t="s">
        <v>29325</v>
      </c>
      <c r="I6873" s="2" t="s">
        <v>29322</v>
      </c>
      <c r="K6873" s="2" t="s">
        <v>13081</v>
      </c>
      <c r="L6873" s="2" t="s">
        <v>222</v>
      </c>
      <c r="M6873" s="2">
        <v>92009.0</v>
      </c>
      <c r="N6873" s="2" t="s">
        <v>21</v>
      </c>
    </row>
    <row r="6874" ht="15.75" customHeight="1">
      <c r="A6874" s="2">
        <v>2016.0</v>
      </c>
      <c r="B6874" s="2" t="s">
        <v>29326</v>
      </c>
      <c r="C6874" s="2" t="s">
        <v>29326</v>
      </c>
      <c r="D6874" s="2" t="str">
        <f>"4793667219"</f>
        <v>4793667219</v>
      </c>
      <c r="E6874" s="2" t="s">
        <v>339</v>
      </c>
      <c r="F6874" s="2" t="s">
        <v>3022</v>
      </c>
      <c r="G6874" s="2" t="str">
        <f>"SR-9145"</f>
        <v>SR-9145</v>
      </c>
      <c r="H6874" s="2" t="s">
        <v>29327</v>
      </c>
      <c r="I6874" s="2" t="s">
        <v>29328</v>
      </c>
      <c r="K6874" s="2" t="s">
        <v>14516</v>
      </c>
      <c r="L6874" s="2" t="s">
        <v>1012</v>
      </c>
      <c r="M6874" s="2">
        <v>72712.0</v>
      </c>
      <c r="N6874" s="2" t="s">
        <v>21</v>
      </c>
    </row>
    <row r="6875" ht="15.75" customHeight="1">
      <c r="A6875" s="2">
        <v>2016.0</v>
      </c>
      <c r="B6875" s="2" t="s">
        <v>29329</v>
      </c>
      <c r="C6875" s="2" t="s">
        <v>29329</v>
      </c>
      <c r="D6875" s="2" t="str">
        <f>"9092868822"</f>
        <v>9092868822</v>
      </c>
      <c r="E6875" s="2" t="s">
        <v>1251</v>
      </c>
      <c r="F6875" s="2" t="s">
        <v>29330</v>
      </c>
      <c r="G6875" s="2" t="str">
        <f>"SR-9146"</f>
        <v>SR-9146</v>
      </c>
      <c r="H6875" s="2" t="s">
        <v>29331</v>
      </c>
      <c r="I6875" s="2" t="s">
        <v>29332</v>
      </c>
      <c r="K6875" s="2" t="s">
        <v>2015</v>
      </c>
      <c r="L6875" s="2" t="s">
        <v>222</v>
      </c>
      <c r="M6875" s="2">
        <v>91762.0</v>
      </c>
      <c r="N6875" s="2" t="s">
        <v>21</v>
      </c>
    </row>
    <row r="6876" ht="15.75" customHeight="1">
      <c r="A6876" s="2">
        <v>2016.0</v>
      </c>
      <c r="B6876" s="2" t="s">
        <v>29333</v>
      </c>
      <c r="D6876" s="2" t="str">
        <f>""</f>
        <v/>
      </c>
      <c r="E6876" s="2" t="s">
        <v>4097</v>
      </c>
      <c r="F6876" s="2" t="s">
        <v>1325</v>
      </c>
      <c r="G6876" s="2" t="str">
        <f>"SR-8297"</f>
        <v>SR-8297</v>
      </c>
      <c r="H6876" s="2" t="s">
        <v>29334</v>
      </c>
      <c r="N6876" s="2" t="s">
        <v>21</v>
      </c>
    </row>
    <row r="6877" ht="15.75" customHeight="1">
      <c r="A6877" s="2">
        <v>2016.0</v>
      </c>
      <c r="B6877" s="2" t="s">
        <v>29335</v>
      </c>
      <c r="C6877" s="2" t="s">
        <v>29336</v>
      </c>
      <c r="D6877" s="2" t="str">
        <f>"8168983612"</f>
        <v>8168983612</v>
      </c>
      <c r="E6877" s="2" t="s">
        <v>1263</v>
      </c>
      <c r="F6877" s="2" t="s">
        <v>29337</v>
      </c>
      <c r="G6877" s="2" t="str">
        <f>"SR-9151"</f>
        <v>SR-9151</v>
      </c>
      <c r="H6877" s="2" t="s">
        <v>29338</v>
      </c>
      <c r="I6877" s="2" t="s">
        <v>29339</v>
      </c>
      <c r="K6877" s="2" t="s">
        <v>2889</v>
      </c>
      <c r="L6877" s="2" t="s">
        <v>214</v>
      </c>
      <c r="M6877" s="2">
        <v>64701.0</v>
      </c>
      <c r="N6877" s="2" t="s">
        <v>21</v>
      </c>
    </row>
    <row r="6878" ht="15.75" customHeight="1">
      <c r="A6878" s="2">
        <v>2016.0</v>
      </c>
      <c r="B6878" s="2" t="s">
        <v>29340</v>
      </c>
      <c r="D6878" s="2" t="str">
        <f>""</f>
        <v/>
      </c>
      <c r="E6878" s="2" t="s">
        <v>72</v>
      </c>
      <c r="F6878" s="2" t="s">
        <v>6624</v>
      </c>
      <c r="G6878" s="2" t="str">
        <f>"SR-8833"</f>
        <v>SR-8833</v>
      </c>
      <c r="H6878" s="2" t="s">
        <v>29341</v>
      </c>
      <c r="N6878" s="2" t="s">
        <v>21</v>
      </c>
    </row>
    <row r="6879" ht="15.75" customHeight="1">
      <c r="A6879" s="2">
        <v>2016.0</v>
      </c>
      <c r="B6879" s="2" t="s">
        <v>29342</v>
      </c>
      <c r="C6879" s="2" t="s">
        <v>29343</v>
      </c>
      <c r="D6879" s="2" t="str">
        <f>"7192914591"</f>
        <v>7192914591</v>
      </c>
      <c r="E6879" s="2" t="s">
        <v>1799</v>
      </c>
      <c r="F6879" s="2" t="s">
        <v>29344</v>
      </c>
      <c r="G6879" s="2" t="str">
        <f>"SR-8791"</f>
        <v>SR-8791</v>
      </c>
      <c r="H6879" s="2" t="s">
        <v>29345</v>
      </c>
      <c r="I6879" s="2" t="s">
        <v>29346</v>
      </c>
      <c r="K6879" s="2" t="s">
        <v>809</v>
      </c>
      <c r="L6879" s="2" t="s">
        <v>157</v>
      </c>
      <c r="M6879" s="2">
        <v>80920.0</v>
      </c>
      <c r="N6879" s="2" t="s">
        <v>21</v>
      </c>
    </row>
    <row r="6880" ht="15.75" customHeight="1">
      <c r="A6880" s="2">
        <v>2016.0</v>
      </c>
      <c r="B6880" s="2" t="s">
        <v>29347</v>
      </c>
      <c r="C6880" s="2" t="s">
        <v>29347</v>
      </c>
      <c r="D6880" s="2" t="str">
        <f>"972-989-2297"</f>
        <v>972-989-2297</v>
      </c>
      <c r="E6880" s="2" t="s">
        <v>471</v>
      </c>
      <c r="F6880" s="2" t="s">
        <v>29348</v>
      </c>
      <c r="G6880" s="2" t="str">
        <f>"SR-9129"</f>
        <v>SR-9129</v>
      </c>
      <c r="H6880" s="2" t="s">
        <v>29349</v>
      </c>
      <c r="I6880" s="2" t="s">
        <v>29350</v>
      </c>
      <c r="K6880" s="2" t="s">
        <v>6718</v>
      </c>
      <c r="L6880" s="2" t="s">
        <v>172</v>
      </c>
      <c r="M6880" s="2">
        <v>75002.0</v>
      </c>
      <c r="N6880" s="2" t="s">
        <v>21</v>
      </c>
    </row>
    <row r="6881" ht="15.75" customHeight="1">
      <c r="A6881" s="2">
        <v>2016.0</v>
      </c>
      <c r="B6881" s="2" t="s">
        <v>29351</v>
      </c>
      <c r="C6881" s="2" t="s">
        <v>29352</v>
      </c>
      <c r="D6881" s="2" t="str">
        <f>"417-861-9414"</f>
        <v>417-861-9414</v>
      </c>
      <c r="E6881" s="2" t="s">
        <v>6113</v>
      </c>
      <c r="F6881" s="2" t="s">
        <v>29353</v>
      </c>
      <c r="G6881" s="2" t="str">
        <f>"SR-8966"</f>
        <v>SR-8966</v>
      </c>
      <c r="H6881" s="2" t="s">
        <v>29354</v>
      </c>
      <c r="I6881" s="2" t="s">
        <v>29355</v>
      </c>
      <c r="K6881" s="2" t="s">
        <v>3239</v>
      </c>
      <c r="L6881" s="2" t="s">
        <v>214</v>
      </c>
      <c r="M6881" s="2">
        <v>65806.0</v>
      </c>
      <c r="N6881" s="2" t="s">
        <v>21</v>
      </c>
    </row>
    <row r="6882" ht="15.75" customHeight="1">
      <c r="A6882" s="2">
        <v>2016.0</v>
      </c>
      <c r="B6882" s="2" t="s">
        <v>29356</v>
      </c>
      <c r="C6882" s="2" t="s">
        <v>29357</v>
      </c>
      <c r="D6882" s="2" t="str">
        <f>"208-608-4254"</f>
        <v>208-608-4254</v>
      </c>
      <c r="E6882" s="2" t="s">
        <v>2852</v>
      </c>
      <c r="F6882" s="2" t="s">
        <v>3320</v>
      </c>
      <c r="G6882" s="2" t="str">
        <f>"SR-9038"</f>
        <v>SR-9038</v>
      </c>
      <c r="H6882" s="2" t="s">
        <v>29358</v>
      </c>
      <c r="I6882" s="2" t="s">
        <v>29359</v>
      </c>
      <c r="K6882" s="2" t="s">
        <v>10823</v>
      </c>
      <c r="L6882" s="2" t="s">
        <v>2613</v>
      </c>
      <c r="M6882" s="2">
        <v>83703.0</v>
      </c>
      <c r="N6882" s="2" t="s">
        <v>21</v>
      </c>
    </row>
    <row r="6883" ht="15.75" customHeight="1">
      <c r="A6883" s="2">
        <v>2016.0</v>
      </c>
      <c r="B6883" s="2" t="s">
        <v>29360</v>
      </c>
      <c r="C6883" s="2" t="s">
        <v>29360</v>
      </c>
      <c r="D6883" s="2" t="str">
        <f>"3367054593"</f>
        <v>3367054593</v>
      </c>
      <c r="E6883" s="2" t="s">
        <v>27752</v>
      </c>
      <c r="F6883" s="2" t="s">
        <v>1141</v>
      </c>
      <c r="G6883" s="2" t="str">
        <f>"SR-9137"</f>
        <v>SR-9137</v>
      </c>
      <c r="H6883" s="2" t="s">
        <v>29361</v>
      </c>
      <c r="I6883" s="2" t="s">
        <v>29362</v>
      </c>
      <c r="K6883" s="2" t="s">
        <v>29363</v>
      </c>
      <c r="L6883" s="2" t="s">
        <v>20</v>
      </c>
      <c r="M6883" s="2">
        <v>27104.0</v>
      </c>
      <c r="N6883" s="2" t="s">
        <v>21</v>
      </c>
    </row>
    <row r="6884" ht="15.75" customHeight="1">
      <c r="A6884" s="2">
        <v>2016.0</v>
      </c>
      <c r="B6884" s="2" t="s">
        <v>29364</v>
      </c>
      <c r="C6884" s="2" t="s">
        <v>29365</v>
      </c>
      <c r="D6884" s="2" t="str">
        <f>"316-644-2673"</f>
        <v>316-644-2673</v>
      </c>
      <c r="E6884" s="2" t="s">
        <v>3305</v>
      </c>
      <c r="F6884" s="2" t="s">
        <v>29366</v>
      </c>
      <c r="G6884" s="2" t="str">
        <f>"SR-9153"</f>
        <v>SR-9153</v>
      </c>
      <c r="H6884" s="2" t="s">
        <v>29367</v>
      </c>
      <c r="I6884" s="2" t="s">
        <v>29368</v>
      </c>
      <c r="K6884" s="2" t="s">
        <v>29369</v>
      </c>
      <c r="L6884" s="2" t="s">
        <v>272</v>
      </c>
      <c r="M6884" s="2">
        <v>67220.0</v>
      </c>
      <c r="N6884" s="2" t="s">
        <v>21</v>
      </c>
    </row>
    <row r="6885" ht="15.75" customHeight="1">
      <c r="A6885" s="2">
        <v>2016.0</v>
      </c>
      <c r="B6885" s="2" t="s">
        <v>29370</v>
      </c>
      <c r="C6885" s="2" t="s">
        <v>29371</v>
      </c>
      <c r="D6885" s="2" t="str">
        <f>"2104165901"</f>
        <v>2104165901</v>
      </c>
      <c r="E6885" s="2" t="s">
        <v>5335</v>
      </c>
      <c r="F6885" s="2" t="b">
        <v>1</v>
      </c>
      <c r="G6885" s="2" t="str">
        <f>"SR-9147"</f>
        <v>SR-9147</v>
      </c>
      <c r="H6885" s="2" t="s">
        <v>29372</v>
      </c>
      <c r="I6885" s="2" t="s">
        <v>29373</v>
      </c>
      <c r="K6885" s="2" t="s">
        <v>1292</v>
      </c>
      <c r="L6885" s="2" t="s">
        <v>172</v>
      </c>
      <c r="M6885" s="2">
        <v>78006.0</v>
      </c>
      <c r="N6885" s="2" t="s">
        <v>21</v>
      </c>
    </row>
    <row r="6886" ht="15.75" customHeight="1">
      <c r="A6886" s="2">
        <v>2016.0</v>
      </c>
      <c r="B6886" s="2" t="s">
        <v>29374</v>
      </c>
      <c r="C6886" s="2" t="s">
        <v>29375</v>
      </c>
      <c r="D6886" s="2" t="str">
        <f t="shared" ref="D6886:D6887" si="117">"8162132848"</f>
        <v>8162132848</v>
      </c>
      <c r="E6886" s="2" t="s">
        <v>29376</v>
      </c>
      <c r="F6886" s="2" t="s">
        <v>3984</v>
      </c>
      <c r="G6886" s="2" t="str">
        <f>"SR-9116"</f>
        <v>SR-9116</v>
      </c>
      <c r="H6886" s="2" t="s">
        <v>29377</v>
      </c>
      <c r="I6886" s="2" t="s">
        <v>29378</v>
      </c>
      <c r="K6886" s="2" t="s">
        <v>29379</v>
      </c>
      <c r="L6886" s="2" t="s">
        <v>214</v>
      </c>
      <c r="M6886" s="2">
        <v>64133.0</v>
      </c>
      <c r="N6886" s="2" t="s">
        <v>21</v>
      </c>
    </row>
    <row r="6887" ht="15.75" customHeight="1">
      <c r="A6887" s="2">
        <v>2016.0</v>
      </c>
      <c r="B6887" s="2" t="s">
        <v>29374</v>
      </c>
      <c r="C6887" s="2" t="s">
        <v>29375</v>
      </c>
      <c r="D6887" s="2" t="str">
        <f t="shared" si="117"/>
        <v>8162132848</v>
      </c>
      <c r="E6887" s="2" t="s">
        <v>29380</v>
      </c>
      <c r="F6887" s="2" t="s">
        <v>29381</v>
      </c>
      <c r="G6887" s="2" t="str">
        <f>"SR-7426"</f>
        <v>SR-7426</v>
      </c>
      <c r="H6887" s="2" t="s">
        <v>29382</v>
      </c>
      <c r="I6887" s="2" t="s">
        <v>29378</v>
      </c>
      <c r="K6887" s="2" t="s">
        <v>29379</v>
      </c>
      <c r="L6887" s="2" t="s">
        <v>214</v>
      </c>
      <c r="M6887" s="2">
        <v>64133.0</v>
      </c>
      <c r="N6887" s="2" t="s">
        <v>21</v>
      </c>
    </row>
    <row r="6888" ht="15.75" customHeight="1">
      <c r="A6888" s="2">
        <v>2016.0</v>
      </c>
      <c r="B6888" s="2" t="s">
        <v>2359</v>
      </c>
      <c r="C6888" s="2" t="s">
        <v>29383</v>
      </c>
      <c r="D6888" s="2" t="str">
        <f>"3173452429"</f>
        <v>3173452429</v>
      </c>
      <c r="E6888" s="2" t="s">
        <v>2988</v>
      </c>
      <c r="F6888" s="2" t="s">
        <v>2362</v>
      </c>
      <c r="G6888" s="2" t="str">
        <f>"SR-9002"</f>
        <v>SR-9002</v>
      </c>
      <c r="H6888" s="2" t="s">
        <v>29384</v>
      </c>
      <c r="I6888" s="2" t="s">
        <v>11589</v>
      </c>
      <c r="K6888" s="2" t="s">
        <v>809</v>
      </c>
      <c r="L6888" s="2" t="s">
        <v>157</v>
      </c>
      <c r="M6888" s="2">
        <v>80918.0</v>
      </c>
      <c r="N6888" s="2" t="s">
        <v>21</v>
      </c>
    </row>
    <row r="6889" ht="15.75" customHeight="1">
      <c r="A6889" s="2">
        <v>2016.0</v>
      </c>
      <c r="B6889" s="2" t="s">
        <v>29385</v>
      </c>
      <c r="C6889" s="2" t="s">
        <v>29386</v>
      </c>
      <c r="D6889" s="2" t="str">
        <f>"2059134316"</f>
        <v>2059134316</v>
      </c>
      <c r="E6889" s="2" t="s">
        <v>2378</v>
      </c>
      <c r="F6889" s="2" t="s">
        <v>29387</v>
      </c>
      <c r="G6889" s="2" t="str">
        <f>"SR-9121"</f>
        <v>SR-9121</v>
      </c>
      <c r="H6889" s="2" t="s">
        <v>29388</v>
      </c>
      <c r="I6889" s="2" t="s">
        <v>29389</v>
      </c>
      <c r="K6889" s="2" t="s">
        <v>23732</v>
      </c>
      <c r="L6889" s="2" t="s">
        <v>539</v>
      </c>
      <c r="M6889" s="2">
        <v>35147.0</v>
      </c>
      <c r="N6889" s="2" t="s">
        <v>21</v>
      </c>
    </row>
    <row r="6890" ht="15.75" customHeight="1">
      <c r="A6890" s="2">
        <v>2016.0</v>
      </c>
      <c r="B6890" s="2" t="s">
        <v>3317</v>
      </c>
      <c r="C6890" s="2" t="s">
        <v>29390</v>
      </c>
      <c r="D6890" s="2" t="str">
        <f>"7853755330"</f>
        <v>7853755330</v>
      </c>
      <c r="E6890" s="2" t="s">
        <v>1255</v>
      </c>
      <c r="F6890" s="2" t="s">
        <v>3320</v>
      </c>
      <c r="G6890" s="2" t="str">
        <f>"SR-9112"</f>
        <v>SR-9112</v>
      </c>
      <c r="H6890" s="2" t="s">
        <v>29391</v>
      </c>
      <c r="I6890" s="2" t="s">
        <v>3322</v>
      </c>
      <c r="K6890" s="2" t="s">
        <v>3323</v>
      </c>
      <c r="L6890" s="2" t="s">
        <v>157</v>
      </c>
      <c r="M6890" s="2">
        <v>80817.0</v>
      </c>
      <c r="N6890" s="2" t="s">
        <v>21</v>
      </c>
    </row>
    <row r="6891" ht="15.75" customHeight="1">
      <c r="A6891" s="2">
        <v>2016.0</v>
      </c>
      <c r="B6891" s="2" t="s">
        <v>29392</v>
      </c>
      <c r="C6891" s="2" t="s">
        <v>29393</v>
      </c>
      <c r="D6891" s="2" t="str">
        <f>"9096960033"</f>
        <v>9096960033</v>
      </c>
      <c r="E6891" s="2" t="s">
        <v>29394</v>
      </c>
      <c r="F6891" s="2" t="s">
        <v>29395</v>
      </c>
      <c r="G6891" s="2" t="str">
        <f>"SR-9156"</f>
        <v>SR-9156</v>
      </c>
      <c r="H6891" s="2" t="s">
        <v>29396</v>
      </c>
      <c r="I6891" s="2" t="s">
        <v>29397</v>
      </c>
      <c r="K6891" s="2" t="s">
        <v>15522</v>
      </c>
      <c r="L6891" s="2" t="s">
        <v>222</v>
      </c>
      <c r="M6891" s="2">
        <v>91710.0</v>
      </c>
      <c r="N6891" s="2" t="s">
        <v>21</v>
      </c>
    </row>
    <row r="6892" ht="15.75" customHeight="1">
      <c r="A6892" s="2">
        <v>2016.0</v>
      </c>
      <c r="B6892" s="2" t="s">
        <v>26218</v>
      </c>
      <c r="C6892" s="2" t="s">
        <v>29398</v>
      </c>
      <c r="D6892" s="2" t="str">
        <f>"(562) 553-2228"</f>
        <v>(562) 553-2228</v>
      </c>
      <c r="E6892" s="2" t="s">
        <v>5583</v>
      </c>
      <c r="F6892" s="2" t="s">
        <v>26221</v>
      </c>
      <c r="G6892" s="2" t="str">
        <f>"SR-8335"</f>
        <v>SR-8335</v>
      </c>
      <c r="H6892" s="2" t="s">
        <v>29399</v>
      </c>
      <c r="I6892" s="2" t="s">
        <v>26229</v>
      </c>
      <c r="K6892" s="2" t="s">
        <v>24539</v>
      </c>
      <c r="L6892" s="2" t="s">
        <v>222</v>
      </c>
      <c r="M6892" s="2">
        <v>90638.0</v>
      </c>
      <c r="N6892" s="2" t="s">
        <v>21</v>
      </c>
    </row>
    <row r="6893" ht="15.75" customHeight="1">
      <c r="A6893" s="2">
        <v>2016.0</v>
      </c>
      <c r="B6893" s="2" t="s">
        <v>29400</v>
      </c>
      <c r="C6893" s="2" t="s">
        <v>29401</v>
      </c>
      <c r="D6893" s="2" t="str">
        <f>"909 270 3884"</f>
        <v>909 270 3884</v>
      </c>
      <c r="E6893" s="2" t="s">
        <v>29402</v>
      </c>
      <c r="F6893" s="2" t="s">
        <v>29403</v>
      </c>
      <c r="G6893" s="2" t="str">
        <f>"SR-8876"</f>
        <v>SR-8876</v>
      </c>
      <c r="H6893" s="2" t="s">
        <v>29404</v>
      </c>
      <c r="I6893" s="2" t="s">
        <v>29405</v>
      </c>
      <c r="K6893" s="2" t="s">
        <v>10340</v>
      </c>
      <c r="L6893" s="2" t="s">
        <v>222</v>
      </c>
      <c r="M6893" s="2">
        <v>91709.0</v>
      </c>
      <c r="N6893" s="2" t="s">
        <v>21</v>
      </c>
    </row>
    <row r="6894" ht="15.75" customHeight="1">
      <c r="A6894" s="2">
        <v>2016.0</v>
      </c>
      <c r="B6894" s="2" t="s">
        <v>21622</v>
      </c>
      <c r="C6894" s="2" t="s">
        <v>29406</v>
      </c>
      <c r="D6894" s="2" t="str">
        <f>"801-432-8601"</f>
        <v>801-432-8601</v>
      </c>
      <c r="E6894" s="2" t="s">
        <v>29407</v>
      </c>
      <c r="F6894" s="2" t="s">
        <v>962</v>
      </c>
      <c r="G6894" s="2" t="str">
        <f>"SR-9161"</f>
        <v>SR-9161</v>
      </c>
      <c r="H6894" s="2" t="s">
        <v>29408</v>
      </c>
      <c r="I6894" s="2" t="s">
        <v>21624</v>
      </c>
      <c r="K6894" s="2" t="s">
        <v>21625</v>
      </c>
      <c r="L6894" s="2" t="s">
        <v>763</v>
      </c>
      <c r="M6894" s="2">
        <v>84092.0</v>
      </c>
      <c r="N6894" s="2" t="s">
        <v>21</v>
      </c>
    </row>
    <row r="6895" ht="15.75" customHeight="1">
      <c r="A6895" s="2">
        <v>2016.0</v>
      </c>
      <c r="B6895" s="2" t="s">
        <v>29409</v>
      </c>
      <c r="C6895" s="2" t="s">
        <v>29409</v>
      </c>
      <c r="D6895" s="2" t="str">
        <f>"2607053612"</f>
        <v>2607053612</v>
      </c>
      <c r="E6895" s="2" t="s">
        <v>137</v>
      </c>
      <c r="F6895" s="2" t="s">
        <v>29410</v>
      </c>
      <c r="G6895" s="2" t="str">
        <f>"SR-9149"</f>
        <v>SR-9149</v>
      </c>
      <c r="H6895" s="2" t="s">
        <v>29411</v>
      </c>
      <c r="I6895" s="2" t="s">
        <v>29412</v>
      </c>
      <c r="K6895" s="2" t="s">
        <v>4298</v>
      </c>
      <c r="L6895" s="2" t="s">
        <v>149</v>
      </c>
      <c r="M6895" s="2">
        <v>46816.0</v>
      </c>
      <c r="N6895" s="2" t="s">
        <v>21</v>
      </c>
    </row>
    <row r="6896" ht="15.75" customHeight="1">
      <c r="A6896" s="2">
        <v>2016.0</v>
      </c>
      <c r="B6896" s="2" t="s">
        <v>29413</v>
      </c>
      <c r="C6896" s="2" t="s">
        <v>29414</v>
      </c>
      <c r="D6896" s="2" t="str">
        <f>"214-585-9098"</f>
        <v>214-585-9098</v>
      </c>
      <c r="E6896" s="2" t="s">
        <v>5489</v>
      </c>
      <c r="F6896" s="2" t="s">
        <v>29415</v>
      </c>
      <c r="G6896" s="2" t="str">
        <f>"SR-9159"</f>
        <v>SR-9159</v>
      </c>
      <c r="H6896" s="2" t="s">
        <v>29416</v>
      </c>
      <c r="I6896" s="2" t="s">
        <v>29417</v>
      </c>
      <c r="K6896" s="2" t="s">
        <v>29418</v>
      </c>
      <c r="L6896" s="2" t="s">
        <v>172</v>
      </c>
      <c r="M6896" s="2">
        <v>75021.0</v>
      </c>
      <c r="N6896" s="2" t="s">
        <v>21</v>
      </c>
    </row>
    <row r="6897" ht="15.75" customHeight="1">
      <c r="A6897" s="2">
        <v>2016.0</v>
      </c>
      <c r="B6897" s="2" t="s">
        <v>29419</v>
      </c>
      <c r="C6897" s="2" t="s">
        <v>29419</v>
      </c>
      <c r="D6897" s="2" t="str">
        <f>"865-322-5550"</f>
        <v>865-322-5550</v>
      </c>
      <c r="E6897" s="2" t="s">
        <v>2941</v>
      </c>
      <c r="F6897" s="2" t="s">
        <v>24289</v>
      </c>
      <c r="G6897" s="2" t="str">
        <f>"SR-8853"</f>
        <v>SR-8853</v>
      </c>
      <c r="H6897" s="2" t="s">
        <v>29420</v>
      </c>
      <c r="I6897" s="2" t="s">
        <v>29421</v>
      </c>
      <c r="K6897" s="2" t="s">
        <v>3379</v>
      </c>
      <c r="L6897" s="2" t="s">
        <v>279</v>
      </c>
      <c r="M6897" s="2">
        <v>37890.0</v>
      </c>
      <c r="N6897" s="2" t="s">
        <v>21</v>
      </c>
    </row>
    <row r="6898" ht="15.75" customHeight="1">
      <c r="A6898" s="2">
        <v>2016.0</v>
      </c>
      <c r="B6898" s="2" t="s">
        <v>29422</v>
      </c>
      <c r="C6898" s="2" t="s">
        <v>29422</v>
      </c>
      <c r="D6898" s="2" t="str">
        <f>"8033419678"</f>
        <v>8033419678</v>
      </c>
      <c r="E6898" s="2" t="s">
        <v>585</v>
      </c>
      <c r="F6898" s="2" t="s">
        <v>13142</v>
      </c>
      <c r="G6898" s="2" t="str">
        <f>"SR-9128"</f>
        <v>SR-9128</v>
      </c>
      <c r="H6898" s="2" t="s">
        <v>29423</v>
      </c>
      <c r="I6898" s="2" t="s">
        <v>29424</v>
      </c>
      <c r="K6898" s="2" t="s">
        <v>29425</v>
      </c>
      <c r="L6898" s="2" t="s">
        <v>55</v>
      </c>
      <c r="M6898" s="2">
        <v>29841.0</v>
      </c>
      <c r="N6898" s="2" t="s">
        <v>21</v>
      </c>
    </row>
    <row r="6899" ht="15.75" customHeight="1">
      <c r="A6899" s="2">
        <v>2016.0</v>
      </c>
      <c r="B6899" s="2" t="s">
        <v>29426</v>
      </c>
      <c r="C6899" s="2" t="s">
        <v>29426</v>
      </c>
      <c r="D6899" s="2" t="str">
        <f>"4232559017"</f>
        <v>4232559017</v>
      </c>
      <c r="E6899" s="2" t="s">
        <v>955</v>
      </c>
      <c r="F6899" s="2" t="s">
        <v>3512</v>
      </c>
      <c r="G6899" s="2" t="str">
        <f>"SR-9167"</f>
        <v>SR-9167</v>
      </c>
      <c r="H6899" s="2" t="s">
        <v>29427</v>
      </c>
      <c r="I6899" s="2" t="s">
        <v>29428</v>
      </c>
      <c r="K6899" s="2" t="s">
        <v>4501</v>
      </c>
      <c r="L6899" s="2" t="s">
        <v>279</v>
      </c>
      <c r="M6899" s="2">
        <v>37341.0</v>
      </c>
      <c r="N6899" s="2" t="s">
        <v>21</v>
      </c>
    </row>
    <row r="6900" ht="15.75" customHeight="1">
      <c r="A6900" s="2">
        <v>2016.0</v>
      </c>
      <c r="B6900" s="2" t="s">
        <v>21905</v>
      </c>
      <c r="C6900" s="2" t="s">
        <v>29429</v>
      </c>
      <c r="D6900" s="2" t="str">
        <f>"602-394-7890"</f>
        <v>602-394-7890</v>
      </c>
      <c r="E6900" s="2" t="s">
        <v>678</v>
      </c>
      <c r="F6900" s="2" t="s">
        <v>21907</v>
      </c>
      <c r="G6900" s="2" t="str">
        <f>"SR-8567"</f>
        <v>SR-8567</v>
      </c>
      <c r="H6900" s="2" t="s">
        <v>29430</v>
      </c>
      <c r="I6900" s="2" t="s">
        <v>21909</v>
      </c>
      <c r="K6900" s="2" t="s">
        <v>421</v>
      </c>
      <c r="L6900" s="2" t="s">
        <v>422</v>
      </c>
      <c r="M6900" s="2">
        <v>85083.0</v>
      </c>
      <c r="N6900" s="2" t="s">
        <v>21</v>
      </c>
    </row>
    <row r="6901" ht="15.75" customHeight="1">
      <c r="A6901" s="2">
        <v>2016.0</v>
      </c>
      <c r="B6901" s="2" t="s">
        <v>29431</v>
      </c>
      <c r="C6901" s="2" t="s">
        <v>29432</v>
      </c>
      <c r="D6901" s="2" t="str">
        <f>"3603941760"</f>
        <v>3603941760</v>
      </c>
      <c r="E6901" s="2" t="s">
        <v>1034</v>
      </c>
      <c r="F6901" s="2" t="s">
        <v>1859</v>
      </c>
      <c r="G6901" s="2" t="str">
        <f>"SR-9155"</f>
        <v>SR-9155</v>
      </c>
      <c r="H6901" s="2" t="s">
        <v>29433</v>
      </c>
      <c r="I6901" s="2" t="s">
        <v>29434</v>
      </c>
      <c r="K6901" s="2" t="s">
        <v>29435</v>
      </c>
      <c r="L6901" s="2" t="s">
        <v>86</v>
      </c>
      <c r="M6901" s="2">
        <v>98370.0</v>
      </c>
      <c r="N6901" s="2" t="s">
        <v>21</v>
      </c>
    </row>
    <row r="6902" ht="15.75" customHeight="1">
      <c r="A6902" s="2">
        <v>2016.0</v>
      </c>
      <c r="B6902" s="2" t="s">
        <v>29436</v>
      </c>
      <c r="C6902" s="2" t="s">
        <v>29437</v>
      </c>
      <c r="D6902" s="2" t="str">
        <f>"7122623596"</f>
        <v>7122623596</v>
      </c>
      <c r="E6902" s="2" t="s">
        <v>267</v>
      </c>
      <c r="F6902" s="2" t="s">
        <v>29438</v>
      </c>
      <c r="G6902" s="2" t="str">
        <f>"SR-9171"</f>
        <v>SR-9171</v>
      </c>
      <c r="H6902" s="2" t="s">
        <v>29439</v>
      </c>
      <c r="I6902" s="2" t="s">
        <v>29440</v>
      </c>
      <c r="K6902" s="2" t="s">
        <v>3342</v>
      </c>
      <c r="L6902" s="2" t="s">
        <v>560</v>
      </c>
      <c r="M6902" s="2">
        <v>51301.0</v>
      </c>
      <c r="N6902" s="2" t="s">
        <v>21</v>
      </c>
    </row>
    <row r="6903" ht="15.75" customHeight="1">
      <c r="A6903" s="2">
        <v>2016.0</v>
      </c>
      <c r="B6903" s="2" t="s">
        <v>29441</v>
      </c>
      <c r="C6903" s="2" t="s">
        <v>29442</v>
      </c>
      <c r="D6903" s="2" t="str">
        <f>"740-524-0646"</f>
        <v>740-524-0646</v>
      </c>
      <c r="E6903" s="2" t="s">
        <v>1054</v>
      </c>
      <c r="F6903" s="2" t="s">
        <v>29443</v>
      </c>
      <c r="G6903" s="2" t="str">
        <f>"SR-9170"</f>
        <v>SR-9170</v>
      </c>
      <c r="H6903" s="2" t="s">
        <v>29444</v>
      </c>
      <c r="I6903" s="2" t="s">
        <v>29445</v>
      </c>
      <c r="K6903" s="2" t="s">
        <v>10756</v>
      </c>
      <c r="L6903" s="2" t="s">
        <v>344</v>
      </c>
      <c r="M6903" s="2">
        <v>43015.0</v>
      </c>
      <c r="N6903" s="2" t="s">
        <v>21</v>
      </c>
    </row>
    <row r="6904" ht="15.75" customHeight="1">
      <c r="A6904" s="2">
        <v>2016.0</v>
      </c>
      <c r="B6904" s="2" t="s">
        <v>29446</v>
      </c>
      <c r="C6904" s="2" t="s">
        <v>29447</v>
      </c>
      <c r="D6904" s="2" t="str">
        <f>"3302318512"</f>
        <v>3302318512</v>
      </c>
      <c r="E6904" s="2" t="s">
        <v>339</v>
      </c>
      <c r="F6904" s="2" t="s">
        <v>29448</v>
      </c>
      <c r="G6904" s="2" t="str">
        <f>"SR-8299"</f>
        <v>SR-8299</v>
      </c>
      <c r="H6904" s="2" t="s">
        <v>29449</v>
      </c>
      <c r="I6904" s="2" t="s">
        <v>29450</v>
      </c>
      <c r="K6904" s="2" t="s">
        <v>29451</v>
      </c>
      <c r="L6904" s="2" t="s">
        <v>344</v>
      </c>
      <c r="M6904" s="2">
        <v>44842.0</v>
      </c>
      <c r="N6904" s="2" t="s">
        <v>21</v>
      </c>
    </row>
    <row r="6905" ht="15.75" customHeight="1">
      <c r="A6905" s="2">
        <v>2016.0</v>
      </c>
      <c r="B6905" s="2" t="s">
        <v>29452</v>
      </c>
      <c r="C6905" s="2" t="s">
        <v>29452</v>
      </c>
      <c r="D6905" s="2" t="str">
        <f>"4698312894"</f>
        <v>4698312894</v>
      </c>
      <c r="E6905" s="2" t="s">
        <v>29453</v>
      </c>
      <c r="F6905" s="2" t="s">
        <v>29454</v>
      </c>
      <c r="G6905" s="2" t="str">
        <f>"SR-9164"</f>
        <v>SR-9164</v>
      </c>
      <c r="H6905" s="2" t="s">
        <v>29455</v>
      </c>
      <c r="I6905" s="2" t="s">
        <v>29456</v>
      </c>
      <c r="K6905" s="2" t="s">
        <v>1444</v>
      </c>
      <c r="L6905" s="2" t="s">
        <v>222</v>
      </c>
      <c r="M6905" s="2">
        <v>91765.0</v>
      </c>
      <c r="N6905" s="2" t="s">
        <v>21</v>
      </c>
    </row>
    <row r="6906" ht="15.75" customHeight="1">
      <c r="A6906" s="2">
        <v>2016.0</v>
      </c>
      <c r="B6906" s="2" t="s">
        <v>29446</v>
      </c>
      <c r="C6906" s="2" t="s">
        <v>29457</v>
      </c>
      <c r="D6906" s="2" t="str">
        <f>"4195654908"</f>
        <v>4195654908</v>
      </c>
      <c r="E6906" s="2" t="s">
        <v>29458</v>
      </c>
      <c r="F6906" s="2" t="s">
        <v>29448</v>
      </c>
      <c r="G6906" s="2" t="str">
        <f>"SR-8172"</f>
        <v>SR-8172</v>
      </c>
      <c r="H6906" s="2" t="s">
        <v>29459</v>
      </c>
      <c r="I6906" s="2" t="s">
        <v>29450</v>
      </c>
      <c r="K6906" s="2" t="s">
        <v>29451</v>
      </c>
      <c r="L6906" s="2" t="s">
        <v>344</v>
      </c>
      <c r="M6906" s="2">
        <v>44842.0</v>
      </c>
      <c r="N6906" s="2" t="s">
        <v>21</v>
      </c>
    </row>
    <row r="6907" ht="15.75" customHeight="1">
      <c r="A6907" s="2">
        <v>2016.0</v>
      </c>
      <c r="B6907" s="2" t="s">
        <v>29441</v>
      </c>
      <c r="C6907" s="2" t="s">
        <v>29441</v>
      </c>
      <c r="D6907" s="2" t="str">
        <f>"740-524-0646"</f>
        <v>740-524-0646</v>
      </c>
      <c r="E6907" s="2" t="s">
        <v>29460</v>
      </c>
      <c r="F6907" s="2" t="s">
        <v>29443</v>
      </c>
      <c r="G6907" s="2" t="str">
        <f>"SR-9169"</f>
        <v>SR-9169</v>
      </c>
      <c r="H6907" s="2" t="s">
        <v>29461</v>
      </c>
      <c r="I6907" s="2" t="s">
        <v>29445</v>
      </c>
      <c r="K6907" s="2" t="s">
        <v>10756</v>
      </c>
      <c r="L6907" s="2" t="s">
        <v>344</v>
      </c>
      <c r="M6907" s="2">
        <v>43015.0</v>
      </c>
      <c r="N6907" s="2" t="s">
        <v>21</v>
      </c>
    </row>
    <row r="6908" ht="15.75" customHeight="1">
      <c r="A6908" s="2">
        <v>2016.0</v>
      </c>
      <c r="B6908" s="2" t="s">
        <v>29462</v>
      </c>
      <c r="C6908" s="2" t="s">
        <v>29463</v>
      </c>
      <c r="D6908" s="2" t="str">
        <f>"4237792312"</f>
        <v>4237792312</v>
      </c>
      <c r="E6908" s="2" t="s">
        <v>659</v>
      </c>
      <c r="F6908" s="2" t="s">
        <v>29464</v>
      </c>
      <c r="G6908" s="2" t="str">
        <f>"SR-9166"</f>
        <v>SR-9166</v>
      </c>
      <c r="H6908" s="2" t="s">
        <v>29465</v>
      </c>
      <c r="I6908" s="2" t="s">
        <v>29466</v>
      </c>
      <c r="K6908" s="2" t="s">
        <v>4569</v>
      </c>
      <c r="L6908" s="2" t="s">
        <v>200</v>
      </c>
      <c r="M6908" s="2">
        <v>30736.0</v>
      </c>
      <c r="N6908" s="2" t="s">
        <v>21</v>
      </c>
    </row>
    <row r="6909" ht="15.75" customHeight="1">
      <c r="A6909" s="2">
        <v>2016.0</v>
      </c>
      <c r="B6909" s="2" t="s">
        <v>29467</v>
      </c>
      <c r="C6909" s="2" t="s">
        <v>29468</v>
      </c>
      <c r="D6909" s="2" t="str">
        <f>"318-245-5137"</f>
        <v>318-245-5137</v>
      </c>
      <c r="E6909" s="2" t="s">
        <v>6381</v>
      </c>
      <c r="F6909" s="2" t="s">
        <v>27458</v>
      </c>
      <c r="G6909" s="2" t="str">
        <f>"SR-9165"</f>
        <v>SR-9165</v>
      </c>
      <c r="H6909" s="2" t="s">
        <v>29469</v>
      </c>
      <c r="I6909" s="2">
        <v>420.0</v>
      </c>
      <c r="J6909" s="2" t="s">
        <v>29470</v>
      </c>
      <c r="K6909" s="2" t="s">
        <v>29471</v>
      </c>
      <c r="L6909" s="2" t="s">
        <v>715</v>
      </c>
      <c r="M6909" s="2">
        <v>71270.0</v>
      </c>
      <c r="N6909" s="2" t="s">
        <v>21</v>
      </c>
    </row>
    <row r="6910" ht="15.75" customHeight="1">
      <c r="A6910" s="2">
        <v>2016.0</v>
      </c>
      <c r="B6910" s="2" t="s">
        <v>29472</v>
      </c>
      <c r="C6910" s="2" t="s">
        <v>29472</v>
      </c>
      <c r="D6910" s="2" t="str">
        <f>"0435277262"</f>
        <v>0435277262</v>
      </c>
      <c r="E6910" s="2" t="s">
        <v>17850</v>
      </c>
      <c r="F6910" s="2" t="s">
        <v>2362</v>
      </c>
      <c r="G6910" s="2" t="str">
        <f>"SR-8684"</f>
        <v>SR-8684</v>
      </c>
      <c r="H6910" s="2" t="s">
        <v>29473</v>
      </c>
      <c r="I6910" s="2" t="s">
        <v>4439</v>
      </c>
      <c r="K6910" s="2" t="s">
        <v>4440</v>
      </c>
      <c r="L6910" s="2" t="s">
        <v>29474</v>
      </c>
      <c r="M6910" s="2">
        <v>5251.0</v>
      </c>
      <c r="N6910" s="2" t="s">
        <v>4442</v>
      </c>
    </row>
    <row r="6911" ht="15.75" customHeight="1">
      <c r="A6911" s="2">
        <v>2016.0</v>
      </c>
      <c r="B6911" s="2" t="s">
        <v>29475</v>
      </c>
      <c r="C6911" s="2" t="s">
        <v>29476</v>
      </c>
      <c r="D6911" s="2" t="str">
        <f>"540-877-0707"</f>
        <v>540-877-0707</v>
      </c>
      <c r="E6911" s="2" t="s">
        <v>2598</v>
      </c>
      <c r="F6911" s="2" t="s">
        <v>4484</v>
      </c>
      <c r="G6911" s="2" t="str">
        <f>"SR-8655"</f>
        <v>SR-8655</v>
      </c>
      <c r="H6911" s="2" t="s">
        <v>29477</v>
      </c>
      <c r="I6911" s="2" t="s">
        <v>29478</v>
      </c>
      <c r="K6911" s="2" t="s">
        <v>29479</v>
      </c>
      <c r="L6911" s="2" t="s">
        <v>165</v>
      </c>
      <c r="M6911" s="2">
        <v>22663.0</v>
      </c>
      <c r="N6911" s="2" t="s">
        <v>21</v>
      </c>
    </row>
    <row r="6912" ht="15.75" customHeight="1">
      <c r="A6912" s="2">
        <v>2016.0</v>
      </c>
      <c r="B6912" s="2" t="s">
        <v>29480</v>
      </c>
      <c r="C6912" s="2" t="s">
        <v>29480</v>
      </c>
      <c r="D6912" s="2" t="str">
        <f>"9096143034"</f>
        <v>9096143034</v>
      </c>
      <c r="E6912" s="2" t="s">
        <v>29481</v>
      </c>
      <c r="F6912" s="2" t="s">
        <v>29482</v>
      </c>
      <c r="G6912" s="2" t="str">
        <f>"SR-7081"</f>
        <v>SR-7081</v>
      </c>
      <c r="H6912" s="2" t="s">
        <v>29483</v>
      </c>
      <c r="I6912" s="2" t="s">
        <v>29484</v>
      </c>
      <c r="K6912" s="2" t="s">
        <v>15522</v>
      </c>
      <c r="L6912" s="2" t="s">
        <v>222</v>
      </c>
      <c r="M6912" s="2">
        <v>91708.0</v>
      </c>
      <c r="N6912" s="2" t="s">
        <v>21</v>
      </c>
    </row>
    <row r="6913" ht="15.75" customHeight="1">
      <c r="A6913" s="2">
        <v>2016.0</v>
      </c>
      <c r="B6913" s="2" t="s">
        <v>29485</v>
      </c>
      <c r="C6913" s="2" t="s">
        <v>29485</v>
      </c>
      <c r="D6913" s="2" t="str">
        <f>"8328122094"</f>
        <v>8328122094</v>
      </c>
      <c r="E6913" s="2" t="s">
        <v>29486</v>
      </c>
      <c r="F6913" s="2" t="s">
        <v>29487</v>
      </c>
      <c r="G6913" s="2" t="str">
        <f>"SR-8532"</f>
        <v>SR-8532</v>
      </c>
      <c r="H6913" s="2" t="s">
        <v>29488</v>
      </c>
      <c r="I6913" s="2" t="s">
        <v>29489</v>
      </c>
      <c r="K6913" s="2" t="s">
        <v>2368</v>
      </c>
      <c r="L6913" s="2" t="s">
        <v>172</v>
      </c>
      <c r="M6913" s="2">
        <v>77082.0</v>
      </c>
      <c r="N6913" s="2" t="s">
        <v>21</v>
      </c>
    </row>
    <row r="6914" ht="15.75" customHeight="1">
      <c r="A6914" s="2">
        <v>2016.0</v>
      </c>
      <c r="B6914" s="2" t="s">
        <v>29490</v>
      </c>
      <c r="C6914" s="2" t="s">
        <v>29491</v>
      </c>
      <c r="D6914" s="2" t="str">
        <f>"4054782279"</f>
        <v>4054782279</v>
      </c>
      <c r="E6914" s="2" t="s">
        <v>2891</v>
      </c>
      <c r="F6914" s="2" t="s">
        <v>5586</v>
      </c>
      <c r="G6914" s="2" t="str">
        <f>"SR-9176"</f>
        <v>SR-9176</v>
      </c>
      <c r="H6914" s="2" t="s">
        <v>29492</v>
      </c>
      <c r="I6914" s="2" t="s">
        <v>29493</v>
      </c>
      <c r="K6914" s="2" t="s">
        <v>1546</v>
      </c>
      <c r="L6914" s="2" t="s">
        <v>840</v>
      </c>
      <c r="M6914" s="2">
        <v>73013.0</v>
      </c>
      <c r="N6914" s="2" t="s">
        <v>21</v>
      </c>
    </row>
    <row r="6915" ht="15.75" customHeight="1">
      <c r="A6915" s="2">
        <v>2016.0</v>
      </c>
      <c r="B6915" s="2" t="s">
        <v>29494</v>
      </c>
      <c r="C6915" s="2" t="s">
        <v>29495</v>
      </c>
      <c r="D6915" s="2" t="str">
        <f>"6468536234"</f>
        <v>6468536234</v>
      </c>
      <c r="E6915" s="2" t="s">
        <v>12256</v>
      </c>
      <c r="F6915" s="2" t="s">
        <v>29496</v>
      </c>
      <c r="G6915" s="2" t="str">
        <f>"SR-9174"</f>
        <v>SR-9174</v>
      </c>
      <c r="H6915" s="2" t="s">
        <v>29497</v>
      </c>
      <c r="I6915" s="2" t="s">
        <v>29498</v>
      </c>
      <c r="K6915" s="2" t="s">
        <v>29499</v>
      </c>
      <c r="L6915" s="2" t="s">
        <v>142</v>
      </c>
      <c r="M6915" s="2">
        <v>11788.0</v>
      </c>
      <c r="N6915" s="2" t="s">
        <v>21</v>
      </c>
    </row>
    <row r="6916" ht="15.75" customHeight="1">
      <c r="A6916" s="2">
        <v>2016.0</v>
      </c>
      <c r="B6916" s="2" t="s">
        <v>29500</v>
      </c>
      <c r="C6916" s="2" t="s">
        <v>29500</v>
      </c>
      <c r="D6916" s="2" t="str">
        <f>"512-426-4951"</f>
        <v>512-426-4951</v>
      </c>
      <c r="E6916" s="2" t="s">
        <v>5632</v>
      </c>
      <c r="F6916" s="2" t="s">
        <v>10283</v>
      </c>
      <c r="G6916" s="2" t="str">
        <f>"SR-9177"</f>
        <v>SR-9177</v>
      </c>
      <c r="H6916" s="2" t="s">
        <v>29501</v>
      </c>
      <c r="I6916" s="2" t="s">
        <v>29502</v>
      </c>
      <c r="K6916" s="2" t="s">
        <v>29503</v>
      </c>
      <c r="L6916" s="2" t="s">
        <v>172</v>
      </c>
      <c r="M6916" s="2">
        <v>78738.0</v>
      </c>
      <c r="N6916" s="2" t="s">
        <v>21</v>
      </c>
    </row>
    <row r="6917" ht="15.75" customHeight="1">
      <c r="A6917" s="2">
        <v>2016.0</v>
      </c>
      <c r="B6917" s="2" t="s">
        <v>29504</v>
      </c>
      <c r="C6917" s="2" t="s">
        <v>29504</v>
      </c>
      <c r="D6917" s="2" t="str">
        <f>"602-885-8061"</f>
        <v>602-885-8061</v>
      </c>
      <c r="E6917" s="2" t="s">
        <v>29505</v>
      </c>
      <c r="F6917" s="2" t="s">
        <v>28749</v>
      </c>
      <c r="G6917" s="2" t="str">
        <f>"SR-2755"</f>
        <v>SR-2755</v>
      </c>
      <c r="H6917" s="2" t="s">
        <v>29506</v>
      </c>
      <c r="I6917" s="2" t="s">
        <v>29507</v>
      </c>
      <c r="J6917" s="2" t="s">
        <v>29508</v>
      </c>
      <c r="K6917" s="2" t="s">
        <v>4750</v>
      </c>
      <c r="L6917" s="2" t="s">
        <v>422</v>
      </c>
      <c r="M6917" s="2">
        <v>85608.0</v>
      </c>
      <c r="N6917" s="2" t="s">
        <v>21</v>
      </c>
    </row>
    <row r="6918" ht="15.75" customHeight="1">
      <c r="A6918" s="2">
        <v>2016.0</v>
      </c>
      <c r="B6918" s="2" t="s">
        <v>29509</v>
      </c>
      <c r="C6918" s="2" t="s">
        <v>29510</v>
      </c>
      <c r="D6918" s="2" t="str">
        <f>"(307) 433-9159"</f>
        <v>(307) 433-9159</v>
      </c>
      <c r="E6918" s="2" t="s">
        <v>485</v>
      </c>
      <c r="F6918" s="2" t="s">
        <v>29511</v>
      </c>
      <c r="G6918" s="2" t="str">
        <f>"SR-9173"</f>
        <v>SR-9173</v>
      </c>
      <c r="H6918" s="2" t="s">
        <v>29512</v>
      </c>
      <c r="I6918" s="2" t="s">
        <v>29513</v>
      </c>
      <c r="K6918" s="2" t="s">
        <v>10638</v>
      </c>
      <c r="L6918" s="2" t="s">
        <v>1540</v>
      </c>
      <c r="M6918" s="2">
        <v>82009.0</v>
      </c>
      <c r="N6918" s="2" t="s">
        <v>21</v>
      </c>
    </row>
    <row r="6919" ht="15.75" customHeight="1">
      <c r="A6919" s="2">
        <v>2016.0</v>
      </c>
      <c r="B6919" s="2" t="s">
        <v>29514</v>
      </c>
      <c r="C6919" s="2" t="s">
        <v>29515</v>
      </c>
      <c r="D6919" s="2" t="str">
        <f>"53-893-6394"</f>
        <v>53-893-6394</v>
      </c>
      <c r="E6919" s="2" t="s">
        <v>926</v>
      </c>
      <c r="F6919" s="2" t="s">
        <v>29516</v>
      </c>
      <c r="G6919" s="2" t="str">
        <f>"SR-9179"</f>
        <v>SR-9179</v>
      </c>
      <c r="H6919" s="2" t="s">
        <v>29517</v>
      </c>
      <c r="I6919" s="2" t="s">
        <v>29518</v>
      </c>
      <c r="K6919" s="2" t="s">
        <v>29519</v>
      </c>
      <c r="L6919" s="2" t="s">
        <v>344</v>
      </c>
      <c r="M6919" s="2">
        <v>45011.0</v>
      </c>
      <c r="N6919" s="2" t="s">
        <v>21</v>
      </c>
    </row>
    <row r="6920" ht="15.75" customHeight="1">
      <c r="A6920" s="2">
        <v>2016.0</v>
      </c>
      <c r="B6920" s="2" t="s">
        <v>29520</v>
      </c>
      <c r="C6920" s="2" t="s">
        <v>29521</v>
      </c>
      <c r="D6920" s="2" t="str">
        <f>"7133042771"</f>
        <v>7133042771</v>
      </c>
      <c r="E6920" s="2" t="s">
        <v>3743</v>
      </c>
      <c r="F6920" s="2" t="s">
        <v>29522</v>
      </c>
      <c r="G6920" s="2" t="str">
        <f>"SR-9180"</f>
        <v>SR-9180</v>
      </c>
      <c r="H6920" s="2" t="s">
        <v>29523</v>
      </c>
      <c r="I6920" s="2" t="s">
        <v>29524</v>
      </c>
      <c r="K6920" s="2" t="s">
        <v>444</v>
      </c>
      <c r="L6920" s="2" t="s">
        <v>172</v>
      </c>
      <c r="M6920" s="2">
        <v>77063.0</v>
      </c>
      <c r="N6920" s="2" t="s">
        <v>21</v>
      </c>
    </row>
    <row r="6921" ht="15.75" customHeight="1">
      <c r="A6921" s="2">
        <v>2016.0</v>
      </c>
      <c r="B6921" s="2" t="s">
        <v>22054</v>
      </c>
      <c r="C6921" s="2" t="s">
        <v>29525</v>
      </c>
      <c r="D6921" s="2" t="str">
        <f>"6127704436"</f>
        <v>6127704436</v>
      </c>
      <c r="E6921" s="2" t="s">
        <v>8159</v>
      </c>
      <c r="F6921" s="2" t="s">
        <v>283</v>
      </c>
      <c r="G6921" s="2" t="str">
        <f>"SR-9182"</f>
        <v>SR-9182</v>
      </c>
      <c r="H6921" s="2" t="s">
        <v>29526</v>
      </c>
      <c r="I6921" s="2" t="s">
        <v>29527</v>
      </c>
      <c r="K6921" s="2" t="s">
        <v>1321</v>
      </c>
      <c r="L6921" s="2" t="s">
        <v>62</v>
      </c>
      <c r="M6921" s="2">
        <v>55372.0</v>
      </c>
      <c r="N6921" s="2" t="s">
        <v>21</v>
      </c>
    </row>
    <row r="6922" ht="15.75" customHeight="1">
      <c r="A6922" s="2">
        <v>2016.0</v>
      </c>
      <c r="B6922" s="2" t="s">
        <v>29528</v>
      </c>
      <c r="C6922" s="2" t="s">
        <v>29529</v>
      </c>
      <c r="D6922" s="2" t="str">
        <f>"9125377237"</f>
        <v>9125377237</v>
      </c>
      <c r="E6922" s="2" t="s">
        <v>1496</v>
      </c>
      <c r="F6922" s="2" t="s">
        <v>29348</v>
      </c>
      <c r="G6922" s="2" t="str">
        <f>"SR-9175"</f>
        <v>SR-9175</v>
      </c>
      <c r="H6922" s="2" t="s">
        <v>29530</v>
      </c>
      <c r="I6922" s="2" t="s">
        <v>29531</v>
      </c>
      <c r="K6922" s="2" t="s">
        <v>6817</v>
      </c>
      <c r="L6922" s="2" t="s">
        <v>200</v>
      </c>
      <c r="M6922" s="2">
        <v>30475.0</v>
      </c>
      <c r="N6922" s="2" t="s">
        <v>21</v>
      </c>
    </row>
    <row r="6923" ht="15.75" customHeight="1">
      <c r="A6923" s="2">
        <v>2016.0</v>
      </c>
      <c r="B6923" s="2" t="s">
        <v>29532</v>
      </c>
      <c r="C6923" s="2" t="s">
        <v>29533</v>
      </c>
      <c r="D6923" s="2" t="str">
        <f>"405-562-7096"</f>
        <v>405-562-7096</v>
      </c>
      <c r="E6923" s="2" t="s">
        <v>1076</v>
      </c>
      <c r="F6923" s="2" t="s">
        <v>29534</v>
      </c>
      <c r="G6923" s="2" t="str">
        <f>"SR-9089"</f>
        <v>SR-9089</v>
      </c>
      <c r="H6923" s="2" t="s">
        <v>29535</v>
      </c>
      <c r="I6923" s="2" t="s">
        <v>29536</v>
      </c>
      <c r="K6923" s="2" t="s">
        <v>1546</v>
      </c>
      <c r="L6923" s="2" t="s">
        <v>840</v>
      </c>
      <c r="M6923" s="2">
        <v>73025.0</v>
      </c>
      <c r="N6923" s="2" t="s">
        <v>21</v>
      </c>
    </row>
    <row r="6924" ht="15.75" customHeight="1">
      <c r="A6924" s="2">
        <v>2016.0</v>
      </c>
      <c r="B6924" s="2" t="s">
        <v>29537</v>
      </c>
      <c r="C6924" s="2" t="s">
        <v>29538</v>
      </c>
      <c r="D6924" s="2" t="str">
        <f>"8104298540"</f>
        <v>8104298540</v>
      </c>
      <c r="E6924" s="2" t="s">
        <v>2083</v>
      </c>
      <c r="F6924" s="2" t="s">
        <v>29539</v>
      </c>
      <c r="G6924" s="2" t="str">
        <f>"SR-9188"</f>
        <v>SR-9188</v>
      </c>
      <c r="H6924" s="2" t="s">
        <v>29540</v>
      </c>
      <c r="I6924" s="2" t="s">
        <v>29541</v>
      </c>
      <c r="K6924" s="2" t="s">
        <v>29542</v>
      </c>
      <c r="L6924" s="2" t="s">
        <v>29</v>
      </c>
      <c r="M6924" s="2">
        <v>48473.0</v>
      </c>
      <c r="N6924" s="2" t="s">
        <v>21</v>
      </c>
    </row>
    <row r="6925" ht="15.75" customHeight="1">
      <c r="A6925" s="2">
        <v>2016.0</v>
      </c>
      <c r="B6925" s="2" t="s">
        <v>29543</v>
      </c>
      <c r="C6925" s="2" t="s">
        <v>29544</v>
      </c>
      <c r="D6925" s="2" t="str">
        <f>"8654415117"</f>
        <v>8654415117</v>
      </c>
      <c r="E6925" s="2" t="s">
        <v>17452</v>
      </c>
      <c r="F6925" s="2" t="s">
        <v>14111</v>
      </c>
      <c r="G6925" s="2" t="str">
        <f>"SR-9079"</f>
        <v>SR-9079</v>
      </c>
      <c r="H6925" s="2" t="s">
        <v>29545</v>
      </c>
      <c r="I6925" s="2" t="s">
        <v>29546</v>
      </c>
      <c r="K6925" s="2" t="s">
        <v>22167</v>
      </c>
      <c r="L6925" s="2" t="s">
        <v>279</v>
      </c>
      <c r="M6925" s="2">
        <v>37803.0</v>
      </c>
      <c r="N6925" s="2" t="s">
        <v>21</v>
      </c>
    </row>
    <row r="6926" ht="15.75" customHeight="1">
      <c r="A6926" s="2">
        <v>2016.0</v>
      </c>
      <c r="B6926" s="2" t="s">
        <v>29547</v>
      </c>
      <c r="C6926" s="2" t="s">
        <v>29547</v>
      </c>
      <c r="D6926" s="2" t="str">
        <f>"816 799 5686"</f>
        <v>816 799 5686</v>
      </c>
      <c r="E6926" s="2" t="s">
        <v>830</v>
      </c>
      <c r="F6926" s="2" t="s">
        <v>29548</v>
      </c>
      <c r="G6926" s="2" t="str">
        <f>"SR-9185"</f>
        <v>SR-9185</v>
      </c>
      <c r="H6926" s="2" t="s">
        <v>29549</v>
      </c>
      <c r="I6926" s="2" t="s">
        <v>29550</v>
      </c>
      <c r="K6926" s="2" t="s">
        <v>10533</v>
      </c>
      <c r="L6926" s="2" t="s">
        <v>920</v>
      </c>
      <c r="M6926" s="2">
        <v>57049.0</v>
      </c>
      <c r="N6926" s="2" t="s">
        <v>21</v>
      </c>
    </row>
    <row r="6927" ht="15.75" customHeight="1">
      <c r="A6927" s="2">
        <v>2016.0</v>
      </c>
      <c r="B6927" s="2" t="s">
        <v>29551</v>
      </c>
      <c r="C6927" s="2" t="s">
        <v>29551</v>
      </c>
      <c r="D6927" s="2" t="str">
        <f>"7122539524"</f>
        <v>7122539524</v>
      </c>
      <c r="E6927" s="2" t="s">
        <v>29552</v>
      </c>
      <c r="F6927" s="2" t="s">
        <v>29553</v>
      </c>
      <c r="G6927" s="2" t="str">
        <f>"SR-9183"</f>
        <v>SR-9183</v>
      </c>
      <c r="H6927" s="2" t="s">
        <v>29554</v>
      </c>
      <c r="I6927" s="2" t="s">
        <v>29555</v>
      </c>
      <c r="K6927" s="2" t="s">
        <v>29556</v>
      </c>
      <c r="L6927" s="2" t="s">
        <v>560</v>
      </c>
      <c r="M6927" s="2">
        <v>51106.0</v>
      </c>
      <c r="N6927" s="2" t="s">
        <v>21</v>
      </c>
    </row>
    <row r="6928" ht="15.75" customHeight="1">
      <c r="A6928" s="2">
        <v>2016.0</v>
      </c>
      <c r="B6928" s="2" t="s">
        <v>29557</v>
      </c>
      <c r="C6928" s="2" t="s">
        <v>29558</v>
      </c>
      <c r="D6928" s="2" t="str">
        <f>"404-446-9030"</f>
        <v>404-446-9030</v>
      </c>
      <c r="E6928" s="2" t="s">
        <v>2126</v>
      </c>
      <c r="F6928" s="2" t="s">
        <v>29559</v>
      </c>
      <c r="G6928" s="2" t="str">
        <f>"SR-9187"</f>
        <v>SR-9187</v>
      </c>
      <c r="H6928" s="2" t="s">
        <v>29560</v>
      </c>
      <c r="I6928" s="2" t="s">
        <v>29561</v>
      </c>
      <c r="K6928" s="2" t="s">
        <v>29562</v>
      </c>
      <c r="L6928" s="2" t="s">
        <v>222</v>
      </c>
      <c r="M6928" s="2">
        <v>95129.0</v>
      </c>
      <c r="N6928" s="2" t="s">
        <v>21</v>
      </c>
    </row>
    <row r="6929" ht="15.75" customHeight="1">
      <c r="A6929" s="2">
        <v>2016.0</v>
      </c>
      <c r="B6929" s="2" t="s">
        <v>13798</v>
      </c>
      <c r="C6929" s="2" t="s">
        <v>16201</v>
      </c>
      <c r="D6929" s="2" t="str">
        <f>"404-375-9558"</f>
        <v>404-375-9558</v>
      </c>
      <c r="E6929" s="2" t="s">
        <v>181</v>
      </c>
      <c r="F6929" s="2" t="s">
        <v>3651</v>
      </c>
      <c r="G6929" s="2" t="str">
        <f>"SR-4847"</f>
        <v>SR-4847</v>
      </c>
      <c r="H6929" s="2" t="s">
        <v>16202</v>
      </c>
      <c r="I6929" s="2" t="s">
        <v>13801</v>
      </c>
      <c r="K6929" s="2" t="s">
        <v>10683</v>
      </c>
      <c r="L6929" s="2" t="s">
        <v>200</v>
      </c>
      <c r="M6929" s="2">
        <v>30327.0</v>
      </c>
      <c r="N6929" s="2" t="s">
        <v>21</v>
      </c>
    </row>
    <row r="6930" ht="15.75" customHeight="1">
      <c r="A6930" s="2">
        <v>2016.0</v>
      </c>
      <c r="B6930" s="2" t="s">
        <v>29563</v>
      </c>
      <c r="D6930" s="2" t="str">
        <f>""</f>
        <v/>
      </c>
      <c r="E6930" s="2" t="s">
        <v>705</v>
      </c>
      <c r="F6930" s="2" t="s">
        <v>29564</v>
      </c>
      <c r="G6930" s="2" t="str">
        <f>"SR-9138"</f>
        <v>SR-9138</v>
      </c>
      <c r="H6930" s="2" t="s">
        <v>29565</v>
      </c>
      <c r="N6930" s="2" t="s">
        <v>21</v>
      </c>
    </row>
    <row r="6931" ht="15.75" customHeight="1">
      <c r="A6931" s="2">
        <v>2016.0</v>
      </c>
      <c r="B6931" s="2" t="s">
        <v>29566</v>
      </c>
      <c r="C6931" s="2" t="s">
        <v>29567</v>
      </c>
      <c r="D6931" s="2" t="str">
        <f>"806-576-6880"</f>
        <v>806-576-6880</v>
      </c>
      <c r="E6931" s="2" t="s">
        <v>29568</v>
      </c>
      <c r="F6931" s="2" t="s">
        <v>15626</v>
      </c>
      <c r="G6931" s="2" t="str">
        <f>"SR-9197"</f>
        <v>SR-9197</v>
      </c>
      <c r="H6931" s="2" t="s">
        <v>29569</v>
      </c>
      <c r="I6931" s="2" t="s">
        <v>29570</v>
      </c>
      <c r="K6931" s="2" t="s">
        <v>14992</v>
      </c>
      <c r="L6931" s="2" t="s">
        <v>172</v>
      </c>
      <c r="M6931" s="2">
        <v>79114.0</v>
      </c>
      <c r="N6931" s="2" t="s">
        <v>21</v>
      </c>
    </row>
    <row r="6932" ht="15.75" customHeight="1">
      <c r="A6932" s="2">
        <v>2016.0</v>
      </c>
      <c r="B6932" s="2" t="s">
        <v>29571</v>
      </c>
      <c r="C6932" s="2" t="s">
        <v>29572</v>
      </c>
      <c r="D6932" s="2" t="str">
        <f>"815-908-8413"</f>
        <v>815-908-8413</v>
      </c>
      <c r="E6932" s="2" t="s">
        <v>26136</v>
      </c>
      <c r="F6932" s="2" t="s">
        <v>29573</v>
      </c>
      <c r="G6932" s="2" t="str">
        <f>"SR-9198"</f>
        <v>SR-9198</v>
      </c>
      <c r="H6932" s="2" t="s">
        <v>29574</v>
      </c>
      <c r="I6932" s="2">
        <v>3349.0</v>
      </c>
      <c r="J6932" s="2" t="s">
        <v>29575</v>
      </c>
      <c r="K6932" s="2" t="s">
        <v>8373</v>
      </c>
      <c r="L6932" s="2" t="s">
        <v>105</v>
      </c>
      <c r="M6932" s="2">
        <v>61008.0</v>
      </c>
      <c r="N6932" s="2" t="s">
        <v>21</v>
      </c>
    </row>
    <row r="6933" ht="15.75" customHeight="1">
      <c r="A6933" s="2">
        <v>2016.0</v>
      </c>
      <c r="B6933" s="2" t="s">
        <v>29576</v>
      </c>
      <c r="C6933" s="2" t="s">
        <v>29577</v>
      </c>
      <c r="D6933" s="2" t="str">
        <f>"563-424-1944"</f>
        <v>563-424-1944</v>
      </c>
      <c r="E6933" s="2" t="s">
        <v>705</v>
      </c>
      <c r="F6933" s="2" t="s">
        <v>6036</v>
      </c>
      <c r="G6933" s="2" t="str">
        <f>"SR-9095"</f>
        <v>SR-9095</v>
      </c>
      <c r="H6933" s="2" t="s">
        <v>6040</v>
      </c>
      <c r="I6933" s="2" t="s">
        <v>29578</v>
      </c>
      <c r="K6933" s="2" t="s">
        <v>6039</v>
      </c>
      <c r="L6933" s="2" t="s">
        <v>560</v>
      </c>
      <c r="M6933" s="2">
        <v>52722.0</v>
      </c>
      <c r="N6933" s="2" t="s">
        <v>21</v>
      </c>
    </row>
    <row r="6934" ht="15.75" customHeight="1">
      <c r="A6934" s="2">
        <v>2016.0</v>
      </c>
      <c r="B6934" s="2" t="s">
        <v>29579</v>
      </c>
      <c r="C6934" s="2" t="s">
        <v>29580</v>
      </c>
      <c r="D6934" s="2" t="str">
        <f>"6023504271"</f>
        <v>6023504271</v>
      </c>
      <c r="E6934" s="2" t="s">
        <v>72</v>
      </c>
      <c r="F6934" s="2" t="s">
        <v>29581</v>
      </c>
      <c r="G6934" s="2" t="str">
        <f>"SR-9178"</f>
        <v>SR-9178</v>
      </c>
      <c r="H6934" s="2" t="s">
        <v>29582</v>
      </c>
      <c r="I6934" s="2" t="s">
        <v>29583</v>
      </c>
      <c r="K6934" s="2" t="s">
        <v>421</v>
      </c>
      <c r="L6934" s="2" t="s">
        <v>422</v>
      </c>
      <c r="M6934" s="2">
        <v>85086.0</v>
      </c>
      <c r="N6934" s="2" t="s">
        <v>21</v>
      </c>
    </row>
    <row r="6935" ht="15.75" customHeight="1">
      <c r="A6935" s="2">
        <v>2016.0</v>
      </c>
      <c r="B6935" s="2" t="s">
        <v>29584</v>
      </c>
      <c r="C6935" s="2" t="s">
        <v>29585</v>
      </c>
      <c r="D6935" s="2" t="str">
        <f>"6618895932"</f>
        <v>6618895932</v>
      </c>
      <c r="E6935" s="2" t="s">
        <v>29586</v>
      </c>
      <c r="F6935" s="2" t="s">
        <v>29587</v>
      </c>
      <c r="G6935" s="2" t="str">
        <f>"SR-9203"</f>
        <v>SR-9203</v>
      </c>
      <c r="H6935" s="2" t="s">
        <v>29588</v>
      </c>
      <c r="I6935" s="2" t="s">
        <v>29589</v>
      </c>
      <c r="K6935" s="2" t="s">
        <v>11198</v>
      </c>
      <c r="L6935" s="2" t="s">
        <v>222</v>
      </c>
      <c r="M6935" s="2">
        <v>93314.0</v>
      </c>
      <c r="N6935" s="2" t="s">
        <v>21</v>
      </c>
    </row>
    <row r="6936" ht="15.75" customHeight="1">
      <c r="A6936" s="2">
        <v>2016.0</v>
      </c>
      <c r="B6936" s="2" t="s">
        <v>29590</v>
      </c>
      <c r="C6936" s="2" t="s">
        <v>29591</v>
      </c>
      <c r="D6936" s="2" t="str">
        <f>"530-878-8950"</f>
        <v>530-878-8950</v>
      </c>
      <c r="E6936" s="2" t="s">
        <v>385</v>
      </c>
      <c r="F6936" s="2" t="s">
        <v>12683</v>
      </c>
      <c r="G6936" s="2" t="str">
        <f>"SR-9206"</f>
        <v>SR-9206</v>
      </c>
      <c r="H6936" s="2" t="s">
        <v>29592</v>
      </c>
      <c r="I6936" s="2" t="s">
        <v>29593</v>
      </c>
      <c r="J6936" s="2" t="s">
        <v>29594</v>
      </c>
      <c r="K6936" s="2" t="s">
        <v>15823</v>
      </c>
      <c r="L6936" s="2" t="s">
        <v>222</v>
      </c>
      <c r="M6936" s="2">
        <v>95722.0</v>
      </c>
      <c r="N6936" s="2" t="s">
        <v>21</v>
      </c>
    </row>
    <row r="6937" ht="15.75" customHeight="1">
      <c r="A6937" s="2">
        <v>2016.0</v>
      </c>
      <c r="B6937" s="2" t="s">
        <v>29584</v>
      </c>
      <c r="C6937" s="2" t="s">
        <v>29595</v>
      </c>
      <c r="D6937" s="2" t="str">
        <f>"6613331105"</f>
        <v>6613331105</v>
      </c>
      <c r="E6937" s="2" t="s">
        <v>2250</v>
      </c>
      <c r="F6937" s="2" t="s">
        <v>29587</v>
      </c>
      <c r="G6937" s="2" t="str">
        <f>"SR-9202"</f>
        <v>SR-9202</v>
      </c>
      <c r="H6937" s="2" t="s">
        <v>29596</v>
      </c>
      <c r="I6937" s="2" t="s">
        <v>29589</v>
      </c>
      <c r="K6937" s="2" t="s">
        <v>11198</v>
      </c>
      <c r="L6937" s="2" t="s">
        <v>222</v>
      </c>
      <c r="M6937" s="2">
        <v>93314.0</v>
      </c>
      <c r="N6937" s="2" t="s">
        <v>21</v>
      </c>
    </row>
    <row r="6938" ht="15.75" customHeight="1">
      <c r="A6938" s="2">
        <v>2016.0</v>
      </c>
      <c r="B6938" s="2" t="s">
        <v>29597</v>
      </c>
      <c r="C6938" s="2" t="s">
        <v>29597</v>
      </c>
      <c r="D6938" s="2" t="str">
        <f>"321-607-2997"</f>
        <v>321-607-2997</v>
      </c>
      <c r="E6938" s="2" t="s">
        <v>29598</v>
      </c>
      <c r="F6938" s="2" t="s">
        <v>26794</v>
      </c>
      <c r="G6938" s="2" t="str">
        <f>"SR-9207"</f>
        <v>SR-9207</v>
      </c>
      <c r="H6938" s="2" t="s">
        <v>29599</v>
      </c>
      <c r="I6938" s="2" t="s">
        <v>29600</v>
      </c>
      <c r="K6938" s="2" t="s">
        <v>29601</v>
      </c>
      <c r="L6938" s="2" t="s">
        <v>208</v>
      </c>
      <c r="M6938" s="2">
        <v>32796.0</v>
      </c>
      <c r="N6938" s="2" t="s">
        <v>21</v>
      </c>
    </row>
    <row r="6939" ht="15.75" customHeight="1">
      <c r="A6939" s="2">
        <v>2016.0</v>
      </c>
      <c r="B6939" s="2" t="s">
        <v>2353</v>
      </c>
      <c r="C6939" s="2" t="s">
        <v>29602</v>
      </c>
      <c r="D6939" s="2" t="str">
        <f>"9725135679"</f>
        <v>9725135679</v>
      </c>
      <c r="E6939" s="2" t="s">
        <v>6170</v>
      </c>
      <c r="F6939" s="2" t="s">
        <v>847</v>
      </c>
      <c r="G6939" s="2" t="str">
        <f>"SR-9204"</f>
        <v>SR-9204</v>
      </c>
      <c r="H6939" s="2" t="s">
        <v>29603</v>
      </c>
      <c r="I6939" s="2" t="s">
        <v>2357</v>
      </c>
      <c r="K6939" s="2" t="s">
        <v>2358</v>
      </c>
      <c r="L6939" s="2" t="s">
        <v>172</v>
      </c>
      <c r="M6939" s="2">
        <v>75154.0</v>
      </c>
      <c r="N6939" s="2" t="s">
        <v>21</v>
      </c>
    </row>
    <row r="6940" ht="15.75" customHeight="1">
      <c r="A6940" s="2">
        <v>2016.0</v>
      </c>
      <c r="B6940" s="2" t="s">
        <v>29604</v>
      </c>
      <c r="C6940" s="2" t="s">
        <v>29605</v>
      </c>
      <c r="D6940" s="2" t="str">
        <f>"(919)721-5895"</f>
        <v>(919)721-5895</v>
      </c>
      <c r="E6940" s="2" t="s">
        <v>29606</v>
      </c>
      <c r="F6940" s="2" t="s">
        <v>29607</v>
      </c>
      <c r="G6940" s="2" t="str">
        <f>"SR-9023"</f>
        <v>SR-9023</v>
      </c>
      <c r="H6940" s="2" t="s">
        <v>29608</v>
      </c>
      <c r="I6940" s="2" t="s">
        <v>29609</v>
      </c>
      <c r="K6940" s="2" t="s">
        <v>8093</v>
      </c>
      <c r="L6940" s="2" t="s">
        <v>20</v>
      </c>
      <c r="M6940" s="2">
        <v>27505.0</v>
      </c>
      <c r="N6940" s="2" t="s">
        <v>21</v>
      </c>
    </row>
    <row r="6941" ht="15.75" customHeight="1">
      <c r="A6941" s="2">
        <v>2016.0</v>
      </c>
      <c r="B6941" s="2" t="s">
        <v>29610</v>
      </c>
      <c r="C6941" s="2" t="s">
        <v>29611</v>
      </c>
      <c r="D6941" s="2" t="str">
        <f>"806-831-5278"</f>
        <v>806-831-5278</v>
      </c>
      <c r="E6941" s="2" t="s">
        <v>13585</v>
      </c>
      <c r="F6941" s="2" t="s">
        <v>29612</v>
      </c>
      <c r="G6941" s="2" t="str">
        <f>"SR-9189"</f>
        <v>SR-9189</v>
      </c>
      <c r="H6941" s="2" t="s">
        <v>29613</v>
      </c>
      <c r="I6941" s="2" t="s">
        <v>29614</v>
      </c>
      <c r="K6941" s="2" t="s">
        <v>1121</v>
      </c>
      <c r="L6941" s="2" t="s">
        <v>172</v>
      </c>
      <c r="M6941" s="2">
        <v>79424.0</v>
      </c>
      <c r="N6941" s="2" t="s">
        <v>21</v>
      </c>
    </row>
    <row r="6942" ht="15.75" customHeight="1">
      <c r="A6942" s="2">
        <v>2016.0</v>
      </c>
      <c r="B6942" s="2" t="s">
        <v>15039</v>
      </c>
      <c r="C6942" s="2" t="s">
        <v>29615</v>
      </c>
      <c r="D6942" s="2" t="str">
        <f>"209-631-9639"</f>
        <v>209-631-9639</v>
      </c>
      <c r="E6942" s="2" t="s">
        <v>282</v>
      </c>
      <c r="F6942" s="2" t="s">
        <v>15042</v>
      </c>
      <c r="G6942" s="2" t="str">
        <f>"SR-8756"</f>
        <v>SR-8756</v>
      </c>
      <c r="H6942" s="2" t="s">
        <v>29616</v>
      </c>
      <c r="I6942" s="2" t="s">
        <v>29617</v>
      </c>
      <c r="K6942" s="2" t="s">
        <v>29618</v>
      </c>
      <c r="L6942" s="2" t="s">
        <v>222</v>
      </c>
      <c r="M6942" s="2">
        <v>93610.0</v>
      </c>
      <c r="N6942" s="2" t="s">
        <v>21</v>
      </c>
    </row>
    <row r="6943" ht="15.75" customHeight="1">
      <c r="A6943" s="2">
        <v>2016.0</v>
      </c>
      <c r="B6943" s="2" t="s">
        <v>5497</v>
      </c>
      <c r="C6943" s="2" t="s">
        <v>29619</v>
      </c>
      <c r="D6943" s="2" t="str">
        <f>"731-234-5799"</f>
        <v>731-234-5799</v>
      </c>
      <c r="E6943" s="2" t="s">
        <v>1156</v>
      </c>
      <c r="F6943" s="2" t="s">
        <v>5500</v>
      </c>
      <c r="G6943" s="2" t="str">
        <f>"SR-9208"</f>
        <v>SR-9208</v>
      </c>
      <c r="H6943" s="2" t="s">
        <v>29620</v>
      </c>
      <c r="I6943" s="2" t="s">
        <v>5502</v>
      </c>
      <c r="K6943" s="2" t="s">
        <v>1257</v>
      </c>
      <c r="L6943" s="2" t="s">
        <v>279</v>
      </c>
      <c r="M6943" s="2">
        <v>38305.0</v>
      </c>
      <c r="N6943" s="2" t="s">
        <v>21</v>
      </c>
    </row>
    <row r="6944" ht="15.75" customHeight="1">
      <c r="A6944" s="2">
        <v>2016.0</v>
      </c>
      <c r="B6944" s="2" t="s">
        <v>29621</v>
      </c>
      <c r="C6944" s="2" t="s">
        <v>29621</v>
      </c>
      <c r="D6944" s="2" t="str">
        <f>"404-771-2661"</f>
        <v>404-771-2661</v>
      </c>
      <c r="E6944" s="2" t="s">
        <v>29622</v>
      </c>
      <c r="F6944" s="2" t="s">
        <v>11982</v>
      </c>
      <c r="G6944" s="2" t="str">
        <f>"SR-9215"</f>
        <v>SR-9215</v>
      </c>
      <c r="H6944" s="2" t="s">
        <v>29623</v>
      </c>
      <c r="I6944" s="2" t="s">
        <v>29624</v>
      </c>
      <c r="J6944" s="2" t="s">
        <v>29625</v>
      </c>
      <c r="K6944" s="2" t="s">
        <v>4988</v>
      </c>
      <c r="L6944" s="2" t="s">
        <v>200</v>
      </c>
      <c r="M6944" s="2">
        <v>30144.0</v>
      </c>
      <c r="N6944" s="2" t="s">
        <v>21</v>
      </c>
    </row>
    <row r="6945" ht="15.75" customHeight="1">
      <c r="A6945" s="2">
        <v>2016.0</v>
      </c>
      <c r="B6945" s="2" t="s">
        <v>29626</v>
      </c>
      <c r="C6945" s="2" t="s">
        <v>29627</v>
      </c>
      <c r="D6945" s="2" t="str">
        <f>"403-404-3343"</f>
        <v>403-404-3343</v>
      </c>
      <c r="E6945" s="2" t="s">
        <v>282</v>
      </c>
      <c r="F6945" s="2" t="s">
        <v>29628</v>
      </c>
      <c r="G6945" s="2" t="str">
        <f>"SR-9186"</f>
        <v>SR-9186</v>
      </c>
      <c r="H6945" s="2" t="s">
        <v>29629</v>
      </c>
      <c r="I6945" s="2" t="s">
        <v>29630</v>
      </c>
      <c r="K6945" s="2" t="s">
        <v>6725</v>
      </c>
      <c r="L6945" s="2" t="s">
        <v>6726</v>
      </c>
      <c r="M6945" s="2" t="s">
        <v>29631</v>
      </c>
      <c r="N6945" s="2" t="s">
        <v>1602</v>
      </c>
    </row>
    <row r="6946" ht="15.75" customHeight="1">
      <c r="A6946" s="2">
        <v>2016.0</v>
      </c>
      <c r="B6946" s="2" t="s">
        <v>22316</v>
      </c>
      <c r="C6946" s="2" t="s">
        <v>22317</v>
      </c>
      <c r="D6946" s="2" t="str">
        <f>"9496106344"</f>
        <v>9496106344</v>
      </c>
      <c r="E6946" s="2" t="s">
        <v>428</v>
      </c>
      <c r="F6946" s="2" t="s">
        <v>22318</v>
      </c>
      <c r="G6946" s="2" t="str">
        <f>"SR-6665"</f>
        <v>SR-6665</v>
      </c>
      <c r="H6946" s="2" t="s">
        <v>22319</v>
      </c>
      <c r="I6946" s="2" t="s">
        <v>22320</v>
      </c>
      <c r="K6946" s="2" t="s">
        <v>16116</v>
      </c>
      <c r="L6946" s="2" t="s">
        <v>222</v>
      </c>
      <c r="M6946" s="2">
        <v>92630.0</v>
      </c>
      <c r="N6946" s="2" t="s">
        <v>21</v>
      </c>
    </row>
    <row r="6947" ht="15.75" customHeight="1">
      <c r="A6947" s="2">
        <v>2016.0</v>
      </c>
      <c r="B6947" s="2" t="s">
        <v>29632</v>
      </c>
      <c r="C6947" s="2" t="s">
        <v>29632</v>
      </c>
      <c r="D6947" s="2" t="str">
        <f>"2293472098"</f>
        <v>2293472098</v>
      </c>
      <c r="E6947" s="2" t="s">
        <v>29633</v>
      </c>
      <c r="F6947" s="2" t="s">
        <v>11503</v>
      </c>
      <c r="G6947" s="2" t="str">
        <f>"SR-9223"</f>
        <v>SR-9223</v>
      </c>
      <c r="H6947" s="2" t="s">
        <v>29634</v>
      </c>
      <c r="I6947" s="2" t="s">
        <v>29635</v>
      </c>
      <c r="K6947" s="2" t="s">
        <v>29636</v>
      </c>
      <c r="L6947" s="2" t="s">
        <v>200</v>
      </c>
      <c r="M6947" s="2">
        <v>31763.0</v>
      </c>
      <c r="N6947" s="2" t="s">
        <v>21</v>
      </c>
    </row>
    <row r="6948" ht="15.75" customHeight="1">
      <c r="A6948" s="2">
        <v>2016.0</v>
      </c>
      <c r="B6948" s="2" t="s">
        <v>29637</v>
      </c>
      <c r="C6948" s="2" t="s">
        <v>29637</v>
      </c>
      <c r="D6948" s="2" t="str">
        <f>"509-738-4319"</f>
        <v>509-738-4319</v>
      </c>
      <c r="E6948" s="2" t="s">
        <v>29638</v>
      </c>
      <c r="F6948" s="2" t="s">
        <v>1151</v>
      </c>
      <c r="G6948" s="2" t="str">
        <f>"SR-7441"</f>
        <v>SR-7441</v>
      </c>
      <c r="H6948" s="2" t="s">
        <v>29639</v>
      </c>
      <c r="I6948" s="2" t="s">
        <v>29640</v>
      </c>
      <c r="K6948" s="2" t="s">
        <v>14352</v>
      </c>
      <c r="L6948" s="2" t="s">
        <v>86</v>
      </c>
      <c r="M6948" s="2">
        <v>99167.0</v>
      </c>
      <c r="N6948" s="2" t="s">
        <v>21</v>
      </c>
    </row>
    <row r="6949" ht="15.75" customHeight="1">
      <c r="A6949" s="2">
        <v>2016.0</v>
      </c>
      <c r="B6949" s="2" t="s">
        <v>29641</v>
      </c>
      <c r="C6949" s="2" t="s">
        <v>29642</v>
      </c>
      <c r="D6949" s="2" t="str">
        <f>"217-454-5560"</f>
        <v>217-454-5560</v>
      </c>
      <c r="E6949" s="2" t="s">
        <v>2361</v>
      </c>
      <c r="F6949" s="2" t="s">
        <v>29643</v>
      </c>
      <c r="G6949" s="2" t="str">
        <f>"SR-9224"</f>
        <v>SR-9224</v>
      </c>
      <c r="H6949" s="2" t="s">
        <v>29644</v>
      </c>
      <c r="I6949" s="2" t="s">
        <v>29645</v>
      </c>
      <c r="K6949" s="2" t="s">
        <v>29646</v>
      </c>
      <c r="L6949" s="2" t="s">
        <v>105</v>
      </c>
      <c r="M6949" s="2">
        <v>62535.0</v>
      </c>
      <c r="N6949" s="2" t="s">
        <v>21</v>
      </c>
    </row>
    <row r="6950" ht="15.75" customHeight="1">
      <c r="A6950" s="2">
        <v>2016.0</v>
      </c>
      <c r="B6950" s="2" t="s">
        <v>29647</v>
      </c>
      <c r="C6950" s="2" t="s">
        <v>29648</v>
      </c>
      <c r="D6950" s="2" t="str">
        <f>"770 893 1335"</f>
        <v>770 893 1335</v>
      </c>
      <c r="E6950" s="2" t="s">
        <v>29649</v>
      </c>
      <c r="F6950" s="2" t="s">
        <v>31</v>
      </c>
      <c r="G6950" s="2" t="str">
        <f>"SR-9209"</f>
        <v>SR-9209</v>
      </c>
      <c r="H6950" s="2" t="s">
        <v>29650</v>
      </c>
      <c r="I6950" s="2" t="s">
        <v>29651</v>
      </c>
      <c r="K6950" s="2" t="s">
        <v>29652</v>
      </c>
      <c r="L6950" s="2" t="s">
        <v>200</v>
      </c>
      <c r="M6950" s="2">
        <v>30107.0</v>
      </c>
      <c r="N6950" s="2" t="s">
        <v>21</v>
      </c>
    </row>
    <row r="6951" ht="15.75" customHeight="1">
      <c r="A6951" s="2">
        <v>2016.0</v>
      </c>
      <c r="B6951" s="2" t="s">
        <v>29653</v>
      </c>
      <c r="C6951" s="2" t="s">
        <v>29654</v>
      </c>
      <c r="D6951" s="2" t="str">
        <f>"423-554-3777"</f>
        <v>423-554-3777</v>
      </c>
      <c r="E6951" s="2" t="s">
        <v>137</v>
      </c>
      <c r="F6951" s="2" t="s">
        <v>94</v>
      </c>
      <c r="G6951" s="2" t="str">
        <f>"SR-9024"</f>
        <v>SR-9024</v>
      </c>
      <c r="H6951" s="2" t="s">
        <v>29655</v>
      </c>
      <c r="I6951" s="2" t="s">
        <v>29656</v>
      </c>
      <c r="K6951" s="2" t="s">
        <v>29657</v>
      </c>
      <c r="L6951" s="2" t="s">
        <v>279</v>
      </c>
      <c r="M6951" s="2">
        <v>37338.0</v>
      </c>
      <c r="N6951" s="2" t="s">
        <v>21</v>
      </c>
    </row>
    <row r="6952" ht="15.75" customHeight="1">
      <c r="A6952" s="2">
        <v>2016.0</v>
      </c>
      <c r="B6952" s="2" t="s">
        <v>29658</v>
      </c>
      <c r="C6952" s="2" t="s">
        <v>29659</v>
      </c>
      <c r="D6952" s="2" t="str">
        <f>"225-241-9873"</f>
        <v>225-241-9873</v>
      </c>
      <c r="E6952" s="2" t="s">
        <v>50</v>
      </c>
      <c r="F6952" s="2" t="s">
        <v>29660</v>
      </c>
      <c r="G6952" s="2" t="str">
        <f>"SR-9218"</f>
        <v>SR-9218</v>
      </c>
      <c r="H6952" s="2" t="s">
        <v>29661</v>
      </c>
      <c r="I6952" s="2" t="s">
        <v>29662</v>
      </c>
      <c r="K6952" s="2" t="s">
        <v>7521</v>
      </c>
      <c r="L6952" s="2" t="s">
        <v>715</v>
      </c>
      <c r="M6952" s="2">
        <v>70739.0</v>
      </c>
      <c r="N6952" s="2" t="s">
        <v>21</v>
      </c>
    </row>
    <row r="6953" ht="15.75" customHeight="1">
      <c r="A6953" s="2">
        <v>2016.0</v>
      </c>
      <c r="B6953" s="2" t="s">
        <v>29663</v>
      </c>
      <c r="C6953" s="2" t="s">
        <v>29664</v>
      </c>
      <c r="D6953" s="2" t="str">
        <f>"719 5510390"</f>
        <v>719 5510390</v>
      </c>
      <c r="E6953" s="2" t="s">
        <v>339</v>
      </c>
      <c r="F6953" s="2" t="s">
        <v>5542</v>
      </c>
      <c r="G6953" s="2" t="str">
        <f>"SR-9225"</f>
        <v>SR-9225</v>
      </c>
      <c r="H6953" s="2" t="s">
        <v>29665</v>
      </c>
      <c r="I6953" s="2" t="s">
        <v>29666</v>
      </c>
      <c r="K6953" s="2" t="s">
        <v>809</v>
      </c>
      <c r="L6953" s="2" t="s">
        <v>157</v>
      </c>
      <c r="M6953" s="2">
        <v>80918.0</v>
      </c>
      <c r="N6953" s="2" t="s">
        <v>21</v>
      </c>
    </row>
    <row r="6954" ht="15.75" customHeight="1">
      <c r="A6954" s="2">
        <v>2016.0</v>
      </c>
      <c r="B6954" s="2" t="s">
        <v>29667</v>
      </c>
      <c r="C6954" s="2" t="s">
        <v>29667</v>
      </c>
      <c r="D6954" s="2" t="str">
        <f>"6513360740"</f>
        <v>6513360740</v>
      </c>
      <c r="E6954" s="2" t="s">
        <v>18113</v>
      </c>
      <c r="F6954" s="2" t="s">
        <v>984</v>
      </c>
      <c r="G6954" s="2" t="str">
        <f>"SR-9191"</f>
        <v>SR-9191</v>
      </c>
      <c r="H6954" s="2" t="s">
        <v>29668</v>
      </c>
      <c r="I6954" s="2" t="s">
        <v>29669</v>
      </c>
      <c r="K6954" s="2" t="s">
        <v>16172</v>
      </c>
      <c r="L6954" s="2" t="s">
        <v>62</v>
      </c>
      <c r="M6954" s="2">
        <v>55092.0</v>
      </c>
      <c r="N6954" s="2" t="s">
        <v>21</v>
      </c>
    </row>
    <row r="6955" ht="15.75" customHeight="1">
      <c r="A6955" s="2">
        <v>2016.0</v>
      </c>
      <c r="B6955" s="2" t="s">
        <v>29670</v>
      </c>
      <c r="C6955" s="2" t="s">
        <v>29671</v>
      </c>
      <c r="D6955" s="2" t="str">
        <f>"303-659-2775"</f>
        <v>303-659-2775</v>
      </c>
      <c r="E6955" s="2" t="s">
        <v>7754</v>
      </c>
      <c r="F6955" s="2" t="s">
        <v>29672</v>
      </c>
      <c r="G6955" s="2" t="str">
        <f>"SR-9227"</f>
        <v>SR-9227</v>
      </c>
      <c r="H6955" s="2" t="s">
        <v>29673</v>
      </c>
      <c r="I6955" s="2" t="s">
        <v>29674</v>
      </c>
      <c r="K6955" s="2" t="s">
        <v>17147</v>
      </c>
      <c r="L6955" s="2" t="s">
        <v>157</v>
      </c>
      <c r="M6955" s="2">
        <v>80603.0</v>
      </c>
      <c r="N6955" s="2" t="s">
        <v>21</v>
      </c>
    </row>
    <row r="6956" ht="15.75" customHeight="1">
      <c r="A6956" s="2">
        <v>2016.0</v>
      </c>
      <c r="B6956" s="2" t="s">
        <v>29675</v>
      </c>
      <c r="C6956" s="2" t="s">
        <v>29676</v>
      </c>
      <c r="D6956" s="2" t="str">
        <f>"8154518138"</f>
        <v>8154518138</v>
      </c>
      <c r="E6956" s="2" t="s">
        <v>29677</v>
      </c>
      <c r="F6956" s="2" t="s">
        <v>29678</v>
      </c>
      <c r="G6956" s="2" t="str">
        <f>"SR-9228"</f>
        <v>SR-9228</v>
      </c>
      <c r="H6956" s="2" t="s">
        <v>29679</v>
      </c>
      <c r="I6956" s="2" t="s">
        <v>29680</v>
      </c>
      <c r="K6956" s="2" t="s">
        <v>5208</v>
      </c>
      <c r="L6956" s="2" t="s">
        <v>105</v>
      </c>
      <c r="M6956" s="2">
        <v>60014.0</v>
      </c>
      <c r="N6956" s="2" t="s">
        <v>21</v>
      </c>
    </row>
    <row r="6957" ht="15.75" customHeight="1">
      <c r="A6957" s="2">
        <v>2016.0</v>
      </c>
      <c r="B6957" s="2" t="s">
        <v>29681</v>
      </c>
      <c r="C6957" s="2" t="s">
        <v>29682</v>
      </c>
      <c r="D6957" s="2" t="str">
        <f>"308-627-3683"</f>
        <v>308-627-3683</v>
      </c>
      <c r="E6957" s="2" t="s">
        <v>29683</v>
      </c>
      <c r="F6957" s="2" t="s">
        <v>29684</v>
      </c>
      <c r="G6957" s="2" t="str">
        <f>"SR-9011"</f>
        <v>SR-9011</v>
      </c>
      <c r="H6957" s="2" t="s">
        <v>29685</v>
      </c>
      <c r="I6957" s="2" t="s">
        <v>29686</v>
      </c>
      <c r="K6957" s="2" t="s">
        <v>14870</v>
      </c>
      <c r="L6957" s="2" t="s">
        <v>757</v>
      </c>
      <c r="M6957" s="2">
        <v>68845.0</v>
      </c>
      <c r="N6957" s="2" t="s">
        <v>21</v>
      </c>
    </row>
    <row r="6958" ht="15.75" customHeight="1">
      <c r="A6958" s="2">
        <v>2016.0</v>
      </c>
      <c r="B6958" s="2" t="s">
        <v>29687</v>
      </c>
      <c r="C6958" s="2" t="s">
        <v>29688</v>
      </c>
      <c r="D6958" s="2" t="str">
        <f>"513-232-4031"</f>
        <v>513-232-4031</v>
      </c>
      <c r="E6958" s="2" t="s">
        <v>580</v>
      </c>
      <c r="F6958" s="2" t="s">
        <v>9611</v>
      </c>
      <c r="G6958" s="2" t="str">
        <f>"SR-9229"</f>
        <v>SR-9229</v>
      </c>
      <c r="H6958" s="2" t="s">
        <v>29689</v>
      </c>
      <c r="I6958" s="2" t="s">
        <v>29690</v>
      </c>
      <c r="K6958" s="2" t="s">
        <v>10119</v>
      </c>
      <c r="L6958" s="2" t="s">
        <v>344</v>
      </c>
      <c r="M6958" s="2">
        <v>45230.0</v>
      </c>
      <c r="N6958" s="2" t="s">
        <v>21</v>
      </c>
    </row>
    <row r="6959" ht="15.75" customHeight="1">
      <c r="A6959" s="2">
        <v>2016.0</v>
      </c>
      <c r="B6959" s="2" t="s">
        <v>29691</v>
      </c>
      <c r="C6959" s="2" t="s">
        <v>29692</v>
      </c>
      <c r="D6959" s="2" t="str">
        <f>"6825510965"</f>
        <v>6825510965</v>
      </c>
      <c r="E6959" s="2" t="s">
        <v>651</v>
      </c>
      <c r="F6959" s="2" t="s">
        <v>29693</v>
      </c>
      <c r="G6959" s="2" t="str">
        <f>"SR-9230"</f>
        <v>SR-9230</v>
      </c>
      <c r="H6959" s="2" t="s">
        <v>29694</v>
      </c>
      <c r="I6959" s="2" t="s">
        <v>29695</v>
      </c>
      <c r="K6959" s="2" t="s">
        <v>6030</v>
      </c>
      <c r="L6959" s="2" t="s">
        <v>172</v>
      </c>
      <c r="M6959" s="2">
        <v>76248.0</v>
      </c>
      <c r="N6959" s="2" t="s">
        <v>21</v>
      </c>
    </row>
    <row r="6960" ht="15.75" customHeight="1">
      <c r="A6960" s="2">
        <v>2016.0</v>
      </c>
      <c r="B6960" s="2" t="s">
        <v>29696</v>
      </c>
      <c r="C6960" s="2" t="s">
        <v>29697</v>
      </c>
      <c r="D6960" s="2" t="str">
        <f>"5707231822"</f>
        <v>5707231822</v>
      </c>
      <c r="E6960" s="2" t="s">
        <v>580</v>
      </c>
      <c r="F6960" s="2" t="s">
        <v>29698</v>
      </c>
      <c r="G6960" s="2" t="str">
        <f>"SR-9235"</f>
        <v>SR-9235</v>
      </c>
      <c r="H6960" s="2" t="s">
        <v>29699</v>
      </c>
      <c r="I6960" s="2" t="s">
        <v>29700</v>
      </c>
      <c r="K6960" s="2" t="s">
        <v>29701</v>
      </c>
      <c r="L6960" s="2" t="s">
        <v>179</v>
      </c>
      <c r="M6960" s="2">
        <v>16901.0</v>
      </c>
      <c r="N6960" s="2" t="s">
        <v>21</v>
      </c>
    </row>
    <row r="6961" ht="15.75" customHeight="1">
      <c r="A6961" s="2">
        <v>2016.0</v>
      </c>
      <c r="B6961" s="2" t="s">
        <v>29702</v>
      </c>
      <c r="C6961" s="2" t="s">
        <v>29703</v>
      </c>
      <c r="D6961" s="2" t="str">
        <f>"2515998580"</f>
        <v>2515998580</v>
      </c>
      <c r="E6961" s="2" t="s">
        <v>1810</v>
      </c>
      <c r="F6961" s="2" t="s">
        <v>327</v>
      </c>
      <c r="G6961" s="2" t="str">
        <f>"SR-9237"</f>
        <v>SR-9237</v>
      </c>
      <c r="H6961" s="2" t="s">
        <v>29704</v>
      </c>
      <c r="I6961" s="2" t="s">
        <v>29705</v>
      </c>
      <c r="K6961" s="2" t="s">
        <v>5293</v>
      </c>
      <c r="L6961" s="2" t="s">
        <v>539</v>
      </c>
      <c r="M6961" s="2">
        <v>36695.0</v>
      </c>
      <c r="N6961" s="2" t="s">
        <v>21</v>
      </c>
    </row>
    <row r="6962" ht="15.75" customHeight="1">
      <c r="A6962" s="2">
        <v>2016.0</v>
      </c>
      <c r="B6962" s="2" t="s">
        <v>29706</v>
      </c>
      <c r="C6962" s="2" t="s">
        <v>29707</v>
      </c>
      <c r="D6962" s="2" t="str">
        <f>"(785) 250-8024"</f>
        <v>(785) 250-8024</v>
      </c>
      <c r="E6962" s="2" t="s">
        <v>50</v>
      </c>
      <c r="F6962" s="2" t="s">
        <v>29708</v>
      </c>
      <c r="G6962" s="2" t="str">
        <f>"SR-9234"</f>
        <v>SR-9234</v>
      </c>
      <c r="H6962" s="2" t="s">
        <v>29709</v>
      </c>
      <c r="I6962" s="2" t="s">
        <v>29710</v>
      </c>
      <c r="K6962" s="2" t="s">
        <v>271</v>
      </c>
      <c r="L6962" s="2" t="s">
        <v>272</v>
      </c>
      <c r="M6962" s="2">
        <v>66609.0</v>
      </c>
      <c r="N6962" s="2" t="s">
        <v>21</v>
      </c>
    </row>
    <row r="6963" ht="15.75" customHeight="1">
      <c r="A6963" s="2">
        <v>2016.0</v>
      </c>
      <c r="B6963" s="2" t="s">
        <v>29711</v>
      </c>
      <c r="C6963" s="2" t="s">
        <v>29711</v>
      </c>
      <c r="D6963" s="2" t="str">
        <f>"949-214-8455"</f>
        <v>949-214-8455</v>
      </c>
      <c r="E6963" s="2" t="s">
        <v>453</v>
      </c>
      <c r="F6963" s="2" t="s">
        <v>29712</v>
      </c>
      <c r="G6963" s="2" t="str">
        <f>"SR-9201"</f>
        <v>SR-9201</v>
      </c>
      <c r="H6963" s="2" t="s">
        <v>29713</v>
      </c>
      <c r="I6963" s="2" t="s">
        <v>29714</v>
      </c>
      <c r="K6963" s="2" t="s">
        <v>2186</v>
      </c>
      <c r="L6963" s="2" t="s">
        <v>222</v>
      </c>
      <c r="M6963" s="2">
        <v>92675.0</v>
      </c>
      <c r="N6963" s="2" t="s">
        <v>21</v>
      </c>
    </row>
    <row r="6964" ht="15.75" customHeight="1">
      <c r="A6964" s="2">
        <v>2016.0</v>
      </c>
      <c r="B6964" s="2" t="s">
        <v>29715</v>
      </c>
      <c r="C6964" s="2" t="s">
        <v>29716</v>
      </c>
      <c r="D6964" s="2" t="str">
        <f>"515 387 1466"</f>
        <v>515 387 1466</v>
      </c>
      <c r="E6964" s="2" t="s">
        <v>29717</v>
      </c>
      <c r="F6964" s="2" t="s">
        <v>2629</v>
      </c>
      <c r="G6964" s="2" t="str">
        <f>"SR-9160"</f>
        <v>SR-9160</v>
      </c>
      <c r="H6964" s="2" t="s">
        <v>29718</v>
      </c>
      <c r="I6964" s="2" t="s">
        <v>2631</v>
      </c>
      <c r="K6964" s="2" t="s">
        <v>2632</v>
      </c>
      <c r="L6964" s="2" t="s">
        <v>560</v>
      </c>
      <c r="M6964" s="2">
        <v>50161.0</v>
      </c>
      <c r="N6964" s="2" t="s">
        <v>21</v>
      </c>
    </row>
    <row r="6965" ht="15.75" customHeight="1">
      <c r="A6965" s="2">
        <v>2016.0</v>
      </c>
      <c r="B6965" s="2" t="s">
        <v>29719</v>
      </c>
      <c r="C6965" s="2" t="s">
        <v>29720</v>
      </c>
      <c r="D6965" s="2" t="str">
        <f>"720-666-4317"</f>
        <v>720-666-4317</v>
      </c>
      <c r="E6965" s="2" t="s">
        <v>29721</v>
      </c>
      <c r="F6965" s="2" t="s">
        <v>7279</v>
      </c>
      <c r="G6965" s="2" t="str">
        <f>"SR-9241"</f>
        <v>SR-9241</v>
      </c>
      <c r="H6965" s="2" t="s">
        <v>29722</v>
      </c>
      <c r="I6965" s="2" t="s">
        <v>29723</v>
      </c>
      <c r="K6965" s="2" t="s">
        <v>309</v>
      </c>
      <c r="L6965" s="2" t="s">
        <v>1419</v>
      </c>
      <c r="M6965" s="2">
        <v>89074.0</v>
      </c>
      <c r="N6965" s="2" t="s">
        <v>21</v>
      </c>
    </row>
    <row r="6966" ht="15.75" customHeight="1">
      <c r="A6966" s="2">
        <v>2016.0</v>
      </c>
      <c r="B6966" s="2" t="s">
        <v>29724</v>
      </c>
      <c r="C6966" s="2" t="s">
        <v>29725</v>
      </c>
      <c r="D6966" s="2" t="str">
        <f>"316-706-4652"</f>
        <v>316-706-4652</v>
      </c>
      <c r="E6966" s="2" t="s">
        <v>7382</v>
      </c>
      <c r="F6966" s="2" t="s">
        <v>7647</v>
      </c>
      <c r="G6966" s="2" t="str">
        <f>"SR-9222"</f>
        <v>SR-9222</v>
      </c>
      <c r="H6966" s="2" t="s">
        <v>29726</v>
      </c>
      <c r="I6966" s="2" t="s">
        <v>29727</v>
      </c>
      <c r="K6966" s="2" t="s">
        <v>606</v>
      </c>
      <c r="L6966" s="2" t="s">
        <v>272</v>
      </c>
      <c r="M6966" s="2">
        <v>67218.0</v>
      </c>
      <c r="N6966" s="2" t="s">
        <v>21</v>
      </c>
    </row>
    <row r="6967" ht="15.75" customHeight="1">
      <c r="A6967" s="2">
        <v>2016.0</v>
      </c>
      <c r="B6967" s="2" t="s">
        <v>29728</v>
      </c>
      <c r="C6967" s="2" t="s">
        <v>29728</v>
      </c>
      <c r="D6967" s="2" t="str">
        <f>"3368130928"</f>
        <v>3368130928</v>
      </c>
      <c r="E6967" s="2" t="s">
        <v>29729</v>
      </c>
      <c r="F6967" s="2" t="s">
        <v>94</v>
      </c>
      <c r="G6967" s="2" t="str">
        <f>"SR-9233"</f>
        <v>SR-9233</v>
      </c>
      <c r="H6967" s="2" t="s">
        <v>29730</v>
      </c>
      <c r="I6967" s="2" t="s">
        <v>29731</v>
      </c>
      <c r="K6967" s="2" t="s">
        <v>4174</v>
      </c>
      <c r="L6967" s="2" t="s">
        <v>20</v>
      </c>
      <c r="M6967" s="2">
        <v>27023.0</v>
      </c>
      <c r="N6967" s="2" t="s">
        <v>21</v>
      </c>
    </row>
    <row r="6968" ht="15.75" customHeight="1">
      <c r="A6968" s="2">
        <v>2016.0</v>
      </c>
      <c r="B6968" s="2" t="s">
        <v>29732</v>
      </c>
      <c r="C6968" s="2" t="s">
        <v>29733</v>
      </c>
      <c r="D6968" s="2" t="str">
        <f>"6572031681"</f>
        <v>6572031681</v>
      </c>
      <c r="E6968" s="2" t="s">
        <v>29734</v>
      </c>
      <c r="F6968" s="2" t="s">
        <v>1849</v>
      </c>
      <c r="G6968" s="2" t="str">
        <f>"SR-9097"</f>
        <v>SR-9097</v>
      </c>
      <c r="H6968" s="2" t="s">
        <v>29735</v>
      </c>
      <c r="I6968" s="2" t="s">
        <v>29736</v>
      </c>
      <c r="K6968" s="2" t="s">
        <v>6915</v>
      </c>
      <c r="L6968" s="2" t="s">
        <v>222</v>
      </c>
      <c r="M6968" s="2">
        <v>92683.0</v>
      </c>
      <c r="N6968" s="2" t="s">
        <v>21</v>
      </c>
    </row>
    <row r="6969" ht="15.75" customHeight="1">
      <c r="A6969" s="2">
        <v>2016.0</v>
      </c>
      <c r="B6969" s="2" t="s">
        <v>29737</v>
      </c>
      <c r="C6969" s="2" t="s">
        <v>29737</v>
      </c>
      <c r="D6969" s="2" t="str">
        <f>"9702164550"</f>
        <v>9702164550</v>
      </c>
      <c r="E6969" s="2" t="s">
        <v>751</v>
      </c>
      <c r="F6969" s="2" t="s">
        <v>2880</v>
      </c>
      <c r="G6969" s="2" t="str">
        <f>"SR-9195"</f>
        <v>SR-9195</v>
      </c>
      <c r="H6969" s="2" t="s">
        <v>29738</v>
      </c>
      <c r="I6969" s="2" t="s">
        <v>29739</v>
      </c>
      <c r="K6969" s="2" t="s">
        <v>27547</v>
      </c>
      <c r="L6969" s="2" t="s">
        <v>157</v>
      </c>
      <c r="M6969" s="2">
        <v>81416.0</v>
      </c>
      <c r="N6969" s="2" t="s">
        <v>21</v>
      </c>
    </row>
    <row r="6970" ht="15.75" customHeight="1">
      <c r="A6970" s="2">
        <v>2016.0</v>
      </c>
      <c r="B6970" s="2" t="s">
        <v>29740</v>
      </c>
      <c r="C6970" s="2" t="s">
        <v>29741</v>
      </c>
      <c r="D6970" s="2" t="str">
        <f>"5127570077"</f>
        <v>5127570077</v>
      </c>
      <c r="E6970" s="2" t="s">
        <v>137</v>
      </c>
      <c r="F6970" s="2" t="s">
        <v>5632</v>
      </c>
      <c r="G6970" s="2" t="str">
        <f>"SR-9251"</f>
        <v>SR-9251</v>
      </c>
      <c r="H6970" s="2" t="s">
        <v>29742</v>
      </c>
      <c r="I6970" s="2" t="s">
        <v>29743</v>
      </c>
      <c r="K6970" s="2" t="s">
        <v>29744</v>
      </c>
      <c r="L6970" s="2" t="s">
        <v>172</v>
      </c>
      <c r="M6970" s="2">
        <v>75120.0</v>
      </c>
      <c r="N6970" s="2" t="s">
        <v>21</v>
      </c>
    </row>
    <row r="6971" ht="15.75" customHeight="1">
      <c r="A6971" s="2">
        <v>2016.0</v>
      </c>
      <c r="B6971" s="2" t="s">
        <v>29745</v>
      </c>
      <c r="C6971" s="2" t="s">
        <v>29745</v>
      </c>
      <c r="D6971" s="2" t="str">
        <f>"(661)699-4291"</f>
        <v>(661)699-4291</v>
      </c>
      <c r="E6971" s="2" t="s">
        <v>29746</v>
      </c>
      <c r="F6971" s="2" t="s">
        <v>29747</v>
      </c>
      <c r="G6971" s="2" t="str">
        <f>"SR-7561"</f>
        <v>SR-7561</v>
      </c>
      <c r="H6971" s="2" t="s">
        <v>29748</v>
      </c>
      <c r="I6971" s="2" t="s">
        <v>29749</v>
      </c>
      <c r="K6971" s="2" t="s">
        <v>11198</v>
      </c>
      <c r="L6971" s="2" t="s">
        <v>222</v>
      </c>
      <c r="M6971" s="2">
        <v>93309.0</v>
      </c>
      <c r="N6971" s="2" t="s">
        <v>21</v>
      </c>
    </row>
    <row r="6972" ht="15.75" customHeight="1">
      <c r="A6972" s="2">
        <v>2016.0</v>
      </c>
      <c r="B6972" s="2" t="s">
        <v>29750</v>
      </c>
      <c r="C6972" s="2" t="s">
        <v>29751</v>
      </c>
      <c r="D6972" s="2" t="str">
        <f>"803-810-7884"</f>
        <v>803-810-7884</v>
      </c>
      <c r="E6972" s="2" t="s">
        <v>2243</v>
      </c>
      <c r="F6972" s="2" t="s">
        <v>25339</v>
      </c>
      <c r="G6972" s="2" t="str">
        <f>"SR-9240"</f>
        <v>SR-9240</v>
      </c>
      <c r="H6972" s="2" t="s">
        <v>29752</v>
      </c>
      <c r="I6972" s="2" t="s">
        <v>29753</v>
      </c>
      <c r="K6972" s="2" t="s">
        <v>29754</v>
      </c>
      <c r="L6972" s="2" t="s">
        <v>55</v>
      </c>
      <c r="M6972" s="2">
        <v>29732.0</v>
      </c>
      <c r="N6972" s="2" t="s">
        <v>21</v>
      </c>
    </row>
    <row r="6973" ht="15.75" customHeight="1">
      <c r="A6973" s="2">
        <v>2016.0</v>
      </c>
      <c r="B6973" s="2" t="s">
        <v>29755</v>
      </c>
      <c r="C6973" s="2" t="s">
        <v>29756</v>
      </c>
      <c r="D6973" s="2" t="str">
        <f>"706 254  2621"</f>
        <v>706 254  2621</v>
      </c>
      <c r="E6973" s="2" t="s">
        <v>1946</v>
      </c>
      <c r="F6973" s="2" t="s">
        <v>8953</v>
      </c>
      <c r="G6973" s="2" t="str">
        <f>"SR-9239"</f>
        <v>SR-9239</v>
      </c>
      <c r="H6973" s="2" t="s">
        <v>29757</v>
      </c>
      <c r="I6973" s="2" t="s">
        <v>29758</v>
      </c>
      <c r="K6973" s="2" t="s">
        <v>1064</v>
      </c>
      <c r="L6973" s="2" t="s">
        <v>200</v>
      </c>
      <c r="M6973" s="2">
        <v>30646.0</v>
      </c>
      <c r="N6973" s="2" t="s">
        <v>21</v>
      </c>
    </row>
    <row r="6974" ht="15.75" customHeight="1">
      <c r="A6974" s="2">
        <v>2016.0</v>
      </c>
      <c r="B6974" s="2" t="s">
        <v>29759</v>
      </c>
      <c r="C6974" s="2" t="s">
        <v>29759</v>
      </c>
      <c r="D6974" s="2" t="str">
        <f>"717-413-0603"</f>
        <v>717-413-0603</v>
      </c>
      <c r="E6974" s="2" t="s">
        <v>2259</v>
      </c>
      <c r="F6974" s="2" t="s">
        <v>29760</v>
      </c>
      <c r="G6974" s="2" t="str">
        <f>"SR-9254"</f>
        <v>SR-9254</v>
      </c>
      <c r="H6974" s="2" t="s">
        <v>29761</v>
      </c>
      <c r="I6974" s="2" t="s">
        <v>29762</v>
      </c>
      <c r="K6974" s="2" t="s">
        <v>29763</v>
      </c>
      <c r="L6974" s="2" t="s">
        <v>179</v>
      </c>
      <c r="M6974" s="2">
        <v>17552.0</v>
      </c>
      <c r="N6974" s="2" t="s">
        <v>21</v>
      </c>
    </row>
    <row r="6975" ht="15.75" customHeight="1">
      <c r="A6975" s="2">
        <v>2016.0</v>
      </c>
      <c r="B6975" s="2" t="s">
        <v>22310</v>
      </c>
      <c r="C6975" s="2" t="s">
        <v>22310</v>
      </c>
      <c r="D6975" s="2" t="str">
        <f>"503-829-5096"</f>
        <v>503-829-5096</v>
      </c>
      <c r="E6975" s="2" t="s">
        <v>22311</v>
      </c>
      <c r="F6975" s="2" t="s">
        <v>22312</v>
      </c>
      <c r="G6975" s="2" t="str">
        <f>"SR-6857"</f>
        <v>SR-6857</v>
      </c>
      <c r="H6975" s="2" t="s">
        <v>22313</v>
      </c>
      <c r="I6975" s="2" t="s">
        <v>22314</v>
      </c>
      <c r="K6975" s="2" t="s">
        <v>22315</v>
      </c>
      <c r="L6975" s="2" t="s">
        <v>2389</v>
      </c>
      <c r="M6975" s="2">
        <v>97038.0</v>
      </c>
      <c r="N6975" s="2" t="s">
        <v>21</v>
      </c>
    </row>
    <row r="6976" ht="15.75" customHeight="1">
      <c r="A6976" s="2">
        <v>2016.0</v>
      </c>
      <c r="B6976" s="2" t="s">
        <v>29755</v>
      </c>
      <c r="C6976" s="2" t="s">
        <v>29764</v>
      </c>
      <c r="D6976" s="2" t="str">
        <f>"706 254 9990"</f>
        <v>706 254 9990</v>
      </c>
      <c r="E6976" s="2" t="s">
        <v>15</v>
      </c>
      <c r="F6976" s="2" t="s">
        <v>8953</v>
      </c>
      <c r="G6976" s="2" t="str">
        <f>"SR-9249"</f>
        <v>SR-9249</v>
      </c>
      <c r="H6976" s="2" t="s">
        <v>29765</v>
      </c>
      <c r="I6976" s="2" t="s">
        <v>29766</v>
      </c>
      <c r="K6976" s="2" t="s">
        <v>29767</v>
      </c>
      <c r="L6976" s="2" t="s">
        <v>200</v>
      </c>
      <c r="M6976" s="2">
        <v>30646.0</v>
      </c>
      <c r="N6976" s="2" t="s">
        <v>21</v>
      </c>
    </row>
    <row r="6977" ht="15.75" customHeight="1">
      <c r="A6977" s="2">
        <v>2016.0</v>
      </c>
      <c r="B6977" s="2" t="s">
        <v>29768</v>
      </c>
      <c r="D6977" s="2" t="str">
        <f>""</f>
        <v/>
      </c>
      <c r="E6977" s="2" t="s">
        <v>13609</v>
      </c>
      <c r="F6977" s="2" t="s">
        <v>2875</v>
      </c>
      <c r="G6977" s="2" t="str">
        <f>"SR-8375"</f>
        <v>SR-8375</v>
      </c>
      <c r="H6977" s="2" t="s">
        <v>29769</v>
      </c>
      <c r="N6977" s="2" t="s">
        <v>21</v>
      </c>
    </row>
    <row r="6978" ht="15.75" customHeight="1">
      <c r="A6978" s="2">
        <v>2016.0</v>
      </c>
      <c r="B6978" s="2" t="s">
        <v>29770</v>
      </c>
      <c r="C6978" s="2" t="s">
        <v>29770</v>
      </c>
      <c r="D6978" s="2" t="str">
        <f>"(562) 221-2676"</f>
        <v>(562) 221-2676</v>
      </c>
      <c r="E6978" s="2" t="s">
        <v>3539</v>
      </c>
      <c r="F6978" s="2" t="s">
        <v>29771</v>
      </c>
      <c r="G6978" s="2" t="str">
        <f>"SR-9256"</f>
        <v>SR-9256</v>
      </c>
      <c r="H6978" s="2" t="s">
        <v>29772</v>
      </c>
      <c r="I6978" s="2" t="s">
        <v>29773</v>
      </c>
      <c r="K6978" s="2" t="s">
        <v>6514</v>
      </c>
      <c r="L6978" s="2" t="s">
        <v>222</v>
      </c>
      <c r="M6978" s="2">
        <v>90712.0</v>
      </c>
      <c r="N6978" s="2" t="s">
        <v>21</v>
      </c>
    </row>
    <row r="6979" ht="15.75" customHeight="1">
      <c r="A6979" s="2">
        <v>2016.0</v>
      </c>
      <c r="B6979" s="2" t="s">
        <v>1224</v>
      </c>
      <c r="C6979" s="2" t="s">
        <v>15560</v>
      </c>
      <c r="D6979" s="2" t="str">
        <f>"6266881604"</f>
        <v>6266881604</v>
      </c>
      <c r="E6979" s="2" t="s">
        <v>14069</v>
      </c>
      <c r="F6979" s="2" t="s">
        <v>1227</v>
      </c>
      <c r="G6979" s="2" t="str">
        <f>"SR-4432"</f>
        <v>SR-4432</v>
      </c>
      <c r="H6979" s="2" t="s">
        <v>29774</v>
      </c>
      <c r="I6979" s="2" t="s">
        <v>1229</v>
      </c>
      <c r="K6979" s="2" t="s">
        <v>1230</v>
      </c>
      <c r="L6979" s="2" t="s">
        <v>222</v>
      </c>
      <c r="M6979" s="2">
        <v>91030.0</v>
      </c>
      <c r="N6979" s="2" t="s">
        <v>21</v>
      </c>
    </row>
    <row r="6980" ht="15.75" customHeight="1">
      <c r="A6980" s="2">
        <v>2016.0</v>
      </c>
      <c r="B6980" s="2" t="s">
        <v>29775</v>
      </c>
      <c r="C6980" s="2" t="s">
        <v>29776</v>
      </c>
      <c r="D6980" s="2" t="str">
        <f>"7142962539"</f>
        <v>7142962539</v>
      </c>
      <c r="E6980" s="2" t="s">
        <v>2786</v>
      </c>
      <c r="F6980" s="2" t="s">
        <v>29777</v>
      </c>
      <c r="G6980" s="2" t="str">
        <f>"SR-9257"</f>
        <v>SR-9257</v>
      </c>
      <c r="H6980" s="2" t="s">
        <v>29778</v>
      </c>
      <c r="I6980" s="2" t="s">
        <v>29779</v>
      </c>
      <c r="K6980" s="2" t="s">
        <v>29780</v>
      </c>
      <c r="L6980" s="2" t="s">
        <v>222</v>
      </c>
      <c r="M6980" s="2">
        <v>92832.0</v>
      </c>
      <c r="N6980" s="2" t="s">
        <v>21</v>
      </c>
    </row>
    <row r="6981" ht="15.75" customHeight="1">
      <c r="A6981" s="2">
        <v>2016.0</v>
      </c>
      <c r="B6981" s="2" t="s">
        <v>29781</v>
      </c>
      <c r="C6981" s="2" t="s">
        <v>29781</v>
      </c>
      <c r="D6981" s="2" t="str">
        <f>"2087160180"</f>
        <v>2087160180</v>
      </c>
      <c r="E6981" s="2" t="s">
        <v>5921</v>
      </c>
      <c r="F6981" s="2" t="s">
        <v>29782</v>
      </c>
      <c r="G6981" s="2" t="str">
        <f>"SR-9261"</f>
        <v>SR-9261</v>
      </c>
      <c r="H6981" s="2" t="s">
        <v>29783</v>
      </c>
      <c r="I6981" s="2" t="s">
        <v>29784</v>
      </c>
      <c r="K6981" s="2" t="s">
        <v>2612</v>
      </c>
      <c r="L6981" s="2" t="s">
        <v>2613</v>
      </c>
      <c r="M6981" s="2">
        <v>83402.0</v>
      </c>
      <c r="N6981" s="2" t="s">
        <v>21</v>
      </c>
    </row>
    <row r="6982" ht="15.75" customHeight="1">
      <c r="A6982" s="2">
        <v>2016.0</v>
      </c>
      <c r="B6982" s="2" t="s">
        <v>29785</v>
      </c>
      <c r="C6982" s="2" t="s">
        <v>29786</v>
      </c>
      <c r="D6982" s="2" t="str">
        <f>"806-584-1798"</f>
        <v>806-584-1798</v>
      </c>
      <c r="E6982" s="2" t="s">
        <v>5858</v>
      </c>
      <c r="F6982" s="2" t="s">
        <v>29787</v>
      </c>
      <c r="G6982" s="2" t="str">
        <f>"SR-9115"</f>
        <v>SR-9115</v>
      </c>
      <c r="H6982" s="2" t="s">
        <v>29788</v>
      </c>
      <c r="I6982" s="2" t="s">
        <v>29789</v>
      </c>
      <c r="K6982" s="2" t="s">
        <v>14992</v>
      </c>
      <c r="L6982" s="2" t="s">
        <v>172</v>
      </c>
      <c r="M6982" s="2">
        <v>79109.0</v>
      </c>
      <c r="N6982" s="2" t="s">
        <v>21</v>
      </c>
    </row>
    <row r="6983" ht="15.75" customHeight="1">
      <c r="A6983" s="2">
        <v>2016.0</v>
      </c>
      <c r="B6983" s="2" t="s">
        <v>29790</v>
      </c>
      <c r="C6983" s="2" t="s">
        <v>29790</v>
      </c>
      <c r="D6983" s="2" t="str">
        <f>"352.568.3222"</f>
        <v>352.568.3222</v>
      </c>
      <c r="E6983" s="2" t="s">
        <v>167</v>
      </c>
      <c r="F6983" s="2" t="s">
        <v>5121</v>
      </c>
      <c r="G6983" s="2" t="str">
        <f>"SR-9226"</f>
        <v>SR-9226</v>
      </c>
      <c r="H6983" s="2" t="s">
        <v>29791</v>
      </c>
      <c r="I6983" s="2" t="s">
        <v>29792</v>
      </c>
      <c r="K6983" s="2" t="s">
        <v>29793</v>
      </c>
      <c r="L6983" s="2" t="s">
        <v>208</v>
      </c>
      <c r="M6983" s="2">
        <v>33513.0</v>
      </c>
      <c r="N6983" s="2" t="s">
        <v>21</v>
      </c>
    </row>
    <row r="6984" ht="15.75" customHeight="1">
      <c r="A6984" s="2">
        <v>2016.0</v>
      </c>
      <c r="B6984" s="2" t="s">
        <v>29794</v>
      </c>
      <c r="C6984" s="2" t="s">
        <v>29795</v>
      </c>
      <c r="D6984" s="2" t="str">
        <f>"812-239-1511"</f>
        <v>812-239-1511</v>
      </c>
      <c r="E6984" s="2" t="s">
        <v>4206</v>
      </c>
      <c r="F6984" s="2" t="s">
        <v>29796</v>
      </c>
      <c r="G6984" s="2" t="str">
        <f>"SR-9263"</f>
        <v>SR-9263</v>
      </c>
      <c r="H6984" s="2" t="s">
        <v>29797</v>
      </c>
      <c r="I6984" s="2" t="s">
        <v>29798</v>
      </c>
      <c r="K6984" s="2" t="s">
        <v>8684</v>
      </c>
      <c r="L6984" s="2" t="s">
        <v>149</v>
      </c>
      <c r="M6984" s="2">
        <v>47802.0</v>
      </c>
      <c r="N6984" s="2" t="s">
        <v>21</v>
      </c>
    </row>
    <row r="6985" ht="15.75" customHeight="1">
      <c r="A6985" s="2">
        <v>2016.0</v>
      </c>
      <c r="B6985" s="2" t="s">
        <v>29799</v>
      </c>
      <c r="C6985" s="2" t="s">
        <v>29799</v>
      </c>
      <c r="D6985" s="2" t="str">
        <f>"9103371470"</f>
        <v>9103371470</v>
      </c>
      <c r="E6985" s="2" t="s">
        <v>203</v>
      </c>
      <c r="F6985" s="2" t="s">
        <v>8941</v>
      </c>
      <c r="G6985" s="2" t="str">
        <f>"SR-9264"</f>
        <v>SR-9264</v>
      </c>
      <c r="H6985" s="2" t="s">
        <v>29800</v>
      </c>
      <c r="I6985" s="2" t="s">
        <v>29801</v>
      </c>
      <c r="K6985" s="2" t="s">
        <v>29802</v>
      </c>
      <c r="L6985" s="2" t="s">
        <v>20</v>
      </c>
      <c r="M6985" s="2">
        <v>28779.0</v>
      </c>
      <c r="N6985" s="2" t="s">
        <v>21</v>
      </c>
    </row>
    <row r="6986" ht="15.75" customHeight="1">
      <c r="A6986" s="2">
        <v>2016.0</v>
      </c>
      <c r="B6986" s="2" t="s">
        <v>29803</v>
      </c>
      <c r="C6986" s="2" t="s">
        <v>29803</v>
      </c>
      <c r="D6986" s="2" t="str">
        <f>"505-908-1471"</f>
        <v>505-908-1471</v>
      </c>
      <c r="E6986" s="2" t="s">
        <v>167</v>
      </c>
      <c r="F6986" s="2" t="s">
        <v>29804</v>
      </c>
      <c r="G6986" s="2" t="str">
        <f>"SR-9269"</f>
        <v>SR-9269</v>
      </c>
      <c r="H6986" s="2" t="s">
        <v>29805</v>
      </c>
      <c r="I6986" s="2" t="s">
        <v>29806</v>
      </c>
      <c r="K6986" s="2" t="s">
        <v>3705</v>
      </c>
      <c r="L6986" s="2" t="s">
        <v>789</v>
      </c>
      <c r="M6986" s="2">
        <v>87109.0</v>
      </c>
      <c r="N6986" s="2" t="s">
        <v>21</v>
      </c>
    </row>
    <row r="6987" ht="15.75" customHeight="1">
      <c r="A6987" s="2">
        <v>2016.0</v>
      </c>
      <c r="B6987" s="2" t="s">
        <v>29807</v>
      </c>
      <c r="C6987" s="2" t="s">
        <v>29807</v>
      </c>
      <c r="D6987" s="2" t="str">
        <f>"403-903-2160"</f>
        <v>403-903-2160</v>
      </c>
      <c r="E6987" s="2" t="s">
        <v>29808</v>
      </c>
      <c r="F6987" s="2" t="s">
        <v>29809</v>
      </c>
      <c r="G6987" s="2" t="str">
        <f>"SR-9220"</f>
        <v>SR-9220</v>
      </c>
      <c r="H6987" s="2" t="s">
        <v>29810</v>
      </c>
      <c r="I6987" s="2" t="s">
        <v>29811</v>
      </c>
      <c r="K6987" s="2" t="s">
        <v>6725</v>
      </c>
      <c r="L6987" s="2" t="s">
        <v>2397</v>
      </c>
      <c r="M6987" s="2" t="s">
        <v>29812</v>
      </c>
      <c r="N6987" s="2" t="s">
        <v>1602</v>
      </c>
    </row>
    <row r="6988" ht="15.75" customHeight="1">
      <c r="A6988" s="2">
        <v>2016.0</v>
      </c>
      <c r="B6988" s="2" t="s">
        <v>29813</v>
      </c>
      <c r="C6988" s="2" t="s">
        <v>29814</v>
      </c>
      <c r="D6988" s="2" t="str">
        <f>"678-761-0820"</f>
        <v>678-761-0820</v>
      </c>
      <c r="E6988" s="2" t="s">
        <v>3086</v>
      </c>
      <c r="F6988" s="2" t="s">
        <v>29815</v>
      </c>
      <c r="G6988" s="2" t="str">
        <f>"SR-9274"</f>
        <v>SR-9274</v>
      </c>
      <c r="H6988" s="2" t="s">
        <v>29816</v>
      </c>
      <c r="I6988" s="2" t="s">
        <v>29817</v>
      </c>
      <c r="K6988" s="2" t="s">
        <v>7218</v>
      </c>
      <c r="L6988" s="2" t="s">
        <v>200</v>
      </c>
      <c r="M6988" s="2">
        <v>30075.0</v>
      </c>
      <c r="N6988" s="2" t="s">
        <v>21</v>
      </c>
    </row>
    <row r="6989" ht="15.75" customHeight="1">
      <c r="A6989" s="2">
        <v>2016.0</v>
      </c>
      <c r="B6989" s="2" t="s">
        <v>29818</v>
      </c>
      <c r="C6989" s="2" t="s">
        <v>29819</v>
      </c>
      <c r="D6989" s="2" t="str">
        <f>"240-298-8292"</f>
        <v>240-298-8292</v>
      </c>
      <c r="E6989" s="2" t="s">
        <v>453</v>
      </c>
      <c r="F6989" s="2" t="s">
        <v>29820</v>
      </c>
      <c r="G6989" s="2" t="str">
        <f>"SR-9268"</f>
        <v>SR-9268</v>
      </c>
      <c r="H6989" s="2" t="s">
        <v>29821</v>
      </c>
      <c r="I6989" s="2" t="s">
        <v>29822</v>
      </c>
      <c r="J6989" s="2" t="s">
        <v>29823</v>
      </c>
      <c r="K6989" s="2" t="s">
        <v>29824</v>
      </c>
      <c r="L6989" s="2" t="s">
        <v>279</v>
      </c>
      <c r="M6989" s="2">
        <v>38506.0</v>
      </c>
      <c r="N6989" s="2" t="s">
        <v>21</v>
      </c>
    </row>
    <row r="6990" ht="15.75" customHeight="1">
      <c r="A6990" s="2">
        <v>2016.0</v>
      </c>
      <c r="B6990" s="2" t="s">
        <v>29825</v>
      </c>
      <c r="C6990" s="2" t="s">
        <v>29826</v>
      </c>
      <c r="D6990" s="2" t="str">
        <f>"585-880-5102"</f>
        <v>585-880-5102</v>
      </c>
      <c r="E6990" s="2" t="s">
        <v>13065</v>
      </c>
      <c r="F6990" s="2" t="s">
        <v>29827</v>
      </c>
      <c r="G6990" s="2" t="str">
        <f>"SR-9245"</f>
        <v>SR-9245</v>
      </c>
      <c r="H6990" s="2" t="s">
        <v>29828</v>
      </c>
      <c r="I6990" s="2" t="s">
        <v>29829</v>
      </c>
      <c r="K6990" s="2" t="s">
        <v>29830</v>
      </c>
      <c r="L6990" s="2" t="s">
        <v>142</v>
      </c>
      <c r="M6990" s="2">
        <v>14472.0</v>
      </c>
      <c r="N6990" s="2" t="s">
        <v>21</v>
      </c>
    </row>
    <row r="6991" ht="15.75" customHeight="1">
      <c r="A6991" s="2">
        <v>2016.0</v>
      </c>
      <c r="B6991" s="2" t="s">
        <v>10125</v>
      </c>
      <c r="C6991" s="2" t="s">
        <v>29831</v>
      </c>
      <c r="D6991" s="2" t="str">
        <f>"719-930-1041"</f>
        <v>719-930-1041</v>
      </c>
      <c r="E6991" s="2" t="s">
        <v>1015</v>
      </c>
      <c r="F6991" s="2" t="s">
        <v>4154</v>
      </c>
      <c r="G6991" s="2" t="str">
        <f>"SR-9277"</f>
        <v>SR-9277</v>
      </c>
      <c r="H6991" s="2" t="s">
        <v>29832</v>
      </c>
      <c r="I6991" s="2" t="s">
        <v>10128</v>
      </c>
      <c r="K6991" s="2" t="s">
        <v>809</v>
      </c>
      <c r="L6991" s="2" t="s">
        <v>157</v>
      </c>
      <c r="M6991" s="2">
        <v>80920.0</v>
      </c>
      <c r="N6991" s="2" t="s">
        <v>21</v>
      </c>
    </row>
    <row r="6992" ht="15.75" customHeight="1">
      <c r="A6992" s="2">
        <v>2016.0</v>
      </c>
      <c r="B6992" s="2" t="s">
        <v>29833</v>
      </c>
      <c r="C6992" s="2" t="s">
        <v>29834</v>
      </c>
      <c r="D6992" s="2" t="str">
        <f>"573-433-9408"</f>
        <v>573-433-9408</v>
      </c>
      <c r="E6992" s="2" t="s">
        <v>29835</v>
      </c>
      <c r="F6992" s="2" t="s">
        <v>283</v>
      </c>
      <c r="G6992" s="2" t="str">
        <f>"SR-9252"</f>
        <v>SR-9252</v>
      </c>
      <c r="H6992" s="2" t="s">
        <v>29836</v>
      </c>
      <c r="I6992" s="2" t="s">
        <v>29837</v>
      </c>
      <c r="K6992" s="2" t="s">
        <v>29838</v>
      </c>
      <c r="L6992" s="2" t="s">
        <v>539</v>
      </c>
      <c r="M6992" s="2">
        <v>36360.0</v>
      </c>
      <c r="N6992" s="2" t="s">
        <v>21</v>
      </c>
    </row>
    <row r="6993" ht="15.75" customHeight="1">
      <c r="A6993" s="2">
        <v>2016.0</v>
      </c>
      <c r="B6993" s="2" t="s">
        <v>29839</v>
      </c>
      <c r="C6993" s="2" t="s">
        <v>29840</v>
      </c>
      <c r="D6993" s="2" t="str">
        <f>"912-355-2510"</f>
        <v>912-355-2510</v>
      </c>
      <c r="E6993" s="2" t="s">
        <v>2243</v>
      </c>
      <c r="F6993" s="2" t="s">
        <v>29841</v>
      </c>
      <c r="G6993" s="2" t="str">
        <f>"SR-9285"</f>
        <v>SR-9285</v>
      </c>
      <c r="H6993" s="2" t="s">
        <v>29842</v>
      </c>
      <c r="I6993" s="2" t="s">
        <v>29843</v>
      </c>
      <c r="K6993" s="2" t="s">
        <v>1239</v>
      </c>
      <c r="L6993" s="2" t="s">
        <v>200</v>
      </c>
      <c r="M6993" s="2">
        <v>31406.0</v>
      </c>
      <c r="N6993" s="2" t="s">
        <v>21</v>
      </c>
    </row>
    <row r="6994" ht="15.75" customHeight="1">
      <c r="A6994" s="2">
        <v>2016.0</v>
      </c>
      <c r="B6994" s="2" t="s">
        <v>29844</v>
      </c>
      <c r="C6994" s="2" t="s">
        <v>29845</v>
      </c>
      <c r="D6994" s="2" t="str">
        <f>"226-378-4700"</f>
        <v>226-378-4700</v>
      </c>
      <c r="E6994" s="2" t="s">
        <v>7996</v>
      </c>
      <c r="F6994" s="2" t="s">
        <v>29846</v>
      </c>
      <c r="G6994" s="2" t="str">
        <f>"SR-8921"</f>
        <v>SR-8921</v>
      </c>
      <c r="H6994" s="2" t="s">
        <v>29847</v>
      </c>
      <c r="I6994" s="2" t="s">
        <v>29848</v>
      </c>
      <c r="K6994" s="2" t="s">
        <v>13103</v>
      </c>
      <c r="L6994" s="2" t="s">
        <v>2022</v>
      </c>
      <c r="M6994" s="2" t="s">
        <v>29849</v>
      </c>
      <c r="N6994" s="2" t="s">
        <v>1602</v>
      </c>
    </row>
    <row r="6995" ht="15.75" customHeight="1">
      <c r="A6995" s="2">
        <v>2016.0</v>
      </c>
      <c r="B6995" s="2" t="s">
        <v>29850</v>
      </c>
      <c r="C6995" s="2" t="s">
        <v>29851</v>
      </c>
      <c r="D6995" s="2" t="str">
        <f>"719-495-0082"</f>
        <v>719-495-0082</v>
      </c>
      <c r="E6995" s="2" t="s">
        <v>137</v>
      </c>
      <c r="F6995" s="2" t="s">
        <v>29852</v>
      </c>
      <c r="G6995" s="2" t="str">
        <f>"SR-9158"</f>
        <v>SR-9158</v>
      </c>
      <c r="H6995" s="2" t="s">
        <v>29853</v>
      </c>
      <c r="I6995" s="2" t="s">
        <v>29854</v>
      </c>
      <c r="K6995" s="2" t="s">
        <v>975</v>
      </c>
      <c r="L6995" s="2" t="s">
        <v>157</v>
      </c>
      <c r="M6995" s="2">
        <v>80831.0</v>
      </c>
      <c r="N6995" s="2" t="s">
        <v>21</v>
      </c>
    </row>
    <row r="6996" ht="15.75" customHeight="1">
      <c r="A6996" s="2">
        <v>2016.0</v>
      </c>
      <c r="B6996" s="2" t="s">
        <v>29855</v>
      </c>
      <c r="C6996" s="2" t="s">
        <v>29856</v>
      </c>
      <c r="D6996" s="2" t="str">
        <f>"562-256-6019"</f>
        <v>562-256-6019</v>
      </c>
      <c r="E6996" s="2" t="s">
        <v>29857</v>
      </c>
      <c r="F6996" s="2" t="s">
        <v>29858</v>
      </c>
      <c r="G6996" s="2" t="str">
        <f>"SR-9287"</f>
        <v>SR-9287</v>
      </c>
      <c r="H6996" s="2" t="s">
        <v>29859</v>
      </c>
      <c r="I6996" s="2" t="s">
        <v>29860</v>
      </c>
      <c r="K6996" s="2" t="s">
        <v>3950</v>
      </c>
      <c r="L6996" s="2" t="s">
        <v>222</v>
      </c>
      <c r="M6996" s="2">
        <v>90804.0</v>
      </c>
      <c r="N6996" s="2" t="s">
        <v>21</v>
      </c>
    </row>
    <row r="6997" ht="15.75" customHeight="1">
      <c r="A6997" s="2">
        <v>2016.0</v>
      </c>
      <c r="B6997" s="2" t="s">
        <v>29861</v>
      </c>
      <c r="C6997" s="2" t="s">
        <v>29861</v>
      </c>
      <c r="D6997" s="2" t="str">
        <f>"210-380-2549"</f>
        <v>210-380-2549</v>
      </c>
      <c r="E6997" s="2" t="s">
        <v>7095</v>
      </c>
      <c r="F6997" s="2" t="s">
        <v>967</v>
      </c>
      <c r="G6997" s="2" t="str">
        <f>"SR-9290"</f>
        <v>SR-9290</v>
      </c>
      <c r="H6997" s="2" t="s">
        <v>29862</v>
      </c>
      <c r="I6997" s="2" t="s">
        <v>29863</v>
      </c>
      <c r="K6997" s="2" t="s">
        <v>29864</v>
      </c>
      <c r="L6997" s="2" t="s">
        <v>172</v>
      </c>
      <c r="M6997" s="2">
        <v>78070.0</v>
      </c>
      <c r="N6997" s="2" t="s">
        <v>21</v>
      </c>
    </row>
    <row r="6998" ht="15.75" customHeight="1">
      <c r="A6998" s="2">
        <v>2016.0</v>
      </c>
      <c r="B6998" s="2" t="s">
        <v>29865</v>
      </c>
      <c r="C6998" s="2" t="s">
        <v>29865</v>
      </c>
      <c r="D6998" s="2" t="str">
        <f>"423-413-7197"</f>
        <v>423-413-7197</v>
      </c>
      <c r="E6998" s="2" t="s">
        <v>2147</v>
      </c>
      <c r="F6998" s="2" t="s">
        <v>29866</v>
      </c>
      <c r="G6998" s="2" t="str">
        <f>"SR-9284"</f>
        <v>SR-9284</v>
      </c>
      <c r="H6998" s="2" t="s">
        <v>29867</v>
      </c>
      <c r="I6998" s="2" t="s">
        <v>29868</v>
      </c>
      <c r="K6998" s="2" t="s">
        <v>23449</v>
      </c>
      <c r="L6998" s="2" t="s">
        <v>279</v>
      </c>
      <c r="M6998" s="2">
        <v>37343.0</v>
      </c>
      <c r="N6998" s="2" t="s">
        <v>21</v>
      </c>
    </row>
    <row r="6999" ht="15.75" customHeight="1">
      <c r="A6999" s="2">
        <v>2016.0</v>
      </c>
      <c r="B6999" s="2" t="s">
        <v>29869</v>
      </c>
      <c r="C6999" s="2" t="s">
        <v>29870</v>
      </c>
      <c r="D6999" s="2" t="str">
        <f>"256-513-2232"</f>
        <v>256-513-2232</v>
      </c>
      <c r="E6999" s="2" t="s">
        <v>261</v>
      </c>
      <c r="F6999" s="2" t="s">
        <v>15594</v>
      </c>
      <c r="G6999" s="2" t="str">
        <f>"SR-9292"</f>
        <v>SR-9292</v>
      </c>
      <c r="H6999" s="2" t="s">
        <v>29871</v>
      </c>
      <c r="I6999" s="2" t="s">
        <v>29872</v>
      </c>
      <c r="K6999" s="2" t="s">
        <v>659</v>
      </c>
      <c r="L6999" s="2" t="s">
        <v>539</v>
      </c>
      <c r="M6999" s="2">
        <v>35757.0</v>
      </c>
      <c r="N6999" s="2" t="s">
        <v>21</v>
      </c>
    </row>
    <row r="7000" ht="15.75" customHeight="1">
      <c r="A7000" s="2">
        <v>2016.0</v>
      </c>
      <c r="B7000" s="2" t="s">
        <v>29873</v>
      </c>
      <c r="C7000" s="2" t="s">
        <v>29874</v>
      </c>
      <c r="D7000" s="2" t="str">
        <f>"262-629-9550"</f>
        <v>262-629-9550</v>
      </c>
      <c r="E7000" s="2" t="s">
        <v>6792</v>
      </c>
      <c r="F7000" s="2" t="s">
        <v>29875</v>
      </c>
      <c r="G7000" s="2" t="str">
        <f>"SR-9279"</f>
        <v>SR-9279</v>
      </c>
      <c r="H7000" s="2" t="s">
        <v>29876</v>
      </c>
      <c r="I7000" s="2" t="s">
        <v>29877</v>
      </c>
      <c r="K7000" s="2" t="s">
        <v>29878</v>
      </c>
      <c r="L7000" s="2" t="s">
        <v>193</v>
      </c>
      <c r="M7000" s="2">
        <v>53027.0</v>
      </c>
      <c r="N7000" s="2" t="s">
        <v>21</v>
      </c>
    </row>
    <row r="7001" ht="15.75" customHeight="1">
      <c r="A7001" s="2">
        <v>2016.0</v>
      </c>
      <c r="B7001" s="2" t="s">
        <v>10472</v>
      </c>
      <c r="C7001" s="2" t="s">
        <v>10473</v>
      </c>
      <c r="D7001" s="2" t="str">
        <f>"410-652-7917"</f>
        <v>410-652-7917</v>
      </c>
      <c r="E7001" s="2" t="s">
        <v>301</v>
      </c>
      <c r="F7001" s="2" t="s">
        <v>10474</v>
      </c>
      <c r="G7001" s="2" t="str">
        <f>"SR-3099"</f>
        <v>SR-3099</v>
      </c>
      <c r="H7001" s="2" t="s">
        <v>10475</v>
      </c>
      <c r="I7001" s="2" t="s">
        <v>10476</v>
      </c>
      <c r="K7001" s="2" t="s">
        <v>10477</v>
      </c>
      <c r="L7001" s="2" t="s">
        <v>1868</v>
      </c>
      <c r="M7001" s="2">
        <v>21014.0</v>
      </c>
      <c r="N7001" s="2" t="s">
        <v>21</v>
      </c>
    </row>
    <row r="7002" ht="15.75" customHeight="1">
      <c r="A7002" s="2">
        <v>2016.0</v>
      </c>
      <c r="B7002" s="2" t="s">
        <v>29879</v>
      </c>
      <c r="C7002" s="2" t="s">
        <v>29880</v>
      </c>
      <c r="D7002" s="2" t="str">
        <f>"434-258-4476"</f>
        <v>434-258-4476</v>
      </c>
      <c r="E7002" s="2" t="s">
        <v>13107</v>
      </c>
      <c r="F7002" s="2" t="s">
        <v>29881</v>
      </c>
      <c r="G7002" s="2" t="str">
        <f>"SR-9294"</f>
        <v>SR-9294</v>
      </c>
      <c r="H7002" s="2" t="s">
        <v>29882</v>
      </c>
      <c r="I7002" s="2" t="s">
        <v>29883</v>
      </c>
      <c r="K7002" s="2" t="s">
        <v>323</v>
      </c>
      <c r="L7002" s="2" t="s">
        <v>165</v>
      </c>
      <c r="M7002" s="2">
        <v>24551.0</v>
      </c>
      <c r="N7002" s="2" t="s">
        <v>21</v>
      </c>
    </row>
    <row r="7003" ht="15.75" customHeight="1">
      <c r="A7003" s="2">
        <v>2016.0</v>
      </c>
      <c r="B7003" s="2" t="s">
        <v>8560</v>
      </c>
      <c r="C7003" s="2" t="s">
        <v>8560</v>
      </c>
      <c r="D7003" s="2" t="str">
        <f>"863-398-9142"</f>
        <v>863-398-9142</v>
      </c>
      <c r="E7003" s="2" t="s">
        <v>4064</v>
      </c>
      <c r="F7003" s="2" t="s">
        <v>275</v>
      </c>
      <c r="G7003" s="2" t="str">
        <f>"SR-9250"</f>
        <v>SR-9250</v>
      </c>
      <c r="H7003" s="2" t="s">
        <v>29884</v>
      </c>
      <c r="I7003" s="2" t="s">
        <v>29885</v>
      </c>
      <c r="K7003" s="2" t="s">
        <v>1570</v>
      </c>
      <c r="L7003" s="2" t="s">
        <v>208</v>
      </c>
      <c r="M7003" s="2">
        <v>33813.0</v>
      </c>
      <c r="N7003" s="2" t="s">
        <v>21</v>
      </c>
    </row>
    <row r="7004" ht="15.75" customHeight="1">
      <c r="A7004" s="2">
        <v>2016.0</v>
      </c>
      <c r="B7004" s="2" t="s">
        <v>10472</v>
      </c>
      <c r="C7004" s="2" t="s">
        <v>29886</v>
      </c>
      <c r="D7004" s="2" t="str">
        <f>"410-652-3425"</f>
        <v>410-652-3425</v>
      </c>
      <c r="E7004" s="2" t="s">
        <v>72</v>
      </c>
      <c r="F7004" s="2" t="s">
        <v>10474</v>
      </c>
      <c r="G7004" s="2" t="str">
        <f>"SR-9293"</f>
        <v>SR-9293</v>
      </c>
      <c r="H7004" s="2" t="s">
        <v>29887</v>
      </c>
      <c r="I7004" s="2" t="s">
        <v>29888</v>
      </c>
      <c r="K7004" s="2" t="s">
        <v>6168</v>
      </c>
      <c r="L7004" s="2" t="s">
        <v>279</v>
      </c>
      <c r="M7004" s="2">
        <v>37922.0</v>
      </c>
      <c r="N7004" s="2" t="s">
        <v>21</v>
      </c>
    </row>
    <row r="7005" ht="15.75" customHeight="1">
      <c r="A7005" s="2">
        <v>2016.0</v>
      </c>
      <c r="B7005" s="2" t="s">
        <v>29889</v>
      </c>
      <c r="C7005" s="2" t="s">
        <v>29890</v>
      </c>
      <c r="D7005" s="2" t="str">
        <f>"360-926-4752"</f>
        <v>360-926-4752</v>
      </c>
      <c r="E7005" s="2" t="s">
        <v>250</v>
      </c>
      <c r="F7005" s="2" t="s">
        <v>29891</v>
      </c>
      <c r="G7005" s="2" t="str">
        <f>"SR-9270"</f>
        <v>SR-9270</v>
      </c>
      <c r="H7005" s="2" t="s">
        <v>29892</v>
      </c>
      <c r="I7005" s="2" t="s">
        <v>29893</v>
      </c>
      <c r="K7005" s="2" t="s">
        <v>12661</v>
      </c>
      <c r="L7005" s="2" t="s">
        <v>86</v>
      </c>
      <c r="M7005" s="2">
        <v>98271.0</v>
      </c>
      <c r="N7005" s="2" t="s">
        <v>21</v>
      </c>
    </row>
    <row r="7006" ht="15.75" customHeight="1">
      <c r="A7006" s="2">
        <v>2016.0</v>
      </c>
      <c r="B7006" s="2" t="s">
        <v>29894</v>
      </c>
      <c r="C7006" s="2" t="s">
        <v>29895</v>
      </c>
      <c r="D7006" s="2" t="str">
        <f>"7704061081"</f>
        <v>7704061081</v>
      </c>
      <c r="E7006" s="2" t="s">
        <v>11010</v>
      </c>
      <c r="F7006" s="2" t="s">
        <v>29896</v>
      </c>
      <c r="G7006" s="2" t="str">
        <f>"SR-3473"</f>
        <v>SR-3473</v>
      </c>
      <c r="H7006" s="2" t="s">
        <v>29897</v>
      </c>
      <c r="I7006" s="2" t="s">
        <v>29898</v>
      </c>
      <c r="K7006" s="2" t="s">
        <v>29899</v>
      </c>
      <c r="L7006" s="2" t="s">
        <v>200</v>
      </c>
      <c r="M7006" s="2">
        <v>30024.0</v>
      </c>
      <c r="N7006" s="2" t="s">
        <v>21</v>
      </c>
    </row>
    <row r="7007" ht="15.75" customHeight="1">
      <c r="A7007" s="2">
        <v>2016.0</v>
      </c>
      <c r="B7007" s="2" t="s">
        <v>29900</v>
      </c>
      <c r="C7007" s="2" t="s">
        <v>29901</v>
      </c>
      <c r="D7007" s="2" t="str">
        <f>"720 292-8171"</f>
        <v>720 292-8171</v>
      </c>
      <c r="E7007" s="2" t="s">
        <v>81</v>
      </c>
      <c r="F7007" s="2" t="s">
        <v>29902</v>
      </c>
      <c r="G7007" s="2" t="str">
        <f>"SR-9298"</f>
        <v>SR-9298</v>
      </c>
      <c r="H7007" s="2" t="s">
        <v>29903</v>
      </c>
      <c r="I7007" s="2" t="s">
        <v>29904</v>
      </c>
      <c r="K7007" s="2" t="s">
        <v>1520</v>
      </c>
      <c r="L7007" s="2" t="s">
        <v>157</v>
      </c>
      <c r="M7007" s="2">
        <v>80013.0</v>
      </c>
      <c r="N7007" s="2" t="s">
        <v>21</v>
      </c>
    </row>
    <row r="7008" ht="15.75" customHeight="1">
      <c r="A7008" s="2">
        <v>2016.0</v>
      </c>
      <c r="B7008" s="2" t="s">
        <v>29905</v>
      </c>
      <c r="C7008" s="2" t="s">
        <v>29905</v>
      </c>
      <c r="D7008" s="2" t="str">
        <f>"865-765-0075"</f>
        <v>865-765-0075</v>
      </c>
      <c r="E7008" s="2" t="s">
        <v>492</v>
      </c>
      <c r="F7008" s="2" t="s">
        <v>29906</v>
      </c>
      <c r="G7008" s="2" t="str">
        <f>"SR-9007"</f>
        <v>SR-9007</v>
      </c>
      <c r="H7008" s="2" t="s">
        <v>29907</v>
      </c>
      <c r="I7008" s="2" t="s">
        <v>29908</v>
      </c>
      <c r="K7008" s="2" t="s">
        <v>6168</v>
      </c>
      <c r="L7008" s="2" t="s">
        <v>279</v>
      </c>
      <c r="M7008" s="2">
        <v>37918.0</v>
      </c>
      <c r="N7008" s="2" t="s">
        <v>21</v>
      </c>
    </row>
    <row r="7009" ht="15.75" customHeight="1">
      <c r="A7009" s="2">
        <v>2016.0</v>
      </c>
      <c r="B7009" s="2" t="s">
        <v>29909</v>
      </c>
      <c r="C7009" s="2" t="s">
        <v>29910</v>
      </c>
      <c r="D7009" s="2" t="str">
        <f>"901-444-0911"</f>
        <v>901-444-0911</v>
      </c>
      <c r="E7009" s="2" t="s">
        <v>4584</v>
      </c>
      <c r="F7009" s="2" t="s">
        <v>29911</v>
      </c>
      <c r="G7009" s="2" t="str">
        <f>"SR-8903"</f>
        <v>SR-8903</v>
      </c>
      <c r="H7009" s="2" t="s">
        <v>29912</v>
      </c>
      <c r="I7009" s="2" t="s">
        <v>29913</v>
      </c>
      <c r="K7009" s="2" t="s">
        <v>1570</v>
      </c>
      <c r="L7009" s="2" t="s">
        <v>279</v>
      </c>
      <c r="M7009" s="2">
        <v>38002.0</v>
      </c>
      <c r="N7009" s="2" t="s">
        <v>21</v>
      </c>
    </row>
    <row r="7010" ht="15.75" customHeight="1">
      <c r="A7010" s="2">
        <v>2016.0</v>
      </c>
      <c r="B7010" s="2" t="s">
        <v>29914</v>
      </c>
      <c r="C7010" s="2" t="s">
        <v>29915</v>
      </c>
      <c r="D7010" s="2" t="str">
        <f>"818-799-8202"</f>
        <v>818-799-8202</v>
      </c>
      <c r="E7010" s="2" t="s">
        <v>29916</v>
      </c>
      <c r="F7010" s="2" t="s">
        <v>29917</v>
      </c>
      <c r="G7010" s="2" t="str">
        <f>"SR-9253"</f>
        <v>SR-9253</v>
      </c>
      <c r="H7010" s="2" t="s">
        <v>29918</v>
      </c>
      <c r="I7010" s="2" t="s">
        <v>29919</v>
      </c>
      <c r="K7010" s="2" t="s">
        <v>29920</v>
      </c>
      <c r="L7010" s="2" t="s">
        <v>222</v>
      </c>
      <c r="M7010" s="2">
        <v>91607.0</v>
      </c>
      <c r="N7010" s="2" t="s">
        <v>21</v>
      </c>
    </row>
    <row r="7011" ht="15.75" customHeight="1">
      <c r="A7011" s="2">
        <v>2016.0</v>
      </c>
      <c r="B7011" s="2" t="s">
        <v>29855</v>
      </c>
      <c r="C7011" s="2" t="s">
        <v>29921</v>
      </c>
      <c r="D7011" s="2" t="str">
        <f>"(562) 275-2066"</f>
        <v>(562) 275-2066</v>
      </c>
      <c r="E7011" s="2" t="s">
        <v>22558</v>
      </c>
      <c r="F7011" s="2" t="s">
        <v>29922</v>
      </c>
      <c r="G7011" s="2" t="str">
        <f>"SR-9304"</f>
        <v>SR-9304</v>
      </c>
      <c r="H7011" s="2" t="s">
        <v>29923</v>
      </c>
      <c r="I7011" s="2" t="s">
        <v>29924</v>
      </c>
      <c r="K7011" s="2" t="s">
        <v>3950</v>
      </c>
      <c r="L7011" s="2" t="s">
        <v>222</v>
      </c>
      <c r="M7011" s="2">
        <v>90804.0</v>
      </c>
      <c r="N7011" s="2" t="s">
        <v>21</v>
      </c>
    </row>
    <row r="7012" ht="15.75" customHeight="1">
      <c r="A7012" s="2">
        <v>2016.0</v>
      </c>
      <c r="B7012" s="2" t="s">
        <v>29925</v>
      </c>
      <c r="C7012" s="2" t="s">
        <v>29926</v>
      </c>
      <c r="D7012" s="2" t="str">
        <f>"402 497 3607"</f>
        <v>402 497 3607</v>
      </c>
      <c r="E7012" s="2" t="s">
        <v>1094</v>
      </c>
      <c r="F7012" s="2" t="s">
        <v>29927</v>
      </c>
      <c r="G7012" s="2" t="str">
        <f>"SR-8657"</f>
        <v>SR-8657</v>
      </c>
      <c r="H7012" s="2" t="s">
        <v>29928</v>
      </c>
      <c r="I7012" s="2" t="s">
        <v>29929</v>
      </c>
      <c r="K7012" s="2" t="s">
        <v>29930</v>
      </c>
      <c r="L7012" s="2" t="s">
        <v>757</v>
      </c>
      <c r="M7012" s="2">
        <v>68778.0</v>
      </c>
      <c r="N7012" s="2" t="s">
        <v>21</v>
      </c>
    </row>
    <row r="7013" ht="15.75" customHeight="1">
      <c r="A7013" s="2">
        <v>2016.0</v>
      </c>
      <c r="B7013" s="2" t="s">
        <v>29931</v>
      </c>
      <c r="C7013" s="2" t="s">
        <v>29932</v>
      </c>
      <c r="D7013" s="2" t="str">
        <f>"513 703 0895"</f>
        <v>513 703 0895</v>
      </c>
      <c r="E7013" s="2" t="s">
        <v>385</v>
      </c>
      <c r="F7013" s="2" t="s">
        <v>19184</v>
      </c>
      <c r="G7013" s="2" t="str">
        <f>"SR-9300"</f>
        <v>SR-9300</v>
      </c>
      <c r="H7013" s="2" t="s">
        <v>29933</v>
      </c>
      <c r="I7013" s="2" t="s">
        <v>29934</v>
      </c>
      <c r="K7013" s="2" t="s">
        <v>7317</v>
      </c>
      <c r="L7013" s="2" t="s">
        <v>344</v>
      </c>
      <c r="M7013" s="2">
        <v>45152.0</v>
      </c>
      <c r="N7013" s="2" t="s">
        <v>21</v>
      </c>
    </row>
    <row r="7014" ht="15.75" customHeight="1">
      <c r="A7014" s="2">
        <v>2016.0</v>
      </c>
      <c r="B7014" s="2" t="s">
        <v>29935</v>
      </c>
      <c r="C7014" s="2" t="s">
        <v>29936</v>
      </c>
      <c r="D7014" s="2" t="str">
        <f>"562-693-1212"</f>
        <v>562-693-1212</v>
      </c>
      <c r="E7014" s="2" t="s">
        <v>29937</v>
      </c>
      <c r="F7014" s="2" t="s">
        <v>29938</v>
      </c>
      <c r="G7014" s="2" t="str">
        <f>"SR-9296"</f>
        <v>SR-9296</v>
      </c>
      <c r="H7014" s="2" t="s">
        <v>29939</v>
      </c>
      <c r="I7014" s="2" t="s">
        <v>29940</v>
      </c>
      <c r="K7014" s="2" t="s">
        <v>29941</v>
      </c>
      <c r="L7014" s="2" t="s">
        <v>222</v>
      </c>
      <c r="M7014" s="2">
        <v>91711.0</v>
      </c>
      <c r="N7014" s="2" t="s">
        <v>21</v>
      </c>
    </row>
    <row r="7015" ht="15.75" customHeight="1">
      <c r="A7015" s="2">
        <v>2016.0</v>
      </c>
      <c r="B7015" s="2" t="s">
        <v>29942</v>
      </c>
      <c r="C7015" s="2" t="s">
        <v>29943</v>
      </c>
      <c r="D7015" s="2" t="str">
        <f>"4065427556"</f>
        <v>4065427556</v>
      </c>
      <c r="E7015" s="2" t="s">
        <v>975</v>
      </c>
      <c r="F7015" s="2" t="s">
        <v>29944</v>
      </c>
      <c r="G7015" s="2" t="str">
        <f>"SR-9311"</f>
        <v>SR-9311</v>
      </c>
      <c r="H7015" s="2" t="s">
        <v>29945</v>
      </c>
      <c r="I7015" s="2" t="s">
        <v>29946</v>
      </c>
      <c r="K7015" s="2" t="s">
        <v>29947</v>
      </c>
      <c r="L7015" s="2" t="s">
        <v>2696</v>
      </c>
      <c r="M7015" s="2">
        <v>59804.0</v>
      </c>
      <c r="N7015" s="2" t="s">
        <v>21</v>
      </c>
    </row>
    <row r="7016" ht="15.75" customHeight="1">
      <c r="A7016" s="2">
        <v>2016.0</v>
      </c>
      <c r="B7016" s="2" t="s">
        <v>29948</v>
      </c>
      <c r="C7016" s="2" t="s">
        <v>29948</v>
      </c>
      <c r="D7016" s="2" t="str">
        <f>"7318197557"</f>
        <v>7318197557</v>
      </c>
      <c r="E7016" s="2" t="s">
        <v>137</v>
      </c>
      <c r="F7016" s="2" t="s">
        <v>11222</v>
      </c>
      <c r="G7016" s="2" t="str">
        <f>"SR-9312"</f>
        <v>SR-9312</v>
      </c>
      <c r="H7016" s="2" t="s">
        <v>29949</v>
      </c>
      <c r="I7016" s="2" t="s">
        <v>29950</v>
      </c>
      <c r="K7016" s="2" t="s">
        <v>29951</v>
      </c>
      <c r="L7016" s="2" t="s">
        <v>279</v>
      </c>
      <c r="M7016" s="2">
        <v>37317.0</v>
      </c>
      <c r="N7016" s="2" t="s">
        <v>21</v>
      </c>
    </row>
    <row r="7017" ht="15.75" customHeight="1">
      <c r="A7017" s="2">
        <v>2016.0</v>
      </c>
      <c r="B7017" s="2" t="s">
        <v>29952</v>
      </c>
      <c r="C7017" s="2" t="s">
        <v>29953</v>
      </c>
      <c r="D7017" s="2" t="str">
        <f>"817-341-8728"</f>
        <v>817-341-8728</v>
      </c>
      <c r="E7017" s="2" t="s">
        <v>2941</v>
      </c>
      <c r="F7017" s="2" t="s">
        <v>28430</v>
      </c>
      <c r="G7017" s="2" t="str">
        <f>"SR-9219"</f>
        <v>SR-9219</v>
      </c>
      <c r="H7017" s="2" t="s">
        <v>29954</v>
      </c>
      <c r="I7017" s="2" t="s">
        <v>29955</v>
      </c>
      <c r="K7017" s="2" t="s">
        <v>5729</v>
      </c>
      <c r="L7017" s="2" t="s">
        <v>172</v>
      </c>
      <c r="M7017" s="2">
        <v>76088.0</v>
      </c>
      <c r="N7017" s="2" t="s">
        <v>21</v>
      </c>
    </row>
    <row r="7018" ht="15.75" customHeight="1">
      <c r="A7018" s="2">
        <v>2016.0</v>
      </c>
      <c r="B7018" s="2" t="s">
        <v>29956</v>
      </c>
      <c r="C7018" s="2" t="s">
        <v>29957</v>
      </c>
      <c r="D7018" s="2" t="str">
        <f>"817-917-0718"</f>
        <v>817-917-0718</v>
      </c>
      <c r="E7018" s="2" t="s">
        <v>137</v>
      </c>
      <c r="F7018" s="2" t="s">
        <v>29958</v>
      </c>
      <c r="G7018" s="2" t="str">
        <f>"SR-9314"</f>
        <v>SR-9314</v>
      </c>
      <c r="H7018" s="2" t="s">
        <v>29959</v>
      </c>
      <c r="I7018" s="2" t="s">
        <v>29960</v>
      </c>
      <c r="K7018" s="2" t="s">
        <v>2980</v>
      </c>
      <c r="L7018" s="2" t="s">
        <v>172</v>
      </c>
      <c r="M7018" s="2">
        <v>76082.0</v>
      </c>
      <c r="N7018" s="2" t="s">
        <v>21</v>
      </c>
    </row>
    <row r="7019" ht="15.75" customHeight="1">
      <c r="A7019" s="2">
        <v>2016.0</v>
      </c>
      <c r="B7019" s="2" t="s">
        <v>29961</v>
      </c>
      <c r="C7019" s="2" t="s">
        <v>29961</v>
      </c>
      <c r="D7019" s="2" t="str">
        <f>"423-737-6055"</f>
        <v>423-737-6055</v>
      </c>
      <c r="E7019" s="2" t="s">
        <v>217</v>
      </c>
      <c r="F7019" s="2" t="s">
        <v>29962</v>
      </c>
      <c r="G7019" s="2" t="str">
        <f>"SR-9317"</f>
        <v>SR-9317</v>
      </c>
      <c r="H7019" s="2" t="s">
        <v>29963</v>
      </c>
      <c r="I7019" s="2" t="s">
        <v>29964</v>
      </c>
      <c r="K7019" s="2" t="s">
        <v>29965</v>
      </c>
      <c r="L7019" s="2" t="s">
        <v>279</v>
      </c>
      <c r="M7019" s="2">
        <v>37604.0</v>
      </c>
      <c r="N7019" s="2" t="s">
        <v>21</v>
      </c>
    </row>
    <row r="7020" ht="15.75" customHeight="1">
      <c r="A7020" s="2">
        <v>2016.0</v>
      </c>
      <c r="B7020" s="2" t="s">
        <v>29966</v>
      </c>
      <c r="C7020" s="2" t="s">
        <v>29967</v>
      </c>
      <c r="D7020" s="2" t="str">
        <f>"8175739392"</f>
        <v>8175739392</v>
      </c>
      <c r="E7020" s="2" t="s">
        <v>824</v>
      </c>
      <c r="F7020" s="2" t="s">
        <v>19742</v>
      </c>
      <c r="G7020" s="2" t="str">
        <f>"SR-9288"</f>
        <v>SR-9288</v>
      </c>
      <c r="H7020" s="2" t="s">
        <v>29968</v>
      </c>
      <c r="I7020" s="2" t="s">
        <v>19744</v>
      </c>
      <c r="K7020" s="2" t="s">
        <v>2046</v>
      </c>
      <c r="L7020" s="2" t="s">
        <v>172</v>
      </c>
      <c r="M7020" s="2">
        <v>76049.0</v>
      </c>
      <c r="N7020" s="2" t="s">
        <v>21</v>
      </c>
    </row>
    <row r="7021" ht="15.75" customHeight="1">
      <c r="A7021" s="2">
        <v>2016.0</v>
      </c>
      <c r="B7021" s="2" t="s">
        <v>29969</v>
      </c>
      <c r="C7021" s="2" t="s">
        <v>29970</v>
      </c>
      <c r="D7021" s="2" t="str">
        <f>"423-260-4245"</f>
        <v>423-260-4245</v>
      </c>
      <c r="E7021" s="2" t="s">
        <v>1000</v>
      </c>
      <c r="F7021" s="2" t="s">
        <v>29971</v>
      </c>
      <c r="G7021" s="2" t="str">
        <f>"SR-9318"</f>
        <v>SR-9318</v>
      </c>
      <c r="H7021" s="2" t="s">
        <v>29972</v>
      </c>
      <c r="I7021" s="2" t="s">
        <v>29973</v>
      </c>
      <c r="K7021" s="2" t="s">
        <v>4310</v>
      </c>
      <c r="L7021" s="2" t="s">
        <v>279</v>
      </c>
      <c r="M7021" s="2">
        <v>37321.0</v>
      </c>
      <c r="N7021" s="2" t="s">
        <v>21</v>
      </c>
    </row>
    <row r="7022" ht="15.75" customHeight="1">
      <c r="A7022" s="2">
        <v>2016.0</v>
      </c>
      <c r="B7022" s="2" t="s">
        <v>29974</v>
      </c>
      <c r="C7022" s="2" t="s">
        <v>29975</v>
      </c>
      <c r="D7022" s="2" t="str">
        <f>"5125933850"</f>
        <v>5125933850</v>
      </c>
      <c r="E7022" s="2" t="s">
        <v>1782</v>
      </c>
      <c r="F7022" s="2" t="s">
        <v>27770</v>
      </c>
      <c r="G7022" s="2" t="str">
        <f>"SR-9320"</f>
        <v>SR-9320</v>
      </c>
      <c r="H7022" s="2" t="s">
        <v>29976</v>
      </c>
      <c r="I7022" s="2" t="s">
        <v>29977</v>
      </c>
      <c r="K7022" s="2" t="s">
        <v>1141</v>
      </c>
      <c r="L7022" s="2" t="s">
        <v>172</v>
      </c>
      <c r="M7022" s="2">
        <v>78717.0</v>
      </c>
      <c r="N7022" s="2" t="s">
        <v>21</v>
      </c>
    </row>
    <row r="7023" ht="15.75" customHeight="1">
      <c r="A7023" s="2">
        <v>2016.0</v>
      </c>
      <c r="B7023" s="2" t="s">
        <v>29978</v>
      </c>
      <c r="C7023" s="2" t="s">
        <v>29979</v>
      </c>
      <c r="D7023" s="2" t="str">
        <f t="shared" ref="D7023:D7024" si="118">"276-647-4414"</f>
        <v>276-647-4414</v>
      </c>
      <c r="E7023" s="2" t="s">
        <v>843</v>
      </c>
      <c r="F7023" s="2" t="s">
        <v>283</v>
      </c>
      <c r="G7023" s="2" t="str">
        <f>"SR-9322"</f>
        <v>SR-9322</v>
      </c>
      <c r="H7023" s="2" t="s">
        <v>29980</v>
      </c>
      <c r="I7023" s="2" t="s">
        <v>29981</v>
      </c>
      <c r="K7023" s="2" t="s">
        <v>29982</v>
      </c>
      <c r="L7023" s="2" t="s">
        <v>165</v>
      </c>
      <c r="M7023" s="2">
        <v>24078.0</v>
      </c>
      <c r="N7023" s="2" t="s">
        <v>21</v>
      </c>
    </row>
    <row r="7024" ht="15.75" customHeight="1">
      <c r="A7024" s="2">
        <v>2016.0</v>
      </c>
      <c r="B7024" s="2" t="s">
        <v>29978</v>
      </c>
      <c r="C7024" s="2" t="s">
        <v>29983</v>
      </c>
      <c r="D7024" s="2" t="str">
        <f t="shared" si="118"/>
        <v>276-647-4414</v>
      </c>
      <c r="E7024" s="2" t="s">
        <v>301</v>
      </c>
      <c r="F7024" s="2" t="s">
        <v>283</v>
      </c>
      <c r="G7024" s="2" t="str">
        <f>"SR-9323"</f>
        <v>SR-9323</v>
      </c>
      <c r="H7024" s="2" t="s">
        <v>29984</v>
      </c>
      <c r="I7024" s="2" t="s">
        <v>29981</v>
      </c>
      <c r="K7024" s="2" t="s">
        <v>29982</v>
      </c>
      <c r="L7024" s="2" t="s">
        <v>165</v>
      </c>
      <c r="M7024" s="2">
        <v>24078.0</v>
      </c>
      <c r="N7024" s="2" t="s">
        <v>21</v>
      </c>
    </row>
    <row r="7025" ht="15.75" customHeight="1">
      <c r="A7025" s="2">
        <v>2016.0</v>
      </c>
      <c r="B7025" s="2" t="s">
        <v>15926</v>
      </c>
      <c r="C7025" s="2" t="s">
        <v>15927</v>
      </c>
      <c r="D7025" s="2" t="str">
        <f>"8478589841"</f>
        <v>8478589841</v>
      </c>
      <c r="E7025" s="2" t="s">
        <v>1803</v>
      </c>
      <c r="F7025" s="2" t="s">
        <v>15928</v>
      </c>
      <c r="G7025" s="2" t="str">
        <f>"SR-1634"</f>
        <v>SR-1634</v>
      </c>
      <c r="H7025" s="2" t="s">
        <v>15929</v>
      </c>
      <c r="I7025" s="2" t="s">
        <v>15930</v>
      </c>
      <c r="K7025" s="2" t="s">
        <v>15931</v>
      </c>
      <c r="L7025" s="2" t="s">
        <v>105</v>
      </c>
      <c r="M7025" s="2">
        <v>60142.0</v>
      </c>
      <c r="N7025" s="2" t="s">
        <v>21</v>
      </c>
    </row>
    <row r="7026" ht="15.75" customHeight="1">
      <c r="A7026" s="2">
        <v>2016.0</v>
      </c>
      <c r="B7026" s="2" t="s">
        <v>29985</v>
      </c>
      <c r="C7026" s="2" t="s">
        <v>29985</v>
      </c>
      <c r="D7026" s="2" t="str">
        <f>"8306134848"</f>
        <v>8306134848</v>
      </c>
      <c r="E7026" s="2" t="s">
        <v>580</v>
      </c>
      <c r="F7026" s="2" t="s">
        <v>29986</v>
      </c>
      <c r="G7026" s="2" t="str">
        <f>"SR-7494"</f>
        <v>SR-7494</v>
      </c>
      <c r="H7026" s="2" t="s">
        <v>29987</v>
      </c>
      <c r="I7026" s="2" t="s">
        <v>29988</v>
      </c>
      <c r="K7026" s="2" t="s">
        <v>10222</v>
      </c>
      <c r="L7026" s="2" t="s">
        <v>172</v>
      </c>
      <c r="M7026" s="2">
        <v>78654.0</v>
      </c>
      <c r="N7026" s="2" t="s">
        <v>21</v>
      </c>
    </row>
    <row r="7027" ht="15.75" customHeight="1">
      <c r="A7027" s="2">
        <v>2016.0</v>
      </c>
      <c r="B7027" s="2" t="s">
        <v>29989</v>
      </c>
      <c r="C7027" s="2" t="s">
        <v>29989</v>
      </c>
      <c r="D7027" s="2" t="str">
        <f>"615-450-5606"</f>
        <v>615-450-5606</v>
      </c>
      <c r="E7027" s="2" t="s">
        <v>137</v>
      </c>
      <c r="F7027" s="2" t="s">
        <v>23366</v>
      </c>
      <c r="G7027" s="2" t="str">
        <f>"SR-9315"</f>
        <v>SR-9315</v>
      </c>
      <c r="H7027" s="2" t="s">
        <v>29990</v>
      </c>
      <c r="I7027" s="2" t="s">
        <v>29991</v>
      </c>
      <c r="K7027" s="2" t="s">
        <v>28720</v>
      </c>
      <c r="L7027" s="2" t="s">
        <v>279</v>
      </c>
      <c r="M7027" s="2">
        <v>37074.0</v>
      </c>
      <c r="N7027" s="2" t="s">
        <v>21</v>
      </c>
    </row>
    <row r="7028" ht="15.75" customHeight="1">
      <c r="A7028" s="2">
        <v>2016.0</v>
      </c>
      <c r="B7028" s="2" t="s">
        <v>29992</v>
      </c>
      <c r="C7028" s="2" t="s">
        <v>29993</v>
      </c>
      <c r="D7028" s="2" t="str">
        <f>"615-646-2466"</f>
        <v>615-646-2466</v>
      </c>
      <c r="E7028" s="2" t="s">
        <v>5127</v>
      </c>
      <c r="F7028" s="2" t="s">
        <v>29994</v>
      </c>
      <c r="G7028" s="2" t="str">
        <f>"SR-9333"</f>
        <v>SR-9333</v>
      </c>
      <c r="H7028" s="2" t="s">
        <v>29995</v>
      </c>
      <c r="I7028" s="2" t="s">
        <v>29996</v>
      </c>
      <c r="K7028" s="2" t="s">
        <v>731</v>
      </c>
      <c r="L7028" s="2" t="s">
        <v>279</v>
      </c>
      <c r="M7028" s="2">
        <v>37221.0</v>
      </c>
      <c r="N7028" s="2" t="s">
        <v>21</v>
      </c>
    </row>
    <row r="7029" ht="15.75" customHeight="1">
      <c r="A7029" s="2">
        <v>2016.0</v>
      </c>
      <c r="B7029" s="2" t="s">
        <v>29997</v>
      </c>
      <c r="C7029" s="2" t="s">
        <v>29997</v>
      </c>
      <c r="D7029" s="2" t="str">
        <f>"615-693-2096"</f>
        <v>615-693-2096</v>
      </c>
      <c r="E7029" s="2" t="s">
        <v>29998</v>
      </c>
      <c r="F7029" s="2" t="s">
        <v>29994</v>
      </c>
      <c r="G7029" s="2" t="str">
        <f>"SR-9334"</f>
        <v>SR-9334</v>
      </c>
      <c r="H7029" s="2" t="s">
        <v>29999</v>
      </c>
      <c r="I7029" s="2" t="s">
        <v>30000</v>
      </c>
      <c r="K7029" s="2" t="s">
        <v>731</v>
      </c>
      <c r="L7029" s="2" t="s">
        <v>279</v>
      </c>
      <c r="M7029" s="2">
        <v>37221.0</v>
      </c>
      <c r="N7029" s="2" t="s">
        <v>21</v>
      </c>
    </row>
    <row r="7030" ht="15.75" customHeight="1">
      <c r="A7030" s="2">
        <v>2016.0</v>
      </c>
      <c r="B7030" s="2" t="s">
        <v>30001</v>
      </c>
      <c r="C7030" s="2" t="s">
        <v>30002</v>
      </c>
      <c r="D7030" s="2" t="str">
        <f>"032212155228"</f>
        <v>032212155228</v>
      </c>
      <c r="E7030" s="2" t="s">
        <v>167</v>
      </c>
      <c r="F7030" s="2" t="s">
        <v>30003</v>
      </c>
      <c r="G7030" s="2" t="str">
        <f>"SR-9127"</f>
        <v>SR-9127</v>
      </c>
      <c r="H7030" s="2" t="s">
        <v>30004</v>
      </c>
      <c r="I7030" s="2" t="s">
        <v>30005</v>
      </c>
      <c r="J7030" s="2" t="s">
        <v>30006</v>
      </c>
      <c r="K7030" s="2" t="s">
        <v>221</v>
      </c>
      <c r="L7030" s="2" t="s">
        <v>30007</v>
      </c>
      <c r="M7030" s="2">
        <v>9123.0</v>
      </c>
      <c r="N7030" s="2" t="s">
        <v>30008</v>
      </c>
    </row>
    <row r="7031" ht="15.75" customHeight="1">
      <c r="A7031" s="2">
        <v>2016.0</v>
      </c>
      <c r="B7031" s="2" t="s">
        <v>30009</v>
      </c>
      <c r="C7031" s="2" t="s">
        <v>30010</v>
      </c>
      <c r="D7031" s="2" t="str">
        <f>"6024008192"</f>
        <v>6024008192</v>
      </c>
      <c r="E7031" s="2" t="s">
        <v>6555</v>
      </c>
      <c r="F7031" s="2" t="s">
        <v>24530</v>
      </c>
      <c r="G7031" s="2" t="str">
        <f>"SR-9321"</f>
        <v>SR-9321</v>
      </c>
      <c r="H7031" s="2" t="s">
        <v>30011</v>
      </c>
      <c r="I7031" s="2" t="s">
        <v>30012</v>
      </c>
      <c r="K7031" s="2" t="s">
        <v>30013</v>
      </c>
      <c r="L7031" s="2" t="s">
        <v>422</v>
      </c>
      <c r="M7031" s="2">
        <v>85024.0</v>
      </c>
      <c r="N7031" s="2" t="s">
        <v>21</v>
      </c>
    </row>
    <row r="7032" ht="15.75" customHeight="1">
      <c r="A7032" s="2">
        <v>2016.0</v>
      </c>
      <c r="B7032" s="2" t="s">
        <v>30014</v>
      </c>
      <c r="D7032" s="2" t="str">
        <f>""</f>
        <v/>
      </c>
      <c r="E7032" s="2" t="s">
        <v>72</v>
      </c>
      <c r="F7032" s="2" t="s">
        <v>30015</v>
      </c>
      <c r="G7032" s="2" t="str">
        <f>"SR-9080"</f>
        <v>SR-9080</v>
      </c>
      <c r="H7032" s="2" t="s">
        <v>30016</v>
      </c>
      <c r="N7032" s="2" t="s">
        <v>21</v>
      </c>
    </row>
    <row r="7033" ht="15.75" customHeight="1">
      <c r="A7033" s="2">
        <v>2016.0</v>
      </c>
      <c r="B7033" s="2" t="s">
        <v>30017</v>
      </c>
      <c r="C7033" s="2" t="s">
        <v>30018</v>
      </c>
      <c r="D7033" s="2" t="str">
        <f>"540-829-7175"</f>
        <v>540-829-7175</v>
      </c>
      <c r="E7033" s="2" t="s">
        <v>4782</v>
      </c>
      <c r="F7033" s="2" t="s">
        <v>23396</v>
      </c>
      <c r="G7033" s="2" t="str">
        <f>"SR-9345"</f>
        <v>SR-9345</v>
      </c>
      <c r="H7033" s="2" t="s">
        <v>30019</v>
      </c>
      <c r="I7033" s="2" t="s">
        <v>30020</v>
      </c>
      <c r="K7033" s="2" t="s">
        <v>30021</v>
      </c>
      <c r="L7033" s="2" t="s">
        <v>165</v>
      </c>
      <c r="M7033" s="2">
        <v>22701.0</v>
      </c>
      <c r="N7033" s="2" t="s">
        <v>21</v>
      </c>
    </row>
    <row r="7034" ht="15.75" customHeight="1">
      <c r="A7034" s="2">
        <v>2016.0</v>
      </c>
      <c r="B7034" s="2" t="s">
        <v>30022</v>
      </c>
      <c r="C7034" s="2" t="s">
        <v>30022</v>
      </c>
      <c r="D7034" s="2" t="str">
        <f>"2397765193"</f>
        <v>2397765193</v>
      </c>
      <c r="E7034" s="2" t="s">
        <v>2572</v>
      </c>
      <c r="F7034" s="2" t="s">
        <v>30023</v>
      </c>
      <c r="G7034" s="2" t="str">
        <f>"SR-9313"</f>
        <v>SR-9313</v>
      </c>
      <c r="H7034" s="2" t="s">
        <v>30024</v>
      </c>
      <c r="I7034" s="2" t="s">
        <v>30025</v>
      </c>
      <c r="K7034" s="2" t="s">
        <v>5046</v>
      </c>
      <c r="L7034" s="2" t="s">
        <v>208</v>
      </c>
      <c r="M7034" s="2">
        <v>34120.0</v>
      </c>
      <c r="N7034" s="2" t="s">
        <v>21</v>
      </c>
    </row>
    <row r="7035" ht="15.75" customHeight="1">
      <c r="A7035" s="2">
        <v>2016.0</v>
      </c>
      <c r="B7035" s="2" t="s">
        <v>30026</v>
      </c>
      <c r="C7035" s="2" t="s">
        <v>30027</v>
      </c>
      <c r="D7035" s="2" t="str">
        <f>"303-696-6139"</f>
        <v>303-696-6139</v>
      </c>
      <c r="E7035" s="2" t="s">
        <v>30028</v>
      </c>
      <c r="F7035" s="2" t="s">
        <v>603</v>
      </c>
      <c r="G7035" s="2" t="str">
        <f>"SR-8461"</f>
        <v>SR-8461</v>
      </c>
      <c r="H7035" s="2" t="s">
        <v>30029</v>
      </c>
      <c r="I7035" s="2" t="s">
        <v>30030</v>
      </c>
      <c r="K7035" s="2" t="s">
        <v>1520</v>
      </c>
      <c r="L7035" s="2" t="s">
        <v>157</v>
      </c>
      <c r="M7035" s="2">
        <v>80014.0</v>
      </c>
      <c r="N7035" s="2" t="s">
        <v>21</v>
      </c>
    </row>
    <row r="7036" ht="15.75" customHeight="1">
      <c r="A7036" s="2">
        <v>2016.0</v>
      </c>
      <c r="B7036" s="2" t="s">
        <v>30026</v>
      </c>
      <c r="C7036" s="2" t="s">
        <v>30031</v>
      </c>
      <c r="D7036" s="2" t="str">
        <f>"720-343-9749"</f>
        <v>720-343-9749</v>
      </c>
      <c r="E7036" s="2" t="s">
        <v>6202</v>
      </c>
      <c r="F7036" s="2" t="s">
        <v>603</v>
      </c>
      <c r="G7036" s="2" t="str">
        <f>"SR-8670"</f>
        <v>SR-8670</v>
      </c>
      <c r="H7036" s="2" t="s">
        <v>30032</v>
      </c>
      <c r="I7036" s="2" t="s">
        <v>30030</v>
      </c>
      <c r="K7036" s="2" t="s">
        <v>1520</v>
      </c>
      <c r="L7036" s="2" t="s">
        <v>157</v>
      </c>
      <c r="M7036" s="2">
        <v>80014.0</v>
      </c>
      <c r="N7036" s="2" t="s">
        <v>21</v>
      </c>
    </row>
    <row r="7037" ht="15.75" customHeight="1">
      <c r="A7037" s="2">
        <v>2016.0</v>
      </c>
      <c r="B7037" s="2" t="s">
        <v>30033</v>
      </c>
      <c r="C7037" s="2" t="s">
        <v>30034</v>
      </c>
      <c r="D7037" s="2" t="str">
        <f>"5078225397"</f>
        <v>5078225397</v>
      </c>
      <c r="E7037" s="2" t="s">
        <v>386</v>
      </c>
      <c r="F7037" s="2" t="s">
        <v>30035</v>
      </c>
      <c r="G7037" s="2" t="str">
        <f>"SR-9282"</f>
        <v>SR-9282</v>
      </c>
      <c r="H7037" s="2" t="s">
        <v>30036</v>
      </c>
      <c r="I7037" s="2" t="s">
        <v>30037</v>
      </c>
      <c r="J7037" s="2" t="s">
        <v>30038</v>
      </c>
      <c r="K7037" s="2" t="s">
        <v>10380</v>
      </c>
      <c r="L7037" s="2" t="s">
        <v>62</v>
      </c>
      <c r="M7037" s="2">
        <v>56159.0</v>
      </c>
      <c r="N7037" s="2" t="s">
        <v>21</v>
      </c>
    </row>
    <row r="7038" ht="15.75" customHeight="1">
      <c r="A7038" s="2">
        <v>2016.0</v>
      </c>
      <c r="B7038" s="2" t="s">
        <v>30039</v>
      </c>
      <c r="C7038" s="2" t="s">
        <v>30040</v>
      </c>
      <c r="D7038" s="2" t="str">
        <f>"7195908915"</f>
        <v>7195908915</v>
      </c>
      <c r="E7038" s="2" t="s">
        <v>30041</v>
      </c>
      <c r="F7038" s="2" t="s">
        <v>30042</v>
      </c>
      <c r="G7038" s="2" t="str">
        <f>"SR-9347"</f>
        <v>SR-9347</v>
      </c>
      <c r="H7038" s="2" t="s">
        <v>30043</v>
      </c>
      <c r="I7038" s="2" t="s">
        <v>30044</v>
      </c>
      <c r="K7038" s="2" t="s">
        <v>30045</v>
      </c>
      <c r="N7038" s="2" t="s">
        <v>16502</v>
      </c>
    </row>
    <row r="7039" ht="15.75" customHeight="1">
      <c r="A7039" s="2">
        <v>2016.0</v>
      </c>
      <c r="B7039" s="2" t="s">
        <v>30046</v>
      </c>
      <c r="C7039" s="2" t="s">
        <v>30047</v>
      </c>
      <c r="D7039" s="2" t="str">
        <f>"503 747-9666"</f>
        <v>503 747-9666</v>
      </c>
      <c r="E7039" s="2" t="s">
        <v>843</v>
      </c>
      <c r="F7039" s="2" t="s">
        <v>3561</v>
      </c>
      <c r="G7039" s="2" t="str">
        <f>"SR-9359"</f>
        <v>SR-9359</v>
      </c>
      <c r="H7039" s="2" t="s">
        <v>30048</v>
      </c>
      <c r="I7039" s="2" t="s">
        <v>30049</v>
      </c>
      <c r="K7039" s="2" t="s">
        <v>1593</v>
      </c>
      <c r="L7039" s="2" t="s">
        <v>422</v>
      </c>
      <c r="M7039" s="2">
        <v>85232.0</v>
      </c>
      <c r="N7039" s="2" t="s">
        <v>21</v>
      </c>
    </row>
    <row r="7040" ht="15.75" customHeight="1">
      <c r="A7040" s="2">
        <v>2016.0</v>
      </c>
      <c r="B7040" s="2" t="s">
        <v>30050</v>
      </c>
      <c r="C7040" s="2" t="s">
        <v>30051</v>
      </c>
      <c r="D7040" s="2" t="str">
        <f>"402-304-7546"</f>
        <v>402-304-7546</v>
      </c>
      <c r="E7040" s="2" t="s">
        <v>30052</v>
      </c>
      <c r="F7040" s="2" t="s">
        <v>30053</v>
      </c>
      <c r="G7040" s="2" t="str">
        <f>"SR-9360"</f>
        <v>SR-9360</v>
      </c>
      <c r="H7040" s="2" t="s">
        <v>30054</v>
      </c>
      <c r="I7040" s="2" t="s">
        <v>30055</v>
      </c>
      <c r="K7040" s="2" t="s">
        <v>572</v>
      </c>
      <c r="L7040" s="2" t="s">
        <v>757</v>
      </c>
      <c r="M7040" s="2">
        <v>68512.0</v>
      </c>
      <c r="N7040" s="2" t="s">
        <v>21</v>
      </c>
    </row>
    <row r="7041" ht="15.75" customHeight="1">
      <c r="A7041" s="2">
        <v>2016.0</v>
      </c>
      <c r="B7041" s="2" t="s">
        <v>30056</v>
      </c>
      <c r="C7041" s="2" t="s">
        <v>30057</v>
      </c>
      <c r="D7041" s="2" t="str">
        <f>"9168127029"</f>
        <v>9168127029</v>
      </c>
      <c r="E7041" s="2" t="s">
        <v>30058</v>
      </c>
      <c r="F7041" s="2" t="s">
        <v>30059</v>
      </c>
      <c r="G7041" s="2" t="str">
        <f>"SR-9362"</f>
        <v>SR-9362</v>
      </c>
      <c r="H7041" s="2" t="s">
        <v>30060</v>
      </c>
      <c r="I7041" s="2" t="s">
        <v>30061</v>
      </c>
      <c r="J7041" s="2" t="s">
        <v>7867</v>
      </c>
      <c r="K7041" s="2" t="s">
        <v>7867</v>
      </c>
      <c r="L7041" s="2" t="s">
        <v>222</v>
      </c>
      <c r="M7041" s="2">
        <v>95747.0</v>
      </c>
      <c r="N7041" s="2" t="s">
        <v>21</v>
      </c>
    </row>
    <row r="7042" ht="15.75" customHeight="1">
      <c r="A7042" s="2">
        <v>2016.0</v>
      </c>
      <c r="B7042" s="2" t="s">
        <v>30062</v>
      </c>
      <c r="C7042" s="2" t="s">
        <v>30063</v>
      </c>
      <c r="D7042" s="2" t="str">
        <f>"850-284-2342"</f>
        <v>850-284-2342</v>
      </c>
      <c r="E7042" s="2" t="s">
        <v>2126</v>
      </c>
      <c r="F7042" s="2" t="s">
        <v>9594</v>
      </c>
      <c r="G7042" s="2" t="str">
        <f>"SR-5229"</f>
        <v>SR-5229</v>
      </c>
      <c r="H7042" s="2" t="s">
        <v>30064</v>
      </c>
      <c r="I7042" s="2" t="s">
        <v>30065</v>
      </c>
      <c r="K7042" s="2" t="s">
        <v>2007</v>
      </c>
      <c r="L7042" s="2" t="s">
        <v>208</v>
      </c>
      <c r="M7042" s="2">
        <v>32309.0</v>
      </c>
      <c r="N7042" s="2" t="s">
        <v>21</v>
      </c>
    </row>
    <row r="7043" ht="15.75" customHeight="1">
      <c r="A7043" s="2">
        <v>2016.0</v>
      </c>
      <c r="B7043" s="2" t="s">
        <v>30066</v>
      </c>
      <c r="C7043" s="2" t="s">
        <v>30066</v>
      </c>
      <c r="D7043" s="2" t="str">
        <f>"4237625197"</f>
        <v>4237625197</v>
      </c>
      <c r="E7043" s="2" t="s">
        <v>718</v>
      </c>
      <c r="F7043" s="2" t="s">
        <v>30067</v>
      </c>
      <c r="G7043" s="2" t="str">
        <f>"SR-9373"</f>
        <v>SR-9373</v>
      </c>
      <c r="H7043" s="2" t="s">
        <v>30068</v>
      </c>
      <c r="I7043" s="2" t="s">
        <v>30069</v>
      </c>
      <c r="K7043" s="2" t="s">
        <v>23449</v>
      </c>
      <c r="L7043" s="2" t="s">
        <v>279</v>
      </c>
      <c r="M7043" s="2">
        <v>37343.0</v>
      </c>
      <c r="N7043" s="2" t="s">
        <v>21</v>
      </c>
    </row>
    <row r="7044" ht="15.75" customHeight="1">
      <c r="A7044" s="2">
        <v>2016.0</v>
      </c>
      <c r="B7044" s="2" t="s">
        <v>30070</v>
      </c>
      <c r="C7044" s="2" t="s">
        <v>30071</v>
      </c>
      <c r="D7044" s="2" t="str">
        <f>"315-256-7363"</f>
        <v>315-256-7363</v>
      </c>
      <c r="E7044" s="2" t="s">
        <v>30072</v>
      </c>
      <c r="F7044" s="2" t="s">
        <v>30073</v>
      </c>
      <c r="G7044" s="2" t="str">
        <f>"SR-9372"</f>
        <v>SR-9372</v>
      </c>
      <c r="H7044" s="2" t="s">
        <v>30074</v>
      </c>
      <c r="I7044" s="2" t="s">
        <v>30075</v>
      </c>
      <c r="K7044" s="2" t="s">
        <v>30076</v>
      </c>
      <c r="L7044" s="2" t="s">
        <v>222</v>
      </c>
      <c r="M7044" s="2">
        <v>90277.0</v>
      </c>
      <c r="N7044" s="2" t="s">
        <v>21</v>
      </c>
    </row>
    <row r="7045" ht="15.75" customHeight="1">
      <c r="A7045" s="2">
        <v>2016.0</v>
      </c>
      <c r="B7045" s="2" t="s">
        <v>30077</v>
      </c>
      <c r="C7045" s="2" t="s">
        <v>30077</v>
      </c>
      <c r="D7045" s="2" t="str">
        <f>"901-3877315"</f>
        <v>901-3877315</v>
      </c>
      <c r="E7045" s="2" t="s">
        <v>1702</v>
      </c>
      <c r="F7045" s="2" t="s">
        <v>30078</v>
      </c>
      <c r="G7045" s="2" t="str">
        <f>"SR-4555"</f>
        <v>SR-4555</v>
      </c>
      <c r="H7045" s="2" t="s">
        <v>30079</v>
      </c>
      <c r="I7045" s="2" t="s">
        <v>30080</v>
      </c>
      <c r="K7045" s="2" t="s">
        <v>882</v>
      </c>
      <c r="L7045" s="2" t="s">
        <v>279</v>
      </c>
      <c r="M7045" s="2">
        <v>38002.0</v>
      </c>
      <c r="N7045" s="2" t="s">
        <v>21</v>
      </c>
    </row>
    <row r="7046" ht="15.75" customHeight="1">
      <c r="A7046" s="2">
        <v>2016.0</v>
      </c>
      <c r="B7046" s="2" t="s">
        <v>30081</v>
      </c>
      <c r="C7046" s="2" t="s">
        <v>30082</v>
      </c>
      <c r="D7046" s="2" t="str">
        <f>"‚Ä≠936-465-2866"</f>
        <v>‚Ä≠936-465-2866</v>
      </c>
      <c r="E7046" s="2" t="s">
        <v>1032</v>
      </c>
      <c r="F7046" s="2" t="s">
        <v>30083</v>
      </c>
      <c r="G7046" s="2" t="str">
        <f>"SR-9379"</f>
        <v>SR-9379</v>
      </c>
      <c r="H7046" s="2" t="s">
        <v>30084</v>
      </c>
      <c r="I7046" s="2" t="s">
        <v>30085</v>
      </c>
      <c r="K7046" s="2" t="s">
        <v>7113</v>
      </c>
      <c r="L7046" s="2" t="s">
        <v>172</v>
      </c>
      <c r="M7046" s="2">
        <v>75904.0</v>
      </c>
      <c r="N7046" s="2" t="s">
        <v>21</v>
      </c>
    </row>
    <row r="7047" ht="15.75" customHeight="1">
      <c r="A7047" s="2">
        <v>2016.0</v>
      </c>
      <c r="B7047" s="2" t="s">
        <v>30086</v>
      </c>
      <c r="C7047" s="2" t="s">
        <v>30086</v>
      </c>
      <c r="D7047" s="2" t="str">
        <f>"5854123580"</f>
        <v>5854123580</v>
      </c>
      <c r="E7047" s="2" t="s">
        <v>6081</v>
      </c>
      <c r="F7047" s="2" t="s">
        <v>30087</v>
      </c>
      <c r="G7047" s="2" t="str">
        <f>"SR-9383"</f>
        <v>SR-9383</v>
      </c>
      <c r="H7047" s="2" t="s">
        <v>30088</v>
      </c>
      <c r="I7047" s="2" t="s">
        <v>30089</v>
      </c>
      <c r="K7047" s="2" t="s">
        <v>12179</v>
      </c>
      <c r="L7047" s="2" t="s">
        <v>142</v>
      </c>
      <c r="M7047" s="2">
        <v>14485.0</v>
      </c>
      <c r="N7047" s="2" t="s">
        <v>21</v>
      </c>
    </row>
    <row r="7048" ht="15.75" customHeight="1">
      <c r="A7048" s="2">
        <v>2016.0</v>
      </c>
      <c r="B7048" s="2" t="s">
        <v>30090</v>
      </c>
      <c r="C7048" s="2" t="s">
        <v>30091</v>
      </c>
      <c r="D7048" s="2" t="str">
        <f t="shared" ref="D7048:D7049" si="119">"330-963-5131"</f>
        <v>330-963-5131</v>
      </c>
      <c r="E7048" s="2" t="s">
        <v>2243</v>
      </c>
      <c r="F7048" s="2" t="s">
        <v>30092</v>
      </c>
      <c r="G7048" s="2" t="str">
        <f>"SR-9344"</f>
        <v>SR-9344</v>
      </c>
      <c r="H7048" s="2" t="s">
        <v>30093</v>
      </c>
      <c r="I7048" s="2" t="s">
        <v>30094</v>
      </c>
      <c r="K7048" s="2" t="s">
        <v>30095</v>
      </c>
      <c r="L7048" s="2" t="s">
        <v>344</v>
      </c>
      <c r="M7048" s="2">
        <v>44087.0</v>
      </c>
      <c r="N7048" s="2" t="s">
        <v>21</v>
      </c>
    </row>
    <row r="7049" ht="15.75" customHeight="1">
      <c r="A7049" s="2">
        <v>2016.0</v>
      </c>
      <c r="B7049" s="2" t="s">
        <v>30090</v>
      </c>
      <c r="C7049" s="2" t="s">
        <v>30096</v>
      </c>
      <c r="D7049" s="2" t="str">
        <f t="shared" si="119"/>
        <v>330-963-5131</v>
      </c>
      <c r="E7049" s="2" t="s">
        <v>1208</v>
      </c>
      <c r="F7049" s="2" t="s">
        <v>30092</v>
      </c>
      <c r="G7049" s="2" t="str">
        <f>"SR-9351"</f>
        <v>SR-9351</v>
      </c>
      <c r="H7049" s="2" t="s">
        <v>30097</v>
      </c>
      <c r="I7049" s="2" t="s">
        <v>30094</v>
      </c>
      <c r="K7049" s="2" t="s">
        <v>30095</v>
      </c>
      <c r="L7049" s="2" t="s">
        <v>344</v>
      </c>
      <c r="M7049" s="2">
        <v>44087.0</v>
      </c>
      <c r="N7049" s="2" t="s">
        <v>21</v>
      </c>
    </row>
    <row r="7050" ht="15.75" customHeight="1">
      <c r="A7050" s="2">
        <v>2016.0</v>
      </c>
      <c r="B7050" s="2" t="s">
        <v>30098</v>
      </c>
      <c r="C7050" s="2" t="s">
        <v>30099</v>
      </c>
      <c r="D7050" s="2" t="str">
        <f>"484-682-2015"</f>
        <v>484-682-2015</v>
      </c>
      <c r="E7050" s="2" t="s">
        <v>30100</v>
      </c>
      <c r="F7050" s="2" t="s">
        <v>30101</v>
      </c>
      <c r="G7050" s="2" t="str">
        <f>"SR-9363"</f>
        <v>SR-9363</v>
      </c>
      <c r="H7050" s="2" t="s">
        <v>30102</v>
      </c>
      <c r="I7050" s="2" t="s">
        <v>30103</v>
      </c>
      <c r="K7050" s="2" t="s">
        <v>30104</v>
      </c>
      <c r="L7050" s="2" t="s">
        <v>179</v>
      </c>
      <c r="M7050" s="2">
        <v>19401.0</v>
      </c>
      <c r="N7050" s="2" t="s">
        <v>21</v>
      </c>
    </row>
    <row r="7051" ht="15.75" customHeight="1">
      <c r="A7051" s="2">
        <v>2016.0</v>
      </c>
      <c r="B7051" s="2" t="s">
        <v>30105</v>
      </c>
      <c r="C7051" s="2" t="s">
        <v>30106</v>
      </c>
      <c r="D7051" s="2" t="str">
        <f>"2252644596"</f>
        <v>2252644596</v>
      </c>
      <c r="E7051" s="2" t="s">
        <v>590</v>
      </c>
      <c r="F7051" s="2" t="s">
        <v>2497</v>
      </c>
      <c r="G7051" s="2" t="str">
        <f>"SR-9361"</f>
        <v>SR-9361</v>
      </c>
      <c r="H7051" s="2" t="s">
        <v>30107</v>
      </c>
      <c r="I7051" s="2" t="s">
        <v>30108</v>
      </c>
      <c r="K7051" s="2" t="s">
        <v>30109</v>
      </c>
      <c r="L7051" s="2" t="s">
        <v>715</v>
      </c>
      <c r="M7051" s="2">
        <v>70071.0</v>
      </c>
      <c r="N7051" s="2" t="s">
        <v>21</v>
      </c>
    </row>
    <row r="7052" ht="15.75" customHeight="1">
      <c r="A7052" s="2">
        <v>2016.0</v>
      </c>
      <c r="B7052" s="2" t="s">
        <v>30110</v>
      </c>
      <c r="C7052" s="2" t="s">
        <v>30110</v>
      </c>
      <c r="D7052" s="2" t="str">
        <f>"6822293193"</f>
        <v>6822293193</v>
      </c>
      <c r="E7052" s="2" t="s">
        <v>3061</v>
      </c>
      <c r="F7052" s="2" t="s">
        <v>1289</v>
      </c>
      <c r="G7052" s="2" t="str">
        <f>"SR-9384"</f>
        <v>SR-9384</v>
      </c>
      <c r="H7052" s="2" t="s">
        <v>30111</v>
      </c>
      <c r="I7052" s="2" t="s">
        <v>30112</v>
      </c>
      <c r="K7052" s="2" t="s">
        <v>2980</v>
      </c>
      <c r="L7052" s="2" t="s">
        <v>172</v>
      </c>
      <c r="M7052" s="2">
        <v>76082.0</v>
      </c>
      <c r="N7052" s="2" t="s">
        <v>21</v>
      </c>
    </row>
    <row r="7053" ht="15.75" customHeight="1">
      <c r="A7053" s="2">
        <v>2016.0</v>
      </c>
      <c r="B7053" s="2" t="s">
        <v>13565</v>
      </c>
      <c r="C7053" s="2" t="s">
        <v>13619</v>
      </c>
      <c r="D7053" s="2" t="str">
        <f>"919 524 2921"</f>
        <v>919 524 2921</v>
      </c>
      <c r="E7053" s="2" t="s">
        <v>13620</v>
      </c>
      <c r="F7053" s="2" t="s">
        <v>645</v>
      </c>
      <c r="G7053" s="2" t="str">
        <f>"SR-2927"</f>
        <v>SR-2927</v>
      </c>
      <c r="H7053" s="2" t="s">
        <v>13621</v>
      </c>
      <c r="I7053" s="2" t="s">
        <v>13622</v>
      </c>
      <c r="K7053" s="2" t="s">
        <v>13623</v>
      </c>
      <c r="L7053" s="2" t="s">
        <v>20</v>
      </c>
      <c r="M7053" s="2">
        <v>27526.0</v>
      </c>
      <c r="N7053" s="2" t="s">
        <v>21</v>
      </c>
    </row>
    <row r="7054" ht="15.75" customHeight="1">
      <c r="A7054" s="2">
        <v>2016.0</v>
      </c>
      <c r="B7054" s="2" t="s">
        <v>30113</v>
      </c>
      <c r="C7054" s="2" t="s">
        <v>30114</v>
      </c>
      <c r="D7054" s="2" t="str">
        <f>"502-345-9716"</f>
        <v>502-345-9716</v>
      </c>
      <c r="E7054" s="2" t="s">
        <v>282</v>
      </c>
      <c r="F7054" s="2" t="s">
        <v>8565</v>
      </c>
      <c r="G7054" s="2" t="str">
        <f>"SR-9364"</f>
        <v>SR-9364</v>
      </c>
      <c r="H7054" s="2" t="s">
        <v>30115</v>
      </c>
      <c r="I7054" s="2" t="s">
        <v>30116</v>
      </c>
      <c r="K7054" s="2" t="s">
        <v>30117</v>
      </c>
      <c r="L7054" s="2" t="s">
        <v>149</v>
      </c>
      <c r="M7054" s="2">
        <v>47130.0</v>
      </c>
      <c r="N7054" s="2" t="s">
        <v>21</v>
      </c>
    </row>
    <row r="7055" ht="15.75" customHeight="1">
      <c r="A7055" s="2">
        <v>2016.0</v>
      </c>
      <c r="B7055" s="2" t="s">
        <v>30118</v>
      </c>
      <c r="C7055" s="2" t="s">
        <v>30119</v>
      </c>
      <c r="D7055" s="2" t="str">
        <f>"7708422629"</f>
        <v>7708422629</v>
      </c>
      <c r="E7055" s="2" t="s">
        <v>678</v>
      </c>
      <c r="F7055" s="2" t="s">
        <v>6532</v>
      </c>
      <c r="G7055" s="2" t="str">
        <f>"SR-9387"</f>
        <v>SR-9387</v>
      </c>
      <c r="H7055" s="2" t="s">
        <v>30120</v>
      </c>
      <c r="I7055" s="2" t="s">
        <v>30121</v>
      </c>
      <c r="K7055" s="2" t="s">
        <v>4988</v>
      </c>
      <c r="L7055" s="2" t="s">
        <v>200</v>
      </c>
      <c r="M7055" s="2">
        <v>30152.0</v>
      </c>
      <c r="N7055" s="2" t="s">
        <v>21</v>
      </c>
    </row>
    <row r="7056" ht="15.75" customHeight="1">
      <c r="A7056" s="2">
        <v>2016.0</v>
      </c>
      <c r="B7056" s="2" t="s">
        <v>30105</v>
      </c>
      <c r="C7056" s="2" t="s">
        <v>30105</v>
      </c>
      <c r="D7056" s="2" t="str">
        <f>"2252584201"</f>
        <v>2252584201</v>
      </c>
      <c r="E7056" s="2" t="s">
        <v>5760</v>
      </c>
      <c r="F7056" s="2" t="s">
        <v>2497</v>
      </c>
      <c r="G7056" s="2" t="str">
        <f>"SR-9382"</f>
        <v>SR-9382</v>
      </c>
      <c r="H7056" s="2" t="s">
        <v>30122</v>
      </c>
      <c r="I7056" s="2" t="s">
        <v>30108</v>
      </c>
      <c r="K7056" s="2" t="s">
        <v>30109</v>
      </c>
      <c r="L7056" s="2" t="s">
        <v>715</v>
      </c>
      <c r="M7056" s="2">
        <v>70071.0</v>
      </c>
      <c r="N7056" s="2" t="s">
        <v>21</v>
      </c>
    </row>
    <row r="7057" ht="15.75" customHeight="1">
      <c r="A7057" s="2">
        <v>2016.0</v>
      </c>
      <c r="B7057" s="2" t="s">
        <v>30123</v>
      </c>
      <c r="C7057" s="2" t="s">
        <v>30123</v>
      </c>
      <c r="D7057" s="2" t="str">
        <f>"423-612-0659"</f>
        <v>423-612-0659</v>
      </c>
      <c r="E7057" s="2" t="s">
        <v>225</v>
      </c>
      <c r="F7057" s="2" t="s">
        <v>8278</v>
      </c>
      <c r="G7057" s="2" t="str">
        <f>"SR-9368"</f>
        <v>SR-9368</v>
      </c>
      <c r="H7057" s="2" t="s">
        <v>30124</v>
      </c>
      <c r="I7057" s="2" t="s">
        <v>30125</v>
      </c>
      <c r="K7057" s="2" t="s">
        <v>5493</v>
      </c>
      <c r="L7057" s="2" t="s">
        <v>279</v>
      </c>
      <c r="M7057" s="2">
        <v>37620.0</v>
      </c>
      <c r="N7057" s="2" t="s">
        <v>21</v>
      </c>
    </row>
    <row r="7058" ht="15.75" customHeight="1">
      <c r="A7058" s="2">
        <v>2016.0</v>
      </c>
      <c r="B7058" s="2" t="s">
        <v>22956</v>
      </c>
      <c r="C7058" s="2" t="s">
        <v>22957</v>
      </c>
      <c r="D7058" s="2" t="str">
        <f>"615-785-6061"</f>
        <v>615-785-6061</v>
      </c>
      <c r="E7058" s="2" t="s">
        <v>373</v>
      </c>
      <c r="F7058" s="2" t="s">
        <v>22958</v>
      </c>
      <c r="G7058" s="2" t="str">
        <f>"SR-7052"</f>
        <v>SR-7052</v>
      </c>
      <c r="H7058" s="2" t="s">
        <v>22959</v>
      </c>
      <c r="I7058" s="2" t="s">
        <v>22960</v>
      </c>
      <c r="K7058" s="2" t="s">
        <v>9868</v>
      </c>
      <c r="L7058" s="2" t="s">
        <v>279</v>
      </c>
      <c r="M7058" s="2">
        <v>37027.0</v>
      </c>
      <c r="N7058" s="2" t="s">
        <v>21</v>
      </c>
    </row>
    <row r="7059" ht="15.75" customHeight="1">
      <c r="A7059" s="2">
        <v>2016.0</v>
      </c>
      <c r="B7059" s="2" t="s">
        <v>30126</v>
      </c>
      <c r="C7059" s="2" t="s">
        <v>30126</v>
      </c>
      <c r="D7059" s="2" t="str">
        <f>"931-685-4803"</f>
        <v>931-685-4803</v>
      </c>
      <c r="E7059" s="2" t="s">
        <v>30127</v>
      </c>
      <c r="F7059" s="2" t="s">
        <v>30128</v>
      </c>
      <c r="G7059" s="2" t="str">
        <f>"SR-9366"</f>
        <v>SR-9366</v>
      </c>
      <c r="H7059" s="2" t="s">
        <v>30129</v>
      </c>
      <c r="I7059" s="2" t="s">
        <v>30130</v>
      </c>
      <c r="K7059" s="2" t="s">
        <v>30131</v>
      </c>
      <c r="L7059" s="2" t="s">
        <v>279</v>
      </c>
      <c r="M7059" s="2">
        <v>37160.0</v>
      </c>
      <c r="N7059" s="2" t="s">
        <v>21</v>
      </c>
    </row>
    <row r="7060" ht="15.75" customHeight="1">
      <c r="A7060" s="2">
        <v>2016.0</v>
      </c>
      <c r="B7060" s="2" t="s">
        <v>30132</v>
      </c>
      <c r="C7060" s="2" t="s">
        <v>30133</v>
      </c>
      <c r="D7060" s="2" t="str">
        <f>"608 604-5018"</f>
        <v>608 604-5018</v>
      </c>
      <c r="E7060" s="2" t="s">
        <v>485</v>
      </c>
      <c r="F7060" s="2" t="s">
        <v>21824</v>
      </c>
      <c r="G7060" s="2" t="str">
        <f>"SR-9393"</f>
        <v>SR-9393</v>
      </c>
      <c r="H7060" s="2" t="s">
        <v>30134</v>
      </c>
      <c r="I7060" s="2" t="s">
        <v>30135</v>
      </c>
      <c r="J7060" s="2" t="s">
        <v>30136</v>
      </c>
      <c r="K7060" s="2" t="s">
        <v>30137</v>
      </c>
      <c r="L7060" s="2" t="s">
        <v>193</v>
      </c>
      <c r="M7060" s="2">
        <v>53540.0</v>
      </c>
      <c r="N7060" s="2" t="s">
        <v>21</v>
      </c>
    </row>
    <row r="7061" ht="15.75" customHeight="1">
      <c r="A7061" s="2">
        <v>2016.0</v>
      </c>
      <c r="B7061" s="2" t="s">
        <v>30138</v>
      </c>
      <c r="C7061" s="2" t="s">
        <v>30138</v>
      </c>
      <c r="D7061" s="2" t="str">
        <f>"9375159149"</f>
        <v>9375159149</v>
      </c>
      <c r="E7061" s="2" t="s">
        <v>456</v>
      </c>
      <c r="F7061" s="2" t="s">
        <v>6869</v>
      </c>
      <c r="G7061" s="2" t="str">
        <f>"SR-9391"</f>
        <v>SR-9391</v>
      </c>
      <c r="H7061" s="2" t="s">
        <v>30139</v>
      </c>
      <c r="I7061" s="2" t="s">
        <v>30140</v>
      </c>
      <c r="K7061" s="2" t="s">
        <v>20965</v>
      </c>
      <c r="L7061" s="2" t="s">
        <v>344</v>
      </c>
      <c r="M7061" s="2">
        <v>45168.0</v>
      </c>
      <c r="N7061" s="2" t="s">
        <v>21</v>
      </c>
    </row>
    <row r="7062" ht="15.75" customHeight="1">
      <c r="A7062" s="2">
        <v>2016.0</v>
      </c>
      <c r="B7062" s="2" t="s">
        <v>30141</v>
      </c>
      <c r="C7062" s="2" t="s">
        <v>30142</v>
      </c>
      <c r="D7062" s="2" t="str">
        <f>"763-291-9102"</f>
        <v>763-291-9102</v>
      </c>
      <c r="E7062" s="2" t="s">
        <v>1015</v>
      </c>
      <c r="F7062" s="2" t="s">
        <v>30143</v>
      </c>
      <c r="G7062" s="2" t="str">
        <f>"SR-9392"</f>
        <v>SR-9392</v>
      </c>
      <c r="H7062" s="2" t="s">
        <v>30144</v>
      </c>
      <c r="I7062" s="2" t="s">
        <v>30145</v>
      </c>
      <c r="K7062" s="2" t="s">
        <v>30146</v>
      </c>
      <c r="L7062" s="2" t="s">
        <v>62</v>
      </c>
      <c r="M7062" s="2">
        <v>55304.0</v>
      </c>
      <c r="N7062" s="2" t="s">
        <v>21</v>
      </c>
    </row>
    <row r="7063" ht="15.75" customHeight="1">
      <c r="A7063" s="2">
        <v>2016.0</v>
      </c>
      <c r="B7063" s="2" t="s">
        <v>13565</v>
      </c>
      <c r="C7063" s="2" t="s">
        <v>13566</v>
      </c>
      <c r="D7063" s="2" t="str">
        <f>"919 524-2921"</f>
        <v>919 524-2921</v>
      </c>
      <c r="E7063" s="2" t="s">
        <v>2841</v>
      </c>
      <c r="F7063" s="2" t="s">
        <v>645</v>
      </c>
      <c r="G7063" s="2" t="str">
        <f>"SR-2926"</f>
        <v>SR-2926</v>
      </c>
      <c r="H7063" s="2" t="s">
        <v>13567</v>
      </c>
      <c r="I7063" s="2" t="s">
        <v>13568</v>
      </c>
      <c r="K7063" s="2" t="s">
        <v>13569</v>
      </c>
      <c r="L7063" s="2" t="s">
        <v>20</v>
      </c>
      <c r="M7063" s="2">
        <v>27526.0</v>
      </c>
      <c r="N7063" s="2" t="s">
        <v>21</v>
      </c>
    </row>
    <row r="7064" ht="15.75" customHeight="1">
      <c r="A7064" s="2">
        <v>2016.0</v>
      </c>
      <c r="B7064" s="2" t="s">
        <v>30147</v>
      </c>
      <c r="C7064" s="2" t="s">
        <v>30148</v>
      </c>
      <c r="D7064" s="2" t="str">
        <f>"814-880-2228"</f>
        <v>814-880-2228</v>
      </c>
      <c r="E7064" s="2" t="s">
        <v>447</v>
      </c>
      <c r="F7064" s="2" t="s">
        <v>30149</v>
      </c>
      <c r="G7064" s="2" t="str">
        <f>"SR-9397"</f>
        <v>SR-9397</v>
      </c>
      <c r="H7064" s="2" t="s">
        <v>30150</v>
      </c>
      <c r="I7064" s="2" t="s">
        <v>30151</v>
      </c>
      <c r="K7064" s="2" t="s">
        <v>30152</v>
      </c>
      <c r="L7064" s="2" t="s">
        <v>179</v>
      </c>
      <c r="M7064" s="2">
        <v>16801.0</v>
      </c>
      <c r="N7064" s="2" t="s">
        <v>21</v>
      </c>
    </row>
    <row r="7065" ht="15.75" customHeight="1">
      <c r="A7065" s="2">
        <v>2016.0</v>
      </c>
      <c r="B7065" s="2" t="s">
        <v>30153</v>
      </c>
      <c r="C7065" s="2" t="s">
        <v>30154</v>
      </c>
      <c r="D7065" s="2" t="str">
        <f>"719-661-0368646-1198"</f>
        <v>719-661-0368646-1198</v>
      </c>
      <c r="E7065" s="2" t="s">
        <v>386</v>
      </c>
      <c r="F7065" s="2" t="s">
        <v>1612</v>
      </c>
      <c r="G7065" s="2" t="str">
        <f>"SR-6898"</f>
        <v>SR-6898</v>
      </c>
      <c r="H7065" s="2" t="s">
        <v>30155</v>
      </c>
      <c r="I7065" s="2" t="s">
        <v>30156</v>
      </c>
      <c r="K7065" s="2" t="s">
        <v>809</v>
      </c>
      <c r="L7065" s="2" t="s">
        <v>157</v>
      </c>
      <c r="M7065" s="2">
        <v>80921.0</v>
      </c>
      <c r="N7065" s="2" t="s">
        <v>21</v>
      </c>
    </row>
    <row r="7066" ht="15.75" customHeight="1">
      <c r="A7066" s="2">
        <v>2016.0</v>
      </c>
      <c r="B7066" s="2" t="s">
        <v>30157</v>
      </c>
      <c r="C7066" s="2" t="s">
        <v>30158</v>
      </c>
      <c r="D7066" s="2" t="str">
        <f>"2147091521"</f>
        <v>2147091521</v>
      </c>
      <c r="E7066" s="2" t="s">
        <v>9197</v>
      </c>
      <c r="F7066" s="2" t="s">
        <v>30159</v>
      </c>
      <c r="G7066" s="2" t="str">
        <f>"SR-9390"</f>
        <v>SR-9390</v>
      </c>
      <c r="H7066" s="2" t="s">
        <v>30160</v>
      </c>
      <c r="I7066" s="2" t="s">
        <v>30161</v>
      </c>
      <c r="K7066" s="2" t="s">
        <v>1255</v>
      </c>
      <c r="L7066" s="2" t="s">
        <v>172</v>
      </c>
      <c r="M7066" s="2">
        <v>75287.0</v>
      </c>
      <c r="N7066" s="2" t="s">
        <v>21</v>
      </c>
    </row>
    <row r="7067" ht="15.75" customHeight="1">
      <c r="A7067" s="2">
        <v>2016.0</v>
      </c>
      <c r="B7067" s="2" t="s">
        <v>22991</v>
      </c>
      <c r="C7067" s="2" t="s">
        <v>22991</v>
      </c>
      <c r="D7067" s="2" t="str">
        <f>"2488602667"</f>
        <v>2488602667</v>
      </c>
      <c r="E7067" s="2" t="s">
        <v>2361</v>
      </c>
      <c r="F7067" s="2" t="s">
        <v>17530</v>
      </c>
      <c r="G7067" s="2" t="str">
        <f>"SR-7023"</f>
        <v>SR-7023</v>
      </c>
      <c r="H7067" s="2" t="s">
        <v>22992</v>
      </c>
      <c r="I7067" s="2" t="s">
        <v>22993</v>
      </c>
      <c r="K7067" s="2" t="s">
        <v>22994</v>
      </c>
      <c r="L7067" s="2" t="s">
        <v>29</v>
      </c>
      <c r="M7067" s="2">
        <v>48462.0</v>
      </c>
      <c r="N7067" s="2" t="s">
        <v>21</v>
      </c>
    </row>
    <row r="7068" ht="15.75" customHeight="1">
      <c r="A7068" s="2">
        <v>2016.0</v>
      </c>
      <c r="B7068" s="2" t="s">
        <v>30162</v>
      </c>
      <c r="C7068" s="2" t="s">
        <v>30163</v>
      </c>
      <c r="D7068" s="2" t="str">
        <f>"8173045902"</f>
        <v>8173045902</v>
      </c>
      <c r="E7068" s="2" t="s">
        <v>3037</v>
      </c>
      <c r="F7068" s="2" t="s">
        <v>30164</v>
      </c>
      <c r="G7068" s="2" t="str">
        <f>"SR-9401"</f>
        <v>SR-9401</v>
      </c>
      <c r="H7068" s="2" t="s">
        <v>30165</v>
      </c>
      <c r="I7068" s="2" t="s">
        <v>30166</v>
      </c>
      <c r="K7068" s="2" t="s">
        <v>8437</v>
      </c>
      <c r="L7068" s="2" t="s">
        <v>172</v>
      </c>
      <c r="M7068" s="2">
        <v>76073.0</v>
      </c>
      <c r="N7068" s="2" t="s">
        <v>21</v>
      </c>
    </row>
    <row r="7069" ht="15.75" customHeight="1">
      <c r="A7069" s="2">
        <v>2016.0</v>
      </c>
      <c r="B7069" s="2" t="s">
        <v>30167</v>
      </c>
      <c r="C7069" s="2" t="s">
        <v>30168</v>
      </c>
      <c r="D7069" s="2" t="str">
        <f>"253.365.5427"</f>
        <v>253.365.5427</v>
      </c>
      <c r="E7069" s="2" t="s">
        <v>30169</v>
      </c>
      <c r="F7069" s="2" t="s">
        <v>30170</v>
      </c>
      <c r="G7069" s="2" t="str">
        <f>"SR-9398"</f>
        <v>SR-9398</v>
      </c>
      <c r="H7069" s="2" t="s">
        <v>30171</v>
      </c>
      <c r="I7069" s="2" t="s">
        <v>30172</v>
      </c>
      <c r="K7069" s="2" t="s">
        <v>10252</v>
      </c>
      <c r="L7069" s="2" t="s">
        <v>86</v>
      </c>
      <c r="M7069" s="2">
        <v>98373.0</v>
      </c>
      <c r="N7069" s="2" t="s">
        <v>21</v>
      </c>
    </row>
    <row r="7070" ht="15.75" customHeight="1">
      <c r="A7070" s="2">
        <v>2016.0</v>
      </c>
      <c r="B7070" s="2" t="s">
        <v>30173</v>
      </c>
      <c r="C7070" s="2" t="s">
        <v>30174</v>
      </c>
      <c r="D7070" s="2" t="str">
        <f>"8053455034"</f>
        <v>8053455034</v>
      </c>
      <c r="E7070" s="2" t="s">
        <v>2598</v>
      </c>
      <c r="F7070" s="2" t="s">
        <v>30175</v>
      </c>
      <c r="G7070" s="2" t="str">
        <f>"SR-8198"</f>
        <v>SR-8198</v>
      </c>
      <c r="H7070" s="2" t="s">
        <v>30176</v>
      </c>
      <c r="I7070" s="2" t="s">
        <v>30177</v>
      </c>
      <c r="J7070" s="2" t="s">
        <v>30178</v>
      </c>
      <c r="K7070" s="2" t="s">
        <v>30179</v>
      </c>
      <c r="L7070" s="2" t="s">
        <v>222</v>
      </c>
      <c r="M7070" s="2">
        <v>93463.0</v>
      </c>
      <c r="N7070" s="2" t="s">
        <v>21</v>
      </c>
    </row>
    <row r="7071" ht="15.75" customHeight="1">
      <c r="A7071" s="2">
        <v>2016.0</v>
      </c>
      <c r="B7071" s="2" t="s">
        <v>30180</v>
      </c>
      <c r="C7071" s="2" t="s">
        <v>30181</v>
      </c>
      <c r="D7071" s="2" t="str">
        <f>"940-231-9890"</f>
        <v>940-231-9890</v>
      </c>
      <c r="E7071" s="2" t="s">
        <v>1156</v>
      </c>
      <c r="F7071" s="2" t="s">
        <v>3144</v>
      </c>
      <c r="G7071" s="2" t="str">
        <f>"SR-9418"</f>
        <v>SR-9418</v>
      </c>
      <c r="H7071" s="2" t="s">
        <v>30182</v>
      </c>
      <c r="I7071" s="2" t="s">
        <v>30183</v>
      </c>
      <c r="K7071" s="2" t="s">
        <v>6539</v>
      </c>
      <c r="L7071" s="2" t="s">
        <v>172</v>
      </c>
      <c r="M7071" s="2">
        <v>76201.0</v>
      </c>
      <c r="N7071" s="2" t="s">
        <v>21</v>
      </c>
    </row>
    <row r="7072" ht="15.75" customHeight="1">
      <c r="A7072" s="2">
        <v>2016.0</v>
      </c>
      <c r="B7072" s="2" t="s">
        <v>30184</v>
      </c>
      <c r="C7072" s="2" t="s">
        <v>30185</v>
      </c>
      <c r="D7072" s="2" t="str">
        <f>"9034230401"</f>
        <v>9034230401</v>
      </c>
      <c r="E7072" s="2" t="s">
        <v>339</v>
      </c>
      <c r="F7072" s="2" t="s">
        <v>28692</v>
      </c>
      <c r="G7072" s="2" t="str">
        <f>"SR-9426"</f>
        <v>SR-9426</v>
      </c>
      <c r="H7072" s="2" t="s">
        <v>30186</v>
      </c>
      <c r="I7072" s="2" t="s">
        <v>30187</v>
      </c>
      <c r="K7072" s="2" t="s">
        <v>54</v>
      </c>
      <c r="L7072" s="2" t="s">
        <v>172</v>
      </c>
      <c r="M7072" s="2">
        <v>75402.0</v>
      </c>
      <c r="N7072" s="2" t="s">
        <v>21</v>
      </c>
    </row>
    <row r="7073" ht="15.75" customHeight="1">
      <c r="A7073" s="2">
        <v>2016.0</v>
      </c>
      <c r="B7073" s="2" t="s">
        <v>30188</v>
      </c>
      <c r="C7073" s="2" t="s">
        <v>30189</v>
      </c>
      <c r="D7073" s="2" t="str">
        <f>"7346250013"</f>
        <v>7346250013</v>
      </c>
      <c r="E7073" s="2" t="s">
        <v>1263</v>
      </c>
      <c r="F7073" s="2" t="s">
        <v>5326</v>
      </c>
      <c r="G7073" s="2" t="str">
        <f>"SR-9423"</f>
        <v>SR-9423</v>
      </c>
      <c r="H7073" s="2" t="s">
        <v>30190</v>
      </c>
      <c r="I7073" s="2" t="s">
        <v>19968</v>
      </c>
      <c r="K7073" s="2" t="s">
        <v>3707</v>
      </c>
      <c r="L7073" s="2" t="s">
        <v>29</v>
      </c>
      <c r="M7073" s="2">
        <v>48117.0</v>
      </c>
      <c r="N7073" s="2" t="s">
        <v>21</v>
      </c>
    </row>
    <row r="7074" ht="15.75" customHeight="1">
      <c r="A7074" s="2">
        <v>2016.0</v>
      </c>
      <c r="B7074" s="2" t="s">
        <v>30191</v>
      </c>
      <c r="C7074" s="2" t="s">
        <v>30191</v>
      </c>
      <c r="D7074" s="2" t="str">
        <f>"214-505-7798"</f>
        <v>214-505-7798</v>
      </c>
      <c r="E7074" s="2" t="s">
        <v>9010</v>
      </c>
      <c r="F7074" s="2" t="s">
        <v>30192</v>
      </c>
      <c r="G7074" s="2" t="str">
        <f>"SR-9413"</f>
        <v>SR-9413</v>
      </c>
      <c r="H7074" s="2" t="s">
        <v>30193</v>
      </c>
      <c r="I7074" s="2" t="s">
        <v>30194</v>
      </c>
      <c r="K7074" s="2" t="s">
        <v>3273</v>
      </c>
      <c r="L7074" s="2" t="s">
        <v>560</v>
      </c>
      <c r="M7074" s="2">
        <v>52402.0</v>
      </c>
      <c r="N7074" s="2" t="s">
        <v>21</v>
      </c>
    </row>
    <row r="7075" ht="15.75" customHeight="1">
      <c r="A7075" s="2">
        <v>2016.0</v>
      </c>
      <c r="B7075" s="2" t="s">
        <v>30195</v>
      </c>
      <c r="C7075" s="2" t="s">
        <v>30195</v>
      </c>
      <c r="D7075" s="2" t="str">
        <f>"403-730-7658"</f>
        <v>403-730-7658</v>
      </c>
      <c r="E7075" s="2" t="s">
        <v>862</v>
      </c>
      <c r="F7075" s="2" t="s">
        <v>18820</v>
      </c>
      <c r="G7075" s="2" t="str">
        <f>"SR-9415"</f>
        <v>SR-9415</v>
      </c>
      <c r="H7075" s="2" t="s">
        <v>30196</v>
      </c>
      <c r="I7075" s="2" t="s">
        <v>30197</v>
      </c>
      <c r="K7075" s="2" t="s">
        <v>6725</v>
      </c>
      <c r="L7075" s="2" t="s">
        <v>2397</v>
      </c>
      <c r="M7075" s="2" t="s">
        <v>30198</v>
      </c>
      <c r="N7075" s="2" t="s">
        <v>1602</v>
      </c>
    </row>
    <row r="7076" ht="15.75" customHeight="1">
      <c r="A7076" s="2">
        <v>2016.0</v>
      </c>
      <c r="B7076" s="2" t="s">
        <v>30199</v>
      </c>
      <c r="C7076" s="2" t="s">
        <v>30200</v>
      </c>
      <c r="D7076" s="2" t="str">
        <f>"8656076507"</f>
        <v>8656076507</v>
      </c>
      <c r="E7076" s="2" t="s">
        <v>261</v>
      </c>
      <c r="F7076" s="2" t="s">
        <v>30201</v>
      </c>
      <c r="G7076" s="2" t="str">
        <f>"SR-9428"</f>
        <v>SR-9428</v>
      </c>
      <c r="H7076" s="2" t="s">
        <v>30202</v>
      </c>
      <c r="I7076" s="2">
        <v>7113.0</v>
      </c>
      <c r="K7076" s="2" t="s">
        <v>6168</v>
      </c>
      <c r="L7076" s="2" t="s">
        <v>279</v>
      </c>
      <c r="M7076" s="2">
        <v>37931.0</v>
      </c>
      <c r="N7076" s="2" t="s">
        <v>21</v>
      </c>
    </row>
    <row r="7077" ht="15.75" customHeight="1">
      <c r="A7077" s="2">
        <v>2016.0</v>
      </c>
      <c r="B7077" s="2" t="s">
        <v>30203</v>
      </c>
      <c r="C7077" s="2" t="s">
        <v>30204</v>
      </c>
      <c r="D7077" s="2" t="str">
        <f>"330-827-4047"</f>
        <v>330-827-4047</v>
      </c>
      <c r="E7077" s="2" t="s">
        <v>137</v>
      </c>
      <c r="F7077" s="2" t="s">
        <v>30205</v>
      </c>
      <c r="G7077" s="2" t="str">
        <f>"SR-9406"</f>
        <v>SR-9406</v>
      </c>
      <c r="H7077" s="2" t="s">
        <v>30206</v>
      </c>
      <c r="I7077" s="2" t="s">
        <v>30207</v>
      </c>
      <c r="K7077" s="2" t="s">
        <v>1984</v>
      </c>
      <c r="L7077" s="2" t="s">
        <v>279</v>
      </c>
      <c r="M7077" s="2">
        <v>37310.0</v>
      </c>
      <c r="N7077" s="2" t="s">
        <v>21</v>
      </c>
    </row>
    <row r="7078" ht="15.75" customHeight="1">
      <c r="A7078" s="2">
        <v>2016.0</v>
      </c>
      <c r="B7078" s="2" t="s">
        <v>29306</v>
      </c>
      <c r="C7078" s="2" t="s">
        <v>29306</v>
      </c>
      <c r="D7078" s="2" t="str">
        <f>"317-657-5519"</f>
        <v>317-657-5519</v>
      </c>
      <c r="E7078" s="2" t="s">
        <v>30208</v>
      </c>
      <c r="F7078" s="2" t="s">
        <v>19130</v>
      </c>
      <c r="G7078" s="2" t="str">
        <f>"SR-9136"</f>
        <v>SR-9136</v>
      </c>
      <c r="H7078" s="2" t="s">
        <v>30209</v>
      </c>
      <c r="I7078" s="2" t="s">
        <v>30210</v>
      </c>
      <c r="K7078" s="2" t="s">
        <v>2660</v>
      </c>
      <c r="L7078" s="2" t="s">
        <v>149</v>
      </c>
      <c r="M7078" s="2">
        <v>46037.0</v>
      </c>
      <c r="N7078" s="2" t="s">
        <v>21</v>
      </c>
    </row>
    <row r="7079" ht="15.75" customHeight="1">
      <c r="A7079" s="2">
        <v>2016.0</v>
      </c>
      <c r="B7079" s="2" t="s">
        <v>30211</v>
      </c>
      <c r="C7079" s="2" t="s">
        <v>30211</v>
      </c>
      <c r="D7079" s="2" t="str">
        <f>"7405411696"</f>
        <v>7405411696</v>
      </c>
      <c r="E7079" s="2" t="s">
        <v>1767</v>
      </c>
      <c r="F7079" s="2" t="s">
        <v>825</v>
      </c>
      <c r="G7079" s="2" t="str">
        <f>"SR-9411"</f>
        <v>SR-9411</v>
      </c>
      <c r="H7079" s="2" t="s">
        <v>30212</v>
      </c>
      <c r="I7079" s="2" t="s">
        <v>30213</v>
      </c>
      <c r="K7079" s="2" t="s">
        <v>7670</v>
      </c>
      <c r="L7079" s="2" t="s">
        <v>344</v>
      </c>
      <c r="M7079" s="2">
        <v>45710.0</v>
      </c>
      <c r="N7079" s="2" t="s">
        <v>21</v>
      </c>
    </row>
    <row r="7080" ht="15.75" customHeight="1">
      <c r="A7080" s="2">
        <v>2016.0</v>
      </c>
      <c r="B7080" s="2" t="s">
        <v>30214</v>
      </c>
      <c r="C7080" s="2" t="s">
        <v>30214</v>
      </c>
      <c r="D7080" s="2" t="str">
        <f>"6829369425"</f>
        <v>6829369425</v>
      </c>
      <c r="E7080" s="2" t="s">
        <v>167</v>
      </c>
      <c r="F7080" s="2" t="s">
        <v>30215</v>
      </c>
      <c r="G7080" s="2" t="str">
        <f>"SR-9067"</f>
        <v>SR-9067</v>
      </c>
      <c r="H7080" s="2" t="s">
        <v>30216</v>
      </c>
      <c r="I7080" s="2" t="s">
        <v>30217</v>
      </c>
      <c r="K7080" s="2" t="s">
        <v>2046</v>
      </c>
      <c r="L7080" s="2" t="s">
        <v>172</v>
      </c>
      <c r="M7080" s="2">
        <v>76049.0</v>
      </c>
      <c r="N7080" s="2" t="s">
        <v>21</v>
      </c>
    </row>
    <row r="7081" ht="15.75" customHeight="1">
      <c r="A7081" s="2">
        <v>2016.0</v>
      </c>
      <c r="B7081" s="2" t="s">
        <v>30218</v>
      </c>
      <c r="C7081" s="2" t="s">
        <v>30219</v>
      </c>
      <c r="D7081" s="2" t="str">
        <f>"808 446-6550"</f>
        <v>808 446-6550</v>
      </c>
      <c r="E7081" s="2" t="s">
        <v>428</v>
      </c>
      <c r="F7081" s="2" t="s">
        <v>13872</v>
      </c>
      <c r="G7081" s="2" t="str">
        <f>"SR-9433"</f>
        <v>SR-9433</v>
      </c>
      <c r="H7081" s="2" t="s">
        <v>30220</v>
      </c>
      <c r="I7081" s="2" t="s">
        <v>30221</v>
      </c>
      <c r="K7081" s="2" t="s">
        <v>465</v>
      </c>
      <c r="L7081" s="2" t="s">
        <v>172</v>
      </c>
      <c r="M7081" s="2">
        <v>75707.0</v>
      </c>
      <c r="N7081" s="2" t="s">
        <v>21</v>
      </c>
    </row>
    <row r="7082" ht="15.75" customHeight="1">
      <c r="A7082" s="2">
        <v>2016.0</v>
      </c>
      <c r="B7082" s="2" t="s">
        <v>30222</v>
      </c>
      <c r="C7082" s="2" t="s">
        <v>30223</v>
      </c>
      <c r="D7082" s="2" t="str">
        <f>"262-949-7764"</f>
        <v>262-949-7764</v>
      </c>
      <c r="E7082" s="2" t="s">
        <v>2361</v>
      </c>
      <c r="F7082" s="2" t="s">
        <v>30224</v>
      </c>
      <c r="G7082" s="2" t="str">
        <f>"SR-9417"</f>
        <v>SR-9417</v>
      </c>
      <c r="H7082" s="2" t="s">
        <v>30225</v>
      </c>
      <c r="I7082" s="2" t="s">
        <v>30226</v>
      </c>
      <c r="K7082" s="2" t="s">
        <v>9635</v>
      </c>
      <c r="L7082" s="2" t="s">
        <v>193</v>
      </c>
      <c r="M7082" s="2">
        <v>53121.0</v>
      </c>
      <c r="N7082" s="2" t="s">
        <v>21</v>
      </c>
    </row>
    <row r="7083" ht="15.75" customHeight="1">
      <c r="A7083" s="2">
        <v>2016.0</v>
      </c>
      <c r="B7083" s="2" t="s">
        <v>30227</v>
      </c>
      <c r="C7083" s="2" t="s">
        <v>30228</v>
      </c>
      <c r="D7083" s="2" t="str">
        <f>"615-754-6389"</f>
        <v>615-754-6389</v>
      </c>
      <c r="E7083" s="2" t="s">
        <v>19160</v>
      </c>
      <c r="F7083" s="2" t="s">
        <v>30229</v>
      </c>
      <c r="G7083" s="2" t="str">
        <f>"SR-9436"</f>
        <v>SR-9436</v>
      </c>
      <c r="H7083" s="2" t="s">
        <v>30230</v>
      </c>
      <c r="I7083" s="2" t="s">
        <v>30231</v>
      </c>
      <c r="K7083" s="2" t="s">
        <v>11803</v>
      </c>
      <c r="L7083" s="2" t="s">
        <v>279</v>
      </c>
      <c r="M7083" s="2">
        <v>37122.0</v>
      </c>
      <c r="N7083" s="2" t="s">
        <v>21</v>
      </c>
    </row>
    <row r="7084" ht="15.75" customHeight="1">
      <c r="A7084" s="2">
        <v>2016.0</v>
      </c>
      <c r="B7084" s="2" t="s">
        <v>30232</v>
      </c>
      <c r="C7084" s="2" t="s">
        <v>30233</v>
      </c>
      <c r="D7084" s="2" t="str">
        <f>"(303) 918-5662"</f>
        <v>(303) 918-5662</v>
      </c>
      <c r="E7084" s="2" t="s">
        <v>6059</v>
      </c>
      <c r="F7084" s="2" t="s">
        <v>12973</v>
      </c>
      <c r="G7084" s="2" t="str">
        <f>"SR-6953"</f>
        <v>SR-6953</v>
      </c>
      <c r="H7084" s="2" t="s">
        <v>30234</v>
      </c>
      <c r="I7084" s="2" t="s">
        <v>30235</v>
      </c>
      <c r="K7084" s="2" t="s">
        <v>1889</v>
      </c>
      <c r="L7084" s="2" t="s">
        <v>157</v>
      </c>
      <c r="M7084" s="2">
        <v>80123.0</v>
      </c>
      <c r="N7084" s="2" t="s">
        <v>21</v>
      </c>
    </row>
    <row r="7085" ht="15.75" customHeight="1">
      <c r="A7085" s="2">
        <v>2016.0</v>
      </c>
      <c r="B7085" s="2" t="s">
        <v>30236</v>
      </c>
      <c r="C7085" s="2" t="s">
        <v>30237</v>
      </c>
      <c r="D7085" s="2" t="str">
        <f>"5596966404"</f>
        <v>5596966404</v>
      </c>
      <c r="E7085" s="2" t="s">
        <v>2412</v>
      </c>
      <c r="F7085" s="2" t="s">
        <v>30238</v>
      </c>
      <c r="G7085" s="2" t="str">
        <f>"SR-9439"</f>
        <v>SR-9439</v>
      </c>
      <c r="H7085" s="2" t="s">
        <v>30239</v>
      </c>
      <c r="I7085" s="2" t="s">
        <v>30240</v>
      </c>
      <c r="K7085" s="2" t="s">
        <v>3954</v>
      </c>
      <c r="L7085" s="2" t="s">
        <v>222</v>
      </c>
      <c r="M7085" s="2">
        <v>93657.0</v>
      </c>
      <c r="N7085" s="2" t="s">
        <v>21</v>
      </c>
    </row>
    <row r="7086" ht="15.75" customHeight="1">
      <c r="A7086" s="2">
        <v>2016.0</v>
      </c>
      <c r="B7086" s="2" t="s">
        <v>30241</v>
      </c>
      <c r="C7086" s="2" t="s">
        <v>30241</v>
      </c>
      <c r="D7086" s="2" t="str">
        <f>"816-830-9897"</f>
        <v>816-830-9897</v>
      </c>
      <c r="E7086" s="2" t="s">
        <v>385</v>
      </c>
      <c r="F7086" s="2" t="s">
        <v>30242</v>
      </c>
      <c r="G7086" s="2" t="str">
        <f>"SR-9442"</f>
        <v>SR-9442</v>
      </c>
      <c r="H7086" s="2" t="s">
        <v>30243</v>
      </c>
      <c r="I7086" s="2" t="s">
        <v>30244</v>
      </c>
      <c r="K7086" s="2" t="s">
        <v>30245</v>
      </c>
      <c r="L7086" s="2" t="s">
        <v>214</v>
      </c>
      <c r="M7086" s="2">
        <v>64063.0</v>
      </c>
      <c r="N7086" s="2" t="s">
        <v>21</v>
      </c>
    </row>
    <row r="7087" ht="15.75" customHeight="1">
      <c r="A7087" s="2">
        <v>2016.0</v>
      </c>
      <c r="B7087" s="2" t="s">
        <v>30246</v>
      </c>
      <c r="C7087" s="2" t="s">
        <v>30247</v>
      </c>
      <c r="D7087" s="2" t="str">
        <f>"260-615-6675"</f>
        <v>260-615-6675</v>
      </c>
      <c r="E7087" s="2" t="s">
        <v>256</v>
      </c>
      <c r="F7087" s="2" t="s">
        <v>21030</v>
      </c>
      <c r="G7087" s="2" t="str">
        <f>"SR-9425"</f>
        <v>SR-9425</v>
      </c>
      <c r="H7087" s="2" t="s">
        <v>30248</v>
      </c>
      <c r="I7087" s="2" t="s">
        <v>30249</v>
      </c>
      <c r="K7087" s="2" t="s">
        <v>30146</v>
      </c>
      <c r="L7087" s="2" t="s">
        <v>62</v>
      </c>
      <c r="M7087" s="2">
        <v>55304.0</v>
      </c>
      <c r="N7087" s="2" t="s">
        <v>21</v>
      </c>
    </row>
    <row r="7088" ht="15.75" customHeight="1">
      <c r="A7088" s="2">
        <v>2016.0</v>
      </c>
      <c r="B7088" s="2" t="s">
        <v>30250</v>
      </c>
      <c r="C7088" s="2" t="s">
        <v>30251</v>
      </c>
      <c r="D7088" s="2" t="str">
        <f>"931 307 5371"</f>
        <v>931 307 5371</v>
      </c>
      <c r="E7088" s="2" t="s">
        <v>4322</v>
      </c>
      <c r="F7088" s="2" t="s">
        <v>30252</v>
      </c>
      <c r="G7088" s="2" t="str">
        <f>"SR-9441"</f>
        <v>SR-9441</v>
      </c>
      <c r="H7088" s="2" t="s">
        <v>30253</v>
      </c>
      <c r="I7088" s="2" t="s">
        <v>30254</v>
      </c>
      <c r="K7088" s="2" t="s">
        <v>30255</v>
      </c>
      <c r="L7088" s="2" t="s">
        <v>279</v>
      </c>
      <c r="M7088" s="2">
        <v>37348.0</v>
      </c>
      <c r="N7088" s="2" t="s">
        <v>21</v>
      </c>
    </row>
    <row r="7089" ht="15.75" customHeight="1">
      <c r="A7089" s="2">
        <v>2016.0</v>
      </c>
      <c r="B7089" s="2" t="s">
        <v>30256</v>
      </c>
      <c r="C7089" s="2" t="s">
        <v>30256</v>
      </c>
      <c r="D7089" s="2" t="str">
        <f>"918-812-9753"</f>
        <v>918-812-9753</v>
      </c>
      <c r="E7089" s="2" t="s">
        <v>167</v>
      </c>
      <c r="F7089" s="2" t="s">
        <v>13200</v>
      </c>
      <c r="G7089" s="2" t="str">
        <f>"SR-9444"</f>
        <v>SR-9444</v>
      </c>
      <c r="H7089" s="2" t="s">
        <v>30257</v>
      </c>
      <c r="I7089" s="2" t="s">
        <v>30258</v>
      </c>
      <c r="K7089" s="2" t="s">
        <v>2471</v>
      </c>
      <c r="L7089" s="2" t="s">
        <v>840</v>
      </c>
      <c r="M7089" s="2">
        <v>74037.0</v>
      </c>
      <c r="N7089" s="2" t="s">
        <v>21</v>
      </c>
    </row>
    <row r="7090" ht="15.75" customHeight="1">
      <c r="A7090" s="2">
        <v>2016.0</v>
      </c>
      <c r="B7090" s="2" t="s">
        <v>30259</v>
      </c>
      <c r="C7090" s="2" t="s">
        <v>30260</v>
      </c>
      <c r="D7090" s="2" t="str">
        <f>"9079427812"</f>
        <v>9079427812</v>
      </c>
      <c r="E7090" s="2" t="s">
        <v>203</v>
      </c>
      <c r="F7090" s="2" t="s">
        <v>16894</v>
      </c>
      <c r="G7090" s="2" t="str">
        <f>"SR-9407"</f>
        <v>SR-9407</v>
      </c>
      <c r="H7090" s="2" t="s">
        <v>30261</v>
      </c>
      <c r="I7090" s="2" t="s">
        <v>30262</v>
      </c>
      <c r="K7090" s="2" t="s">
        <v>69</v>
      </c>
      <c r="L7090" s="2" t="s">
        <v>70</v>
      </c>
      <c r="M7090" s="2">
        <v>99508.0</v>
      </c>
      <c r="N7090" s="2" t="s">
        <v>21</v>
      </c>
    </row>
    <row r="7091" ht="15.75" customHeight="1">
      <c r="A7091" s="2">
        <v>2016.0</v>
      </c>
      <c r="B7091" s="2" t="s">
        <v>30263</v>
      </c>
      <c r="C7091" s="2" t="s">
        <v>30264</v>
      </c>
      <c r="D7091" s="2" t="str">
        <f>"562-980-2432"</f>
        <v>562-980-2432</v>
      </c>
      <c r="E7091" s="2" t="s">
        <v>261</v>
      </c>
      <c r="F7091" s="2" t="s">
        <v>12769</v>
      </c>
      <c r="G7091" s="2" t="str">
        <f>"SR-9434"</f>
        <v>SR-9434</v>
      </c>
      <c r="H7091" s="2" t="s">
        <v>30265</v>
      </c>
      <c r="I7091" s="2" t="s">
        <v>30266</v>
      </c>
      <c r="K7091" s="2" t="s">
        <v>24539</v>
      </c>
      <c r="L7091" s="2" t="s">
        <v>222</v>
      </c>
      <c r="M7091" s="2">
        <v>90638.0</v>
      </c>
      <c r="N7091" s="2" t="s">
        <v>21</v>
      </c>
    </row>
    <row r="7092" ht="15.75" customHeight="1">
      <c r="A7092" s="2">
        <v>2016.0</v>
      </c>
      <c r="B7092" s="2" t="s">
        <v>30181</v>
      </c>
      <c r="C7092" s="2" t="s">
        <v>30267</v>
      </c>
      <c r="D7092" s="2" t="str">
        <f>"9405948620"</f>
        <v>9405948620</v>
      </c>
      <c r="E7092" s="2" t="s">
        <v>30268</v>
      </c>
      <c r="F7092" s="2" t="s">
        <v>30269</v>
      </c>
      <c r="G7092" s="2" t="str">
        <f>"SR-9419"</f>
        <v>SR-9419</v>
      </c>
      <c r="H7092" s="2" t="s">
        <v>30270</v>
      </c>
      <c r="I7092" s="2" t="s">
        <v>30271</v>
      </c>
      <c r="K7092" s="2" t="s">
        <v>30272</v>
      </c>
      <c r="L7092" s="2" t="s">
        <v>172</v>
      </c>
      <c r="M7092" s="2">
        <v>76266.0</v>
      </c>
      <c r="N7092" s="2" t="s">
        <v>21</v>
      </c>
    </row>
    <row r="7093" ht="15.75" customHeight="1">
      <c r="A7093" s="2">
        <v>2016.0</v>
      </c>
      <c r="B7093" s="2" t="s">
        <v>30273</v>
      </c>
      <c r="C7093" s="2" t="s">
        <v>30274</v>
      </c>
      <c r="D7093" s="2" t="str">
        <f>"940-365-9843"</f>
        <v>940-365-9843</v>
      </c>
      <c r="E7093" s="2" t="s">
        <v>5760</v>
      </c>
      <c r="F7093" s="2" t="s">
        <v>30275</v>
      </c>
      <c r="G7093" s="2" t="str">
        <f>"SR-9410"</f>
        <v>SR-9410</v>
      </c>
      <c r="H7093" s="2" t="s">
        <v>30276</v>
      </c>
      <c r="I7093" s="2" t="s">
        <v>30277</v>
      </c>
      <c r="K7093" s="2" t="s">
        <v>9975</v>
      </c>
      <c r="L7093" s="2" t="s">
        <v>172</v>
      </c>
      <c r="M7093" s="2">
        <v>76227.0</v>
      </c>
      <c r="N7093" s="2" t="s">
        <v>21</v>
      </c>
    </row>
    <row r="7094" ht="15.75" customHeight="1">
      <c r="A7094" s="2">
        <v>2016.0</v>
      </c>
      <c r="B7094" s="2" t="s">
        <v>30278</v>
      </c>
      <c r="C7094" s="2" t="s">
        <v>30279</v>
      </c>
      <c r="D7094" s="2" t="str">
        <f>"14079204139"</f>
        <v>14079204139</v>
      </c>
      <c r="E7094" s="2" t="s">
        <v>1664</v>
      </c>
      <c r="F7094" s="2" t="s">
        <v>30280</v>
      </c>
      <c r="G7094" s="2" t="str">
        <f>"SR-9452"</f>
        <v>SR-9452</v>
      </c>
      <c r="H7094" s="2" t="s">
        <v>30281</v>
      </c>
      <c r="I7094" s="2" t="s">
        <v>30282</v>
      </c>
      <c r="K7094" s="2" t="s">
        <v>323</v>
      </c>
      <c r="L7094" s="2" t="s">
        <v>165</v>
      </c>
      <c r="M7094" s="2">
        <v>24551.0</v>
      </c>
      <c r="N7094" s="2" t="s">
        <v>21</v>
      </c>
    </row>
    <row r="7095" ht="15.75" customHeight="1">
      <c r="A7095" s="2">
        <v>2016.0</v>
      </c>
      <c r="B7095" s="2" t="s">
        <v>30283</v>
      </c>
      <c r="C7095" s="2" t="s">
        <v>30283</v>
      </c>
      <c r="D7095" s="2" t="str">
        <f>"9314560125"</f>
        <v>9314560125</v>
      </c>
      <c r="E7095" s="2" t="s">
        <v>428</v>
      </c>
      <c r="F7095" s="2" t="s">
        <v>3445</v>
      </c>
      <c r="G7095" s="2" t="str">
        <f>"SR-9332"</f>
        <v>SR-9332</v>
      </c>
      <c r="H7095" s="2" t="s">
        <v>30284</v>
      </c>
      <c r="I7095" s="2" t="s">
        <v>30285</v>
      </c>
      <c r="K7095" s="2" t="s">
        <v>16670</v>
      </c>
      <c r="L7095" s="2" t="s">
        <v>279</v>
      </c>
      <c r="M7095" s="2">
        <v>38558.0</v>
      </c>
      <c r="N7095" s="2" t="s">
        <v>21</v>
      </c>
    </row>
    <row r="7096" ht="15.75" customHeight="1">
      <c r="A7096" s="2">
        <v>2016.0</v>
      </c>
      <c r="B7096" s="2" t="s">
        <v>30286</v>
      </c>
      <c r="C7096" s="2" t="s">
        <v>30287</v>
      </c>
      <c r="D7096" s="2" t="str">
        <f>"423306162"</f>
        <v>423306162</v>
      </c>
      <c r="E7096" s="2" t="s">
        <v>385</v>
      </c>
      <c r="F7096" s="2" t="s">
        <v>1083</v>
      </c>
      <c r="G7096" s="2" t="str">
        <f>"SR-9457"</f>
        <v>SR-9457</v>
      </c>
      <c r="H7096" s="2" t="s">
        <v>30288</v>
      </c>
      <c r="I7096" s="2" t="s">
        <v>30289</v>
      </c>
      <c r="K7096" s="2" t="s">
        <v>30290</v>
      </c>
      <c r="L7096" s="2" t="s">
        <v>279</v>
      </c>
      <c r="M7096" s="2">
        <v>37745.0</v>
      </c>
      <c r="N7096" s="2" t="s">
        <v>21</v>
      </c>
    </row>
    <row r="7097" ht="15.75" customHeight="1">
      <c r="A7097" s="2">
        <v>2016.0</v>
      </c>
      <c r="B7097" s="2" t="s">
        <v>30291</v>
      </c>
      <c r="C7097" s="2" t="s">
        <v>28021</v>
      </c>
      <c r="D7097" s="2" t="str">
        <f>"316-209-3915"</f>
        <v>316-209-3915</v>
      </c>
      <c r="E7097" s="2" t="s">
        <v>239</v>
      </c>
      <c r="F7097" s="2" t="s">
        <v>28024</v>
      </c>
      <c r="G7097" s="2" t="str">
        <f>"SR-9357"</f>
        <v>SR-9357</v>
      </c>
      <c r="H7097" s="2" t="s">
        <v>28055</v>
      </c>
      <c r="I7097" s="2" t="s">
        <v>28026</v>
      </c>
      <c r="K7097" s="2" t="s">
        <v>6539</v>
      </c>
      <c r="L7097" s="2" t="s">
        <v>172</v>
      </c>
      <c r="M7097" s="2">
        <v>76210.0</v>
      </c>
      <c r="N7097" s="2" t="s">
        <v>21</v>
      </c>
    </row>
    <row r="7098" ht="15.75" customHeight="1">
      <c r="A7098" s="2">
        <v>2016.0</v>
      </c>
      <c r="B7098" s="2" t="s">
        <v>30292</v>
      </c>
      <c r="C7098" s="2" t="s">
        <v>30293</v>
      </c>
      <c r="D7098" s="2" t="str">
        <f>"813-651-0089"</f>
        <v>813-651-0089</v>
      </c>
      <c r="E7098" s="2" t="s">
        <v>5760</v>
      </c>
      <c r="F7098" s="2" t="s">
        <v>9052</v>
      </c>
      <c r="G7098" s="2" t="str">
        <f>"SR-9458"</f>
        <v>SR-9458</v>
      </c>
      <c r="H7098" s="2" t="s">
        <v>30294</v>
      </c>
      <c r="I7098" s="2" t="s">
        <v>30295</v>
      </c>
      <c r="K7098" s="2" t="s">
        <v>2147</v>
      </c>
      <c r="L7098" s="2" t="s">
        <v>208</v>
      </c>
      <c r="M7098" s="2">
        <v>33511.0</v>
      </c>
      <c r="N7098" s="2" t="s">
        <v>21</v>
      </c>
    </row>
    <row r="7099" ht="15.75" customHeight="1">
      <c r="A7099" s="2">
        <v>2016.0</v>
      </c>
      <c r="B7099" s="2" t="s">
        <v>30296</v>
      </c>
      <c r="C7099" s="2" t="s">
        <v>30296</v>
      </c>
      <c r="D7099" s="2" t="str">
        <f>"470-398-6540"</f>
        <v>470-398-6540</v>
      </c>
      <c r="E7099" s="2" t="s">
        <v>1263</v>
      </c>
      <c r="F7099" s="2" t="s">
        <v>2880</v>
      </c>
      <c r="G7099" s="2" t="str">
        <f>"SR-9462"</f>
        <v>SR-9462</v>
      </c>
      <c r="H7099" s="2" t="s">
        <v>30297</v>
      </c>
      <c r="I7099" s="2" t="s">
        <v>30298</v>
      </c>
      <c r="K7099" s="2" t="s">
        <v>6895</v>
      </c>
      <c r="L7099" s="2" t="s">
        <v>200</v>
      </c>
      <c r="M7099" s="2">
        <v>30281.0</v>
      </c>
      <c r="N7099" s="2" t="s">
        <v>21</v>
      </c>
    </row>
    <row r="7100" ht="15.75" customHeight="1">
      <c r="A7100" s="2">
        <v>2016.0</v>
      </c>
      <c r="B7100" s="2" t="s">
        <v>30299</v>
      </c>
      <c r="C7100" s="2" t="s">
        <v>30299</v>
      </c>
      <c r="D7100" s="2" t="str">
        <f>"(256) 227-2967"</f>
        <v>(256) 227-2967</v>
      </c>
      <c r="E7100" s="2" t="s">
        <v>3750</v>
      </c>
      <c r="F7100" s="2" t="s">
        <v>10024</v>
      </c>
      <c r="G7100" s="2" t="str">
        <f>"SR-9450"</f>
        <v>SR-9450</v>
      </c>
      <c r="H7100" s="2" t="s">
        <v>30300</v>
      </c>
      <c r="I7100" s="2" t="s">
        <v>30301</v>
      </c>
      <c r="K7100" s="2" t="s">
        <v>30302</v>
      </c>
      <c r="L7100" s="2" t="s">
        <v>539</v>
      </c>
      <c r="M7100" s="2">
        <v>35640.0</v>
      </c>
      <c r="N7100" s="2" t="s">
        <v>21</v>
      </c>
    </row>
    <row r="7101" ht="15.75" customHeight="1">
      <c r="A7101" s="2">
        <v>2016.0</v>
      </c>
      <c r="B7101" s="2" t="s">
        <v>30303</v>
      </c>
      <c r="C7101" s="2" t="s">
        <v>30303</v>
      </c>
      <c r="D7101" s="2" t="str">
        <f>"719-301-7476"</f>
        <v>719-301-7476</v>
      </c>
      <c r="E7101" s="2" t="s">
        <v>705</v>
      </c>
      <c r="F7101" s="2" t="s">
        <v>16561</v>
      </c>
      <c r="G7101" s="2" t="str">
        <f>"SR-9456"</f>
        <v>SR-9456</v>
      </c>
      <c r="H7101" s="2" t="s">
        <v>30304</v>
      </c>
      <c r="I7101" s="2" t="s">
        <v>30305</v>
      </c>
      <c r="K7101" s="2" t="s">
        <v>894</v>
      </c>
      <c r="L7101" s="2" t="s">
        <v>157</v>
      </c>
      <c r="M7101" s="2">
        <v>80863.0</v>
      </c>
      <c r="N7101" s="2" t="s">
        <v>21</v>
      </c>
    </row>
    <row r="7102" ht="15.75" customHeight="1">
      <c r="A7102" s="2">
        <v>2016.0</v>
      </c>
      <c r="B7102" s="2" t="s">
        <v>29342</v>
      </c>
      <c r="C7102" s="2" t="s">
        <v>30306</v>
      </c>
      <c r="D7102" s="2" t="str">
        <f>"7192914363"</f>
        <v>7192914363</v>
      </c>
      <c r="E7102" s="2" t="s">
        <v>144</v>
      </c>
      <c r="F7102" s="2" t="s">
        <v>29344</v>
      </c>
      <c r="G7102" s="2" t="str">
        <f>"SR-8850"</f>
        <v>SR-8850</v>
      </c>
      <c r="H7102" s="2" t="s">
        <v>30307</v>
      </c>
      <c r="I7102" s="2" t="s">
        <v>29346</v>
      </c>
      <c r="K7102" s="2" t="s">
        <v>809</v>
      </c>
      <c r="L7102" s="2" t="s">
        <v>157</v>
      </c>
      <c r="M7102" s="2">
        <v>80920.0</v>
      </c>
      <c r="N7102" s="2" t="s">
        <v>21</v>
      </c>
    </row>
    <row r="7103" ht="15.75" customHeight="1">
      <c r="A7103" s="2">
        <v>2016.0</v>
      </c>
      <c r="B7103" s="2" t="s">
        <v>30308</v>
      </c>
      <c r="C7103" s="2" t="s">
        <v>30308</v>
      </c>
      <c r="D7103" s="2" t="str">
        <f>"5133304658"</f>
        <v>5133304658</v>
      </c>
      <c r="E7103" s="2" t="s">
        <v>6081</v>
      </c>
      <c r="F7103" s="2" t="s">
        <v>30309</v>
      </c>
      <c r="G7103" s="2" t="str">
        <f>"SR-9467"</f>
        <v>SR-9467</v>
      </c>
      <c r="H7103" s="2" t="s">
        <v>30310</v>
      </c>
      <c r="I7103" s="2" t="s">
        <v>30311</v>
      </c>
      <c r="K7103" s="2" t="s">
        <v>4519</v>
      </c>
      <c r="L7103" s="2" t="s">
        <v>344</v>
      </c>
      <c r="M7103" s="2">
        <v>45050.0</v>
      </c>
      <c r="N7103" s="2" t="s">
        <v>21</v>
      </c>
    </row>
    <row r="7104" ht="15.75" customHeight="1">
      <c r="A7104" s="2">
        <v>2016.0</v>
      </c>
      <c r="B7104" s="2" t="s">
        <v>30312</v>
      </c>
      <c r="C7104" s="2" t="s">
        <v>30313</v>
      </c>
      <c r="D7104" s="2" t="str">
        <f>"4256447673"</f>
        <v>4256447673</v>
      </c>
      <c r="E7104" s="2" t="s">
        <v>562</v>
      </c>
      <c r="F7104" s="2" t="s">
        <v>30314</v>
      </c>
      <c r="G7104" s="2" t="str">
        <f>"SR-6472"</f>
        <v>SR-6472</v>
      </c>
      <c r="H7104" s="2" t="s">
        <v>30315</v>
      </c>
      <c r="I7104" s="2" t="s">
        <v>30316</v>
      </c>
      <c r="K7104" s="2" t="s">
        <v>7873</v>
      </c>
      <c r="L7104" s="2" t="s">
        <v>86</v>
      </c>
      <c r="M7104" s="2">
        <v>98006.0</v>
      </c>
      <c r="N7104" s="2" t="s">
        <v>21</v>
      </c>
    </row>
    <row r="7105" ht="15.75" customHeight="1">
      <c r="A7105" s="2">
        <v>2016.0</v>
      </c>
      <c r="B7105" s="2" t="s">
        <v>30317</v>
      </c>
      <c r="C7105" s="2" t="s">
        <v>30318</v>
      </c>
      <c r="D7105" s="2" t="str">
        <f>"323-720-1577"</f>
        <v>323-720-1577</v>
      </c>
      <c r="E7105" s="2" t="s">
        <v>1422</v>
      </c>
      <c r="F7105" s="2" t="s">
        <v>15168</v>
      </c>
      <c r="G7105" s="2" t="str">
        <f>"SR-9472"</f>
        <v>SR-9472</v>
      </c>
      <c r="H7105" s="2" t="s">
        <v>30319</v>
      </c>
      <c r="I7105" s="2" t="s">
        <v>30320</v>
      </c>
      <c r="K7105" s="2" t="s">
        <v>30321</v>
      </c>
      <c r="L7105" s="2" t="s">
        <v>222</v>
      </c>
      <c r="M7105" s="2">
        <v>90640.0</v>
      </c>
      <c r="N7105" s="2" t="s">
        <v>21</v>
      </c>
    </row>
    <row r="7106" ht="15.75" customHeight="1">
      <c r="A7106" s="2">
        <v>2016.0</v>
      </c>
      <c r="B7106" s="2" t="s">
        <v>30322</v>
      </c>
      <c r="C7106" s="2" t="s">
        <v>30323</v>
      </c>
      <c r="D7106" s="2" t="str">
        <f>"903-644-5878"</f>
        <v>903-644-5878</v>
      </c>
      <c r="E7106" s="2" t="s">
        <v>261</v>
      </c>
      <c r="F7106" s="2" t="s">
        <v>30324</v>
      </c>
      <c r="G7106" s="2" t="str">
        <f>"SR-9454"</f>
        <v>SR-9454</v>
      </c>
      <c r="H7106" s="2" t="s">
        <v>30325</v>
      </c>
      <c r="I7106" s="2" t="s">
        <v>30326</v>
      </c>
      <c r="K7106" s="2" t="s">
        <v>30327</v>
      </c>
      <c r="L7106" s="2" t="s">
        <v>715</v>
      </c>
      <c r="M7106" s="2">
        <v>70395.0</v>
      </c>
      <c r="N7106" s="2" t="s">
        <v>21</v>
      </c>
    </row>
    <row r="7107" ht="15.75" customHeight="1">
      <c r="A7107" s="2">
        <v>2016.0</v>
      </c>
      <c r="B7107" s="2" t="s">
        <v>30328</v>
      </c>
      <c r="C7107" s="2" t="s">
        <v>30329</v>
      </c>
      <c r="D7107" s="2" t="str">
        <f>"4039238173"</f>
        <v>4039238173</v>
      </c>
      <c r="E7107" s="2" t="s">
        <v>30330</v>
      </c>
      <c r="F7107" s="2" t="s">
        <v>1859</v>
      </c>
      <c r="G7107" s="2" t="str">
        <f>"SR-9476"</f>
        <v>SR-9476</v>
      </c>
      <c r="H7107" s="2" t="s">
        <v>30331</v>
      </c>
      <c r="I7107" s="2" t="s">
        <v>30332</v>
      </c>
      <c r="K7107" s="2" t="s">
        <v>6725</v>
      </c>
      <c r="L7107" s="2" t="s">
        <v>2397</v>
      </c>
      <c r="M7107" s="2" t="s">
        <v>30333</v>
      </c>
      <c r="N7107" s="2" t="s">
        <v>1602</v>
      </c>
    </row>
    <row r="7108" ht="15.75" customHeight="1">
      <c r="A7108" s="2">
        <v>2016.0</v>
      </c>
      <c r="B7108" s="2" t="s">
        <v>30334</v>
      </c>
      <c r="C7108" s="2" t="s">
        <v>30335</v>
      </c>
      <c r="D7108" s="2" t="str">
        <f>"561-883-3952"</f>
        <v>561-883-3952</v>
      </c>
      <c r="E7108" s="2" t="s">
        <v>1263</v>
      </c>
      <c r="F7108" s="2" t="s">
        <v>591</v>
      </c>
      <c r="G7108" s="2" t="str">
        <f>"SR-9469"</f>
        <v>SR-9469</v>
      </c>
      <c r="H7108" s="2" t="s">
        <v>30336</v>
      </c>
      <c r="I7108" s="2" t="s">
        <v>30337</v>
      </c>
      <c r="K7108" s="2" t="s">
        <v>2273</v>
      </c>
      <c r="L7108" s="2" t="s">
        <v>208</v>
      </c>
      <c r="M7108" s="2">
        <v>33431.0</v>
      </c>
      <c r="N7108" s="2" t="s">
        <v>21</v>
      </c>
    </row>
    <row r="7109" ht="15.75" customHeight="1">
      <c r="A7109" s="2">
        <v>2016.0</v>
      </c>
      <c r="B7109" s="2" t="s">
        <v>30338</v>
      </c>
      <c r="C7109" s="2" t="s">
        <v>30339</v>
      </c>
      <c r="D7109" s="2" t="str">
        <f>"701-833-6419"</f>
        <v>701-833-6419</v>
      </c>
      <c r="E7109" s="2" t="s">
        <v>2296</v>
      </c>
      <c r="F7109" s="2" t="s">
        <v>27621</v>
      </c>
      <c r="G7109" s="2" t="str">
        <f>"SR-9484"</f>
        <v>SR-9484</v>
      </c>
      <c r="H7109" s="2" t="s">
        <v>30340</v>
      </c>
      <c r="I7109" s="2" t="s">
        <v>30341</v>
      </c>
      <c r="K7109" s="2" t="s">
        <v>5965</v>
      </c>
      <c r="L7109" s="2" t="s">
        <v>2534</v>
      </c>
      <c r="M7109" s="2">
        <v>58701.0</v>
      </c>
      <c r="N7109" s="2" t="s">
        <v>21</v>
      </c>
    </row>
    <row r="7110" ht="15.75" customHeight="1">
      <c r="A7110" s="2">
        <v>2016.0</v>
      </c>
      <c r="B7110" s="2" t="s">
        <v>30342</v>
      </c>
      <c r="C7110" s="2" t="s">
        <v>30343</v>
      </c>
      <c r="D7110" s="2" t="str">
        <f>"616-696-9022"</f>
        <v>616-696-9022</v>
      </c>
      <c r="E7110" s="2" t="s">
        <v>1974</v>
      </c>
      <c r="F7110" s="2" t="s">
        <v>17597</v>
      </c>
      <c r="G7110" s="2" t="str">
        <f>"SR-9483"</f>
        <v>SR-9483</v>
      </c>
      <c r="H7110" s="2" t="s">
        <v>30344</v>
      </c>
      <c r="I7110" s="2" t="s">
        <v>30345</v>
      </c>
      <c r="K7110" s="2" t="s">
        <v>30346</v>
      </c>
      <c r="L7110" s="2" t="s">
        <v>29</v>
      </c>
      <c r="M7110" s="2">
        <v>49319.0</v>
      </c>
      <c r="N7110" s="2" t="s">
        <v>21</v>
      </c>
    </row>
    <row r="7111" ht="15.75" customHeight="1">
      <c r="A7111" s="2">
        <v>2016.0</v>
      </c>
      <c r="B7111" s="2" t="s">
        <v>30347</v>
      </c>
      <c r="C7111" s="2" t="s">
        <v>30347</v>
      </c>
      <c r="D7111" s="2" t="str">
        <f>"8457064057"</f>
        <v>8457064057</v>
      </c>
      <c r="E7111" s="2" t="s">
        <v>1263</v>
      </c>
      <c r="F7111" s="2" t="s">
        <v>30348</v>
      </c>
      <c r="G7111" s="2" t="str">
        <f>"SR-9486"</f>
        <v>SR-9486</v>
      </c>
      <c r="H7111" s="2" t="s">
        <v>30349</v>
      </c>
      <c r="I7111" s="2" t="s">
        <v>30350</v>
      </c>
      <c r="K7111" s="2" t="s">
        <v>30351</v>
      </c>
      <c r="L7111" s="2" t="s">
        <v>142</v>
      </c>
      <c r="M7111" s="2">
        <v>12583.0</v>
      </c>
      <c r="N7111" s="2" t="s">
        <v>21</v>
      </c>
    </row>
    <row r="7112" ht="15.75" customHeight="1">
      <c r="A7112" s="2">
        <v>2016.0</v>
      </c>
      <c r="B7112" s="2" t="s">
        <v>30352</v>
      </c>
      <c r="C7112" s="2" t="s">
        <v>30353</v>
      </c>
      <c r="D7112" s="2" t="str">
        <f>"360-989-9134"</f>
        <v>360-989-9134</v>
      </c>
      <c r="E7112" s="2" t="s">
        <v>718</v>
      </c>
      <c r="F7112" s="2" t="s">
        <v>30354</v>
      </c>
      <c r="G7112" s="2" t="str">
        <f>"SR-9489"</f>
        <v>SR-9489</v>
      </c>
      <c r="H7112" s="2" t="s">
        <v>30355</v>
      </c>
      <c r="I7112" s="2" t="s">
        <v>30356</v>
      </c>
      <c r="K7112" s="2" t="s">
        <v>26677</v>
      </c>
      <c r="L7112" s="2" t="s">
        <v>86</v>
      </c>
      <c r="M7112" s="2">
        <v>98380.0</v>
      </c>
      <c r="N7112" s="2" t="s">
        <v>21</v>
      </c>
    </row>
    <row r="7113" ht="15.75" customHeight="1">
      <c r="A7113" s="2">
        <v>2016.0</v>
      </c>
      <c r="B7113" s="2" t="s">
        <v>30352</v>
      </c>
      <c r="D7113" s="2" t="str">
        <f>""</f>
        <v/>
      </c>
      <c r="E7113" s="2" t="s">
        <v>30357</v>
      </c>
      <c r="F7113" s="2" t="s">
        <v>30354</v>
      </c>
      <c r="G7113" s="2" t="str">
        <f>"SR-9488"</f>
        <v>SR-9488</v>
      </c>
      <c r="H7113" s="2" t="s">
        <v>30358</v>
      </c>
      <c r="N7113" s="2" t="s">
        <v>21</v>
      </c>
    </row>
    <row r="7114" ht="15.75" customHeight="1">
      <c r="A7114" s="2">
        <v>2016.0</v>
      </c>
      <c r="B7114" s="2" t="s">
        <v>30359</v>
      </c>
      <c r="C7114" s="2" t="s">
        <v>30360</v>
      </c>
      <c r="D7114" s="2" t="str">
        <f>"7039576282"</f>
        <v>7039576282</v>
      </c>
      <c r="E7114" s="2" t="s">
        <v>2010</v>
      </c>
      <c r="F7114" s="2" t="s">
        <v>1151</v>
      </c>
      <c r="G7114" s="2" t="str">
        <f>"SR-9497"</f>
        <v>SR-9497</v>
      </c>
      <c r="H7114" s="2" t="s">
        <v>30361</v>
      </c>
      <c r="I7114" s="2" t="s">
        <v>30362</v>
      </c>
      <c r="K7114" s="2" t="s">
        <v>30363</v>
      </c>
      <c r="L7114" s="2" t="s">
        <v>165</v>
      </c>
      <c r="M7114" s="2">
        <v>20152.0</v>
      </c>
      <c r="N7114" s="2" t="s">
        <v>21</v>
      </c>
    </row>
    <row r="7115" ht="15.75" customHeight="1">
      <c r="A7115" s="2">
        <v>2016.0</v>
      </c>
      <c r="B7115" s="2" t="s">
        <v>30364</v>
      </c>
      <c r="C7115" s="2" t="s">
        <v>30365</v>
      </c>
      <c r="D7115" s="2" t="str">
        <f>"940-735-1963"</f>
        <v>940-735-1963</v>
      </c>
      <c r="E7115" s="2" t="s">
        <v>25244</v>
      </c>
      <c r="F7115" s="2" t="s">
        <v>962</v>
      </c>
      <c r="G7115" s="2" t="str">
        <f>"SR-9498"</f>
        <v>SR-9498</v>
      </c>
      <c r="H7115" s="2" t="s">
        <v>30366</v>
      </c>
      <c r="I7115" s="2">
        <v>1023.0</v>
      </c>
      <c r="K7115" s="2" t="s">
        <v>30367</v>
      </c>
      <c r="L7115" s="2" t="s">
        <v>172</v>
      </c>
      <c r="M7115" s="2">
        <v>76233.0</v>
      </c>
      <c r="N7115" s="2" t="s">
        <v>21</v>
      </c>
    </row>
    <row r="7116" ht="15.75" customHeight="1">
      <c r="A7116" s="2">
        <v>2016.0</v>
      </c>
      <c r="B7116" s="2" t="s">
        <v>30368</v>
      </c>
      <c r="C7116" s="2" t="s">
        <v>30368</v>
      </c>
      <c r="D7116" s="2" t="str">
        <f>"919-333-0012"</f>
        <v>919-333-0012</v>
      </c>
      <c r="E7116" s="2" t="s">
        <v>19353</v>
      </c>
      <c r="F7116" s="2" t="s">
        <v>89</v>
      </c>
      <c r="G7116" s="2" t="str">
        <f>"SR-9496"</f>
        <v>SR-9496</v>
      </c>
      <c r="H7116" s="2" t="s">
        <v>30369</v>
      </c>
      <c r="I7116" s="2" t="s">
        <v>30370</v>
      </c>
      <c r="K7116" s="2" t="s">
        <v>2378</v>
      </c>
      <c r="L7116" s="2" t="s">
        <v>20</v>
      </c>
      <c r="M7116" s="2">
        <v>27527.0</v>
      </c>
      <c r="N7116" s="2" t="s">
        <v>21</v>
      </c>
    </row>
    <row r="7117" ht="15.75" customHeight="1">
      <c r="A7117" s="2">
        <v>2016.0</v>
      </c>
      <c r="B7117" s="2" t="s">
        <v>30371</v>
      </c>
      <c r="C7117" s="2" t="s">
        <v>30372</v>
      </c>
      <c r="D7117" s="2" t="str">
        <f>"612-867-8844"</f>
        <v>612-867-8844</v>
      </c>
      <c r="E7117" s="2" t="s">
        <v>3903</v>
      </c>
      <c r="F7117" s="2" t="s">
        <v>1101</v>
      </c>
      <c r="G7117" s="2" t="str">
        <f>"SR-9500"</f>
        <v>SR-9500</v>
      </c>
      <c r="H7117" s="2" t="s">
        <v>30373</v>
      </c>
      <c r="I7117" s="2" t="s">
        <v>30374</v>
      </c>
      <c r="K7117" s="2" t="s">
        <v>30375</v>
      </c>
      <c r="L7117" s="2" t="s">
        <v>62</v>
      </c>
      <c r="M7117" s="2">
        <v>55331.0</v>
      </c>
      <c r="N7117" s="2" t="s">
        <v>21</v>
      </c>
    </row>
    <row r="7118" ht="15.75" customHeight="1">
      <c r="A7118" s="2">
        <v>2016.0</v>
      </c>
      <c r="B7118" s="2" t="s">
        <v>30371</v>
      </c>
      <c r="C7118" s="2" t="s">
        <v>30376</v>
      </c>
      <c r="D7118" s="2" t="str">
        <f>"612-867-0203"</f>
        <v>612-867-0203</v>
      </c>
      <c r="E7118" s="2" t="s">
        <v>2243</v>
      </c>
      <c r="F7118" s="2" t="s">
        <v>1101</v>
      </c>
      <c r="G7118" s="2" t="str">
        <f>"SR-9499"</f>
        <v>SR-9499</v>
      </c>
      <c r="H7118" s="2" t="s">
        <v>30377</v>
      </c>
      <c r="I7118" s="2" t="s">
        <v>30374</v>
      </c>
      <c r="K7118" s="2" t="s">
        <v>30375</v>
      </c>
      <c r="L7118" s="2" t="s">
        <v>62</v>
      </c>
      <c r="M7118" s="2">
        <v>55331.0</v>
      </c>
      <c r="N7118" s="2" t="s">
        <v>21</v>
      </c>
    </row>
    <row r="7119" ht="15.75" customHeight="1">
      <c r="A7119" s="2">
        <v>2016.0</v>
      </c>
      <c r="B7119" s="2" t="s">
        <v>30364</v>
      </c>
      <c r="C7119" s="2" t="s">
        <v>30378</v>
      </c>
      <c r="D7119" s="2" t="str">
        <f>"940735-0113"</f>
        <v>940735-0113</v>
      </c>
      <c r="E7119" s="2" t="s">
        <v>843</v>
      </c>
      <c r="F7119" s="2" t="s">
        <v>962</v>
      </c>
      <c r="G7119" s="2" t="str">
        <f>"SR-9480"</f>
        <v>SR-9480</v>
      </c>
      <c r="H7119" s="2" t="s">
        <v>30379</v>
      </c>
      <c r="I7119" s="2" t="s">
        <v>30380</v>
      </c>
      <c r="K7119" s="2" t="s">
        <v>29982</v>
      </c>
      <c r="L7119" s="2" t="s">
        <v>172</v>
      </c>
      <c r="M7119" s="2">
        <v>76233.0</v>
      </c>
      <c r="N7119" s="2" t="s">
        <v>21</v>
      </c>
    </row>
    <row r="7120" ht="15.75" customHeight="1">
      <c r="A7120" s="2">
        <v>2017.0</v>
      </c>
      <c r="B7120" s="2" t="s">
        <v>30381</v>
      </c>
      <c r="C7120" s="2" t="s">
        <v>30382</v>
      </c>
      <c r="D7120" s="2" t="str">
        <f>"4025333417"</f>
        <v>4025333417</v>
      </c>
      <c r="E7120" s="2" t="s">
        <v>938</v>
      </c>
      <c r="F7120" s="2" t="s">
        <v>30383</v>
      </c>
      <c r="G7120" s="2" t="str">
        <f>"SR-9532"</f>
        <v>SR-9532</v>
      </c>
      <c r="H7120" s="2" t="s">
        <v>30384</v>
      </c>
      <c r="I7120" s="2" t="s">
        <v>30385</v>
      </c>
      <c r="K7120" s="2" t="s">
        <v>1470</v>
      </c>
      <c r="L7120" s="2" t="s">
        <v>757</v>
      </c>
      <c r="M7120" s="2">
        <v>68135.0</v>
      </c>
      <c r="N7120" s="2" t="s">
        <v>21</v>
      </c>
    </row>
    <row r="7121" ht="15.75" customHeight="1">
      <c r="A7121" s="2">
        <v>2017.0</v>
      </c>
      <c r="B7121" s="2" t="s">
        <v>30386</v>
      </c>
      <c r="C7121" s="2" t="s">
        <v>30387</v>
      </c>
      <c r="D7121" s="2" t="str">
        <f>"402-896-1593"</f>
        <v>402-896-1593</v>
      </c>
      <c r="E7121" s="2" t="s">
        <v>3743</v>
      </c>
      <c r="F7121" s="2" t="s">
        <v>2936</v>
      </c>
      <c r="G7121" s="2" t="str">
        <f>"SR-9538"</f>
        <v>SR-9538</v>
      </c>
      <c r="H7121" s="2" t="s">
        <v>30388</v>
      </c>
      <c r="I7121" s="2" t="s">
        <v>30389</v>
      </c>
      <c r="K7121" s="2" t="s">
        <v>30390</v>
      </c>
      <c r="L7121" s="2" t="s">
        <v>757</v>
      </c>
      <c r="M7121" s="2">
        <v>68028.0</v>
      </c>
      <c r="N7121" s="2" t="s">
        <v>21</v>
      </c>
    </row>
    <row r="7122" ht="15.75" customHeight="1">
      <c r="A7122" s="2">
        <v>2017.0</v>
      </c>
      <c r="B7122" s="2" t="s">
        <v>8647</v>
      </c>
      <c r="C7122" s="2" t="s">
        <v>30391</v>
      </c>
      <c r="D7122" s="2" t="str">
        <f>"7149879994"</f>
        <v>7149879994</v>
      </c>
      <c r="E7122" s="2" t="s">
        <v>1870</v>
      </c>
      <c r="F7122" s="2" t="s">
        <v>8650</v>
      </c>
      <c r="G7122" s="2" t="str">
        <f>"SR-9536"</f>
        <v>SR-9536</v>
      </c>
      <c r="H7122" s="2" t="s">
        <v>30392</v>
      </c>
      <c r="I7122" s="2" t="s">
        <v>8652</v>
      </c>
      <c r="K7122" s="2" t="s">
        <v>8250</v>
      </c>
      <c r="L7122" s="2" t="s">
        <v>222</v>
      </c>
      <c r="M7122" s="2">
        <v>92109.0</v>
      </c>
      <c r="N7122" s="2" t="s">
        <v>21</v>
      </c>
    </row>
    <row r="7123" ht="15.75" customHeight="1">
      <c r="A7123" s="2">
        <v>2017.0</v>
      </c>
      <c r="B7123" s="2" t="s">
        <v>30393</v>
      </c>
      <c r="C7123" s="2" t="s">
        <v>30393</v>
      </c>
      <c r="D7123" s="2" t="str">
        <f>"8138929341"</f>
        <v>8138929341</v>
      </c>
      <c r="E7123" s="2" t="s">
        <v>6618</v>
      </c>
      <c r="F7123" s="2" t="s">
        <v>30394</v>
      </c>
      <c r="G7123" s="2" t="str">
        <f>"SR-9533"</f>
        <v>SR-9533</v>
      </c>
      <c r="H7123" s="2" t="s">
        <v>30395</v>
      </c>
      <c r="I7123" s="2" t="s">
        <v>30396</v>
      </c>
      <c r="K7123" s="2" t="s">
        <v>10322</v>
      </c>
      <c r="L7123" s="2" t="s">
        <v>208</v>
      </c>
      <c r="M7123" s="2">
        <v>33527.0</v>
      </c>
      <c r="N7123" s="2" t="s">
        <v>21</v>
      </c>
    </row>
    <row r="7124" ht="15.75" customHeight="1">
      <c r="A7124" s="2">
        <v>2017.0</v>
      </c>
      <c r="B7124" s="2" t="s">
        <v>30397</v>
      </c>
      <c r="C7124" s="2" t="s">
        <v>30398</v>
      </c>
      <c r="D7124" s="2" t="str">
        <f>"859-559-7267"</f>
        <v>859-559-7267</v>
      </c>
      <c r="E7124" s="2" t="s">
        <v>1088</v>
      </c>
      <c r="F7124" s="2" t="s">
        <v>26530</v>
      </c>
      <c r="G7124" s="2" t="str">
        <f>"SR-9514"</f>
        <v>SR-9514</v>
      </c>
      <c r="H7124" s="2" t="s">
        <v>30399</v>
      </c>
      <c r="I7124" s="2" t="s">
        <v>30400</v>
      </c>
      <c r="K7124" s="2" t="s">
        <v>21164</v>
      </c>
      <c r="L7124" s="2" t="s">
        <v>1236</v>
      </c>
      <c r="M7124" s="2">
        <v>40330.0</v>
      </c>
      <c r="N7124" s="2" t="s">
        <v>21</v>
      </c>
    </row>
    <row r="7125" ht="15.75" customHeight="1">
      <c r="A7125" s="2">
        <v>2017.0</v>
      </c>
      <c r="B7125" s="2" t="s">
        <v>23095</v>
      </c>
      <c r="C7125" s="2" t="s">
        <v>23095</v>
      </c>
      <c r="D7125" s="2" t="str">
        <f>"419-740-4143"</f>
        <v>419-740-4143</v>
      </c>
      <c r="E7125" s="2" t="s">
        <v>3778</v>
      </c>
      <c r="F7125" s="2" t="s">
        <v>23096</v>
      </c>
      <c r="G7125" s="2" t="str">
        <f>"SR-7162"</f>
        <v>SR-7162</v>
      </c>
      <c r="H7125" s="2" t="s">
        <v>23097</v>
      </c>
      <c r="I7125" s="2" t="s">
        <v>23098</v>
      </c>
      <c r="K7125" s="2" t="s">
        <v>23099</v>
      </c>
      <c r="L7125" s="2" t="s">
        <v>344</v>
      </c>
      <c r="M7125" s="2">
        <v>43542.0</v>
      </c>
      <c r="N7125" s="2" t="s">
        <v>21</v>
      </c>
    </row>
    <row r="7126" ht="15.75" customHeight="1">
      <c r="A7126" s="2">
        <v>2017.0</v>
      </c>
      <c r="B7126" s="2" t="s">
        <v>30401</v>
      </c>
      <c r="C7126" s="2" t="s">
        <v>30402</v>
      </c>
      <c r="D7126" s="2" t="str">
        <f>"2514244514"</f>
        <v>2514244514</v>
      </c>
      <c r="E7126" s="2" t="s">
        <v>1263</v>
      </c>
      <c r="F7126" s="2" t="s">
        <v>30403</v>
      </c>
      <c r="G7126" s="2" t="str">
        <f>"SR-9549"</f>
        <v>SR-9549</v>
      </c>
      <c r="H7126" s="2" t="s">
        <v>30404</v>
      </c>
      <c r="I7126" s="2" t="s">
        <v>30405</v>
      </c>
      <c r="K7126" s="2" t="s">
        <v>30406</v>
      </c>
      <c r="L7126" s="2" t="s">
        <v>539</v>
      </c>
      <c r="M7126" s="2">
        <v>36580.0</v>
      </c>
      <c r="N7126" s="2" t="s">
        <v>21</v>
      </c>
    </row>
    <row r="7127" ht="15.75" customHeight="1">
      <c r="A7127" s="2">
        <v>2017.0</v>
      </c>
      <c r="B7127" s="2" t="s">
        <v>30407</v>
      </c>
      <c r="C7127" s="2" t="s">
        <v>30408</v>
      </c>
      <c r="D7127" s="2" t="str">
        <f>"6604462760"</f>
        <v>6604462760</v>
      </c>
      <c r="E7127" s="2" t="s">
        <v>1767</v>
      </c>
      <c r="F7127" s="2" t="s">
        <v>30409</v>
      </c>
      <c r="G7127" s="2" t="str">
        <f>"SR-9563"</f>
        <v>SR-9563</v>
      </c>
      <c r="H7127" s="2" t="s">
        <v>30410</v>
      </c>
      <c r="I7127" s="2" t="s">
        <v>30411</v>
      </c>
      <c r="K7127" s="2" t="s">
        <v>20069</v>
      </c>
      <c r="L7127" s="2" t="s">
        <v>214</v>
      </c>
      <c r="M7127" s="2">
        <v>64473.0</v>
      </c>
      <c r="N7127" s="2" t="s">
        <v>21</v>
      </c>
    </row>
    <row r="7128" ht="15.75" customHeight="1">
      <c r="A7128" s="2">
        <v>2017.0</v>
      </c>
      <c r="B7128" s="2" t="s">
        <v>30412</v>
      </c>
      <c r="C7128" s="2" t="s">
        <v>30413</v>
      </c>
      <c r="D7128" s="2" t="str">
        <f>"3034397005"</f>
        <v>3034397005</v>
      </c>
      <c r="E7128" s="2" t="s">
        <v>217</v>
      </c>
      <c r="F7128" s="2" t="s">
        <v>30414</v>
      </c>
      <c r="G7128" s="2" t="str">
        <f>"SR-9565"</f>
        <v>SR-9565</v>
      </c>
      <c r="H7128" s="2" t="s">
        <v>30415</v>
      </c>
      <c r="I7128" s="2" t="s">
        <v>30416</v>
      </c>
      <c r="K7128" s="2" t="s">
        <v>6915</v>
      </c>
      <c r="L7128" s="2" t="s">
        <v>157</v>
      </c>
      <c r="M7128" s="2">
        <v>80021.0</v>
      </c>
      <c r="N7128" s="2" t="s">
        <v>21</v>
      </c>
    </row>
    <row r="7129" ht="15.75" customHeight="1">
      <c r="A7129" s="2">
        <v>2017.0</v>
      </c>
      <c r="B7129" s="2" t="s">
        <v>30417</v>
      </c>
      <c r="C7129" s="2" t="s">
        <v>30418</v>
      </c>
      <c r="D7129" s="2" t="str">
        <f>"9072485524"</f>
        <v>9072485524</v>
      </c>
      <c r="E7129" s="2" t="s">
        <v>843</v>
      </c>
      <c r="F7129" s="2" t="s">
        <v>30419</v>
      </c>
      <c r="G7129" s="2" t="str">
        <f>"SR-9518"</f>
        <v>SR-9518</v>
      </c>
      <c r="H7129" s="2" t="s">
        <v>30420</v>
      </c>
      <c r="I7129" s="2" t="s">
        <v>30421</v>
      </c>
      <c r="K7129" s="2" t="s">
        <v>69</v>
      </c>
      <c r="L7129" s="2" t="s">
        <v>70</v>
      </c>
      <c r="M7129" s="2">
        <v>99502.0</v>
      </c>
      <c r="N7129" s="2" t="s">
        <v>21</v>
      </c>
    </row>
    <row r="7130" ht="15.75" customHeight="1">
      <c r="A7130" s="2">
        <v>2017.0</v>
      </c>
      <c r="B7130" s="2" t="s">
        <v>30422</v>
      </c>
      <c r="C7130" s="2" t="s">
        <v>30423</v>
      </c>
      <c r="D7130" s="2" t="str">
        <f>"937-708-9792"</f>
        <v>937-708-9792</v>
      </c>
      <c r="E7130" s="2" t="s">
        <v>167</v>
      </c>
      <c r="F7130" s="2" t="s">
        <v>30424</v>
      </c>
      <c r="G7130" s="2" t="str">
        <f>"SR-9554"</f>
        <v>SR-9554</v>
      </c>
      <c r="H7130" s="2" t="s">
        <v>30425</v>
      </c>
      <c r="I7130" s="2" t="s">
        <v>30426</v>
      </c>
      <c r="K7130" s="2" t="s">
        <v>12609</v>
      </c>
      <c r="L7130" s="2" t="s">
        <v>344</v>
      </c>
      <c r="M7130" s="2">
        <v>45385.0</v>
      </c>
      <c r="N7130" s="2" t="s">
        <v>21</v>
      </c>
    </row>
    <row r="7131" ht="15.75" customHeight="1">
      <c r="A7131" s="2">
        <v>2017.0</v>
      </c>
      <c r="B7131" s="2" t="s">
        <v>30422</v>
      </c>
      <c r="C7131" s="2" t="s">
        <v>30427</v>
      </c>
      <c r="D7131" s="2" t="str">
        <f>"937-708-1972"</f>
        <v>937-708-1972</v>
      </c>
      <c r="E7131" s="2" t="s">
        <v>18715</v>
      </c>
      <c r="F7131" s="2" t="s">
        <v>30424</v>
      </c>
      <c r="G7131" s="2" t="str">
        <f>"SR-9555"</f>
        <v>SR-9555</v>
      </c>
      <c r="H7131" s="2" t="s">
        <v>30428</v>
      </c>
      <c r="I7131" s="2" t="s">
        <v>30426</v>
      </c>
      <c r="K7131" s="2" t="s">
        <v>12609</v>
      </c>
      <c r="L7131" s="2" t="s">
        <v>344</v>
      </c>
      <c r="M7131" s="2">
        <v>45385.0</v>
      </c>
      <c r="N7131" s="2" t="s">
        <v>21</v>
      </c>
    </row>
    <row r="7132" ht="15.75" customHeight="1">
      <c r="A7132" s="2">
        <v>2017.0</v>
      </c>
      <c r="B7132" s="2" t="s">
        <v>30429</v>
      </c>
      <c r="C7132" s="2" t="s">
        <v>30430</v>
      </c>
      <c r="D7132" s="2" t="str">
        <f>"910-264-2521"</f>
        <v>910-264-2521</v>
      </c>
      <c r="E7132" s="2" t="s">
        <v>1094</v>
      </c>
      <c r="F7132" s="2" t="s">
        <v>11781</v>
      </c>
      <c r="G7132" s="2" t="str">
        <f>"SR-9545"</f>
        <v>SR-9545</v>
      </c>
      <c r="H7132" s="2" t="s">
        <v>30431</v>
      </c>
      <c r="I7132" s="2" t="s">
        <v>11783</v>
      </c>
      <c r="K7132" s="2" t="s">
        <v>11784</v>
      </c>
      <c r="L7132" s="2" t="s">
        <v>20</v>
      </c>
      <c r="M7132" s="2">
        <v>28409.0</v>
      </c>
      <c r="N7132" s="2" t="s">
        <v>21</v>
      </c>
    </row>
    <row r="7133" ht="15.75" customHeight="1">
      <c r="A7133" s="2">
        <v>2017.0</v>
      </c>
      <c r="B7133" s="2" t="s">
        <v>30432</v>
      </c>
      <c r="C7133" s="2" t="s">
        <v>30433</v>
      </c>
      <c r="D7133" s="2" t="str">
        <f>"308-995-7529"</f>
        <v>308-995-7529</v>
      </c>
      <c r="E7133" s="2" t="s">
        <v>6098</v>
      </c>
      <c r="F7133" s="2" t="s">
        <v>30434</v>
      </c>
      <c r="G7133" s="2" t="str">
        <f>"SR-9540"</f>
        <v>SR-9540</v>
      </c>
      <c r="H7133" s="2" t="s">
        <v>30435</v>
      </c>
      <c r="I7133" s="2" t="s">
        <v>30436</v>
      </c>
      <c r="K7133" s="2" t="s">
        <v>30437</v>
      </c>
      <c r="L7133" s="2" t="s">
        <v>757</v>
      </c>
      <c r="M7133" s="2">
        <v>68949.0</v>
      </c>
      <c r="N7133" s="2" t="s">
        <v>21</v>
      </c>
    </row>
    <row r="7134" ht="15.75" customHeight="1">
      <c r="A7134" s="2">
        <v>2017.0</v>
      </c>
      <c r="B7134" s="2" t="s">
        <v>30438</v>
      </c>
      <c r="C7134" s="2" t="s">
        <v>30438</v>
      </c>
      <c r="D7134" s="2" t="str">
        <f>"8177975703"</f>
        <v>8177975703</v>
      </c>
      <c r="E7134" s="2" t="s">
        <v>1810</v>
      </c>
      <c r="F7134" s="2" t="s">
        <v>26437</v>
      </c>
      <c r="G7134" s="2" t="str">
        <f>"SR-9572"</f>
        <v>SR-9572</v>
      </c>
      <c r="H7134" s="2" t="s">
        <v>30439</v>
      </c>
      <c r="I7134" s="2" t="s">
        <v>30440</v>
      </c>
      <c r="K7134" s="2" t="s">
        <v>26440</v>
      </c>
      <c r="L7134" s="2" t="s">
        <v>172</v>
      </c>
      <c r="M7134" s="2">
        <v>76259.0</v>
      </c>
      <c r="N7134" s="2" t="s">
        <v>21</v>
      </c>
    </row>
    <row r="7135" ht="15.75" customHeight="1">
      <c r="A7135" s="2">
        <v>2017.0</v>
      </c>
      <c r="B7135" s="2" t="s">
        <v>30441</v>
      </c>
      <c r="C7135" s="2" t="s">
        <v>30441</v>
      </c>
      <c r="D7135" s="2" t="str">
        <f>"8178466973"</f>
        <v>8178466973</v>
      </c>
      <c r="E7135" s="2" t="s">
        <v>2306</v>
      </c>
      <c r="F7135" s="2" t="s">
        <v>26437</v>
      </c>
      <c r="G7135" s="2" t="str">
        <f>"SR-9570"</f>
        <v>SR-9570</v>
      </c>
      <c r="H7135" s="2" t="s">
        <v>30442</v>
      </c>
      <c r="I7135" s="2" t="s">
        <v>26439</v>
      </c>
      <c r="K7135" s="2" t="s">
        <v>26440</v>
      </c>
      <c r="L7135" s="2" t="s">
        <v>172</v>
      </c>
      <c r="M7135" s="2">
        <v>76259.0</v>
      </c>
      <c r="N7135" s="2" t="s">
        <v>21</v>
      </c>
    </row>
    <row r="7136" ht="15.75" customHeight="1">
      <c r="A7136" s="2">
        <v>2017.0</v>
      </c>
      <c r="B7136" s="2" t="s">
        <v>30443</v>
      </c>
      <c r="C7136" s="2" t="s">
        <v>30443</v>
      </c>
      <c r="D7136" s="2" t="str">
        <f>"636-584-4467"</f>
        <v>636-584-4467</v>
      </c>
      <c r="E7136" s="2" t="s">
        <v>3750</v>
      </c>
      <c r="F7136" s="2" t="s">
        <v>30444</v>
      </c>
      <c r="G7136" s="2" t="str">
        <f>"SR-9546"</f>
        <v>SR-9546</v>
      </c>
      <c r="H7136" s="2" t="s">
        <v>30445</v>
      </c>
      <c r="I7136" s="2" t="s">
        <v>30446</v>
      </c>
      <c r="K7136" s="2" t="s">
        <v>14667</v>
      </c>
      <c r="L7136" s="2" t="s">
        <v>214</v>
      </c>
      <c r="M7136" s="2">
        <v>63084.0</v>
      </c>
      <c r="N7136" s="2" t="s">
        <v>21</v>
      </c>
    </row>
    <row r="7137" ht="15.75" customHeight="1">
      <c r="A7137" s="2">
        <v>2017.0</v>
      </c>
      <c r="B7137" s="2" t="s">
        <v>30447</v>
      </c>
      <c r="C7137" s="2" t="s">
        <v>30448</v>
      </c>
      <c r="D7137" s="2" t="str">
        <f>"214-478-0805"</f>
        <v>214-478-0805</v>
      </c>
      <c r="E7137" s="2" t="s">
        <v>301</v>
      </c>
      <c r="F7137" s="2" t="s">
        <v>2083</v>
      </c>
      <c r="G7137" s="2" t="str">
        <f>"SR-9582"</f>
        <v>SR-9582</v>
      </c>
      <c r="H7137" s="2" t="s">
        <v>30449</v>
      </c>
      <c r="I7137" s="2" t="s">
        <v>30450</v>
      </c>
      <c r="K7137" s="2" t="s">
        <v>1255</v>
      </c>
      <c r="L7137" s="2" t="s">
        <v>172</v>
      </c>
      <c r="M7137" s="2">
        <v>75225.0</v>
      </c>
      <c r="N7137" s="2" t="s">
        <v>21</v>
      </c>
    </row>
    <row r="7138" ht="15.75" customHeight="1">
      <c r="A7138" s="2">
        <v>2017.0</v>
      </c>
      <c r="B7138" s="2" t="s">
        <v>7751</v>
      </c>
      <c r="C7138" s="2" t="s">
        <v>11913</v>
      </c>
      <c r="D7138" s="2" t="str">
        <f>"2564832487"</f>
        <v>2564832487</v>
      </c>
      <c r="E7138" s="2" t="s">
        <v>1891</v>
      </c>
      <c r="F7138" s="2" t="s">
        <v>1496</v>
      </c>
      <c r="G7138" s="2" t="str">
        <f>"SR-1879"</f>
        <v>SR-1879</v>
      </c>
      <c r="H7138" s="2" t="s">
        <v>11914</v>
      </c>
      <c r="I7138" s="2" t="s">
        <v>7753</v>
      </c>
      <c r="K7138" s="2" t="s">
        <v>254</v>
      </c>
      <c r="L7138" s="2" t="s">
        <v>539</v>
      </c>
      <c r="M7138" s="2">
        <v>35648.0</v>
      </c>
      <c r="N7138" s="2" t="s">
        <v>21</v>
      </c>
    </row>
    <row r="7139" ht="15.75" customHeight="1">
      <c r="A7139" s="2">
        <v>2017.0</v>
      </c>
      <c r="B7139" s="2" t="s">
        <v>30451</v>
      </c>
      <c r="C7139" s="2" t="s">
        <v>30452</v>
      </c>
      <c r="D7139" s="2" t="str">
        <f>"228-342-7035"</f>
        <v>228-342-7035</v>
      </c>
      <c r="E7139" s="2" t="s">
        <v>30453</v>
      </c>
      <c r="F7139" s="2" t="s">
        <v>30454</v>
      </c>
      <c r="G7139" s="2" t="str">
        <f>"SR-9591"</f>
        <v>SR-9591</v>
      </c>
      <c r="H7139" s="2" t="s">
        <v>30455</v>
      </c>
      <c r="I7139" s="2" t="s">
        <v>30456</v>
      </c>
      <c r="K7139" s="2" t="s">
        <v>30457</v>
      </c>
      <c r="L7139" s="2" t="s">
        <v>1722</v>
      </c>
      <c r="M7139" s="2">
        <v>39520.0</v>
      </c>
      <c r="N7139" s="2" t="s">
        <v>21</v>
      </c>
    </row>
    <row r="7140" ht="15.75" customHeight="1">
      <c r="A7140" s="2">
        <v>2017.0</v>
      </c>
      <c r="B7140" s="2" t="s">
        <v>30458</v>
      </c>
      <c r="C7140" s="2" t="s">
        <v>30458</v>
      </c>
      <c r="D7140" s="2" t="str">
        <f>"(512) 590-2133"</f>
        <v>(512) 590-2133</v>
      </c>
      <c r="E7140" s="2" t="s">
        <v>1548</v>
      </c>
      <c r="F7140" s="2" t="s">
        <v>448</v>
      </c>
      <c r="G7140" s="2" t="str">
        <f>"SR-9598"</f>
        <v>SR-9598</v>
      </c>
      <c r="H7140" s="2" t="s">
        <v>30459</v>
      </c>
      <c r="I7140" s="2" t="s">
        <v>30460</v>
      </c>
      <c r="K7140" s="2" t="s">
        <v>1141</v>
      </c>
      <c r="L7140" s="2" t="s">
        <v>172</v>
      </c>
      <c r="M7140" s="2">
        <v>78757.0</v>
      </c>
      <c r="N7140" s="2" t="s">
        <v>21</v>
      </c>
    </row>
    <row r="7141" ht="15.75" customHeight="1">
      <c r="A7141" s="2">
        <v>2017.0</v>
      </c>
      <c r="B7141" s="2" t="s">
        <v>30461</v>
      </c>
      <c r="C7141" s="2" t="s">
        <v>30462</v>
      </c>
      <c r="D7141" s="2" t="str">
        <f>"3105393736"</f>
        <v>3105393736</v>
      </c>
      <c r="E7141" s="2" t="s">
        <v>2309</v>
      </c>
      <c r="F7141" s="2" t="s">
        <v>30463</v>
      </c>
      <c r="G7141" s="2" t="str">
        <f>"SR-9589"</f>
        <v>SR-9589</v>
      </c>
      <c r="H7141" s="2" t="s">
        <v>30464</v>
      </c>
      <c r="I7141" s="2" t="s">
        <v>30465</v>
      </c>
      <c r="K7141" s="2" t="s">
        <v>5955</v>
      </c>
      <c r="L7141" s="2" t="s">
        <v>222</v>
      </c>
      <c r="M7141" s="2">
        <v>90501.0</v>
      </c>
      <c r="N7141" s="2" t="s">
        <v>21</v>
      </c>
    </row>
    <row r="7142" ht="15.75" customHeight="1">
      <c r="A7142" s="2">
        <v>2017.0</v>
      </c>
      <c r="B7142" s="2" t="s">
        <v>30447</v>
      </c>
      <c r="C7142" s="2" t="s">
        <v>16094</v>
      </c>
      <c r="D7142" s="2" t="str">
        <f>"214-435-7667"</f>
        <v>214-435-7667</v>
      </c>
      <c r="E7142" s="2" t="s">
        <v>9605</v>
      </c>
      <c r="F7142" s="2" t="s">
        <v>2083</v>
      </c>
      <c r="G7142" s="2" t="str">
        <f>"SR-9583"</f>
        <v>SR-9583</v>
      </c>
      <c r="H7142" s="2" t="s">
        <v>16095</v>
      </c>
      <c r="I7142" s="2" t="s">
        <v>30450</v>
      </c>
      <c r="K7142" s="2" t="s">
        <v>1255</v>
      </c>
      <c r="L7142" s="2" t="s">
        <v>172</v>
      </c>
      <c r="M7142" s="2">
        <v>75225.0</v>
      </c>
      <c r="N7142" s="2" t="s">
        <v>21</v>
      </c>
    </row>
    <row r="7143" ht="15.75" customHeight="1">
      <c r="A7143" s="2">
        <v>2017.0</v>
      </c>
      <c r="B7143" s="2" t="s">
        <v>30466</v>
      </c>
      <c r="C7143" s="2" t="s">
        <v>30467</v>
      </c>
      <c r="D7143" s="2" t="str">
        <f>"256-777-8272"</f>
        <v>256-777-8272</v>
      </c>
      <c r="E7143" s="2" t="s">
        <v>1141</v>
      </c>
      <c r="F7143" s="2" t="s">
        <v>30468</v>
      </c>
      <c r="G7143" s="2" t="str">
        <f>"SR-9601"</f>
        <v>SR-9601</v>
      </c>
      <c r="H7143" s="2" t="s">
        <v>30469</v>
      </c>
      <c r="I7143" s="2" t="s">
        <v>30470</v>
      </c>
      <c r="K7143" s="2" t="s">
        <v>659</v>
      </c>
      <c r="L7143" s="2" t="s">
        <v>539</v>
      </c>
      <c r="M7143" s="2">
        <v>35756.0</v>
      </c>
      <c r="N7143" s="2" t="s">
        <v>21</v>
      </c>
    </row>
    <row r="7144" ht="15.75" customHeight="1">
      <c r="A7144" s="2">
        <v>2017.0</v>
      </c>
      <c r="B7144" s="2" t="s">
        <v>30471</v>
      </c>
      <c r="C7144" s="2" t="s">
        <v>30472</v>
      </c>
      <c r="D7144" s="2" t="str">
        <f>"9013104752"</f>
        <v>9013104752</v>
      </c>
      <c r="E7144" s="2" t="s">
        <v>57</v>
      </c>
      <c r="F7144" s="2" t="s">
        <v>2063</v>
      </c>
      <c r="G7144" s="2" t="str">
        <f>"SR-9543"</f>
        <v>SR-9543</v>
      </c>
      <c r="H7144" s="2" t="s">
        <v>30473</v>
      </c>
      <c r="I7144" s="2" t="s">
        <v>30474</v>
      </c>
      <c r="K7144" s="2" t="s">
        <v>5519</v>
      </c>
      <c r="L7144" s="2" t="s">
        <v>279</v>
      </c>
      <c r="M7144" s="2">
        <v>38116.0</v>
      </c>
      <c r="N7144" s="2" t="s">
        <v>21</v>
      </c>
    </row>
    <row r="7145" ht="15.75" customHeight="1">
      <c r="A7145" s="2">
        <v>2017.0</v>
      </c>
      <c r="B7145" s="2" t="s">
        <v>30475</v>
      </c>
      <c r="C7145" s="2" t="s">
        <v>30476</v>
      </c>
      <c r="D7145" s="2" t="str">
        <f>"940-222-1064"</f>
        <v>940-222-1064</v>
      </c>
      <c r="E7145" s="2" t="s">
        <v>167</v>
      </c>
      <c r="F7145" s="2" t="s">
        <v>30477</v>
      </c>
      <c r="G7145" s="2" t="str">
        <f>"SR-9602"</f>
        <v>SR-9602</v>
      </c>
      <c r="H7145" s="2" t="s">
        <v>30478</v>
      </c>
      <c r="I7145" s="2" t="s">
        <v>30479</v>
      </c>
      <c r="K7145" s="2" t="s">
        <v>6539</v>
      </c>
      <c r="L7145" s="2" t="s">
        <v>172</v>
      </c>
      <c r="M7145" s="2">
        <v>76209.0</v>
      </c>
      <c r="N7145" s="2" t="s">
        <v>21</v>
      </c>
    </row>
    <row r="7146" ht="15.75" customHeight="1">
      <c r="A7146" s="2">
        <v>2017.0</v>
      </c>
      <c r="B7146" s="2" t="s">
        <v>30480</v>
      </c>
      <c r="C7146" s="2" t="s">
        <v>30481</v>
      </c>
      <c r="D7146" s="2" t="str">
        <f>"9498139399"</f>
        <v>9498139399</v>
      </c>
      <c r="E7146" s="2" t="s">
        <v>4984</v>
      </c>
      <c r="F7146" s="2" t="s">
        <v>30482</v>
      </c>
      <c r="G7146" s="2" t="str">
        <f>"SR-9603"</f>
        <v>SR-9603</v>
      </c>
      <c r="H7146" s="2" t="s">
        <v>30483</v>
      </c>
      <c r="I7146" s="2" t="s">
        <v>30484</v>
      </c>
      <c r="K7146" s="2" t="s">
        <v>28572</v>
      </c>
      <c r="L7146" s="2" t="s">
        <v>222</v>
      </c>
      <c r="M7146" s="2">
        <v>92629.0</v>
      </c>
      <c r="N7146" s="2" t="s">
        <v>21</v>
      </c>
    </row>
    <row r="7147" ht="15.75" customHeight="1">
      <c r="A7147" s="2">
        <v>2017.0</v>
      </c>
      <c r="B7147" s="2" t="s">
        <v>30480</v>
      </c>
      <c r="D7147" s="2" t="str">
        <f>""</f>
        <v/>
      </c>
      <c r="E7147" s="2" t="s">
        <v>11657</v>
      </c>
      <c r="F7147" s="2" t="s">
        <v>30482</v>
      </c>
      <c r="G7147" s="2" t="str">
        <f>"SR-9604"</f>
        <v>SR-9604</v>
      </c>
      <c r="H7147" s="2" t="s">
        <v>30485</v>
      </c>
      <c r="I7147" s="2" t="s">
        <v>30486</v>
      </c>
      <c r="K7147" s="2" t="s">
        <v>501</v>
      </c>
      <c r="L7147" s="2" t="s">
        <v>62</v>
      </c>
      <c r="M7147" s="2">
        <v>55123.0</v>
      </c>
      <c r="N7147" s="2" t="s">
        <v>21</v>
      </c>
    </row>
    <row r="7148" ht="15.75" customHeight="1">
      <c r="A7148" s="2">
        <v>2017.0</v>
      </c>
      <c r="B7148" s="2" t="s">
        <v>30487</v>
      </c>
      <c r="C7148" s="2" t="s">
        <v>30488</v>
      </c>
      <c r="D7148" s="2" t="str">
        <f>"706-778-3020"</f>
        <v>706-778-3020</v>
      </c>
      <c r="E7148" s="2" t="s">
        <v>30489</v>
      </c>
      <c r="F7148" s="2" t="s">
        <v>457</v>
      </c>
      <c r="G7148" s="2" t="str">
        <f>"SR-9605"</f>
        <v>SR-9605</v>
      </c>
      <c r="H7148" s="2" t="s">
        <v>30490</v>
      </c>
      <c r="I7148" s="2" t="s">
        <v>8657</v>
      </c>
      <c r="K7148" s="2" t="s">
        <v>8658</v>
      </c>
      <c r="L7148" s="2" t="s">
        <v>200</v>
      </c>
      <c r="M7148" s="2">
        <v>30510.0</v>
      </c>
      <c r="N7148" s="2" t="s">
        <v>21</v>
      </c>
    </row>
    <row r="7149" ht="15.75" customHeight="1">
      <c r="A7149" s="2">
        <v>2017.0</v>
      </c>
      <c r="B7149" s="2" t="s">
        <v>30491</v>
      </c>
      <c r="C7149" s="2" t="s">
        <v>30492</v>
      </c>
      <c r="D7149" s="2" t="str">
        <f>"248-640-5055"</f>
        <v>248-640-5055</v>
      </c>
      <c r="E7149" s="2" t="s">
        <v>1239</v>
      </c>
      <c r="F7149" s="2" t="s">
        <v>1170</v>
      </c>
      <c r="G7149" s="2" t="str">
        <f>"SR-9607"</f>
        <v>SR-9607</v>
      </c>
      <c r="H7149" s="2" t="s">
        <v>30493</v>
      </c>
      <c r="I7149" s="2" t="s">
        <v>30494</v>
      </c>
      <c r="K7149" s="2" t="s">
        <v>8678</v>
      </c>
      <c r="L7149" s="2" t="s">
        <v>200</v>
      </c>
      <c r="M7149" s="2">
        <v>30563.0</v>
      </c>
      <c r="N7149" s="2" t="s">
        <v>21</v>
      </c>
    </row>
    <row r="7150" ht="15.75" customHeight="1">
      <c r="A7150" s="2">
        <v>2017.0</v>
      </c>
      <c r="B7150" s="2" t="s">
        <v>30495</v>
      </c>
      <c r="D7150" s="2" t="str">
        <f>""</f>
        <v/>
      </c>
      <c r="E7150" s="2" t="s">
        <v>261</v>
      </c>
      <c r="F7150" s="2" t="s">
        <v>6966</v>
      </c>
      <c r="G7150" s="2" t="str">
        <f>"SR-9617"</f>
        <v>SR-9617</v>
      </c>
      <c r="H7150" s="2" t="s">
        <v>30496</v>
      </c>
    </row>
    <row r="7151" ht="15.75" customHeight="1">
      <c r="A7151" s="2">
        <v>2017.0</v>
      </c>
      <c r="B7151" s="2" t="s">
        <v>30497</v>
      </c>
      <c r="C7151" s="2" t="s">
        <v>30498</v>
      </c>
      <c r="D7151" s="2" t="str">
        <f>"508-864-9243"</f>
        <v>508-864-9243</v>
      </c>
      <c r="E7151" s="2" t="s">
        <v>386</v>
      </c>
      <c r="F7151" s="2" t="s">
        <v>30499</v>
      </c>
      <c r="G7151" s="2" t="str">
        <f>"SR-9530"</f>
        <v>SR-9530</v>
      </c>
      <c r="H7151" s="2" t="s">
        <v>30500</v>
      </c>
      <c r="I7151" s="2" t="s">
        <v>30501</v>
      </c>
      <c r="K7151" s="2" t="s">
        <v>30502</v>
      </c>
      <c r="L7151" s="2" t="s">
        <v>4108</v>
      </c>
      <c r="M7151" s="2">
        <v>1068.0</v>
      </c>
      <c r="N7151" s="2" t="s">
        <v>21</v>
      </c>
    </row>
    <row r="7152" ht="15.75" customHeight="1">
      <c r="A7152" s="2">
        <v>2017.0</v>
      </c>
      <c r="B7152" s="2" t="s">
        <v>24617</v>
      </c>
      <c r="C7152" s="2" t="s">
        <v>24618</v>
      </c>
      <c r="D7152" s="2" t="str">
        <f>"4063695596"</f>
        <v>4063695596</v>
      </c>
      <c r="E7152" s="2" t="s">
        <v>160</v>
      </c>
      <c r="F7152" s="2" t="s">
        <v>7087</v>
      </c>
      <c r="G7152" s="2" t="str">
        <f>"SR-7762"</f>
        <v>SR-7762</v>
      </c>
      <c r="H7152" s="2" t="s">
        <v>24619</v>
      </c>
      <c r="I7152" s="2" t="s">
        <v>24620</v>
      </c>
      <c r="K7152" s="2" t="s">
        <v>9717</v>
      </c>
      <c r="L7152" s="2" t="s">
        <v>2696</v>
      </c>
      <c r="M7152" s="2">
        <v>59870.0</v>
      </c>
      <c r="N7152" s="2" t="s">
        <v>21</v>
      </c>
    </row>
    <row r="7153" ht="15.75" customHeight="1">
      <c r="A7153" s="2">
        <v>2017.0</v>
      </c>
      <c r="B7153" s="2" t="s">
        <v>24617</v>
      </c>
      <c r="C7153" s="2" t="s">
        <v>9712</v>
      </c>
      <c r="D7153" s="2" t="str">
        <f>"4065318704"</f>
        <v>4065318704</v>
      </c>
      <c r="E7153" s="2" t="s">
        <v>167</v>
      </c>
      <c r="F7153" s="2" t="s">
        <v>9714</v>
      </c>
      <c r="G7153" s="2" t="str">
        <f>"SR-7763"</f>
        <v>SR-7763</v>
      </c>
      <c r="H7153" s="2" t="s">
        <v>24621</v>
      </c>
      <c r="I7153" s="2" t="s">
        <v>24622</v>
      </c>
      <c r="K7153" s="2" t="s">
        <v>9717</v>
      </c>
      <c r="L7153" s="2" t="s">
        <v>2696</v>
      </c>
      <c r="M7153" s="2">
        <v>59870.0</v>
      </c>
      <c r="N7153" s="2" t="s">
        <v>21</v>
      </c>
    </row>
    <row r="7154" ht="15.75" customHeight="1">
      <c r="A7154" s="2">
        <v>2017.0</v>
      </c>
      <c r="B7154" s="2" t="s">
        <v>6905</v>
      </c>
      <c r="C7154" s="2" t="s">
        <v>30503</v>
      </c>
      <c r="D7154" s="2" t="str">
        <f>"719-963-2330"</f>
        <v>719-963-2330</v>
      </c>
      <c r="E7154" s="2" t="s">
        <v>3269</v>
      </c>
      <c r="F7154" s="2" t="s">
        <v>6908</v>
      </c>
      <c r="G7154" s="2" t="str">
        <f>"SR-9623"</f>
        <v>SR-9623</v>
      </c>
      <c r="H7154" s="2" t="s">
        <v>30504</v>
      </c>
      <c r="I7154" s="2" t="s">
        <v>6910</v>
      </c>
      <c r="K7154" s="2" t="s">
        <v>809</v>
      </c>
      <c r="L7154" s="2" t="s">
        <v>157</v>
      </c>
      <c r="M7154" s="2">
        <v>80920.0</v>
      </c>
      <c r="N7154" s="2" t="s">
        <v>21</v>
      </c>
    </row>
    <row r="7155" ht="15.75" customHeight="1">
      <c r="A7155" s="2">
        <v>2017.0</v>
      </c>
      <c r="B7155" s="2" t="s">
        <v>30505</v>
      </c>
      <c r="C7155" s="2" t="s">
        <v>30506</v>
      </c>
      <c r="D7155" s="2" t="str">
        <f>"847-566-4561"</f>
        <v>847-566-4561</v>
      </c>
      <c r="E7155" s="2" t="s">
        <v>19160</v>
      </c>
      <c r="F7155" s="2" t="s">
        <v>30507</v>
      </c>
      <c r="G7155" s="2" t="str">
        <f>"SR-9625"</f>
        <v>SR-9625</v>
      </c>
      <c r="H7155" s="2" t="s">
        <v>30508</v>
      </c>
      <c r="I7155" s="2" t="s">
        <v>30509</v>
      </c>
      <c r="K7155" s="2" t="s">
        <v>30510</v>
      </c>
      <c r="L7155" s="2" t="s">
        <v>105</v>
      </c>
      <c r="M7155" s="2">
        <v>60060.0</v>
      </c>
      <c r="N7155" s="2" t="s">
        <v>21</v>
      </c>
    </row>
    <row r="7156" ht="15.75" customHeight="1">
      <c r="A7156" s="2">
        <v>2017.0</v>
      </c>
      <c r="B7156" s="2" t="s">
        <v>1377</v>
      </c>
      <c r="C7156" s="2" t="s">
        <v>1377</v>
      </c>
      <c r="D7156" s="2" t="str">
        <f>"9073946138"</f>
        <v>9073946138</v>
      </c>
      <c r="E7156" s="2" t="s">
        <v>1378</v>
      </c>
      <c r="F7156" s="2" t="s">
        <v>1379</v>
      </c>
      <c r="G7156" s="2" t="str">
        <f>"SR-485"</f>
        <v>SR-485</v>
      </c>
      <c r="H7156" s="2" t="s">
        <v>1380</v>
      </c>
      <c r="I7156" s="2" t="s">
        <v>1381</v>
      </c>
      <c r="K7156" s="2" t="s">
        <v>1336</v>
      </c>
      <c r="L7156" s="2" t="s">
        <v>70</v>
      </c>
      <c r="M7156" s="2">
        <v>99669.0</v>
      </c>
      <c r="N7156" s="2" t="s">
        <v>21</v>
      </c>
    </row>
    <row r="7157" ht="15.75" customHeight="1">
      <c r="A7157" s="2">
        <v>2017.0</v>
      </c>
      <c r="B7157" s="2" t="s">
        <v>24827</v>
      </c>
      <c r="C7157" s="2" t="s">
        <v>24828</v>
      </c>
      <c r="D7157" s="2" t="str">
        <f>"19517645258"</f>
        <v>19517645258</v>
      </c>
      <c r="E7157" s="2" t="s">
        <v>24829</v>
      </c>
      <c r="F7157" s="2" t="s">
        <v>1151</v>
      </c>
      <c r="G7157" s="2" t="str">
        <f>"SR-7735"</f>
        <v>SR-7735</v>
      </c>
      <c r="H7157" s="2" t="s">
        <v>24830</v>
      </c>
      <c r="I7157" s="2" t="s">
        <v>24831</v>
      </c>
      <c r="K7157" s="2" t="s">
        <v>24832</v>
      </c>
      <c r="L7157" s="2" t="s">
        <v>222</v>
      </c>
      <c r="M7157" s="2">
        <v>90303.0</v>
      </c>
      <c r="N7157" s="2" t="s">
        <v>21</v>
      </c>
    </row>
    <row r="7158" ht="15.75" customHeight="1">
      <c r="A7158" s="2">
        <v>2017.0</v>
      </c>
      <c r="B7158" s="2" t="s">
        <v>30511</v>
      </c>
      <c r="C7158" s="2" t="s">
        <v>30512</v>
      </c>
      <c r="D7158" s="2" t="str">
        <f t="shared" ref="D7158:D7159" si="120">"(540) 854-5050"</f>
        <v>(540) 854-5050</v>
      </c>
      <c r="E7158" s="2" t="s">
        <v>1782</v>
      </c>
      <c r="F7158" s="2" t="s">
        <v>30513</v>
      </c>
      <c r="G7158" s="2" t="str">
        <f>"SR-9627"</f>
        <v>SR-9627</v>
      </c>
      <c r="H7158" s="2" t="s">
        <v>30514</v>
      </c>
      <c r="I7158" s="2" t="s">
        <v>30515</v>
      </c>
      <c r="K7158" s="2" t="s">
        <v>30516</v>
      </c>
      <c r="L7158" s="2" t="s">
        <v>165</v>
      </c>
      <c r="M7158" s="2">
        <v>22508.0</v>
      </c>
      <c r="N7158" s="2" t="s">
        <v>21</v>
      </c>
    </row>
    <row r="7159" ht="15.75" customHeight="1">
      <c r="A7159" s="2">
        <v>2017.0</v>
      </c>
      <c r="B7159" s="2" t="s">
        <v>30511</v>
      </c>
      <c r="C7159" s="2" t="s">
        <v>30512</v>
      </c>
      <c r="D7159" s="2" t="str">
        <f t="shared" si="120"/>
        <v>(540) 854-5050</v>
      </c>
      <c r="E7159" s="2" t="s">
        <v>160</v>
      </c>
      <c r="F7159" s="2" t="s">
        <v>30513</v>
      </c>
      <c r="G7159" s="2" t="str">
        <f>"SR-9629"</f>
        <v>SR-9629</v>
      </c>
      <c r="H7159" s="2" t="s">
        <v>30517</v>
      </c>
      <c r="I7159" s="2" t="s">
        <v>30515</v>
      </c>
      <c r="K7159" s="2" t="s">
        <v>30516</v>
      </c>
      <c r="L7159" s="2" t="s">
        <v>165</v>
      </c>
      <c r="M7159" s="2">
        <v>22508.0</v>
      </c>
      <c r="N7159" s="2" t="s">
        <v>21</v>
      </c>
    </row>
    <row r="7160" ht="15.75" customHeight="1">
      <c r="A7160" s="2">
        <v>2017.0</v>
      </c>
      <c r="B7160" s="2" t="s">
        <v>30518</v>
      </c>
      <c r="C7160" s="2" t="s">
        <v>30519</v>
      </c>
      <c r="D7160" s="2" t="str">
        <f>"3174420911"</f>
        <v>3174420911</v>
      </c>
      <c r="E7160" s="2" t="s">
        <v>4665</v>
      </c>
      <c r="F7160" s="2" t="s">
        <v>23916</v>
      </c>
      <c r="G7160" s="2" t="str">
        <f>"SR-9615"</f>
        <v>SR-9615</v>
      </c>
      <c r="H7160" s="2" t="s">
        <v>30520</v>
      </c>
      <c r="I7160" s="2" t="s">
        <v>30521</v>
      </c>
      <c r="K7160" s="2" t="s">
        <v>2695</v>
      </c>
      <c r="L7160" s="2" t="s">
        <v>149</v>
      </c>
      <c r="M7160" s="2">
        <v>46069.0</v>
      </c>
      <c r="N7160" s="2" t="s">
        <v>21</v>
      </c>
    </row>
    <row r="7161" ht="15.75" customHeight="1">
      <c r="A7161" s="2">
        <v>2017.0</v>
      </c>
      <c r="B7161" s="2" t="s">
        <v>20683</v>
      </c>
      <c r="C7161" s="2" t="s">
        <v>20683</v>
      </c>
      <c r="D7161" s="2" t="str">
        <f>"4056137525"</f>
        <v>4056137525</v>
      </c>
      <c r="E7161" s="2" t="s">
        <v>30522</v>
      </c>
      <c r="F7161" s="2" t="s">
        <v>12320</v>
      </c>
      <c r="G7161" s="2" t="str">
        <f>"SR-9628"</f>
        <v>SR-9628</v>
      </c>
      <c r="H7161" s="2" t="s">
        <v>30523</v>
      </c>
      <c r="I7161" s="2" t="s">
        <v>20685</v>
      </c>
      <c r="K7161" s="2" t="s">
        <v>20686</v>
      </c>
      <c r="L7161" s="2" t="s">
        <v>840</v>
      </c>
      <c r="M7161" s="2">
        <v>73064.0</v>
      </c>
      <c r="N7161" s="2" t="s">
        <v>21</v>
      </c>
    </row>
    <row r="7162" ht="15.75" customHeight="1">
      <c r="A7162" s="2">
        <v>2017.0</v>
      </c>
      <c r="B7162" s="2" t="s">
        <v>30524</v>
      </c>
      <c r="C7162" s="2" t="s">
        <v>30524</v>
      </c>
      <c r="D7162" s="2" t="str">
        <f>"4066006686"</f>
        <v>4066006686</v>
      </c>
      <c r="E7162" s="2" t="s">
        <v>30525</v>
      </c>
      <c r="F7162" s="2" t="s">
        <v>17893</v>
      </c>
      <c r="G7162" s="2" t="str">
        <f>"SR-9541"</f>
        <v>SR-9541</v>
      </c>
      <c r="H7162" s="2" t="s">
        <v>30526</v>
      </c>
      <c r="I7162" s="2" t="s">
        <v>30527</v>
      </c>
      <c r="K7162" s="2" t="s">
        <v>12644</v>
      </c>
      <c r="L7162" s="2" t="s">
        <v>2696</v>
      </c>
      <c r="M7162" s="2">
        <v>59718.0</v>
      </c>
      <c r="N7162" s="2" t="s">
        <v>21</v>
      </c>
    </row>
    <row r="7163" ht="15.75" customHeight="1">
      <c r="A7163" s="2">
        <v>2017.0</v>
      </c>
      <c r="B7163" s="2" t="s">
        <v>30528</v>
      </c>
      <c r="C7163" s="2" t="s">
        <v>30529</v>
      </c>
      <c r="D7163" s="2" t="str">
        <f>"970-778-0444"</f>
        <v>970-778-0444</v>
      </c>
      <c r="E7163" s="2" t="s">
        <v>2306</v>
      </c>
      <c r="F7163" s="2" t="s">
        <v>30530</v>
      </c>
      <c r="G7163" s="2" t="str">
        <f>"SR-9640"</f>
        <v>SR-9640</v>
      </c>
      <c r="H7163" s="2" t="s">
        <v>30531</v>
      </c>
      <c r="I7163" s="2" t="s">
        <v>30532</v>
      </c>
      <c r="K7163" s="2" t="s">
        <v>11440</v>
      </c>
      <c r="L7163" s="2" t="s">
        <v>157</v>
      </c>
      <c r="M7163" s="2">
        <v>81506.0</v>
      </c>
      <c r="N7163" s="2" t="s">
        <v>21</v>
      </c>
    </row>
    <row r="7164" ht="15.75" customHeight="1">
      <c r="A7164" s="2">
        <v>2017.0</v>
      </c>
      <c r="B7164" s="2" t="s">
        <v>30533</v>
      </c>
      <c r="C7164" s="2" t="s">
        <v>30534</v>
      </c>
      <c r="D7164" s="2" t="str">
        <f>"4066007476"</f>
        <v>4066007476</v>
      </c>
      <c r="E7164" s="2" t="s">
        <v>12156</v>
      </c>
      <c r="F7164" s="2" t="s">
        <v>30535</v>
      </c>
      <c r="G7164" s="2" t="str">
        <f>"SR-9642"</f>
        <v>SR-9642</v>
      </c>
      <c r="H7164" s="2" t="s">
        <v>30536</v>
      </c>
      <c r="I7164" s="2" t="s">
        <v>30537</v>
      </c>
      <c r="K7164" s="2" t="s">
        <v>12644</v>
      </c>
      <c r="L7164" s="2" t="s">
        <v>2696</v>
      </c>
      <c r="M7164" s="2">
        <v>59718.0</v>
      </c>
      <c r="N7164" s="2" t="s">
        <v>21</v>
      </c>
    </row>
    <row r="7165" ht="15.75" customHeight="1">
      <c r="A7165" s="2">
        <v>2017.0</v>
      </c>
      <c r="B7165" s="2" t="s">
        <v>30538</v>
      </c>
      <c r="C7165" s="2" t="s">
        <v>30539</v>
      </c>
      <c r="D7165" s="2" t="str">
        <f>"7606444841"</f>
        <v>7606444841</v>
      </c>
      <c r="E7165" s="2" t="s">
        <v>14038</v>
      </c>
      <c r="F7165" s="2" t="s">
        <v>108</v>
      </c>
      <c r="G7165" s="2" t="str">
        <f>"SR-9647"</f>
        <v>SR-9647</v>
      </c>
      <c r="H7165" s="2" t="s">
        <v>30540</v>
      </c>
      <c r="I7165" s="2" t="s">
        <v>30541</v>
      </c>
      <c r="K7165" s="2" t="s">
        <v>10340</v>
      </c>
      <c r="L7165" s="2" t="s">
        <v>222</v>
      </c>
      <c r="M7165" s="2">
        <v>91709.0</v>
      </c>
      <c r="N7165" s="2" t="s">
        <v>21</v>
      </c>
    </row>
    <row r="7166" ht="15.75" customHeight="1">
      <c r="A7166" s="2">
        <v>2017.0</v>
      </c>
      <c r="B7166" s="2" t="s">
        <v>30542</v>
      </c>
      <c r="C7166" s="2" t="s">
        <v>30543</v>
      </c>
      <c r="D7166" s="2" t="str">
        <f>"8507184202"</f>
        <v>8507184202</v>
      </c>
      <c r="E7166" s="2" t="s">
        <v>6792</v>
      </c>
      <c r="F7166" s="2" t="s">
        <v>30544</v>
      </c>
      <c r="G7166" s="2" t="str">
        <f>"SR-9649"</f>
        <v>SR-9649</v>
      </c>
      <c r="H7166" s="2" t="s">
        <v>30545</v>
      </c>
      <c r="I7166" s="2" t="s">
        <v>30546</v>
      </c>
      <c r="K7166" s="2" t="s">
        <v>30547</v>
      </c>
      <c r="L7166" s="2" t="s">
        <v>208</v>
      </c>
      <c r="M7166" s="2">
        <v>32446.0</v>
      </c>
      <c r="N7166" s="2" t="s">
        <v>21</v>
      </c>
    </row>
    <row r="7167" ht="15.75" customHeight="1">
      <c r="A7167" s="2">
        <v>2017.0</v>
      </c>
      <c r="B7167" s="2" t="s">
        <v>30548</v>
      </c>
      <c r="C7167" s="2" t="s">
        <v>30549</v>
      </c>
      <c r="D7167" s="2" t="str">
        <f>"4235072876"</f>
        <v>4235072876</v>
      </c>
      <c r="E7167" s="2" t="s">
        <v>4213</v>
      </c>
      <c r="F7167" s="2" t="s">
        <v>30550</v>
      </c>
      <c r="G7167" s="2" t="str">
        <f>"SR-9641"</f>
        <v>SR-9641</v>
      </c>
      <c r="H7167" s="2" t="s">
        <v>30551</v>
      </c>
      <c r="I7167" s="2" t="s">
        <v>30552</v>
      </c>
      <c r="K7167" s="2" t="s">
        <v>5108</v>
      </c>
      <c r="L7167" s="2" t="s">
        <v>279</v>
      </c>
      <c r="M7167" s="2">
        <v>37371.0</v>
      </c>
      <c r="N7167" s="2" t="s">
        <v>21</v>
      </c>
    </row>
    <row r="7168" ht="15.75" customHeight="1">
      <c r="A7168" s="2">
        <v>2017.0</v>
      </c>
      <c r="B7168" s="2" t="s">
        <v>30553</v>
      </c>
      <c r="C7168" s="2" t="s">
        <v>30554</v>
      </c>
      <c r="D7168" s="2" t="str">
        <f>"(719) 873-5099"</f>
        <v>(719) 873-5099</v>
      </c>
      <c r="E7168" s="2" t="s">
        <v>718</v>
      </c>
      <c r="F7168" s="2" t="s">
        <v>30555</v>
      </c>
      <c r="G7168" s="2" t="str">
        <f>"SR-9661"</f>
        <v>SR-9661</v>
      </c>
      <c r="H7168" s="2" t="s">
        <v>30556</v>
      </c>
      <c r="I7168" s="2" t="s">
        <v>30557</v>
      </c>
      <c r="K7168" s="2" t="s">
        <v>30558</v>
      </c>
      <c r="L7168" s="2" t="s">
        <v>157</v>
      </c>
      <c r="M7168" s="2">
        <v>81154.0</v>
      </c>
      <c r="N7168" s="2" t="s">
        <v>21</v>
      </c>
    </row>
    <row r="7169" ht="15.75" customHeight="1">
      <c r="A7169" s="2">
        <v>2017.0</v>
      </c>
      <c r="B7169" s="2" t="s">
        <v>30559</v>
      </c>
      <c r="C7169" s="2" t="s">
        <v>30560</v>
      </c>
      <c r="D7169" s="2" t="str">
        <f>"3039174433"</f>
        <v>3039174433</v>
      </c>
      <c r="E7169" s="2" t="s">
        <v>824</v>
      </c>
      <c r="F7169" s="2" t="s">
        <v>30561</v>
      </c>
      <c r="G7169" s="2" t="str">
        <f>"SR-9100"</f>
        <v>SR-9100</v>
      </c>
      <c r="H7169" s="2" t="s">
        <v>30562</v>
      </c>
      <c r="I7169" s="2" t="s">
        <v>30563</v>
      </c>
      <c r="K7169" s="2" t="s">
        <v>682</v>
      </c>
      <c r="L7169" s="2" t="s">
        <v>157</v>
      </c>
      <c r="M7169" s="2">
        <v>80130.0</v>
      </c>
      <c r="N7169" s="2" t="s">
        <v>21</v>
      </c>
    </row>
    <row r="7170" ht="15.75" customHeight="1">
      <c r="A7170" s="2">
        <v>2017.0</v>
      </c>
      <c r="B7170" s="2" t="s">
        <v>30564</v>
      </c>
      <c r="C7170" s="2" t="s">
        <v>30565</v>
      </c>
      <c r="D7170" s="2" t="str">
        <f>"720-243-2542"</f>
        <v>720-243-2542</v>
      </c>
      <c r="E7170" s="2" t="s">
        <v>955</v>
      </c>
      <c r="F7170" s="2" t="s">
        <v>3527</v>
      </c>
      <c r="G7170" s="2" t="str">
        <f>"SR-9660"</f>
        <v>SR-9660</v>
      </c>
      <c r="H7170" s="2" t="s">
        <v>30566</v>
      </c>
      <c r="I7170" s="2" t="s">
        <v>30567</v>
      </c>
      <c r="K7170" s="2" t="s">
        <v>682</v>
      </c>
      <c r="L7170" s="2" t="s">
        <v>157</v>
      </c>
      <c r="M7170" s="2">
        <v>80129.0</v>
      </c>
      <c r="N7170" s="2" t="s">
        <v>21</v>
      </c>
    </row>
    <row r="7171" ht="15.75" customHeight="1">
      <c r="A7171" s="2">
        <v>2017.0</v>
      </c>
      <c r="B7171" s="2" t="s">
        <v>17435</v>
      </c>
      <c r="C7171" s="2" t="s">
        <v>30568</v>
      </c>
      <c r="D7171" s="2" t="str">
        <f>"940-380-0787"</f>
        <v>940-380-0787</v>
      </c>
      <c r="E7171" s="2" t="s">
        <v>5991</v>
      </c>
      <c r="F7171" s="2" t="s">
        <v>17436</v>
      </c>
      <c r="G7171" s="2" t="str">
        <f>"SR-9644"</f>
        <v>SR-9644</v>
      </c>
      <c r="H7171" s="2" t="s">
        <v>30569</v>
      </c>
      <c r="I7171" s="2" t="s">
        <v>17438</v>
      </c>
      <c r="K7171" s="2" t="s">
        <v>6539</v>
      </c>
      <c r="L7171" s="2" t="s">
        <v>172</v>
      </c>
      <c r="M7171" s="2">
        <v>76209.0</v>
      </c>
      <c r="N7171" s="2" t="s">
        <v>21</v>
      </c>
    </row>
    <row r="7172" ht="15.75" customHeight="1">
      <c r="A7172" s="2">
        <v>2017.0</v>
      </c>
      <c r="B7172" s="2" t="s">
        <v>30570</v>
      </c>
      <c r="C7172" s="2" t="s">
        <v>30571</v>
      </c>
      <c r="D7172" s="2" t="str">
        <f>"3369530914"</f>
        <v>3369530914</v>
      </c>
      <c r="E7172" s="2" t="s">
        <v>5548</v>
      </c>
      <c r="F7172" s="2" t="s">
        <v>30572</v>
      </c>
      <c r="G7172" s="2" t="str">
        <f>"SR-9655"</f>
        <v>SR-9655</v>
      </c>
      <c r="H7172" s="2" t="s">
        <v>30573</v>
      </c>
      <c r="I7172" s="2" t="s">
        <v>30574</v>
      </c>
      <c r="K7172" s="2" t="s">
        <v>30575</v>
      </c>
      <c r="L7172" s="2" t="s">
        <v>20</v>
      </c>
      <c r="M7172" s="2">
        <v>28450.0</v>
      </c>
      <c r="N7172" s="2" t="s">
        <v>21</v>
      </c>
    </row>
    <row r="7173" ht="15.75" customHeight="1">
      <c r="A7173" s="2">
        <v>2017.0</v>
      </c>
      <c r="B7173" s="2" t="s">
        <v>30576</v>
      </c>
      <c r="D7173" s="2" t="str">
        <f>""</f>
        <v/>
      </c>
      <c r="E7173" s="2" t="s">
        <v>30577</v>
      </c>
      <c r="F7173" s="2" t="s">
        <v>30578</v>
      </c>
      <c r="G7173" s="2" t="str">
        <f>"SR-9679"</f>
        <v>SR-9679</v>
      </c>
      <c r="H7173" s="2" t="s">
        <v>30579</v>
      </c>
      <c r="N7173" s="2" t="s">
        <v>21</v>
      </c>
    </row>
    <row r="7174" ht="15.75" customHeight="1">
      <c r="A7174" s="2">
        <v>2017.0</v>
      </c>
      <c r="B7174" s="2" t="s">
        <v>30580</v>
      </c>
      <c r="C7174" s="2" t="s">
        <v>9130</v>
      </c>
      <c r="D7174" s="2" t="str">
        <f>"425-457-9182"</f>
        <v>425-457-9182</v>
      </c>
      <c r="E7174" s="2" t="s">
        <v>72</v>
      </c>
      <c r="F7174" s="2" t="s">
        <v>5281</v>
      </c>
      <c r="G7174" s="2" t="str">
        <f>"SR-9672"</f>
        <v>SR-9672</v>
      </c>
      <c r="H7174" s="2" t="s">
        <v>7437</v>
      </c>
      <c r="I7174" s="2" t="s">
        <v>30581</v>
      </c>
      <c r="K7174" s="2" t="s">
        <v>1677</v>
      </c>
      <c r="L7174" s="2" t="s">
        <v>86</v>
      </c>
      <c r="M7174" s="2">
        <v>98012.0</v>
      </c>
      <c r="N7174" s="2" t="s">
        <v>21</v>
      </c>
    </row>
    <row r="7175" ht="15.75" customHeight="1">
      <c r="A7175" s="2">
        <v>2017.0</v>
      </c>
      <c r="B7175" s="2" t="s">
        <v>30580</v>
      </c>
      <c r="C7175" s="2" t="s">
        <v>9142</v>
      </c>
      <c r="D7175" s="2" t="str">
        <f>"425-773-9598"</f>
        <v>425-773-9598</v>
      </c>
      <c r="E7175" s="2" t="s">
        <v>453</v>
      </c>
      <c r="F7175" s="2" t="s">
        <v>5281</v>
      </c>
      <c r="G7175" s="2" t="str">
        <f>"SR-9671"</f>
        <v>SR-9671</v>
      </c>
      <c r="H7175" s="2" t="s">
        <v>9143</v>
      </c>
      <c r="I7175" s="2" t="s">
        <v>30581</v>
      </c>
      <c r="K7175" s="2" t="s">
        <v>1677</v>
      </c>
      <c r="L7175" s="2" t="s">
        <v>86</v>
      </c>
      <c r="M7175" s="2">
        <v>98012.0</v>
      </c>
      <c r="N7175" s="2" t="s">
        <v>21</v>
      </c>
    </row>
    <row r="7176" ht="15.75" customHeight="1">
      <c r="A7176" s="2">
        <v>2017.0</v>
      </c>
      <c r="B7176" s="2" t="s">
        <v>30580</v>
      </c>
      <c r="C7176" s="2" t="s">
        <v>30582</v>
      </c>
      <c r="D7176" s="2" t="str">
        <f>"425-445-8320"</f>
        <v>425-445-8320</v>
      </c>
      <c r="E7176" s="2" t="s">
        <v>282</v>
      </c>
      <c r="F7176" s="2" t="s">
        <v>5281</v>
      </c>
      <c r="G7176" s="2" t="str">
        <f>"SR-9673"</f>
        <v>SR-9673</v>
      </c>
      <c r="H7176" s="2" t="s">
        <v>30583</v>
      </c>
      <c r="I7176" s="2" t="s">
        <v>30584</v>
      </c>
      <c r="K7176" s="2" t="s">
        <v>1677</v>
      </c>
      <c r="L7176" s="2" t="s">
        <v>86</v>
      </c>
      <c r="M7176" s="2">
        <v>98012.0</v>
      </c>
      <c r="N7176" s="2" t="s">
        <v>21</v>
      </c>
    </row>
    <row r="7177" ht="15.75" customHeight="1">
      <c r="A7177" s="2">
        <v>2017.0</v>
      </c>
      <c r="B7177" s="2" t="s">
        <v>30585</v>
      </c>
      <c r="C7177" s="2" t="s">
        <v>30585</v>
      </c>
      <c r="D7177" s="2" t="str">
        <f>"937-528-9971"</f>
        <v>937-528-9971</v>
      </c>
      <c r="E7177" s="2" t="s">
        <v>2648</v>
      </c>
      <c r="F7177" s="2" t="s">
        <v>26488</v>
      </c>
      <c r="G7177" s="2" t="str">
        <f>"SR-9685"</f>
        <v>SR-9685</v>
      </c>
      <c r="H7177" s="2" t="s">
        <v>30586</v>
      </c>
      <c r="I7177" s="2" t="s">
        <v>30587</v>
      </c>
      <c r="K7177" s="2" t="s">
        <v>30588</v>
      </c>
      <c r="L7177" s="2" t="s">
        <v>344</v>
      </c>
      <c r="M7177" s="2">
        <v>45066.0</v>
      </c>
      <c r="N7177" s="2" t="s">
        <v>21</v>
      </c>
    </row>
    <row r="7178" ht="15.75" customHeight="1">
      <c r="A7178" s="2">
        <v>2017.0</v>
      </c>
      <c r="B7178" s="2" t="s">
        <v>30589</v>
      </c>
      <c r="C7178" s="2" t="s">
        <v>30590</v>
      </c>
      <c r="D7178" s="2" t="str">
        <f>"317-439-4417"</f>
        <v>317-439-4417</v>
      </c>
      <c r="E7178" s="2" t="s">
        <v>690</v>
      </c>
      <c r="F7178" s="2" t="s">
        <v>30591</v>
      </c>
      <c r="G7178" s="2" t="str">
        <f>"SR-9626"</f>
        <v>SR-9626</v>
      </c>
      <c r="H7178" s="2" t="s">
        <v>30592</v>
      </c>
      <c r="I7178" s="2" t="s">
        <v>30593</v>
      </c>
      <c r="K7178" s="2" t="s">
        <v>2674</v>
      </c>
      <c r="L7178" s="2" t="s">
        <v>149</v>
      </c>
      <c r="M7178" s="2">
        <v>46142.0</v>
      </c>
      <c r="N7178" s="2" t="s">
        <v>21</v>
      </c>
    </row>
    <row r="7179" ht="15.75" customHeight="1">
      <c r="A7179" s="2">
        <v>2017.0</v>
      </c>
      <c r="B7179" s="2" t="s">
        <v>30594</v>
      </c>
      <c r="C7179" s="2" t="s">
        <v>30595</v>
      </c>
      <c r="D7179" s="2" t="str">
        <f>"817-513-4463"</f>
        <v>817-513-4463</v>
      </c>
      <c r="E7179" s="2" t="s">
        <v>100</v>
      </c>
      <c r="F7179" s="2" t="s">
        <v>30596</v>
      </c>
      <c r="G7179" s="2" t="str">
        <f>"SR-9689"</f>
        <v>SR-9689</v>
      </c>
      <c r="H7179" s="2" t="s">
        <v>30597</v>
      </c>
      <c r="I7179" s="2" t="s">
        <v>30598</v>
      </c>
      <c r="K7179" s="2" t="s">
        <v>6245</v>
      </c>
      <c r="L7179" s="2" t="s">
        <v>172</v>
      </c>
      <c r="M7179" s="2">
        <v>76054.0</v>
      </c>
      <c r="N7179" s="2" t="s">
        <v>21</v>
      </c>
    </row>
    <row r="7180" ht="15.75" customHeight="1">
      <c r="A7180" s="2">
        <v>2017.0</v>
      </c>
      <c r="B7180" s="2" t="s">
        <v>30599</v>
      </c>
      <c r="C7180" s="2" t="s">
        <v>30600</v>
      </c>
      <c r="D7180" s="2" t="str">
        <f>"469-358-4023"</f>
        <v>469-358-4023</v>
      </c>
      <c r="E7180" s="2" t="s">
        <v>1094</v>
      </c>
      <c r="F7180" s="2" t="s">
        <v>2753</v>
      </c>
      <c r="G7180" s="2" t="str">
        <f>"SR-9692"</f>
        <v>SR-9692</v>
      </c>
      <c r="H7180" s="2" t="s">
        <v>30601</v>
      </c>
      <c r="I7180" s="2" t="s">
        <v>30602</v>
      </c>
      <c r="K7180" s="2" t="s">
        <v>4079</v>
      </c>
      <c r="L7180" s="2" t="s">
        <v>172</v>
      </c>
      <c r="M7180" s="2">
        <v>75040.0</v>
      </c>
      <c r="N7180" s="2" t="s">
        <v>21</v>
      </c>
    </row>
    <row r="7181" ht="15.75" customHeight="1">
      <c r="A7181" s="2">
        <v>2017.0</v>
      </c>
      <c r="B7181" s="2" t="s">
        <v>30603</v>
      </c>
      <c r="C7181" s="2" t="s">
        <v>30604</v>
      </c>
      <c r="D7181" s="2" t="str">
        <f>"2149078712"</f>
        <v>2149078712</v>
      </c>
      <c r="E7181" s="2" t="s">
        <v>30605</v>
      </c>
      <c r="F7181" s="2" t="s">
        <v>30606</v>
      </c>
      <c r="G7181" s="2" t="str">
        <f>"SR-9694"</f>
        <v>SR-9694</v>
      </c>
      <c r="H7181" s="2" t="s">
        <v>30607</v>
      </c>
      <c r="I7181" s="2" t="s">
        <v>30608</v>
      </c>
      <c r="K7181" s="2" t="s">
        <v>30609</v>
      </c>
      <c r="L7181" s="2" t="s">
        <v>172</v>
      </c>
      <c r="M7181" s="2">
        <v>75056.0</v>
      </c>
      <c r="N7181" s="2" t="s">
        <v>21</v>
      </c>
    </row>
    <row r="7182" ht="15.75" customHeight="1">
      <c r="A7182" s="2">
        <v>2017.0</v>
      </c>
      <c r="B7182" s="2" t="s">
        <v>30610</v>
      </c>
      <c r="C7182" s="2" t="s">
        <v>30611</v>
      </c>
      <c r="D7182" s="2" t="str">
        <f>"(972) 322-5463"</f>
        <v>(972) 322-5463</v>
      </c>
      <c r="E7182" s="2" t="s">
        <v>15579</v>
      </c>
      <c r="F7182" s="2" t="s">
        <v>1859</v>
      </c>
      <c r="G7182" s="2" t="str">
        <f>"SR-9687"</f>
        <v>SR-9687</v>
      </c>
      <c r="H7182" s="2" t="s">
        <v>30612</v>
      </c>
      <c r="I7182" s="2" t="s">
        <v>30613</v>
      </c>
      <c r="K7182" s="2" t="s">
        <v>357</v>
      </c>
      <c r="L7182" s="2" t="s">
        <v>172</v>
      </c>
      <c r="M7182" s="2">
        <v>75024.0</v>
      </c>
      <c r="N7182" s="2" t="s">
        <v>21</v>
      </c>
    </row>
    <row r="7183" ht="15.75" customHeight="1">
      <c r="A7183" s="2">
        <v>2017.0</v>
      </c>
      <c r="B7183" s="2" t="s">
        <v>30614</v>
      </c>
      <c r="C7183" s="2" t="s">
        <v>30615</v>
      </c>
      <c r="D7183" s="2" t="str">
        <f>"804-304-3415"</f>
        <v>804-304-3415</v>
      </c>
      <c r="E7183" s="2" t="s">
        <v>250</v>
      </c>
      <c r="F7183" s="2" t="s">
        <v>29522</v>
      </c>
      <c r="G7183" s="2" t="str">
        <f>"SR-9675"</f>
        <v>SR-9675</v>
      </c>
      <c r="H7183" s="2" t="s">
        <v>30616</v>
      </c>
      <c r="I7183" s="2" t="s">
        <v>30617</v>
      </c>
      <c r="K7183" s="2" t="s">
        <v>4216</v>
      </c>
      <c r="L7183" s="2" t="s">
        <v>165</v>
      </c>
      <c r="M7183" s="2">
        <v>23226.0</v>
      </c>
      <c r="N7183" s="2" t="s">
        <v>21</v>
      </c>
    </row>
    <row r="7184" ht="15.75" customHeight="1">
      <c r="A7184" s="2">
        <v>2017.0</v>
      </c>
      <c r="B7184" s="2" t="s">
        <v>16687</v>
      </c>
      <c r="C7184" s="2" t="s">
        <v>16687</v>
      </c>
      <c r="D7184" s="2" t="str">
        <f>"3178850161"</f>
        <v>3178850161</v>
      </c>
      <c r="E7184" s="2" t="s">
        <v>225</v>
      </c>
      <c r="F7184" s="2" t="s">
        <v>9139</v>
      </c>
      <c r="G7184" s="2" t="str">
        <f>"SR-9669"</f>
        <v>SR-9669</v>
      </c>
      <c r="H7184" s="2" t="s">
        <v>30618</v>
      </c>
      <c r="I7184" s="2" t="s">
        <v>16691</v>
      </c>
      <c r="K7184" s="2" t="s">
        <v>2674</v>
      </c>
      <c r="L7184" s="2" t="s">
        <v>149</v>
      </c>
      <c r="M7184" s="2">
        <v>46142.0</v>
      </c>
      <c r="N7184" s="2" t="s">
        <v>21</v>
      </c>
    </row>
    <row r="7185" ht="15.75" customHeight="1">
      <c r="A7185" s="2">
        <v>2017.0</v>
      </c>
      <c r="B7185" s="2" t="s">
        <v>30619</v>
      </c>
      <c r="C7185" s="2" t="s">
        <v>30619</v>
      </c>
      <c r="D7185" s="2" t="str">
        <f>"9375093095"</f>
        <v>9375093095</v>
      </c>
      <c r="E7185" s="2" t="s">
        <v>2259</v>
      </c>
      <c r="F7185" s="2" t="s">
        <v>26488</v>
      </c>
      <c r="G7185" s="2" t="str">
        <f>"SR-9686"</f>
        <v>SR-9686</v>
      </c>
      <c r="H7185" s="2" t="s">
        <v>30620</v>
      </c>
      <c r="I7185" s="2" t="s">
        <v>30587</v>
      </c>
      <c r="K7185" s="2" t="s">
        <v>30588</v>
      </c>
      <c r="L7185" s="2" t="s">
        <v>344</v>
      </c>
      <c r="M7185" s="2">
        <v>45066.0</v>
      </c>
      <c r="N7185" s="2" t="s">
        <v>21</v>
      </c>
    </row>
    <row r="7186" ht="15.75" customHeight="1">
      <c r="A7186" s="2">
        <v>2017.0</v>
      </c>
      <c r="B7186" s="2" t="s">
        <v>26333</v>
      </c>
      <c r="C7186" s="2" t="s">
        <v>26334</v>
      </c>
      <c r="D7186" s="2" t="str">
        <f>"805-215-2982"</f>
        <v>805-215-2982</v>
      </c>
      <c r="E7186" s="2" t="s">
        <v>11583</v>
      </c>
      <c r="F7186" s="2" t="s">
        <v>2753</v>
      </c>
      <c r="G7186" s="2" t="str">
        <f>"SR-8184"</f>
        <v>SR-8184</v>
      </c>
      <c r="H7186" s="2" t="s">
        <v>26335</v>
      </c>
      <c r="I7186" s="2" t="s">
        <v>26336</v>
      </c>
      <c r="K7186" s="2" t="s">
        <v>26337</v>
      </c>
      <c r="L7186" s="2" t="s">
        <v>222</v>
      </c>
      <c r="M7186" s="2">
        <v>93453.0</v>
      </c>
      <c r="N7186" s="2" t="s">
        <v>21</v>
      </c>
    </row>
    <row r="7187" ht="15.75" customHeight="1">
      <c r="A7187" s="2">
        <v>2017.0</v>
      </c>
      <c r="B7187" s="2" t="s">
        <v>30621</v>
      </c>
      <c r="C7187" s="2" t="s">
        <v>30622</v>
      </c>
      <c r="D7187" s="2" t="str">
        <f>"925-373-1083"</f>
        <v>925-373-1083</v>
      </c>
      <c r="E7187" s="2" t="s">
        <v>30623</v>
      </c>
      <c r="F7187" s="2" t="s">
        <v>3144</v>
      </c>
      <c r="G7187" s="2" t="str">
        <f>"SR-9567"</f>
        <v>SR-9567</v>
      </c>
      <c r="H7187" s="2" t="s">
        <v>30624</v>
      </c>
      <c r="I7187" s="2" t="s">
        <v>30625</v>
      </c>
      <c r="K7187" s="2" t="s">
        <v>9721</v>
      </c>
      <c r="L7187" s="2" t="s">
        <v>222</v>
      </c>
      <c r="M7187" s="2">
        <v>94550.0</v>
      </c>
      <c r="N7187" s="2" t="s">
        <v>21</v>
      </c>
    </row>
    <row r="7188" ht="15.75" customHeight="1">
      <c r="A7188" s="2">
        <v>2017.0</v>
      </c>
      <c r="B7188" s="2" t="s">
        <v>30626</v>
      </c>
      <c r="C7188" s="2" t="s">
        <v>30627</v>
      </c>
      <c r="D7188" s="2" t="str">
        <f>"214-679-4177"</f>
        <v>214-679-4177</v>
      </c>
      <c r="E7188" s="2" t="s">
        <v>3778</v>
      </c>
      <c r="F7188" s="2" t="s">
        <v>30628</v>
      </c>
      <c r="G7188" s="2" t="str">
        <f>"SR-9710"</f>
        <v>SR-9710</v>
      </c>
      <c r="H7188" s="2" t="s">
        <v>30629</v>
      </c>
      <c r="I7188" s="2" t="s">
        <v>30630</v>
      </c>
      <c r="K7188" s="2" t="s">
        <v>171</v>
      </c>
      <c r="L7188" s="2" t="s">
        <v>172</v>
      </c>
      <c r="M7188" s="2">
        <v>75010.0</v>
      </c>
      <c r="N7188" s="2" t="s">
        <v>21</v>
      </c>
    </row>
    <row r="7189" ht="15.75" customHeight="1">
      <c r="A7189" s="2">
        <v>2017.0</v>
      </c>
      <c r="B7189" s="2" t="s">
        <v>30631</v>
      </c>
      <c r="C7189" s="2" t="s">
        <v>30632</v>
      </c>
      <c r="D7189" s="2" t="str">
        <f>"719-210-1535"</f>
        <v>719-210-1535</v>
      </c>
      <c r="E7189" s="2" t="s">
        <v>15626</v>
      </c>
      <c r="F7189" s="2" t="s">
        <v>22348</v>
      </c>
      <c r="G7189" s="2" t="str">
        <f>"SR-9713"</f>
        <v>SR-9713</v>
      </c>
      <c r="H7189" s="2" t="s">
        <v>30633</v>
      </c>
      <c r="I7189" s="2" t="s">
        <v>30634</v>
      </c>
      <c r="K7189" s="2" t="s">
        <v>809</v>
      </c>
      <c r="L7189" s="2" t="s">
        <v>157</v>
      </c>
      <c r="M7189" s="2">
        <v>80907.0</v>
      </c>
      <c r="N7189" s="2" t="s">
        <v>21</v>
      </c>
    </row>
    <row r="7190" ht="15.75" customHeight="1">
      <c r="A7190" s="2">
        <v>2017.0</v>
      </c>
      <c r="B7190" s="2" t="s">
        <v>30635</v>
      </c>
      <c r="C7190" s="2" t="s">
        <v>30635</v>
      </c>
      <c r="D7190" s="2" t="str">
        <f>"(864) 973-1260"</f>
        <v>(864) 973-1260</v>
      </c>
      <c r="E7190" s="2" t="s">
        <v>301</v>
      </c>
      <c r="F7190" s="2" t="s">
        <v>6884</v>
      </c>
      <c r="G7190" s="2" t="str">
        <f>"SR-9510"</f>
        <v>SR-9510</v>
      </c>
      <c r="H7190" s="2" t="s">
        <v>30636</v>
      </c>
      <c r="I7190" s="2" t="s">
        <v>30637</v>
      </c>
      <c r="K7190" s="2" t="s">
        <v>2711</v>
      </c>
      <c r="L7190" s="2" t="s">
        <v>55</v>
      </c>
      <c r="M7190" s="2">
        <v>29678.0</v>
      </c>
      <c r="N7190" s="2" t="s">
        <v>21</v>
      </c>
    </row>
    <row r="7191" ht="15.75" customHeight="1">
      <c r="A7191" s="2">
        <v>2017.0</v>
      </c>
      <c r="B7191" s="2" t="s">
        <v>30638</v>
      </c>
      <c r="C7191" s="2" t="s">
        <v>30639</v>
      </c>
      <c r="D7191" s="2" t="str">
        <f>"618-223-3545"</f>
        <v>618-223-3545</v>
      </c>
      <c r="E7191" s="2" t="s">
        <v>50</v>
      </c>
      <c r="F7191" s="2" t="s">
        <v>4750</v>
      </c>
      <c r="G7191" s="2" t="str">
        <f>"SR-9650"</f>
        <v>SR-9650</v>
      </c>
      <c r="H7191" s="2" t="s">
        <v>30640</v>
      </c>
      <c r="I7191" s="2" t="s">
        <v>30641</v>
      </c>
      <c r="K7191" s="2" t="s">
        <v>30642</v>
      </c>
      <c r="L7191" s="2" t="s">
        <v>105</v>
      </c>
      <c r="M7191" s="2">
        <v>62260.0</v>
      </c>
      <c r="N7191" s="2" t="s">
        <v>21</v>
      </c>
    </row>
    <row r="7192" ht="15.75" customHeight="1">
      <c r="A7192" s="2">
        <v>2017.0</v>
      </c>
      <c r="B7192" s="2" t="s">
        <v>30643</v>
      </c>
      <c r="C7192" s="2" t="s">
        <v>30644</v>
      </c>
      <c r="D7192" s="2" t="str">
        <f>"765-610-2817"</f>
        <v>765-610-2817</v>
      </c>
      <c r="E7192" s="2" t="s">
        <v>6966</v>
      </c>
      <c r="F7192" s="2" t="s">
        <v>1524</v>
      </c>
      <c r="G7192" s="2" t="str">
        <f>"SR-9721"</f>
        <v>SR-9721</v>
      </c>
      <c r="H7192" s="2" t="s">
        <v>30645</v>
      </c>
      <c r="I7192" s="2" t="s">
        <v>30646</v>
      </c>
      <c r="K7192" s="2" t="s">
        <v>984</v>
      </c>
      <c r="L7192" s="2" t="s">
        <v>149</v>
      </c>
      <c r="M7192" s="2">
        <v>46011.0</v>
      </c>
      <c r="N7192" s="2" t="s">
        <v>21</v>
      </c>
    </row>
    <row r="7193" ht="15.75" customHeight="1">
      <c r="A7193" s="2">
        <v>2017.0</v>
      </c>
      <c r="B7193" s="2" t="s">
        <v>25139</v>
      </c>
      <c r="C7193" s="2" t="s">
        <v>25139</v>
      </c>
      <c r="D7193" s="2" t="str">
        <f>"440-670-1995"</f>
        <v>440-670-1995</v>
      </c>
      <c r="E7193" s="2" t="s">
        <v>7512</v>
      </c>
      <c r="F7193" s="2" t="s">
        <v>25140</v>
      </c>
      <c r="G7193" s="2" t="str">
        <f>"SR-7620"</f>
        <v>SR-7620</v>
      </c>
      <c r="H7193" s="2" t="s">
        <v>25141</v>
      </c>
      <c r="I7193" s="2" t="s">
        <v>25142</v>
      </c>
      <c r="K7193" s="2" t="s">
        <v>25143</v>
      </c>
      <c r="L7193" s="2" t="s">
        <v>344</v>
      </c>
      <c r="M7193" s="2">
        <v>44035.0</v>
      </c>
      <c r="N7193" s="2" t="s">
        <v>21</v>
      </c>
    </row>
    <row r="7194" ht="15.75" customHeight="1">
      <c r="A7194" s="2">
        <v>2017.0</v>
      </c>
      <c r="B7194" s="2" t="s">
        <v>30647</v>
      </c>
      <c r="C7194" s="2" t="s">
        <v>30647</v>
      </c>
      <c r="D7194" s="2" t="str">
        <f>"2254026656"</f>
        <v>2254026656</v>
      </c>
      <c r="E7194" s="2" t="s">
        <v>1015</v>
      </c>
      <c r="F7194" s="2" t="s">
        <v>19651</v>
      </c>
      <c r="G7194" s="2" t="str">
        <f>"SR-9726"</f>
        <v>SR-9726</v>
      </c>
      <c r="H7194" s="2" t="s">
        <v>30648</v>
      </c>
      <c r="I7194" s="2" t="s">
        <v>30649</v>
      </c>
      <c r="K7194" s="2" t="s">
        <v>19654</v>
      </c>
      <c r="L7194" s="2" t="s">
        <v>715</v>
      </c>
      <c r="M7194" s="2">
        <v>70734.0</v>
      </c>
      <c r="N7194" s="2" t="s">
        <v>21</v>
      </c>
    </row>
    <row r="7195" ht="15.75" customHeight="1">
      <c r="A7195" s="2">
        <v>2017.0</v>
      </c>
      <c r="B7195" s="2" t="s">
        <v>30650</v>
      </c>
      <c r="C7195" s="2" t="s">
        <v>30650</v>
      </c>
      <c r="D7195" s="2" t="str">
        <f>"864-557-1333"</f>
        <v>864-557-1333</v>
      </c>
      <c r="E7195" s="2" t="s">
        <v>2851</v>
      </c>
      <c r="F7195" s="2" t="s">
        <v>30651</v>
      </c>
      <c r="G7195" s="2" t="str">
        <f>"SR-9200"</f>
        <v>SR-9200</v>
      </c>
      <c r="H7195" s="2" t="s">
        <v>30652</v>
      </c>
      <c r="I7195" s="2" t="s">
        <v>30653</v>
      </c>
      <c r="K7195" s="2" t="s">
        <v>30654</v>
      </c>
      <c r="L7195" s="2" t="s">
        <v>157</v>
      </c>
      <c r="M7195" s="2">
        <v>81212.0</v>
      </c>
      <c r="N7195" s="2" t="s">
        <v>21</v>
      </c>
    </row>
    <row r="7196" ht="15.75" customHeight="1">
      <c r="A7196" s="2">
        <v>2017.0</v>
      </c>
      <c r="B7196" s="2" t="s">
        <v>30655</v>
      </c>
      <c r="C7196" s="2" t="s">
        <v>30655</v>
      </c>
      <c r="D7196" s="2" t="str">
        <f>"785-410-9624"</f>
        <v>785-410-9624</v>
      </c>
      <c r="E7196" s="2" t="s">
        <v>30656</v>
      </c>
      <c r="F7196" s="2" t="s">
        <v>1804</v>
      </c>
      <c r="G7196" s="2" t="str">
        <f>"SR-9727"</f>
        <v>SR-9727</v>
      </c>
      <c r="H7196" s="2" t="s">
        <v>30657</v>
      </c>
      <c r="I7196" s="2" t="s">
        <v>30658</v>
      </c>
      <c r="K7196" s="2" t="s">
        <v>1807</v>
      </c>
      <c r="L7196" s="2" t="s">
        <v>272</v>
      </c>
      <c r="M7196" s="2">
        <v>66503.0</v>
      </c>
      <c r="N7196" s="2" t="s">
        <v>21</v>
      </c>
    </row>
    <row r="7197" ht="15.75" customHeight="1">
      <c r="A7197" s="2">
        <v>2017.0</v>
      </c>
      <c r="B7197" s="2" t="s">
        <v>30659</v>
      </c>
      <c r="C7197" s="2" t="s">
        <v>30660</v>
      </c>
      <c r="D7197" s="2" t="str">
        <f>"719.359.6714"</f>
        <v>719.359.6714</v>
      </c>
      <c r="E7197" s="2" t="s">
        <v>12507</v>
      </c>
      <c r="F7197" s="2" t="s">
        <v>8911</v>
      </c>
      <c r="G7197" s="2" t="str">
        <f>"SR-9635"</f>
        <v>SR-9635</v>
      </c>
      <c r="H7197" s="2" t="s">
        <v>30661</v>
      </c>
      <c r="I7197" s="2" t="s">
        <v>30662</v>
      </c>
      <c r="K7197" s="2" t="s">
        <v>809</v>
      </c>
      <c r="L7197" s="2" t="s">
        <v>157</v>
      </c>
      <c r="M7197" s="2">
        <v>80920.0</v>
      </c>
      <c r="N7197" s="2" t="s">
        <v>21</v>
      </c>
    </row>
    <row r="7198" ht="15.75" customHeight="1">
      <c r="A7198" s="2">
        <v>2017.0</v>
      </c>
      <c r="B7198" s="2" t="s">
        <v>29441</v>
      </c>
      <c r="C7198" s="2" t="s">
        <v>29441</v>
      </c>
      <c r="D7198" s="2" t="str">
        <f t="shared" ref="D7198:D7199" si="121">"740-524-0646"</f>
        <v>740-524-0646</v>
      </c>
      <c r="E7198" s="2" t="s">
        <v>29460</v>
      </c>
      <c r="F7198" s="2" t="s">
        <v>29443</v>
      </c>
      <c r="G7198" s="2" t="str">
        <f>"SR-9169"</f>
        <v>SR-9169</v>
      </c>
      <c r="H7198" s="2" t="s">
        <v>29461</v>
      </c>
      <c r="I7198" s="2" t="s">
        <v>29445</v>
      </c>
      <c r="K7198" s="2" t="s">
        <v>10756</v>
      </c>
      <c r="L7198" s="2" t="s">
        <v>344</v>
      </c>
      <c r="M7198" s="2">
        <v>43015.0</v>
      </c>
      <c r="N7198" s="2" t="s">
        <v>21</v>
      </c>
    </row>
    <row r="7199" ht="15.75" customHeight="1">
      <c r="A7199" s="2">
        <v>2017.0</v>
      </c>
      <c r="B7199" s="2" t="s">
        <v>29441</v>
      </c>
      <c r="C7199" s="2" t="s">
        <v>29442</v>
      </c>
      <c r="D7199" s="2" t="str">
        <f t="shared" si="121"/>
        <v>740-524-0646</v>
      </c>
      <c r="E7199" s="2" t="s">
        <v>1054</v>
      </c>
      <c r="F7199" s="2" t="s">
        <v>29443</v>
      </c>
      <c r="G7199" s="2" t="str">
        <f>"SR-9170"</f>
        <v>SR-9170</v>
      </c>
      <c r="H7199" s="2" t="s">
        <v>29444</v>
      </c>
      <c r="I7199" s="2" t="s">
        <v>29445</v>
      </c>
      <c r="K7199" s="2" t="s">
        <v>10756</v>
      </c>
      <c r="L7199" s="2" t="s">
        <v>344</v>
      </c>
      <c r="M7199" s="2">
        <v>43015.0</v>
      </c>
      <c r="N7199" s="2" t="s">
        <v>21</v>
      </c>
    </row>
    <row r="7200" ht="15.75" customHeight="1">
      <c r="A7200" s="2">
        <v>2017.0</v>
      </c>
      <c r="B7200" s="2" t="s">
        <v>30663</v>
      </c>
      <c r="C7200" s="2" t="s">
        <v>30663</v>
      </c>
      <c r="D7200" s="2" t="str">
        <f>"4327706126"</f>
        <v>4327706126</v>
      </c>
      <c r="E7200" s="2" t="s">
        <v>30664</v>
      </c>
      <c r="F7200" s="2" t="s">
        <v>5121</v>
      </c>
      <c r="G7200" s="2" t="str">
        <f>"SR-9734"</f>
        <v>SR-9734</v>
      </c>
      <c r="H7200" s="2" t="s">
        <v>30665</v>
      </c>
      <c r="I7200" s="2" t="s">
        <v>30666</v>
      </c>
      <c r="K7200" s="2" t="s">
        <v>286</v>
      </c>
      <c r="L7200" s="2" t="s">
        <v>172</v>
      </c>
      <c r="M7200" s="2">
        <v>79707.0</v>
      </c>
      <c r="N7200" s="2" t="s">
        <v>21</v>
      </c>
    </row>
    <row r="7201" ht="15.75" customHeight="1">
      <c r="A7201" s="2">
        <v>2017.0</v>
      </c>
      <c r="B7201" s="2" t="s">
        <v>30667</v>
      </c>
      <c r="C7201" s="2" t="s">
        <v>30667</v>
      </c>
      <c r="D7201" s="2" t="str">
        <f>"719-749-8240"</f>
        <v>719-749-8240</v>
      </c>
      <c r="E7201" s="2" t="s">
        <v>485</v>
      </c>
      <c r="F7201" s="2" t="s">
        <v>16251</v>
      </c>
      <c r="G7201" s="2" t="str">
        <f>"SR-9620"</f>
        <v>SR-9620</v>
      </c>
      <c r="H7201" s="2" t="s">
        <v>30668</v>
      </c>
      <c r="I7201" s="2" t="s">
        <v>30669</v>
      </c>
      <c r="K7201" s="2" t="s">
        <v>5531</v>
      </c>
      <c r="L7201" s="2" t="s">
        <v>422</v>
      </c>
      <c r="M7201" s="2">
        <v>85207.0</v>
      </c>
      <c r="N7201" s="2" t="s">
        <v>21</v>
      </c>
    </row>
    <row r="7202" ht="15.75" customHeight="1">
      <c r="A7202" s="2">
        <v>2017.0</v>
      </c>
      <c r="B7202" s="2" t="s">
        <v>30670</v>
      </c>
      <c r="C7202" s="2" t="s">
        <v>30671</v>
      </c>
      <c r="D7202" s="2" t="str">
        <f>"8067872517"</f>
        <v>8067872517</v>
      </c>
      <c r="E7202" s="2" t="s">
        <v>288</v>
      </c>
      <c r="F7202" s="2" t="s">
        <v>30672</v>
      </c>
      <c r="G7202" s="2" t="str">
        <f>"SR-9705"</f>
        <v>SR-9705</v>
      </c>
      <c r="H7202" s="2" t="s">
        <v>30673</v>
      </c>
      <c r="I7202" s="2" t="s">
        <v>30674</v>
      </c>
      <c r="K7202" s="2" t="s">
        <v>1121</v>
      </c>
      <c r="L7202" s="2" t="s">
        <v>172</v>
      </c>
      <c r="M7202" s="2">
        <v>79407.0</v>
      </c>
      <c r="N7202" s="2" t="s">
        <v>21</v>
      </c>
    </row>
    <row r="7203" ht="15.75" customHeight="1">
      <c r="A7203" s="2">
        <v>2017.0</v>
      </c>
      <c r="B7203" s="2" t="s">
        <v>30670</v>
      </c>
      <c r="C7203" s="2" t="s">
        <v>30675</v>
      </c>
      <c r="D7203" s="2" t="str">
        <f>"8063174105"</f>
        <v>8063174105</v>
      </c>
      <c r="E7203" s="2" t="s">
        <v>367</v>
      </c>
      <c r="F7203" s="2" t="s">
        <v>30672</v>
      </c>
      <c r="G7203" s="2" t="str">
        <f>"SR-9735"</f>
        <v>SR-9735</v>
      </c>
      <c r="H7203" s="2" t="s">
        <v>30676</v>
      </c>
      <c r="I7203" s="2" t="s">
        <v>30674</v>
      </c>
      <c r="K7203" s="2" t="s">
        <v>1121</v>
      </c>
      <c r="L7203" s="2" t="s">
        <v>172</v>
      </c>
      <c r="M7203" s="2">
        <v>79407.0</v>
      </c>
      <c r="N7203" s="2" t="s">
        <v>21</v>
      </c>
    </row>
    <row r="7204" ht="15.75" customHeight="1">
      <c r="A7204" s="2">
        <v>2017.0</v>
      </c>
      <c r="B7204" s="2" t="s">
        <v>30677</v>
      </c>
      <c r="C7204" s="2" t="s">
        <v>25485</v>
      </c>
      <c r="D7204" s="2" t="str">
        <f>"81247213066"</f>
        <v>81247213066</v>
      </c>
      <c r="E7204" s="2" t="s">
        <v>718</v>
      </c>
      <c r="F7204" s="2" t="s">
        <v>4318</v>
      </c>
      <c r="G7204" s="2" t="str">
        <f>"SR-9531"</f>
        <v>SR-9531</v>
      </c>
      <c r="H7204" s="2" t="s">
        <v>30678</v>
      </c>
      <c r="I7204" s="2" t="s">
        <v>30679</v>
      </c>
      <c r="K7204" s="2" t="s">
        <v>30680</v>
      </c>
      <c r="L7204" s="2" t="s">
        <v>149</v>
      </c>
      <c r="M7204" s="2">
        <v>47145.0</v>
      </c>
      <c r="N7204" s="2" t="s">
        <v>21</v>
      </c>
    </row>
    <row r="7205" ht="15.75" customHeight="1">
      <c r="A7205" s="2">
        <v>2017.0</v>
      </c>
      <c r="B7205" s="2" t="s">
        <v>23316</v>
      </c>
      <c r="C7205" s="2" t="s">
        <v>30681</v>
      </c>
      <c r="D7205" s="2" t="str">
        <f>"4793218148"</f>
        <v>4793218148</v>
      </c>
      <c r="E7205" s="2" t="s">
        <v>30682</v>
      </c>
      <c r="F7205" s="2" t="s">
        <v>9115</v>
      </c>
      <c r="G7205" s="2" t="str">
        <f>"SR-9658"</f>
        <v>SR-9658</v>
      </c>
      <c r="H7205" s="2" t="s">
        <v>30683</v>
      </c>
      <c r="I7205" s="2" t="s">
        <v>23319</v>
      </c>
      <c r="K7205" s="2" t="s">
        <v>23320</v>
      </c>
      <c r="L7205" s="2" t="s">
        <v>1012</v>
      </c>
      <c r="M7205" s="2">
        <v>72718.0</v>
      </c>
      <c r="N7205" s="2" t="s">
        <v>21</v>
      </c>
    </row>
    <row r="7206" ht="15.75" customHeight="1">
      <c r="A7206" s="2">
        <v>2017.0</v>
      </c>
      <c r="B7206" s="2" t="s">
        <v>30684</v>
      </c>
      <c r="D7206" s="2" t="str">
        <f>""</f>
        <v/>
      </c>
      <c r="E7206" s="2" t="s">
        <v>6966</v>
      </c>
      <c r="F7206" s="2" t="s">
        <v>7039</v>
      </c>
      <c r="G7206" s="2" t="str">
        <f>"SR-9638"</f>
        <v>SR-9638</v>
      </c>
      <c r="H7206" s="2" t="s">
        <v>30685</v>
      </c>
      <c r="N7206" s="2" t="s">
        <v>21</v>
      </c>
    </row>
    <row r="7207" ht="15.75" customHeight="1">
      <c r="A7207" s="2">
        <v>2017.0</v>
      </c>
      <c r="B7207" s="2" t="s">
        <v>30686</v>
      </c>
      <c r="C7207" s="2" t="s">
        <v>30687</v>
      </c>
      <c r="D7207" s="2" t="str">
        <f>"714-343-9717"</f>
        <v>714-343-9717</v>
      </c>
      <c r="E7207" s="2" t="s">
        <v>6007</v>
      </c>
      <c r="F7207" s="2" t="s">
        <v>21049</v>
      </c>
      <c r="G7207" s="2" t="str">
        <f>"SR-9736"</f>
        <v>SR-9736</v>
      </c>
      <c r="H7207" s="2" t="s">
        <v>30688</v>
      </c>
      <c r="I7207" s="2" t="s">
        <v>30689</v>
      </c>
      <c r="K7207" s="2" t="s">
        <v>4026</v>
      </c>
      <c r="L7207" s="2" t="s">
        <v>222</v>
      </c>
      <c r="M7207" s="2">
        <v>92807.0</v>
      </c>
      <c r="N7207" s="2" t="s">
        <v>21</v>
      </c>
    </row>
    <row r="7208" ht="15.75" customHeight="1">
      <c r="A7208" s="2">
        <v>2017.0</v>
      </c>
      <c r="B7208" s="2" t="s">
        <v>24442</v>
      </c>
      <c r="C7208" s="2" t="s">
        <v>24443</v>
      </c>
      <c r="D7208" s="2" t="str">
        <f>"501-796-2136"</f>
        <v>501-796-2136</v>
      </c>
      <c r="E7208" s="2" t="s">
        <v>24444</v>
      </c>
      <c r="F7208" s="2" t="s">
        <v>24445</v>
      </c>
      <c r="G7208" s="2" t="str">
        <f>"SR-7150"</f>
        <v>SR-7150</v>
      </c>
      <c r="H7208" s="2" t="s">
        <v>24446</v>
      </c>
      <c r="I7208" s="2" t="s">
        <v>24447</v>
      </c>
      <c r="K7208" s="2" t="s">
        <v>9682</v>
      </c>
      <c r="L7208" s="2" t="s">
        <v>1012</v>
      </c>
      <c r="M7208" s="2">
        <v>72032.0</v>
      </c>
      <c r="N7208" s="2" t="s">
        <v>21</v>
      </c>
    </row>
    <row r="7209" ht="15.75" customHeight="1">
      <c r="A7209" s="2">
        <v>2017.0</v>
      </c>
      <c r="B7209" s="2" t="s">
        <v>22967</v>
      </c>
      <c r="C7209" s="2" t="s">
        <v>30690</v>
      </c>
      <c r="D7209" s="2" t="str">
        <f>"703-283-6850"</f>
        <v>703-283-6850</v>
      </c>
      <c r="E7209" s="2" t="s">
        <v>1015</v>
      </c>
      <c r="F7209" s="2" t="s">
        <v>22969</v>
      </c>
      <c r="G7209" s="2" t="str">
        <f>"SR-9744"</f>
        <v>SR-9744</v>
      </c>
      <c r="H7209" s="2" t="s">
        <v>30691</v>
      </c>
      <c r="I7209" s="2" t="s">
        <v>30692</v>
      </c>
      <c r="K7209" s="2" t="s">
        <v>12253</v>
      </c>
      <c r="L7209" s="2" t="s">
        <v>165</v>
      </c>
      <c r="M7209" s="2">
        <v>22180.0</v>
      </c>
      <c r="N7209" s="2" t="s">
        <v>21</v>
      </c>
    </row>
    <row r="7210" ht="15.75" customHeight="1">
      <c r="A7210" s="2">
        <v>2017.0</v>
      </c>
      <c r="B7210" s="2" t="s">
        <v>30693</v>
      </c>
      <c r="D7210" s="2" t="str">
        <f>""</f>
        <v/>
      </c>
      <c r="E7210" s="2" t="s">
        <v>1529</v>
      </c>
      <c r="F7210" s="2" t="s">
        <v>13812</v>
      </c>
      <c r="G7210" s="2" t="str">
        <f>"SR-9646"</f>
        <v>SR-9646</v>
      </c>
      <c r="H7210" s="2" t="s">
        <v>30694</v>
      </c>
      <c r="N7210" s="2" t="s">
        <v>21</v>
      </c>
    </row>
    <row r="7211" ht="15.75" customHeight="1">
      <c r="A7211" s="2">
        <v>2017.0</v>
      </c>
      <c r="B7211" s="2" t="s">
        <v>30695</v>
      </c>
      <c r="C7211" s="2" t="s">
        <v>30696</v>
      </c>
      <c r="D7211" s="2" t="str">
        <f>"615-866-5543"</f>
        <v>615-866-5543</v>
      </c>
      <c r="E7211" s="2" t="s">
        <v>30697</v>
      </c>
      <c r="F7211" s="2" t="s">
        <v>30698</v>
      </c>
      <c r="G7211" s="2" t="str">
        <f>"SR-9759"</f>
        <v>SR-9759</v>
      </c>
      <c r="H7211" s="2" t="s">
        <v>30699</v>
      </c>
      <c r="I7211" s="2" t="s">
        <v>30700</v>
      </c>
      <c r="K7211" s="2" t="s">
        <v>30701</v>
      </c>
      <c r="L7211" s="2" t="s">
        <v>279</v>
      </c>
      <c r="M7211" s="2">
        <v>37082.0</v>
      </c>
      <c r="N7211" s="2" t="s">
        <v>21</v>
      </c>
    </row>
    <row r="7212" ht="15.75" customHeight="1">
      <c r="A7212" s="2">
        <v>2017.0</v>
      </c>
      <c r="B7212" s="2" t="s">
        <v>30695</v>
      </c>
      <c r="C7212" s="2" t="s">
        <v>30702</v>
      </c>
      <c r="D7212" s="2" t="str">
        <f>"615-319-6744"</f>
        <v>615-319-6744</v>
      </c>
      <c r="E7212" s="2" t="s">
        <v>3622</v>
      </c>
      <c r="F7212" s="2" t="s">
        <v>30698</v>
      </c>
      <c r="G7212" s="2" t="str">
        <f>"SR-9758"</f>
        <v>SR-9758</v>
      </c>
      <c r="H7212" s="2" t="s">
        <v>30703</v>
      </c>
      <c r="I7212" s="2" t="s">
        <v>30700</v>
      </c>
      <c r="K7212" s="2" t="s">
        <v>30701</v>
      </c>
      <c r="L7212" s="2" t="s">
        <v>279</v>
      </c>
      <c r="M7212" s="2">
        <v>37082.0</v>
      </c>
      <c r="N7212" s="2" t="s">
        <v>21</v>
      </c>
    </row>
    <row r="7213" ht="15.75" customHeight="1">
      <c r="A7213" s="2">
        <v>2017.0</v>
      </c>
      <c r="B7213" s="2" t="s">
        <v>30704</v>
      </c>
      <c r="C7213" s="2" t="s">
        <v>30705</v>
      </c>
      <c r="D7213" s="2" t="str">
        <f>"919-781-0858"</f>
        <v>919-781-0858</v>
      </c>
      <c r="E7213" s="2" t="s">
        <v>938</v>
      </c>
      <c r="F7213" s="2" t="s">
        <v>30706</v>
      </c>
      <c r="G7213" s="2" t="str">
        <f>"SR-9767"</f>
        <v>SR-9767</v>
      </c>
      <c r="H7213" s="2" t="s">
        <v>30707</v>
      </c>
      <c r="I7213" s="2" t="s">
        <v>30708</v>
      </c>
      <c r="K7213" s="2" t="s">
        <v>7993</v>
      </c>
      <c r="L7213" s="2" t="s">
        <v>20</v>
      </c>
      <c r="M7213" s="2">
        <v>27607.0</v>
      </c>
      <c r="N7213" s="2" t="s">
        <v>21</v>
      </c>
    </row>
    <row r="7214" ht="15.75" customHeight="1">
      <c r="A7214" s="2">
        <v>2017.0</v>
      </c>
      <c r="B7214" s="2" t="s">
        <v>30709</v>
      </c>
      <c r="C7214" s="2" t="s">
        <v>30709</v>
      </c>
      <c r="D7214" s="2" t="str">
        <f>"501-388-1152"</f>
        <v>501-388-1152</v>
      </c>
      <c r="E7214" s="2" t="s">
        <v>50</v>
      </c>
      <c r="F7214" s="2" t="s">
        <v>1269</v>
      </c>
      <c r="G7214" s="2" t="str">
        <f>"SR-9769"</f>
        <v>SR-9769</v>
      </c>
      <c r="H7214" s="2" t="s">
        <v>30710</v>
      </c>
      <c r="I7214" s="2" t="s">
        <v>30711</v>
      </c>
      <c r="K7214" s="2" t="s">
        <v>17727</v>
      </c>
      <c r="L7214" s="2" t="s">
        <v>1012</v>
      </c>
      <c r="M7214" s="2">
        <v>72143.0</v>
      </c>
      <c r="N7214" s="2" t="s">
        <v>21</v>
      </c>
    </row>
    <row r="7215" ht="15.75" customHeight="1">
      <c r="A7215" s="2">
        <v>2017.0</v>
      </c>
      <c r="B7215" s="2" t="s">
        <v>30712</v>
      </c>
      <c r="C7215" s="2" t="s">
        <v>30713</v>
      </c>
      <c r="D7215" s="2" t="str">
        <f>"2092262968"</f>
        <v>2092262968</v>
      </c>
      <c r="E7215" s="2" t="s">
        <v>225</v>
      </c>
      <c r="F7215" s="2" t="s">
        <v>30714</v>
      </c>
      <c r="G7215" s="2" t="str">
        <f>"SR-9715"</f>
        <v>SR-9715</v>
      </c>
      <c r="H7215" s="2" t="s">
        <v>30715</v>
      </c>
      <c r="I7215" s="2" t="s">
        <v>30716</v>
      </c>
      <c r="K7215" s="2" t="s">
        <v>4965</v>
      </c>
      <c r="L7215" s="2" t="s">
        <v>222</v>
      </c>
      <c r="M7215" s="2">
        <v>95382.0</v>
      </c>
      <c r="N7215" s="2" t="s">
        <v>21</v>
      </c>
    </row>
    <row r="7216" ht="15.75" customHeight="1">
      <c r="A7216" s="2">
        <v>2017.0</v>
      </c>
      <c r="B7216" s="2" t="s">
        <v>609</v>
      </c>
      <c r="C7216" s="2" t="s">
        <v>609</v>
      </c>
      <c r="D7216" s="2" t="str">
        <f>"214-544-5924"</f>
        <v>214-544-5924</v>
      </c>
      <c r="E7216" s="2" t="s">
        <v>30717</v>
      </c>
      <c r="F7216" s="2" t="s">
        <v>645</v>
      </c>
      <c r="G7216" s="2" t="str">
        <f>"SR-9624"</f>
        <v>SR-9624</v>
      </c>
      <c r="H7216" s="2" t="s">
        <v>30718</v>
      </c>
      <c r="I7216" s="2" t="s">
        <v>30719</v>
      </c>
      <c r="K7216" s="2" t="s">
        <v>8693</v>
      </c>
      <c r="L7216" s="2" t="s">
        <v>172</v>
      </c>
      <c r="M7216" s="2">
        <v>75490.0</v>
      </c>
      <c r="N7216" s="2" t="s">
        <v>21</v>
      </c>
    </row>
    <row r="7217" ht="15.75" customHeight="1">
      <c r="A7217" s="2">
        <v>2017.0</v>
      </c>
      <c r="B7217" s="2" t="s">
        <v>19931</v>
      </c>
      <c r="C7217" s="2" t="s">
        <v>30720</v>
      </c>
      <c r="D7217" s="2" t="str">
        <f>"4172074279"</f>
        <v>4172074279</v>
      </c>
      <c r="E7217" s="2" t="s">
        <v>6202</v>
      </c>
      <c r="F7217" s="2" t="s">
        <v>19933</v>
      </c>
      <c r="G7217" s="2" t="str">
        <f>"SR-9770"</f>
        <v>SR-9770</v>
      </c>
      <c r="H7217" s="2" t="s">
        <v>30721</v>
      </c>
      <c r="I7217" s="2" t="s">
        <v>30722</v>
      </c>
      <c r="K7217" s="2" t="s">
        <v>30723</v>
      </c>
      <c r="L7217" s="2" t="s">
        <v>214</v>
      </c>
      <c r="M7217" s="2">
        <v>65619.0</v>
      </c>
      <c r="N7217" s="2" t="s">
        <v>21</v>
      </c>
    </row>
    <row r="7218" ht="15.75" customHeight="1">
      <c r="A7218" s="2">
        <v>2017.0</v>
      </c>
      <c r="B7218" s="2" t="s">
        <v>30724</v>
      </c>
      <c r="C7218" s="2" t="s">
        <v>30724</v>
      </c>
      <c r="D7218" s="2" t="str">
        <f>"9139129985"</f>
        <v>9139129985</v>
      </c>
      <c r="E7218" s="2" t="s">
        <v>2800</v>
      </c>
      <c r="F7218" s="2" t="s">
        <v>23084</v>
      </c>
      <c r="G7218" s="2" t="str">
        <f>"SR-9512"</f>
        <v>SR-9512</v>
      </c>
      <c r="H7218" s="2" t="s">
        <v>30725</v>
      </c>
      <c r="I7218" s="2" t="s">
        <v>30726</v>
      </c>
      <c r="K7218" s="2" t="s">
        <v>1814</v>
      </c>
      <c r="L7218" s="2" t="s">
        <v>214</v>
      </c>
      <c r="M7218" s="2">
        <v>64137.0</v>
      </c>
      <c r="N7218" s="2" t="s">
        <v>21</v>
      </c>
    </row>
    <row r="7219" ht="15.75" customHeight="1">
      <c r="A7219" s="2">
        <v>2017.0</v>
      </c>
      <c r="B7219" s="2" t="s">
        <v>30727</v>
      </c>
      <c r="C7219" s="2" t="s">
        <v>30728</v>
      </c>
      <c r="D7219" s="2" t="str">
        <f>"5744537221"</f>
        <v>5744537221</v>
      </c>
      <c r="E7219" s="2" t="s">
        <v>267</v>
      </c>
      <c r="F7219" s="2" t="s">
        <v>30729</v>
      </c>
      <c r="G7219" s="2" t="str">
        <f>"SR-9702"</f>
        <v>SR-9702</v>
      </c>
      <c r="H7219" s="2" t="s">
        <v>30730</v>
      </c>
      <c r="I7219" s="2" t="s">
        <v>30731</v>
      </c>
      <c r="K7219" s="2" t="s">
        <v>5763</v>
      </c>
      <c r="L7219" s="2" t="s">
        <v>149</v>
      </c>
      <c r="M7219" s="2">
        <v>46580.0</v>
      </c>
      <c r="N7219" s="2" t="s">
        <v>21</v>
      </c>
    </row>
    <row r="7220" ht="15.75" customHeight="1">
      <c r="A7220" s="2">
        <v>2017.0</v>
      </c>
      <c r="B7220" s="2" t="s">
        <v>30732</v>
      </c>
      <c r="C7220" s="2" t="s">
        <v>30733</v>
      </c>
      <c r="D7220" s="2" t="str">
        <f>"919-751-1828"</f>
        <v>919-751-1828</v>
      </c>
      <c r="E7220" s="2" t="s">
        <v>5760</v>
      </c>
      <c r="F7220" s="2" t="s">
        <v>30734</v>
      </c>
      <c r="G7220" s="2" t="str">
        <f>"SR-9782"</f>
        <v>SR-9782</v>
      </c>
      <c r="H7220" s="2" t="s">
        <v>30735</v>
      </c>
      <c r="I7220" s="2" t="s">
        <v>30736</v>
      </c>
      <c r="K7220" s="2" t="s">
        <v>30737</v>
      </c>
      <c r="L7220" s="2" t="s">
        <v>20</v>
      </c>
      <c r="M7220" s="2">
        <v>27534.0</v>
      </c>
      <c r="N7220" s="2" t="s">
        <v>21</v>
      </c>
    </row>
    <row r="7221" ht="15.75" customHeight="1">
      <c r="A7221" s="2">
        <v>2017.0</v>
      </c>
      <c r="B7221" s="2" t="s">
        <v>30738</v>
      </c>
      <c r="C7221" s="2" t="s">
        <v>30739</v>
      </c>
      <c r="D7221" s="2" t="str">
        <f>"3178109749"</f>
        <v>3178109749</v>
      </c>
      <c r="E7221" s="2" t="s">
        <v>5760</v>
      </c>
      <c r="F7221" s="2" t="s">
        <v>30740</v>
      </c>
      <c r="G7221" s="2" t="str">
        <f>"SR-9584"</f>
        <v>SR-9584</v>
      </c>
      <c r="H7221" s="2" t="s">
        <v>30741</v>
      </c>
      <c r="I7221" s="2" t="s">
        <v>30742</v>
      </c>
      <c r="K7221" s="2" t="s">
        <v>10407</v>
      </c>
      <c r="L7221" s="2" t="s">
        <v>149</v>
      </c>
      <c r="M7221" s="2">
        <v>46033.0</v>
      </c>
      <c r="N7221" s="2" t="s">
        <v>21</v>
      </c>
    </row>
    <row r="7222" ht="15.75" customHeight="1">
      <c r="A7222" s="2">
        <v>2017.0</v>
      </c>
      <c r="B7222" s="2" t="s">
        <v>30743</v>
      </c>
      <c r="C7222" s="2" t="s">
        <v>30744</v>
      </c>
      <c r="D7222" s="2" t="str">
        <f>"9363481692"</f>
        <v>9363481692</v>
      </c>
      <c r="E7222" s="2" t="s">
        <v>2378</v>
      </c>
      <c r="F7222" s="2" t="s">
        <v>2598</v>
      </c>
      <c r="G7222" s="2" t="str">
        <f>"SR-9773"</f>
        <v>SR-9773</v>
      </c>
      <c r="H7222" s="2" t="s">
        <v>30745</v>
      </c>
      <c r="I7222" s="2" t="s">
        <v>30746</v>
      </c>
      <c r="J7222" s="2" t="s">
        <v>30747</v>
      </c>
      <c r="K7222" s="2" t="s">
        <v>14335</v>
      </c>
      <c r="L7222" s="2" t="s">
        <v>172</v>
      </c>
      <c r="M7222" s="2">
        <v>77871.0</v>
      </c>
      <c r="N7222" s="2" t="s">
        <v>21</v>
      </c>
    </row>
    <row r="7223" ht="15.75" customHeight="1">
      <c r="A7223" s="2">
        <v>2017.0</v>
      </c>
      <c r="B7223" s="2" t="s">
        <v>29084</v>
      </c>
      <c r="C7223" s="2" t="s">
        <v>29085</v>
      </c>
      <c r="D7223" s="2" t="str">
        <f>"806-777-2497"</f>
        <v>806-777-2497</v>
      </c>
      <c r="E7223" s="2" t="s">
        <v>8887</v>
      </c>
      <c r="F7223" s="2" t="s">
        <v>9115</v>
      </c>
      <c r="G7223" s="2" t="str">
        <f>"SR-9070"</f>
        <v>SR-9070</v>
      </c>
      <c r="H7223" s="2" t="s">
        <v>29086</v>
      </c>
      <c r="I7223" s="2" t="s">
        <v>29087</v>
      </c>
      <c r="K7223" s="2" t="s">
        <v>29088</v>
      </c>
      <c r="L7223" s="2" t="s">
        <v>172</v>
      </c>
      <c r="M7223" s="2">
        <v>79424.0</v>
      </c>
      <c r="N7223" s="2" t="s">
        <v>21</v>
      </c>
    </row>
    <row r="7224" ht="15.75" customHeight="1">
      <c r="A7224" s="2">
        <v>2017.0</v>
      </c>
      <c r="B7224" s="2" t="s">
        <v>30748</v>
      </c>
      <c r="C7224" s="2" t="s">
        <v>30748</v>
      </c>
      <c r="D7224" s="2" t="str">
        <f>"913-912-9927"</f>
        <v>913-912-9927</v>
      </c>
      <c r="E7224" s="2" t="s">
        <v>239</v>
      </c>
      <c r="F7224" s="2" t="s">
        <v>23084</v>
      </c>
      <c r="G7224" s="2" t="str">
        <f>"SR-9619"</f>
        <v>SR-9619</v>
      </c>
      <c r="H7224" s="2" t="s">
        <v>30749</v>
      </c>
      <c r="I7224" s="2" t="s">
        <v>30750</v>
      </c>
      <c r="K7224" s="2" t="s">
        <v>1814</v>
      </c>
      <c r="L7224" s="2" t="s">
        <v>214</v>
      </c>
      <c r="M7224" s="2">
        <v>64137.0</v>
      </c>
      <c r="N7224" s="2" t="s">
        <v>21</v>
      </c>
    </row>
    <row r="7225" ht="15.75" customHeight="1">
      <c r="A7225" s="2">
        <v>2017.0</v>
      </c>
      <c r="B7225" s="2" t="s">
        <v>30751</v>
      </c>
      <c r="C7225" s="2" t="s">
        <v>25485</v>
      </c>
      <c r="D7225" s="2" t="str">
        <f>"9377055053"</f>
        <v>9377055053</v>
      </c>
      <c r="E7225" s="2" t="s">
        <v>16988</v>
      </c>
      <c r="F7225" s="2" t="s">
        <v>30752</v>
      </c>
      <c r="G7225" s="2" t="str">
        <f>"SR-9795"</f>
        <v>SR-9795</v>
      </c>
      <c r="H7225" s="2" t="s">
        <v>30753</v>
      </c>
      <c r="I7225" s="2" t="s">
        <v>30754</v>
      </c>
      <c r="J7225" s="2" t="s">
        <v>30755</v>
      </c>
      <c r="K7225" s="2" t="s">
        <v>30756</v>
      </c>
      <c r="L7225" s="2" t="s">
        <v>344</v>
      </c>
      <c r="M7225" s="2">
        <v>45385.0</v>
      </c>
      <c r="N7225" s="2" t="s">
        <v>21</v>
      </c>
    </row>
    <row r="7226" ht="15.75" customHeight="1">
      <c r="A7226" s="2">
        <v>2017.0</v>
      </c>
      <c r="B7226" s="2" t="s">
        <v>30757</v>
      </c>
      <c r="C7226" s="2" t="s">
        <v>30758</v>
      </c>
      <c r="D7226" s="2" t="str">
        <f>"8326514890"</f>
        <v>8326514890</v>
      </c>
      <c r="E7226" s="2" t="s">
        <v>17571</v>
      </c>
      <c r="F7226" s="2" t="s">
        <v>3889</v>
      </c>
      <c r="G7226" s="2" t="str">
        <f>"SR-9674"</f>
        <v>SR-9674</v>
      </c>
      <c r="H7226" s="2" t="s">
        <v>30759</v>
      </c>
      <c r="I7226" s="2" t="s">
        <v>30760</v>
      </c>
      <c r="K7226" s="2" t="s">
        <v>22830</v>
      </c>
      <c r="L7226" s="2" t="s">
        <v>172</v>
      </c>
      <c r="M7226" s="2">
        <v>77430.0</v>
      </c>
      <c r="N7226" s="2" t="s">
        <v>21</v>
      </c>
    </row>
    <row r="7227" ht="15.75" customHeight="1">
      <c r="A7227" s="2">
        <v>2017.0</v>
      </c>
      <c r="B7227" s="2" t="s">
        <v>30761</v>
      </c>
      <c r="C7227" s="2" t="s">
        <v>30761</v>
      </c>
      <c r="D7227" s="2" t="str">
        <f>"2192082691"</f>
        <v>2192082691</v>
      </c>
      <c r="E7227" s="2" t="s">
        <v>14150</v>
      </c>
      <c r="F7227" s="2" t="s">
        <v>30762</v>
      </c>
      <c r="G7227" s="2" t="str">
        <f>"SR-9801"</f>
        <v>SR-9801</v>
      </c>
      <c r="H7227" s="2" t="s">
        <v>30763</v>
      </c>
      <c r="I7227" s="2" t="s">
        <v>30764</v>
      </c>
      <c r="J7227" s="2" t="s">
        <v>30765</v>
      </c>
      <c r="K7227" s="2" t="s">
        <v>16647</v>
      </c>
      <c r="L7227" s="2" t="s">
        <v>149</v>
      </c>
      <c r="M7227" s="2">
        <v>47995.0</v>
      </c>
      <c r="N7227" s="2" t="s">
        <v>21</v>
      </c>
    </row>
    <row r="7228" ht="15.75" customHeight="1">
      <c r="A7228" s="2">
        <v>2017.0</v>
      </c>
      <c r="B7228" s="2" t="s">
        <v>23724</v>
      </c>
      <c r="C7228" s="2" t="s">
        <v>30766</v>
      </c>
      <c r="D7228" s="2" t="str">
        <f>"320-352-1194"</f>
        <v>320-352-1194</v>
      </c>
      <c r="E7228" s="2" t="s">
        <v>30767</v>
      </c>
      <c r="F7228" s="2" t="s">
        <v>22323</v>
      </c>
      <c r="G7228" s="2" t="str">
        <f>"SR-9732"</f>
        <v>SR-9732</v>
      </c>
      <c r="H7228" s="2" t="s">
        <v>30768</v>
      </c>
      <c r="I7228" s="2" t="s">
        <v>30769</v>
      </c>
      <c r="K7228" s="2" t="s">
        <v>23726</v>
      </c>
      <c r="L7228" s="2" t="s">
        <v>62</v>
      </c>
      <c r="M7228" s="2">
        <v>56378.0</v>
      </c>
      <c r="N7228" s="2" t="s">
        <v>21</v>
      </c>
    </row>
    <row r="7229" ht="15.75" customHeight="1">
      <c r="A7229" s="2">
        <v>2017.0</v>
      </c>
      <c r="B7229" s="2" t="s">
        <v>24223</v>
      </c>
      <c r="C7229" s="2" t="s">
        <v>30770</v>
      </c>
      <c r="D7229" s="2" t="str">
        <f>"7657618337"</f>
        <v>7657618337</v>
      </c>
      <c r="E7229" s="2" t="s">
        <v>17710</v>
      </c>
      <c r="F7229" s="2" t="s">
        <v>2174</v>
      </c>
      <c r="G7229" s="2" t="str">
        <f>"SR-9812"</f>
        <v>SR-9812</v>
      </c>
      <c r="H7229" s="2" t="s">
        <v>30771</v>
      </c>
      <c r="I7229" s="2" t="s">
        <v>30772</v>
      </c>
      <c r="K7229" s="2" t="s">
        <v>21350</v>
      </c>
      <c r="L7229" s="2" t="s">
        <v>149</v>
      </c>
      <c r="M7229" s="2">
        <v>47918.0</v>
      </c>
      <c r="N7229" s="2" t="s">
        <v>21</v>
      </c>
    </row>
    <row r="7230" ht="15.75" customHeight="1">
      <c r="A7230" s="2">
        <v>2017.0</v>
      </c>
      <c r="B7230" s="2" t="s">
        <v>30773</v>
      </c>
      <c r="C7230" s="2" t="s">
        <v>30774</v>
      </c>
      <c r="D7230" s="2" t="str">
        <f>"(615) 962-3557"</f>
        <v>(615) 962-3557</v>
      </c>
      <c r="E7230" s="2" t="s">
        <v>30775</v>
      </c>
      <c r="F7230" s="2" t="s">
        <v>1929</v>
      </c>
      <c r="G7230" s="2" t="str">
        <f>"SR-9578"</f>
        <v>SR-9578</v>
      </c>
      <c r="H7230" s="2" t="s">
        <v>30776</v>
      </c>
      <c r="I7230" s="2" t="s">
        <v>30777</v>
      </c>
      <c r="K7230" s="2" t="s">
        <v>13414</v>
      </c>
      <c r="L7230" s="2" t="s">
        <v>279</v>
      </c>
      <c r="M7230" s="2">
        <v>37167.0</v>
      </c>
      <c r="N7230" s="2" t="s">
        <v>21</v>
      </c>
    </row>
    <row r="7231" ht="15.75" customHeight="1">
      <c r="A7231" s="2">
        <v>2017.0</v>
      </c>
      <c r="B7231" s="2" t="s">
        <v>23494</v>
      </c>
      <c r="C7231" s="2" t="s">
        <v>30778</v>
      </c>
      <c r="D7231" s="2" t="str">
        <f>"615-785-5387"</f>
        <v>615-785-5387</v>
      </c>
      <c r="E7231" s="2" t="s">
        <v>57</v>
      </c>
      <c r="F7231" s="2" t="s">
        <v>30779</v>
      </c>
      <c r="G7231" s="2" t="str">
        <f>"SR-9815"</f>
        <v>SR-9815</v>
      </c>
      <c r="H7231" s="2" t="s">
        <v>30780</v>
      </c>
      <c r="I7231" s="2" t="s">
        <v>30781</v>
      </c>
      <c r="K7231" s="2" t="s">
        <v>682</v>
      </c>
      <c r="L7231" s="2" t="s">
        <v>157</v>
      </c>
      <c r="M7231" s="2">
        <v>80126.0</v>
      </c>
      <c r="N7231" s="2" t="s">
        <v>21</v>
      </c>
    </row>
    <row r="7232" ht="15.75" customHeight="1">
      <c r="A7232" s="2">
        <v>2017.0</v>
      </c>
      <c r="B7232" s="2" t="s">
        <v>30782</v>
      </c>
      <c r="C7232" s="2" t="s">
        <v>30783</v>
      </c>
      <c r="D7232" s="2" t="str">
        <f>"214-918-1695"</f>
        <v>214-918-1695</v>
      </c>
      <c r="E7232" s="2" t="s">
        <v>9558</v>
      </c>
      <c r="F7232" s="2" t="s">
        <v>690</v>
      </c>
      <c r="G7232" s="2" t="str">
        <f>"SR-9816"</f>
        <v>SR-9816</v>
      </c>
      <c r="H7232" s="2" t="s">
        <v>30784</v>
      </c>
      <c r="I7232" s="2" t="s">
        <v>30785</v>
      </c>
      <c r="K7232" s="2" t="s">
        <v>171</v>
      </c>
      <c r="L7232" s="2" t="s">
        <v>172</v>
      </c>
      <c r="M7232" s="2">
        <v>75007.0</v>
      </c>
      <c r="N7232" s="2" t="s">
        <v>21</v>
      </c>
    </row>
    <row r="7233" ht="15.75" customHeight="1">
      <c r="A7233" s="2">
        <v>2017.0</v>
      </c>
      <c r="B7233" s="2" t="s">
        <v>30786</v>
      </c>
      <c r="C7233" s="2" t="s">
        <v>30787</v>
      </c>
      <c r="D7233" s="2" t="str">
        <f>"6155597378"</f>
        <v>6155597378</v>
      </c>
      <c r="E7233" s="2" t="s">
        <v>453</v>
      </c>
      <c r="F7233" s="2" t="s">
        <v>30788</v>
      </c>
      <c r="G7233" s="2" t="str">
        <f>"SR-9820"</f>
        <v>SR-9820</v>
      </c>
      <c r="H7233" s="2" t="s">
        <v>30789</v>
      </c>
      <c r="I7233" s="2" t="s">
        <v>30790</v>
      </c>
      <c r="K7233" s="2" t="s">
        <v>3239</v>
      </c>
      <c r="L7233" s="2" t="s">
        <v>279</v>
      </c>
      <c r="M7233" s="2">
        <v>37172.0</v>
      </c>
      <c r="N7233" s="2" t="s">
        <v>21</v>
      </c>
    </row>
    <row r="7234" ht="15.75" customHeight="1">
      <c r="A7234" s="2">
        <v>2017.0</v>
      </c>
      <c r="B7234" s="2" t="s">
        <v>30791</v>
      </c>
      <c r="C7234" s="2" t="s">
        <v>30792</v>
      </c>
      <c r="D7234" s="2" t="str">
        <f>"6157768870"</f>
        <v>6157768870</v>
      </c>
      <c r="E7234" s="2" t="s">
        <v>3043</v>
      </c>
      <c r="F7234" s="2" t="s">
        <v>30793</v>
      </c>
      <c r="G7234" s="2" t="str">
        <f>"SR-9825"</f>
        <v>SR-9825</v>
      </c>
      <c r="H7234" s="2" t="s">
        <v>30794</v>
      </c>
      <c r="I7234" s="2" t="s">
        <v>30795</v>
      </c>
      <c r="K7234" s="2" t="s">
        <v>278</v>
      </c>
      <c r="L7234" s="2" t="s">
        <v>279</v>
      </c>
      <c r="M7234" s="2">
        <v>37067.0</v>
      </c>
      <c r="N7234" s="2" t="s">
        <v>21</v>
      </c>
    </row>
    <row r="7235" ht="15.75" customHeight="1">
      <c r="A7235" s="2">
        <v>2017.0</v>
      </c>
      <c r="B7235" s="2" t="s">
        <v>30796</v>
      </c>
      <c r="C7235" s="2" t="s">
        <v>30797</v>
      </c>
      <c r="D7235" s="2" t="str">
        <f>"6157949892"</f>
        <v>6157949892</v>
      </c>
      <c r="E7235" s="2" t="s">
        <v>2162</v>
      </c>
      <c r="F7235" s="2" t="s">
        <v>4706</v>
      </c>
      <c r="G7235" s="2" t="str">
        <f>"SR-9826"</f>
        <v>SR-9826</v>
      </c>
      <c r="H7235" s="2" t="s">
        <v>30798</v>
      </c>
      <c r="I7235" s="2" t="s">
        <v>30799</v>
      </c>
      <c r="K7235" s="2" t="s">
        <v>278</v>
      </c>
      <c r="L7235" s="2" t="s">
        <v>279</v>
      </c>
      <c r="M7235" s="2">
        <v>37069.0</v>
      </c>
      <c r="N7235" s="2" t="s">
        <v>21</v>
      </c>
    </row>
    <row r="7236" ht="15.75" customHeight="1">
      <c r="A7236" s="2">
        <v>2017.0</v>
      </c>
      <c r="B7236" s="2" t="s">
        <v>30800</v>
      </c>
      <c r="C7236" s="2" t="s">
        <v>30800</v>
      </c>
      <c r="D7236" s="2" t="str">
        <f>"269-270-8708"</f>
        <v>269-270-8708</v>
      </c>
      <c r="E7236" s="2" t="s">
        <v>8887</v>
      </c>
      <c r="F7236" s="2" t="s">
        <v>30801</v>
      </c>
      <c r="G7236" s="2" t="str">
        <f>"SR-9827"</f>
        <v>SR-9827</v>
      </c>
      <c r="H7236" s="2" t="s">
        <v>30802</v>
      </c>
      <c r="I7236" s="2" t="s">
        <v>30803</v>
      </c>
      <c r="K7236" s="2" t="s">
        <v>30804</v>
      </c>
      <c r="L7236" s="2" t="s">
        <v>29</v>
      </c>
      <c r="M7236" s="2">
        <v>49408.0</v>
      </c>
      <c r="N7236" s="2" t="s">
        <v>21</v>
      </c>
    </row>
    <row r="7237" ht="15.75" customHeight="1">
      <c r="A7237" s="2">
        <v>2017.0</v>
      </c>
      <c r="B7237" s="2" t="s">
        <v>30805</v>
      </c>
      <c r="C7237" s="2" t="s">
        <v>30806</v>
      </c>
      <c r="D7237" s="2" t="str">
        <f>"937-434-8123"</f>
        <v>937-434-8123</v>
      </c>
      <c r="E7237" s="2" t="s">
        <v>10949</v>
      </c>
      <c r="F7237" s="2" t="s">
        <v>30807</v>
      </c>
      <c r="G7237" s="2" t="str">
        <f>"SR-9828"</f>
        <v>SR-9828</v>
      </c>
      <c r="H7237" s="2" t="s">
        <v>30808</v>
      </c>
      <c r="I7237" s="2" t="s">
        <v>30809</v>
      </c>
      <c r="K7237" s="2" t="s">
        <v>4310</v>
      </c>
      <c r="L7237" s="2" t="s">
        <v>344</v>
      </c>
      <c r="M7237" s="2">
        <v>45459.0</v>
      </c>
      <c r="N7237" s="2" t="s">
        <v>21</v>
      </c>
    </row>
    <row r="7238" ht="15.75" customHeight="1">
      <c r="A7238" s="2">
        <v>2017.0</v>
      </c>
      <c r="B7238" s="2" t="s">
        <v>30810</v>
      </c>
      <c r="C7238" s="2" t="s">
        <v>30811</v>
      </c>
      <c r="D7238" s="2" t="str">
        <f>"781-235-8125"</f>
        <v>781-235-8125</v>
      </c>
      <c r="E7238" s="2" t="s">
        <v>57</v>
      </c>
      <c r="F7238" s="2" t="s">
        <v>16639</v>
      </c>
      <c r="G7238" s="2" t="str">
        <f>"SR-9809"</f>
        <v>SR-9809</v>
      </c>
      <c r="H7238" s="2" t="s">
        <v>30812</v>
      </c>
      <c r="I7238" s="2" t="s">
        <v>30813</v>
      </c>
      <c r="K7238" s="2" t="s">
        <v>30814</v>
      </c>
      <c r="L7238" s="2" t="s">
        <v>4108</v>
      </c>
      <c r="M7238" s="2">
        <v>2481.0</v>
      </c>
      <c r="N7238" s="2" t="s">
        <v>21</v>
      </c>
    </row>
    <row r="7239" ht="15.75" customHeight="1">
      <c r="A7239" s="2">
        <v>2017.0</v>
      </c>
      <c r="B7239" s="2" t="s">
        <v>30815</v>
      </c>
      <c r="C7239" s="2" t="s">
        <v>30815</v>
      </c>
      <c r="D7239" s="2" t="str">
        <f>"605-280-9553"</f>
        <v>605-280-9553</v>
      </c>
      <c r="E7239" s="2" t="s">
        <v>7145</v>
      </c>
      <c r="F7239" s="2" t="s">
        <v>30816</v>
      </c>
      <c r="G7239" s="2" t="str">
        <f>"SR-5223"</f>
        <v>SR-5223</v>
      </c>
      <c r="H7239" s="2" t="s">
        <v>30817</v>
      </c>
      <c r="I7239" s="2" t="s">
        <v>30818</v>
      </c>
      <c r="K7239" s="2" t="s">
        <v>4355</v>
      </c>
      <c r="L7239" s="2" t="s">
        <v>920</v>
      </c>
      <c r="M7239" s="2">
        <v>57501.0</v>
      </c>
      <c r="N7239" s="2" t="s">
        <v>21</v>
      </c>
    </row>
    <row r="7240" ht="15.75" customHeight="1">
      <c r="A7240" s="2">
        <v>2017.0</v>
      </c>
      <c r="B7240" s="2" t="s">
        <v>30819</v>
      </c>
      <c r="C7240" s="2" t="s">
        <v>30820</v>
      </c>
      <c r="D7240" s="2" t="str">
        <f>"303-948-7139"</f>
        <v>303-948-7139</v>
      </c>
      <c r="E7240" s="2" t="s">
        <v>705</v>
      </c>
      <c r="F7240" s="2" t="s">
        <v>30821</v>
      </c>
      <c r="G7240" s="2" t="str">
        <f>"SR-9787"</f>
        <v>SR-9787</v>
      </c>
      <c r="H7240" s="2" t="s">
        <v>30822</v>
      </c>
      <c r="I7240" s="2" t="s">
        <v>30823</v>
      </c>
      <c r="K7240" s="2" t="s">
        <v>7480</v>
      </c>
      <c r="L7240" s="2" t="s">
        <v>157</v>
      </c>
      <c r="M7240" s="2">
        <v>80602.0</v>
      </c>
      <c r="N7240" s="2" t="s">
        <v>21</v>
      </c>
    </row>
    <row r="7241" ht="15.75" customHeight="1">
      <c r="A7241" s="2">
        <v>2017.0</v>
      </c>
      <c r="B7241" s="2" t="s">
        <v>30824</v>
      </c>
      <c r="C7241" s="2" t="s">
        <v>30825</v>
      </c>
      <c r="D7241" s="2" t="str">
        <f>"3157277009"</f>
        <v>3157277009</v>
      </c>
      <c r="E7241" s="2" t="s">
        <v>1761</v>
      </c>
      <c r="F7241" s="2" t="s">
        <v>30826</v>
      </c>
      <c r="G7241" s="2" t="str">
        <f>"SR-9837"</f>
        <v>SR-9837</v>
      </c>
      <c r="H7241" s="2" t="s">
        <v>30827</v>
      </c>
      <c r="I7241" s="2" t="s">
        <v>30828</v>
      </c>
      <c r="K7241" s="2" t="s">
        <v>30829</v>
      </c>
      <c r="L7241" s="2" t="s">
        <v>142</v>
      </c>
      <c r="M7241" s="2">
        <v>13031.0</v>
      </c>
      <c r="N7241" s="2" t="s">
        <v>21</v>
      </c>
    </row>
    <row r="7242" ht="15.75" customHeight="1">
      <c r="A7242" s="2">
        <v>2017.0</v>
      </c>
      <c r="B7242" s="2" t="s">
        <v>30830</v>
      </c>
      <c r="C7242" s="2" t="s">
        <v>30831</v>
      </c>
      <c r="D7242" s="2" t="str">
        <f>"406-850-5877"</f>
        <v>406-850-5877</v>
      </c>
      <c r="E7242" s="2" t="s">
        <v>225</v>
      </c>
      <c r="F7242" s="2" t="s">
        <v>30832</v>
      </c>
      <c r="G7242" s="2" t="str">
        <f>"SR-9836"</f>
        <v>SR-9836</v>
      </c>
      <c r="H7242" s="2" t="s">
        <v>30833</v>
      </c>
      <c r="I7242" s="2" t="s">
        <v>30834</v>
      </c>
      <c r="K7242" s="2" t="s">
        <v>3548</v>
      </c>
      <c r="L7242" s="2" t="s">
        <v>2696</v>
      </c>
      <c r="M7242" s="2">
        <v>59105.0</v>
      </c>
      <c r="N7242" s="2" t="s">
        <v>21</v>
      </c>
    </row>
    <row r="7243" ht="15.75" customHeight="1">
      <c r="A7243" s="2">
        <v>2017.0</v>
      </c>
      <c r="B7243" s="2" t="s">
        <v>30835</v>
      </c>
      <c r="C7243" s="2" t="s">
        <v>30836</v>
      </c>
      <c r="D7243" s="2" t="str">
        <f>"740-369-5475"</f>
        <v>740-369-5475</v>
      </c>
      <c r="E7243" s="2" t="s">
        <v>261</v>
      </c>
      <c r="F7243" s="2" t="s">
        <v>30837</v>
      </c>
      <c r="G7243" s="2" t="str">
        <f>"SR-9832"</f>
        <v>SR-9832</v>
      </c>
      <c r="H7243" s="2" t="s">
        <v>30838</v>
      </c>
      <c r="I7243" s="2" t="s">
        <v>30839</v>
      </c>
      <c r="K7243" s="2" t="s">
        <v>10756</v>
      </c>
      <c r="L7243" s="2" t="s">
        <v>344</v>
      </c>
      <c r="M7243" s="2">
        <v>43015.0</v>
      </c>
      <c r="N7243" s="2" t="s">
        <v>21</v>
      </c>
    </row>
    <row r="7244" ht="15.75" customHeight="1">
      <c r="A7244" s="2">
        <v>2017.0</v>
      </c>
      <c r="B7244" s="2" t="s">
        <v>24223</v>
      </c>
      <c r="C7244" s="2" t="s">
        <v>30840</v>
      </c>
      <c r="D7244" s="2" t="str">
        <f>"765-299-1479"</f>
        <v>765-299-1479</v>
      </c>
      <c r="E7244" s="2" t="s">
        <v>386</v>
      </c>
      <c r="F7244" s="2" t="s">
        <v>1533</v>
      </c>
      <c r="G7244" s="2" t="str">
        <f>"SR-7290"</f>
        <v>SR-7290</v>
      </c>
      <c r="H7244" s="2" t="s">
        <v>30841</v>
      </c>
      <c r="I7244" s="2" t="s">
        <v>30842</v>
      </c>
      <c r="K7244" s="2" t="s">
        <v>24227</v>
      </c>
      <c r="L7244" s="2" t="s">
        <v>149</v>
      </c>
      <c r="M7244" s="2">
        <v>47971.0</v>
      </c>
      <c r="N7244" s="2" t="s">
        <v>21</v>
      </c>
    </row>
    <row r="7245" ht="15.75" customHeight="1">
      <c r="A7245" s="2">
        <v>2017.0</v>
      </c>
      <c r="B7245" s="2" t="s">
        <v>30843</v>
      </c>
      <c r="C7245" s="2" t="s">
        <v>30844</v>
      </c>
      <c r="D7245" s="2" t="str">
        <f>"7276419517"</f>
        <v>7276419517</v>
      </c>
      <c r="E7245" s="2" t="s">
        <v>261</v>
      </c>
      <c r="F7245" s="2" t="s">
        <v>744</v>
      </c>
      <c r="G7245" s="2" t="str">
        <f>"SR-9749"</f>
        <v>SR-9749</v>
      </c>
      <c r="H7245" s="2" t="s">
        <v>30845</v>
      </c>
      <c r="I7245" s="2" t="s">
        <v>30846</v>
      </c>
      <c r="K7245" s="2" t="s">
        <v>30847</v>
      </c>
      <c r="L7245" s="2" t="s">
        <v>208</v>
      </c>
      <c r="M7245" s="2">
        <v>33709.0</v>
      </c>
      <c r="N7245" s="2" t="s">
        <v>21</v>
      </c>
    </row>
    <row r="7246" ht="15.75" customHeight="1">
      <c r="A7246" s="2">
        <v>2017.0</v>
      </c>
      <c r="B7246" s="2" t="s">
        <v>30848</v>
      </c>
      <c r="C7246" s="2" t="s">
        <v>30848</v>
      </c>
      <c r="D7246" s="2" t="str">
        <f>"9723923995"</f>
        <v>9723923995</v>
      </c>
      <c r="E7246" s="2" t="s">
        <v>1324</v>
      </c>
      <c r="F7246" s="2" t="s">
        <v>30849</v>
      </c>
      <c r="G7246" s="2" t="str">
        <f>"SR-9844"</f>
        <v>SR-9844</v>
      </c>
      <c r="H7246" s="2" t="s">
        <v>30850</v>
      </c>
      <c r="I7246" s="2" t="s">
        <v>30851</v>
      </c>
      <c r="K7246" s="2" t="s">
        <v>1255</v>
      </c>
      <c r="L7246" s="2" t="s">
        <v>172</v>
      </c>
      <c r="M7246" s="2">
        <v>75254.0</v>
      </c>
      <c r="N7246" s="2" t="s">
        <v>21</v>
      </c>
    </row>
    <row r="7247" ht="15.75" customHeight="1">
      <c r="A7247" s="2">
        <v>2017.0</v>
      </c>
      <c r="B7247" s="2" t="s">
        <v>30852</v>
      </c>
      <c r="C7247" s="2" t="s">
        <v>30852</v>
      </c>
      <c r="D7247" s="2" t="str">
        <f>"214-930-8257"</f>
        <v>214-930-8257</v>
      </c>
      <c r="E7247" s="2" t="s">
        <v>3312</v>
      </c>
      <c r="F7247" s="2" t="s">
        <v>3131</v>
      </c>
      <c r="G7247" s="2" t="str">
        <f>"SR-9845"</f>
        <v>SR-9845</v>
      </c>
      <c r="H7247" s="2" t="s">
        <v>30853</v>
      </c>
      <c r="I7247" s="2" t="s">
        <v>30854</v>
      </c>
      <c r="K7247" s="2" t="s">
        <v>357</v>
      </c>
      <c r="L7247" s="2" t="s">
        <v>172</v>
      </c>
      <c r="M7247" s="2">
        <v>75025.0</v>
      </c>
      <c r="N7247" s="2" t="s">
        <v>21</v>
      </c>
    </row>
    <row r="7248" ht="15.75" customHeight="1">
      <c r="A7248" s="2">
        <v>2017.0</v>
      </c>
      <c r="B7248" s="2" t="s">
        <v>30855</v>
      </c>
      <c r="C7248" s="2" t="s">
        <v>30856</v>
      </c>
      <c r="D7248" s="2" t="str">
        <f>"(803) 957-8818"</f>
        <v>(803) 957-8818</v>
      </c>
      <c r="E7248" s="2" t="s">
        <v>1782</v>
      </c>
      <c r="F7248" s="2" t="s">
        <v>585</v>
      </c>
      <c r="G7248" s="2" t="str">
        <f>"SR-9849"</f>
        <v>SR-9849</v>
      </c>
      <c r="H7248" s="2" t="s">
        <v>30857</v>
      </c>
      <c r="I7248" s="2" t="s">
        <v>30858</v>
      </c>
      <c r="K7248" s="2" t="s">
        <v>254</v>
      </c>
      <c r="L7248" s="2" t="s">
        <v>55</v>
      </c>
      <c r="M7248" s="2">
        <v>29072.0</v>
      </c>
      <c r="N7248" s="2" t="s">
        <v>21</v>
      </c>
    </row>
    <row r="7249" ht="15.75" customHeight="1">
      <c r="A7249" s="2">
        <v>2017.0</v>
      </c>
      <c r="B7249" s="2" t="s">
        <v>25200</v>
      </c>
      <c r="C7249" s="2" t="s">
        <v>25201</v>
      </c>
      <c r="D7249" s="2" t="str">
        <f>"5743777246"</f>
        <v>5743777246</v>
      </c>
      <c r="E7249" s="2" t="s">
        <v>6032</v>
      </c>
      <c r="F7249" s="2" t="s">
        <v>4981</v>
      </c>
      <c r="G7249" s="2" t="str">
        <f>"SR-4802"</f>
        <v>SR-4802</v>
      </c>
      <c r="H7249" s="2" t="s">
        <v>25202</v>
      </c>
      <c r="I7249" s="2" t="s">
        <v>25203</v>
      </c>
      <c r="K7249" s="2" t="s">
        <v>5763</v>
      </c>
      <c r="L7249" s="2" t="s">
        <v>149</v>
      </c>
      <c r="M7249" s="2">
        <v>46580.0</v>
      </c>
      <c r="N7249" s="2" t="s">
        <v>21</v>
      </c>
    </row>
    <row r="7250" ht="15.75" customHeight="1">
      <c r="A7250" s="2">
        <v>2017.0</v>
      </c>
      <c r="B7250" s="2" t="s">
        <v>30859</v>
      </c>
      <c r="C7250" s="2" t="s">
        <v>30859</v>
      </c>
      <c r="D7250" s="2" t="str">
        <f>"3109633084"</f>
        <v>3109633084</v>
      </c>
      <c r="E7250" s="2" t="s">
        <v>6121</v>
      </c>
      <c r="F7250" s="2" t="s">
        <v>30860</v>
      </c>
      <c r="G7250" s="2" t="str">
        <f>"SR-9717"</f>
        <v>SR-9717</v>
      </c>
      <c r="H7250" s="2" t="s">
        <v>30861</v>
      </c>
      <c r="I7250" s="2" t="s">
        <v>30862</v>
      </c>
      <c r="K7250" s="2" t="s">
        <v>27372</v>
      </c>
      <c r="L7250" s="2" t="s">
        <v>222</v>
      </c>
      <c r="M7250" s="2">
        <v>90274.0</v>
      </c>
      <c r="N7250" s="2" t="s">
        <v>21</v>
      </c>
    </row>
    <row r="7251" ht="15.75" customHeight="1">
      <c r="A7251" s="2">
        <v>2017.0</v>
      </c>
      <c r="B7251" s="2" t="s">
        <v>8728</v>
      </c>
      <c r="C7251" s="2" t="s">
        <v>23817</v>
      </c>
      <c r="D7251" s="2" t="str">
        <f>"4125001505"</f>
        <v>4125001505</v>
      </c>
      <c r="E7251" s="2" t="s">
        <v>23818</v>
      </c>
      <c r="F7251" s="2" t="s">
        <v>8730</v>
      </c>
      <c r="G7251" s="2" t="str">
        <f>"SR-7415"</f>
        <v>SR-7415</v>
      </c>
      <c r="H7251" s="2" t="s">
        <v>23819</v>
      </c>
      <c r="I7251" s="2" t="s">
        <v>8732</v>
      </c>
      <c r="K7251" s="2" t="s">
        <v>8733</v>
      </c>
      <c r="L7251" s="2" t="s">
        <v>179</v>
      </c>
      <c r="M7251" s="2">
        <v>15215.0</v>
      </c>
      <c r="N7251" s="2" t="s">
        <v>21</v>
      </c>
    </row>
    <row r="7252" ht="15.75" customHeight="1">
      <c r="A7252" s="2">
        <v>2017.0</v>
      </c>
      <c r="B7252" s="2" t="s">
        <v>30863</v>
      </c>
      <c r="C7252" s="2" t="s">
        <v>30864</v>
      </c>
      <c r="D7252" s="2" t="str">
        <f>"972-625-0026"</f>
        <v>972-625-0026</v>
      </c>
      <c r="E7252" s="2" t="s">
        <v>453</v>
      </c>
      <c r="F7252" s="2" t="s">
        <v>30865</v>
      </c>
      <c r="G7252" s="2" t="str">
        <f>"SR-9695"</f>
        <v>SR-9695</v>
      </c>
      <c r="H7252" s="2" t="s">
        <v>30866</v>
      </c>
      <c r="I7252" s="2" t="s">
        <v>30867</v>
      </c>
      <c r="K7252" s="2" t="s">
        <v>357</v>
      </c>
      <c r="L7252" s="2" t="s">
        <v>172</v>
      </c>
      <c r="M7252" s="2">
        <v>75024.0</v>
      </c>
      <c r="N7252" s="2" t="s">
        <v>21</v>
      </c>
    </row>
    <row r="7253" ht="15.75" customHeight="1">
      <c r="A7253" s="2">
        <v>2017.0</v>
      </c>
      <c r="B7253" s="2" t="s">
        <v>30868</v>
      </c>
      <c r="C7253" s="2" t="s">
        <v>30868</v>
      </c>
      <c r="D7253" s="2" t="str">
        <f>"216-789-1201"</f>
        <v>216-789-1201</v>
      </c>
      <c r="E7253" s="2" t="s">
        <v>282</v>
      </c>
      <c r="F7253" s="2" t="s">
        <v>3903</v>
      </c>
      <c r="G7253" s="2" t="str">
        <f>"SR-9855"</f>
        <v>SR-9855</v>
      </c>
      <c r="H7253" s="2" t="s">
        <v>4917</v>
      </c>
      <c r="I7253" s="2" t="s">
        <v>30869</v>
      </c>
      <c r="K7253" s="2" t="s">
        <v>3978</v>
      </c>
      <c r="L7253" s="2" t="s">
        <v>344</v>
      </c>
      <c r="M7253" s="2">
        <v>44236.0</v>
      </c>
      <c r="N7253" s="2" t="s">
        <v>21</v>
      </c>
    </row>
    <row r="7254" ht="15.75" customHeight="1">
      <c r="A7254" s="2">
        <v>2017.0</v>
      </c>
      <c r="B7254" s="2" t="s">
        <v>30870</v>
      </c>
      <c r="C7254" s="2" t="s">
        <v>30871</v>
      </c>
      <c r="D7254" s="2" t="str">
        <f>"970-928-0101"</f>
        <v>970-928-0101</v>
      </c>
      <c r="E7254" s="2" t="s">
        <v>2941</v>
      </c>
      <c r="F7254" s="2" t="s">
        <v>639</v>
      </c>
      <c r="G7254" s="2" t="str">
        <f>"SR-9863"</f>
        <v>SR-9863</v>
      </c>
      <c r="H7254" s="2" t="s">
        <v>30872</v>
      </c>
      <c r="I7254" s="2" t="s">
        <v>30873</v>
      </c>
      <c r="K7254" s="2" t="s">
        <v>3542</v>
      </c>
      <c r="L7254" s="2" t="s">
        <v>157</v>
      </c>
      <c r="M7254" s="2">
        <v>81623.0</v>
      </c>
      <c r="N7254" s="2" t="s">
        <v>21</v>
      </c>
    </row>
    <row r="7255" ht="15.75" customHeight="1">
      <c r="A7255" s="2">
        <v>2017.0</v>
      </c>
      <c r="B7255" s="2" t="s">
        <v>30874</v>
      </c>
      <c r="C7255" s="2" t="s">
        <v>30874</v>
      </c>
      <c r="D7255" s="2" t="str">
        <f>"9203137572"</f>
        <v>9203137572</v>
      </c>
      <c r="E7255" s="2" t="s">
        <v>16192</v>
      </c>
      <c r="F7255" s="2" t="s">
        <v>14550</v>
      </c>
      <c r="G7255" s="2" t="str">
        <f>"SR-9745"</f>
        <v>SR-9745</v>
      </c>
      <c r="H7255" s="2" t="s">
        <v>30875</v>
      </c>
      <c r="I7255" s="2" t="s">
        <v>30876</v>
      </c>
      <c r="K7255" s="2" t="s">
        <v>192</v>
      </c>
      <c r="L7255" s="2" t="s">
        <v>193</v>
      </c>
      <c r="M7255" s="2">
        <v>54935.0</v>
      </c>
      <c r="N7255" s="2" t="s">
        <v>21</v>
      </c>
    </row>
    <row r="7256" ht="15.75" customHeight="1">
      <c r="A7256" s="2">
        <v>2017.0</v>
      </c>
      <c r="B7256" s="2" t="s">
        <v>30877</v>
      </c>
      <c r="C7256" s="2" t="s">
        <v>9887</v>
      </c>
      <c r="D7256" s="2" t="str">
        <f>"817-408-6450"</f>
        <v>817-408-6450</v>
      </c>
      <c r="E7256" s="2" t="s">
        <v>1614</v>
      </c>
      <c r="F7256" s="2" t="s">
        <v>9889</v>
      </c>
      <c r="G7256" s="2" t="str">
        <f>"SR-9840"</f>
        <v>SR-9840</v>
      </c>
      <c r="H7256" s="2" t="s">
        <v>30878</v>
      </c>
      <c r="I7256" s="2" t="s">
        <v>30879</v>
      </c>
      <c r="K7256" s="2" t="s">
        <v>2046</v>
      </c>
      <c r="L7256" s="2" t="s">
        <v>172</v>
      </c>
      <c r="M7256" s="2">
        <v>76049.0</v>
      </c>
      <c r="N7256" s="2" t="s">
        <v>21</v>
      </c>
    </row>
    <row r="7257" ht="15.75" customHeight="1">
      <c r="A7257" s="2">
        <v>2017.0</v>
      </c>
      <c r="B7257" s="2" t="s">
        <v>8738</v>
      </c>
      <c r="C7257" s="2" t="s">
        <v>8738</v>
      </c>
      <c r="D7257" s="2" t="str">
        <f>"7272395663"</f>
        <v>7272395663</v>
      </c>
      <c r="E7257" s="2" t="s">
        <v>8739</v>
      </c>
      <c r="F7257" s="2" t="s">
        <v>8740</v>
      </c>
      <c r="G7257" s="2" t="str">
        <f>"SR-2530"</f>
        <v>SR-2530</v>
      </c>
      <c r="H7257" s="2" t="s">
        <v>8741</v>
      </c>
      <c r="I7257" s="2" t="s">
        <v>8742</v>
      </c>
      <c r="K7257" s="2" t="s">
        <v>414</v>
      </c>
      <c r="L7257" s="2" t="s">
        <v>208</v>
      </c>
      <c r="M7257" s="2">
        <v>33771.0</v>
      </c>
      <c r="N7257" s="2" t="s">
        <v>21</v>
      </c>
    </row>
    <row r="7258" ht="15.75" customHeight="1">
      <c r="A7258" s="2">
        <v>2017.0</v>
      </c>
      <c r="B7258" s="2" t="s">
        <v>30880</v>
      </c>
      <c r="C7258" s="2" t="s">
        <v>30880</v>
      </c>
      <c r="D7258" s="2" t="str">
        <f>"9096585586"</f>
        <v>9096585586</v>
      </c>
      <c r="E7258" s="2" t="s">
        <v>7476</v>
      </c>
      <c r="F7258" s="2" t="s">
        <v>30881</v>
      </c>
      <c r="G7258" s="2" t="str">
        <f>"SR-9723"</f>
        <v>SR-9723</v>
      </c>
      <c r="H7258" s="2" t="s">
        <v>30882</v>
      </c>
      <c r="I7258" s="2" t="s">
        <v>30883</v>
      </c>
      <c r="K7258" s="2" t="s">
        <v>13889</v>
      </c>
      <c r="L7258" s="2" t="s">
        <v>222</v>
      </c>
      <c r="M7258" s="2">
        <v>92373.0</v>
      </c>
      <c r="N7258" s="2" t="s">
        <v>21</v>
      </c>
    </row>
    <row r="7259" ht="15.75" customHeight="1">
      <c r="A7259" s="2">
        <v>2017.0</v>
      </c>
      <c r="B7259" s="2" t="s">
        <v>23940</v>
      </c>
      <c r="C7259" s="2" t="s">
        <v>23940</v>
      </c>
      <c r="D7259" s="2" t="str">
        <f>"216-789-4777"</f>
        <v>216-789-4777</v>
      </c>
      <c r="E7259" s="2" t="s">
        <v>5858</v>
      </c>
      <c r="F7259" s="2" t="s">
        <v>3903</v>
      </c>
      <c r="G7259" s="2" t="str">
        <f>"SR-7527"</f>
        <v>SR-7527</v>
      </c>
      <c r="H7259" s="2" t="s">
        <v>23941</v>
      </c>
      <c r="I7259" s="2" t="s">
        <v>23942</v>
      </c>
      <c r="K7259" s="2" t="s">
        <v>3978</v>
      </c>
      <c r="L7259" s="2" t="s">
        <v>344</v>
      </c>
      <c r="M7259" s="2">
        <v>44236.0</v>
      </c>
      <c r="N7259" s="2" t="s">
        <v>21</v>
      </c>
    </row>
    <row r="7260" ht="15.75" customHeight="1">
      <c r="A7260" s="2">
        <v>2017.0</v>
      </c>
      <c r="B7260" s="2" t="s">
        <v>30884</v>
      </c>
      <c r="C7260" s="2" t="s">
        <v>30884</v>
      </c>
      <c r="D7260" s="2" t="str">
        <f>"(605) 224-4184"</f>
        <v>(605) 224-4184</v>
      </c>
      <c r="E7260" s="2" t="s">
        <v>326</v>
      </c>
      <c r="F7260" s="2" t="s">
        <v>4352</v>
      </c>
      <c r="G7260" s="2" t="str">
        <f>"SR-9858"</f>
        <v>SR-9858</v>
      </c>
      <c r="H7260" s="2" t="s">
        <v>30885</v>
      </c>
      <c r="I7260" s="2" t="s">
        <v>30886</v>
      </c>
      <c r="K7260" s="2" t="s">
        <v>4355</v>
      </c>
      <c r="L7260" s="2" t="s">
        <v>920</v>
      </c>
      <c r="M7260" s="2">
        <v>57501.0</v>
      </c>
      <c r="N7260" s="2" t="s">
        <v>21</v>
      </c>
    </row>
    <row r="7261" ht="15.75" customHeight="1">
      <c r="A7261" s="2">
        <v>2017.0</v>
      </c>
      <c r="B7261" s="2" t="s">
        <v>30887</v>
      </c>
      <c r="C7261" s="2" t="s">
        <v>30887</v>
      </c>
      <c r="D7261" s="2" t="str">
        <f>"9202514112"</f>
        <v>9202514112</v>
      </c>
      <c r="E7261" s="2" t="s">
        <v>705</v>
      </c>
      <c r="F7261" s="2" t="s">
        <v>21205</v>
      </c>
      <c r="G7261" s="2" t="str">
        <f>"SR-9800"</f>
        <v>SR-9800</v>
      </c>
      <c r="H7261" s="2" t="s">
        <v>30888</v>
      </c>
      <c r="I7261" s="2" t="s">
        <v>30889</v>
      </c>
      <c r="K7261" s="2" t="s">
        <v>192</v>
      </c>
      <c r="L7261" s="2" t="s">
        <v>193</v>
      </c>
      <c r="M7261" s="2">
        <v>54935.0</v>
      </c>
      <c r="N7261" s="2" t="s">
        <v>21</v>
      </c>
    </row>
    <row r="7262" ht="15.75" customHeight="1">
      <c r="A7262" s="2">
        <v>2017.0</v>
      </c>
      <c r="B7262" s="2" t="s">
        <v>30890</v>
      </c>
      <c r="C7262" s="2" t="s">
        <v>30890</v>
      </c>
      <c r="D7262" s="2" t="str">
        <f>"4793812074"</f>
        <v>4793812074</v>
      </c>
      <c r="E7262" s="2" t="s">
        <v>4300</v>
      </c>
      <c r="F7262" s="2" t="s">
        <v>24782</v>
      </c>
      <c r="G7262" s="2" t="str">
        <f>"SR-9784"</f>
        <v>SR-9784</v>
      </c>
      <c r="H7262" s="2" t="s">
        <v>30891</v>
      </c>
      <c r="I7262" s="2" t="s">
        <v>30892</v>
      </c>
      <c r="K7262" s="2" t="s">
        <v>1170</v>
      </c>
      <c r="L7262" s="2" t="s">
        <v>1012</v>
      </c>
      <c r="M7262" s="2">
        <v>72756.0</v>
      </c>
      <c r="N7262" s="2" t="s">
        <v>21</v>
      </c>
    </row>
    <row r="7263" ht="15.75" customHeight="1">
      <c r="A7263" s="2">
        <v>2017.0</v>
      </c>
      <c r="B7263" s="2" t="s">
        <v>17154</v>
      </c>
      <c r="C7263" s="2" t="s">
        <v>30893</v>
      </c>
      <c r="D7263" s="2" t="str">
        <f>"3036969036"</f>
        <v>3036969036</v>
      </c>
      <c r="E7263" s="2" t="s">
        <v>30894</v>
      </c>
      <c r="F7263" s="2" t="s">
        <v>4532</v>
      </c>
      <c r="G7263" s="2" t="str">
        <f>"SR-9831"</f>
        <v>SR-9831</v>
      </c>
      <c r="H7263" s="2" t="s">
        <v>30895</v>
      </c>
      <c r="I7263" s="2" t="s">
        <v>17158</v>
      </c>
      <c r="K7263" s="2" t="s">
        <v>1520</v>
      </c>
      <c r="L7263" s="2" t="s">
        <v>157</v>
      </c>
      <c r="M7263" s="2">
        <v>80017.0</v>
      </c>
      <c r="N7263" s="2" t="s">
        <v>21</v>
      </c>
    </row>
    <row r="7264" ht="15.75" customHeight="1">
      <c r="A7264" s="2">
        <v>2017.0</v>
      </c>
      <c r="B7264" s="2" t="s">
        <v>30896</v>
      </c>
      <c r="C7264" s="2" t="s">
        <v>30897</v>
      </c>
      <c r="D7264" s="2" t="str">
        <f>"4795305007"</f>
        <v>4795305007</v>
      </c>
      <c r="E7264" s="2" t="s">
        <v>9513</v>
      </c>
      <c r="F7264" s="2" t="s">
        <v>30898</v>
      </c>
      <c r="G7264" s="2" t="str">
        <f>"SR-8070"</f>
        <v>SR-8070</v>
      </c>
      <c r="H7264" s="2" t="s">
        <v>30899</v>
      </c>
      <c r="I7264" s="2" t="s">
        <v>30900</v>
      </c>
      <c r="K7264" s="2" t="s">
        <v>3164</v>
      </c>
      <c r="L7264" s="2" t="s">
        <v>1012</v>
      </c>
      <c r="M7264" s="2">
        <v>72704.0</v>
      </c>
      <c r="N7264" s="2" t="s">
        <v>21</v>
      </c>
    </row>
    <row r="7265" ht="15.75" customHeight="1">
      <c r="A7265" s="2">
        <v>2017.0</v>
      </c>
      <c r="B7265" s="2" t="s">
        <v>30901</v>
      </c>
      <c r="C7265" s="2" t="s">
        <v>30901</v>
      </c>
      <c r="D7265" s="2" t="str">
        <f>"2095857528"</f>
        <v>2095857528</v>
      </c>
      <c r="E7265" s="2" t="s">
        <v>1450</v>
      </c>
      <c r="F7265" s="2" t="s">
        <v>30902</v>
      </c>
      <c r="G7265" s="2" t="str">
        <f>"SR-9850"</f>
        <v>SR-9850</v>
      </c>
      <c r="H7265" s="2" t="s">
        <v>30903</v>
      </c>
      <c r="I7265" s="2" t="s">
        <v>30904</v>
      </c>
      <c r="K7265" s="2" t="s">
        <v>4965</v>
      </c>
      <c r="L7265" s="2" t="s">
        <v>222</v>
      </c>
      <c r="M7265" s="2">
        <v>95380.0</v>
      </c>
      <c r="N7265" s="2" t="s">
        <v>21</v>
      </c>
    </row>
    <row r="7266" ht="15.75" customHeight="1">
      <c r="A7266" s="2">
        <v>2017.0</v>
      </c>
      <c r="B7266" s="2" t="s">
        <v>30905</v>
      </c>
      <c r="C7266" s="2" t="s">
        <v>30905</v>
      </c>
      <c r="D7266" s="2" t="str">
        <f>"4173724263"</f>
        <v>4173724263</v>
      </c>
      <c r="E7266" s="2" t="s">
        <v>485</v>
      </c>
      <c r="F7266" s="2" t="s">
        <v>17269</v>
      </c>
      <c r="G7266" s="2" t="str">
        <f>"SR-9720"</f>
        <v>SR-9720</v>
      </c>
      <c r="H7266" s="2" t="s">
        <v>30906</v>
      </c>
      <c r="I7266" s="2" t="s">
        <v>30907</v>
      </c>
      <c r="K7266" s="2" t="s">
        <v>229</v>
      </c>
      <c r="L7266" s="2" t="s">
        <v>214</v>
      </c>
      <c r="M7266" s="2">
        <v>65775.0</v>
      </c>
      <c r="N7266" s="2" t="s">
        <v>21</v>
      </c>
    </row>
    <row r="7267" ht="15.75" customHeight="1">
      <c r="A7267" s="2">
        <v>2017.0</v>
      </c>
      <c r="B7267" s="2" t="s">
        <v>30908</v>
      </c>
      <c r="C7267" s="2" t="s">
        <v>30908</v>
      </c>
      <c r="D7267" s="2" t="str">
        <f t="shared" ref="D7267:D7268" si="122">"303-909-5462"</f>
        <v>303-909-5462</v>
      </c>
      <c r="E7267" s="2" t="s">
        <v>4775</v>
      </c>
      <c r="F7267" s="2" t="s">
        <v>30909</v>
      </c>
      <c r="G7267" s="2" t="str">
        <f>"SR-9851"</f>
        <v>SR-9851</v>
      </c>
      <c r="H7267" s="2" t="s">
        <v>30910</v>
      </c>
      <c r="I7267" s="2" t="s">
        <v>30911</v>
      </c>
      <c r="K7267" s="2" t="s">
        <v>6514</v>
      </c>
      <c r="L7267" s="2" t="s">
        <v>157</v>
      </c>
      <c r="M7267" s="2">
        <v>80228.0</v>
      </c>
      <c r="N7267" s="2" t="s">
        <v>21</v>
      </c>
    </row>
    <row r="7268" ht="15.75" customHeight="1">
      <c r="A7268" s="2">
        <v>2017.0</v>
      </c>
      <c r="B7268" s="2" t="s">
        <v>30908</v>
      </c>
      <c r="C7268" s="2" t="s">
        <v>30908</v>
      </c>
      <c r="D7268" s="2" t="str">
        <f t="shared" si="122"/>
        <v>303-909-5462</v>
      </c>
      <c r="E7268" s="2" t="s">
        <v>30912</v>
      </c>
      <c r="F7268" s="2" t="s">
        <v>30909</v>
      </c>
      <c r="G7268" s="2" t="str">
        <f>"SR-9859"</f>
        <v>SR-9859</v>
      </c>
      <c r="H7268" s="2" t="s">
        <v>30913</v>
      </c>
      <c r="I7268" s="2" t="s">
        <v>30911</v>
      </c>
      <c r="K7268" s="2" t="s">
        <v>6514</v>
      </c>
      <c r="L7268" s="2" t="s">
        <v>157</v>
      </c>
      <c r="M7268" s="2">
        <v>80228.0</v>
      </c>
      <c r="N7268" s="2" t="s">
        <v>21</v>
      </c>
    </row>
    <row r="7269" ht="15.75" customHeight="1">
      <c r="A7269" s="2">
        <v>2017.0</v>
      </c>
      <c r="B7269" s="2" t="s">
        <v>30914</v>
      </c>
      <c r="C7269" s="2" t="s">
        <v>30914</v>
      </c>
      <c r="D7269" s="2" t="str">
        <f>"972-979-4400"</f>
        <v>972-979-4400</v>
      </c>
      <c r="E7269" s="2" t="s">
        <v>2401</v>
      </c>
      <c r="F7269" s="2" t="s">
        <v>168</v>
      </c>
      <c r="G7269" s="2" t="str">
        <f>"SR-9535"</f>
        <v>SR-9535</v>
      </c>
      <c r="H7269" s="2" t="s">
        <v>30915</v>
      </c>
      <c r="I7269" s="2" t="s">
        <v>30916</v>
      </c>
      <c r="K7269" s="2" t="s">
        <v>171</v>
      </c>
      <c r="L7269" s="2" t="s">
        <v>172</v>
      </c>
      <c r="M7269" s="2">
        <v>75007.0</v>
      </c>
      <c r="N7269" s="2" t="s">
        <v>21</v>
      </c>
    </row>
    <row r="7270" ht="15.75" customHeight="1">
      <c r="A7270" s="2">
        <v>2017.0</v>
      </c>
      <c r="B7270" s="2" t="s">
        <v>30917</v>
      </c>
      <c r="C7270" s="2" t="s">
        <v>30917</v>
      </c>
      <c r="D7270" s="2" t="str">
        <f>"4063202399"</f>
        <v>4063202399</v>
      </c>
      <c r="E7270" s="2" t="s">
        <v>2361</v>
      </c>
      <c r="F7270" s="2" t="s">
        <v>2491</v>
      </c>
      <c r="G7270" s="2" t="str">
        <f>"SR-9697"</f>
        <v>SR-9697</v>
      </c>
      <c r="H7270" s="2" t="s">
        <v>30918</v>
      </c>
      <c r="I7270" s="2" t="s">
        <v>30919</v>
      </c>
      <c r="K7270" s="2" t="s">
        <v>26359</v>
      </c>
      <c r="L7270" s="2" t="s">
        <v>2696</v>
      </c>
      <c r="M7270" s="2">
        <v>59072.0</v>
      </c>
      <c r="N7270" s="2" t="s">
        <v>21</v>
      </c>
    </row>
    <row r="7271" ht="15.75" customHeight="1">
      <c r="A7271" s="2">
        <v>2017.0</v>
      </c>
      <c r="B7271" s="2" t="s">
        <v>30920</v>
      </c>
      <c r="C7271" s="2" t="s">
        <v>30921</v>
      </c>
      <c r="D7271" s="2" t="str">
        <f t="shared" ref="D7271:D7272" si="123">"5077445822"</f>
        <v>5077445822</v>
      </c>
      <c r="E7271" s="2" t="s">
        <v>584</v>
      </c>
      <c r="F7271" s="2" t="s">
        <v>30922</v>
      </c>
      <c r="G7271" s="2" t="str">
        <f>"SR-9842"</f>
        <v>SR-9842</v>
      </c>
      <c r="H7271" s="2" t="s">
        <v>30923</v>
      </c>
      <c r="I7271" s="2" t="s">
        <v>30924</v>
      </c>
      <c r="K7271" s="2" t="s">
        <v>30925</v>
      </c>
      <c r="L7271" s="2" t="s">
        <v>62</v>
      </c>
      <c r="M7271" s="2">
        <v>55046.0</v>
      </c>
      <c r="N7271" s="2" t="s">
        <v>21</v>
      </c>
    </row>
    <row r="7272" ht="15.75" customHeight="1">
      <c r="A7272" s="2">
        <v>2017.0</v>
      </c>
      <c r="B7272" s="2" t="s">
        <v>30920</v>
      </c>
      <c r="C7272" s="2" t="s">
        <v>30926</v>
      </c>
      <c r="D7272" s="2" t="str">
        <f t="shared" si="123"/>
        <v>5077445822</v>
      </c>
      <c r="E7272" s="2" t="s">
        <v>386</v>
      </c>
      <c r="F7272" s="2" t="s">
        <v>30922</v>
      </c>
      <c r="G7272" s="2" t="str">
        <f>"SR-9843"</f>
        <v>SR-9843</v>
      </c>
      <c r="H7272" s="2" t="s">
        <v>30927</v>
      </c>
      <c r="I7272" s="2" t="s">
        <v>30924</v>
      </c>
      <c r="K7272" s="2" t="s">
        <v>30925</v>
      </c>
      <c r="L7272" s="2" t="s">
        <v>62</v>
      </c>
      <c r="M7272" s="2">
        <v>55046.0</v>
      </c>
      <c r="N7272" s="2" t="s">
        <v>21</v>
      </c>
    </row>
    <row r="7273" ht="15.75" customHeight="1">
      <c r="A7273" s="2">
        <v>2017.0</v>
      </c>
      <c r="B7273" s="2" t="s">
        <v>30928</v>
      </c>
      <c r="C7273" s="2" t="s">
        <v>30929</v>
      </c>
      <c r="D7273" s="2" t="str">
        <f>"407 654 6177"</f>
        <v>407 654 6177</v>
      </c>
      <c r="E7273" s="2" t="s">
        <v>50</v>
      </c>
      <c r="F7273" s="2" t="s">
        <v>14279</v>
      </c>
      <c r="G7273" s="2" t="str">
        <f>"SR-9771"</f>
        <v>SR-9771</v>
      </c>
      <c r="H7273" s="2" t="s">
        <v>30930</v>
      </c>
      <c r="I7273" s="2" t="s">
        <v>30931</v>
      </c>
      <c r="K7273" s="2" t="s">
        <v>30932</v>
      </c>
      <c r="L7273" s="2" t="s">
        <v>208</v>
      </c>
      <c r="M7273" s="2">
        <v>34761.0</v>
      </c>
      <c r="N7273" s="2" t="s">
        <v>21</v>
      </c>
    </row>
    <row r="7274" ht="15.75" customHeight="1">
      <c r="A7274" s="2">
        <v>2017.0</v>
      </c>
      <c r="B7274" s="2" t="s">
        <v>30933</v>
      </c>
      <c r="C7274" s="2" t="s">
        <v>30933</v>
      </c>
      <c r="D7274" s="2" t="str">
        <f>"6086083051"</f>
        <v>6086083051</v>
      </c>
      <c r="E7274" s="2" t="s">
        <v>288</v>
      </c>
      <c r="F7274" s="2" t="s">
        <v>30934</v>
      </c>
      <c r="G7274" s="2" t="str">
        <f>"SR-9916"</f>
        <v>SR-9916</v>
      </c>
      <c r="H7274" s="2" t="s">
        <v>30935</v>
      </c>
      <c r="I7274" s="2" t="s">
        <v>30936</v>
      </c>
      <c r="K7274" s="2" t="s">
        <v>6678</v>
      </c>
      <c r="L7274" s="2" t="s">
        <v>193</v>
      </c>
      <c r="M7274" s="2">
        <v>53581.0</v>
      </c>
      <c r="N7274" s="2" t="s">
        <v>21</v>
      </c>
    </row>
    <row r="7275" ht="15.75" customHeight="1">
      <c r="A7275" s="2">
        <v>2017.0</v>
      </c>
      <c r="B7275" s="2" t="s">
        <v>30937</v>
      </c>
      <c r="C7275" s="2" t="s">
        <v>30938</v>
      </c>
      <c r="D7275" s="2" t="str">
        <f>"832-738-6883"</f>
        <v>832-738-6883</v>
      </c>
      <c r="E7275" s="2" t="s">
        <v>50</v>
      </c>
      <c r="F7275" s="2" t="s">
        <v>30939</v>
      </c>
      <c r="G7275" s="2" t="str">
        <f>"SR-9739"</f>
        <v>SR-9739</v>
      </c>
      <c r="H7275" s="2" t="s">
        <v>30940</v>
      </c>
      <c r="I7275" s="2" t="s">
        <v>30941</v>
      </c>
      <c r="K7275" s="2" t="s">
        <v>30942</v>
      </c>
      <c r="L7275" s="2" t="s">
        <v>172</v>
      </c>
      <c r="M7275" s="2">
        <v>77573.0</v>
      </c>
      <c r="N7275" s="2" t="s">
        <v>21</v>
      </c>
    </row>
    <row r="7276" ht="15.75" customHeight="1">
      <c r="A7276" s="2">
        <v>2017.0</v>
      </c>
      <c r="B7276" s="2" t="s">
        <v>30943</v>
      </c>
      <c r="C7276" s="2" t="s">
        <v>30944</v>
      </c>
      <c r="D7276" s="2" t="str">
        <f>"719-248-1664"</f>
        <v>719-248-1664</v>
      </c>
      <c r="E7276" s="2" t="s">
        <v>7754</v>
      </c>
      <c r="F7276" s="2" t="s">
        <v>26449</v>
      </c>
      <c r="G7276" s="2" t="str">
        <f>"SR-9919"</f>
        <v>SR-9919</v>
      </c>
      <c r="H7276" s="2" t="s">
        <v>30945</v>
      </c>
      <c r="I7276" s="2" t="s">
        <v>30946</v>
      </c>
      <c r="K7276" s="2" t="s">
        <v>30947</v>
      </c>
      <c r="L7276" s="2" t="s">
        <v>757</v>
      </c>
      <c r="M7276" s="2">
        <v>69145.0</v>
      </c>
      <c r="N7276" s="2" t="s">
        <v>21</v>
      </c>
    </row>
    <row r="7277" ht="15.75" customHeight="1">
      <c r="A7277" s="2">
        <v>2017.0</v>
      </c>
      <c r="B7277" s="2" t="s">
        <v>17159</v>
      </c>
      <c r="C7277" s="2" t="s">
        <v>30948</v>
      </c>
      <c r="D7277" s="2" t="str">
        <f>"9206879737"</f>
        <v>9206879737</v>
      </c>
      <c r="E7277" s="2" t="s">
        <v>22942</v>
      </c>
      <c r="F7277" s="2" t="s">
        <v>6366</v>
      </c>
      <c r="G7277" s="2" t="str">
        <f>"SR-9922"</f>
        <v>SR-9922</v>
      </c>
      <c r="H7277" s="2" t="s">
        <v>30949</v>
      </c>
      <c r="I7277" s="2" t="s">
        <v>17162</v>
      </c>
      <c r="K7277" s="2" t="s">
        <v>14386</v>
      </c>
      <c r="L7277" s="2" t="s">
        <v>193</v>
      </c>
      <c r="M7277" s="2">
        <v>54130.0</v>
      </c>
      <c r="N7277" s="2" t="s">
        <v>21</v>
      </c>
    </row>
    <row r="7278" ht="15.75" customHeight="1">
      <c r="A7278" s="2">
        <v>2017.0</v>
      </c>
      <c r="B7278" s="2" t="s">
        <v>16829</v>
      </c>
      <c r="C7278" s="2" t="s">
        <v>16829</v>
      </c>
      <c r="D7278" s="2" t="str">
        <f>"360-320-2402"</f>
        <v>360-320-2402</v>
      </c>
      <c r="E7278" s="2" t="s">
        <v>137</v>
      </c>
      <c r="F7278" s="2" t="s">
        <v>94</v>
      </c>
      <c r="G7278" s="2" t="str">
        <f>"SR-9929"</f>
        <v>SR-9929</v>
      </c>
      <c r="H7278" s="2" t="s">
        <v>29655</v>
      </c>
      <c r="I7278" s="2" t="s">
        <v>30950</v>
      </c>
      <c r="K7278" s="2" t="s">
        <v>1398</v>
      </c>
      <c r="L7278" s="2" t="s">
        <v>157</v>
      </c>
      <c r="M7278" s="2">
        <v>80104.0</v>
      </c>
      <c r="N7278" s="2" t="s">
        <v>21</v>
      </c>
    </row>
    <row r="7279" ht="15.75" customHeight="1">
      <c r="A7279" s="2">
        <v>2017.0</v>
      </c>
      <c r="B7279" s="2" t="s">
        <v>30951</v>
      </c>
      <c r="C7279" s="2" t="s">
        <v>30952</v>
      </c>
      <c r="D7279" s="2" t="str">
        <f>"607-547-7023"</f>
        <v>607-547-7023</v>
      </c>
      <c r="E7279" s="2" t="s">
        <v>3888</v>
      </c>
      <c r="F7279" s="2" t="s">
        <v>30953</v>
      </c>
      <c r="G7279" s="2" t="str">
        <f>"SR-9757"</f>
        <v>SR-9757</v>
      </c>
      <c r="H7279" s="2" t="s">
        <v>30954</v>
      </c>
      <c r="I7279" s="2" t="s">
        <v>30955</v>
      </c>
      <c r="K7279" s="2" t="s">
        <v>2995</v>
      </c>
      <c r="L7279" s="2" t="s">
        <v>142</v>
      </c>
      <c r="M7279" s="2">
        <v>13326.0</v>
      </c>
      <c r="N7279" s="2" t="s">
        <v>21</v>
      </c>
    </row>
    <row r="7280" ht="15.75" customHeight="1">
      <c r="A7280" s="2">
        <v>2017.0</v>
      </c>
      <c r="B7280" s="2" t="s">
        <v>24529</v>
      </c>
      <c r="C7280" s="2" t="s">
        <v>24529</v>
      </c>
      <c r="D7280" s="2" t="str">
        <f>"813-720-5527"</f>
        <v>813-720-5527</v>
      </c>
      <c r="E7280" s="2" t="s">
        <v>1356</v>
      </c>
      <c r="F7280" s="2" t="s">
        <v>24530</v>
      </c>
      <c r="G7280" s="2" t="str">
        <f>"SR-7738"</f>
        <v>SR-7738</v>
      </c>
      <c r="H7280" s="2" t="s">
        <v>24531</v>
      </c>
      <c r="I7280" s="2" t="s">
        <v>24532</v>
      </c>
      <c r="K7280" s="2" t="s">
        <v>24533</v>
      </c>
      <c r="L7280" s="2" t="s">
        <v>208</v>
      </c>
      <c r="M7280" s="2">
        <v>33584.0</v>
      </c>
      <c r="N7280" s="2" t="s">
        <v>21</v>
      </c>
    </row>
    <row r="7281" ht="15.75" customHeight="1">
      <c r="A7281" s="2">
        <v>2017.0</v>
      </c>
      <c r="B7281" s="2" t="s">
        <v>30956</v>
      </c>
      <c r="C7281" s="2" t="s">
        <v>30956</v>
      </c>
      <c r="D7281" s="2" t="str">
        <f>"907-982-8743"</f>
        <v>907-982-8743</v>
      </c>
      <c r="E7281" s="2" t="s">
        <v>1076</v>
      </c>
      <c r="F7281" s="2" t="s">
        <v>30957</v>
      </c>
      <c r="G7281" s="2" t="str">
        <f>"SR-9847"</f>
        <v>SR-9847</v>
      </c>
      <c r="H7281" s="2" t="s">
        <v>30958</v>
      </c>
      <c r="I7281" s="2" t="s">
        <v>30959</v>
      </c>
      <c r="K7281" s="2" t="s">
        <v>24289</v>
      </c>
      <c r="L7281" s="2" t="s">
        <v>70</v>
      </c>
      <c r="M7281" s="2">
        <v>99645.0</v>
      </c>
      <c r="N7281" s="2" t="s">
        <v>21</v>
      </c>
    </row>
    <row r="7282" ht="15.75" customHeight="1">
      <c r="A7282" s="2">
        <v>2017.0</v>
      </c>
      <c r="B7282" s="2" t="s">
        <v>17154</v>
      </c>
      <c r="C7282" s="2" t="s">
        <v>30960</v>
      </c>
      <c r="D7282" s="2" t="str">
        <f>"(970)-518-9757"</f>
        <v>(970)-518-9757</v>
      </c>
      <c r="E7282" s="2" t="s">
        <v>21409</v>
      </c>
      <c r="F7282" s="2" t="s">
        <v>4532</v>
      </c>
      <c r="G7282" s="2" t="str">
        <f>"SR-9883"</f>
        <v>SR-9883</v>
      </c>
      <c r="H7282" s="2" t="s">
        <v>30961</v>
      </c>
      <c r="I7282" s="2" t="s">
        <v>30962</v>
      </c>
      <c r="K7282" s="2" t="s">
        <v>1558</v>
      </c>
      <c r="L7282" s="2" t="s">
        <v>157</v>
      </c>
      <c r="M7282" s="2">
        <v>80634.0</v>
      </c>
      <c r="N7282" s="2" t="s">
        <v>21</v>
      </c>
    </row>
    <row r="7283" ht="15.75" customHeight="1">
      <c r="A7283" s="2">
        <v>2017.0</v>
      </c>
      <c r="B7283" s="2" t="s">
        <v>17342</v>
      </c>
      <c r="C7283" s="2" t="s">
        <v>17343</v>
      </c>
      <c r="D7283" s="2" t="str">
        <f>"719 400 8990"</f>
        <v>719 400 8990</v>
      </c>
      <c r="E7283" s="2" t="s">
        <v>4300</v>
      </c>
      <c r="F7283" s="2" t="s">
        <v>17344</v>
      </c>
      <c r="G7283" s="2" t="str">
        <f>"SR-5194"</f>
        <v>SR-5194</v>
      </c>
      <c r="H7283" s="2" t="s">
        <v>17345</v>
      </c>
      <c r="I7283" s="2" t="s">
        <v>17346</v>
      </c>
      <c r="K7283" s="2" t="s">
        <v>809</v>
      </c>
      <c r="L7283" s="2" t="s">
        <v>157</v>
      </c>
      <c r="M7283" s="2">
        <v>80923.0</v>
      </c>
      <c r="N7283" s="2" t="s">
        <v>21</v>
      </c>
    </row>
    <row r="7284" ht="15.75" customHeight="1">
      <c r="A7284" s="2">
        <v>2017.0</v>
      </c>
      <c r="B7284" s="2" t="s">
        <v>30963</v>
      </c>
      <c r="C7284" s="2" t="s">
        <v>25485</v>
      </c>
      <c r="D7284" s="2" t="str">
        <f>"607-724-7192"</f>
        <v>607-724-7192</v>
      </c>
      <c r="E7284" s="2" t="s">
        <v>1015</v>
      </c>
      <c r="F7284" s="2" t="s">
        <v>30964</v>
      </c>
      <c r="G7284" s="2" t="str">
        <f>"SR-9884"</f>
        <v>SR-9884</v>
      </c>
      <c r="H7284" s="2" t="s">
        <v>30965</v>
      </c>
      <c r="I7284" s="2" t="s">
        <v>30966</v>
      </c>
      <c r="K7284" s="2" t="s">
        <v>30967</v>
      </c>
      <c r="L7284" s="2" t="s">
        <v>142</v>
      </c>
      <c r="M7284" s="2">
        <v>13903.0</v>
      </c>
      <c r="N7284" s="2" t="s">
        <v>21</v>
      </c>
    </row>
    <row r="7285" ht="15.75" customHeight="1">
      <c r="A7285" s="2">
        <v>2017.0</v>
      </c>
      <c r="B7285" s="2" t="s">
        <v>30968</v>
      </c>
      <c r="C7285" s="2" t="s">
        <v>30969</v>
      </c>
      <c r="D7285" s="2" t="str">
        <f t="shared" ref="D7285:D7286" si="124">"614-581-1882"</f>
        <v>614-581-1882</v>
      </c>
      <c r="E7285" s="2" t="s">
        <v>6170</v>
      </c>
      <c r="F7285" s="2" t="s">
        <v>2418</v>
      </c>
      <c r="G7285" s="2" t="str">
        <f>"SR-9920"</f>
        <v>SR-9920</v>
      </c>
      <c r="H7285" s="2" t="s">
        <v>30970</v>
      </c>
      <c r="I7285" s="2" t="s">
        <v>30971</v>
      </c>
      <c r="K7285" s="2" t="s">
        <v>30972</v>
      </c>
      <c r="L7285" s="2" t="s">
        <v>344</v>
      </c>
      <c r="M7285" s="2">
        <v>43235.0</v>
      </c>
      <c r="N7285" s="2" t="s">
        <v>21</v>
      </c>
    </row>
    <row r="7286" ht="15.75" customHeight="1">
      <c r="A7286" s="2">
        <v>2017.0</v>
      </c>
      <c r="B7286" s="2" t="s">
        <v>30968</v>
      </c>
      <c r="C7286" s="2" t="s">
        <v>30973</v>
      </c>
      <c r="D7286" s="2" t="str">
        <f t="shared" si="124"/>
        <v>614-581-1882</v>
      </c>
      <c r="E7286" s="2" t="s">
        <v>988</v>
      </c>
      <c r="F7286" s="2" t="s">
        <v>2418</v>
      </c>
      <c r="G7286" s="2" t="str">
        <f>"SR-9923"</f>
        <v>SR-9923</v>
      </c>
      <c r="H7286" s="2" t="s">
        <v>30974</v>
      </c>
      <c r="I7286" s="2" t="s">
        <v>2435</v>
      </c>
      <c r="K7286" s="2" t="s">
        <v>2421</v>
      </c>
      <c r="L7286" s="2" t="s">
        <v>344</v>
      </c>
      <c r="M7286" s="2">
        <v>43235.0</v>
      </c>
      <c r="N7286" s="2" t="s">
        <v>21</v>
      </c>
    </row>
    <row r="7287" ht="15.75" customHeight="1">
      <c r="A7287" s="2">
        <v>2017.0</v>
      </c>
      <c r="B7287" s="2" t="s">
        <v>490</v>
      </c>
      <c r="C7287" s="2" t="s">
        <v>30975</v>
      </c>
      <c r="D7287" s="2" t="str">
        <f>"309340-0866"</f>
        <v>309340-0866</v>
      </c>
      <c r="E7287" s="2" t="s">
        <v>6098</v>
      </c>
      <c r="F7287" s="2" t="s">
        <v>493</v>
      </c>
      <c r="G7287" s="2" t="str">
        <f>"SR-9933"</f>
        <v>SR-9933</v>
      </c>
      <c r="H7287" s="2" t="s">
        <v>30976</v>
      </c>
      <c r="I7287" s="2" t="s">
        <v>30977</v>
      </c>
      <c r="K7287" s="2" t="s">
        <v>496</v>
      </c>
      <c r="L7287" s="2" t="s">
        <v>105</v>
      </c>
      <c r="M7287" s="2">
        <v>61540.0</v>
      </c>
      <c r="N7287" s="2" t="s">
        <v>21</v>
      </c>
    </row>
    <row r="7288" ht="15.75" customHeight="1">
      <c r="A7288" s="2">
        <v>2017.0</v>
      </c>
      <c r="B7288" s="2" t="s">
        <v>30978</v>
      </c>
      <c r="C7288" s="2" t="s">
        <v>30979</v>
      </c>
      <c r="D7288" s="2" t="str">
        <f>"620-688-2846"</f>
        <v>620-688-2846</v>
      </c>
      <c r="E7288" s="2" t="s">
        <v>137</v>
      </c>
      <c r="F7288" s="2" t="s">
        <v>30403</v>
      </c>
      <c r="G7288" s="2" t="str">
        <f>"SR-9940"</f>
        <v>SR-9940</v>
      </c>
      <c r="H7288" s="2" t="s">
        <v>30980</v>
      </c>
      <c r="I7288" s="2" t="s">
        <v>30981</v>
      </c>
      <c r="K7288" s="2" t="s">
        <v>30982</v>
      </c>
      <c r="L7288" s="2" t="s">
        <v>272</v>
      </c>
      <c r="M7288" s="2">
        <v>67337.0</v>
      </c>
      <c r="N7288" s="2" t="s">
        <v>21</v>
      </c>
    </row>
    <row r="7289" ht="15.75" customHeight="1">
      <c r="A7289" s="2">
        <v>2017.0</v>
      </c>
      <c r="B7289" s="2" t="s">
        <v>11059</v>
      </c>
      <c r="C7289" s="2" t="s">
        <v>30983</v>
      </c>
      <c r="D7289" s="2" t="str">
        <f>"720-331-4576"</f>
        <v>720-331-4576</v>
      </c>
      <c r="E7289" s="2" t="s">
        <v>5583</v>
      </c>
      <c r="F7289" s="2" t="s">
        <v>6078</v>
      </c>
      <c r="G7289" s="2" t="str">
        <f>"SR-9941"</f>
        <v>SR-9941</v>
      </c>
      <c r="H7289" s="2" t="s">
        <v>30984</v>
      </c>
      <c r="I7289" s="2" t="s">
        <v>30985</v>
      </c>
      <c r="K7289" s="2" t="s">
        <v>992</v>
      </c>
      <c r="L7289" s="2" t="s">
        <v>157</v>
      </c>
      <c r="M7289" s="2">
        <v>80015.0</v>
      </c>
      <c r="N7289" s="2" t="s">
        <v>21</v>
      </c>
    </row>
    <row r="7290" ht="15.75" customHeight="1">
      <c r="A7290" s="2">
        <v>2017.0</v>
      </c>
      <c r="B7290" s="2" t="s">
        <v>30986</v>
      </c>
      <c r="C7290" s="2" t="s">
        <v>30987</v>
      </c>
      <c r="D7290" s="2" t="str">
        <f>"412-944-8494"</f>
        <v>412-944-8494</v>
      </c>
      <c r="E7290" s="2" t="s">
        <v>30988</v>
      </c>
      <c r="F7290" s="2" t="s">
        <v>30989</v>
      </c>
      <c r="G7290" s="2" t="str">
        <f>"SR-9829"</f>
        <v>SR-9829</v>
      </c>
      <c r="H7290" s="2" t="s">
        <v>30990</v>
      </c>
      <c r="I7290" s="2" t="s">
        <v>30991</v>
      </c>
      <c r="K7290" s="2" t="s">
        <v>30992</v>
      </c>
      <c r="L7290" s="2" t="s">
        <v>179</v>
      </c>
      <c r="M7290" s="2">
        <v>15143.0</v>
      </c>
      <c r="N7290" s="2" t="s">
        <v>21</v>
      </c>
    </row>
    <row r="7291" ht="15.75" customHeight="1">
      <c r="A7291" s="2">
        <v>2017.0</v>
      </c>
      <c r="B7291" s="2" t="s">
        <v>30993</v>
      </c>
      <c r="C7291" s="2" t="s">
        <v>30993</v>
      </c>
      <c r="D7291" s="2" t="str">
        <f>"813-404-8753"</f>
        <v>813-404-8753</v>
      </c>
      <c r="E7291" s="2" t="s">
        <v>3743</v>
      </c>
      <c r="F7291" s="2" t="s">
        <v>5205</v>
      </c>
      <c r="G7291" s="2" t="str">
        <f>"SR-9952"</f>
        <v>SR-9952</v>
      </c>
      <c r="H7291" s="2" t="s">
        <v>30994</v>
      </c>
      <c r="I7291" s="2" t="s">
        <v>30995</v>
      </c>
      <c r="K7291" s="2" t="s">
        <v>1576</v>
      </c>
      <c r="L7291" s="2" t="s">
        <v>208</v>
      </c>
      <c r="M7291" s="2">
        <v>33567.0</v>
      </c>
      <c r="N7291" s="2" t="s">
        <v>21</v>
      </c>
    </row>
    <row r="7292" ht="15.75" customHeight="1">
      <c r="A7292" s="2">
        <v>2017.0</v>
      </c>
      <c r="B7292" s="2" t="s">
        <v>30996</v>
      </c>
      <c r="C7292" s="2" t="s">
        <v>30997</v>
      </c>
      <c r="D7292" s="2" t="str">
        <f>"405638364"</f>
        <v>405638364</v>
      </c>
      <c r="E7292" s="2" t="s">
        <v>385</v>
      </c>
      <c r="F7292" s="2" t="s">
        <v>30998</v>
      </c>
      <c r="G7292" s="2" t="str">
        <f>"SR-9790"</f>
        <v>SR-9790</v>
      </c>
      <c r="H7292" s="2" t="s">
        <v>30999</v>
      </c>
      <c r="I7292" s="2" t="s">
        <v>31000</v>
      </c>
      <c r="K7292" s="2" t="s">
        <v>6622</v>
      </c>
      <c r="L7292" s="2" t="s">
        <v>840</v>
      </c>
      <c r="M7292" s="2">
        <v>73170.0</v>
      </c>
      <c r="N7292" s="2" t="s">
        <v>21</v>
      </c>
    </row>
    <row r="7293" ht="15.75" customHeight="1">
      <c r="A7293" s="2">
        <v>2017.0</v>
      </c>
      <c r="B7293" s="2" t="s">
        <v>30996</v>
      </c>
      <c r="C7293" s="2" t="s">
        <v>31001</v>
      </c>
      <c r="D7293" s="2" t="str">
        <f>"4056378364"</f>
        <v>4056378364</v>
      </c>
      <c r="E7293" s="2" t="s">
        <v>955</v>
      </c>
      <c r="F7293" s="2" t="s">
        <v>30998</v>
      </c>
      <c r="G7293" s="2" t="str">
        <f>"SR-9798"</f>
        <v>SR-9798</v>
      </c>
      <c r="H7293" s="2" t="s">
        <v>31002</v>
      </c>
      <c r="I7293" s="2" t="s">
        <v>31000</v>
      </c>
      <c r="K7293" s="2" t="s">
        <v>6622</v>
      </c>
      <c r="L7293" s="2" t="s">
        <v>840</v>
      </c>
      <c r="M7293" s="2">
        <v>73170.0</v>
      </c>
      <c r="N7293" s="2" t="s">
        <v>21</v>
      </c>
    </row>
    <row r="7294" ht="15.75" customHeight="1">
      <c r="A7294" s="2">
        <v>2017.0</v>
      </c>
      <c r="B7294" s="2" t="s">
        <v>30996</v>
      </c>
      <c r="C7294" s="2" t="s">
        <v>31003</v>
      </c>
      <c r="D7294" s="2" t="str">
        <f>"4058223878"</f>
        <v>4058223878</v>
      </c>
      <c r="E7294" s="2" t="s">
        <v>31004</v>
      </c>
      <c r="F7294" s="2" t="s">
        <v>31005</v>
      </c>
      <c r="G7294" s="2" t="str">
        <f>"SR-9802"</f>
        <v>SR-9802</v>
      </c>
      <c r="H7294" s="2" t="s">
        <v>31006</v>
      </c>
      <c r="I7294" s="2" t="s">
        <v>31007</v>
      </c>
      <c r="K7294" s="2" t="s">
        <v>24118</v>
      </c>
      <c r="L7294" s="2" t="s">
        <v>840</v>
      </c>
      <c r="M7294" s="2">
        <v>73099.0</v>
      </c>
      <c r="N7294" s="2" t="s">
        <v>21</v>
      </c>
    </row>
    <row r="7295" ht="15.75" customHeight="1">
      <c r="A7295" s="2">
        <v>2017.0</v>
      </c>
      <c r="B7295" s="2" t="s">
        <v>31008</v>
      </c>
      <c r="C7295" s="2" t="s">
        <v>31008</v>
      </c>
      <c r="D7295" s="2" t="str">
        <f>"7193541858"</f>
        <v>7193541858</v>
      </c>
      <c r="E7295" s="2" t="s">
        <v>4501</v>
      </c>
      <c r="F7295" s="2" t="s">
        <v>12320</v>
      </c>
      <c r="G7295" s="2" t="str">
        <f>"SR-9958"</f>
        <v>SR-9958</v>
      </c>
      <c r="H7295" s="2" t="s">
        <v>31009</v>
      </c>
      <c r="I7295" s="2" t="s">
        <v>17707</v>
      </c>
      <c r="K7295" s="2" t="s">
        <v>809</v>
      </c>
      <c r="L7295" s="2" t="s">
        <v>157</v>
      </c>
      <c r="M7295" s="2">
        <v>80921.0</v>
      </c>
      <c r="N7295" s="2" t="s">
        <v>21</v>
      </c>
    </row>
    <row r="7296" ht="15.75" customHeight="1">
      <c r="A7296" s="2">
        <v>2017.0</v>
      </c>
      <c r="B7296" s="2" t="s">
        <v>31010</v>
      </c>
      <c r="C7296" s="2" t="s">
        <v>31011</v>
      </c>
      <c r="D7296" s="2" t="str">
        <f>"734-433-9320"</f>
        <v>734-433-9320</v>
      </c>
      <c r="E7296" s="2" t="s">
        <v>644</v>
      </c>
      <c r="F7296" s="2" t="s">
        <v>31012</v>
      </c>
      <c r="G7296" s="2" t="str">
        <f>"SR-9965"</f>
        <v>SR-9965</v>
      </c>
      <c r="H7296" s="2" t="s">
        <v>31013</v>
      </c>
      <c r="I7296" s="2" t="s">
        <v>31014</v>
      </c>
      <c r="K7296" s="2" t="s">
        <v>7174</v>
      </c>
      <c r="L7296" s="2" t="s">
        <v>29</v>
      </c>
      <c r="M7296" s="2">
        <v>48130.0</v>
      </c>
      <c r="N7296" s="2" t="s">
        <v>21</v>
      </c>
    </row>
    <row r="7297" ht="15.75" customHeight="1">
      <c r="A7297" s="2">
        <v>2017.0</v>
      </c>
      <c r="B7297" s="2" t="s">
        <v>20703</v>
      </c>
      <c r="C7297" s="2" t="s">
        <v>31015</v>
      </c>
      <c r="D7297" s="2" t="str">
        <f>"720-981-9186"</f>
        <v>720-981-9186</v>
      </c>
      <c r="E7297" s="2" t="s">
        <v>4865</v>
      </c>
      <c r="F7297" s="2" t="s">
        <v>20705</v>
      </c>
      <c r="G7297" s="2" t="str">
        <f>"SR-9918"</f>
        <v>SR-9918</v>
      </c>
      <c r="H7297" s="2" t="s">
        <v>31016</v>
      </c>
      <c r="I7297" s="2" t="s">
        <v>20707</v>
      </c>
      <c r="K7297" s="2" t="s">
        <v>1398</v>
      </c>
      <c r="L7297" s="2" t="s">
        <v>157</v>
      </c>
      <c r="M7297" s="2">
        <v>80104.0</v>
      </c>
      <c r="N7297" s="2" t="s">
        <v>21</v>
      </c>
    </row>
    <row r="7298" ht="15.75" customHeight="1">
      <c r="A7298" s="2">
        <v>2017.0</v>
      </c>
      <c r="B7298" s="2" t="s">
        <v>31010</v>
      </c>
      <c r="C7298" s="2" t="s">
        <v>31017</v>
      </c>
      <c r="D7298" s="2" t="str">
        <f>"734-433-9320"</f>
        <v>734-433-9320</v>
      </c>
      <c r="E7298" s="2" t="s">
        <v>250</v>
      </c>
      <c r="F7298" s="2" t="s">
        <v>31012</v>
      </c>
      <c r="G7298" s="2" t="str">
        <f>"SR-9969"</f>
        <v>SR-9969</v>
      </c>
      <c r="H7298" s="2" t="s">
        <v>31018</v>
      </c>
      <c r="I7298" s="2" t="s">
        <v>31014</v>
      </c>
      <c r="K7298" s="2" t="s">
        <v>7174</v>
      </c>
      <c r="L7298" s="2" t="s">
        <v>29</v>
      </c>
      <c r="M7298" s="2">
        <v>48130.0</v>
      </c>
      <c r="N7298" s="2" t="s">
        <v>21</v>
      </c>
    </row>
    <row r="7299" ht="15.75" customHeight="1">
      <c r="A7299" s="2">
        <v>2017.0</v>
      </c>
      <c r="B7299" s="2" t="s">
        <v>31019</v>
      </c>
      <c r="C7299" s="2" t="s">
        <v>31019</v>
      </c>
      <c r="D7299" s="2" t="str">
        <f>"7192385848"</f>
        <v>7192385848</v>
      </c>
      <c r="E7299" s="2" t="s">
        <v>13268</v>
      </c>
      <c r="F7299" s="2" t="s">
        <v>984</v>
      </c>
      <c r="G7299" s="2" t="str">
        <f>"SR-7380"</f>
        <v>SR-7380</v>
      </c>
      <c r="H7299" s="2" t="s">
        <v>31020</v>
      </c>
      <c r="I7299" s="2" t="s">
        <v>31021</v>
      </c>
      <c r="K7299" s="2" t="s">
        <v>507</v>
      </c>
      <c r="L7299" s="2" t="s">
        <v>157</v>
      </c>
      <c r="M7299" s="2">
        <v>80132.0</v>
      </c>
      <c r="N7299" s="2" t="s">
        <v>21</v>
      </c>
    </row>
    <row r="7300" ht="15.75" customHeight="1">
      <c r="A7300" s="2">
        <v>2017.0</v>
      </c>
      <c r="B7300" s="2" t="s">
        <v>31022</v>
      </c>
      <c r="C7300" s="2" t="s">
        <v>31023</v>
      </c>
      <c r="D7300" s="2" t="str">
        <f>"5058325288"</f>
        <v>5058325288</v>
      </c>
      <c r="E7300" s="2" t="s">
        <v>15</v>
      </c>
      <c r="F7300" s="2" t="s">
        <v>2174</v>
      </c>
      <c r="G7300" s="2" t="str">
        <f>"SR-9651"</f>
        <v>SR-9651</v>
      </c>
      <c r="H7300" s="2" t="s">
        <v>19385</v>
      </c>
      <c r="I7300" s="2" t="s">
        <v>31024</v>
      </c>
      <c r="J7300" s="2" t="s">
        <v>31025</v>
      </c>
      <c r="K7300" s="2" t="s">
        <v>24977</v>
      </c>
      <c r="L7300" s="2" t="s">
        <v>789</v>
      </c>
      <c r="M7300" s="2">
        <v>87035.0</v>
      </c>
      <c r="N7300" s="2" t="s">
        <v>21</v>
      </c>
    </row>
    <row r="7301" ht="15.75" customHeight="1">
      <c r="A7301" s="2">
        <v>2017.0</v>
      </c>
      <c r="B7301" s="2" t="s">
        <v>31026</v>
      </c>
      <c r="C7301" s="2" t="s">
        <v>31026</v>
      </c>
      <c r="D7301" s="2" t="str">
        <f>"4794458533"</f>
        <v>4794458533</v>
      </c>
      <c r="E7301" s="2" t="s">
        <v>301</v>
      </c>
      <c r="F7301" s="2" t="s">
        <v>5128</v>
      </c>
      <c r="G7301" s="2" t="str">
        <f>"SR-9719"</f>
        <v>SR-9719</v>
      </c>
      <c r="H7301" s="2" t="s">
        <v>31027</v>
      </c>
      <c r="I7301" s="2" t="s">
        <v>31028</v>
      </c>
      <c r="K7301" s="2" t="s">
        <v>31029</v>
      </c>
      <c r="L7301" s="2" t="s">
        <v>840</v>
      </c>
      <c r="M7301" s="2">
        <v>74070.0</v>
      </c>
      <c r="N7301" s="2" t="s">
        <v>21</v>
      </c>
    </row>
    <row r="7302" ht="15.75" customHeight="1">
      <c r="A7302" s="2">
        <v>2017.0</v>
      </c>
      <c r="B7302" s="2" t="s">
        <v>31030</v>
      </c>
      <c r="C7302" s="2" t="s">
        <v>31030</v>
      </c>
      <c r="D7302" s="2" t="str">
        <f>"(406) 685-3340"</f>
        <v>(406) 685-3340</v>
      </c>
      <c r="E7302" s="2" t="s">
        <v>1278</v>
      </c>
      <c r="F7302" s="2" t="s">
        <v>2864</v>
      </c>
      <c r="G7302" s="2" t="str">
        <f>"SR-9977"</f>
        <v>SR-9977</v>
      </c>
      <c r="H7302" s="2" t="s">
        <v>31031</v>
      </c>
      <c r="I7302" s="2" t="s">
        <v>2866</v>
      </c>
      <c r="K7302" s="2" t="s">
        <v>2868</v>
      </c>
      <c r="L7302" s="2" t="s">
        <v>2696</v>
      </c>
      <c r="M7302" s="2">
        <v>59745.0</v>
      </c>
      <c r="N7302" s="2" t="s">
        <v>21</v>
      </c>
    </row>
    <row r="7303" ht="15.75" customHeight="1">
      <c r="A7303" s="2">
        <v>2017.0</v>
      </c>
      <c r="B7303" s="2" t="s">
        <v>31032</v>
      </c>
      <c r="C7303" s="2" t="s">
        <v>31033</v>
      </c>
      <c r="D7303" s="2" t="str">
        <f>"9198686369"</f>
        <v>9198686369</v>
      </c>
      <c r="E7303" s="2" t="s">
        <v>203</v>
      </c>
      <c r="F7303" s="2" t="s">
        <v>2174</v>
      </c>
      <c r="G7303" s="2" t="str">
        <f>"SR-9987"</f>
        <v>SR-9987</v>
      </c>
      <c r="H7303" s="2" t="s">
        <v>31034</v>
      </c>
      <c r="I7303" s="2" t="s">
        <v>31035</v>
      </c>
      <c r="K7303" s="2" t="s">
        <v>25089</v>
      </c>
      <c r="L7303" s="2" t="s">
        <v>20</v>
      </c>
      <c r="M7303" s="2">
        <v>27592.0</v>
      </c>
      <c r="N7303" s="2" t="s">
        <v>21</v>
      </c>
    </row>
    <row r="7304" ht="15.75" customHeight="1">
      <c r="A7304" s="2">
        <v>2017.0</v>
      </c>
      <c r="B7304" s="2" t="s">
        <v>31036</v>
      </c>
      <c r="D7304" s="2" t="str">
        <f>""</f>
        <v/>
      </c>
      <c r="E7304" s="2" t="s">
        <v>3434</v>
      </c>
      <c r="F7304" s="2" t="s">
        <v>711</v>
      </c>
      <c r="G7304" s="2" t="str">
        <f>"SR-9988"</f>
        <v>SR-9988</v>
      </c>
      <c r="H7304" s="2" t="s">
        <v>31037</v>
      </c>
      <c r="N7304" s="2" t="s">
        <v>21</v>
      </c>
    </row>
    <row r="7305" ht="15.75" customHeight="1">
      <c r="A7305" s="2">
        <v>2017.0</v>
      </c>
      <c r="B7305" s="2" t="s">
        <v>31038</v>
      </c>
      <c r="C7305" s="2" t="s">
        <v>31039</v>
      </c>
      <c r="D7305" s="2" t="str">
        <f>"(734) 276-1277"</f>
        <v>(734) 276-1277</v>
      </c>
      <c r="E7305" s="2" t="s">
        <v>1263</v>
      </c>
      <c r="F7305" s="2" t="s">
        <v>19130</v>
      </c>
      <c r="G7305" s="2" t="str">
        <f>"SR-9967"</f>
        <v>SR-9967</v>
      </c>
      <c r="H7305" s="2" t="s">
        <v>31040</v>
      </c>
      <c r="I7305" s="2" t="s">
        <v>31041</v>
      </c>
      <c r="K7305" s="2" t="s">
        <v>7174</v>
      </c>
      <c r="L7305" s="2" t="s">
        <v>29</v>
      </c>
      <c r="M7305" s="2">
        <v>48130.0</v>
      </c>
      <c r="N7305" s="2" t="s">
        <v>21</v>
      </c>
    </row>
    <row r="7306" ht="15.75" customHeight="1">
      <c r="A7306" s="2">
        <v>2017.0</v>
      </c>
      <c r="B7306" s="2" t="s">
        <v>31042</v>
      </c>
      <c r="C7306" s="2" t="s">
        <v>31043</v>
      </c>
      <c r="D7306" s="2" t="str">
        <f>"3082010637"</f>
        <v>3082010637</v>
      </c>
      <c r="E7306" s="2" t="s">
        <v>1974</v>
      </c>
      <c r="F7306" s="2" t="s">
        <v>3806</v>
      </c>
      <c r="G7306" s="2" t="str">
        <f>"SR-9874"</f>
        <v>SR-9874</v>
      </c>
      <c r="H7306" s="2" t="s">
        <v>31044</v>
      </c>
      <c r="I7306" s="2" t="s">
        <v>31045</v>
      </c>
      <c r="K7306" s="2" t="s">
        <v>23851</v>
      </c>
      <c r="L7306" s="2" t="s">
        <v>757</v>
      </c>
      <c r="M7306" s="2">
        <v>68862.0</v>
      </c>
      <c r="N7306" s="2" t="s">
        <v>21</v>
      </c>
    </row>
    <row r="7307" ht="15.75" customHeight="1">
      <c r="A7307" s="2">
        <v>2017.0</v>
      </c>
      <c r="B7307" s="2" t="s">
        <v>31046</v>
      </c>
      <c r="C7307" s="2" t="s">
        <v>31047</v>
      </c>
      <c r="D7307" s="2" t="str">
        <f>"813-997-7098"</f>
        <v>813-997-7098</v>
      </c>
      <c r="E7307" s="2" t="s">
        <v>1725</v>
      </c>
      <c r="F7307" s="2" t="s">
        <v>3428</v>
      </c>
      <c r="G7307" s="2" t="str">
        <f>"SR-9992"</f>
        <v>SR-9992</v>
      </c>
      <c r="H7307" s="2" t="s">
        <v>31048</v>
      </c>
      <c r="I7307" s="2" t="s">
        <v>3430</v>
      </c>
      <c r="K7307" s="2" t="s">
        <v>3431</v>
      </c>
      <c r="L7307" s="2" t="s">
        <v>208</v>
      </c>
      <c r="M7307" s="2">
        <v>33618.0</v>
      </c>
      <c r="N7307" s="2" t="s">
        <v>21</v>
      </c>
    </row>
    <row r="7308" ht="15.75" customHeight="1">
      <c r="A7308" s="2">
        <v>2017.0</v>
      </c>
      <c r="B7308" s="2" t="s">
        <v>31049</v>
      </c>
      <c r="C7308" s="2" t="s">
        <v>31050</v>
      </c>
      <c r="D7308" s="2" t="str">
        <f>"3196546960"</f>
        <v>3196546960</v>
      </c>
      <c r="E7308" s="2" t="s">
        <v>100</v>
      </c>
      <c r="F7308" s="2" t="s">
        <v>31051</v>
      </c>
      <c r="G7308" s="2" t="str">
        <f>"SR-9991"</f>
        <v>SR-9991</v>
      </c>
      <c r="H7308" s="2" t="s">
        <v>31052</v>
      </c>
      <c r="I7308" s="2" t="s">
        <v>31053</v>
      </c>
      <c r="K7308" s="2" t="s">
        <v>3273</v>
      </c>
      <c r="L7308" s="2" t="s">
        <v>560</v>
      </c>
      <c r="M7308" s="2">
        <v>52405.0</v>
      </c>
      <c r="N7308" s="2" t="s">
        <v>21</v>
      </c>
    </row>
    <row r="7309" ht="15.75" customHeight="1">
      <c r="A7309" s="2">
        <v>2017.0</v>
      </c>
      <c r="B7309" s="2" t="s">
        <v>2141</v>
      </c>
      <c r="C7309" s="2" t="s">
        <v>31054</v>
      </c>
      <c r="D7309" s="2" t="str">
        <f>"3303272633"</f>
        <v>3303272633</v>
      </c>
      <c r="E7309" s="2" t="s">
        <v>2296</v>
      </c>
      <c r="F7309" s="2" t="s">
        <v>2144</v>
      </c>
      <c r="G7309" s="2" t="str">
        <f>"SR-9997"</f>
        <v>SR-9997</v>
      </c>
      <c r="H7309" s="2" t="s">
        <v>31055</v>
      </c>
      <c r="I7309" s="2" t="s">
        <v>2146</v>
      </c>
      <c r="K7309" s="2" t="s">
        <v>2147</v>
      </c>
      <c r="L7309" s="2" t="s">
        <v>208</v>
      </c>
      <c r="M7309" s="2">
        <v>33511.0</v>
      </c>
      <c r="N7309" s="2" t="s">
        <v>21</v>
      </c>
    </row>
    <row r="7310" ht="15.75" customHeight="1">
      <c r="A7310" s="2">
        <v>2017.0</v>
      </c>
      <c r="B7310" s="2" t="s">
        <v>31056</v>
      </c>
      <c r="C7310" s="2" t="s">
        <v>31057</v>
      </c>
      <c r="D7310" s="2" t="str">
        <f>"(208) 908-2521"</f>
        <v>(208) 908-2521</v>
      </c>
      <c r="E7310" s="2" t="s">
        <v>5916</v>
      </c>
      <c r="F7310" s="2" t="s">
        <v>23018</v>
      </c>
      <c r="G7310" s="2" t="str">
        <f>"SR-9760"</f>
        <v>SR-9760</v>
      </c>
      <c r="H7310" s="2" t="s">
        <v>31058</v>
      </c>
      <c r="I7310" s="2" t="s">
        <v>31059</v>
      </c>
      <c r="K7310" s="2" t="s">
        <v>20485</v>
      </c>
      <c r="L7310" s="2" t="s">
        <v>2613</v>
      </c>
      <c r="M7310" s="2">
        <v>83646.0</v>
      </c>
      <c r="N7310" s="2" t="s">
        <v>21</v>
      </c>
    </row>
    <row r="7311" ht="15.75" customHeight="1">
      <c r="A7311" s="2">
        <v>2017.0</v>
      </c>
      <c r="B7311" s="2" t="s">
        <v>31060</v>
      </c>
      <c r="C7311" s="2" t="s">
        <v>31061</v>
      </c>
      <c r="D7311" s="2" t="str">
        <f>"2538400187"</f>
        <v>2538400187</v>
      </c>
      <c r="E7311" s="2" t="s">
        <v>3750</v>
      </c>
      <c r="F7311" s="2" t="s">
        <v>1269</v>
      </c>
      <c r="G7311" s="2" t="str">
        <f>"SR-10001"</f>
        <v>SR-10001</v>
      </c>
      <c r="H7311" s="2" t="s">
        <v>31062</v>
      </c>
      <c r="I7311" s="2" t="s">
        <v>31063</v>
      </c>
      <c r="K7311" s="2" t="s">
        <v>10252</v>
      </c>
      <c r="L7311" s="2" t="s">
        <v>86</v>
      </c>
      <c r="M7311" s="2">
        <v>98371.0</v>
      </c>
      <c r="N7311" s="2" t="s">
        <v>21</v>
      </c>
    </row>
    <row r="7312" ht="15.75" customHeight="1">
      <c r="A7312" s="2">
        <v>2017.0</v>
      </c>
      <c r="B7312" s="2" t="s">
        <v>31064</v>
      </c>
      <c r="C7312" s="2" t="s">
        <v>31065</v>
      </c>
      <c r="D7312" s="2" t="str">
        <f>"303-708-9070"</f>
        <v>303-708-9070</v>
      </c>
      <c r="E7312" s="2" t="s">
        <v>261</v>
      </c>
      <c r="F7312" s="2" t="s">
        <v>31066</v>
      </c>
      <c r="G7312" s="2" t="str">
        <f>"SR-10010"</f>
        <v>SR-10010</v>
      </c>
      <c r="H7312" s="2" t="s">
        <v>31067</v>
      </c>
      <c r="I7312" s="2" t="s">
        <v>31068</v>
      </c>
      <c r="K7312" s="2" t="s">
        <v>1889</v>
      </c>
      <c r="L7312" s="2" t="s">
        <v>157</v>
      </c>
      <c r="M7312" s="2">
        <v>80124.0</v>
      </c>
      <c r="N7312" s="2" t="s">
        <v>21</v>
      </c>
    </row>
    <row r="7313" ht="15.75" customHeight="1">
      <c r="A7313" s="2">
        <v>2017.0</v>
      </c>
      <c r="B7313" s="2" t="s">
        <v>25290</v>
      </c>
      <c r="C7313" s="2" t="s">
        <v>25291</v>
      </c>
      <c r="D7313" s="2" t="str">
        <f>"8318013958"</f>
        <v>8318013958</v>
      </c>
      <c r="E7313" s="2" t="s">
        <v>25292</v>
      </c>
      <c r="F7313" s="2" t="s">
        <v>25293</v>
      </c>
      <c r="G7313" s="2" t="str">
        <f>"SR-8020"</f>
        <v>SR-8020</v>
      </c>
      <c r="H7313" s="2" t="s">
        <v>25294</v>
      </c>
      <c r="I7313" s="2" t="s">
        <v>25295</v>
      </c>
      <c r="K7313" s="2" t="s">
        <v>14257</v>
      </c>
      <c r="L7313" s="2" t="s">
        <v>222</v>
      </c>
      <c r="M7313" s="2">
        <v>95023.0</v>
      </c>
      <c r="N7313" s="2" t="s">
        <v>21</v>
      </c>
    </row>
    <row r="7314" ht="15.75" customHeight="1">
      <c r="A7314" s="2">
        <v>2017.0</v>
      </c>
      <c r="B7314" s="2" t="s">
        <v>31069</v>
      </c>
      <c r="C7314" s="2" t="s">
        <v>31070</v>
      </c>
      <c r="D7314" s="2" t="str">
        <f>"360-593-0235"</f>
        <v>360-593-0235</v>
      </c>
      <c r="E7314" s="2" t="s">
        <v>4437</v>
      </c>
      <c r="F7314" s="2" t="s">
        <v>31071</v>
      </c>
      <c r="G7314" s="2" t="str">
        <f>"SR-9960"</f>
        <v>SR-9960</v>
      </c>
      <c r="H7314" s="2" t="s">
        <v>31072</v>
      </c>
      <c r="I7314" s="2" t="s">
        <v>31073</v>
      </c>
      <c r="K7314" s="2" t="s">
        <v>31074</v>
      </c>
      <c r="L7314" s="2" t="s">
        <v>86</v>
      </c>
      <c r="M7314" s="2">
        <v>98331.0</v>
      </c>
      <c r="N7314" s="2" t="s">
        <v>21</v>
      </c>
    </row>
    <row r="7315" ht="15.75" customHeight="1">
      <c r="A7315" s="2">
        <v>2017.0</v>
      </c>
      <c r="B7315" s="2" t="s">
        <v>29952</v>
      </c>
      <c r="C7315" s="2" t="s">
        <v>31075</v>
      </c>
      <c r="D7315" s="2" t="str">
        <f>"682-804-0462"</f>
        <v>682-804-0462</v>
      </c>
      <c r="E7315" s="2" t="s">
        <v>1725</v>
      </c>
      <c r="F7315" s="2" t="s">
        <v>28430</v>
      </c>
      <c r="G7315" s="2" t="str">
        <f>"SR-10012"</f>
        <v>SR-10012</v>
      </c>
      <c r="H7315" s="2" t="s">
        <v>31076</v>
      </c>
      <c r="I7315" s="2" t="s">
        <v>29955</v>
      </c>
      <c r="K7315" s="2" t="s">
        <v>5729</v>
      </c>
      <c r="L7315" s="2" t="s">
        <v>172</v>
      </c>
      <c r="M7315" s="2">
        <v>76088.0</v>
      </c>
      <c r="N7315" s="2" t="s">
        <v>21</v>
      </c>
    </row>
    <row r="7316" ht="15.75" customHeight="1">
      <c r="A7316" s="2">
        <v>2017.0</v>
      </c>
      <c r="B7316" s="2" t="s">
        <v>25290</v>
      </c>
      <c r="C7316" s="2" t="s">
        <v>31077</v>
      </c>
      <c r="D7316" s="2" t="str">
        <f>"8316341189"</f>
        <v>8316341189</v>
      </c>
      <c r="E7316" s="2" t="s">
        <v>31078</v>
      </c>
      <c r="F7316" s="2" t="s">
        <v>31079</v>
      </c>
      <c r="G7316" s="2" t="str">
        <f>"SR-10013"</f>
        <v>SR-10013</v>
      </c>
      <c r="H7316" s="2" t="s">
        <v>31080</v>
      </c>
      <c r="I7316" s="2" t="s">
        <v>25295</v>
      </c>
      <c r="K7316" s="2" t="s">
        <v>14257</v>
      </c>
      <c r="L7316" s="2" t="s">
        <v>222</v>
      </c>
      <c r="M7316" s="2">
        <v>95023.0</v>
      </c>
      <c r="N7316" s="2" t="s">
        <v>21</v>
      </c>
    </row>
    <row r="7317" ht="15.75" customHeight="1">
      <c r="A7317" s="2">
        <v>2017.0</v>
      </c>
      <c r="B7317" s="2" t="s">
        <v>11721</v>
      </c>
      <c r="C7317" s="2" t="s">
        <v>31081</v>
      </c>
      <c r="D7317" s="2" t="str">
        <f>"(402) 860-6892"</f>
        <v>(402) 860-6892</v>
      </c>
      <c r="E7317" s="2" t="s">
        <v>485</v>
      </c>
      <c r="F7317" s="2" t="s">
        <v>11723</v>
      </c>
      <c r="G7317" s="2" t="str">
        <f>"SR-9737"</f>
        <v>SR-9737</v>
      </c>
      <c r="H7317" s="2" t="s">
        <v>31082</v>
      </c>
      <c r="I7317" s="2" t="s">
        <v>31083</v>
      </c>
      <c r="K7317" s="2" t="s">
        <v>11726</v>
      </c>
      <c r="L7317" s="2" t="s">
        <v>757</v>
      </c>
      <c r="M7317" s="2">
        <v>68701.0</v>
      </c>
      <c r="N7317" s="2" t="s">
        <v>21</v>
      </c>
    </row>
    <row r="7318" ht="15.75" customHeight="1">
      <c r="A7318" s="2">
        <v>2017.0</v>
      </c>
      <c r="B7318" s="2" t="s">
        <v>31084</v>
      </c>
      <c r="C7318" s="2" t="s">
        <v>31085</v>
      </c>
      <c r="D7318" s="2" t="str">
        <f>"7208846620"</f>
        <v>7208846620</v>
      </c>
      <c r="E7318" s="2" t="s">
        <v>28329</v>
      </c>
      <c r="F7318" s="2" t="s">
        <v>2753</v>
      </c>
      <c r="G7318" s="2" t="str">
        <f>"SR-10018"</f>
        <v>SR-10018</v>
      </c>
      <c r="H7318" s="2" t="s">
        <v>28330</v>
      </c>
      <c r="I7318" s="2" t="s">
        <v>31086</v>
      </c>
      <c r="K7318" s="2" t="s">
        <v>3588</v>
      </c>
      <c r="L7318" s="2" t="s">
        <v>157</v>
      </c>
      <c r="M7318" s="2">
        <v>80475.0</v>
      </c>
      <c r="N7318" s="2" t="s">
        <v>21</v>
      </c>
    </row>
    <row r="7319" ht="15.75" customHeight="1">
      <c r="A7319" s="2">
        <v>2017.0</v>
      </c>
      <c r="B7319" s="2" t="s">
        <v>18886</v>
      </c>
      <c r="C7319" s="2" t="s">
        <v>18886</v>
      </c>
      <c r="D7319" s="2" t="str">
        <f>"3083409872"</f>
        <v>3083409872</v>
      </c>
      <c r="E7319" s="2" t="s">
        <v>4224</v>
      </c>
      <c r="F7319" s="2" t="s">
        <v>18888</v>
      </c>
      <c r="G7319" s="2" t="str">
        <f>"SR-10023"</f>
        <v>SR-10023</v>
      </c>
      <c r="H7319" s="2" t="s">
        <v>31087</v>
      </c>
      <c r="I7319" s="2" t="s">
        <v>31088</v>
      </c>
      <c r="K7319" s="2" t="s">
        <v>18891</v>
      </c>
      <c r="L7319" s="2" t="s">
        <v>757</v>
      </c>
      <c r="M7319" s="2">
        <v>69043.0</v>
      </c>
      <c r="N7319" s="2" t="s">
        <v>21</v>
      </c>
    </row>
    <row r="7320" ht="15.75" customHeight="1">
      <c r="A7320" s="2">
        <v>2017.0</v>
      </c>
      <c r="B7320" s="2" t="s">
        <v>1527</v>
      </c>
      <c r="C7320" s="2" t="s">
        <v>31089</v>
      </c>
      <c r="D7320" s="2" t="str">
        <f>"8159411162"</f>
        <v>8159411162</v>
      </c>
      <c r="E7320" s="2" t="s">
        <v>9975</v>
      </c>
      <c r="F7320" s="2" t="s">
        <v>1530</v>
      </c>
      <c r="G7320" s="2" t="str">
        <f>"SR-10028"</f>
        <v>SR-10028</v>
      </c>
      <c r="H7320" s="2" t="s">
        <v>31090</v>
      </c>
      <c r="I7320" s="2" t="s">
        <v>1532</v>
      </c>
      <c r="K7320" s="2" t="s">
        <v>1533</v>
      </c>
      <c r="L7320" s="2" t="s">
        <v>105</v>
      </c>
      <c r="M7320" s="2">
        <v>60450.0</v>
      </c>
      <c r="N7320" s="2" t="s">
        <v>21</v>
      </c>
    </row>
    <row r="7321" ht="15.75" customHeight="1">
      <c r="A7321" s="2">
        <v>2017.0</v>
      </c>
      <c r="B7321" s="2" t="s">
        <v>28335</v>
      </c>
      <c r="C7321" s="2" t="s">
        <v>28364</v>
      </c>
      <c r="D7321" s="2" t="str">
        <f>"(217) 418-1782"</f>
        <v>(217) 418-1782</v>
      </c>
      <c r="E7321" s="2" t="s">
        <v>843</v>
      </c>
      <c r="F7321" s="2" t="s">
        <v>17190</v>
      </c>
      <c r="G7321" s="2" t="str">
        <f>"SR-8830"</f>
        <v>SR-8830</v>
      </c>
      <c r="H7321" s="2" t="s">
        <v>28365</v>
      </c>
      <c r="I7321" s="2" t="s">
        <v>28338</v>
      </c>
      <c r="K7321" s="2" t="s">
        <v>28366</v>
      </c>
      <c r="L7321" s="2" t="s">
        <v>105</v>
      </c>
      <c r="M7321" s="2">
        <v>61801.0</v>
      </c>
      <c r="N7321" s="2" t="s">
        <v>21</v>
      </c>
    </row>
    <row r="7322" ht="15.75" customHeight="1">
      <c r="A7322" s="2">
        <v>2017.0</v>
      </c>
      <c r="B7322" s="2" t="s">
        <v>31091</v>
      </c>
      <c r="C7322" s="2" t="s">
        <v>31092</v>
      </c>
      <c r="D7322" s="2" t="str">
        <f>"303-462-0493"</f>
        <v>303-462-0493</v>
      </c>
      <c r="E7322" s="2" t="s">
        <v>31093</v>
      </c>
      <c r="F7322" s="2" t="s">
        <v>3100</v>
      </c>
      <c r="G7322" s="2" t="str">
        <f>"SR-10033"</f>
        <v>SR-10033</v>
      </c>
      <c r="H7322" s="2" t="s">
        <v>31094</v>
      </c>
      <c r="I7322" s="2" t="s">
        <v>31095</v>
      </c>
      <c r="K7322" s="2" t="s">
        <v>2527</v>
      </c>
      <c r="L7322" s="2" t="s">
        <v>157</v>
      </c>
      <c r="M7322" s="2">
        <v>80220.0</v>
      </c>
      <c r="N7322" s="2" t="s">
        <v>21</v>
      </c>
    </row>
    <row r="7323" ht="15.75" customHeight="1">
      <c r="A7323" s="2">
        <v>2017.0</v>
      </c>
      <c r="B7323" s="2" t="s">
        <v>28284</v>
      </c>
      <c r="C7323" s="2" t="s">
        <v>31096</v>
      </c>
      <c r="D7323" s="2" t="str">
        <f>"734-740-7164"</f>
        <v>734-740-7164</v>
      </c>
      <c r="E7323" s="2" t="s">
        <v>843</v>
      </c>
      <c r="F7323" s="2" t="s">
        <v>28286</v>
      </c>
      <c r="G7323" s="2" t="str">
        <f>"SR-10029"</f>
        <v>SR-10029</v>
      </c>
      <c r="H7323" s="2" t="s">
        <v>31097</v>
      </c>
      <c r="I7323" s="2" t="s">
        <v>31098</v>
      </c>
      <c r="K7323" s="2" t="s">
        <v>31099</v>
      </c>
      <c r="L7323" s="2" t="s">
        <v>29</v>
      </c>
      <c r="M7323" s="2">
        <v>48836.0</v>
      </c>
      <c r="N7323" s="2" t="s">
        <v>21</v>
      </c>
    </row>
    <row r="7324" ht="15.75" customHeight="1">
      <c r="A7324" s="2">
        <v>2017.0</v>
      </c>
      <c r="B7324" s="2" t="s">
        <v>17708</v>
      </c>
      <c r="C7324" s="2" t="s">
        <v>31100</v>
      </c>
      <c r="D7324" s="2" t="str">
        <f>"8036086310"</f>
        <v>8036086310</v>
      </c>
      <c r="E7324" s="2" t="s">
        <v>1054</v>
      </c>
      <c r="F7324" s="2" t="s">
        <v>2636</v>
      </c>
      <c r="G7324" s="2" t="str">
        <f>"SR-10017"</f>
        <v>SR-10017</v>
      </c>
      <c r="H7324" s="2" t="s">
        <v>31101</v>
      </c>
      <c r="I7324" s="2" t="s">
        <v>2638</v>
      </c>
      <c r="K7324" s="2" t="s">
        <v>254</v>
      </c>
      <c r="L7324" s="2" t="s">
        <v>55</v>
      </c>
      <c r="M7324" s="2">
        <v>29072.0</v>
      </c>
      <c r="N7324" s="2" t="s">
        <v>21</v>
      </c>
    </row>
    <row r="7325" ht="15.75" customHeight="1">
      <c r="A7325" s="2">
        <v>2017.0</v>
      </c>
      <c r="B7325" s="2" t="s">
        <v>31102</v>
      </c>
      <c r="C7325" s="2" t="s">
        <v>31102</v>
      </c>
      <c r="D7325" s="2" t="str">
        <f>"208-874-3695"</f>
        <v>208-874-3695</v>
      </c>
      <c r="E7325" s="2" t="s">
        <v>225</v>
      </c>
      <c r="F7325" s="2" t="s">
        <v>14513</v>
      </c>
      <c r="G7325" s="2" t="str">
        <f>"SR-10025"</f>
        <v>SR-10025</v>
      </c>
      <c r="H7325" s="2" t="s">
        <v>31103</v>
      </c>
      <c r="I7325" s="2" t="s">
        <v>31104</v>
      </c>
      <c r="K7325" s="2" t="s">
        <v>17102</v>
      </c>
      <c r="L7325" s="2" t="s">
        <v>2613</v>
      </c>
      <c r="M7325" s="2">
        <v>83843.0</v>
      </c>
      <c r="N7325" s="2" t="s">
        <v>21</v>
      </c>
    </row>
    <row r="7326" ht="15.75" customHeight="1">
      <c r="A7326" s="2">
        <v>2017.0</v>
      </c>
      <c r="B7326" s="2" t="s">
        <v>28124</v>
      </c>
      <c r="C7326" s="2" t="s">
        <v>31105</v>
      </c>
      <c r="D7326" s="2" t="str">
        <f>"714 504-0729"</f>
        <v>714 504-0729</v>
      </c>
      <c r="E7326" s="2" t="s">
        <v>31106</v>
      </c>
      <c r="F7326" s="2" t="s">
        <v>28126</v>
      </c>
      <c r="G7326" s="2" t="str">
        <f>"SR-10042"</f>
        <v>SR-10042</v>
      </c>
      <c r="H7326" s="2" t="s">
        <v>31107</v>
      </c>
      <c r="I7326" s="2" t="s">
        <v>28128</v>
      </c>
      <c r="K7326" s="2" t="s">
        <v>24702</v>
      </c>
      <c r="L7326" s="2" t="s">
        <v>222</v>
      </c>
      <c r="M7326" s="2">
        <v>92870.0</v>
      </c>
      <c r="N7326" s="2" t="s">
        <v>21</v>
      </c>
    </row>
    <row r="7327" ht="15.75" customHeight="1">
      <c r="A7327" s="2">
        <v>2017.0</v>
      </c>
      <c r="B7327" s="2" t="s">
        <v>28124</v>
      </c>
      <c r="C7327" s="2" t="s">
        <v>28125</v>
      </c>
      <c r="D7327" s="2" t="str">
        <f>"714 5042755"</f>
        <v>714 5042755</v>
      </c>
      <c r="E7327" s="2" t="s">
        <v>4968</v>
      </c>
      <c r="F7327" s="2" t="s">
        <v>28126</v>
      </c>
      <c r="G7327" s="2" t="str">
        <f>"SR-8807"</f>
        <v>SR-8807</v>
      </c>
      <c r="H7327" s="2" t="s">
        <v>28127</v>
      </c>
      <c r="I7327" s="2" t="s">
        <v>28128</v>
      </c>
      <c r="K7327" s="2" t="s">
        <v>24702</v>
      </c>
      <c r="L7327" s="2" t="s">
        <v>222</v>
      </c>
      <c r="M7327" s="2">
        <v>92870.0</v>
      </c>
      <c r="N7327" s="2" t="s">
        <v>21</v>
      </c>
    </row>
    <row r="7328" ht="15.75" customHeight="1">
      <c r="A7328" s="2">
        <v>2017.0</v>
      </c>
      <c r="B7328" s="2" t="s">
        <v>31108</v>
      </c>
      <c r="C7328" s="2" t="s">
        <v>31109</v>
      </c>
      <c r="D7328" s="2" t="str">
        <f>"469-58-629-3241"</f>
        <v>469-58-629-3241</v>
      </c>
      <c r="E7328" s="2" t="s">
        <v>843</v>
      </c>
      <c r="F7328" s="2" t="s">
        <v>31110</v>
      </c>
      <c r="G7328" s="2" t="str">
        <f>"SR-9961"</f>
        <v>SR-9961</v>
      </c>
      <c r="H7328" s="2" t="s">
        <v>31111</v>
      </c>
      <c r="I7328" s="2" t="s">
        <v>31112</v>
      </c>
      <c r="K7328" s="2" t="s">
        <v>1260</v>
      </c>
      <c r="L7328" s="2" t="s">
        <v>172</v>
      </c>
      <c r="M7328" s="2">
        <v>76133.0</v>
      </c>
      <c r="N7328" s="2" t="s">
        <v>21</v>
      </c>
    </row>
    <row r="7329" ht="15.75" customHeight="1">
      <c r="A7329" s="2">
        <v>2017.0</v>
      </c>
      <c r="B7329" s="2" t="s">
        <v>31113</v>
      </c>
      <c r="C7329" s="2" t="s">
        <v>31114</v>
      </c>
      <c r="D7329" s="2" t="str">
        <f>"(970)413-0168"</f>
        <v>(970)413-0168</v>
      </c>
      <c r="E7329" s="2" t="s">
        <v>4749</v>
      </c>
      <c r="F7329" s="2" t="s">
        <v>962</v>
      </c>
      <c r="G7329" s="2" t="str">
        <f>"SR-9946"</f>
        <v>SR-9946</v>
      </c>
      <c r="H7329" s="2" t="s">
        <v>31115</v>
      </c>
      <c r="I7329" s="2" t="s">
        <v>31116</v>
      </c>
      <c r="K7329" s="2" t="s">
        <v>656</v>
      </c>
      <c r="L7329" s="2" t="s">
        <v>157</v>
      </c>
      <c r="M7329" s="2">
        <v>80524.0</v>
      </c>
      <c r="N7329" s="2" t="s">
        <v>21</v>
      </c>
    </row>
    <row r="7330" ht="15.75" customHeight="1">
      <c r="A7330" s="2">
        <v>2017.0</v>
      </c>
      <c r="B7330" s="2" t="s">
        <v>31117</v>
      </c>
      <c r="C7330" s="2" t="s">
        <v>31118</v>
      </c>
      <c r="D7330" s="2" t="str">
        <f>"6158566256"</f>
        <v>6158566256</v>
      </c>
      <c r="E7330" s="2" t="s">
        <v>1946</v>
      </c>
      <c r="F7330" s="2" t="s">
        <v>31119</v>
      </c>
      <c r="G7330" s="2" t="str">
        <f>"SR-10052"</f>
        <v>SR-10052</v>
      </c>
      <c r="H7330" s="2" t="s">
        <v>31120</v>
      </c>
      <c r="I7330" s="2" t="s">
        <v>31121</v>
      </c>
      <c r="K7330" s="2" t="s">
        <v>9868</v>
      </c>
      <c r="L7330" s="2" t="s">
        <v>279</v>
      </c>
      <c r="M7330" s="2">
        <v>37027.0</v>
      </c>
      <c r="N7330" s="2" t="s">
        <v>21</v>
      </c>
    </row>
    <row r="7331" ht="15.75" customHeight="1">
      <c r="A7331" s="2">
        <v>2017.0</v>
      </c>
      <c r="B7331" s="2" t="s">
        <v>25260</v>
      </c>
      <c r="D7331" s="2" t="str">
        <f>"4087225431"</f>
        <v>4087225431</v>
      </c>
      <c r="E7331" s="2" t="s">
        <v>25261</v>
      </c>
      <c r="F7331" s="2" t="s">
        <v>25262</v>
      </c>
      <c r="G7331" s="2" t="str">
        <f>"SR-7509"</f>
        <v>SR-7509</v>
      </c>
      <c r="H7331" s="2" t="s">
        <v>25263</v>
      </c>
      <c r="I7331" s="2" t="s">
        <v>25264</v>
      </c>
      <c r="K7331" s="2" t="s">
        <v>25265</v>
      </c>
      <c r="L7331" s="2" t="s">
        <v>222</v>
      </c>
      <c r="M7331" s="2">
        <v>95020.0</v>
      </c>
      <c r="N7331" s="2" t="s">
        <v>21</v>
      </c>
    </row>
    <row r="7332" ht="15.75" customHeight="1">
      <c r="A7332" s="2">
        <v>2017.0</v>
      </c>
      <c r="B7332" s="2" t="s">
        <v>29952</v>
      </c>
      <c r="C7332" s="2" t="s">
        <v>31122</v>
      </c>
      <c r="D7332" s="2" t="str">
        <f>"817-341-8728"</f>
        <v>817-341-8728</v>
      </c>
      <c r="E7332" s="2" t="s">
        <v>31123</v>
      </c>
      <c r="F7332" s="2" t="s">
        <v>28430</v>
      </c>
      <c r="G7332" s="2" t="str">
        <f>"SR-9748"</f>
        <v>SR-9748</v>
      </c>
      <c r="H7332" s="2" t="s">
        <v>31124</v>
      </c>
      <c r="I7332" s="2" t="s">
        <v>29955</v>
      </c>
      <c r="K7332" s="2" t="s">
        <v>5729</v>
      </c>
      <c r="L7332" s="2" t="s">
        <v>172</v>
      </c>
      <c r="M7332" s="2">
        <v>76088.0</v>
      </c>
      <c r="N7332" s="2" t="s">
        <v>21</v>
      </c>
    </row>
    <row r="7333" ht="15.75" customHeight="1">
      <c r="A7333" s="2">
        <v>2017.0</v>
      </c>
      <c r="B7333" s="2" t="s">
        <v>23301</v>
      </c>
      <c r="C7333" s="2" t="s">
        <v>23302</v>
      </c>
      <c r="D7333" s="2" t="str">
        <f>"7082099696"</f>
        <v>7082099696</v>
      </c>
      <c r="E7333" s="2" t="s">
        <v>6937</v>
      </c>
      <c r="F7333" s="2" t="s">
        <v>23303</v>
      </c>
      <c r="G7333" s="2" t="str">
        <f>"SR-7267"</f>
        <v>SR-7267</v>
      </c>
      <c r="H7333" s="2" t="s">
        <v>23304</v>
      </c>
      <c r="I7333" s="2" t="s">
        <v>23305</v>
      </c>
      <c r="K7333" s="2" t="s">
        <v>23306</v>
      </c>
      <c r="L7333" s="2" t="s">
        <v>105</v>
      </c>
      <c r="M7333" s="2">
        <v>60510.0</v>
      </c>
      <c r="N7333" s="2" t="s">
        <v>21</v>
      </c>
    </row>
    <row r="7334" ht="15.75" customHeight="1">
      <c r="A7334" s="2">
        <v>2017.0</v>
      </c>
      <c r="B7334" s="2" t="s">
        <v>31125</v>
      </c>
      <c r="C7334" s="2" t="s">
        <v>31126</v>
      </c>
      <c r="D7334" s="2" t="str">
        <f>"2086990715"</f>
        <v>2086990715</v>
      </c>
      <c r="E7334" s="2" t="s">
        <v>3650</v>
      </c>
      <c r="F7334" s="2" t="s">
        <v>31127</v>
      </c>
      <c r="G7334" s="2" t="str">
        <f>"SR-10071"</f>
        <v>SR-10071</v>
      </c>
      <c r="H7334" s="2" t="s">
        <v>31128</v>
      </c>
      <c r="I7334" s="2" t="s">
        <v>31129</v>
      </c>
      <c r="K7334" s="2" t="s">
        <v>6099</v>
      </c>
      <c r="L7334" s="2" t="s">
        <v>2613</v>
      </c>
      <c r="M7334" s="2">
        <v>83615.0</v>
      </c>
      <c r="N7334" s="2" t="s">
        <v>21</v>
      </c>
    </row>
    <row r="7335" ht="15.75" customHeight="1">
      <c r="A7335" s="2">
        <v>2017.0</v>
      </c>
      <c r="B7335" s="2" t="s">
        <v>31130</v>
      </c>
      <c r="C7335" s="2" t="s">
        <v>31131</v>
      </c>
      <c r="D7335" s="2" t="str">
        <f>"586-254-5364"</f>
        <v>586-254-5364</v>
      </c>
      <c r="E7335" s="2" t="s">
        <v>31132</v>
      </c>
      <c r="F7335" s="2" t="s">
        <v>31133</v>
      </c>
      <c r="G7335" s="2" t="str">
        <f>"SR-10009"</f>
        <v>SR-10009</v>
      </c>
      <c r="H7335" s="2" t="s">
        <v>31134</v>
      </c>
      <c r="I7335" s="2" t="s">
        <v>31135</v>
      </c>
      <c r="K7335" s="2" t="s">
        <v>25744</v>
      </c>
      <c r="L7335" s="2" t="s">
        <v>29</v>
      </c>
      <c r="M7335" s="2">
        <v>48315.0</v>
      </c>
      <c r="N7335" s="2" t="s">
        <v>21</v>
      </c>
    </row>
    <row r="7336" ht="15.75" customHeight="1">
      <c r="A7336" s="2">
        <v>2017.0</v>
      </c>
      <c r="B7336" s="2" t="s">
        <v>18578</v>
      </c>
      <c r="C7336" s="2" t="s">
        <v>31136</v>
      </c>
      <c r="D7336" s="2" t="str">
        <f>"720-626-6711"</f>
        <v>720-626-6711</v>
      </c>
      <c r="E7336" s="2" t="s">
        <v>31137</v>
      </c>
      <c r="F7336" s="2" t="s">
        <v>6295</v>
      </c>
      <c r="G7336" s="2" t="str">
        <f>"SR-10019"</f>
        <v>SR-10019</v>
      </c>
      <c r="H7336" s="2" t="s">
        <v>31138</v>
      </c>
      <c r="I7336" s="2" t="s">
        <v>6297</v>
      </c>
      <c r="K7336" s="2" t="s">
        <v>1398</v>
      </c>
      <c r="L7336" s="2" t="s">
        <v>157</v>
      </c>
      <c r="M7336" s="2">
        <v>80104.0</v>
      </c>
      <c r="N7336" s="2" t="s">
        <v>21</v>
      </c>
    </row>
    <row r="7337" ht="15.75" customHeight="1">
      <c r="A7337" s="2">
        <v>2017.0</v>
      </c>
      <c r="B7337" s="2" t="s">
        <v>26556</v>
      </c>
      <c r="C7337" s="2" t="s">
        <v>26556</v>
      </c>
      <c r="D7337" s="2" t="str">
        <f>"5404381627"</f>
        <v>5404381627</v>
      </c>
      <c r="E7337" s="2" t="s">
        <v>31139</v>
      </c>
      <c r="F7337" s="2" t="s">
        <v>1040</v>
      </c>
      <c r="G7337" s="2" t="str">
        <f>"SR-9972"</f>
        <v>SR-9972</v>
      </c>
      <c r="H7337" s="2" t="s">
        <v>31140</v>
      </c>
      <c r="I7337" s="2" t="s">
        <v>31141</v>
      </c>
      <c r="K7337" s="2" t="s">
        <v>10716</v>
      </c>
      <c r="L7337" s="2" t="s">
        <v>165</v>
      </c>
      <c r="M7337" s="2">
        <v>22801.0</v>
      </c>
      <c r="N7337" s="2" t="s">
        <v>21</v>
      </c>
    </row>
    <row r="7338" ht="15.75" customHeight="1">
      <c r="A7338" s="2">
        <v>2017.0</v>
      </c>
      <c r="B7338" s="2" t="s">
        <v>31142</v>
      </c>
      <c r="C7338" s="2" t="s">
        <v>31142</v>
      </c>
      <c r="D7338" s="2" t="str">
        <f>"6025026884"</f>
        <v>6025026884</v>
      </c>
      <c r="E7338" s="2" t="s">
        <v>160</v>
      </c>
      <c r="F7338" s="2" t="s">
        <v>31143</v>
      </c>
      <c r="G7338" s="2" t="str">
        <f>"SR-10076"</f>
        <v>SR-10076</v>
      </c>
      <c r="H7338" s="2" t="s">
        <v>31144</v>
      </c>
      <c r="I7338" s="2" t="s">
        <v>31145</v>
      </c>
      <c r="K7338" s="2" t="s">
        <v>104</v>
      </c>
      <c r="L7338" s="2" t="s">
        <v>422</v>
      </c>
      <c r="M7338" s="2">
        <v>85345.0</v>
      </c>
      <c r="N7338" s="2" t="s">
        <v>21</v>
      </c>
    </row>
    <row r="7339" ht="15.75" customHeight="1">
      <c r="A7339" s="2">
        <v>2017.0</v>
      </c>
      <c r="B7339" s="2" t="s">
        <v>31146</v>
      </c>
      <c r="C7339" s="2" t="s">
        <v>31147</v>
      </c>
      <c r="D7339" s="2" t="str">
        <f>"910-333-2034"</f>
        <v>910-333-2034</v>
      </c>
      <c r="E7339" s="2" t="s">
        <v>718</v>
      </c>
      <c r="F7339" s="2" t="s">
        <v>31148</v>
      </c>
      <c r="G7339" s="2" t="str">
        <f>"SR-10077"</f>
        <v>SR-10077</v>
      </c>
      <c r="H7339" s="2" t="s">
        <v>31149</v>
      </c>
      <c r="I7339" s="2" t="s">
        <v>31150</v>
      </c>
      <c r="K7339" s="2" t="s">
        <v>451</v>
      </c>
      <c r="L7339" s="2" t="s">
        <v>20</v>
      </c>
      <c r="M7339" s="2">
        <v>28540.0</v>
      </c>
      <c r="N7339" s="2" t="s">
        <v>21</v>
      </c>
    </row>
    <row r="7340" ht="15.75" customHeight="1">
      <c r="A7340" s="2">
        <v>2017.0</v>
      </c>
      <c r="B7340" s="2" t="s">
        <v>31146</v>
      </c>
      <c r="C7340" s="2" t="s">
        <v>31151</v>
      </c>
      <c r="D7340" s="2" t="str">
        <f>"9106508911"</f>
        <v>9106508911</v>
      </c>
      <c r="E7340" s="2" t="s">
        <v>1725</v>
      </c>
      <c r="F7340" s="2" t="s">
        <v>31148</v>
      </c>
      <c r="G7340" s="2" t="str">
        <f>"SR-10078"</f>
        <v>SR-10078</v>
      </c>
      <c r="H7340" s="2" t="s">
        <v>31152</v>
      </c>
      <c r="I7340" s="2" t="s">
        <v>31150</v>
      </c>
      <c r="K7340" s="2" t="s">
        <v>451</v>
      </c>
      <c r="L7340" s="2" t="s">
        <v>20</v>
      </c>
      <c r="M7340" s="2">
        <v>28540.0</v>
      </c>
      <c r="N7340" s="2" t="s">
        <v>21</v>
      </c>
    </row>
    <row r="7341" ht="15.75" customHeight="1">
      <c r="A7341" s="2">
        <v>2017.0</v>
      </c>
      <c r="B7341" s="2" t="s">
        <v>20698</v>
      </c>
      <c r="C7341" s="2" t="s">
        <v>23910</v>
      </c>
      <c r="D7341" s="2" t="str">
        <f>"901-425-6332"</f>
        <v>901-425-6332</v>
      </c>
      <c r="E7341" s="2" t="s">
        <v>23911</v>
      </c>
      <c r="F7341" s="2" t="s">
        <v>5434</v>
      </c>
      <c r="G7341" s="2" t="str">
        <f>"SR-7476"</f>
        <v>SR-7476</v>
      </c>
      <c r="H7341" s="2" t="s">
        <v>23912</v>
      </c>
      <c r="I7341" s="2" t="s">
        <v>23913</v>
      </c>
      <c r="K7341" s="2" t="s">
        <v>5437</v>
      </c>
      <c r="L7341" s="2" t="s">
        <v>279</v>
      </c>
      <c r="M7341" s="2">
        <v>38135.0</v>
      </c>
      <c r="N7341" s="2" t="s">
        <v>21</v>
      </c>
    </row>
    <row r="7342" ht="15.75" customHeight="1">
      <c r="A7342" s="2">
        <v>2017.0</v>
      </c>
      <c r="B7342" s="2" t="s">
        <v>31153</v>
      </c>
      <c r="C7342" s="2" t="s">
        <v>31153</v>
      </c>
      <c r="D7342" s="2" t="str">
        <f>"(406)939-4929"</f>
        <v>(406)939-4929</v>
      </c>
      <c r="E7342" s="2" t="s">
        <v>13585</v>
      </c>
      <c r="F7342" s="2" t="s">
        <v>31154</v>
      </c>
      <c r="G7342" s="2" t="str">
        <f>"SR-10082"</f>
        <v>SR-10082</v>
      </c>
      <c r="H7342" s="2" t="s">
        <v>31155</v>
      </c>
      <c r="I7342" s="2" t="s">
        <v>31156</v>
      </c>
      <c r="K7342" s="2" t="s">
        <v>31157</v>
      </c>
      <c r="L7342" s="2" t="s">
        <v>2696</v>
      </c>
      <c r="M7342" s="2">
        <v>59330.0</v>
      </c>
      <c r="N7342" s="2" t="s">
        <v>21</v>
      </c>
    </row>
    <row r="7343" ht="15.75" customHeight="1">
      <c r="A7343" s="2">
        <v>2017.0</v>
      </c>
      <c r="B7343" s="2" t="s">
        <v>23795</v>
      </c>
      <c r="C7343" s="2" t="s">
        <v>23796</v>
      </c>
      <c r="D7343" s="2" t="str">
        <f>"9033409568"</f>
        <v>9033409568</v>
      </c>
      <c r="E7343" s="2" t="s">
        <v>1946</v>
      </c>
      <c r="F7343" s="2" t="s">
        <v>836</v>
      </c>
      <c r="G7343" s="2" t="str">
        <f>"SR-7461"</f>
        <v>SR-7461</v>
      </c>
      <c r="H7343" s="2" t="s">
        <v>23797</v>
      </c>
      <c r="I7343" s="2">
        <v>5872.0</v>
      </c>
      <c r="J7343" s="2" t="s">
        <v>23798</v>
      </c>
      <c r="K7343" s="2" t="s">
        <v>23799</v>
      </c>
      <c r="L7343" s="2" t="s">
        <v>172</v>
      </c>
      <c r="M7343" s="2">
        <v>75147.0</v>
      </c>
      <c r="N7343" s="2" t="s">
        <v>21</v>
      </c>
    </row>
    <row r="7344" ht="15.75" customHeight="1">
      <c r="A7344" s="2">
        <v>2017.0</v>
      </c>
      <c r="B7344" s="2" t="s">
        <v>31158</v>
      </c>
      <c r="C7344" s="2" t="s">
        <v>31158</v>
      </c>
      <c r="D7344" s="2" t="str">
        <f>"4302078676"</f>
        <v>4302078676</v>
      </c>
      <c r="E7344" s="2" t="s">
        <v>718</v>
      </c>
      <c r="F7344" s="2" t="s">
        <v>31159</v>
      </c>
      <c r="G7344" s="2" t="str">
        <f>"SR-10083"</f>
        <v>SR-10083</v>
      </c>
      <c r="H7344" s="2" t="s">
        <v>31160</v>
      </c>
      <c r="I7344" s="2" t="s">
        <v>31161</v>
      </c>
      <c r="K7344" s="2" t="s">
        <v>23799</v>
      </c>
      <c r="L7344" s="2" t="s">
        <v>172</v>
      </c>
      <c r="M7344" s="2">
        <v>75147.0</v>
      </c>
      <c r="N7344" s="2" t="s">
        <v>21</v>
      </c>
    </row>
    <row r="7345" ht="15.75" customHeight="1">
      <c r="A7345" s="2">
        <v>2017.0</v>
      </c>
      <c r="B7345" s="2" t="s">
        <v>31162</v>
      </c>
      <c r="C7345" s="2" t="s">
        <v>31162</v>
      </c>
      <c r="D7345" s="2" t="str">
        <f>"720-550-2126"</f>
        <v>720-550-2126</v>
      </c>
      <c r="E7345" s="2" t="s">
        <v>926</v>
      </c>
      <c r="F7345" s="2" t="s">
        <v>17250</v>
      </c>
      <c r="G7345" s="2" t="str">
        <f>"SR-10086"</f>
        <v>SR-10086</v>
      </c>
      <c r="H7345" s="2" t="s">
        <v>31163</v>
      </c>
      <c r="I7345" s="2" t="s">
        <v>31164</v>
      </c>
      <c r="K7345" s="2" t="s">
        <v>1398</v>
      </c>
      <c r="L7345" s="2" t="s">
        <v>157</v>
      </c>
      <c r="M7345" s="2">
        <v>80108.0</v>
      </c>
      <c r="N7345" s="2" t="s">
        <v>21</v>
      </c>
    </row>
    <row r="7346" ht="15.75" customHeight="1">
      <c r="A7346" s="2">
        <v>2017.0</v>
      </c>
      <c r="B7346" s="2" t="s">
        <v>31165</v>
      </c>
      <c r="C7346" s="2" t="s">
        <v>31166</v>
      </c>
      <c r="D7346" s="2" t="str">
        <f>"253-841-6323"</f>
        <v>253-841-6323</v>
      </c>
      <c r="E7346" s="2" t="s">
        <v>30697</v>
      </c>
      <c r="F7346" s="2" t="s">
        <v>9594</v>
      </c>
      <c r="G7346" s="2" t="str">
        <f>"SR-7356"</f>
        <v>SR-7356</v>
      </c>
      <c r="H7346" s="2" t="s">
        <v>31167</v>
      </c>
      <c r="I7346" s="2" t="s">
        <v>31168</v>
      </c>
      <c r="K7346" s="2" t="s">
        <v>10252</v>
      </c>
      <c r="L7346" s="2" t="s">
        <v>86</v>
      </c>
      <c r="M7346" s="2">
        <v>98371.0</v>
      </c>
      <c r="N7346" s="2" t="s">
        <v>21</v>
      </c>
    </row>
    <row r="7347" ht="15.75" customHeight="1">
      <c r="A7347" s="2">
        <v>2017.0</v>
      </c>
      <c r="B7347" s="2" t="s">
        <v>1212</v>
      </c>
      <c r="C7347" s="2" t="s">
        <v>31169</v>
      </c>
      <c r="D7347" s="2" t="str">
        <f>"3162832213"</f>
        <v>3162832213</v>
      </c>
      <c r="E7347" s="2" t="s">
        <v>339</v>
      </c>
      <c r="F7347" s="2" t="s">
        <v>1214</v>
      </c>
      <c r="G7347" s="2" t="str">
        <f>"SR-10091"</f>
        <v>SR-10091</v>
      </c>
      <c r="H7347" s="2" t="s">
        <v>31170</v>
      </c>
      <c r="I7347" s="2" t="s">
        <v>31171</v>
      </c>
      <c r="K7347" s="2" t="s">
        <v>1217</v>
      </c>
      <c r="L7347" s="2" t="s">
        <v>272</v>
      </c>
      <c r="M7347" s="2">
        <v>67154.0</v>
      </c>
      <c r="N7347" s="2" t="s">
        <v>21</v>
      </c>
    </row>
    <row r="7348" ht="15.75" customHeight="1">
      <c r="A7348" s="2">
        <v>2017.0</v>
      </c>
      <c r="B7348" s="2" t="s">
        <v>25455</v>
      </c>
      <c r="C7348" s="2" t="s">
        <v>31172</v>
      </c>
      <c r="D7348" s="2" t="str">
        <f>"3176712003"</f>
        <v>3176712003</v>
      </c>
      <c r="E7348" s="2" t="s">
        <v>6597</v>
      </c>
      <c r="F7348" s="2" t="s">
        <v>13952</v>
      </c>
      <c r="G7348" s="2" t="str">
        <f>"SR-10092"</f>
        <v>SR-10092</v>
      </c>
      <c r="H7348" s="2" t="s">
        <v>31173</v>
      </c>
      <c r="I7348" s="2" t="s">
        <v>31174</v>
      </c>
      <c r="K7348" s="2" t="s">
        <v>1188</v>
      </c>
      <c r="L7348" s="2" t="s">
        <v>149</v>
      </c>
      <c r="M7348" s="2">
        <v>46202.0</v>
      </c>
      <c r="N7348" s="2" t="s">
        <v>21</v>
      </c>
    </row>
    <row r="7349" ht="15.75" customHeight="1">
      <c r="A7349" s="2">
        <v>2017.0</v>
      </c>
      <c r="B7349" s="2" t="s">
        <v>31175</v>
      </c>
      <c r="C7349" s="2" t="s">
        <v>31176</v>
      </c>
      <c r="D7349" s="2" t="str">
        <f>"7194329340"</f>
        <v>7194329340</v>
      </c>
      <c r="E7349" s="2" t="s">
        <v>1054</v>
      </c>
      <c r="F7349" s="2" t="s">
        <v>5632</v>
      </c>
      <c r="G7349" s="2" t="str">
        <f>"SR-9762"</f>
        <v>SR-9762</v>
      </c>
      <c r="H7349" s="2" t="s">
        <v>31177</v>
      </c>
      <c r="I7349" s="2" t="s">
        <v>31178</v>
      </c>
      <c r="K7349" s="2" t="s">
        <v>809</v>
      </c>
      <c r="L7349" s="2" t="s">
        <v>157</v>
      </c>
      <c r="M7349" s="2">
        <v>80920.0</v>
      </c>
      <c r="N7349" s="2" t="s">
        <v>21</v>
      </c>
    </row>
    <row r="7350" ht="15.75" customHeight="1">
      <c r="A7350" s="2">
        <v>2017.0</v>
      </c>
      <c r="B7350" s="2" t="s">
        <v>31179</v>
      </c>
      <c r="C7350" s="2" t="s">
        <v>31180</v>
      </c>
      <c r="D7350" s="2" t="str">
        <f>"404-702-0567"</f>
        <v>404-702-0567</v>
      </c>
      <c r="E7350" s="2" t="s">
        <v>167</v>
      </c>
      <c r="F7350" s="2" t="s">
        <v>23486</v>
      </c>
      <c r="G7350" s="2" t="str">
        <f>"SR-9691"</f>
        <v>SR-9691</v>
      </c>
      <c r="H7350" s="2" t="s">
        <v>31181</v>
      </c>
      <c r="I7350" s="2" t="s">
        <v>31182</v>
      </c>
      <c r="K7350" s="2" t="s">
        <v>6876</v>
      </c>
      <c r="L7350" s="2" t="s">
        <v>2613</v>
      </c>
      <c r="M7350" s="2">
        <v>83616.0</v>
      </c>
      <c r="N7350" s="2" t="s">
        <v>21</v>
      </c>
    </row>
    <row r="7351" ht="15.75" customHeight="1">
      <c r="A7351" s="2">
        <v>2017.0</v>
      </c>
      <c r="B7351" s="2" t="s">
        <v>31183</v>
      </c>
      <c r="C7351" s="2" t="s">
        <v>31184</v>
      </c>
      <c r="D7351" s="2" t="str">
        <f>"4066477652"</f>
        <v>4066477652</v>
      </c>
      <c r="E7351" s="2" t="s">
        <v>1076</v>
      </c>
      <c r="F7351" s="2" t="s">
        <v>3545</v>
      </c>
      <c r="G7351" s="2" t="str">
        <f>"SR-9848"</f>
        <v>SR-9848</v>
      </c>
      <c r="H7351" s="2" t="s">
        <v>31185</v>
      </c>
      <c r="I7351" s="2" t="s">
        <v>3547</v>
      </c>
      <c r="K7351" s="2" t="s">
        <v>3548</v>
      </c>
      <c r="L7351" s="2" t="s">
        <v>2696</v>
      </c>
      <c r="M7351" s="2">
        <v>59105.0</v>
      </c>
      <c r="N7351" s="2" t="s">
        <v>21</v>
      </c>
    </row>
    <row r="7352" ht="15.75" customHeight="1">
      <c r="A7352" s="2">
        <v>2017.0</v>
      </c>
      <c r="B7352" s="2" t="s">
        <v>31186</v>
      </c>
      <c r="C7352" s="2" t="s">
        <v>31187</v>
      </c>
      <c r="D7352" s="2" t="str">
        <f>"580-571-2123"</f>
        <v>580-571-2123</v>
      </c>
      <c r="E7352" s="2" t="s">
        <v>31188</v>
      </c>
      <c r="F7352" s="2" t="s">
        <v>31189</v>
      </c>
      <c r="G7352" s="2" t="str">
        <f>"SR-10039"</f>
        <v>SR-10039</v>
      </c>
      <c r="H7352" s="2" t="s">
        <v>31190</v>
      </c>
      <c r="I7352" s="2" t="s">
        <v>31191</v>
      </c>
      <c r="K7352" s="2" t="s">
        <v>13036</v>
      </c>
      <c r="L7352" s="2" t="s">
        <v>840</v>
      </c>
      <c r="M7352" s="2">
        <v>73801.0</v>
      </c>
      <c r="N7352" s="2" t="s">
        <v>21</v>
      </c>
    </row>
    <row r="7353" ht="15.75" customHeight="1">
      <c r="A7353" s="2">
        <v>2017.0</v>
      </c>
      <c r="B7353" s="2" t="s">
        <v>31192</v>
      </c>
      <c r="D7353" s="2" t="str">
        <f>""</f>
        <v/>
      </c>
      <c r="E7353" s="2" t="s">
        <v>301</v>
      </c>
      <c r="F7353" s="2" t="s">
        <v>31193</v>
      </c>
      <c r="G7353" s="2" t="str">
        <f>"SR-9524"</f>
        <v>SR-9524</v>
      </c>
      <c r="H7353" s="2" t="s">
        <v>31194</v>
      </c>
      <c r="N7353" s="2" t="s">
        <v>21</v>
      </c>
    </row>
    <row r="7354" ht="15.75" customHeight="1">
      <c r="A7354" s="2">
        <v>2017.0</v>
      </c>
      <c r="B7354" s="2" t="s">
        <v>31195</v>
      </c>
      <c r="C7354" s="2" t="s">
        <v>31196</v>
      </c>
      <c r="D7354" s="2" t="str">
        <f>"713-689-4100"</f>
        <v>713-689-4100</v>
      </c>
      <c r="E7354" s="2" t="s">
        <v>31197</v>
      </c>
      <c r="F7354" s="2" t="s">
        <v>22178</v>
      </c>
      <c r="G7354" s="2" t="str">
        <f>"SR-10102"</f>
        <v>SR-10102</v>
      </c>
      <c r="H7354" s="2" t="s">
        <v>31198</v>
      </c>
      <c r="I7354" s="2" t="s">
        <v>31199</v>
      </c>
      <c r="K7354" s="2" t="s">
        <v>444</v>
      </c>
      <c r="L7354" s="2" t="s">
        <v>172</v>
      </c>
      <c r="M7354" s="2">
        <v>77009.0</v>
      </c>
      <c r="N7354" s="2" t="s">
        <v>21</v>
      </c>
    </row>
    <row r="7355" ht="15.75" customHeight="1">
      <c r="A7355" s="2">
        <v>2017.0</v>
      </c>
      <c r="B7355" s="2" t="s">
        <v>3907</v>
      </c>
      <c r="C7355" s="2" t="s">
        <v>3907</v>
      </c>
      <c r="D7355" s="2" t="str">
        <f>"4073103723"</f>
        <v>4073103723</v>
      </c>
      <c r="E7355" s="2" t="s">
        <v>36</v>
      </c>
      <c r="F7355" s="2" t="s">
        <v>3908</v>
      </c>
      <c r="G7355" s="2" t="str">
        <f>"SR-1221"</f>
        <v>SR-1221</v>
      </c>
      <c r="H7355" s="2" t="s">
        <v>3909</v>
      </c>
      <c r="I7355" s="2" t="s">
        <v>3910</v>
      </c>
      <c r="K7355" s="2" t="s">
        <v>2764</v>
      </c>
      <c r="L7355" s="2" t="s">
        <v>208</v>
      </c>
      <c r="M7355" s="2">
        <v>32792.0</v>
      </c>
      <c r="N7355" s="2" t="s">
        <v>21</v>
      </c>
    </row>
    <row r="7356" ht="15.75" customHeight="1">
      <c r="A7356" s="2">
        <v>2017.0</v>
      </c>
      <c r="B7356" s="2" t="s">
        <v>8939</v>
      </c>
      <c r="C7356" s="2" t="s">
        <v>31200</v>
      </c>
      <c r="D7356" s="2" t="str">
        <f>"3038052658"</f>
        <v>3038052658</v>
      </c>
      <c r="E7356" s="2" t="s">
        <v>353</v>
      </c>
      <c r="F7356" s="2" t="s">
        <v>8941</v>
      </c>
      <c r="G7356" s="2" t="str">
        <f>"SR-9903"</f>
        <v>SR-9903</v>
      </c>
      <c r="H7356" s="2" t="s">
        <v>31201</v>
      </c>
      <c r="I7356" s="2" t="s">
        <v>31202</v>
      </c>
      <c r="K7356" s="2" t="s">
        <v>1054</v>
      </c>
      <c r="L7356" s="2" t="s">
        <v>157</v>
      </c>
      <c r="M7356" s="2">
        <v>80138.0</v>
      </c>
      <c r="N7356" s="2" t="s">
        <v>21</v>
      </c>
    </row>
    <row r="7357" ht="15.75" customHeight="1">
      <c r="A7357" s="2">
        <v>2017.0</v>
      </c>
      <c r="B7357" s="2" t="s">
        <v>31203</v>
      </c>
      <c r="C7357" s="2" t="s">
        <v>31204</v>
      </c>
      <c r="D7357" s="2" t="str">
        <f>"3036929710"</f>
        <v>3036929710</v>
      </c>
      <c r="E7357" s="2" t="s">
        <v>27385</v>
      </c>
      <c r="F7357" s="2" t="s">
        <v>31205</v>
      </c>
      <c r="G7357" s="2" t="str">
        <f>"SR-9772"</f>
        <v>SR-9772</v>
      </c>
      <c r="H7357" s="2" t="s">
        <v>31206</v>
      </c>
      <c r="I7357" s="2" t="s">
        <v>31207</v>
      </c>
      <c r="K7357" s="2" t="s">
        <v>2527</v>
      </c>
      <c r="L7357" s="2" t="s">
        <v>157</v>
      </c>
      <c r="M7357" s="2">
        <v>80237.0</v>
      </c>
      <c r="N7357" s="2" t="s">
        <v>21</v>
      </c>
    </row>
    <row r="7358" ht="15.75" customHeight="1">
      <c r="A7358" s="2">
        <v>2017.0</v>
      </c>
      <c r="B7358" s="2" t="s">
        <v>31208</v>
      </c>
      <c r="C7358" s="2" t="s">
        <v>31209</v>
      </c>
      <c r="D7358" s="2" t="str">
        <f>"6189601963"</f>
        <v>6189601963</v>
      </c>
      <c r="E7358" s="2" t="s">
        <v>137</v>
      </c>
      <c r="F7358" s="2" t="s">
        <v>31210</v>
      </c>
      <c r="G7358" s="2" t="str">
        <f>"SR-10101"</f>
        <v>SR-10101</v>
      </c>
      <c r="H7358" s="2" t="s">
        <v>31211</v>
      </c>
      <c r="I7358" s="2" t="s">
        <v>31212</v>
      </c>
      <c r="K7358" s="2" t="s">
        <v>28289</v>
      </c>
      <c r="L7358" s="2" t="s">
        <v>105</v>
      </c>
      <c r="M7358" s="2">
        <v>62221.0</v>
      </c>
      <c r="N7358" s="2" t="s">
        <v>21</v>
      </c>
    </row>
    <row r="7359" ht="15.75" customHeight="1">
      <c r="A7359" s="2">
        <v>2017.0</v>
      </c>
      <c r="B7359" s="2" t="s">
        <v>31213</v>
      </c>
      <c r="C7359" s="2" t="s">
        <v>31214</v>
      </c>
      <c r="D7359" s="2" t="str">
        <f>"540-810-0679"</f>
        <v>540-810-0679</v>
      </c>
      <c r="E7359" s="2" t="s">
        <v>1725</v>
      </c>
      <c r="F7359" s="2" t="s">
        <v>20584</v>
      </c>
      <c r="G7359" s="2" t="str">
        <f>"SR-10098"</f>
        <v>SR-10098</v>
      </c>
      <c r="H7359" s="2" t="s">
        <v>31215</v>
      </c>
      <c r="I7359" s="2" t="s">
        <v>31216</v>
      </c>
      <c r="K7359" s="2" t="s">
        <v>8093</v>
      </c>
      <c r="L7359" s="2" t="s">
        <v>165</v>
      </c>
      <c r="M7359" s="2">
        <v>22815.0</v>
      </c>
      <c r="N7359" s="2" t="s">
        <v>21</v>
      </c>
    </row>
    <row r="7360" ht="15.75" customHeight="1">
      <c r="A7360" s="2">
        <v>2017.0</v>
      </c>
      <c r="B7360" s="2" t="s">
        <v>31217</v>
      </c>
      <c r="C7360" s="2" t="s">
        <v>31218</v>
      </c>
      <c r="D7360" s="2" t="str">
        <f>"8593126576"</f>
        <v>8593126576</v>
      </c>
      <c r="E7360" s="2" t="s">
        <v>931</v>
      </c>
      <c r="F7360" s="2" t="s">
        <v>20548</v>
      </c>
      <c r="G7360" s="2" t="str">
        <f>"SR-10057"</f>
        <v>SR-10057</v>
      </c>
      <c r="H7360" s="2" t="s">
        <v>31219</v>
      </c>
      <c r="I7360" s="2" t="s">
        <v>31220</v>
      </c>
      <c r="K7360" s="2" t="s">
        <v>4482</v>
      </c>
      <c r="L7360" s="2" t="s">
        <v>1236</v>
      </c>
      <c r="M7360" s="2">
        <v>40324.0</v>
      </c>
      <c r="N7360" s="2" t="s">
        <v>21</v>
      </c>
    </row>
    <row r="7361" ht="15.75" customHeight="1">
      <c r="A7361" s="2">
        <v>2017.0</v>
      </c>
      <c r="B7361" s="2" t="s">
        <v>31221</v>
      </c>
      <c r="C7361" s="2" t="s">
        <v>31222</v>
      </c>
      <c r="D7361" s="2" t="str">
        <f>"8593337936"</f>
        <v>8593337936</v>
      </c>
      <c r="E7361" s="2" t="s">
        <v>31223</v>
      </c>
      <c r="F7361" s="2" t="s">
        <v>31224</v>
      </c>
      <c r="G7361" s="2" t="str">
        <f>"SR-10084"</f>
        <v>SR-10084</v>
      </c>
      <c r="H7361" s="2" t="s">
        <v>31225</v>
      </c>
      <c r="I7361" s="2" t="s">
        <v>31226</v>
      </c>
      <c r="K7361" s="2" t="s">
        <v>31227</v>
      </c>
      <c r="L7361" s="2" t="s">
        <v>1236</v>
      </c>
      <c r="M7361" s="2">
        <v>40347.0</v>
      </c>
      <c r="N7361" s="2" t="s">
        <v>21</v>
      </c>
    </row>
    <row r="7362" ht="15.75" customHeight="1">
      <c r="A7362" s="2">
        <v>2017.0</v>
      </c>
      <c r="B7362" s="2" t="s">
        <v>31228</v>
      </c>
      <c r="C7362" s="2" t="s">
        <v>31229</v>
      </c>
      <c r="D7362" s="2" t="str">
        <f>"(64) 22 1997 787"</f>
        <v>(64) 22 1997 787</v>
      </c>
      <c r="E7362" s="2" t="s">
        <v>6202</v>
      </c>
      <c r="F7362" s="2" t="s">
        <v>24286</v>
      </c>
      <c r="G7362" s="2" t="str">
        <f>"SR-9894"</f>
        <v>SR-9894</v>
      </c>
      <c r="H7362" s="2" t="s">
        <v>31230</v>
      </c>
      <c r="I7362" s="2" t="s">
        <v>31231</v>
      </c>
      <c r="J7362" s="2" t="s">
        <v>31232</v>
      </c>
      <c r="K7362" s="2" t="s">
        <v>25356</v>
      </c>
      <c r="M7362" s="2">
        <v>630.0</v>
      </c>
      <c r="N7362" s="2" t="s">
        <v>702</v>
      </c>
    </row>
    <row r="7363" ht="15.75" customHeight="1">
      <c r="A7363" s="2">
        <v>2017.0</v>
      </c>
      <c r="B7363" s="2" t="s">
        <v>31228</v>
      </c>
      <c r="C7363" s="2" t="s">
        <v>31233</v>
      </c>
      <c r="D7363" s="2" t="str">
        <f>"(64) 22 345 4131"</f>
        <v>(64) 22 345 4131</v>
      </c>
      <c r="E7363" s="2" t="s">
        <v>57</v>
      </c>
      <c r="F7363" s="2" t="s">
        <v>24286</v>
      </c>
      <c r="G7363" s="2" t="str">
        <f>"SR-9895"</f>
        <v>SR-9895</v>
      </c>
      <c r="H7363" s="2" t="s">
        <v>31234</v>
      </c>
      <c r="I7363" s="2" t="s">
        <v>31231</v>
      </c>
      <c r="J7363" s="2" t="s">
        <v>31232</v>
      </c>
      <c r="K7363" s="2" t="s">
        <v>25356</v>
      </c>
      <c r="M7363" s="2">
        <v>630.0</v>
      </c>
      <c r="N7363" s="2" t="s">
        <v>702</v>
      </c>
    </row>
    <row r="7364" ht="15.75" customHeight="1">
      <c r="A7364" s="2">
        <v>2017.0</v>
      </c>
      <c r="B7364" s="2" t="s">
        <v>31228</v>
      </c>
      <c r="C7364" s="2" t="s">
        <v>31235</v>
      </c>
      <c r="D7364" s="2" t="str">
        <f>"6494730086"</f>
        <v>6494730086</v>
      </c>
      <c r="E7364" s="2" t="s">
        <v>22910</v>
      </c>
      <c r="F7364" s="2" t="s">
        <v>24286</v>
      </c>
      <c r="G7364" s="2" t="str">
        <f>"SR-9896"</f>
        <v>SR-9896</v>
      </c>
      <c r="H7364" s="2" t="s">
        <v>31236</v>
      </c>
      <c r="I7364" s="2" t="s">
        <v>31231</v>
      </c>
      <c r="J7364" s="2" t="s">
        <v>31232</v>
      </c>
      <c r="K7364" s="2" t="s">
        <v>25356</v>
      </c>
      <c r="M7364" s="2">
        <v>630.0</v>
      </c>
      <c r="N7364" s="2" t="s">
        <v>702</v>
      </c>
    </row>
    <row r="7365" ht="15.75" customHeight="1">
      <c r="A7365" s="2">
        <v>2017.0</v>
      </c>
      <c r="B7365" s="2" t="s">
        <v>31237</v>
      </c>
      <c r="C7365" s="2" t="s">
        <v>31237</v>
      </c>
      <c r="D7365" s="2" t="str">
        <f>"9132237848"</f>
        <v>9132237848</v>
      </c>
      <c r="E7365" s="2" t="s">
        <v>1738</v>
      </c>
      <c r="F7365" s="2" t="s">
        <v>31238</v>
      </c>
      <c r="G7365" s="2" t="str">
        <f>"SR-9905"</f>
        <v>SR-9905</v>
      </c>
      <c r="H7365" s="2" t="s">
        <v>31239</v>
      </c>
      <c r="I7365" s="2" t="s">
        <v>31240</v>
      </c>
      <c r="K7365" s="2" t="s">
        <v>31241</v>
      </c>
      <c r="L7365" s="2" t="s">
        <v>272</v>
      </c>
      <c r="M7365" s="2">
        <v>66085.0</v>
      </c>
      <c r="N7365" s="2" t="s">
        <v>21</v>
      </c>
    </row>
    <row r="7366" ht="15.75" customHeight="1">
      <c r="A7366" s="2">
        <v>2017.0</v>
      </c>
      <c r="B7366" s="2" t="s">
        <v>31242</v>
      </c>
      <c r="C7366" s="2" t="s">
        <v>31243</v>
      </c>
      <c r="D7366" s="2" t="str">
        <f>"909-217-1392"</f>
        <v>909-217-1392</v>
      </c>
      <c r="E7366" s="2" t="s">
        <v>31244</v>
      </c>
      <c r="F7366" s="2" t="s">
        <v>31245</v>
      </c>
      <c r="G7366" s="2" t="str">
        <f>"SR-10060"</f>
        <v>SR-10060</v>
      </c>
      <c r="H7366" s="2" t="s">
        <v>31246</v>
      </c>
      <c r="I7366" s="2" t="s">
        <v>31247</v>
      </c>
      <c r="K7366" s="2" t="s">
        <v>10340</v>
      </c>
      <c r="L7366" s="2" t="s">
        <v>222</v>
      </c>
      <c r="M7366" s="2">
        <v>91709.0</v>
      </c>
      <c r="N7366" s="2" t="s">
        <v>21</v>
      </c>
    </row>
    <row r="7367" ht="15.75" customHeight="1">
      <c r="A7367" s="2">
        <v>2017.0</v>
      </c>
      <c r="B7367" s="2" t="s">
        <v>31242</v>
      </c>
      <c r="C7367" s="2" t="s">
        <v>31248</v>
      </c>
      <c r="D7367" s="2" t="str">
        <f>"360-348-0146"</f>
        <v>360-348-0146</v>
      </c>
      <c r="E7367" s="2" t="s">
        <v>3888</v>
      </c>
      <c r="F7367" s="2" t="s">
        <v>1151</v>
      </c>
      <c r="G7367" s="2" t="str">
        <f>"SR-10055"</f>
        <v>SR-10055</v>
      </c>
      <c r="H7367" s="2" t="s">
        <v>31249</v>
      </c>
      <c r="I7367" s="2" t="s">
        <v>31250</v>
      </c>
      <c r="K7367" s="2" t="s">
        <v>7439</v>
      </c>
      <c r="L7367" s="2" t="s">
        <v>86</v>
      </c>
      <c r="M7367" s="2">
        <v>98296.0</v>
      </c>
      <c r="N7367" s="2" t="s">
        <v>21</v>
      </c>
    </row>
    <row r="7368" ht="15.75" customHeight="1">
      <c r="A7368" s="2">
        <v>2017.0</v>
      </c>
      <c r="B7368" s="2" t="s">
        <v>31251</v>
      </c>
      <c r="C7368" s="2" t="s">
        <v>24545</v>
      </c>
      <c r="D7368" s="2" t="str">
        <f>"(813) 689-9389"</f>
        <v>(813) 689-9389</v>
      </c>
      <c r="E7368" s="2" t="s">
        <v>908</v>
      </c>
      <c r="F7368" s="2" t="s">
        <v>778</v>
      </c>
      <c r="G7368" s="2" t="str">
        <f>"SR-10108"</f>
        <v>SR-10108</v>
      </c>
      <c r="H7368" s="2" t="s">
        <v>24546</v>
      </c>
      <c r="I7368" s="2" t="s">
        <v>31252</v>
      </c>
      <c r="K7368" s="2" t="s">
        <v>5683</v>
      </c>
      <c r="L7368" s="2" t="s">
        <v>208</v>
      </c>
      <c r="M7368" s="2">
        <v>33594.0</v>
      </c>
      <c r="N7368" s="2" t="s">
        <v>21</v>
      </c>
    </row>
    <row r="7369" ht="15.75" customHeight="1">
      <c r="A7369" s="2">
        <v>2017.0</v>
      </c>
      <c r="B7369" s="2" t="s">
        <v>24545</v>
      </c>
      <c r="C7369" s="2" t="s">
        <v>24545</v>
      </c>
      <c r="D7369" s="2" t="str">
        <f>"813-689-9389"</f>
        <v>813-689-9389</v>
      </c>
      <c r="E7369" s="2" t="s">
        <v>908</v>
      </c>
      <c r="F7369" s="2" t="s">
        <v>778</v>
      </c>
      <c r="G7369" s="2" t="str">
        <f>"SR-7741"</f>
        <v>SR-7741</v>
      </c>
      <c r="H7369" s="2" t="s">
        <v>24546</v>
      </c>
      <c r="I7369" s="2" t="s">
        <v>24547</v>
      </c>
      <c r="K7369" s="2" t="s">
        <v>5683</v>
      </c>
      <c r="L7369" s="2" t="s">
        <v>208</v>
      </c>
      <c r="M7369" s="2">
        <v>33594.0</v>
      </c>
      <c r="N7369" s="2" t="s">
        <v>21</v>
      </c>
    </row>
    <row r="7370" ht="15.75" customHeight="1">
      <c r="A7370" s="2">
        <v>2017.0</v>
      </c>
      <c r="B7370" s="2" t="s">
        <v>31253</v>
      </c>
      <c r="C7370" s="2" t="s">
        <v>31254</v>
      </c>
      <c r="D7370" s="2" t="str">
        <f>"8507668933"</f>
        <v>8507668933</v>
      </c>
      <c r="E7370" s="2" t="s">
        <v>2306</v>
      </c>
      <c r="F7370" s="2" t="s">
        <v>31255</v>
      </c>
      <c r="G7370" s="2" t="str">
        <f>"SR-10040"</f>
        <v>SR-10040</v>
      </c>
      <c r="H7370" s="2" t="s">
        <v>31256</v>
      </c>
      <c r="I7370" s="2" t="s">
        <v>31257</v>
      </c>
      <c r="K7370" s="2" t="s">
        <v>2007</v>
      </c>
      <c r="L7370" s="2" t="s">
        <v>208</v>
      </c>
      <c r="M7370" s="2">
        <v>32309.0</v>
      </c>
      <c r="N7370" s="2" t="s">
        <v>21</v>
      </c>
    </row>
    <row r="7371" ht="15.75" customHeight="1">
      <c r="A7371" s="2">
        <v>2017.0</v>
      </c>
      <c r="B7371" s="2" t="s">
        <v>6659</v>
      </c>
      <c r="C7371" s="2" t="s">
        <v>31258</v>
      </c>
      <c r="D7371" s="2" t="str">
        <f>"406-248-2932"</f>
        <v>406-248-2932</v>
      </c>
      <c r="E7371" s="2" t="s">
        <v>651</v>
      </c>
      <c r="F7371" s="2" t="s">
        <v>6661</v>
      </c>
      <c r="G7371" s="2" t="str">
        <f>"SR-10109"</f>
        <v>SR-10109</v>
      </c>
      <c r="H7371" s="2" t="s">
        <v>31259</v>
      </c>
      <c r="I7371" s="2" t="s">
        <v>6663</v>
      </c>
      <c r="K7371" s="2" t="s">
        <v>3548</v>
      </c>
      <c r="L7371" s="2" t="s">
        <v>2696</v>
      </c>
      <c r="M7371" s="2">
        <v>59105.0</v>
      </c>
      <c r="N7371" s="2" t="s">
        <v>21</v>
      </c>
    </row>
    <row r="7372" ht="15.75" customHeight="1">
      <c r="A7372" s="2">
        <v>2017.0</v>
      </c>
      <c r="B7372" s="2" t="s">
        <v>31260</v>
      </c>
      <c r="C7372" s="2" t="s">
        <v>31260</v>
      </c>
      <c r="D7372" s="2" t="str">
        <f>"330-333-2001"</f>
        <v>330-333-2001</v>
      </c>
      <c r="E7372" s="2" t="s">
        <v>1946</v>
      </c>
      <c r="F7372" s="2" t="s">
        <v>31261</v>
      </c>
      <c r="G7372" s="2" t="str">
        <f>"SR-9994"</f>
        <v>SR-9994</v>
      </c>
      <c r="H7372" s="2" t="s">
        <v>31262</v>
      </c>
      <c r="I7372" s="2" t="s">
        <v>31263</v>
      </c>
      <c r="K7372" s="2" t="s">
        <v>31264</v>
      </c>
      <c r="L7372" s="2" t="s">
        <v>560</v>
      </c>
      <c r="M7372" s="2">
        <v>50680.0</v>
      </c>
      <c r="N7372" s="2" t="s">
        <v>21</v>
      </c>
    </row>
    <row r="7373" ht="15.75" customHeight="1">
      <c r="A7373" s="2">
        <v>2017.0</v>
      </c>
      <c r="B7373" s="2" t="s">
        <v>31265</v>
      </c>
      <c r="C7373" s="2" t="s">
        <v>31266</v>
      </c>
      <c r="D7373" s="2" t="str">
        <f>"865-977-1030"</f>
        <v>865-977-1030</v>
      </c>
      <c r="E7373" s="2" t="s">
        <v>718</v>
      </c>
      <c r="F7373" s="2" t="s">
        <v>575</v>
      </c>
      <c r="G7373" s="2" t="str">
        <f>"SR-10112"</f>
        <v>SR-10112</v>
      </c>
      <c r="H7373" s="2" t="s">
        <v>31267</v>
      </c>
      <c r="I7373" s="2" t="s">
        <v>31268</v>
      </c>
      <c r="K7373" s="2" t="s">
        <v>22167</v>
      </c>
      <c r="L7373" s="2" t="s">
        <v>279</v>
      </c>
      <c r="M7373" s="2">
        <v>37803.0</v>
      </c>
      <c r="N7373" s="2" t="s">
        <v>21</v>
      </c>
    </row>
    <row r="7374" ht="15.75" customHeight="1">
      <c r="A7374" s="2">
        <v>2017.0</v>
      </c>
      <c r="B7374" s="2" t="s">
        <v>31269</v>
      </c>
      <c r="C7374" s="2" t="s">
        <v>31269</v>
      </c>
      <c r="D7374" s="2" t="str">
        <f>"7029126543"</f>
        <v>7029126543</v>
      </c>
      <c r="E7374" s="2" t="s">
        <v>31270</v>
      </c>
      <c r="F7374" s="2" t="s">
        <v>645</v>
      </c>
      <c r="G7374" s="2" t="str">
        <f>"SR-10106"</f>
        <v>SR-10106</v>
      </c>
      <c r="H7374" s="2" t="s">
        <v>31271</v>
      </c>
      <c r="I7374" s="2" t="s">
        <v>31272</v>
      </c>
      <c r="K7374" s="2" t="s">
        <v>3128</v>
      </c>
      <c r="L7374" s="2" t="s">
        <v>1419</v>
      </c>
      <c r="M7374" s="2">
        <v>89179.0</v>
      </c>
      <c r="N7374" s="2" t="s">
        <v>21</v>
      </c>
    </row>
    <row r="7375" ht="15.75" customHeight="1">
      <c r="A7375" s="2">
        <v>2017.0</v>
      </c>
      <c r="B7375" s="2" t="s">
        <v>31273</v>
      </c>
      <c r="C7375" s="2" t="s">
        <v>31274</v>
      </c>
      <c r="D7375" s="2" t="str">
        <f>"901-573-1496"</f>
        <v>901-573-1496</v>
      </c>
      <c r="E7375" s="2" t="s">
        <v>6381</v>
      </c>
      <c r="F7375" s="2" t="s">
        <v>31275</v>
      </c>
      <c r="G7375" s="2" t="str">
        <f>"SR-10110"</f>
        <v>SR-10110</v>
      </c>
      <c r="H7375" s="2" t="s">
        <v>31276</v>
      </c>
      <c r="I7375" s="2" t="s">
        <v>31277</v>
      </c>
      <c r="K7375" s="2" t="s">
        <v>882</v>
      </c>
      <c r="L7375" s="2" t="s">
        <v>279</v>
      </c>
      <c r="M7375" s="2">
        <v>38002.0</v>
      </c>
      <c r="N7375" s="2" t="s">
        <v>21</v>
      </c>
    </row>
    <row r="7376" ht="15.75" customHeight="1">
      <c r="A7376" s="2">
        <v>2017.0</v>
      </c>
      <c r="B7376" s="2" t="s">
        <v>31278</v>
      </c>
      <c r="C7376" s="2" t="s">
        <v>31279</v>
      </c>
      <c r="D7376" s="2" t="str">
        <f>"720-378-2573"</f>
        <v>720-378-2573</v>
      </c>
      <c r="E7376" s="2" t="s">
        <v>23106</v>
      </c>
      <c r="F7376" s="2" t="s">
        <v>31280</v>
      </c>
      <c r="G7376" s="2" t="str">
        <f>"SR-10113"</f>
        <v>SR-10113</v>
      </c>
      <c r="H7376" s="2" t="s">
        <v>31281</v>
      </c>
      <c r="I7376" s="2" t="s">
        <v>31282</v>
      </c>
      <c r="K7376" s="2" t="s">
        <v>992</v>
      </c>
      <c r="L7376" s="2" t="s">
        <v>157</v>
      </c>
      <c r="M7376" s="2">
        <v>80122.0</v>
      </c>
      <c r="N7376" s="2" t="s">
        <v>21</v>
      </c>
    </row>
    <row r="7377" ht="15.75" customHeight="1">
      <c r="A7377" s="2">
        <v>2017.0</v>
      </c>
      <c r="B7377" s="2" t="s">
        <v>31283</v>
      </c>
      <c r="C7377" s="2" t="s">
        <v>31284</v>
      </c>
      <c r="D7377" s="2" t="str">
        <f>"(919)235-7858"</f>
        <v>(919)235-7858</v>
      </c>
      <c r="E7377" s="2" t="s">
        <v>72</v>
      </c>
      <c r="F7377" s="2" t="s">
        <v>31285</v>
      </c>
      <c r="G7377" s="2" t="str">
        <f>"SR-9984"</f>
        <v>SR-9984</v>
      </c>
      <c r="H7377" s="2" t="s">
        <v>31286</v>
      </c>
      <c r="I7377" s="2" t="s">
        <v>31287</v>
      </c>
      <c r="K7377" s="2" t="s">
        <v>7993</v>
      </c>
      <c r="L7377" s="2" t="s">
        <v>20</v>
      </c>
      <c r="M7377" s="2">
        <v>27603.0</v>
      </c>
      <c r="N7377" s="2" t="s">
        <v>21</v>
      </c>
    </row>
    <row r="7378" ht="15.75" customHeight="1">
      <c r="A7378" s="2">
        <v>2017.0</v>
      </c>
      <c r="B7378" s="2" t="s">
        <v>31288</v>
      </c>
      <c r="C7378" s="2" t="s">
        <v>31289</v>
      </c>
      <c r="D7378" s="2" t="str">
        <f>"505-307-6211"</f>
        <v>505-307-6211</v>
      </c>
      <c r="E7378" s="2" t="s">
        <v>3597</v>
      </c>
      <c r="F7378" s="2" t="s">
        <v>21935</v>
      </c>
      <c r="G7378" s="2" t="str">
        <f>"SR-9968"</f>
        <v>SR-9968</v>
      </c>
      <c r="H7378" s="2" t="s">
        <v>31290</v>
      </c>
      <c r="I7378" s="2" t="s">
        <v>31291</v>
      </c>
      <c r="K7378" s="2" t="s">
        <v>3803</v>
      </c>
      <c r="L7378" s="2" t="s">
        <v>789</v>
      </c>
      <c r="M7378" s="2">
        <v>87124.0</v>
      </c>
      <c r="N7378" s="2" t="s">
        <v>21</v>
      </c>
    </row>
    <row r="7379" ht="15.75" customHeight="1">
      <c r="A7379" s="2">
        <v>2017.0</v>
      </c>
      <c r="B7379" s="2" t="s">
        <v>31292</v>
      </c>
      <c r="C7379" s="2" t="s">
        <v>31293</v>
      </c>
      <c r="D7379" s="2" t="str">
        <f>"4027502095"</f>
        <v>4027502095</v>
      </c>
      <c r="E7379" s="2" t="s">
        <v>5760</v>
      </c>
      <c r="F7379" s="2" t="s">
        <v>31294</v>
      </c>
      <c r="G7379" s="2" t="str">
        <f>"SR-10121"</f>
        <v>SR-10121</v>
      </c>
      <c r="H7379" s="2" t="s">
        <v>31295</v>
      </c>
      <c r="I7379" s="2" t="s">
        <v>31296</v>
      </c>
      <c r="K7379" s="2" t="s">
        <v>11726</v>
      </c>
      <c r="L7379" s="2" t="s">
        <v>757</v>
      </c>
      <c r="M7379" s="2">
        <v>68701.0</v>
      </c>
      <c r="N7379" s="2" t="s">
        <v>21</v>
      </c>
    </row>
    <row r="7380" ht="15.75" customHeight="1">
      <c r="A7380" s="2">
        <v>2017.0</v>
      </c>
      <c r="B7380" s="2" t="s">
        <v>31297</v>
      </c>
      <c r="C7380" s="2" t="s">
        <v>31297</v>
      </c>
      <c r="D7380" s="2" t="str">
        <f>"4173723924"</f>
        <v>4173723924</v>
      </c>
      <c r="E7380" s="2" t="s">
        <v>9846</v>
      </c>
      <c r="F7380" s="2" t="s">
        <v>31298</v>
      </c>
      <c r="G7380" s="2" t="str">
        <f>"SR-10100"</f>
        <v>SR-10100</v>
      </c>
      <c r="H7380" s="2" t="s">
        <v>31299</v>
      </c>
      <c r="I7380" s="2" t="s">
        <v>31300</v>
      </c>
      <c r="K7380" s="2" t="s">
        <v>31301</v>
      </c>
      <c r="L7380" s="2" t="s">
        <v>214</v>
      </c>
      <c r="M7380" s="2">
        <v>65775.0</v>
      </c>
      <c r="N7380" s="2" t="s">
        <v>21</v>
      </c>
    </row>
    <row r="7381" ht="15.75" customHeight="1">
      <c r="A7381" s="2">
        <v>2017.0</v>
      </c>
      <c r="B7381" s="2" t="s">
        <v>8314</v>
      </c>
      <c r="C7381" s="2" t="s">
        <v>31302</v>
      </c>
      <c r="D7381" s="2" t="str">
        <f>"6625442597"</f>
        <v>6625442597</v>
      </c>
      <c r="E7381" s="2" t="s">
        <v>1782</v>
      </c>
      <c r="F7381" s="2" t="s">
        <v>8317</v>
      </c>
      <c r="G7381" s="2" t="str">
        <f>"SR-4981"</f>
        <v>SR-4981</v>
      </c>
      <c r="H7381" s="2" t="s">
        <v>31303</v>
      </c>
      <c r="I7381" s="2" t="s">
        <v>31304</v>
      </c>
      <c r="K7381" s="2" t="s">
        <v>16937</v>
      </c>
      <c r="L7381" s="2" t="s">
        <v>172</v>
      </c>
      <c r="M7381" s="2">
        <v>76542.0</v>
      </c>
      <c r="N7381" s="2" t="s">
        <v>21</v>
      </c>
    </row>
    <row r="7382" ht="15.75" customHeight="1">
      <c r="A7382" s="2">
        <v>2017.0</v>
      </c>
      <c r="B7382" s="2" t="s">
        <v>31305</v>
      </c>
      <c r="C7382" s="2" t="s">
        <v>31306</v>
      </c>
      <c r="D7382" s="2" t="str">
        <f>"425-894-1966"</f>
        <v>425-894-1966</v>
      </c>
      <c r="E7382" s="2" t="s">
        <v>3480</v>
      </c>
      <c r="F7382" s="2" t="s">
        <v>2350</v>
      </c>
      <c r="G7382" s="2" t="str">
        <f>"SR-10089"</f>
        <v>SR-10089</v>
      </c>
      <c r="H7382" s="2" t="s">
        <v>31307</v>
      </c>
      <c r="I7382" s="2" t="s">
        <v>31308</v>
      </c>
      <c r="K7382" s="2" t="s">
        <v>7873</v>
      </c>
      <c r="L7382" s="2" t="s">
        <v>86</v>
      </c>
      <c r="M7382" s="2">
        <v>98004.0</v>
      </c>
      <c r="N7382" s="2" t="s">
        <v>21</v>
      </c>
    </row>
    <row r="7383" ht="15.75" customHeight="1">
      <c r="A7383" s="2">
        <v>2017.0</v>
      </c>
      <c r="B7383" s="2" t="s">
        <v>31309</v>
      </c>
      <c r="C7383" s="2" t="s">
        <v>31310</v>
      </c>
      <c r="D7383" s="2" t="str">
        <f>"832-477-0124"</f>
        <v>832-477-0124</v>
      </c>
      <c r="E7383" s="2" t="s">
        <v>6966</v>
      </c>
      <c r="F7383" s="2" t="s">
        <v>31311</v>
      </c>
      <c r="G7383" s="2" t="str">
        <f>"SR-10116"</f>
        <v>SR-10116</v>
      </c>
      <c r="H7383" s="2" t="s">
        <v>31312</v>
      </c>
      <c r="I7383" s="2" t="s">
        <v>31313</v>
      </c>
      <c r="K7383" s="2" t="s">
        <v>4350</v>
      </c>
      <c r="L7383" s="2" t="s">
        <v>172</v>
      </c>
      <c r="M7383" s="2">
        <v>77377.0</v>
      </c>
      <c r="N7383" s="2" t="s">
        <v>21</v>
      </c>
    </row>
    <row r="7384" ht="15.75" customHeight="1">
      <c r="A7384" s="2">
        <v>2017.0</v>
      </c>
      <c r="B7384" s="2" t="s">
        <v>8314</v>
      </c>
      <c r="C7384" s="2" t="s">
        <v>16934</v>
      </c>
      <c r="D7384" s="2" t="str">
        <f>"6622922276"</f>
        <v>6622922276</v>
      </c>
      <c r="E7384" s="2" t="s">
        <v>485</v>
      </c>
      <c r="F7384" s="2" t="s">
        <v>8317</v>
      </c>
      <c r="G7384" s="2" t="str">
        <f>"SR-4980"</f>
        <v>SR-4980</v>
      </c>
      <c r="H7384" s="2" t="s">
        <v>16935</v>
      </c>
      <c r="I7384" s="2" t="s">
        <v>16936</v>
      </c>
      <c r="K7384" s="2" t="s">
        <v>16937</v>
      </c>
      <c r="L7384" s="2" t="s">
        <v>172</v>
      </c>
      <c r="M7384" s="2">
        <v>76542.0</v>
      </c>
      <c r="N7384" s="2" t="s">
        <v>21</v>
      </c>
    </row>
    <row r="7385" ht="15.75" customHeight="1">
      <c r="A7385" s="2">
        <v>2017.0</v>
      </c>
      <c r="B7385" s="2" t="s">
        <v>31314</v>
      </c>
      <c r="C7385" s="2" t="s">
        <v>31314</v>
      </c>
      <c r="D7385" s="2" t="str">
        <f>"207-650-4492"</f>
        <v>207-650-4492</v>
      </c>
      <c r="E7385" s="2" t="s">
        <v>718</v>
      </c>
      <c r="F7385" s="2" t="s">
        <v>25205</v>
      </c>
      <c r="G7385" s="2" t="str">
        <f>"SR-10133"</f>
        <v>SR-10133</v>
      </c>
      <c r="H7385" s="2" t="s">
        <v>31315</v>
      </c>
      <c r="I7385" s="2" t="s">
        <v>25207</v>
      </c>
      <c r="K7385" s="2" t="s">
        <v>25208</v>
      </c>
      <c r="L7385" s="2" t="s">
        <v>3737</v>
      </c>
      <c r="M7385" s="2">
        <v>4096.0</v>
      </c>
      <c r="N7385" s="2" t="s">
        <v>21</v>
      </c>
    </row>
    <row r="7386" ht="15.75" customHeight="1">
      <c r="A7386" s="2">
        <v>2017.0</v>
      </c>
      <c r="B7386" s="2" t="s">
        <v>31316</v>
      </c>
      <c r="C7386" s="2" t="s">
        <v>31316</v>
      </c>
      <c r="D7386" s="2" t="str">
        <f>"916-366-5946"</f>
        <v>916-366-5946</v>
      </c>
      <c r="E7386" s="2" t="s">
        <v>471</v>
      </c>
      <c r="F7386" s="2" t="s">
        <v>529</v>
      </c>
      <c r="G7386" s="2" t="str">
        <f>"SR-10134"</f>
        <v>SR-10134</v>
      </c>
      <c r="H7386" s="2" t="s">
        <v>31317</v>
      </c>
      <c r="I7386" s="2" t="s">
        <v>31318</v>
      </c>
      <c r="K7386" s="2" t="s">
        <v>708</v>
      </c>
      <c r="L7386" s="2" t="s">
        <v>222</v>
      </c>
      <c r="M7386" s="2">
        <v>95670.0</v>
      </c>
      <c r="N7386" s="2" t="s">
        <v>21</v>
      </c>
    </row>
    <row r="7387" ht="15.75" customHeight="1">
      <c r="A7387" s="2">
        <v>2017.0</v>
      </c>
      <c r="B7387" s="2" t="s">
        <v>31319</v>
      </c>
      <c r="C7387" s="2" t="s">
        <v>31319</v>
      </c>
      <c r="D7387" s="2" t="str">
        <f>"2567779367"</f>
        <v>2567779367</v>
      </c>
      <c r="E7387" s="2" t="s">
        <v>8159</v>
      </c>
      <c r="F7387" s="2" t="s">
        <v>28680</v>
      </c>
      <c r="G7387" s="2" t="str">
        <f>"SR-9993"</f>
        <v>SR-9993</v>
      </c>
      <c r="H7387" s="2" t="s">
        <v>31320</v>
      </c>
      <c r="I7387" s="2" t="s">
        <v>31321</v>
      </c>
      <c r="K7387" s="2" t="s">
        <v>31322</v>
      </c>
      <c r="L7387" s="2" t="s">
        <v>279</v>
      </c>
      <c r="M7387" s="2">
        <v>38488.0</v>
      </c>
      <c r="N7387" s="2" t="s">
        <v>21</v>
      </c>
    </row>
    <row r="7388" ht="15.75" customHeight="1">
      <c r="A7388" s="2">
        <v>2017.0</v>
      </c>
      <c r="B7388" s="2" t="s">
        <v>31323</v>
      </c>
      <c r="C7388" s="2" t="s">
        <v>31324</v>
      </c>
      <c r="D7388" s="2" t="str">
        <f t="shared" ref="D7388:D7389" si="125">"660 446 3383"</f>
        <v>660 446 3383</v>
      </c>
      <c r="E7388" s="2" t="s">
        <v>843</v>
      </c>
      <c r="F7388" s="2" t="s">
        <v>31325</v>
      </c>
      <c r="G7388" s="2" t="str">
        <f>"SR-9676"</f>
        <v>SR-9676</v>
      </c>
      <c r="H7388" s="2" t="s">
        <v>31326</v>
      </c>
      <c r="I7388" s="2" t="s">
        <v>31327</v>
      </c>
      <c r="K7388" s="2" t="s">
        <v>20069</v>
      </c>
      <c r="L7388" s="2" t="s">
        <v>214</v>
      </c>
      <c r="M7388" s="2">
        <v>64473.0</v>
      </c>
      <c r="N7388" s="2" t="s">
        <v>21</v>
      </c>
    </row>
    <row r="7389" ht="15.75" customHeight="1">
      <c r="A7389" s="2">
        <v>2017.0</v>
      </c>
      <c r="B7389" s="2" t="s">
        <v>31323</v>
      </c>
      <c r="C7389" s="2" t="s">
        <v>31328</v>
      </c>
      <c r="D7389" s="2" t="str">
        <f t="shared" si="125"/>
        <v>660 446 3383</v>
      </c>
      <c r="E7389" s="2" t="s">
        <v>1197</v>
      </c>
      <c r="F7389" s="2" t="s">
        <v>31325</v>
      </c>
      <c r="G7389" s="2" t="str">
        <f>"SR-10135"</f>
        <v>SR-10135</v>
      </c>
      <c r="H7389" s="2" t="s">
        <v>31329</v>
      </c>
      <c r="I7389" s="2" t="s">
        <v>31327</v>
      </c>
      <c r="K7389" s="2" t="s">
        <v>20069</v>
      </c>
      <c r="L7389" s="2" t="s">
        <v>214</v>
      </c>
      <c r="M7389" s="2">
        <v>64473.0</v>
      </c>
      <c r="N7389" s="2" t="s">
        <v>21</v>
      </c>
    </row>
    <row r="7390" ht="15.75" customHeight="1">
      <c r="A7390" s="2">
        <v>2017.0</v>
      </c>
      <c r="B7390" s="2" t="s">
        <v>31330</v>
      </c>
      <c r="C7390" s="2" t="s">
        <v>31331</v>
      </c>
      <c r="D7390" s="2" t="str">
        <f>"616-892-4456"</f>
        <v>616-892-4456</v>
      </c>
      <c r="E7390" s="2" t="s">
        <v>261</v>
      </c>
      <c r="F7390" s="2" t="s">
        <v>31332</v>
      </c>
      <c r="G7390" s="2" t="str">
        <f>"SR-10119"</f>
        <v>SR-10119</v>
      </c>
      <c r="H7390" s="2" t="s">
        <v>31333</v>
      </c>
      <c r="I7390" s="2">
        <v>7153.0</v>
      </c>
      <c r="J7390" s="2" t="s">
        <v>31334</v>
      </c>
      <c r="K7390" s="2" t="s">
        <v>31335</v>
      </c>
      <c r="L7390" s="2" t="s">
        <v>29</v>
      </c>
      <c r="M7390" s="2">
        <v>49401.0</v>
      </c>
      <c r="N7390" s="2" t="s">
        <v>21</v>
      </c>
    </row>
    <row r="7391" ht="15.75" customHeight="1">
      <c r="A7391" s="2">
        <v>2017.0</v>
      </c>
      <c r="B7391" s="2" t="s">
        <v>709</v>
      </c>
      <c r="C7391" s="2" t="s">
        <v>31336</v>
      </c>
      <c r="D7391" s="2" t="str">
        <f>"318-254-5349"</f>
        <v>318-254-5349</v>
      </c>
      <c r="E7391" s="2" t="s">
        <v>137</v>
      </c>
      <c r="F7391" s="2" t="s">
        <v>711</v>
      </c>
      <c r="G7391" s="2" t="str">
        <f>"SR-10058"</f>
        <v>SR-10058</v>
      </c>
      <c r="H7391" s="2" t="s">
        <v>31337</v>
      </c>
      <c r="I7391" s="2" t="s">
        <v>31338</v>
      </c>
      <c r="K7391" s="2" t="s">
        <v>714</v>
      </c>
      <c r="L7391" s="2" t="s">
        <v>715</v>
      </c>
      <c r="M7391" s="2">
        <v>71270.0</v>
      </c>
      <c r="N7391" s="2" t="s">
        <v>21</v>
      </c>
    </row>
    <row r="7392" ht="15.75" customHeight="1">
      <c r="A7392" s="2">
        <v>2017.0</v>
      </c>
      <c r="B7392" s="2" t="s">
        <v>31339</v>
      </c>
      <c r="C7392" s="2" t="s">
        <v>31340</v>
      </c>
      <c r="D7392" s="2" t="str">
        <f>"850567-0078"</f>
        <v>850567-0078</v>
      </c>
      <c r="E7392" s="2" t="s">
        <v>8039</v>
      </c>
      <c r="F7392" s="2" t="s">
        <v>31341</v>
      </c>
      <c r="G7392" s="2" t="str">
        <f>"SR-10129"</f>
        <v>SR-10129</v>
      </c>
      <c r="H7392" s="2" t="s">
        <v>31342</v>
      </c>
      <c r="I7392" s="2" t="s">
        <v>31343</v>
      </c>
      <c r="K7392" s="2" t="s">
        <v>2007</v>
      </c>
      <c r="L7392" s="2" t="s">
        <v>208</v>
      </c>
      <c r="M7392" s="2">
        <v>32312.0</v>
      </c>
      <c r="N7392" s="2" t="s">
        <v>21</v>
      </c>
    </row>
    <row r="7393" ht="15.75" customHeight="1">
      <c r="A7393" s="2">
        <v>2017.0</v>
      </c>
      <c r="B7393" s="2" t="s">
        <v>31344</v>
      </c>
      <c r="C7393" s="2" t="s">
        <v>31345</v>
      </c>
      <c r="D7393" s="2" t="str">
        <f>"(817) 366-5804"</f>
        <v>(817) 366-5804</v>
      </c>
      <c r="E7393" s="2" t="s">
        <v>2250</v>
      </c>
      <c r="F7393" s="2" t="s">
        <v>31346</v>
      </c>
      <c r="G7393" s="2" t="str">
        <f>"SR-10141"</f>
        <v>SR-10141</v>
      </c>
      <c r="H7393" s="2" t="s">
        <v>31347</v>
      </c>
      <c r="I7393" s="2" t="s">
        <v>31348</v>
      </c>
      <c r="K7393" s="2" t="s">
        <v>6017</v>
      </c>
      <c r="L7393" s="2" t="s">
        <v>172</v>
      </c>
      <c r="M7393" s="2">
        <v>76008.0</v>
      </c>
      <c r="N7393" s="2" t="s">
        <v>21</v>
      </c>
    </row>
    <row r="7394" ht="15.75" customHeight="1">
      <c r="A7394" s="2">
        <v>2017.0</v>
      </c>
      <c r="B7394" s="2" t="s">
        <v>31349</v>
      </c>
      <c r="C7394" s="2" t="s">
        <v>31349</v>
      </c>
      <c r="D7394" s="2" t="str">
        <f>"8025034237"</f>
        <v>8025034237</v>
      </c>
      <c r="E7394" s="2" t="s">
        <v>31350</v>
      </c>
      <c r="F7394" s="2" t="s">
        <v>31351</v>
      </c>
      <c r="G7394" s="2" t="str">
        <f>"SR-9824"</f>
        <v>SR-9824</v>
      </c>
      <c r="H7394" s="2" t="s">
        <v>31352</v>
      </c>
      <c r="I7394" s="2" t="s">
        <v>31353</v>
      </c>
      <c r="K7394" s="2" t="s">
        <v>31354</v>
      </c>
      <c r="L7394" s="2" t="s">
        <v>9264</v>
      </c>
      <c r="M7394" s="2">
        <v>5482.0</v>
      </c>
      <c r="N7394" s="2" t="s">
        <v>21</v>
      </c>
    </row>
    <row r="7395" ht="15.75" customHeight="1">
      <c r="A7395" s="2">
        <v>2017.0</v>
      </c>
      <c r="B7395" s="2" t="s">
        <v>31355</v>
      </c>
      <c r="C7395" s="2" t="s">
        <v>31356</v>
      </c>
      <c r="D7395" s="2" t="str">
        <f>"503 702 4646"</f>
        <v>503 702 4646</v>
      </c>
      <c r="E7395" s="2" t="s">
        <v>651</v>
      </c>
      <c r="F7395" s="2" t="s">
        <v>12089</v>
      </c>
      <c r="G7395" s="2" t="str">
        <f>"SR-10107"</f>
        <v>SR-10107</v>
      </c>
      <c r="H7395" s="2" t="s">
        <v>31357</v>
      </c>
      <c r="I7395" s="2" t="s">
        <v>31358</v>
      </c>
      <c r="K7395" s="2" t="s">
        <v>2828</v>
      </c>
      <c r="L7395" s="2" t="s">
        <v>2389</v>
      </c>
      <c r="M7395" s="2">
        <v>97233.0</v>
      </c>
      <c r="N7395" s="2" t="s">
        <v>21</v>
      </c>
    </row>
    <row r="7396" ht="15.75" customHeight="1">
      <c r="A7396" s="2">
        <v>2017.0</v>
      </c>
      <c r="B7396" s="2" t="s">
        <v>31359</v>
      </c>
      <c r="C7396" s="2" t="s">
        <v>31360</v>
      </c>
      <c r="D7396" s="2" t="str">
        <f>"5074763062"</f>
        <v>5074763062</v>
      </c>
      <c r="E7396" s="2" t="s">
        <v>2412</v>
      </c>
      <c r="F7396" s="2" t="s">
        <v>856</v>
      </c>
      <c r="G7396" s="2" t="str">
        <f>"SR-9861"</f>
        <v>SR-9861</v>
      </c>
      <c r="H7396" s="2" t="s">
        <v>31361</v>
      </c>
      <c r="I7396" s="2" t="s">
        <v>31362</v>
      </c>
      <c r="K7396" s="2" t="s">
        <v>859</v>
      </c>
      <c r="L7396" s="2" t="s">
        <v>62</v>
      </c>
      <c r="M7396" s="2">
        <v>56297.0</v>
      </c>
      <c r="N7396" s="2" t="s">
        <v>21</v>
      </c>
    </row>
    <row r="7397" ht="15.75" customHeight="1">
      <c r="A7397" s="2">
        <v>2017.0</v>
      </c>
      <c r="B7397" s="2" t="s">
        <v>31363</v>
      </c>
      <c r="C7397" s="2" t="s">
        <v>31363</v>
      </c>
      <c r="D7397" s="2" t="str">
        <f>"330-333-2001"</f>
        <v>330-333-2001</v>
      </c>
      <c r="E7397" s="2" t="s">
        <v>1450</v>
      </c>
      <c r="F7397" s="2" t="s">
        <v>31261</v>
      </c>
      <c r="G7397" s="2" t="str">
        <f>"SR-10114"</f>
        <v>SR-10114</v>
      </c>
      <c r="H7397" s="2" t="s">
        <v>31364</v>
      </c>
      <c r="I7397" s="2" t="s">
        <v>31263</v>
      </c>
      <c r="K7397" s="2" t="s">
        <v>31264</v>
      </c>
      <c r="L7397" s="2" t="s">
        <v>560</v>
      </c>
      <c r="M7397" s="2">
        <v>50680.0</v>
      </c>
      <c r="N7397" s="2" t="s">
        <v>21</v>
      </c>
    </row>
    <row r="7398" ht="15.75" customHeight="1">
      <c r="A7398" s="2">
        <v>2017.0</v>
      </c>
      <c r="B7398" s="2" t="s">
        <v>31365</v>
      </c>
      <c r="C7398" s="2" t="s">
        <v>31366</v>
      </c>
      <c r="D7398" s="2" t="str">
        <f>"303-648-0188"</f>
        <v>303-648-0188</v>
      </c>
      <c r="E7398" s="2" t="s">
        <v>24</v>
      </c>
      <c r="F7398" s="2" t="s">
        <v>31367</v>
      </c>
      <c r="G7398" s="2" t="str">
        <f>"SR-9394"</f>
        <v>SR-9394</v>
      </c>
      <c r="H7398" s="2" t="s">
        <v>31368</v>
      </c>
      <c r="I7398" s="2" t="s">
        <v>31369</v>
      </c>
      <c r="K7398" s="2" t="s">
        <v>312</v>
      </c>
      <c r="L7398" s="2" t="s">
        <v>157</v>
      </c>
      <c r="M7398" s="2">
        <v>80106.0</v>
      </c>
      <c r="N7398" s="2" t="s">
        <v>21</v>
      </c>
    </row>
    <row r="7399" ht="15.75" customHeight="1">
      <c r="A7399" s="2">
        <v>2017.0</v>
      </c>
      <c r="B7399" s="2" t="s">
        <v>27519</v>
      </c>
      <c r="C7399" s="2" t="s">
        <v>27519</v>
      </c>
      <c r="D7399" s="2" t="str">
        <f>"(910) 231-8786"</f>
        <v>(910) 231-8786</v>
      </c>
      <c r="E7399" s="2" t="s">
        <v>718</v>
      </c>
      <c r="F7399" s="2" t="s">
        <v>21818</v>
      </c>
      <c r="G7399" s="2" t="str">
        <f>"SR-10137"</f>
        <v>SR-10137</v>
      </c>
      <c r="H7399" s="2" t="s">
        <v>31370</v>
      </c>
      <c r="I7399" s="2" t="s">
        <v>27523</v>
      </c>
      <c r="K7399" s="2" t="s">
        <v>11784</v>
      </c>
      <c r="L7399" s="2" t="s">
        <v>20</v>
      </c>
      <c r="M7399" s="2">
        <v>28411.0</v>
      </c>
      <c r="N7399" s="2" t="s">
        <v>21</v>
      </c>
    </row>
    <row r="7400" ht="15.75" customHeight="1">
      <c r="A7400" s="2">
        <v>2017.0</v>
      </c>
      <c r="B7400" s="2" t="s">
        <v>31371</v>
      </c>
      <c r="C7400" s="2" t="s">
        <v>31372</v>
      </c>
      <c r="D7400" s="2" t="str">
        <f>"205-752-0648"</f>
        <v>205-752-0648</v>
      </c>
      <c r="E7400" s="2" t="s">
        <v>43</v>
      </c>
      <c r="F7400" s="2" t="s">
        <v>31373</v>
      </c>
      <c r="G7400" s="2" t="str">
        <f>"SR-10099"</f>
        <v>SR-10099</v>
      </c>
      <c r="H7400" s="2" t="s">
        <v>31374</v>
      </c>
      <c r="I7400" s="2" t="s">
        <v>31375</v>
      </c>
      <c r="K7400" s="2" t="s">
        <v>31376</v>
      </c>
      <c r="L7400" s="2" t="s">
        <v>539</v>
      </c>
      <c r="M7400" s="2">
        <v>35406.0</v>
      </c>
      <c r="N7400" s="2" t="s">
        <v>21</v>
      </c>
    </row>
    <row r="7401" ht="15.75" customHeight="1">
      <c r="A7401" s="2">
        <v>2017.0</v>
      </c>
      <c r="B7401" s="2" t="s">
        <v>31377</v>
      </c>
      <c r="C7401" s="2" t="s">
        <v>31378</v>
      </c>
      <c r="D7401" s="2" t="str">
        <f>"011525536898048"</f>
        <v>011525536898048</v>
      </c>
      <c r="E7401" s="2" t="s">
        <v>10896</v>
      </c>
      <c r="F7401" s="2" t="s">
        <v>17648</v>
      </c>
      <c r="G7401" s="2" t="str">
        <f>"SR-9571"</f>
        <v>SR-9571</v>
      </c>
      <c r="H7401" s="2" t="s">
        <v>31379</v>
      </c>
      <c r="I7401" s="2" t="s">
        <v>31380</v>
      </c>
      <c r="K7401" s="2" t="s">
        <v>31381</v>
      </c>
      <c r="L7401" s="2" t="s">
        <v>17653</v>
      </c>
      <c r="M7401" s="2" t="s">
        <v>31382</v>
      </c>
      <c r="N7401" s="2" t="s">
        <v>7784</v>
      </c>
    </row>
    <row r="7402" ht="15.75" customHeight="1">
      <c r="A7402" s="2">
        <v>2017.0</v>
      </c>
      <c r="B7402" s="2" t="s">
        <v>31383</v>
      </c>
      <c r="C7402" s="2" t="s">
        <v>31384</v>
      </c>
      <c r="D7402" s="2" t="str">
        <f>"479-287-4797"</f>
        <v>479-287-4797</v>
      </c>
      <c r="E7402" s="2" t="s">
        <v>1076</v>
      </c>
      <c r="F7402" s="2" t="s">
        <v>4978</v>
      </c>
      <c r="G7402" s="2" t="str">
        <f>"SR-10145"</f>
        <v>SR-10145</v>
      </c>
      <c r="H7402" s="2" t="s">
        <v>31385</v>
      </c>
      <c r="I7402" s="2" t="s">
        <v>31386</v>
      </c>
      <c r="K7402" s="2" t="s">
        <v>3164</v>
      </c>
      <c r="L7402" s="2" t="s">
        <v>1012</v>
      </c>
      <c r="M7402" s="2">
        <v>72701.0</v>
      </c>
      <c r="N7402" s="2" t="s">
        <v>21</v>
      </c>
    </row>
    <row r="7403" ht="15.75" customHeight="1">
      <c r="A7403" s="2">
        <v>2017.0</v>
      </c>
      <c r="B7403" s="2" t="s">
        <v>1873</v>
      </c>
      <c r="C7403" s="2" t="s">
        <v>31387</v>
      </c>
      <c r="D7403" s="2" t="str">
        <f>"8645531004"</f>
        <v>8645531004</v>
      </c>
      <c r="E7403" s="2" t="s">
        <v>31388</v>
      </c>
      <c r="F7403" s="2" t="s">
        <v>18421</v>
      </c>
      <c r="G7403" s="2" t="str">
        <f>"SR-8492"</f>
        <v>SR-8492</v>
      </c>
      <c r="H7403" s="2" t="s">
        <v>31389</v>
      </c>
      <c r="I7403" s="2" t="s">
        <v>18423</v>
      </c>
      <c r="K7403" s="2" t="s">
        <v>1878</v>
      </c>
      <c r="L7403" s="2" t="s">
        <v>55</v>
      </c>
      <c r="M7403" s="2">
        <v>29681.0</v>
      </c>
      <c r="N7403" s="2" t="s">
        <v>21</v>
      </c>
    </row>
    <row r="7404" ht="15.75" customHeight="1">
      <c r="A7404" s="2">
        <v>2017.0</v>
      </c>
      <c r="B7404" s="2" t="s">
        <v>31390</v>
      </c>
      <c r="C7404" s="2" t="s">
        <v>31391</v>
      </c>
      <c r="D7404" s="2" t="str">
        <f>"214-912-9537"</f>
        <v>214-912-9537</v>
      </c>
      <c r="E7404" s="2" t="s">
        <v>1257</v>
      </c>
      <c r="F7404" s="2" t="s">
        <v>5486</v>
      </c>
      <c r="G7404" s="2" t="str">
        <f>"SR-10046"</f>
        <v>SR-10046</v>
      </c>
      <c r="H7404" s="2" t="s">
        <v>31392</v>
      </c>
      <c r="I7404" s="2" t="s">
        <v>31393</v>
      </c>
      <c r="K7404" s="2" t="s">
        <v>1255</v>
      </c>
      <c r="L7404" s="2" t="s">
        <v>172</v>
      </c>
      <c r="M7404" s="2">
        <v>75248.0</v>
      </c>
      <c r="N7404" s="2" t="s">
        <v>21</v>
      </c>
    </row>
    <row r="7405" ht="15.75" customHeight="1">
      <c r="A7405" s="2">
        <v>2017.0</v>
      </c>
      <c r="B7405" s="2" t="s">
        <v>31394</v>
      </c>
      <c r="C7405" s="2" t="s">
        <v>31394</v>
      </c>
      <c r="D7405" s="2" t="str">
        <f>"8303427257"</f>
        <v>8303427257</v>
      </c>
      <c r="E7405" s="2" t="s">
        <v>12075</v>
      </c>
      <c r="F7405" s="2" t="s">
        <v>562</v>
      </c>
      <c r="G7405" s="2" t="str">
        <f>"SR-10122"</f>
        <v>SR-10122</v>
      </c>
      <c r="H7405" s="2" t="s">
        <v>31395</v>
      </c>
      <c r="I7405" s="2" t="s">
        <v>31396</v>
      </c>
      <c r="K7405" s="2" t="s">
        <v>12164</v>
      </c>
      <c r="L7405" s="2" t="s">
        <v>172</v>
      </c>
      <c r="M7405" s="2">
        <v>78624.0</v>
      </c>
      <c r="N7405" s="2" t="s">
        <v>21</v>
      </c>
    </row>
    <row r="7406" ht="15.75" customHeight="1">
      <c r="A7406" s="2">
        <v>2017.0</v>
      </c>
      <c r="B7406" s="2" t="s">
        <v>31397</v>
      </c>
      <c r="C7406" s="2" t="s">
        <v>31398</v>
      </c>
      <c r="D7406" s="2" t="str">
        <f>"8287350836"</f>
        <v>8287350836</v>
      </c>
      <c r="E7406" s="2" t="s">
        <v>1094</v>
      </c>
      <c r="F7406" s="2" t="s">
        <v>31399</v>
      </c>
      <c r="G7406" s="2" t="str">
        <f>"SR-10150"</f>
        <v>SR-10150</v>
      </c>
      <c r="H7406" s="2" t="s">
        <v>31400</v>
      </c>
      <c r="I7406" s="2" t="s">
        <v>31401</v>
      </c>
      <c r="K7406" s="2" t="s">
        <v>31402</v>
      </c>
      <c r="L7406" s="2" t="s">
        <v>20</v>
      </c>
      <c r="M7406" s="2">
        <v>28771.0</v>
      </c>
      <c r="N7406" s="2" t="s">
        <v>21</v>
      </c>
    </row>
    <row r="7407" ht="15.75" customHeight="1">
      <c r="A7407" s="2">
        <v>2017.0</v>
      </c>
      <c r="B7407" s="2" t="s">
        <v>31397</v>
      </c>
      <c r="C7407" s="2" t="s">
        <v>31403</v>
      </c>
      <c r="D7407" s="2" t="str">
        <f>"828-735-0836"</f>
        <v>828-735-0836</v>
      </c>
      <c r="E7407" s="2" t="s">
        <v>1987</v>
      </c>
      <c r="F7407" s="2" t="s">
        <v>31404</v>
      </c>
      <c r="G7407" s="2" t="str">
        <f>"SR-10151"</f>
        <v>SR-10151</v>
      </c>
      <c r="H7407" s="2" t="s">
        <v>31405</v>
      </c>
      <c r="I7407" s="2" t="s">
        <v>31406</v>
      </c>
      <c r="K7407" s="2" t="s">
        <v>31402</v>
      </c>
      <c r="L7407" s="2" t="s">
        <v>20</v>
      </c>
      <c r="M7407" s="2">
        <v>28771.0</v>
      </c>
      <c r="N7407" s="2" t="s">
        <v>21</v>
      </c>
    </row>
    <row r="7408" ht="15.75" customHeight="1">
      <c r="A7408" s="2">
        <v>2017.0</v>
      </c>
      <c r="B7408" s="2" t="s">
        <v>31407</v>
      </c>
      <c r="C7408" s="2" t="s">
        <v>31408</v>
      </c>
      <c r="D7408" s="2" t="str">
        <f>"334 4057751"</f>
        <v>334 4057751</v>
      </c>
      <c r="E7408" s="2" t="s">
        <v>453</v>
      </c>
      <c r="F7408" s="2" t="s">
        <v>31409</v>
      </c>
      <c r="G7408" s="2" t="str">
        <f>"SR-10155"</f>
        <v>SR-10155</v>
      </c>
      <c r="H7408" s="2" t="s">
        <v>31410</v>
      </c>
      <c r="I7408" s="2">
        <v>320.0</v>
      </c>
      <c r="K7408" s="2" t="s">
        <v>31411</v>
      </c>
      <c r="L7408" s="2" t="s">
        <v>539</v>
      </c>
      <c r="M7408" s="2">
        <v>36350.0</v>
      </c>
      <c r="N7408" s="2" t="s">
        <v>21</v>
      </c>
    </row>
    <row r="7409" ht="15.75" customHeight="1">
      <c r="A7409" s="2">
        <v>2017.0</v>
      </c>
      <c r="B7409" s="2" t="s">
        <v>20199</v>
      </c>
      <c r="C7409" s="2" t="s">
        <v>20199</v>
      </c>
      <c r="D7409" s="2" t="str">
        <f>"7197616897"</f>
        <v>7197616897</v>
      </c>
      <c r="E7409" s="2" t="s">
        <v>137</v>
      </c>
      <c r="F7409" s="2" t="s">
        <v>13926</v>
      </c>
      <c r="G7409" s="2" t="str">
        <f>"SR-5480"</f>
        <v>SR-5480</v>
      </c>
      <c r="H7409" s="2" t="s">
        <v>20200</v>
      </c>
      <c r="I7409" s="2" t="s">
        <v>20201</v>
      </c>
      <c r="K7409" s="2" t="s">
        <v>809</v>
      </c>
      <c r="L7409" s="2" t="s">
        <v>157</v>
      </c>
      <c r="M7409" s="2">
        <v>80908.0</v>
      </c>
      <c r="N7409" s="2" t="s">
        <v>21</v>
      </c>
    </row>
    <row r="7410" ht="15.75" customHeight="1">
      <c r="A7410" s="2">
        <v>2017.0</v>
      </c>
      <c r="B7410" s="2" t="s">
        <v>31412</v>
      </c>
      <c r="C7410" s="2" t="s">
        <v>31412</v>
      </c>
      <c r="D7410" s="2" t="str">
        <f>"+852 96681011"</f>
        <v>+852 96681011</v>
      </c>
      <c r="E7410" s="2" t="s">
        <v>26826</v>
      </c>
      <c r="F7410" s="2" t="s">
        <v>31413</v>
      </c>
      <c r="G7410" s="2" t="str">
        <f>"SR-9927"</f>
        <v>SR-9927</v>
      </c>
      <c r="H7410" s="2" t="s">
        <v>31414</v>
      </c>
      <c r="I7410" s="2" t="s">
        <v>31415</v>
      </c>
      <c r="J7410" s="2" t="s">
        <v>31416</v>
      </c>
      <c r="K7410" s="2" t="s">
        <v>19761</v>
      </c>
      <c r="N7410" s="2" t="s">
        <v>19761</v>
      </c>
    </row>
    <row r="7411" ht="15.75" customHeight="1">
      <c r="A7411" s="2">
        <v>2017.0</v>
      </c>
      <c r="B7411" s="2" t="s">
        <v>19154</v>
      </c>
      <c r="C7411" s="2" t="s">
        <v>31417</v>
      </c>
      <c r="D7411" s="2" t="str">
        <f>"6159623565"</f>
        <v>6159623565</v>
      </c>
      <c r="E7411" s="2" t="s">
        <v>1274</v>
      </c>
      <c r="F7411" s="2" t="s">
        <v>19156</v>
      </c>
      <c r="G7411" s="2" t="str">
        <f>"SR-10169"</f>
        <v>SR-10169</v>
      </c>
      <c r="H7411" s="2" t="s">
        <v>31418</v>
      </c>
      <c r="I7411" s="2" t="s">
        <v>31419</v>
      </c>
      <c r="K7411" s="2" t="s">
        <v>12405</v>
      </c>
      <c r="L7411" s="2" t="s">
        <v>279</v>
      </c>
      <c r="M7411" s="2">
        <v>37128.0</v>
      </c>
      <c r="N7411" s="2" t="s">
        <v>21</v>
      </c>
    </row>
    <row r="7412" ht="15.75" customHeight="1">
      <c r="A7412" s="2">
        <v>2017.0</v>
      </c>
      <c r="B7412" s="2" t="s">
        <v>28601</v>
      </c>
      <c r="C7412" s="2" t="s">
        <v>31420</v>
      </c>
      <c r="D7412" s="2" t="str">
        <f>"406-697-2627"</f>
        <v>406-697-2627</v>
      </c>
      <c r="E7412" s="2" t="s">
        <v>2031</v>
      </c>
      <c r="F7412" s="2" t="s">
        <v>28603</v>
      </c>
      <c r="G7412" s="2" t="str">
        <f>"SR-10157"</f>
        <v>SR-10157</v>
      </c>
      <c r="H7412" s="2" t="s">
        <v>31421</v>
      </c>
      <c r="I7412" s="2" t="s">
        <v>28605</v>
      </c>
      <c r="K7412" s="2" t="s">
        <v>3548</v>
      </c>
      <c r="L7412" s="2" t="s">
        <v>2696</v>
      </c>
      <c r="M7412" s="2">
        <v>59102.0</v>
      </c>
      <c r="N7412" s="2" t="s">
        <v>21</v>
      </c>
    </row>
    <row r="7413" ht="15.75" customHeight="1">
      <c r="A7413" s="2">
        <v>2017.0</v>
      </c>
      <c r="B7413" s="2" t="s">
        <v>31422</v>
      </c>
      <c r="C7413" s="2" t="s">
        <v>31423</v>
      </c>
      <c r="D7413" s="2" t="str">
        <f>"505-850-3407"</f>
        <v>505-850-3407</v>
      </c>
      <c r="E7413" s="2" t="s">
        <v>160</v>
      </c>
      <c r="F7413" s="2" t="s">
        <v>11632</v>
      </c>
      <c r="G7413" s="2" t="str">
        <f>"SR-9807"</f>
        <v>SR-9807</v>
      </c>
      <c r="H7413" s="2" t="s">
        <v>31424</v>
      </c>
      <c r="I7413" s="2" t="s">
        <v>31425</v>
      </c>
      <c r="K7413" s="2" t="s">
        <v>3705</v>
      </c>
      <c r="L7413" s="2" t="s">
        <v>789</v>
      </c>
      <c r="M7413" s="2">
        <v>87113.0</v>
      </c>
      <c r="N7413" s="2" t="s">
        <v>21</v>
      </c>
    </row>
    <row r="7414" ht="15.75" customHeight="1">
      <c r="A7414" s="2">
        <v>2017.0</v>
      </c>
      <c r="B7414" s="2" t="s">
        <v>31426</v>
      </c>
      <c r="C7414" s="2" t="s">
        <v>31427</v>
      </c>
      <c r="D7414" s="2" t="str">
        <f>"214-558-2806"</f>
        <v>214-558-2806</v>
      </c>
      <c r="E7414" s="2" t="s">
        <v>678</v>
      </c>
      <c r="F7414" s="2" t="s">
        <v>72</v>
      </c>
      <c r="G7414" s="2" t="str">
        <f>"SR-10159"</f>
        <v>SR-10159</v>
      </c>
      <c r="H7414" s="2" t="s">
        <v>31428</v>
      </c>
      <c r="I7414" s="2" t="s">
        <v>31429</v>
      </c>
      <c r="K7414" s="2" t="s">
        <v>1255</v>
      </c>
      <c r="L7414" s="2" t="s">
        <v>172</v>
      </c>
      <c r="M7414" s="2">
        <v>75240.0</v>
      </c>
      <c r="N7414" s="2" t="s">
        <v>21</v>
      </c>
    </row>
    <row r="7415" ht="15.75" customHeight="1">
      <c r="A7415" s="2">
        <v>2017.0</v>
      </c>
      <c r="B7415" s="2" t="s">
        <v>31430</v>
      </c>
      <c r="C7415" s="2" t="s">
        <v>31430</v>
      </c>
      <c r="D7415" s="2" t="str">
        <f>"4029904048"</f>
        <v>4029904048</v>
      </c>
      <c r="E7415" s="2" t="s">
        <v>465</v>
      </c>
      <c r="F7415" s="2" t="s">
        <v>4358</v>
      </c>
      <c r="G7415" s="2" t="str">
        <f>"SR-10059"</f>
        <v>SR-10059</v>
      </c>
      <c r="H7415" s="2" t="s">
        <v>31431</v>
      </c>
      <c r="I7415" s="2" t="s">
        <v>31432</v>
      </c>
      <c r="K7415" s="2" t="s">
        <v>1470</v>
      </c>
      <c r="L7415" s="2" t="s">
        <v>757</v>
      </c>
      <c r="M7415" s="2">
        <v>68130.0</v>
      </c>
      <c r="N7415" s="2" t="s">
        <v>21</v>
      </c>
    </row>
    <row r="7416" ht="15.75" customHeight="1">
      <c r="A7416" s="2">
        <v>2017.0</v>
      </c>
      <c r="B7416" s="2" t="s">
        <v>31433</v>
      </c>
      <c r="C7416" s="2" t="s">
        <v>31434</v>
      </c>
      <c r="D7416" s="2" t="str">
        <f>"2053078001"</f>
        <v>2053078001</v>
      </c>
      <c r="E7416" s="2" t="s">
        <v>31435</v>
      </c>
      <c r="F7416" s="2" t="s">
        <v>2491</v>
      </c>
      <c r="G7416" s="2" t="str">
        <f>"SR-10179"</f>
        <v>SR-10179</v>
      </c>
      <c r="H7416" s="2" t="s">
        <v>31436</v>
      </c>
      <c r="I7416" s="2" t="s">
        <v>31437</v>
      </c>
      <c r="K7416" s="2" t="s">
        <v>20122</v>
      </c>
      <c r="L7416" s="2" t="s">
        <v>539</v>
      </c>
      <c r="M7416" s="2">
        <v>35120.0</v>
      </c>
      <c r="N7416" s="2" t="s">
        <v>21</v>
      </c>
    </row>
    <row r="7417" ht="15.75" customHeight="1">
      <c r="A7417" s="2">
        <v>2017.0</v>
      </c>
      <c r="B7417" s="2" t="s">
        <v>31438</v>
      </c>
      <c r="C7417" s="2" t="s">
        <v>31438</v>
      </c>
      <c r="D7417" s="2" t="str">
        <f>"(408) 607-6909"</f>
        <v>(408) 607-6909</v>
      </c>
      <c r="E7417" s="2" t="s">
        <v>3043</v>
      </c>
      <c r="F7417" s="2" t="s">
        <v>31439</v>
      </c>
      <c r="G7417" s="2" t="str">
        <f>"SR-10140"</f>
        <v>SR-10140</v>
      </c>
      <c r="H7417" s="2" t="s">
        <v>31440</v>
      </c>
      <c r="I7417" s="2" t="s">
        <v>31441</v>
      </c>
      <c r="K7417" s="2" t="s">
        <v>25265</v>
      </c>
      <c r="L7417" s="2" t="s">
        <v>222</v>
      </c>
      <c r="M7417" s="2">
        <v>95020.0</v>
      </c>
      <c r="N7417" s="2" t="s">
        <v>21</v>
      </c>
    </row>
    <row r="7418" ht="15.75" customHeight="1">
      <c r="A7418" s="2">
        <v>2017.0</v>
      </c>
      <c r="B7418" s="2" t="s">
        <v>31442</v>
      </c>
      <c r="C7418" s="2" t="s">
        <v>31443</v>
      </c>
      <c r="D7418" s="2" t="str">
        <f>"+55-11-98127-0088"</f>
        <v>+55-11-98127-0088</v>
      </c>
      <c r="E7418" s="2" t="s">
        <v>14576</v>
      </c>
      <c r="F7418" s="2" t="s">
        <v>26303</v>
      </c>
      <c r="G7418" s="2" t="str">
        <f>"SR-10153"</f>
        <v>SR-10153</v>
      </c>
      <c r="H7418" s="2" t="s">
        <v>31444</v>
      </c>
      <c r="I7418" s="2" t="s">
        <v>31445</v>
      </c>
      <c r="J7418" s="2" t="s">
        <v>31446</v>
      </c>
      <c r="K7418" s="2" t="s">
        <v>26306</v>
      </c>
      <c r="L7418" s="2" t="s">
        <v>26306</v>
      </c>
      <c r="M7418" s="2" t="s">
        <v>31447</v>
      </c>
      <c r="N7418" s="2" t="s">
        <v>5746</v>
      </c>
    </row>
    <row r="7419" ht="15.75" customHeight="1">
      <c r="A7419" s="2">
        <v>2017.0</v>
      </c>
      <c r="B7419" s="2" t="s">
        <v>31448</v>
      </c>
      <c r="C7419" s="2" t="s">
        <v>31449</v>
      </c>
      <c r="D7419" s="2" t="str">
        <f>"901-338-9395"</f>
        <v>901-338-9395</v>
      </c>
      <c r="E7419" s="2" t="s">
        <v>3956</v>
      </c>
      <c r="F7419" s="2" t="s">
        <v>31450</v>
      </c>
      <c r="G7419" s="2" t="str">
        <f>"SR-10162"</f>
        <v>SR-10162</v>
      </c>
      <c r="H7419" s="2" t="s">
        <v>31451</v>
      </c>
      <c r="I7419" s="2" t="s">
        <v>31452</v>
      </c>
      <c r="K7419" s="2" t="s">
        <v>1570</v>
      </c>
      <c r="L7419" s="2" t="s">
        <v>279</v>
      </c>
      <c r="M7419" s="2">
        <v>38002.0</v>
      </c>
      <c r="N7419" s="2" t="s">
        <v>21</v>
      </c>
    </row>
    <row r="7420" ht="15.75" customHeight="1">
      <c r="A7420" s="2">
        <v>2017.0</v>
      </c>
      <c r="B7420" s="2" t="s">
        <v>31453</v>
      </c>
      <c r="C7420" s="2" t="s">
        <v>31454</v>
      </c>
      <c r="D7420" s="2" t="str">
        <f>"270-860-8870"</f>
        <v>270-860-8870</v>
      </c>
      <c r="E7420" s="2" t="s">
        <v>1088</v>
      </c>
      <c r="F7420" s="2" t="s">
        <v>386</v>
      </c>
      <c r="G7420" s="2" t="str">
        <f>"SR-10117"</f>
        <v>SR-10117</v>
      </c>
      <c r="H7420" s="2" t="s">
        <v>31455</v>
      </c>
      <c r="I7420" s="2" t="s">
        <v>31456</v>
      </c>
      <c r="K7420" s="2" t="s">
        <v>309</v>
      </c>
      <c r="L7420" s="2" t="s">
        <v>1236</v>
      </c>
      <c r="M7420" s="2">
        <v>42420.0</v>
      </c>
      <c r="N7420" s="2" t="s">
        <v>21</v>
      </c>
    </row>
    <row r="7421" ht="15.75" customHeight="1">
      <c r="A7421" s="2">
        <v>2017.0</v>
      </c>
      <c r="B7421" s="2" t="s">
        <v>31457</v>
      </c>
      <c r="C7421" s="2" t="s">
        <v>31458</v>
      </c>
      <c r="D7421" s="2" t="str">
        <f>"2147665878"</f>
        <v>2147665878</v>
      </c>
      <c r="E7421" s="2" t="s">
        <v>2572</v>
      </c>
      <c r="F7421" s="2" t="s">
        <v>31459</v>
      </c>
      <c r="G7421" s="2" t="str">
        <f>"SR-9786"</f>
        <v>SR-9786</v>
      </c>
      <c r="H7421" s="2" t="s">
        <v>31460</v>
      </c>
      <c r="I7421" s="2" t="s">
        <v>31461</v>
      </c>
      <c r="K7421" s="2" t="s">
        <v>357</v>
      </c>
      <c r="L7421" s="2" t="s">
        <v>172</v>
      </c>
      <c r="M7421" s="2">
        <v>75025.0</v>
      </c>
      <c r="N7421" s="2" t="s">
        <v>21</v>
      </c>
    </row>
    <row r="7422" ht="15.75" customHeight="1">
      <c r="A7422" s="2">
        <v>2017.0</v>
      </c>
      <c r="B7422" s="2" t="s">
        <v>5947</v>
      </c>
      <c r="C7422" s="2" t="s">
        <v>5947</v>
      </c>
      <c r="D7422" s="2" t="str">
        <f>"719-495-0806"</f>
        <v>719-495-0806</v>
      </c>
      <c r="E7422" s="2" t="s">
        <v>843</v>
      </c>
      <c r="F7422" s="2" t="s">
        <v>962</v>
      </c>
      <c r="G7422" s="2" t="str">
        <f>"SR-10190"</f>
        <v>SR-10190</v>
      </c>
      <c r="H7422" s="2" t="s">
        <v>30379</v>
      </c>
      <c r="I7422" s="2" t="s">
        <v>5949</v>
      </c>
      <c r="K7422" s="2" t="s">
        <v>312</v>
      </c>
      <c r="L7422" s="2" t="s">
        <v>157</v>
      </c>
      <c r="M7422" s="2">
        <v>80106.0</v>
      </c>
      <c r="N7422" s="2" t="s">
        <v>21</v>
      </c>
    </row>
    <row r="7423" ht="15.75" customHeight="1">
      <c r="A7423" s="2">
        <v>2017.0</v>
      </c>
      <c r="B7423" s="2" t="s">
        <v>31462</v>
      </c>
      <c r="C7423" s="2" t="s">
        <v>31463</v>
      </c>
      <c r="D7423" s="2" t="str">
        <f>"303-341-7990"</f>
        <v>303-341-7990</v>
      </c>
      <c r="E7423" s="2" t="s">
        <v>908</v>
      </c>
      <c r="F7423" s="2" t="s">
        <v>31464</v>
      </c>
      <c r="G7423" s="2" t="str">
        <f>"SR-10192"</f>
        <v>SR-10192</v>
      </c>
      <c r="H7423" s="2" t="s">
        <v>31465</v>
      </c>
      <c r="I7423" s="2" t="s">
        <v>31466</v>
      </c>
      <c r="K7423" s="2" t="s">
        <v>1520</v>
      </c>
      <c r="L7423" s="2" t="s">
        <v>157</v>
      </c>
      <c r="M7423" s="2">
        <v>80012.0</v>
      </c>
      <c r="N7423" s="2" t="s">
        <v>21</v>
      </c>
    </row>
    <row r="7424" ht="15.75" customHeight="1">
      <c r="A7424" s="2">
        <v>2017.0</v>
      </c>
      <c r="B7424" s="2" t="s">
        <v>18525</v>
      </c>
      <c r="C7424" s="2" t="s">
        <v>18525</v>
      </c>
      <c r="D7424" s="2" t="str">
        <f>"803.580.3371"</f>
        <v>803.580.3371</v>
      </c>
      <c r="E7424" s="2" t="s">
        <v>2083</v>
      </c>
      <c r="F7424" s="2" t="s">
        <v>18527</v>
      </c>
      <c r="G7424" s="2" t="str">
        <f>"SR-10195"</f>
        <v>SR-10195</v>
      </c>
      <c r="H7424" s="2" t="s">
        <v>31467</v>
      </c>
      <c r="I7424" s="2" t="s">
        <v>31468</v>
      </c>
      <c r="K7424" s="2" t="s">
        <v>18530</v>
      </c>
      <c r="L7424" s="2" t="s">
        <v>55</v>
      </c>
      <c r="M7424" s="2">
        <v>29036.0</v>
      </c>
      <c r="N7424" s="2" t="s">
        <v>21</v>
      </c>
    </row>
    <row r="7425" ht="15.75" customHeight="1">
      <c r="A7425" s="2">
        <v>2017.0</v>
      </c>
      <c r="B7425" s="2" t="s">
        <v>31469</v>
      </c>
      <c r="C7425" s="2" t="s">
        <v>31469</v>
      </c>
      <c r="D7425" s="2" t="str">
        <f>"817-909-2463"</f>
        <v>817-909-2463</v>
      </c>
      <c r="E7425" s="2" t="s">
        <v>2861</v>
      </c>
      <c r="F7425" s="2" t="s">
        <v>31470</v>
      </c>
      <c r="G7425" s="2" t="str">
        <f>"SR-10196"</f>
        <v>SR-10196</v>
      </c>
      <c r="H7425" s="2" t="s">
        <v>31471</v>
      </c>
      <c r="I7425" s="2" t="s">
        <v>31472</v>
      </c>
      <c r="K7425" s="2" t="s">
        <v>1260</v>
      </c>
      <c r="L7425" s="2" t="s">
        <v>172</v>
      </c>
      <c r="M7425" s="2">
        <v>76244.0</v>
      </c>
      <c r="N7425" s="2" t="s">
        <v>21</v>
      </c>
    </row>
    <row r="7426" ht="15.75" customHeight="1">
      <c r="A7426" s="2">
        <v>2017.0</v>
      </c>
      <c r="B7426" s="2" t="s">
        <v>27619</v>
      </c>
      <c r="C7426" s="2" t="s">
        <v>27620</v>
      </c>
      <c r="D7426" s="2" t="str">
        <f>"7018335661"</f>
        <v>7018335661</v>
      </c>
      <c r="E7426" s="2" t="s">
        <v>43</v>
      </c>
      <c r="F7426" s="2" t="s">
        <v>27621</v>
      </c>
      <c r="G7426" s="2" t="str">
        <f>"SR-8682"</f>
        <v>SR-8682</v>
      </c>
      <c r="H7426" s="2" t="s">
        <v>27622</v>
      </c>
      <c r="I7426" s="2" t="s">
        <v>27623</v>
      </c>
      <c r="K7426" s="2" t="s">
        <v>5965</v>
      </c>
      <c r="L7426" s="2" t="s">
        <v>2534</v>
      </c>
      <c r="M7426" s="2">
        <v>58701.0</v>
      </c>
      <c r="N7426" s="2" t="s">
        <v>21</v>
      </c>
    </row>
    <row r="7427" ht="15.75" customHeight="1">
      <c r="A7427" s="2">
        <v>2017.0</v>
      </c>
      <c r="B7427" s="2" t="s">
        <v>31473</v>
      </c>
      <c r="C7427" s="2" t="s">
        <v>31474</v>
      </c>
      <c r="D7427" s="2" t="str">
        <f>"9726588317"</f>
        <v>9726588317</v>
      </c>
      <c r="E7427" s="2" t="s">
        <v>8649</v>
      </c>
      <c r="F7427" s="2" t="s">
        <v>836</v>
      </c>
      <c r="G7427" s="2" t="str">
        <f>"SR-10181"</f>
        <v>SR-10181</v>
      </c>
      <c r="H7427" s="2" t="s">
        <v>31475</v>
      </c>
      <c r="I7427" s="2" t="s">
        <v>31476</v>
      </c>
      <c r="K7427" s="2" t="s">
        <v>1255</v>
      </c>
      <c r="L7427" s="2" t="s">
        <v>172</v>
      </c>
      <c r="M7427" s="2">
        <v>75225.0</v>
      </c>
      <c r="N7427" s="2" t="s">
        <v>21</v>
      </c>
    </row>
    <row r="7428" ht="15.75" customHeight="1">
      <c r="A7428" s="2">
        <v>2017.0</v>
      </c>
      <c r="B7428" s="2" t="s">
        <v>24074</v>
      </c>
      <c r="C7428" s="2" t="s">
        <v>24075</v>
      </c>
      <c r="D7428" s="2" t="str">
        <f>"4802702693"</f>
        <v>4802702693</v>
      </c>
      <c r="E7428" s="2" t="s">
        <v>1946</v>
      </c>
      <c r="F7428" s="2" t="s">
        <v>89</v>
      </c>
      <c r="G7428" s="2" t="str">
        <f>"SR-7589"</f>
        <v>SR-7589</v>
      </c>
      <c r="H7428" s="2" t="s">
        <v>24076</v>
      </c>
      <c r="I7428" s="2" t="s">
        <v>24077</v>
      </c>
      <c r="K7428" s="2" t="s">
        <v>4675</v>
      </c>
      <c r="L7428" s="2" t="s">
        <v>422</v>
      </c>
      <c r="M7428" s="2">
        <v>85297.0</v>
      </c>
      <c r="N7428" s="2" t="s">
        <v>21</v>
      </c>
    </row>
    <row r="7429" ht="15.75" customHeight="1">
      <c r="A7429" s="2">
        <v>2017.0</v>
      </c>
      <c r="B7429" s="2" t="s">
        <v>25309</v>
      </c>
      <c r="C7429" s="2" t="s">
        <v>25310</v>
      </c>
      <c r="D7429" s="2" t="str">
        <f>"972-439-7019"</f>
        <v>972-439-7019</v>
      </c>
      <c r="E7429" s="2" t="s">
        <v>25311</v>
      </c>
      <c r="F7429" s="2" t="s">
        <v>25312</v>
      </c>
      <c r="G7429" s="2" t="str">
        <f>"SR-7970"</f>
        <v>SR-7970</v>
      </c>
      <c r="H7429" s="2" t="s">
        <v>25313</v>
      </c>
      <c r="I7429" s="2" t="s">
        <v>25314</v>
      </c>
      <c r="K7429" s="2" t="s">
        <v>25315</v>
      </c>
      <c r="L7429" s="2" t="s">
        <v>172</v>
      </c>
      <c r="M7429" s="2">
        <v>75013.0</v>
      </c>
      <c r="N7429" s="2" t="s">
        <v>21</v>
      </c>
    </row>
    <row r="7430" ht="15.75" customHeight="1">
      <c r="A7430" s="2">
        <v>2017.0</v>
      </c>
      <c r="B7430" s="2" t="s">
        <v>27197</v>
      </c>
      <c r="C7430" s="2" t="s">
        <v>27197</v>
      </c>
      <c r="D7430" s="2" t="str">
        <f>"9728355825"</f>
        <v>9728355825</v>
      </c>
      <c r="E7430" s="2" t="s">
        <v>1263</v>
      </c>
      <c r="F7430" s="2" t="s">
        <v>27198</v>
      </c>
      <c r="G7430" s="2" t="str">
        <f>"SR-7385"</f>
        <v>SR-7385</v>
      </c>
      <c r="H7430" s="2" t="s">
        <v>27199</v>
      </c>
      <c r="I7430" s="2" t="s">
        <v>27200</v>
      </c>
      <c r="K7430" s="2" t="s">
        <v>6718</v>
      </c>
      <c r="L7430" s="2" t="s">
        <v>172</v>
      </c>
      <c r="M7430" s="2">
        <v>75002.0</v>
      </c>
      <c r="N7430" s="2" t="s">
        <v>21</v>
      </c>
    </row>
    <row r="7431" ht="15.75" customHeight="1">
      <c r="A7431" s="2">
        <v>2017.0</v>
      </c>
      <c r="B7431" s="2" t="s">
        <v>31477</v>
      </c>
      <c r="C7431" s="2" t="s">
        <v>31477</v>
      </c>
      <c r="D7431" s="2" t="str">
        <f>"6785548552"</f>
        <v>6785548552</v>
      </c>
      <c r="E7431" s="2" t="s">
        <v>3555</v>
      </c>
      <c r="F7431" s="2" t="s">
        <v>9467</v>
      </c>
      <c r="G7431" s="2" t="str">
        <f>"SR-10203"</f>
        <v>SR-10203</v>
      </c>
      <c r="H7431" s="2" t="s">
        <v>31478</v>
      </c>
      <c r="I7431" s="2" t="s">
        <v>31479</v>
      </c>
      <c r="K7431" s="2" t="s">
        <v>1907</v>
      </c>
      <c r="L7431" s="2" t="s">
        <v>715</v>
      </c>
      <c r="M7431" s="2">
        <v>70634.0</v>
      </c>
      <c r="N7431" s="2" t="s">
        <v>21</v>
      </c>
    </row>
    <row r="7432" ht="15.75" customHeight="1">
      <c r="A7432" s="2">
        <v>2017.0</v>
      </c>
      <c r="B7432" s="2" t="s">
        <v>31426</v>
      </c>
      <c r="C7432" s="2" t="s">
        <v>31480</v>
      </c>
      <c r="D7432" s="2" t="str">
        <f>"214-709-5108"</f>
        <v>214-709-5108</v>
      </c>
      <c r="E7432" s="2" t="s">
        <v>485</v>
      </c>
      <c r="F7432" s="2" t="s">
        <v>72</v>
      </c>
      <c r="G7432" s="2" t="str">
        <f>"SR-10160"</f>
        <v>SR-10160</v>
      </c>
      <c r="H7432" s="2" t="s">
        <v>31481</v>
      </c>
      <c r="I7432" s="2" t="s">
        <v>31429</v>
      </c>
      <c r="K7432" s="2" t="s">
        <v>1255</v>
      </c>
      <c r="L7432" s="2" t="s">
        <v>172</v>
      </c>
      <c r="M7432" s="2">
        <v>75240.0</v>
      </c>
      <c r="N7432" s="2" t="s">
        <v>21</v>
      </c>
    </row>
    <row r="7433" ht="15.75" customHeight="1">
      <c r="A7433" s="2">
        <v>2017.0</v>
      </c>
      <c r="B7433" s="2" t="s">
        <v>31482</v>
      </c>
      <c r="C7433" s="2" t="s">
        <v>31482</v>
      </c>
      <c r="D7433" s="2" t="str">
        <f>"7854101612"</f>
        <v>7854101612</v>
      </c>
      <c r="E7433" s="2" t="s">
        <v>137</v>
      </c>
      <c r="F7433" s="2" t="s">
        <v>31483</v>
      </c>
      <c r="G7433" s="2" t="str">
        <f>"SR-10198"</f>
        <v>SR-10198</v>
      </c>
      <c r="H7433" s="2" t="s">
        <v>31484</v>
      </c>
      <c r="I7433" s="2" t="s">
        <v>31485</v>
      </c>
      <c r="K7433" s="2" t="s">
        <v>1807</v>
      </c>
      <c r="L7433" s="2" t="s">
        <v>272</v>
      </c>
      <c r="M7433" s="2">
        <v>66503.0</v>
      </c>
      <c r="N7433" s="2" t="s">
        <v>21</v>
      </c>
    </row>
    <row r="7434" ht="15.75" customHeight="1">
      <c r="A7434" s="2">
        <v>2017.0</v>
      </c>
      <c r="B7434" s="2" t="s">
        <v>31486</v>
      </c>
      <c r="C7434" s="2" t="s">
        <v>31486</v>
      </c>
      <c r="D7434" s="2" t="str">
        <f>"615-604-9949"</f>
        <v>615-604-9949</v>
      </c>
      <c r="E7434" s="2" t="s">
        <v>1548</v>
      </c>
      <c r="F7434" s="2" t="s">
        <v>7442</v>
      </c>
      <c r="G7434" s="2" t="str">
        <f>"SR-10209"</f>
        <v>SR-10209</v>
      </c>
      <c r="H7434" s="2" t="s">
        <v>31487</v>
      </c>
      <c r="I7434" s="2" t="s">
        <v>7444</v>
      </c>
      <c r="K7434" s="2" t="s">
        <v>7445</v>
      </c>
      <c r="L7434" s="2" t="s">
        <v>279</v>
      </c>
      <c r="M7434" s="2">
        <v>37174.0</v>
      </c>
      <c r="N7434" s="2" t="s">
        <v>21</v>
      </c>
    </row>
    <row r="7435" ht="15.75" customHeight="1">
      <c r="A7435" s="2">
        <v>2017.0</v>
      </c>
      <c r="B7435" s="2" t="s">
        <v>31488</v>
      </c>
      <c r="C7435" s="2" t="s">
        <v>31489</v>
      </c>
      <c r="D7435" s="2" t="str">
        <f>"7074628168"</f>
        <v>7074628168</v>
      </c>
      <c r="E7435" s="2" t="s">
        <v>72</v>
      </c>
      <c r="F7435" s="2" t="s">
        <v>31490</v>
      </c>
      <c r="G7435" s="2" t="str">
        <f>"SR-10164"</f>
        <v>SR-10164</v>
      </c>
      <c r="H7435" s="2" t="s">
        <v>31491</v>
      </c>
      <c r="I7435" s="2" t="s">
        <v>31492</v>
      </c>
      <c r="K7435" s="2" t="s">
        <v>31493</v>
      </c>
      <c r="L7435" s="2" t="s">
        <v>222</v>
      </c>
      <c r="M7435" s="2">
        <v>95482.0</v>
      </c>
      <c r="N7435" s="2" t="s">
        <v>21</v>
      </c>
    </row>
    <row r="7436" ht="15.75" customHeight="1">
      <c r="A7436" s="2">
        <v>2017.0</v>
      </c>
      <c r="B7436" s="2" t="s">
        <v>31494</v>
      </c>
      <c r="C7436" s="2" t="s">
        <v>31494</v>
      </c>
      <c r="D7436" s="2" t="str">
        <f>"6156044464"</f>
        <v>6156044464</v>
      </c>
      <c r="E7436" s="2" t="s">
        <v>718</v>
      </c>
      <c r="F7436" s="2" t="s">
        <v>22082</v>
      </c>
      <c r="G7436" s="2" t="str">
        <f>"SR-10212"</f>
        <v>SR-10212</v>
      </c>
      <c r="H7436" s="2" t="s">
        <v>31495</v>
      </c>
      <c r="I7436" s="2" t="s">
        <v>31496</v>
      </c>
      <c r="K7436" s="2" t="s">
        <v>24330</v>
      </c>
      <c r="L7436" s="2" t="s">
        <v>279</v>
      </c>
      <c r="M7436" s="2">
        <v>37046.0</v>
      </c>
      <c r="N7436" s="2" t="s">
        <v>21</v>
      </c>
    </row>
    <row r="7437" ht="15.75" customHeight="1">
      <c r="A7437" s="2">
        <v>2017.0</v>
      </c>
      <c r="B7437" s="2" t="s">
        <v>31497</v>
      </c>
      <c r="C7437" s="2" t="s">
        <v>31498</v>
      </c>
      <c r="D7437" s="2" t="str">
        <f>"6128656863"</f>
        <v>6128656863</v>
      </c>
      <c r="E7437" s="2" t="s">
        <v>5927</v>
      </c>
      <c r="F7437" s="2" t="s">
        <v>1915</v>
      </c>
      <c r="G7437" s="2" t="str">
        <f>"SR-10167"</f>
        <v>SR-10167</v>
      </c>
      <c r="H7437" s="2" t="s">
        <v>31499</v>
      </c>
      <c r="I7437" s="2" t="s">
        <v>31500</v>
      </c>
      <c r="J7437" s="2" t="s">
        <v>31501</v>
      </c>
      <c r="K7437" s="2" t="s">
        <v>1073</v>
      </c>
      <c r="L7437" s="2" t="s">
        <v>62</v>
      </c>
      <c r="M7437" s="2">
        <v>55403.0</v>
      </c>
      <c r="N7437" s="2" t="s">
        <v>21</v>
      </c>
    </row>
    <row r="7438" ht="15.75" customHeight="1">
      <c r="A7438" s="2">
        <v>2017.0</v>
      </c>
      <c r="B7438" s="2" t="s">
        <v>31502</v>
      </c>
      <c r="C7438" s="2" t="s">
        <v>31503</v>
      </c>
      <c r="D7438" s="2" t="str">
        <f>"805-684-2051"</f>
        <v>805-684-2051</v>
      </c>
      <c r="E7438" s="2" t="s">
        <v>705</v>
      </c>
      <c r="F7438" s="2" t="s">
        <v>31504</v>
      </c>
      <c r="G7438" s="2" t="str">
        <f>"SR-10147"</f>
        <v>SR-10147</v>
      </c>
      <c r="H7438" s="2" t="s">
        <v>31505</v>
      </c>
      <c r="I7438" s="2" t="s">
        <v>31506</v>
      </c>
      <c r="K7438" s="2" t="s">
        <v>16679</v>
      </c>
      <c r="L7438" s="2" t="s">
        <v>222</v>
      </c>
      <c r="M7438" s="2">
        <v>93013.0</v>
      </c>
      <c r="N7438" s="2" t="s">
        <v>21</v>
      </c>
    </row>
    <row r="7439" ht="15.75" customHeight="1">
      <c r="A7439" s="2">
        <v>2017.0</v>
      </c>
      <c r="B7439" s="2" t="s">
        <v>31507</v>
      </c>
      <c r="C7439" s="2" t="s">
        <v>31508</v>
      </c>
      <c r="D7439" s="2" t="str">
        <f>"1-760-954-6633"</f>
        <v>1-760-954-6633</v>
      </c>
      <c r="E7439" s="2" t="s">
        <v>31509</v>
      </c>
      <c r="F7439" s="2" t="s">
        <v>31510</v>
      </c>
      <c r="G7439" s="2" t="str">
        <f>"SR-10216"</f>
        <v>SR-10216</v>
      </c>
      <c r="H7439" s="2" t="s">
        <v>31511</v>
      </c>
      <c r="I7439" s="2" t="s">
        <v>31512</v>
      </c>
      <c r="K7439" s="2" t="s">
        <v>31513</v>
      </c>
      <c r="L7439" s="2" t="s">
        <v>222</v>
      </c>
      <c r="M7439" s="2">
        <v>92344.0</v>
      </c>
      <c r="N7439" s="2" t="s">
        <v>21</v>
      </c>
    </row>
    <row r="7440" ht="15.75" customHeight="1">
      <c r="A7440" s="2">
        <v>2017.0</v>
      </c>
      <c r="B7440" s="2" t="s">
        <v>31514</v>
      </c>
      <c r="C7440" s="2" t="s">
        <v>31514</v>
      </c>
      <c r="D7440" s="2" t="str">
        <f>"8323348687"</f>
        <v>8323348687</v>
      </c>
      <c r="E7440" s="2" t="s">
        <v>9047</v>
      </c>
      <c r="F7440" s="2" t="s">
        <v>10566</v>
      </c>
      <c r="G7440" s="2" t="str">
        <f>"SR-10200"</f>
        <v>SR-10200</v>
      </c>
      <c r="H7440" s="2" t="s">
        <v>31515</v>
      </c>
      <c r="I7440" s="2" t="s">
        <v>31516</v>
      </c>
      <c r="K7440" s="2" t="s">
        <v>2182</v>
      </c>
      <c r="L7440" s="2" t="s">
        <v>172</v>
      </c>
      <c r="M7440" s="2">
        <v>77479.0</v>
      </c>
      <c r="N7440" s="2" t="s">
        <v>21</v>
      </c>
    </row>
    <row r="7441" ht="15.75" customHeight="1">
      <c r="A7441" s="2">
        <v>2017.0</v>
      </c>
      <c r="B7441" s="2" t="s">
        <v>13933</v>
      </c>
      <c r="C7441" s="2" t="s">
        <v>31517</v>
      </c>
      <c r="D7441" s="2" t="str">
        <f>"2818965433"</f>
        <v>2818965433</v>
      </c>
      <c r="E7441" s="2" t="s">
        <v>31518</v>
      </c>
      <c r="F7441" s="2" t="s">
        <v>13936</v>
      </c>
      <c r="G7441" s="2" t="str">
        <f>"SR-10211"</f>
        <v>SR-10211</v>
      </c>
      <c r="H7441" s="2" t="s">
        <v>31519</v>
      </c>
      <c r="I7441" s="2" t="s">
        <v>31520</v>
      </c>
      <c r="K7441" s="2" t="s">
        <v>13939</v>
      </c>
      <c r="L7441" s="2" t="s">
        <v>172</v>
      </c>
      <c r="M7441" s="2">
        <v>77479.0</v>
      </c>
      <c r="N7441" s="2" t="s">
        <v>21</v>
      </c>
    </row>
    <row r="7442" ht="15.75" customHeight="1">
      <c r="A7442" s="2">
        <v>2017.0</v>
      </c>
      <c r="B7442" s="2" t="s">
        <v>31521</v>
      </c>
      <c r="C7442" s="2" t="s">
        <v>31522</v>
      </c>
      <c r="D7442" s="2" t="str">
        <f>"(719) 351-8993"</f>
        <v>(719) 351-8993</v>
      </c>
      <c r="E7442" s="2" t="s">
        <v>72</v>
      </c>
      <c r="F7442" s="2" t="s">
        <v>320</v>
      </c>
      <c r="G7442" s="2" t="str">
        <f>"SR-10183"</f>
        <v>SR-10183</v>
      </c>
      <c r="H7442" s="2" t="s">
        <v>31523</v>
      </c>
      <c r="I7442" s="2" t="s">
        <v>31524</v>
      </c>
      <c r="K7442" s="2" t="s">
        <v>809</v>
      </c>
      <c r="L7442" s="2" t="s">
        <v>157</v>
      </c>
      <c r="M7442" s="2">
        <v>80920.0</v>
      </c>
      <c r="N7442" s="2" t="s">
        <v>21</v>
      </c>
    </row>
    <row r="7443" ht="15.75" customHeight="1">
      <c r="A7443" s="2">
        <v>2017.0</v>
      </c>
      <c r="B7443" s="2" t="s">
        <v>31525</v>
      </c>
      <c r="C7443" s="2" t="s">
        <v>31526</v>
      </c>
      <c r="D7443" s="2" t="str">
        <f>"4064901255"</f>
        <v>4064901255</v>
      </c>
      <c r="E7443" s="2" t="s">
        <v>15428</v>
      </c>
      <c r="F7443" s="2" t="s">
        <v>9533</v>
      </c>
      <c r="G7443" s="2" t="str">
        <f>"SR-10224"</f>
        <v>SR-10224</v>
      </c>
      <c r="H7443" s="2" t="s">
        <v>31527</v>
      </c>
      <c r="I7443" s="2" t="s">
        <v>31528</v>
      </c>
      <c r="K7443" s="2" t="s">
        <v>2774</v>
      </c>
      <c r="L7443" s="2" t="s">
        <v>2696</v>
      </c>
      <c r="M7443" s="2">
        <v>59721.0</v>
      </c>
      <c r="N7443" s="2" t="s">
        <v>21</v>
      </c>
    </row>
    <row r="7444" ht="15.75" customHeight="1">
      <c r="A7444" s="2">
        <v>2017.0</v>
      </c>
      <c r="B7444" s="2" t="s">
        <v>31529</v>
      </c>
      <c r="C7444" s="2" t="s">
        <v>31530</v>
      </c>
      <c r="D7444" s="2" t="str">
        <f>"(805) 528-3242"</f>
        <v>(805) 528-3242</v>
      </c>
      <c r="E7444" s="2" t="s">
        <v>77</v>
      </c>
      <c r="F7444" s="2" t="s">
        <v>31531</v>
      </c>
      <c r="G7444" s="2" t="str">
        <f>"SR-10144"</f>
        <v>SR-10144</v>
      </c>
      <c r="H7444" s="2" t="s">
        <v>31532</v>
      </c>
      <c r="I7444" s="2" t="s">
        <v>31533</v>
      </c>
      <c r="K7444" s="2" t="s">
        <v>31534</v>
      </c>
      <c r="L7444" s="2" t="s">
        <v>222</v>
      </c>
      <c r="M7444" s="2">
        <v>93402.0</v>
      </c>
      <c r="N7444" s="2" t="s">
        <v>21</v>
      </c>
    </row>
    <row r="7445" ht="15.75" customHeight="1">
      <c r="A7445" s="2">
        <v>2017.0</v>
      </c>
      <c r="B7445" s="2" t="s">
        <v>31535</v>
      </c>
      <c r="C7445" s="2" t="s">
        <v>31536</v>
      </c>
      <c r="D7445" s="2" t="str">
        <f>"787-432-6196"</f>
        <v>787-432-6196</v>
      </c>
      <c r="E7445" s="2" t="s">
        <v>1999</v>
      </c>
      <c r="F7445" s="2" t="s">
        <v>18946</v>
      </c>
      <c r="G7445" s="2" t="str">
        <f>"SR-10208"</f>
        <v>SR-10208</v>
      </c>
      <c r="H7445" s="2" t="s">
        <v>31537</v>
      </c>
      <c r="I7445" s="2" t="s">
        <v>31538</v>
      </c>
      <c r="J7445" s="2" t="s">
        <v>31539</v>
      </c>
      <c r="K7445" s="2" t="s">
        <v>31540</v>
      </c>
      <c r="L7445" s="2" t="s">
        <v>31541</v>
      </c>
      <c r="M7445" s="2">
        <v>736.0</v>
      </c>
      <c r="N7445" s="2" t="s">
        <v>31541</v>
      </c>
    </row>
    <row r="7446" ht="15.75" customHeight="1">
      <c r="A7446" s="2">
        <v>2017.0</v>
      </c>
      <c r="B7446" s="2" t="s">
        <v>31542</v>
      </c>
      <c r="C7446" s="2" t="s">
        <v>31543</v>
      </c>
      <c r="D7446" s="2" t="str">
        <f t="shared" ref="D7446:D7447" si="126">"447887244035"</f>
        <v>447887244035</v>
      </c>
      <c r="E7446" s="2" t="s">
        <v>31544</v>
      </c>
      <c r="F7446" s="2" t="s">
        <v>31545</v>
      </c>
      <c r="G7446" s="2" t="str">
        <f>"SR-10235"</f>
        <v>SR-10235</v>
      </c>
      <c r="H7446" s="2" t="s">
        <v>31546</v>
      </c>
      <c r="I7446" s="2" t="s">
        <v>31547</v>
      </c>
      <c r="K7446" s="2" t="s">
        <v>13103</v>
      </c>
      <c r="N7446" s="2" t="s">
        <v>22523</v>
      </c>
    </row>
    <row r="7447" ht="15.75" customHeight="1">
      <c r="A7447" s="2">
        <v>2017.0</v>
      </c>
      <c r="B7447" s="2" t="s">
        <v>31542</v>
      </c>
      <c r="C7447" s="2" t="s">
        <v>31543</v>
      </c>
      <c r="D7447" s="2" t="str">
        <f t="shared" si="126"/>
        <v>447887244035</v>
      </c>
      <c r="E7447" s="2" t="s">
        <v>31548</v>
      </c>
      <c r="F7447" s="2" t="s">
        <v>31545</v>
      </c>
      <c r="G7447" s="2" t="str">
        <f>"SR-10236"</f>
        <v>SR-10236</v>
      </c>
      <c r="H7447" s="2" t="s">
        <v>31549</v>
      </c>
      <c r="I7447" s="2" t="s">
        <v>31547</v>
      </c>
      <c r="K7447" s="2" t="s">
        <v>13103</v>
      </c>
      <c r="N7447" s="2" t="s">
        <v>22523</v>
      </c>
    </row>
    <row r="7448" ht="15.75" customHeight="1">
      <c r="A7448" s="2">
        <v>2017.0</v>
      </c>
      <c r="B7448" s="2" t="s">
        <v>13660</v>
      </c>
      <c r="C7448" s="2" t="s">
        <v>31550</v>
      </c>
      <c r="D7448" s="2" t="str">
        <f>"512-786-3327"</f>
        <v>512-786-3327</v>
      </c>
      <c r="E7448" s="2" t="s">
        <v>19464</v>
      </c>
      <c r="F7448" s="2" t="s">
        <v>3043</v>
      </c>
      <c r="G7448" s="2" t="str">
        <f>"SR-10002"</f>
        <v>SR-10002</v>
      </c>
      <c r="H7448" s="2" t="s">
        <v>31551</v>
      </c>
      <c r="I7448" s="2" t="s">
        <v>31552</v>
      </c>
      <c r="K7448" s="2" t="s">
        <v>1249</v>
      </c>
      <c r="L7448" s="2" t="s">
        <v>172</v>
      </c>
      <c r="M7448" s="2">
        <v>78613.0</v>
      </c>
      <c r="N7448" s="2" t="s">
        <v>21</v>
      </c>
    </row>
    <row r="7449" ht="15.75" customHeight="1">
      <c r="A7449" s="2">
        <v>2017.0</v>
      </c>
      <c r="B7449" s="2" t="s">
        <v>31553</v>
      </c>
      <c r="C7449" s="2" t="s">
        <v>31553</v>
      </c>
      <c r="D7449" s="2" t="str">
        <f>"618782963"</f>
        <v>618782963</v>
      </c>
      <c r="E7449" s="2" t="s">
        <v>2147</v>
      </c>
      <c r="F7449" s="2" t="s">
        <v>3144</v>
      </c>
      <c r="G7449" s="2" t="str">
        <f>"SR-10014"</f>
        <v>SR-10014</v>
      </c>
      <c r="H7449" s="2" t="s">
        <v>31554</v>
      </c>
      <c r="I7449" s="2" t="s">
        <v>31555</v>
      </c>
      <c r="K7449" s="2" t="s">
        <v>278</v>
      </c>
      <c r="L7449" s="2" t="s">
        <v>279</v>
      </c>
      <c r="M7449" s="2">
        <v>37069.0</v>
      </c>
      <c r="N7449" s="2" t="s">
        <v>21</v>
      </c>
    </row>
    <row r="7450" ht="15.75" customHeight="1">
      <c r="A7450" s="2">
        <v>2017.0</v>
      </c>
      <c r="B7450" s="2" t="s">
        <v>31556</v>
      </c>
      <c r="C7450" s="2" t="s">
        <v>31557</v>
      </c>
      <c r="D7450" s="2" t="str">
        <f>"330-575-7253"</f>
        <v>330-575-7253</v>
      </c>
      <c r="E7450" s="2" t="s">
        <v>938</v>
      </c>
      <c r="F7450" s="2" t="s">
        <v>31558</v>
      </c>
      <c r="G7450" s="2" t="str">
        <f>"SR-10241"</f>
        <v>SR-10241</v>
      </c>
      <c r="H7450" s="2" t="s">
        <v>31559</v>
      </c>
      <c r="I7450" s="2" t="s">
        <v>31560</v>
      </c>
      <c r="K7450" s="2" t="s">
        <v>31561</v>
      </c>
      <c r="L7450" s="2" t="s">
        <v>344</v>
      </c>
      <c r="M7450" s="2">
        <v>44601.0</v>
      </c>
      <c r="N7450" s="2" t="s">
        <v>21</v>
      </c>
    </row>
    <row r="7451" ht="15.75" customHeight="1">
      <c r="A7451" s="2">
        <v>2017.0</v>
      </c>
      <c r="B7451" s="2" t="s">
        <v>31562</v>
      </c>
      <c r="C7451" s="2" t="s">
        <v>31563</v>
      </c>
      <c r="D7451" s="2" t="str">
        <f>"6209884697"</f>
        <v>6209884697</v>
      </c>
      <c r="E7451" s="2" t="s">
        <v>15</v>
      </c>
      <c r="F7451" s="2" t="s">
        <v>31564</v>
      </c>
      <c r="G7451" s="2" t="str">
        <f>"SR-9934"</f>
        <v>SR-9934</v>
      </c>
      <c r="H7451" s="2" t="s">
        <v>31565</v>
      </c>
      <c r="I7451" s="2" t="s">
        <v>31566</v>
      </c>
      <c r="K7451" s="2" t="s">
        <v>30982</v>
      </c>
      <c r="L7451" s="2" t="s">
        <v>272</v>
      </c>
      <c r="M7451" s="2">
        <v>67337.0</v>
      </c>
      <c r="N7451" s="2" t="s">
        <v>21</v>
      </c>
    </row>
    <row r="7452" ht="15.75" customHeight="1">
      <c r="A7452" s="2">
        <v>2017.0</v>
      </c>
      <c r="B7452" s="2" t="s">
        <v>31567</v>
      </c>
      <c r="C7452" s="2" t="s">
        <v>31568</v>
      </c>
      <c r="D7452" s="2" t="str">
        <f>"717-892-3787"</f>
        <v>717-892-3787</v>
      </c>
      <c r="E7452" s="2" t="s">
        <v>638</v>
      </c>
      <c r="F7452" s="2" t="s">
        <v>31569</v>
      </c>
      <c r="G7452" s="2" t="str">
        <f>"SR-9684"</f>
        <v>SR-9684</v>
      </c>
      <c r="H7452" s="2" t="s">
        <v>31570</v>
      </c>
      <c r="I7452" s="2" t="s">
        <v>31571</v>
      </c>
      <c r="K7452" s="2" t="s">
        <v>2449</v>
      </c>
      <c r="L7452" s="2" t="s">
        <v>179</v>
      </c>
      <c r="M7452" s="2">
        <v>17601.0</v>
      </c>
      <c r="N7452" s="2" t="s">
        <v>21</v>
      </c>
    </row>
    <row r="7453" ht="15.75" customHeight="1">
      <c r="A7453" s="2">
        <v>2017.0</v>
      </c>
      <c r="B7453" s="2" t="s">
        <v>31572</v>
      </c>
      <c r="C7453" s="2" t="s">
        <v>31573</v>
      </c>
      <c r="D7453" s="2" t="str">
        <f>"765-977-4104"</f>
        <v>765-977-4104</v>
      </c>
      <c r="E7453" s="2" t="s">
        <v>1595</v>
      </c>
      <c r="F7453" s="2" t="s">
        <v>31574</v>
      </c>
      <c r="G7453" s="2" t="str">
        <f>"SR-10239"</f>
        <v>SR-10239</v>
      </c>
      <c r="H7453" s="2" t="s">
        <v>31575</v>
      </c>
      <c r="I7453" s="2" t="s">
        <v>31576</v>
      </c>
      <c r="K7453" s="2" t="s">
        <v>31577</v>
      </c>
      <c r="L7453" s="2" t="s">
        <v>62</v>
      </c>
      <c r="M7453" s="2">
        <v>55021.0</v>
      </c>
      <c r="N7453" s="2" t="s">
        <v>21</v>
      </c>
    </row>
    <row r="7454" ht="15.75" customHeight="1">
      <c r="A7454" s="2">
        <v>2017.0</v>
      </c>
      <c r="B7454" s="2" t="s">
        <v>16450</v>
      </c>
      <c r="C7454" s="2" t="s">
        <v>31578</v>
      </c>
      <c r="D7454" s="2" t="str">
        <f>"352-270-2315"</f>
        <v>352-270-2315</v>
      </c>
      <c r="E7454" s="2" t="s">
        <v>4888</v>
      </c>
      <c r="F7454" s="2" t="s">
        <v>2870</v>
      </c>
      <c r="G7454" s="2" t="str">
        <f>"SR-10222"</f>
        <v>SR-10222</v>
      </c>
      <c r="H7454" s="2" t="s">
        <v>31579</v>
      </c>
      <c r="I7454" s="2" t="s">
        <v>31580</v>
      </c>
      <c r="K7454" s="2" t="s">
        <v>16454</v>
      </c>
      <c r="L7454" s="2" t="s">
        <v>208</v>
      </c>
      <c r="M7454" s="2">
        <v>34434.0</v>
      </c>
      <c r="N7454" s="2" t="s">
        <v>21</v>
      </c>
    </row>
    <row r="7455" ht="15.75" customHeight="1">
      <c r="A7455" s="2">
        <v>2017.0</v>
      </c>
      <c r="B7455" s="2" t="s">
        <v>31581</v>
      </c>
      <c r="C7455" s="2" t="s">
        <v>31582</v>
      </c>
      <c r="D7455" s="2" t="str">
        <f>"301-514-0405"</f>
        <v>301-514-0405</v>
      </c>
      <c r="E7455" s="2" t="s">
        <v>10949</v>
      </c>
      <c r="F7455" s="2" t="s">
        <v>863</v>
      </c>
      <c r="G7455" s="2" t="str">
        <f>"SR-10234"</f>
        <v>SR-10234</v>
      </c>
      <c r="H7455" s="2" t="s">
        <v>31583</v>
      </c>
      <c r="I7455" s="2" t="s">
        <v>31584</v>
      </c>
      <c r="K7455" s="2" t="s">
        <v>2897</v>
      </c>
      <c r="L7455" s="2" t="s">
        <v>208</v>
      </c>
      <c r="M7455" s="2">
        <v>33076.0</v>
      </c>
      <c r="N7455" s="2" t="s">
        <v>21</v>
      </c>
    </row>
    <row r="7456" ht="15.75" customHeight="1">
      <c r="A7456" s="2">
        <v>2017.0</v>
      </c>
      <c r="B7456" s="2" t="s">
        <v>31585</v>
      </c>
      <c r="C7456" s="2" t="s">
        <v>31586</v>
      </c>
      <c r="D7456" s="2" t="str">
        <f>"406-287-7814"</f>
        <v>406-287-7814</v>
      </c>
      <c r="E7456" s="2" t="s">
        <v>25668</v>
      </c>
      <c r="F7456" s="2" t="s">
        <v>31587</v>
      </c>
      <c r="G7456" s="2" t="str">
        <f>"SR-10173"</f>
        <v>SR-10173</v>
      </c>
      <c r="H7456" s="2" t="s">
        <v>31588</v>
      </c>
      <c r="I7456" s="2" t="s">
        <v>31589</v>
      </c>
      <c r="K7456" s="2" t="s">
        <v>2774</v>
      </c>
      <c r="L7456" s="2" t="s">
        <v>2696</v>
      </c>
      <c r="M7456" s="2">
        <v>59721.0</v>
      </c>
      <c r="N7456" s="2" t="s">
        <v>21</v>
      </c>
    </row>
    <row r="7457" ht="15.75" customHeight="1">
      <c r="A7457" s="2">
        <v>2017.0</v>
      </c>
      <c r="B7457" s="2" t="s">
        <v>16450</v>
      </c>
      <c r="C7457" s="2" t="s">
        <v>31590</v>
      </c>
      <c r="D7457" s="2" t="str">
        <f>"352-436-7446"</f>
        <v>352-436-7446</v>
      </c>
      <c r="E7457" s="2" t="s">
        <v>31591</v>
      </c>
      <c r="F7457" s="2" t="s">
        <v>2870</v>
      </c>
      <c r="G7457" s="2" t="str">
        <f>"SR-10244"</f>
        <v>SR-10244</v>
      </c>
      <c r="H7457" s="2" t="s">
        <v>31592</v>
      </c>
      <c r="I7457" s="2" t="s">
        <v>31593</v>
      </c>
      <c r="K7457" s="2" t="s">
        <v>16454</v>
      </c>
      <c r="L7457" s="2" t="s">
        <v>208</v>
      </c>
      <c r="M7457" s="2">
        <v>34434.0</v>
      </c>
      <c r="N7457" s="2" t="s">
        <v>21</v>
      </c>
    </row>
    <row r="7458" ht="15.75" customHeight="1">
      <c r="A7458" s="2">
        <v>2017.0</v>
      </c>
      <c r="B7458" s="2" t="s">
        <v>23150</v>
      </c>
      <c r="C7458" s="2" t="s">
        <v>23151</v>
      </c>
      <c r="D7458" s="2" t="str">
        <f>"8434762665"</f>
        <v>8434762665</v>
      </c>
      <c r="E7458" s="2" t="s">
        <v>301</v>
      </c>
      <c r="F7458" s="2" t="s">
        <v>23152</v>
      </c>
      <c r="G7458" s="2" t="str">
        <f>"SR-7190"</f>
        <v>SR-7190</v>
      </c>
      <c r="H7458" s="2" t="s">
        <v>23153</v>
      </c>
      <c r="I7458" s="2" t="s">
        <v>23154</v>
      </c>
      <c r="K7458" s="2" t="s">
        <v>23155</v>
      </c>
      <c r="L7458" s="2" t="s">
        <v>208</v>
      </c>
      <c r="M7458" s="2">
        <v>32563.0</v>
      </c>
      <c r="N7458" s="2" t="s">
        <v>21</v>
      </c>
    </row>
    <row r="7459" ht="15.75" customHeight="1">
      <c r="A7459" s="2">
        <v>2017.0</v>
      </c>
      <c r="B7459" s="2" t="s">
        <v>31594</v>
      </c>
      <c r="C7459" s="2" t="s">
        <v>31595</v>
      </c>
      <c r="D7459" s="2" t="str">
        <f>"918-333-6342"</f>
        <v>918-333-6342</v>
      </c>
      <c r="E7459" s="2" t="s">
        <v>908</v>
      </c>
      <c r="F7459" s="2" t="s">
        <v>31596</v>
      </c>
      <c r="G7459" s="2" t="str">
        <f>"SR-9908"</f>
        <v>SR-9908</v>
      </c>
      <c r="H7459" s="2" t="s">
        <v>31597</v>
      </c>
      <c r="I7459" s="2" t="s">
        <v>31598</v>
      </c>
      <c r="K7459" s="2" t="s">
        <v>18261</v>
      </c>
      <c r="L7459" s="2" t="s">
        <v>840</v>
      </c>
      <c r="M7459" s="2">
        <v>74006.0</v>
      </c>
      <c r="N7459" s="2" t="s">
        <v>21</v>
      </c>
    </row>
    <row r="7460" ht="15.75" customHeight="1">
      <c r="A7460" s="2">
        <v>2017.0</v>
      </c>
      <c r="B7460" s="2" t="s">
        <v>31599</v>
      </c>
      <c r="C7460" s="2" t="s">
        <v>31599</v>
      </c>
      <c r="D7460" s="2" t="str">
        <f>"5612359587"</f>
        <v>5612359587</v>
      </c>
      <c r="E7460" s="2" t="s">
        <v>1108</v>
      </c>
      <c r="F7460" s="2" t="s">
        <v>31600</v>
      </c>
      <c r="G7460" s="2" t="str">
        <f>"SR-10197"</f>
        <v>SR-10197</v>
      </c>
      <c r="H7460" s="2" t="s">
        <v>31601</v>
      </c>
      <c r="I7460" s="2" t="s">
        <v>31602</v>
      </c>
      <c r="K7460" s="2" t="s">
        <v>2273</v>
      </c>
      <c r="L7460" s="2" t="s">
        <v>208</v>
      </c>
      <c r="M7460" s="2">
        <v>33486.0</v>
      </c>
      <c r="N7460" s="2" t="s">
        <v>21</v>
      </c>
    </row>
    <row r="7461" ht="15.75" customHeight="1">
      <c r="A7461" s="2">
        <v>2017.0</v>
      </c>
      <c r="B7461" s="2" t="s">
        <v>31603</v>
      </c>
      <c r="C7461" s="2" t="s">
        <v>31603</v>
      </c>
      <c r="D7461" s="2" t="str">
        <f>"7876382491"</f>
        <v>7876382491</v>
      </c>
      <c r="E7461" s="2" t="s">
        <v>8378</v>
      </c>
      <c r="F7461" s="2" t="s">
        <v>21049</v>
      </c>
      <c r="G7461" s="2" t="str">
        <f>"SR-10251"</f>
        <v>SR-10251</v>
      </c>
      <c r="H7461" s="2" t="s">
        <v>31604</v>
      </c>
      <c r="I7461" s="2" t="s">
        <v>31605</v>
      </c>
      <c r="K7461" s="2" t="s">
        <v>31540</v>
      </c>
      <c r="L7461" s="2" t="s">
        <v>31606</v>
      </c>
      <c r="M7461" s="2">
        <v>736.0</v>
      </c>
      <c r="N7461" s="2" t="s">
        <v>31541</v>
      </c>
    </row>
    <row r="7462" ht="15.75" customHeight="1">
      <c r="A7462" s="2">
        <v>2017.0</v>
      </c>
      <c r="B7462" s="2" t="s">
        <v>31607</v>
      </c>
      <c r="C7462" s="2" t="s">
        <v>31608</v>
      </c>
      <c r="D7462" s="2" t="str">
        <f>"972-303-5636"</f>
        <v>972-303-5636</v>
      </c>
      <c r="E7462" s="2" t="s">
        <v>6606</v>
      </c>
      <c r="F7462" s="2" t="s">
        <v>615</v>
      </c>
      <c r="G7462" s="2" t="str">
        <f>"SR-10248"</f>
        <v>SR-10248</v>
      </c>
      <c r="H7462" s="2" t="s">
        <v>31609</v>
      </c>
      <c r="I7462" s="2" t="s">
        <v>31610</v>
      </c>
      <c r="K7462" s="2" t="s">
        <v>4079</v>
      </c>
      <c r="L7462" s="2" t="s">
        <v>172</v>
      </c>
      <c r="M7462" s="2">
        <v>75043.0</v>
      </c>
      <c r="N7462" s="2" t="s">
        <v>21</v>
      </c>
    </row>
    <row r="7463" ht="15.75" customHeight="1">
      <c r="A7463" s="2">
        <v>2017.0</v>
      </c>
      <c r="B7463" s="2" t="s">
        <v>31611</v>
      </c>
      <c r="C7463" s="2" t="s">
        <v>31611</v>
      </c>
      <c r="D7463" s="2" t="str">
        <f>"6052801302"</f>
        <v>6052801302</v>
      </c>
      <c r="E7463" s="2" t="s">
        <v>1548</v>
      </c>
      <c r="F7463" s="2" t="s">
        <v>10015</v>
      </c>
      <c r="G7463" s="2" t="str">
        <f>"SR-10237"</f>
        <v>SR-10237</v>
      </c>
      <c r="H7463" s="2" t="s">
        <v>31612</v>
      </c>
      <c r="I7463" s="2" t="s">
        <v>31613</v>
      </c>
      <c r="K7463" s="2" t="s">
        <v>4355</v>
      </c>
      <c r="L7463" s="2" t="s">
        <v>920</v>
      </c>
      <c r="M7463" s="2">
        <v>57501.0</v>
      </c>
      <c r="N7463" s="2" t="s">
        <v>21</v>
      </c>
    </row>
    <row r="7464" ht="15.75" customHeight="1">
      <c r="A7464" s="2">
        <v>2017.0</v>
      </c>
      <c r="B7464" s="2" t="s">
        <v>31614</v>
      </c>
      <c r="C7464" s="2" t="s">
        <v>31615</v>
      </c>
      <c r="D7464" s="2" t="str">
        <f>"7192641865"</f>
        <v>7192641865</v>
      </c>
      <c r="E7464" s="2" t="s">
        <v>2851</v>
      </c>
      <c r="F7464" s="2" t="s">
        <v>31616</v>
      </c>
      <c r="G7464" s="2" t="str">
        <f>"SR-10255"</f>
        <v>SR-10255</v>
      </c>
      <c r="H7464" s="2" t="s">
        <v>31617</v>
      </c>
      <c r="I7464" s="2" t="s">
        <v>31618</v>
      </c>
      <c r="K7464" s="2" t="s">
        <v>809</v>
      </c>
      <c r="L7464" s="2" t="s">
        <v>157</v>
      </c>
      <c r="M7464" s="2">
        <v>80919.0</v>
      </c>
      <c r="N7464" s="2" t="s">
        <v>21</v>
      </c>
    </row>
    <row r="7465" ht="15.75" customHeight="1">
      <c r="A7465" s="2">
        <v>2017.0</v>
      </c>
      <c r="B7465" s="2" t="s">
        <v>31619</v>
      </c>
      <c r="C7465" s="2" t="s">
        <v>31619</v>
      </c>
      <c r="D7465" s="2" t="str">
        <f>"8435976228"</f>
        <v>8435976228</v>
      </c>
      <c r="E7465" s="2" t="s">
        <v>31620</v>
      </c>
      <c r="F7465" s="2" t="s">
        <v>31621</v>
      </c>
      <c r="G7465" s="2" t="str">
        <f>"SR-10249"</f>
        <v>SR-10249</v>
      </c>
      <c r="H7465" s="2" t="s">
        <v>31622</v>
      </c>
      <c r="I7465" s="2" t="s">
        <v>31623</v>
      </c>
      <c r="K7465" s="2" t="s">
        <v>26737</v>
      </c>
      <c r="L7465" s="2" t="s">
        <v>55</v>
      </c>
      <c r="M7465" s="2">
        <v>29907.0</v>
      </c>
      <c r="N7465" s="2" t="s">
        <v>21</v>
      </c>
    </row>
    <row r="7466" ht="15.75" customHeight="1">
      <c r="A7466" s="2">
        <v>2017.0</v>
      </c>
      <c r="B7466" s="2" t="s">
        <v>24284</v>
      </c>
      <c r="C7466" s="2" t="s">
        <v>24284</v>
      </c>
      <c r="D7466" s="2" t="str">
        <f>"9077467736"</f>
        <v>9077467736</v>
      </c>
      <c r="E7466" s="2" t="s">
        <v>24285</v>
      </c>
      <c r="F7466" s="2" t="s">
        <v>24286</v>
      </c>
      <c r="G7466" s="2" t="str">
        <f>"SR-7650"</f>
        <v>SR-7650</v>
      </c>
      <c r="H7466" s="2" t="s">
        <v>24287</v>
      </c>
      <c r="I7466" s="2" t="s">
        <v>24288</v>
      </c>
      <c r="K7466" s="2" t="s">
        <v>24289</v>
      </c>
      <c r="L7466" s="2" t="s">
        <v>70</v>
      </c>
      <c r="M7466" s="2">
        <v>99645.0</v>
      </c>
      <c r="N7466" s="2" t="s">
        <v>21</v>
      </c>
    </row>
    <row r="7467" ht="15.75" customHeight="1">
      <c r="A7467" s="2">
        <v>2017.0</v>
      </c>
      <c r="B7467" s="2" t="s">
        <v>31624</v>
      </c>
      <c r="C7467" s="2" t="s">
        <v>31625</v>
      </c>
      <c r="D7467" s="2" t="str">
        <f>"850-386-5196"</f>
        <v>850-386-5196</v>
      </c>
      <c r="E7467" s="2" t="s">
        <v>24231</v>
      </c>
      <c r="F7467" s="2" t="s">
        <v>31626</v>
      </c>
      <c r="G7467" s="2" t="str">
        <f>"SR-10191"</f>
        <v>SR-10191</v>
      </c>
      <c r="H7467" s="2" t="s">
        <v>31627</v>
      </c>
      <c r="I7467" s="2" t="s">
        <v>31628</v>
      </c>
      <c r="K7467" s="2" t="s">
        <v>31629</v>
      </c>
      <c r="L7467" s="2" t="s">
        <v>208</v>
      </c>
      <c r="M7467" s="2">
        <v>32303.0</v>
      </c>
      <c r="N7467" s="2" t="s">
        <v>21</v>
      </c>
    </row>
    <row r="7468" ht="15.75" customHeight="1">
      <c r="A7468" s="2">
        <v>2017.0</v>
      </c>
      <c r="B7468" s="2" t="s">
        <v>31630</v>
      </c>
      <c r="C7468" s="2" t="s">
        <v>31630</v>
      </c>
      <c r="D7468" s="2" t="str">
        <f>"4235983750"</f>
        <v>4235983750</v>
      </c>
      <c r="E7468" s="2" t="s">
        <v>485</v>
      </c>
      <c r="F7468" s="2" t="s">
        <v>31631</v>
      </c>
      <c r="G7468" s="2" t="str">
        <f>"SR-10263"</f>
        <v>SR-10263</v>
      </c>
      <c r="H7468" s="2" t="s">
        <v>31632</v>
      </c>
      <c r="I7468" s="2" t="s">
        <v>31633</v>
      </c>
      <c r="K7468" s="2" t="s">
        <v>4569</v>
      </c>
      <c r="L7468" s="2" t="s">
        <v>200</v>
      </c>
      <c r="M7468" s="2">
        <v>30736.0</v>
      </c>
      <c r="N7468" s="2" t="s">
        <v>21</v>
      </c>
    </row>
    <row r="7469" ht="15.75" customHeight="1">
      <c r="A7469" s="2">
        <v>2017.0</v>
      </c>
      <c r="B7469" s="2" t="s">
        <v>31634</v>
      </c>
      <c r="C7469" s="2" t="s">
        <v>31635</v>
      </c>
      <c r="D7469" s="2" t="str">
        <f>"602-525-2358"</f>
        <v>602-525-2358</v>
      </c>
      <c r="E7469" s="2" t="s">
        <v>181</v>
      </c>
      <c r="F7469" s="2" t="s">
        <v>11195</v>
      </c>
      <c r="G7469" s="2" t="str">
        <f>"SR-10219"</f>
        <v>SR-10219</v>
      </c>
      <c r="H7469" s="2" t="s">
        <v>31636</v>
      </c>
      <c r="I7469" s="2" t="s">
        <v>31637</v>
      </c>
      <c r="K7469" s="2" t="s">
        <v>5531</v>
      </c>
      <c r="L7469" s="2" t="s">
        <v>422</v>
      </c>
      <c r="M7469" s="2">
        <v>85209.0</v>
      </c>
      <c r="N7469" s="2" t="s">
        <v>21</v>
      </c>
    </row>
    <row r="7470" ht="15.75" customHeight="1">
      <c r="A7470" s="2">
        <v>2017.0</v>
      </c>
      <c r="B7470" s="2" t="s">
        <v>31638</v>
      </c>
      <c r="C7470" s="2" t="s">
        <v>31639</v>
      </c>
      <c r="D7470" s="2" t="str">
        <f t="shared" ref="D7470:D7471" si="127">"2103832022"</f>
        <v>2103832022</v>
      </c>
      <c r="E7470" s="2" t="s">
        <v>2162</v>
      </c>
      <c r="F7470" s="2" t="s">
        <v>23273</v>
      </c>
      <c r="G7470" s="2" t="str">
        <f>"SR-10250"</f>
        <v>SR-10250</v>
      </c>
      <c r="H7470" s="2" t="s">
        <v>31640</v>
      </c>
      <c r="I7470" s="2" t="s">
        <v>31641</v>
      </c>
      <c r="K7470" s="2" t="s">
        <v>1141</v>
      </c>
      <c r="L7470" s="2" t="s">
        <v>172</v>
      </c>
      <c r="M7470" s="2">
        <v>78749.0</v>
      </c>
      <c r="N7470" s="2" t="s">
        <v>21</v>
      </c>
    </row>
    <row r="7471" ht="15.75" customHeight="1">
      <c r="A7471" s="2">
        <v>2017.0</v>
      </c>
      <c r="B7471" s="2" t="s">
        <v>31638</v>
      </c>
      <c r="C7471" s="2" t="s">
        <v>31642</v>
      </c>
      <c r="D7471" s="2" t="str">
        <f t="shared" si="127"/>
        <v>2103832022</v>
      </c>
      <c r="E7471" s="2" t="s">
        <v>217</v>
      </c>
      <c r="F7471" s="2" t="s">
        <v>23273</v>
      </c>
      <c r="G7471" s="2" t="str">
        <f>"SR-10265"</f>
        <v>SR-10265</v>
      </c>
      <c r="H7471" s="2" t="s">
        <v>31643</v>
      </c>
      <c r="I7471" s="2" t="s">
        <v>31641</v>
      </c>
      <c r="K7471" s="2" t="s">
        <v>1141</v>
      </c>
      <c r="L7471" s="2" t="s">
        <v>172</v>
      </c>
      <c r="M7471" s="2">
        <v>78749.0</v>
      </c>
      <c r="N7471" s="2" t="s">
        <v>21</v>
      </c>
    </row>
    <row r="7472" ht="15.75" customHeight="1">
      <c r="A7472" s="2">
        <v>2017.0</v>
      </c>
      <c r="B7472" s="2" t="s">
        <v>31644</v>
      </c>
      <c r="C7472" s="2" t="s">
        <v>31645</v>
      </c>
      <c r="D7472" s="2" t="str">
        <f>"(520) 612-9304"</f>
        <v>(520) 612-9304</v>
      </c>
      <c r="E7472" s="2" t="s">
        <v>1039</v>
      </c>
      <c r="F7472" s="2" t="s">
        <v>31646</v>
      </c>
      <c r="G7472" s="2" t="str">
        <f>"SR-10267"</f>
        <v>SR-10267</v>
      </c>
      <c r="H7472" s="2" t="s">
        <v>31647</v>
      </c>
      <c r="I7472" s="2" t="s">
        <v>31648</v>
      </c>
      <c r="K7472" s="2" t="s">
        <v>31649</v>
      </c>
      <c r="L7472" s="2" t="s">
        <v>422</v>
      </c>
      <c r="M7472" s="2">
        <v>85629.0</v>
      </c>
      <c r="N7472" s="2" t="s">
        <v>21</v>
      </c>
    </row>
    <row r="7473" ht="15.75" customHeight="1">
      <c r="A7473" s="2">
        <v>2017.0</v>
      </c>
      <c r="B7473" s="2" t="s">
        <v>31644</v>
      </c>
      <c r="C7473" s="2" t="s">
        <v>31650</v>
      </c>
      <c r="D7473" s="2" t="str">
        <f>"(520) 612 9324"</f>
        <v>(520) 612 9324</v>
      </c>
      <c r="E7473" s="2" t="s">
        <v>4071</v>
      </c>
      <c r="F7473" s="2" t="s">
        <v>31646</v>
      </c>
      <c r="G7473" s="2" t="str">
        <f>"SR-10268"</f>
        <v>SR-10268</v>
      </c>
      <c r="H7473" s="2" t="s">
        <v>31651</v>
      </c>
      <c r="I7473" s="2" t="s">
        <v>31648</v>
      </c>
      <c r="K7473" s="2" t="s">
        <v>31649</v>
      </c>
      <c r="L7473" s="2" t="s">
        <v>422</v>
      </c>
      <c r="M7473" s="2">
        <v>85629.0</v>
      </c>
      <c r="N7473" s="2" t="s">
        <v>21</v>
      </c>
    </row>
    <row r="7474" ht="15.75" customHeight="1">
      <c r="A7474" s="2">
        <v>2017.0</v>
      </c>
      <c r="B7474" s="2" t="s">
        <v>22152</v>
      </c>
      <c r="C7474" s="2" t="s">
        <v>31652</v>
      </c>
      <c r="D7474" s="2" t="str">
        <f>"248-703-5246"</f>
        <v>248-703-5246</v>
      </c>
      <c r="E7474" s="2" t="s">
        <v>132</v>
      </c>
      <c r="F7474" s="2" t="s">
        <v>22153</v>
      </c>
      <c r="G7474" s="2" t="str">
        <f>"SR-10270"</f>
        <v>SR-10270</v>
      </c>
      <c r="H7474" s="2" t="s">
        <v>31653</v>
      </c>
      <c r="I7474" s="2" t="s">
        <v>31654</v>
      </c>
      <c r="K7474" s="2" t="s">
        <v>31655</v>
      </c>
      <c r="L7474" s="2" t="s">
        <v>29</v>
      </c>
      <c r="M7474" s="2">
        <v>48348.0</v>
      </c>
      <c r="N7474" s="2" t="s">
        <v>21</v>
      </c>
    </row>
    <row r="7475" ht="15.75" customHeight="1">
      <c r="A7475" s="2">
        <v>2017.0</v>
      </c>
      <c r="B7475" s="2" t="s">
        <v>16757</v>
      </c>
      <c r="C7475" s="2" t="s">
        <v>31656</v>
      </c>
      <c r="D7475" s="2" t="str">
        <f>"281-357-5016"</f>
        <v>281-357-5016</v>
      </c>
      <c r="E7475" s="2" t="s">
        <v>7758</v>
      </c>
      <c r="F7475" s="2" t="s">
        <v>6494</v>
      </c>
      <c r="G7475" s="2" t="str">
        <f>"SR-10272"</f>
        <v>SR-10272</v>
      </c>
      <c r="H7475" s="2" t="s">
        <v>31657</v>
      </c>
      <c r="I7475" s="2" t="s">
        <v>16760</v>
      </c>
      <c r="K7475" s="2" t="s">
        <v>4350</v>
      </c>
      <c r="L7475" s="2" t="s">
        <v>172</v>
      </c>
      <c r="M7475" s="2">
        <v>77377.0</v>
      </c>
      <c r="N7475" s="2" t="s">
        <v>21</v>
      </c>
    </row>
    <row r="7476" ht="15.75" customHeight="1">
      <c r="A7476" s="2">
        <v>2017.0</v>
      </c>
      <c r="B7476" s="2" t="s">
        <v>31658</v>
      </c>
      <c r="C7476" s="2" t="s">
        <v>31658</v>
      </c>
      <c r="D7476" s="2" t="str">
        <f>"620327999"</f>
        <v>620327999</v>
      </c>
      <c r="E7476" s="2" t="s">
        <v>31659</v>
      </c>
      <c r="F7476" s="2" t="s">
        <v>10090</v>
      </c>
      <c r="G7476" s="2" t="str">
        <f>"SR-10194"</f>
        <v>SR-10194</v>
      </c>
      <c r="H7476" s="2" t="s">
        <v>31660</v>
      </c>
      <c r="I7476" s="2" t="s">
        <v>31661</v>
      </c>
      <c r="K7476" s="2" t="s">
        <v>10093</v>
      </c>
      <c r="L7476" s="2" t="s">
        <v>272</v>
      </c>
      <c r="M7476" s="2">
        <v>67062.0</v>
      </c>
      <c r="N7476" s="2" t="s">
        <v>21</v>
      </c>
    </row>
    <row r="7477" ht="15.75" customHeight="1">
      <c r="A7477" s="2">
        <v>2017.0</v>
      </c>
      <c r="B7477" s="2" t="s">
        <v>31662</v>
      </c>
      <c r="C7477" s="2" t="s">
        <v>31663</v>
      </c>
      <c r="D7477" s="2" t="str">
        <f>"269-344-5636"</f>
        <v>269-344-5636</v>
      </c>
      <c r="E7477" s="2" t="s">
        <v>915</v>
      </c>
      <c r="F7477" s="2" t="s">
        <v>1859</v>
      </c>
      <c r="G7477" s="2" t="str">
        <f>"SR-10266"</f>
        <v>SR-10266</v>
      </c>
      <c r="H7477" s="2" t="s">
        <v>31664</v>
      </c>
      <c r="I7477" s="2" t="s">
        <v>31665</v>
      </c>
      <c r="K7477" s="2" t="s">
        <v>18709</v>
      </c>
      <c r="L7477" s="2" t="s">
        <v>29</v>
      </c>
      <c r="M7477" s="2">
        <v>49009.0</v>
      </c>
      <c r="N7477" s="2" t="s">
        <v>21</v>
      </c>
    </row>
    <row r="7478" ht="15.75" customHeight="1">
      <c r="A7478" s="2">
        <v>2017.0</v>
      </c>
      <c r="B7478" s="2" t="s">
        <v>31666</v>
      </c>
      <c r="C7478" s="2" t="s">
        <v>31667</v>
      </c>
      <c r="D7478" s="2" t="str">
        <f>"602-525-2358"</f>
        <v>602-525-2358</v>
      </c>
      <c r="E7478" s="2" t="s">
        <v>1440</v>
      </c>
      <c r="F7478" s="2" t="s">
        <v>11195</v>
      </c>
      <c r="G7478" s="2" t="str">
        <f>"SR-10264"</f>
        <v>SR-10264</v>
      </c>
      <c r="H7478" s="2" t="s">
        <v>31668</v>
      </c>
      <c r="I7478" s="2" t="s">
        <v>31669</v>
      </c>
      <c r="K7478" s="2" t="s">
        <v>5531</v>
      </c>
      <c r="L7478" s="2" t="s">
        <v>422</v>
      </c>
      <c r="M7478" s="2">
        <v>85209.0</v>
      </c>
      <c r="N7478" s="2" t="s">
        <v>21</v>
      </c>
    </row>
    <row r="7479" ht="15.75" customHeight="1">
      <c r="A7479" s="2">
        <v>2017.0</v>
      </c>
      <c r="B7479" s="2" t="s">
        <v>31670</v>
      </c>
      <c r="C7479" s="2" t="s">
        <v>31670</v>
      </c>
      <c r="D7479" s="2" t="str">
        <f>"3605442110"</f>
        <v>3605442110</v>
      </c>
      <c r="E7479" s="2" t="s">
        <v>705</v>
      </c>
      <c r="F7479" s="2" t="s">
        <v>94</v>
      </c>
      <c r="G7479" s="2" t="str">
        <f>"SR-10238"</f>
        <v>SR-10238</v>
      </c>
      <c r="H7479" s="2" t="s">
        <v>16831</v>
      </c>
      <c r="I7479" s="2" t="s">
        <v>31671</v>
      </c>
      <c r="K7479" s="2" t="s">
        <v>1398</v>
      </c>
      <c r="L7479" s="2" t="s">
        <v>157</v>
      </c>
      <c r="M7479" s="2">
        <v>80104.0</v>
      </c>
      <c r="N7479" s="2" t="s">
        <v>21</v>
      </c>
    </row>
    <row r="7480" ht="15.75" customHeight="1">
      <c r="A7480" s="2">
        <v>2017.0</v>
      </c>
      <c r="B7480" s="2" t="s">
        <v>31672</v>
      </c>
      <c r="C7480" s="2" t="s">
        <v>31672</v>
      </c>
      <c r="D7480" s="2" t="str">
        <f>"208-740-0343"</f>
        <v>208-740-0343</v>
      </c>
      <c r="E7480" s="2" t="s">
        <v>7584</v>
      </c>
      <c r="F7480" s="2" t="s">
        <v>31673</v>
      </c>
      <c r="G7480" s="2" t="str">
        <f>"SR-9043"</f>
        <v>SR-9043</v>
      </c>
      <c r="H7480" s="2" t="s">
        <v>31674</v>
      </c>
      <c r="I7480" s="2" t="s">
        <v>31675</v>
      </c>
      <c r="K7480" s="2" t="s">
        <v>31676</v>
      </c>
      <c r="L7480" s="2" t="s">
        <v>2613</v>
      </c>
      <c r="M7480" s="2">
        <v>83641.0</v>
      </c>
      <c r="N7480" s="2" t="s">
        <v>21</v>
      </c>
    </row>
    <row r="7481" ht="15.75" customHeight="1">
      <c r="A7481" s="2">
        <v>2017.0</v>
      </c>
      <c r="B7481" s="2" t="s">
        <v>31677</v>
      </c>
      <c r="C7481" s="2" t="s">
        <v>31677</v>
      </c>
      <c r="D7481" s="2" t="str">
        <f>"719-433-5070"</f>
        <v>719-433-5070</v>
      </c>
      <c r="E7481" s="2" t="s">
        <v>31678</v>
      </c>
      <c r="F7481" s="2" t="s">
        <v>9835</v>
      </c>
      <c r="G7481" s="2" t="str">
        <f>"SR-10269"</f>
        <v>SR-10269</v>
      </c>
      <c r="H7481" s="2" t="s">
        <v>31679</v>
      </c>
      <c r="I7481" s="2" t="s">
        <v>31680</v>
      </c>
      <c r="K7481" s="2" t="s">
        <v>809</v>
      </c>
      <c r="L7481" s="2" t="s">
        <v>157</v>
      </c>
      <c r="M7481" s="2">
        <v>80921.0</v>
      </c>
      <c r="N7481" s="2" t="s">
        <v>21</v>
      </c>
    </row>
    <row r="7482" ht="15.75" customHeight="1">
      <c r="A7482" s="2">
        <v>2017.0</v>
      </c>
      <c r="B7482" s="2" t="s">
        <v>28290</v>
      </c>
      <c r="C7482" s="2" t="s">
        <v>28295</v>
      </c>
      <c r="D7482" s="2" t="str">
        <f>"4083178452"</f>
        <v>4083178452</v>
      </c>
      <c r="E7482" s="2" t="s">
        <v>4275</v>
      </c>
      <c r="F7482" s="2" t="s">
        <v>5281</v>
      </c>
      <c r="G7482" s="2" t="str">
        <f>"SR-8595"</f>
        <v>SR-8595</v>
      </c>
      <c r="H7482" s="2" t="s">
        <v>28296</v>
      </c>
      <c r="I7482" s="2" t="s">
        <v>28297</v>
      </c>
      <c r="K7482" s="2" t="s">
        <v>7555</v>
      </c>
      <c r="L7482" s="2" t="s">
        <v>222</v>
      </c>
      <c r="M7482" s="2">
        <v>94089.0</v>
      </c>
      <c r="N7482" s="2" t="s">
        <v>21</v>
      </c>
    </row>
    <row r="7483" ht="15.75" customHeight="1">
      <c r="A7483" s="2">
        <v>2017.0</v>
      </c>
      <c r="B7483" s="2" t="s">
        <v>31681</v>
      </c>
      <c r="C7483" s="2" t="s">
        <v>31682</v>
      </c>
      <c r="D7483" s="2" t="str">
        <f>"7035364546"</f>
        <v>7035364546</v>
      </c>
      <c r="E7483" s="2" t="s">
        <v>1094</v>
      </c>
      <c r="F7483" s="2" t="s">
        <v>2101</v>
      </c>
      <c r="G7483" s="2" t="str">
        <f>"SR-10126"</f>
        <v>SR-10126</v>
      </c>
      <c r="H7483" s="2" t="s">
        <v>31683</v>
      </c>
      <c r="I7483" s="2" t="s">
        <v>31684</v>
      </c>
      <c r="K7483" s="2" t="s">
        <v>3656</v>
      </c>
      <c r="L7483" s="2" t="s">
        <v>165</v>
      </c>
      <c r="M7483" s="2">
        <v>22101.0</v>
      </c>
      <c r="N7483" s="2" t="s">
        <v>21</v>
      </c>
    </row>
    <row r="7484" ht="15.75" customHeight="1">
      <c r="A7484" s="2">
        <v>2017.0</v>
      </c>
      <c r="B7484" s="2" t="s">
        <v>31685</v>
      </c>
      <c r="C7484" s="2" t="s">
        <v>31686</v>
      </c>
      <c r="D7484" s="2" t="str">
        <f>"9363363297"</f>
        <v>9363363297</v>
      </c>
      <c r="E7484" s="2" t="s">
        <v>2259</v>
      </c>
      <c r="F7484" s="2" t="s">
        <v>831</v>
      </c>
      <c r="G7484" s="2" t="str">
        <f>"SR-10240"</f>
        <v>SR-10240</v>
      </c>
      <c r="H7484" s="2" t="s">
        <v>31687</v>
      </c>
      <c r="I7484" s="2" t="s">
        <v>31688</v>
      </c>
      <c r="K7484" s="2" t="s">
        <v>31689</v>
      </c>
      <c r="L7484" s="2" t="s">
        <v>344</v>
      </c>
      <c r="M7484" s="2">
        <v>45347.0</v>
      </c>
      <c r="N7484" s="2" t="s">
        <v>21</v>
      </c>
    </row>
    <row r="7485" ht="15.75" customHeight="1">
      <c r="A7485" s="2">
        <v>2017.0</v>
      </c>
      <c r="B7485" s="2" t="s">
        <v>24864</v>
      </c>
      <c r="C7485" s="2" t="s">
        <v>24865</v>
      </c>
      <c r="D7485" s="2" t="str">
        <f>"4409990244"</f>
        <v>4409990244</v>
      </c>
      <c r="E7485" s="2" t="s">
        <v>824</v>
      </c>
      <c r="F7485" s="2" t="s">
        <v>17743</v>
      </c>
      <c r="G7485" s="2" t="str">
        <f>"SR-7821"</f>
        <v>SR-7821</v>
      </c>
      <c r="H7485" s="2" t="s">
        <v>24866</v>
      </c>
      <c r="I7485" s="2" t="s">
        <v>17745</v>
      </c>
      <c r="K7485" s="2" t="s">
        <v>17746</v>
      </c>
      <c r="L7485" s="2" t="s">
        <v>344</v>
      </c>
      <c r="M7485" s="2">
        <v>44065.0</v>
      </c>
      <c r="N7485" s="2" t="s">
        <v>21</v>
      </c>
    </row>
    <row r="7486" ht="15.75" customHeight="1">
      <c r="A7486" s="2">
        <v>2017.0</v>
      </c>
      <c r="B7486" s="2" t="s">
        <v>31690</v>
      </c>
      <c r="C7486" s="2" t="s">
        <v>31691</v>
      </c>
      <c r="D7486" s="2" t="str">
        <f>"612-940-0809"</f>
        <v>612-940-0809</v>
      </c>
      <c r="E7486" s="2" t="s">
        <v>373</v>
      </c>
      <c r="F7486" s="2" t="s">
        <v>3028</v>
      </c>
      <c r="G7486" s="2" t="str">
        <f>"SR-10229"</f>
        <v>SR-10229</v>
      </c>
      <c r="H7486" s="2" t="s">
        <v>31692</v>
      </c>
      <c r="I7486" s="2" t="s">
        <v>9370</v>
      </c>
      <c r="K7486" s="2" t="s">
        <v>3109</v>
      </c>
      <c r="L7486" s="2" t="s">
        <v>62</v>
      </c>
      <c r="M7486" s="2">
        <v>55439.0</v>
      </c>
      <c r="N7486" s="2" t="s">
        <v>21</v>
      </c>
    </row>
    <row r="7487" ht="15.75" customHeight="1">
      <c r="A7487" s="2">
        <v>2017.0</v>
      </c>
      <c r="B7487" s="2" t="s">
        <v>31693</v>
      </c>
      <c r="C7487" s="2" t="s">
        <v>31693</v>
      </c>
      <c r="D7487" s="2" t="str">
        <f>"6153362286"</f>
        <v>6153362286</v>
      </c>
      <c r="E7487" s="2" t="s">
        <v>1483</v>
      </c>
      <c r="F7487" s="2" t="s">
        <v>31694</v>
      </c>
      <c r="G7487" s="2" t="str">
        <f>"SR-10271"</f>
        <v>SR-10271</v>
      </c>
      <c r="H7487" s="2" t="s">
        <v>31695</v>
      </c>
      <c r="I7487" s="2" t="s">
        <v>31696</v>
      </c>
      <c r="K7487" s="2" t="s">
        <v>9868</v>
      </c>
      <c r="L7487" s="2" t="s">
        <v>279</v>
      </c>
      <c r="M7487" s="2">
        <v>37027.0</v>
      </c>
      <c r="N7487" s="2" t="s">
        <v>21</v>
      </c>
    </row>
    <row r="7488" ht="15.75" customHeight="1">
      <c r="A7488" s="2">
        <v>2017.0</v>
      </c>
      <c r="B7488" s="2" t="s">
        <v>31309</v>
      </c>
      <c r="C7488" s="2" t="s">
        <v>31697</v>
      </c>
      <c r="D7488" s="2" t="str">
        <f>"832-477-0124"</f>
        <v>832-477-0124</v>
      </c>
      <c r="E7488" s="2" t="s">
        <v>167</v>
      </c>
      <c r="F7488" s="2" t="s">
        <v>31311</v>
      </c>
      <c r="G7488" s="2" t="str">
        <f>"SR-10132"</f>
        <v>SR-10132</v>
      </c>
      <c r="H7488" s="2" t="s">
        <v>31698</v>
      </c>
      <c r="I7488" s="2" t="s">
        <v>31313</v>
      </c>
      <c r="K7488" s="2" t="s">
        <v>4350</v>
      </c>
      <c r="L7488" s="2" t="s">
        <v>172</v>
      </c>
      <c r="M7488" s="2">
        <v>77377.0</v>
      </c>
      <c r="N7488" s="2" t="s">
        <v>21</v>
      </c>
    </row>
    <row r="7489" ht="15.75" customHeight="1">
      <c r="A7489" s="2">
        <v>2017.0</v>
      </c>
      <c r="B7489" s="2" t="s">
        <v>31699</v>
      </c>
      <c r="C7489" s="2" t="s">
        <v>31700</v>
      </c>
      <c r="D7489" s="2" t="str">
        <f>"8048971041"</f>
        <v>8048971041</v>
      </c>
      <c r="E7489" s="2" t="s">
        <v>57</v>
      </c>
      <c r="F7489" s="2" t="s">
        <v>31701</v>
      </c>
      <c r="G7489" s="2" t="str">
        <f>"SR-10232"</f>
        <v>SR-10232</v>
      </c>
      <c r="H7489" s="2" t="s">
        <v>31702</v>
      </c>
      <c r="I7489" s="2" t="s">
        <v>31703</v>
      </c>
      <c r="K7489" s="2" t="s">
        <v>4216</v>
      </c>
      <c r="L7489" s="2" t="s">
        <v>165</v>
      </c>
      <c r="M7489" s="2">
        <v>23229.0</v>
      </c>
      <c r="N7489" s="2" t="s">
        <v>21</v>
      </c>
    </row>
    <row r="7490" ht="15.75" customHeight="1">
      <c r="A7490" s="2">
        <v>2017.0</v>
      </c>
      <c r="B7490" s="2" t="s">
        <v>31699</v>
      </c>
      <c r="C7490" s="2" t="s">
        <v>31704</v>
      </c>
      <c r="D7490" s="2" t="str">
        <f>"8043969484"</f>
        <v>8043969484</v>
      </c>
      <c r="E7490" s="2" t="s">
        <v>6773</v>
      </c>
      <c r="F7490" s="2" t="s">
        <v>31701</v>
      </c>
      <c r="G7490" s="2" t="str">
        <f>"SR-10233"</f>
        <v>SR-10233</v>
      </c>
      <c r="H7490" s="2" t="s">
        <v>31705</v>
      </c>
      <c r="I7490" s="2" t="s">
        <v>31703</v>
      </c>
      <c r="K7490" s="2" t="s">
        <v>4216</v>
      </c>
      <c r="L7490" s="2" t="s">
        <v>165</v>
      </c>
      <c r="M7490" s="2">
        <v>23229.0</v>
      </c>
      <c r="N7490" s="2" t="s">
        <v>21</v>
      </c>
    </row>
    <row r="7491" ht="15.75" customHeight="1">
      <c r="A7491" s="2">
        <v>2017.0</v>
      </c>
      <c r="B7491" s="2" t="s">
        <v>31706</v>
      </c>
      <c r="C7491" s="2" t="s">
        <v>31706</v>
      </c>
      <c r="D7491" s="2" t="str">
        <f>"7879186477"</f>
        <v>7879186477</v>
      </c>
      <c r="E7491" s="2" t="s">
        <v>4990</v>
      </c>
      <c r="F7491" s="2" t="s">
        <v>21049</v>
      </c>
      <c r="G7491" s="2" t="str">
        <f>"SR-9613"</f>
        <v>SR-9613</v>
      </c>
      <c r="H7491" s="2" t="s">
        <v>31707</v>
      </c>
      <c r="I7491" s="2" t="s">
        <v>31708</v>
      </c>
      <c r="K7491" s="2" t="s">
        <v>31709</v>
      </c>
      <c r="L7491" s="2" t="s">
        <v>31541</v>
      </c>
      <c r="M7491" s="2">
        <v>936.0</v>
      </c>
      <c r="N7491" s="2" t="s">
        <v>31541</v>
      </c>
    </row>
    <row r="7492" ht="15.75" customHeight="1">
      <c r="A7492" s="2">
        <v>2017.0</v>
      </c>
      <c r="B7492" s="2" t="s">
        <v>26291</v>
      </c>
      <c r="C7492" s="2" t="s">
        <v>26292</v>
      </c>
      <c r="D7492" s="2" t="str">
        <f>"2542268212"</f>
        <v>2542268212</v>
      </c>
      <c r="E7492" s="2" t="s">
        <v>7042</v>
      </c>
      <c r="F7492" s="2" t="s">
        <v>26293</v>
      </c>
      <c r="G7492" s="2" t="str">
        <f>"SR-8311"</f>
        <v>SR-8311</v>
      </c>
      <c r="H7492" s="2" t="s">
        <v>26294</v>
      </c>
      <c r="I7492" s="2" t="s">
        <v>26295</v>
      </c>
      <c r="K7492" s="2" t="s">
        <v>2985</v>
      </c>
      <c r="L7492" s="2" t="s">
        <v>172</v>
      </c>
      <c r="M7492" s="2">
        <v>76534.0</v>
      </c>
      <c r="N7492" s="2" t="s">
        <v>21</v>
      </c>
    </row>
    <row r="7493" ht="15.75" customHeight="1">
      <c r="A7493" s="2">
        <v>2017.0</v>
      </c>
      <c r="B7493" s="2" t="s">
        <v>31710</v>
      </c>
      <c r="C7493" s="2" t="s">
        <v>31710</v>
      </c>
      <c r="D7493" s="2" t="str">
        <f>"573-701-5134"</f>
        <v>573-701-5134</v>
      </c>
      <c r="E7493" s="2" t="s">
        <v>718</v>
      </c>
      <c r="F7493" s="2" t="s">
        <v>16736</v>
      </c>
      <c r="G7493" s="2" t="str">
        <f>"SR-10230"</f>
        <v>SR-10230</v>
      </c>
      <c r="H7493" s="2" t="s">
        <v>31711</v>
      </c>
      <c r="I7493" s="2" t="s">
        <v>31712</v>
      </c>
      <c r="K7493" s="2" t="s">
        <v>31713</v>
      </c>
      <c r="L7493" s="2" t="s">
        <v>214</v>
      </c>
      <c r="M7493" s="2">
        <v>63601.0</v>
      </c>
      <c r="N7493" s="2" t="s">
        <v>21</v>
      </c>
    </row>
    <row r="7494" ht="15.75" customHeight="1">
      <c r="A7494" s="2">
        <v>2017.0</v>
      </c>
      <c r="B7494" s="2" t="s">
        <v>31714</v>
      </c>
      <c r="C7494" s="2" t="s">
        <v>31714</v>
      </c>
      <c r="D7494" s="2" t="str">
        <f>"090-6656-8668"</f>
        <v>090-6656-8668</v>
      </c>
      <c r="E7494" s="2" t="s">
        <v>2031</v>
      </c>
      <c r="F7494" s="2" t="s">
        <v>31715</v>
      </c>
      <c r="G7494" s="2" t="str">
        <f>"SR-10127"</f>
        <v>SR-10127</v>
      </c>
      <c r="H7494" s="2" t="s">
        <v>31716</v>
      </c>
      <c r="I7494" s="2" t="s">
        <v>31717</v>
      </c>
      <c r="K7494" s="2" t="s">
        <v>31718</v>
      </c>
      <c r="M7494" s="2" t="s">
        <v>31719</v>
      </c>
      <c r="N7494" s="2" t="s">
        <v>14622</v>
      </c>
    </row>
    <row r="7495" ht="15.75" customHeight="1">
      <c r="A7495" s="2">
        <v>2017.0</v>
      </c>
      <c r="B7495" s="2" t="s">
        <v>31720</v>
      </c>
      <c r="C7495" s="2" t="s">
        <v>31721</v>
      </c>
      <c r="D7495" s="2" t="str">
        <f>"9784080512"</f>
        <v>9784080512</v>
      </c>
      <c r="E7495" s="2" t="s">
        <v>261</v>
      </c>
      <c r="F7495" s="2" t="s">
        <v>31722</v>
      </c>
      <c r="G7495" s="2" t="str">
        <f>"SR-10284"</f>
        <v>SR-10284</v>
      </c>
      <c r="H7495" s="2" t="s">
        <v>31723</v>
      </c>
      <c r="I7495" s="2" t="s">
        <v>31724</v>
      </c>
      <c r="K7495" s="2" t="s">
        <v>31725</v>
      </c>
      <c r="L7495" s="2" t="s">
        <v>4108</v>
      </c>
      <c r="M7495" s="2">
        <v>1824.0</v>
      </c>
      <c r="N7495" s="2" t="s">
        <v>21</v>
      </c>
    </row>
    <row r="7496" ht="15.75" customHeight="1">
      <c r="A7496" s="2">
        <v>2017.0</v>
      </c>
      <c r="B7496" s="2" t="s">
        <v>31726</v>
      </c>
      <c r="C7496" s="2" t="s">
        <v>31727</v>
      </c>
      <c r="D7496" s="2" t="str">
        <f>"503-305-0537"</f>
        <v>503-305-0537</v>
      </c>
      <c r="E7496" s="2" t="s">
        <v>3977</v>
      </c>
      <c r="F7496" s="2" t="s">
        <v>4657</v>
      </c>
      <c r="G7496" s="2" t="str">
        <f>"SR-9989"</f>
        <v>SR-9989</v>
      </c>
      <c r="H7496" s="2" t="s">
        <v>31728</v>
      </c>
      <c r="I7496" s="2" t="s">
        <v>31729</v>
      </c>
      <c r="J7496" s="2" t="s">
        <v>31730</v>
      </c>
      <c r="K7496" s="2" t="s">
        <v>13748</v>
      </c>
      <c r="L7496" s="2" t="s">
        <v>2389</v>
      </c>
      <c r="M7496" s="2">
        <v>97034.0</v>
      </c>
      <c r="N7496" s="2" t="s">
        <v>21</v>
      </c>
    </row>
    <row r="7497" ht="15.75" customHeight="1">
      <c r="A7497" s="2">
        <v>2017.0</v>
      </c>
      <c r="B7497" s="2" t="s">
        <v>31726</v>
      </c>
      <c r="C7497" s="2" t="s">
        <v>31731</v>
      </c>
      <c r="D7497" s="2" t="str">
        <f>"425-466-8383"</f>
        <v>425-466-8383</v>
      </c>
      <c r="E7497" s="2" t="s">
        <v>31732</v>
      </c>
      <c r="F7497" s="2" t="s">
        <v>13725</v>
      </c>
      <c r="G7497" s="2" t="str">
        <f>"SR-9990"</f>
        <v>SR-9990</v>
      </c>
      <c r="H7497" s="2" t="s">
        <v>31733</v>
      </c>
      <c r="I7497" s="2" t="s">
        <v>31734</v>
      </c>
      <c r="K7497" s="2" t="s">
        <v>31735</v>
      </c>
      <c r="L7497" s="2" t="s">
        <v>86</v>
      </c>
      <c r="M7497" s="2">
        <v>98198.0</v>
      </c>
      <c r="N7497" s="2" t="s">
        <v>21</v>
      </c>
    </row>
    <row r="7498" ht="15.75" customHeight="1">
      <c r="A7498" s="2">
        <v>2017.0</v>
      </c>
      <c r="B7498" s="2" t="s">
        <v>31736</v>
      </c>
      <c r="C7498" s="2" t="s">
        <v>31736</v>
      </c>
      <c r="D7498" s="2" t="str">
        <f>"6202219155"</f>
        <v>6202219155</v>
      </c>
      <c r="E7498" s="2" t="s">
        <v>2891</v>
      </c>
      <c r="F7498" s="2" t="s">
        <v>645</v>
      </c>
      <c r="G7498" s="2" t="str">
        <f>"SR-7405"</f>
        <v>SR-7405</v>
      </c>
      <c r="H7498" s="2" t="s">
        <v>31737</v>
      </c>
      <c r="I7498" s="2" t="s">
        <v>31738</v>
      </c>
      <c r="K7498" s="2" t="s">
        <v>3530</v>
      </c>
      <c r="L7498" s="2" t="s">
        <v>272</v>
      </c>
      <c r="M7498" s="2">
        <v>67156.0</v>
      </c>
      <c r="N7498" s="2" t="s">
        <v>21</v>
      </c>
    </row>
    <row r="7499" ht="15.75" customHeight="1">
      <c r="A7499" s="2">
        <v>2017.0</v>
      </c>
      <c r="B7499" s="2" t="s">
        <v>15191</v>
      </c>
      <c r="C7499" s="2" t="s">
        <v>15191</v>
      </c>
      <c r="D7499" s="2" t="str">
        <f>"2082671990"</f>
        <v>2082671990</v>
      </c>
      <c r="E7499" s="2" t="s">
        <v>3305</v>
      </c>
      <c r="F7499" s="2" t="s">
        <v>15193</v>
      </c>
      <c r="G7499" s="2" t="str">
        <f>"SR-10297"</f>
        <v>SR-10297</v>
      </c>
      <c r="H7499" s="2" t="s">
        <v>31739</v>
      </c>
      <c r="I7499" s="2" t="s">
        <v>31740</v>
      </c>
      <c r="K7499" s="2" t="s">
        <v>31741</v>
      </c>
      <c r="L7499" s="2" t="s">
        <v>2613</v>
      </c>
      <c r="M7499" s="2">
        <v>83805.0</v>
      </c>
      <c r="N7499" s="2" t="s">
        <v>21</v>
      </c>
    </row>
    <row r="7500" ht="15.75" customHeight="1">
      <c r="A7500" s="2">
        <v>2017.0</v>
      </c>
      <c r="B7500" s="2" t="s">
        <v>31742</v>
      </c>
      <c r="C7500" s="2" t="s">
        <v>31743</v>
      </c>
      <c r="D7500" s="2" t="str">
        <f>"512-694-3450"</f>
        <v>512-694-3450</v>
      </c>
      <c r="E7500" s="2" t="s">
        <v>580</v>
      </c>
      <c r="F7500" s="2" t="s">
        <v>12891</v>
      </c>
      <c r="G7500" s="2" t="str">
        <f>"SR-10300"</f>
        <v>SR-10300</v>
      </c>
      <c r="H7500" s="2" t="s">
        <v>31744</v>
      </c>
      <c r="I7500" s="2" t="s">
        <v>31745</v>
      </c>
      <c r="K7500" s="2" t="s">
        <v>1141</v>
      </c>
      <c r="L7500" s="2" t="s">
        <v>172</v>
      </c>
      <c r="M7500" s="2">
        <v>78735.0</v>
      </c>
      <c r="N7500" s="2" t="s">
        <v>21</v>
      </c>
    </row>
    <row r="7501" ht="15.75" customHeight="1">
      <c r="A7501" s="2">
        <v>2017.0</v>
      </c>
      <c r="B7501" s="2" t="s">
        <v>31746</v>
      </c>
      <c r="C7501" s="2" t="s">
        <v>31746</v>
      </c>
      <c r="D7501" s="2" t="str">
        <f>"931-201-3614"</f>
        <v>931-201-3614</v>
      </c>
      <c r="E7501" s="2" t="s">
        <v>1007</v>
      </c>
      <c r="F7501" s="2" t="s">
        <v>31747</v>
      </c>
      <c r="G7501" s="2" t="str">
        <f>"SR-10171"</f>
        <v>SR-10171</v>
      </c>
      <c r="H7501" s="2" t="s">
        <v>31748</v>
      </c>
      <c r="I7501" s="2" t="s">
        <v>31749</v>
      </c>
      <c r="K7501" s="2" t="s">
        <v>31750</v>
      </c>
      <c r="L7501" s="2" t="s">
        <v>279</v>
      </c>
      <c r="M7501" s="2">
        <v>38483.0</v>
      </c>
      <c r="N7501" s="2" t="s">
        <v>21</v>
      </c>
    </row>
    <row r="7502" ht="15.75" customHeight="1">
      <c r="A7502" s="2">
        <v>2017.0</v>
      </c>
      <c r="B7502" s="2" t="s">
        <v>27502</v>
      </c>
      <c r="C7502" s="2" t="s">
        <v>31751</v>
      </c>
      <c r="D7502" s="2" t="str">
        <f>"5133401480"</f>
        <v>5133401480</v>
      </c>
      <c r="E7502" s="2" t="s">
        <v>250</v>
      </c>
      <c r="F7502" s="2" t="s">
        <v>27504</v>
      </c>
      <c r="G7502" s="2" t="str">
        <f>"SR-9924"</f>
        <v>SR-9924</v>
      </c>
      <c r="H7502" s="2" t="s">
        <v>31752</v>
      </c>
      <c r="I7502" s="2" t="s">
        <v>31753</v>
      </c>
      <c r="K7502" s="2" t="s">
        <v>10119</v>
      </c>
      <c r="L7502" s="2" t="s">
        <v>344</v>
      </c>
      <c r="M7502" s="2">
        <v>45241.0</v>
      </c>
      <c r="N7502" s="2" t="s">
        <v>21</v>
      </c>
    </row>
    <row r="7503" ht="15.75" customHeight="1">
      <c r="A7503" s="2">
        <v>2017.0</v>
      </c>
      <c r="B7503" s="2" t="s">
        <v>31754</v>
      </c>
      <c r="C7503" s="2" t="s">
        <v>31755</v>
      </c>
      <c r="D7503" s="2" t="str">
        <f>"2142238841"</f>
        <v>2142238841</v>
      </c>
      <c r="E7503" s="2" t="s">
        <v>18964</v>
      </c>
      <c r="F7503" s="2" t="s">
        <v>23147</v>
      </c>
      <c r="G7503" s="2" t="str">
        <f>"SR-10302"</f>
        <v>SR-10302</v>
      </c>
      <c r="H7503" s="2" t="s">
        <v>31756</v>
      </c>
      <c r="I7503" s="2" t="s">
        <v>31757</v>
      </c>
      <c r="K7503" s="2" t="s">
        <v>171</v>
      </c>
      <c r="L7503" s="2" t="s">
        <v>172</v>
      </c>
      <c r="M7503" s="2">
        <v>75007.0</v>
      </c>
      <c r="N7503" s="2" t="s">
        <v>21</v>
      </c>
    </row>
    <row r="7504" ht="15.75" customHeight="1">
      <c r="A7504" s="2">
        <v>2017.0</v>
      </c>
      <c r="B7504" s="2" t="s">
        <v>31758</v>
      </c>
      <c r="C7504" s="2" t="s">
        <v>31758</v>
      </c>
      <c r="D7504" s="2" t="str">
        <f>"8134098809"</f>
        <v>8134098809</v>
      </c>
      <c r="E7504" s="2" t="s">
        <v>160</v>
      </c>
      <c r="F7504" s="2" t="s">
        <v>31759</v>
      </c>
      <c r="G7504" s="2" t="str">
        <f>"SR-10303"</f>
        <v>SR-10303</v>
      </c>
      <c r="H7504" s="2" t="s">
        <v>31760</v>
      </c>
      <c r="I7504" s="2" t="s">
        <v>31761</v>
      </c>
      <c r="K7504" s="2" t="s">
        <v>1576</v>
      </c>
      <c r="L7504" s="2" t="s">
        <v>208</v>
      </c>
      <c r="M7504" s="2">
        <v>33563.0</v>
      </c>
      <c r="N7504" s="2" t="s">
        <v>21</v>
      </c>
    </row>
    <row r="7505" ht="15.75" customHeight="1">
      <c r="A7505" s="2">
        <v>2017.0</v>
      </c>
      <c r="B7505" s="2" t="s">
        <v>31762</v>
      </c>
      <c r="C7505" s="2" t="s">
        <v>31762</v>
      </c>
      <c r="D7505" s="2" t="str">
        <f>"715 919 4323"</f>
        <v>715 919 4323</v>
      </c>
      <c r="E7505" s="2" t="s">
        <v>2243</v>
      </c>
      <c r="F7505" s="2" t="s">
        <v>31763</v>
      </c>
      <c r="G7505" s="2" t="str">
        <f>"SR-10311"</f>
        <v>SR-10311</v>
      </c>
      <c r="H7505" s="2" t="s">
        <v>31764</v>
      </c>
      <c r="I7505" s="2" t="s">
        <v>31765</v>
      </c>
      <c r="K7505" s="2" t="s">
        <v>31766</v>
      </c>
      <c r="L7505" s="2" t="s">
        <v>193</v>
      </c>
      <c r="M7505" s="2">
        <v>54880.0</v>
      </c>
      <c r="N7505" s="2" t="s">
        <v>21</v>
      </c>
    </row>
    <row r="7506" ht="15.75" customHeight="1">
      <c r="A7506" s="2">
        <v>2017.0</v>
      </c>
      <c r="B7506" s="2" t="s">
        <v>21472</v>
      </c>
      <c r="C7506" s="2" t="s">
        <v>31767</v>
      </c>
      <c r="D7506" s="2" t="str">
        <f>"970 3703641"</f>
        <v>970 3703641</v>
      </c>
      <c r="E7506" s="2" t="s">
        <v>31768</v>
      </c>
      <c r="F7506" s="2" t="s">
        <v>9856</v>
      </c>
      <c r="G7506" s="2" t="str">
        <f>"SR-9755"</f>
        <v>SR-9755</v>
      </c>
      <c r="H7506" s="2" t="s">
        <v>31769</v>
      </c>
      <c r="I7506" s="2" t="s">
        <v>21475</v>
      </c>
      <c r="K7506" s="2" t="s">
        <v>21476</v>
      </c>
      <c r="L7506" s="2" t="s">
        <v>157</v>
      </c>
      <c r="M7506" s="2">
        <v>90701.0</v>
      </c>
      <c r="N7506" s="2" t="s">
        <v>21</v>
      </c>
    </row>
    <row r="7507" ht="15.75" customHeight="1">
      <c r="A7507" s="2">
        <v>2017.0</v>
      </c>
      <c r="B7507" s="2" t="s">
        <v>31770</v>
      </c>
      <c r="C7507" s="2" t="s">
        <v>31771</v>
      </c>
      <c r="D7507" s="2" t="str">
        <f>"703-753-0849"</f>
        <v>703-753-0849</v>
      </c>
      <c r="E7507" s="2" t="s">
        <v>261</v>
      </c>
      <c r="F7507" s="2" t="s">
        <v>639</v>
      </c>
      <c r="G7507" s="2" t="str">
        <f>"SR-10312"</f>
        <v>SR-10312</v>
      </c>
      <c r="H7507" s="2" t="s">
        <v>6647</v>
      </c>
      <c r="I7507" s="2" t="s">
        <v>31772</v>
      </c>
      <c r="K7507" s="2" t="s">
        <v>12516</v>
      </c>
      <c r="L7507" s="2" t="s">
        <v>165</v>
      </c>
      <c r="M7507" s="2">
        <v>20169.0</v>
      </c>
      <c r="N7507" s="2" t="s">
        <v>21</v>
      </c>
    </row>
    <row r="7508" ht="15.75" customHeight="1">
      <c r="A7508" s="2">
        <v>2017.0</v>
      </c>
      <c r="B7508" s="2" t="s">
        <v>31773</v>
      </c>
      <c r="C7508" s="2" t="s">
        <v>31773</v>
      </c>
      <c r="D7508" s="2" t="str">
        <f>"321-558-4981"</f>
        <v>321-558-4981</v>
      </c>
      <c r="E7508" s="2" t="s">
        <v>7145</v>
      </c>
      <c r="F7508" s="2" t="s">
        <v>4721</v>
      </c>
      <c r="G7508" s="2" t="str">
        <f>"SR-9752"</f>
        <v>SR-9752</v>
      </c>
      <c r="H7508" s="2" t="s">
        <v>31774</v>
      </c>
      <c r="I7508" s="2" t="s">
        <v>31775</v>
      </c>
      <c r="K7508" s="2" t="s">
        <v>4724</v>
      </c>
      <c r="L7508" s="2" t="s">
        <v>208</v>
      </c>
      <c r="M7508" s="2">
        <v>32825.0</v>
      </c>
      <c r="N7508" s="2" t="s">
        <v>21</v>
      </c>
    </row>
    <row r="7509" ht="15.75" customHeight="1">
      <c r="A7509" s="2">
        <v>2017.0</v>
      </c>
      <c r="B7509" s="2" t="s">
        <v>12915</v>
      </c>
      <c r="C7509" s="2" t="s">
        <v>31776</v>
      </c>
      <c r="D7509" s="2" t="str">
        <f>"2242378470"</f>
        <v>2242378470</v>
      </c>
      <c r="E7509" s="2" t="s">
        <v>4775</v>
      </c>
      <c r="F7509" s="2" t="s">
        <v>12918</v>
      </c>
      <c r="G7509" s="2" t="str">
        <f>"SR-10146"</f>
        <v>SR-10146</v>
      </c>
      <c r="H7509" s="2" t="s">
        <v>31777</v>
      </c>
      <c r="I7509" s="2" t="s">
        <v>31778</v>
      </c>
      <c r="K7509" s="2" t="s">
        <v>12921</v>
      </c>
      <c r="L7509" s="2" t="s">
        <v>105</v>
      </c>
      <c r="M7509" s="2">
        <v>60046.0</v>
      </c>
      <c r="N7509" s="2" t="s">
        <v>21</v>
      </c>
    </row>
    <row r="7510" ht="15.75" customHeight="1">
      <c r="A7510" s="2">
        <v>2017.0</v>
      </c>
      <c r="B7510" s="2" t="s">
        <v>31779</v>
      </c>
      <c r="C7510" s="2" t="s">
        <v>31780</v>
      </c>
      <c r="D7510" s="2" t="str">
        <f>"406 850 4644"</f>
        <v>406 850 4644</v>
      </c>
      <c r="E7510" s="2" t="s">
        <v>705</v>
      </c>
      <c r="F7510" s="2" t="s">
        <v>31781</v>
      </c>
      <c r="G7510" s="2" t="str">
        <f>"SR-10285"</f>
        <v>SR-10285</v>
      </c>
      <c r="H7510" s="2" t="s">
        <v>31782</v>
      </c>
      <c r="I7510" s="2" t="s">
        <v>31783</v>
      </c>
      <c r="K7510" s="2" t="s">
        <v>3548</v>
      </c>
      <c r="L7510" s="2" t="s">
        <v>2696</v>
      </c>
      <c r="M7510" s="2">
        <v>59101.0</v>
      </c>
      <c r="N7510" s="2" t="s">
        <v>21</v>
      </c>
    </row>
    <row r="7511" ht="15.75" customHeight="1">
      <c r="A7511" s="2">
        <v>2017.0</v>
      </c>
      <c r="B7511" s="2" t="s">
        <v>31779</v>
      </c>
      <c r="C7511" s="2" t="s">
        <v>31784</v>
      </c>
      <c r="D7511" s="2" t="str">
        <f>"406-245-2251"</f>
        <v>406-245-2251</v>
      </c>
      <c r="E7511" s="2" t="s">
        <v>12166</v>
      </c>
      <c r="F7511" s="2" t="s">
        <v>31781</v>
      </c>
      <c r="G7511" s="2" t="str">
        <f>"SR-10301"</f>
        <v>SR-10301</v>
      </c>
      <c r="H7511" s="2" t="s">
        <v>31785</v>
      </c>
      <c r="I7511" s="2" t="s">
        <v>31786</v>
      </c>
      <c r="K7511" s="2" t="s">
        <v>3548</v>
      </c>
      <c r="L7511" s="2" t="s">
        <v>2696</v>
      </c>
      <c r="M7511" s="2">
        <v>59101.0</v>
      </c>
      <c r="N7511" s="2" t="s">
        <v>21</v>
      </c>
    </row>
    <row r="7512" ht="15.75" customHeight="1">
      <c r="A7512" s="2">
        <v>2017.0</v>
      </c>
      <c r="B7512" s="2" t="s">
        <v>31787</v>
      </c>
      <c r="D7512" s="2" t="str">
        <f>""</f>
        <v/>
      </c>
      <c r="E7512" s="2" t="s">
        <v>217</v>
      </c>
      <c r="F7512" s="2" t="s">
        <v>3816</v>
      </c>
      <c r="G7512" s="2" t="str">
        <f>"SR-10317"</f>
        <v>SR-10317</v>
      </c>
      <c r="H7512" s="2" t="s">
        <v>31788</v>
      </c>
    </row>
    <row r="7513" ht="15.75" customHeight="1">
      <c r="A7513" s="2">
        <v>2017.0</v>
      </c>
      <c r="B7513" s="2" t="s">
        <v>31789</v>
      </c>
      <c r="C7513" s="2" t="s">
        <v>31789</v>
      </c>
      <c r="D7513" s="2" t="str">
        <f>"919-274-4589"</f>
        <v>919-274-4589</v>
      </c>
      <c r="E7513" s="2" t="s">
        <v>31790</v>
      </c>
      <c r="F7513" s="2" t="s">
        <v>5128</v>
      </c>
      <c r="G7513" s="2" t="str">
        <f>"SR-10318"</f>
        <v>SR-10318</v>
      </c>
      <c r="H7513" s="2" t="s">
        <v>31791</v>
      </c>
      <c r="I7513" s="2" t="s">
        <v>31792</v>
      </c>
      <c r="K7513" s="2" t="s">
        <v>31793</v>
      </c>
      <c r="L7513" s="2" t="s">
        <v>20</v>
      </c>
      <c r="M7513" s="2">
        <v>27591.0</v>
      </c>
      <c r="N7513" s="2" t="s">
        <v>21</v>
      </c>
    </row>
    <row r="7514" ht="15.75" customHeight="1">
      <c r="A7514" s="2">
        <v>2017.0</v>
      </c>
      <c r="B7514" s="2" t="s">
        <v>31794</v>
      </c>
      <c r="C7514" s="2" t="s">
        <v>31794</v>
      </c>
      <c r="D7514" s="2" t="str">
        <f>"5014631537"</f>
        <v>5014631537</v>
      </c>
      <c r="E7514" s="2" t="s">
        <v>203</v>
      </c>
      <c r="F7514" s="2" t="s">
        <v>31795</v>
      </c>
      <c r="G7514" s="2" t="str">
        <f>"SR-10321"</f>
        <v>SR-10321</v>
      </c>
      <c r="H7514" s="2" t="s">
        <v>31796</v>
      </c>
      <c r="I7514" s="2" t="s">
        <v>31797</v>
      </c>
      <c r="K7514" s="2" t="s">
        <v>27461</v>
      </c>
      <c r="L7514" s="2" t="s">
        <v>1012</v>
      </c>
      <c r="M7514" s="2">
        <v>71913.0</v>
      </c>
      <c r="N7514" s="2" t="s">
        <v>21</v>
      </c>
    </row>
    <row r="7515" ht="15.75" customHeight="1">
      <c r="A7515" s="2">
        <v>2017.0</v>
      </c>
      <c r="B7515" s="2" t="s">
        <v>31798</v>
      </c>
      <c r="C7515" s="2" t="s">
        <v>31799</v>
      </c>
      <c r="D7515" s="2" t="str">
        <f>"2542910665"</f>
        <v>2542910665</v>
      </c>
      <c r="E7515" s="2" t="s">
        <v>22983</v>
      </c>
      <c r="F7515" s="2" t="s">
        <v>31800</v>
      </c>
      <c r="G7515" s="2" t="str">
        <f>"SR-10313"</f>
        <v>SR-10313</v>
      </c>
      <c r="H7515" s="2" t="s">
        <v>31801</v>
      </c>
      <c r="I7515" s="2" t="s">
        <v>31802</v>
      </c>
      <c r="K7515" s="2" t="s">
        <v>1907</v>
      </c>
      <c r="L7515" s="2" t="s">
        <v>715</v>
      </c>
      <c r="M7515" s="2">
        <v>70634.0</v>
      </c>
      <c r="N7515" s="2" t="s">
        <v>21</v>
      </c>
    </row>
    <row r="7516" ht="15.75" customHeight="1">
      <c r="A7516" s="2">
        <v>2017.0</v>
      </c>
      <c r="B7516" s="2" t="s">
        <v>9491</v>
      </c>
      <c r="C7516" s="2" t="s">
        <v>31803</v>
      </c>
      <c r="D7516" s="2" t="str">
        <f>"541 516 0204"</f>
        <v>541 516 0204</v>
      </c>
      <c r="E7516" s="2" t="s">
        <v>31804</v>
      </c>
      <c r="F7516" s="2" t="s">
        <v>31805</v>
      </c>
      <c r="G7516" s="2" t="str">
        <f>"SR-10174"</f>
        <v>SR-10174</v>
      </c>
      <c r="H7516" s="2" t="s">
        <v>31806</v>
      </c>
      <c r="I7516" s="2" t="s">
        <v>31807</v>
      </c>
      <c r="K7516" s="2" t="s">
        <v>9490</v>
      </c>
      <c r="L7516" s="2" t="s">
        <v>2389</v>
      </c>
      <c r="M7516" s="2">
        <v>97065.0</v>
      </c>
      <c r="N7516" s="2" t="s">
        <v>21</v>
      </c>
    </row>
    <row r="7517" ht="15.75" customHeight="1">
      <c r="A7517" s="2">
        <v>2017.0</v>
      </c>
      <c r="B7517" s="2" t="s">
        <v>18632</v>
      </c>
      <c r="C7517" s="2" t="s">
        <v>31808</v>
      </c>
      <c r="D7517" s="2" t="str">
        <f>"913-757-3654"</f>
        <v>913-757-3654</v>
      </c>
      <c r="E7517" s="2" t="s">
        <v>31809</v>
      </c>
      <c r="F7517" s="2" t="s">
        <v>18634</v>
      </c>
      <c r="G7517" s="2" t="str">
        <f>"SR-10296"</f>
        <v>SR-10296</v>
      </c>
      <c r="H7517" s="2" t="s">
        <v>31810</v>
      </c>
      <c r="I7517" s="2" t="s">
        <v>18636</v>
      </c>
      <c r="K7517" s="2" t="s">
        <v>18637</v>
      </c>
      <c r="L7517" s="2" t="s">
        <v>272</v>
      </c>
      <c r="M7517" s="2">
        <v>66026.0</v>
      </c>
      <c r="N7517" s="2" t="s">
        <v>21</v>
      </c>
    </row>
    <row r="7518" ht="15.75" customHeight="1">
      <c r="A7518" s="2">
        <v>2017.0</v>
      </c>
      <c r="B7518" s="2" t="s">
        <v>27811</v>
      </c>
      <c r="C7518" s="2" t="s">
        <v>27811</v>
      </c>
      <c r="D7518" s="2" t="str">
        <f>"4064045562"</f>
        <v>4064045562</v>
      </c>
      <c r="E7518" s="2" t="s">
        <v>385</v>
      </c>
      <c r="F7518" s="2" t="s">
        <v>1648</v>
      </c>
      <c r="G7518" s="2" t="str">
        <f>"SR-8709"</f>
        <v>SR-8709</v>
      </c>
      <c r="H7518" s="2" t="s">
        <v>27812</v>
      </c>
      <c r="I7518" s="2" t="s">
        <v>27813</v>
      </c>
      <c r="K7518" s="2" t="s">
        <v>2868</v>
      </c>
      <c r="L7518" s="2" t="s">
        <v>2696</v>
      </c>
      <c r="M7518" s="2">
        <v>59745.0</v>
      </c>
      <c r="N7518" s="2" t="s">
        <v>21</v>
      </c>
    </row>
    <row r="7519" ht="15.75" customHeight="1">
      <c r="A7519" s="2">
        <v>2017.0</v>
      </c>
      <c r="B7519" s="2" t="s">
        <v>27811</v>
      </c>
      <c r="C7519" s="2" t="s">
        <v>27811</v>
      </c>
      <c r="D7519" s="2" t="str">
        <f>"406-577-6152"</f>
        <v>406-577-6152</v>
      </c>
      <c r="E7519" s="2" t="s">
        <v>31811</v>
      </c>
      <c r="F7519" s="2" t="s">
        <v>1648</v>
      </c>
      <c r="G7519" s="2" t="str">
        <f>"SR-10326"</f>
        <v>SR-10326</v>
      </c>
      <c r="H7519" s="2" t="s">
        <v>31812</v>
      </c>
      <c r="I7519" s="2" t="s">
        <v>31813</v>
      </c>
      <c r="K7519" s="2" t="s">
        <v>2868</v>
      </c>
      <c r="L7519" s="2" t="s">
        <v>2696</v>
      </c>
      <c r="M7519" s="2">
        <v>59745.0</v>
      </c>
      <c r="N7519" s="2" t="s">
        <v>21</v>
      </c>
    </row>
    <row r="7520" ht="15.75" customHeight="1">
      <c r="A7520" s="2">
        <v>2017.0</v>
      </c>
      <c r="B7520" s="2" t="s">
        <v>31814</v>
      </c>
      <c r="C7520" s="2" t="s">
        <v>31814</v>
      </c>
      <c r="D7520" s="2" t="str">
        <f>"813-374-5526"</f>
        <v>813-374-5526</v>
      </c>
      <c r="E7520" s="2" t="s">
        <v>5158</v>
      </c>
      <c r="F7520" s="2" t="s">
        <v>10434</v>
      </c>
      <c r="G7520" s="2" t="str">
        <f>"SR-10327"</f>
        <v>SR-10327</v>
      </c>
      <c r="H7520" s="2" t="s">
        <v>31815</v>
      </c>
      <c r="I7520" s="2" t="s">
        <v>31816</v>
      </c>
      <c r="K7520" s="2" t="s">
        <v>31817</v>
      </c>
      <c r="L7520" s="2" t="s">
        <v>208</v>
      </c>
      <c r="M7520" s="2">
        <v>33550.0</v>
      </c>
      <c r="N7520" s="2" t="s">
        <v>21</v>
      </c>
    </row>
    <row r="7521" ht="15.75" customHeight="1">
      <c r="A7521" s="2">
        <v>2017.0</v>
      </c>
      <c r="B7521" s="2" t="s">
        <v>31818</v>
      </c>
      <c r="C7521" s="2" t="s">
        <v>31818</v>
      </c>
      <c r="D7521" s="2" t="str">
        <f>"320-283-6132"</f>
        <v>320-283-6132</v>
      </c>
      <c r="E7521" s="2" t="s">
        <v>15933</v>
      </c>
      <c r="F7521" s="2" t="s">
        <v>22917</v>
      </c>
      <c r="G7521" s="2" t="str">
        <f>"SR-10325"</f>
        <v>SR-10325</v>
      </c>
      <c r="H7521" s="2" t="s">
        <v>31819</v>
      </c>
      <c r="I7521" s="2" t="s">
        <v>22919</v>
      </c>
      <c r="K7521" s="2" t="s">
        <v>404</v>
      </c>
      <c r="L7521" s="2" t="s">
        <v>62</v>
      </c>
      <c r="M7521" s="2">
        <v>56308.0</v>
      </c>
      <c r="N7521" s="2" t="s">
        <v>21</v>
      </c>
    </row>
    <row r="7522" ht="15.75" customHeight="1">
      <c r="A7522" s="2">
        <v>2017.0</v>
      </c>
      <c r="B7522" s="2" t="s">
        <v>11155</v>
      </c>
      <c r="D7522" s="2" t="str">
        <f>""</f>
        <v/>
      </c>
      <c r="E7522" s="2" t="s">
        <v>1015</v>
      </c>
      <c r="F7522" s="2" t="s">
        <v>10319</v>
      </c>
      <c r="G7522" s="2" t="str">
        <f>"SR-3067"</f>
        <v>SR-3067</v>
      </c>
      <c r="H7522" s="2" t="s">
        <v>11156</v>
      </c>
      <c r="N7522" s="2" t="s">
        <v>21</v>
      </c>
    </row>
    <row r="7523" ht="15.75" customHeight="1">
      <c r="A7523" s="2">
        <v>2017.0</v>
      </c>
      <c r="B7523" s="2" t="s">
        <v>23776</v>
      </c>
      <c r="C7523" s="2" t="s">
        <v>23777</v>
      </c>
      <c r="D7523" s="2" t="str">
        <f>"805-215-4344"</f>
        <v>805-215-4344</v>
      </c>
      <c r="E7523" s="2" t="s">
        <v>534</v>
      </c>
      <c r="F7523" s="2" t="s">
        <v>23778</v>
      </c>
      <c r="G7523" s="2" t="str">
        <f>"SR-7459"</f>
        <v>SR-7459</v>
      </c>
      <c r="H7523" s="2" t="s">
        <v>23779</v>
      </c>
      <c r="I7523" s="2" t="s">
        <v>23780</v>
      </c>
      <c r="K7523" s="2" t="s">
        <v>23781</v>
      </c>
      <c r="L7523" s="2" t="s">
        <v>222</v>
      </c>
      <c r="M7523" s="2">
        <v>93433.0</v>
      </c>
      <c r="N7523" s="2" t="s">
        <v>21</v>
      </c>
    </row>
    <row r="7524" ht="15.75" customHeight="1">
      <c r="A7524" s="2">
        <v>2017.0</v>
      </c>
      <c r="B7524" s="2" t="s">
        <v>31820</v>
      </c>
      <c r="C7524" s="2" t="s">
        <v>31821</v>
      </c>
      <c r="D7524" s="2" t="str">
        <f>"8128015979"</f>
        <v>8128015979</v>
      </c>
      <c r="E7524" s="2" t="s">
        <v>1767</v>
      </c>
      <c r="F7524" s="2" t="s">
        <v>26029</v>
      </c>
      <c r="G7524" s="2" t="str">
        <f>"SR-10329"</f>
        <v>SR-10329</v>
      </c>
      <c r="H7524" s="2" t="s">
        <v>31822</v>
      </c>
      <c r="I7524" s="2" t="s">
        <v>31823</v>
      </c>
      <c r="K7524" s="2" t="s">
        <v>659</v>
      </c>
      <c r="L7524" s="2" t="s">
        <v>149</v>
      </c>
      <c r="M7524" s="2">
        <v>47250.0</v>
      </c>
      <c r="N7524" s="2" t="s">
        <v>21</v>
      </c>
    </row>
    <row r="7525" ht="15.75" customHeight="1">
      <c r="A7525" s="2">
        <v>2017.0</v>
      </c>
      <c r="B7525" s="2" t="s">
        <v>31820</v>
      </c>
      <c r="C7525" s="2" t="s">
        <v>31824</v>
      </c>
      <c r="D7525" s="2" t="str">
        <f>"8125999281"</f>
        <v>8125999281</v>
      </c>
      <c r="E7525" s="2" t="s">
        <v>1529</v>
      </c>
      <c r="F7525" s="2" t="s">
        <v>26029</v>
      </c>
      <c r="G7525" s="2" t="str">
        <f>"SR-10330"</f>
        <v>SR-10330</v>
      </c>
      <c r="H7525" s="2" t="s">
        <v>31825</v>
      </c>
      <c r="I7525" s="2" t="s">
        <v>31823</v>
      </c>
      <c r="K7525" s="2" t="s">
        <v>659</v>
      </c>
      <c r="L7525" s="2" t="s">
        <v>149</v>
      </c>
      <c r="M7525" s="2">
        <v>47250.0</v>
      </c>
      <c r="N7525" s="2" t="s">
        <v>21</v>
      </c>
    </row>
    <row r="7526" ht="15.75" customHeight="1">
      <c r="A7526" s="2">
        <v>2017.0</v>
      </c>
      <c r="B7526" s="2" t="s">
        <v>31826</v>
      </c>
      <c r="C7526" s="2" t="s">
        <v>31827</v>
      </c>
      <c r="D7526" s="2" t="str">
        <f>"919-605-2034"</f>
        <v>919-605-2034</v>
      </c>
      <c r="E7526" s="2" t="s">
        <v>5991</v>
      </c>
      <c r="F7526" s="2" t="s">
        <v>8920</v>
      </c>
      <c r="G7526" s="2" t="str">
        <f>"SR-9986"</f>
        <v>SR-9986</v>
      </c>
      <c r="H7526" s="2" t="s">
        <v>31828</v>
      </c>
      <c r="I7526" s="2" t="s">
        <v>31829</v>
      </c>
      <c r="K7526" s="2" t="s">
        <v>18559</v>
      </c>
      <c r="L7526" s="2" t="s">
        <v>20</v>
      </c>
      <c r="M7526" s="2">
        <v>27501.0</v>
      </c>
      <c r="N7526" s="2" t="s">
        <v>21</v>
      </c>
    </row>
    <row r="7527" ht="15.75" customHeight="1">
      <c r="A7527" s="2">
        <v>2017.0</v>
      </c>
      <c r="B7527" s="2" t="s">
        <v>31830</v>
      </c>
      <c r="C7527" s="2" t="s">
        <v>31831</v>
      </c>
      <c r="D7527" s="2" t="str">
        <f>"614-562-4235"</f>
        <v>614-562-4235</v>
      </c>
      <c r="E7527" s="2" t="s">
        <v>751</v>
      </c>
      <c r="F7527" s="2" t="s">
        <v>31832</v>
      </c>
      <c r="G7527" s="2" t="str">
        <f>"SR-10220"</f>
        <v>SR-10220</v>
      </c>
      <c r="H7527" s="2" t="s">
        <v>31833</v>
      </c>
      <c r="I7527" s="2" t="s">
        <v>31834</v>
      </c>
      <c r="K7527" s="2" t="s">
        <v>14781</v>
      </c>
      <c r="L7527" s="2" t="s">
        <v>344</v>
      </c>
      <c r="M7527" s="2">
        <v>43061.0</v>
      </c>
      <c r="N7527" s="2" t="s">
        <v>21</v>
      </c>
    </row>
    <row r="7528" ht="15.75" customHeight="1">
      <c r="A7528" s="2">
        <v>2017.0</v>
      </c>
      <c r="B7528" s="2" t="s">
        <v>31835</v>
      </c>
      <c r="C7528" s="2" t="s">
        <v>31836</v>
      </c>
      <c r="D7528" s="2" t="str">
        <f>"303-748-3334"</f>
        <v>303-748-3334</v>
      </c>
      <c r="E7528" s="2" t="s">
        <v>23194</v>
      </c>
      <c r="F7528" s="2" t="s">
        <v>31837</v>
      </c>
      <c r="G7528" s="2" t="str">
        <f>"SR-10331"</f>
        <v>SR-10331</v>
      </c>
      <c r="H7528" s="2" t="s">
        <v>31838</v>
      </c>
      <c r="I7528" s="2" t="s">
        <v>31839</v>
      </c>
      <c r="K7528" s="2" t="s">
        <v>9112</v>
      </c>
      <c r="L7528" s="2" t="s">
        <v>157</v>
      </c>
      <c r="M7528" s="2">
        <v>80439.0</v>
      </c>
      <c r="N7528" s="2" t="s">
        <v>21</v>
      </c>
    </row>
    <row r="7529" ht="15.75" customHeight="1">
      <c r="A7529" s="2">
        <v>2017.0</v>
      </c>
      <c r="B7529" s="2" t="s">
        <v>31840</v>
      </c>
      <c r="C7529" s="2" t="s">
        <v>31841</v>
      </c>
      <c r="D7529" s="2" t="str">
        <f>"7149633203"</f>
        <v>7149633203</v>
      </c>
      <c r="E7529" s="2" t="s">
        <v>50</v>
      </c>
      <c r="F7529" s="2" t="s">
        <v>13216</v>
      </c>
      <c r="G7529" s="2" t="str">
        <f>"SR-10027"</f>
        <v>SR-10027</v>
      </c>
      <c r="H7529" s="2" t="s">
        <v>31842</v>
      </c>
      <c r="I7529" s="2" t="s">
        <v>31843</v>
      </c>
      <c r="K7529" s="2" t="s">
        <v>11463</v>
      </c>
      <c r="L7529" s="2" t="s">
        <v>222</v>
      </c>
      <c r="M7529" s="2">
        <v>92646.0</v>
      </c>
      <c r="N7529" s="2" t="s">
        <v>21</v>
      </c>
    </row>
    <row r="7530" ht="15.75" customHeight="1">
      <c r="A7530" s="2">
        <v>2017.0</v>
      </c>
      <c r="B7530" s="2" t="s">
        <v>31844</v>
      </c>
      <c r="C7530" s="2" t="s">
        <v>31845</v>
      </c>
      <c r="D7530" s="2" t="str">
        <f>"5597318699"</f>
        <v>5597318699</v>
      </c>
      <c r="E7530" s="2" t="s">
        <v>24</v>
      </c>
      <c r="F7530" s="2" t="s">
        <v>31846</v>
      </c>
      <c r="G7530" s="2" t="str">
        <f>"SR-10165"</f>
        <v>SR-10165</v>
      </c>
      <c r="H7530" s="2" t="s">
        <v>31847</v>
      </c>
      <c r="I7530" s="2" t="s">
        <v>31848</v>
      </c>
      <c r="K7530" s="2" t="s">
        <v>31849</v>
      </c>
      <c r="L7530" s="2" t="s">
        <v>222</v>
      </c>
      <c r="M7530" s="2">
        <v>93274.0</v>
      </c>
      <c r="N7530" s="2" t="s">
        <v>21</v>
      </c>
    </row>
    <row r="7531" ht="15.75" customHeight="1">
      <c r="A7531" s="2">
        <v>2017.0</v>
      </c>
      <c r="B7531" s="2" t="s">
        <v>27085</v>
      </c>
      <c r="C7531" s="2" t="s">
        <v>31850</v>
      </c>
      <c r="D7531" s="2" t="str">
        <f>"303-915-6676"</f>
        <v>303-915-6676</v>
      </c>
      <c r="E7531" s="2" t="s">
        <v>2306</v>
      </c>
      <c r="F7531" s="2" t="s">
        <v>27087</v>
      </c>
      <c r="G7531" s="2" t="str">
        <f>"SR-10338"</f>
        <v>SR-10338</v>
      </c>
      <c r="H7531" s="2" t="s">
        <v>31851</v>
      </c>
      <c r="I7531" s="2" t="s">
        <v>31852</v>
      </c>
      <c r="K7531" s="2" t="s">
        <v>1398</v>
      </c>
      <c r="L7531" s="2" t="s">
        <v>157</v>
      </c>
      <c r="M7531" s="2">
        <v>80104.0</v>
      </c>
      <c r="N7531" s="2" t="s">
        <v>21</v>
      </c>
    </row>
    <row r="7532" ht="15.75" customHeight="1">
      <c r="A7532" s="2">
        <v>2017.0</v>
      </c>
      <c r="B7532" s="2" t="s">
        <v>30009</v>
      </c>
      <c r="C7532" s="2" t="s">
        <v>31853</v>
      </c>
      <c r="D7532" s="2" t="str">
        <f>"602-400-8192"</f>
        <v>602-400-8192</v>
      </c>
      <c r="E7532" s="2" t="s">
        <v>31854</v>
      </c>
      <c r="F7532" s="2" t="s">
        <v>24530</v>
      </c>
      <c r="G7532" s="2" t="str">
        <f>"SR-10304"</f>
        <v>SR-10304</v>
      </c>
      <c r="H7532" s="2" t="s">
        <v>31855</v>
      </c>
      <c r="I7532" s="2" t="s">
        <v>31856</v>
      </c>
      <c r="K7532" s="2" t="s">
        <v>30013</v>
      </c>
      <c r="L7532" s="2" t="s">
        <v>422</v>
      </c>
      <c r="M7532" s="2">
        <v>85024.0</v>
      </c>
      <c r="N7532" s="2" t="s">
        <v>21</v>
      </c>
    </row>
    <row r="7533" ht="15.75" customHeight="1">
      <c r="A7533" s="2">
        <v>2017.0</v>
      </c>
      <c r="B7533" s="2" t="s">
        <v>31857</v>
      </c>
      <c r="C7533" s="2" t="s">
        <v>31858</v>
      </c>
      <c r="D7533" s="2" t="str">
        <f>"7192510645"</f>
        <v>7192510645</v>
      </c>
      <c r="E7533" s="2" t="s">
        <v>282</v>
      </c>
      <c r="F7533" s="2" t="s">
        <v>14931</v>
      </c>
      <c r="G7533" s="2" t="str">
        <f>"SR-10342"</f>
        <v>SR-10342</v>
      </c>
      <c r="H7533" s="2" t="s">
        <v>31859</v>
      </c>
      <c r="I7533" s="2" t="s">
        <v>31860</v>
      </c>
      <c r="K7533" s="2" t="s">
        <v>254</v>
      </c>
      <c r="L7533" s="2" t="s">
        <v>757</v>
      </c>
      <c r="M7533" s="2">
        <v>68850.0</v>
      </c>
      <c r="N7533" s="2" t="s">
        <v>21</v>
      </c>
    </row>
    <row r="7534" ht="15.75" customHeight="1">
      <c r="A7534" s="2">
        <v>2017.0</v>
      </c>
      <c r="B7534" s="2" t="s">
        <v>31861</v>
      </c>
      <c r="C7534" s="2" t="s">
        <v>31862</v>
      </c>
      <c r="D7534" s="2" t="str">
        <f>"7159446547"</f>
        <v>7159446547</v>
      </c>
      <c r="E7534" s="2" t="s">
        <v>4871</v>
      </c>
      <c r="F7534" s="2" t="s">
        <v>8787</v>
      </c>
      <c r="G7534" s="2" t="str">
        <f>"SR-10069"</f>
        <v>SR-10069</v>
      </c>
      <c r="H7534" s="2" t="s">
        <v>31863</v>
      </c>
      <c r="I7534" s="2" t="s">
        <v>31864</v>
      </c>
      <c r="K7534" s="2" t="s">
        <v>9967</v>
      </c>
      <c r="L7534" s="2" t="s">
        <v>193</v>
      </c>
      <c r="M7534" s="2">
        <v>54703.0</v>
      </c>
      <c r="N7534" s="2" t="s">
        <v>21</v>
      </c>
    </row>
    <row r="7535" ht="15.75" customHeight="1">
      <c r="A7535" s="2">
        <v>2017.0</v>
      </c>
      <c r="B7535" s="2" t="s">
        <v>31865</v>
      </c>
      <c r="C7535" s="2" t="s">
        <v>31866</v>
      </c>
      <c r="D7535" s="2" t="str">
        <f>"703-794-7800"</f>
        <v>703-794-7800</v>
      </c>
      <c r="E7535" s="2" t="s">
        <v>705</v>
      </c>
      <c r="F7535" s="2" t="s">
        <v>31867</v>
      </c>
      <c r="G7535" s="2" t="str">
        <f>"SR-10307"</f>
        <v>SR-10307</v>
      </c>
      <c r="H7535" s="2" t="s">
        <v>31868</v>
      </c>
      <c r="I7535" s="2" t="s">
        <v>31869</v>
      </c>
      <c r="K7535" s="2" t="s">
        <v>21740</v>
      </c>
      <c r="L7535" s="2" t="s">
        <v>165</v>
      </c>
      <c r="M7535" s="2">
        <v>20181.0</v>
      </c>
      <c r="N7535" s="2" t="s">
        <v>21</v>
      </c>
    </row>
    <row r="7536" ht="15.75" customHeight="1">
      <c r="A7536" s="2">
        <v>2017.0</v>
      </c>
      <c r="B7536" s="2" t="s">
        <v>31870</v>
      </c>
      <c r="C7536" s="2" t="s">
        <v>31871</v>
      </c>
      <c r="D7536" s="2" t="str">
        <f>"225-635-1774"</f>
        <v>225-635-1774</v>
      </c>
      <c r="E7536" s="2" t="s">
        <v>250</v>
      </c>
      <c r="F7536" s="2" t="s">
        <v>31872</v>
      </c>
      <c r="G7536" s="2" t="str">
        <f>"SR-10346"</f>
        <v>SR-10346</v>
      </c>
      <c r="H7536" s="2" t="s">
        <v>31873</v>
      </c>
      <c r="I7536" s="2" t="s">
        <v>31874</v>
      </c>
      <c r="K7536" s="2" t="s">
        <v>31875</v>
      </c>
      <c r="L7536" s="2" t="s">
        <v>715</v>
      </c>
      <c r="M7536" s="2">
        <v>70775.0</v>
      </c>
      <c r="N7536" s="2" t="s">
        <v>21</v>
      </c>
    </row>
    <row r="7537" ht="15.75" customHeight="1">
      <c r="A7537" s="2">
        <v>2017.0</v>
      </c>
      <c r="B7537" s="2" t="s">
        <v>31840</v>
      </c>
      <c r="C7537" s="2" t="s">
        <v>31876</v>
      </c>
      <c r="D7537" s="2" t="str">
        <f>"714 963-3203"</f>
        <v>714 963-3203</v>
      </c>
      <c r="E7537" s="2" t="s">
        <v>13215</v>
      </c>
      <c r="F7537" s="2" t="s">
        <v>13216</v>
      </c>
      <c r="G7537" s="2" t="str">
        <f>"SR-10347"</f>
        <v>SR-10347</v>
      </c>
      <c r="H7537" s="2" t="s">
        <v>13217</v>
      </c>
      <c r="I7537" s="2" t="s">
        <v>13218</v>
      </c>
      <c r="K7537" s="2" t="s">
        <v>31877</v>
      </c>
      <c r="L7537" s="2" t="s">
        <v>222</v>
      </c>
      <c r="M7537" s="2">
        <v>92646.0</v>
      </c>
      <c r="N7537" s="2" t="s">
        <v>21</v>
      </c>
    </row>
    <row r="7538" ht="15.75" customHeight="1">
      <c r="A7538" s="2">
        <v>2017.0</v>
      </c>
      <c r="B7538" s="2" t="s">
        <v>31878</v>
      </c>
      <c r="C7538" s="2" t="s">
        <v>31879</v>
      </c>
      <c r="D7538" s="2" t="str">
        <f>"303-200-4995"</f>
        <v>303-200-4995</v>
      </c>
      <c r="E7538" s="2" t="s">
        <v>1015</v>
      </c>
      <c r="F7538" s="2" t="s">
        <v>31880</v>
      </c>
      <c r="G7538" s="2" t="str">
        <f>"SR-10345"</f>
        <v>SR-10345</v>
      </c>
      <c r="H7538" s="2" t="s">
        <v>31881</v>
      </c>
      <c r="I7538" s="2" t="s">
        <v>31882</v>
      </c>
      <c r="K7538" s="2" t="s">
        <v>1054</v>
      </c>
      <c r="L7538" s="2" t="s">
        <v>157</v>
      </c>
      <c r="M7538" s="2">
        <v>80138.0</v>
      </c>
      <c r="N7538" s="2" t="s">
        <v>21</v>
      </c>
    </row>
    <row r="7539" ht="15.75" customHeight="1">
      <c r="A7539" s="2">
        <v>2017.0</v>
      </c>
      <c r="B7539" s="2" t="s">
        <v>31883</v>
      </c>
      <c r="C7539" s="2" t="s">
        <v>31884</v>
      </c>
      <c r="D7539" s="2" t="str">
        <f>"3038881846"</f>
        <v>3038881846</v>
      </c>
      <c r="E7539" s="2" t="s">
        <v>14988</v>
      </c>
      <c r="F7539" s="2" t="s">
        <v>20218</v>
      </c>
      <c r="G7539" s="2" t="str">
        <f>"SR-10328"</f>
        <v>SR-10328</v>
      </c>
      <c r="H7539" s="2" t="s">
        <v>31885</v>
      </c>
      <c r="I7539" s="2" t="s">
        <v>31886</v>
      </c>
      <c r="K7539" s="2" t="s">
        <v>1398</v>
      </c>
      <c r="L7539" s="2" t="s">
        <v>157</v>
      </c>
      <c r="M7539" s="2">
        <v>80108.0</v>
      </c>
      <c r="N7539" s="2" t="s">
        <v>21</v>
      </c>
    </row>
    <row r="7540" ht="15.75" customHeight="1">
      <c r="A7540" s="2">
        <v>2017.0</v>
      </c>
      <c r="B7540" s="2" t="s">
        <v>19755</v>
      </c>
      <c r="C7540" s="2" t="s">
        <v>19762</v>
      </c>
      <c r="D7540" s="2" t="str">
        <f>"(852) 6349 7356"</f>
        <v>(852) 6349 7356</v>
      </c>
      <c r="E7540" s="2" t="s">
        <v>453</v>
      </c>
      <c r="F7540" s="2" t="s">
        <v>19757</v>
      </c>
      <c r="G7540" s="2" t="str">
        <f>"SR-6055"</f>
        <v>SR-6055</v>
      </c>
      <c r="H7540" s="2" t="s">
        <v>19763</v>
      </c>
      <c r="I7540" s="2" t="s">
        <v>19759</v>
      </c>
      <c r="J7540" s="2" t="s">
        <v>19760</v>
      </c>
      <c r="K7540" s="2" t="s">
        <v>19761</v>
      </c>
      <c r="N7540" s="2" t="s">
        <v>19761</v>
      </c>
    </row>
    <row r="7541" ht="15.75" customHeight="1">
      <c r="A7541" s="2">
        <v>2017.0</v>
      </c>
      <c r="B7541" s="2" t="s">
        <v>31887</v>
      </c>
      <c r="C7541" s="2" t="s">
        <v>31888</v>
      </c>
      <c r="D7541" s="2" t="str">
        <f>"7135982226"</f>
        <v>7135982226</v>
      </c>
      <c r="E7541" s="2" t="s">
        <v>417</v>
      </c>
      <c r="F7541" s="2" t="s">
        <v>6121</v>
      </c>
      <c r="G7541" s="2" t="str">
        <f>"SR-10354"</f>
        <v>SR-10354</v>
      </c>
      <c r="H7541" s="2" t="s">
        <v>31889</v>
      </c>
      <c r="I7541" s="2" t="s">
        <v>31890</v>
      </c>
      <c r="K7541" s="2" t="s">
        <v>12522</v>
      </c>
      <c r="L7541" s="2" t="s">
        <v>172</v>
      </c>
      <c r="M7541" s="2">
        <v>77429.0</v>
      </c>
      <c r="N7541" s="2" t="s">
        <v>21</v>
      </c>
    </row>
    <row r="7542" ht="15.75" customHeight="1">
      <c r="A7542" s="2">
        <v>2017.0</v>
      </c>
      <c r="B7542" s="2" t="s">
        <v>2768</v>
      </c>
      <c r="C7542" s="2" t="s">
        <v>2769</v>
      </c>
      <c r="D7542" s="2" t="str">
        <f>"4064907062"</f>
        <v>4064907062</v>
      </c>
      <c r="E7542" s="2" t="s">
        <v>2770</v>
      </c>
      <c r="F7542" s="2" t="s">
        <v>2771</v>
      </c>
      <c r="G7542" s="2" t="str">
        <f>"SR-864"</f>
        <v>SR-864</v>
      </c>
      <c r="H7542" s="2" t="s">
        <v>2772</v>
      </c>
      <c r="I7542" s="2" t="s">
        <v>2773</v>
      </c>
      <c r="K7542" s="2" t="s">
        <v>2774</v>
      </c>
      <c r="L7542" s="2" t="s">
        <v>2696</v>
      </c>
      <c r="M7542" s="2">
        <v>59721.0</v>
      </c>
      <c r="N7542" s="2" t="s">
        <v>21</v>
      </c>
    </row>
    <row r="7543" ht="15.75" customHeight="1">
      <c r="A7543" s="2">
        <v>2017.0</v>
      </c>
      <c r="B7543" s="2" t="s">
        <v>31891</v>
      </c>
      <c r="C7543" s="2" t="s">
        <v>31891</v>
      </c>
      <c r="D7543" s="2" t="str">
        <f>"717-537-7252"</f>
        <v>717-537-7252</v>
      </c>
      <c r="E7543" s="2" t="s">
        <v>31892</v>
      </c>
      <c r="F7543" s="2" t="s">
        <v>31893</v>
      </c>
      <c r="G7543" s="2" t="str">
        <f>"SR-10359"</f>
        <v>SR-10359</v>
      </c>
      <c r="H7543" s="2" t="s">
        <v>31894</v>
      </c>
      <c r="I7543" s="2" t="s">
        <v>31895</v>
      </c>
      <c r="K7543" s="2" t="s">
        <v>27298</v>
      </c>
      <c r="L7543" s="2" t="s">
        <v>179</v>
      </c>
      <c r="M7543" s="2">
        <v>17545.0</v>
      </c>
      <c r="N7543" s="2" t="s">
        <v>21</v>
      </c>
    </row>
    <row r="7544" ht="15.75" customHeight="1">
      <c r="A7544" s="2">
        <v>2017.0</v>
      </c>
      <c r="B7544" s="2" t="s">
        <v>31896</v>
      </c>
      <c r="C7544" s="2" t="s">
        <v>31897</v>
      </c>
      <c r="D7544" s="2" t="str">
        <f>"6512028778"</f>
        <v>6512028778</v>
      </c>
      <c r="E7544" s="2" t="s">
        <v>261</v>
      </c>
      <c r="F7544" s="2" t="s">
        <v>12086</v>
      </c>
      <c r="G7544" s="2" t="str">
        <f>"SR-10358"</f>
        <v>SR-10358</v>
      </c>
      <c r="H7544" s="2" t="s">
        <v>31898</v>
      </c>
      <c r="I7544" s="2" t="s">
        <v>31899</v>
      </c>
      <c r="K7544" s="2" t="s">
        <v>6641</v>
      </c>
      <c r="L7544" s="2" t="s">
        <v>62</v>
      </c>
      <c r="M7544" s="2">
        <v>55391.0</v>
      </c>
      <c r="N7544" s="2" t="s">
        <v>21</v>
      </c>
    </row>
    <row r="7545" ht="15.75" customHeight="1">
      <c r="A7545" s="2">
        <v>2017.0</v>
      </c>
      <c r="B7545" s="2" t="s">
        <v>31900</v>
      </c>
      <c r="C7545" s="2" t="s">
        <v>31900</v>
      </c>
      <c r="D7545" s="2" t="str">
        <f>"(502) 603-7083"</f>
        <v>(502) 603-7083</v>
      </c>
      <c r="E7545" s="2" t="s">
        <v>2930</v>
      </c>
      <c r="F7545" s="2" t="s">
        <v>31901</v>
      </c>
      <c r="G7545" s="2" t="str">
        <f>"SR-10282"</f>
        <v>SR-10282</v>
      </c>
      <c r="H7545" s="2" t="s">
        <v>31902</v>
      </c>
      <c r="I7545" s="2" t="s">
        <v>31903</v>
      </c>
      <c r="K7545" s="2" t="s">
        <v>404</v>
      </c>
      <c r="L7545" s="2" t="s">
        <v>62</v>
      </c>
      <c r="M7545" s="2">
        <v>56308.0</v>
      </c>
      <c r="N7545" s="2" t="s">
        <v>21</v>
      </c>
    </row>
    <row r="7546" ht="15.75" customHeight="1">
      <c r="A7546" s="2">
        <v>2017.0</v>
      </c>
      <c r="B7546" s="2" t="s">
        <v>31904</v>
      </c>
      <c r="C7546" s="2" t="s">
        <v>31905</v>
      </c>
      <c r="D7546" s="2" t="str">
        <f>"719-999-8568"</f>
        <v>719-999-8568</v>
      </c>
      <c r="E7546" s="2" t="s">
        <v>1094</v>
      </c>
      <c r="F7546" s="2" t="s">
        <v>31906</v>
      </c>
      <c r="G7546" s="2" t="str">
        <f>"SR-10361"</f>
        <v>SR-10361</v>
      </c>
      <c r="H7546" s="2" t="s">
        <v>31907</v>
      </c>
      <c r="I7546" s="2" t="s">
        <v>31908</v>
      </c>
      <c r="K7546" s="2" t="s">
        <v>507</v>
      </c>
      <c r="L7546" s="2" t="s">
        <v>157</v>
      </c>
      <c r="M7546" s="2">
        <v>80132.0</v>
      </c>
      <c r="N7546" s="2" t="s">
        <v>21</v>
      </c>
    </row>
    <row r="7547" ht="15.75" customHeight="1">
      <c r="A7547" s="2">
        <v>2017.0</v>
      </c>
      <c r="B7547" s="2" t="s">
        <v>31909</v>
      </c>
      <c r="C7547" s="2" t="s">
        <v>31910</v>
      </c>
      <c r="D7547" s="2" t="str">
        <f>"417-425-5629"</f>
        <v>417-425-5629</v>
      </c>
      <c r="E7547" s="2" t="s">
        <v>1810</v>
      </c>
      <c r="F7547" s="2" t="s">
        <v>31911</v>
      </c>
      <c r="G7547" s="2" t="str">
        <f>"SR-10362"</f>
        <v>SR-10362</v>
      </c>
      <c r="H7547" s="2" t="s">
        <v>31912</v>
      </c>
      <c r="I7547" s="2" t="s">
        <v>31913</v>
      </c>
      <c r="K7547" s="2" t="s">
        <v>669</v>
      </c>
      <c r="L7547" s="2" t="s">
        <v>214</v>
      </c>
      <c r="M7547" s="2">
        <v>65706.0</v>
      </c>
      <c r="N7547" s="2" t="s">
        <v>21</v>
      </c>
    </row>
    <row r="7548" ht="15.75" customHeight="1">
      <c r="A7548" s="2">
        <v>2017.0</v>
      </c>
      <c r="B7548" s="2" t="s">
        <v>26976</v>
      </c>
      <c r="C7548" s="2" t="s">
        <v>31914</v>
      </c>
      <c r="D7548" s="2" t="str">
        <f>"4024508870"</f>
        <v>4024508870</v>
      </c>
      <c r="E7548" s="2" t="s">
        <v>1197</v>
      </c>
      <c r="F7548" s="2" t="s">
        <v>26978</v>
      </c>
      <c r="G7548" s="2" t="str">
        <f>"SR-10363"</f>
        <v>SR-10363</v>
      </c>
      <c r="H7548" s="2" t="s">
        <v>31915</v>
      </c>
      <c r="I7548" s="2" t="s">
        <v>26980</v>
      </c>
      <c r="K7548" s="2" t="s">
        <v>572</v>
      </c>
      <c r="L7548" s="2" t="s">
        <v>757</v>
      </c>
      <c r="M7548" s="2">
        <v>68506.0</v>
      </c>
      <c r="N7548" s="2" t="s">
        <v>21</v>
      </c>
    </row>
    <row r="7549" ht="15.75" customHeight="1">
      <c r="A7549" s="2">
        <v>2017.0</v>
      </c>
      <c r="B7549" s="2" t="s">
        <v>31916</v>
      </c>
      <c r="C7549" s="2" t="s">
        <v>31917</v>
      </c>
      <c r="D7549" s="2" t="str">
        <f>"330-217-7711"</f>
        <v>330-217-7711</v>
      </c>
      <c r="E7549" s="2" t="s">
        <v>31918</v>
      </c>
      <c r="F7549" s="2" t="s">
        <v>31919</v>
      </c>
      <c r="G7549" s="2" t="str">
        <f>"SR-10360"</f>
        <v>SR-10360</v>
      </c>
      <c r="H7549" s="2" t="s">
        <v>31920</v>
      </c>
      <c r="I7549" s="2" t="s">
        <v>31921</v>
      </c>
      <c r="K7549" s="2" t="s">
        <v>3978</v>
      </c>
      <c r="L7549" s="2" t="s">
        <v>344</v>
      </c>
      <c r="M7549" s="2">
        <v>44236.0</v>
      </c>
      <c r="N7549" s="2" t="s">
        <v>21</v>
      </c>
    </row>
    <row r="7550" ht="15.75" customHeight="1">
      <c r="A7550" s="2">
        <v>2017.0</v>
      </c>
      <c r="B7550" s="2" t="s">
        <v>31922</v>
      </c>
      <c r="C7550" s="2" t="s">
        <v>31922</v>
      </c>
      <c r="D7550" s="2" t="str">
        <f>"2317730495"</f>
        <v>2317730495</v>
      </c>
      <c r="E7550" s="2" t="s">
        <v>339</v>
      </c>
      <c r="F7550" s="2" t="s">
        <v>31923</v>
      </c>
      <c r="G7550" s="2" t="str">
        <f>"SR-10356"</f>
        <v>SR-10356</v>
      </c>
      <c r="H7550" s="2" t="s">
        <v>31924</v>
      </c>
      <c r="I7550" s="2">
        <v>3344.0</v>
      </c>
      <c r="J7550" s="2" t="s">
        <v>31925</v>
      </c>
      <c r="K7550" s="2" t="s">
        <v>18776</v>
      </c>
      <c r="L7550" s="2" t="s">
        <v>29</v>
      </c>
      <c r="M7550" s="2">
        <v>49442.0</v>
      </c>
      <c r="N7550" s="2" t="s">
        <v>21</v>
      </c>
    </row>
    <row r="7551" ht="15.75" customHeight="1">
      <c r="A7551" s="2">
        <v>2017.0</v>
      </c>
      <c r="B7551" s="2" t="s">
        <v>31922</v>
      </c>
      <c r="C7551" s="2" t="s">
        <v>31926</v>
      </c>
      <c r="D7551" s="2" t="str">
        <f>"3309079709"</f>
        <v>3309079709</v>
      </c>
      <c r="E7551" s="2" t="s">
        <v>1782</v>
      </c>
      <c r="F7551" s="2" t="s">
        <v>10622</v>
      </c>
      <c r="G7551" s="2" t="str">
        <f>"SR-10365"</f>
        <v>SR-10365</v>
      </c>
      <c r="H7551" s="2" t="s">
        <v>31927</v>
      </c>
      <c r="I7551" s="2">
        <v>159.0</v>
      </c>
      <c r="J7551" s="2" t="s">
        <v>278</v>
      </c>
      <c r="K7551" s="2" t="s">
        <v>18428</v>
      </c>
      <c r="L7551" s="2" t="s">
        <v>344</v>
      </c>
      <c r="M7551" s="2">
        <v>44230.0</v>
      </c>
      <c r="N7551" s="2" t="s">
        <v>21</v>
      </c>
    </row>
    <row r="7552" ht="15.75" customHeight="1">
      <c r="A7552" s="2">
        <v>2017.0</v>
      </c>
      <c r="B7552" s="2" t="s">
        <v>31928</v>
      </c>
      <c r="C7552" s="2" t="s">
        <v>31929</v>
      </c>
      <c r="D7552" s="2" t="str">
        <f>"785-825-2919"</f>
        <v>785-825-2919</v>
      </c>
      <c r="E7552" s="2" t="s">
        <v>21371</v>
      </c>
      <c r="F7552" s="2" t="s">
        <v>1001</v>
      </c>
      <c r="G7552" s="2" t="str">
        <f>"SR-10368"</f>
        <v>SR-10368</v>
      </c>
      <c r="H7552" s="2" t="s">
        <v>31930</v>
      </c>
      <c r="I7552" s="2" t="s">
        <v>31931</v>
      </c>
      <c r="K7552" s="2" t="s">
        <v>31932</v>
      </c>
      <c r="L7552" s="2" t="s">
        <v>272</v>
      </c>
      <c r="M7552" s="2">
        <v>67401.0</v>
      </c>
      <c r="N7552" s="2" t="s">
        <v>21</v>
      </c>
    </row>
    <row r="7553" ht="15.75" customHeight="1">
      <c r="A7553" s="2">
        <v>2017.0</v>
      </c>
      <c r="B7553" s="2" t="s">
        <v>31933</v>
      </c>
      <c r="C7553" s="2" t="s">
        <v>31934</v>
      </c>
      <c r="D7553" s="2" t="str">
        <f>"6207799921"</f>
        <v>6207799921</v>
      </c>
      <c r="E7553" s="2" t="s">
        <v>167</v>
      </c>
      <c r="F7553" s="2" t="s">
        <v>5476</v>
      </c>
      <c r="G7553" s="2" t="str">
        <f>"SR-10350"</f>
        <v>SR-10350</v>
      </c>
      <c r="H7553" s="2" t="s">
        <v>31935</v>
      </c>
      <c r="I7553" s="2" t="s">
        <v>31936</v>
      </c>
      <c r="K7553" s="2" t="s">
        <v>31937</v>
      </c>
      <c r="L7553" s="2" t="s">
        <v>272</v>
      </c>
      <c r="M7553" s="2">
        <v>67301.0</v>
      </c>
      <c r="N7553" s="2" t="s">
        <v>21</v>
      </c>
    </row>
    <row r="7554" ht="15.75" customHeight="1">
      <c r="A7554" s="2">
        <v>2017.0</v>
      </c>
      <c r="B7554" s="2" t="s">
        <v>26356</v>
      </c>
      <c r="C7554" s="2" t="s">
        <v>26356</v>
      </c>
      <c r="D7554" s="2" t="str">
        <f>"406-320-2400"</f>
        <v>406-320-2400</v>
      </c>
      <c r="E7554" s="2" t="s">
        <v>15532</v>
      </c>
      <c r="F7554" s="2" t="s">
        <v>2491</v>
      </c>
      <c r="G7554" s="2" t="str">
        <f>"SR-8269"</f>
        <v>SR-8269</v>
      </c>
      <c r="H7554" s="2" t="s">
        <v>26357</v>
      </c>
      <c r="I7554" s="2" t="s">
        <v>26358</v>
      </c>
      <c r="K7554" s="2" t="s">
        <v>26359</v>
      </c>
      <c r="L7554" s="2" t="s">
        <v>2696</v>
      </c>
      <c r="M7554" s="2">
        <v>59072.0</v>
      </c>
      <c r="N7554" s="2" t="s">
        <v>21</v>
      </c>
    </row>
    <row r="7555" ht="15.75" customHeight="1">
      <c r="A7555" s="2">
        <v>2017.0</v>
      </c>
      <c r="B7555" s="2" t="s">
        <v>31938</v>
      </c>
      <c r="D7555" s="2" t="str">
        <f>""</f>
        <v/>
      </c>
      <c r="E7555" s="2" t="s">
        <v>4111</v>
      </c>
      <c r="F7555" s="2" t="s">
        <v>1689</v>
      </c>
      <c r="G7555" s="2" t="str">
        <f>"SR-10334"</f>
        <v>SR-10334</v>
      </c>
      <c r="H7555" s="2" t="s">
        <v>31939</v>
      </c>
      <c r="N7555" s="2" t="s">
        <v>21</v>
      </c>
    </row>
    <row r="7556" ht="15.75" customHeight="1">
      <c r="A7556" s="2">
        <v>2017.0</v>
      </c>
      <c r="B7556" s="2" t="s">
        <v>3124</v>
      </c>
      <c r="C7556" s="2" t="s">
        <v>31940</v>
      </c>
      <c r="D7556" s="2" t="str">
        <f>"702-395-3663"</f>
        <v>702-395-3663</v>
      </c>
      <c r="E7556" s="2" t="s">
        <v>160</v>
      </c>
      <c r="F7556" s="2" t="s">
        <v>3125</v>
      </c>
      <c r="G7556" s="2" t="str">
        <f>"SR-10370"</f>
        <v>SR-10370</v>
      </c>
      <c r="H7556" s="2" t="s">
        <v>31941</v>
      </c>
      <c r="I7556" s="2" t="s">
        <v>3127</v>
      </c>
      <c r="K7556" s="2" t="s">
        <v>3128</v>
      </c>
      <c r="L7556" s="2" t="s">
        <v>1419</v>
      </c>
      <c r="M7556" s="2">
        <v>89129.0</v>
      </c>
      <c r="N7556" s="2" t="s">
        <v>21</v>
      </c>
    </row>
    <row r="7557" ht="15.75" customHeight="1">
      <c r="A7557" s="2">
        <v>2017.0</v>
      </c>
      <c r="B7557" s="2" t="s">
        <v>31942</v>
      </c>
      <c r="C7557" s="2" t="s">
        <v>31943</v>
      </c>
      <c r="D7557" s="2" t="str">
        <f>"6145616226"</f>
        <v>6145616226</v>
      </c>
      <c r="E7557" s="2" t="s">
        <v>2162</v>
      </c>
      <c r="F7557" s="2" t="s">
        <v>31944</v>
      </c>
      <c r="G7557" s="2" t="str">
        <f>"SR-10371"</f>
        <v>SR-10371</v>
      </c>
      <c r="H7557" s="2" t="s">
        <v>31945</v>
      </c>
      <c r="I7557" s="2" t="s">
        <v>31946</v>
      </c>
      <c r="K7557" s="2" t="s">
        <v>343</v>
      </c>
      <c r="L7557" s="2" t="s">
        <v>344</v>
      </c>
      <c r="M7557" s="2">
        <v>43021.0</v>
      </c>
      <c r="N7557" s="2" t="s">
        <v>21</v>
      </c>
    </row>
    <row r="7558" ht="15.75" customHeight="1">
      <c r="A7558" s="2">
        <v>2017.0</v>
      </c>
      <c r="B7558" s="2" t="s">
        <v>23326</v>
      </c>
      <c r="C7558" s="2" t="s">
        <v>31947</v>
      </c>
      <c r="D7558" s="2" t="str">
        <f>"281-419-0973"</f>
        <v>281-419-0973</v>
      </c>
      <c r="E7558" s="2" t="s">
        <v>353</v>
      </c>
      <c r="F7558" s="2" t="s">
        <v>3651</v>
      </c>
      <c r="G7558" s="2" t="str">
        <f>"SR-9778"</f>
        <v>SR-9778</v>
      </c>
      <c r="H7558" s="2" t="s">
        <v>31948</v>
      </c>
      <c r="I7558" s="2" t="s">
        <v>31949</v>
      </c>
      <c r="K7558" s="2" t="s">
        <v>2651</v>
      </c>
      <c r="L7558" s="2" t="s">
        <v>172</v>
      </c>
      <c r="M7558" s="2">
        <v>77382.0</v>
      </c>
      <c r="N7558" s="2" t="s">
        <v>21</v>
      </c>
    </row>
    <row r="7559" ht="15.75" customHeight="1">
      <c r="A7559" s="2">
        <v>2017.0</v>
      </c>
      <c r="B7559" s="2" t="s">
        <v>31950</v>
      </c>
      <c r="C7559" s="2" t="s">
        <v>31950</v>
      </c>
      <c r="D7559" s="2" t="str">
        <f>"5905-4035"</f>
        <v>5905-4035</v>
      </c>
      <c r="E7559" s="2" t="s">
        <v>31951</v>
      </c>
      <c r="F7559" s="2" t="s">
        <v>31952</v>
      </c>
      <c r="G7559" s="2" t="str">
        <f>"SR-9928"</f>
        <v>SR-9928</v>
      </c>
      <c r="H7559" s="2" t="s">
        <v>31953</v>
      </c>
      <c r="I7559" s="2" t="s">
        <v>31954</v>
      </c>
      <c r="K7559" s="2" t="s">
        <v>19761</v>
      </c>
      <c r="N7559" s="2" t="s">
        <v>19761</v>
      </c>
    </row>
    <row r="7560" ht="15.75" customHeight="1">
      <c r="A7560" s="2">
        <v>2017.0</v>
      </c>
      <c r="B7560" s="2" t="s">
        <v>31942</v>
      </c>
      <c r="C7560" s="2" t="s">
        <v>31942</v>
      </c>
      <c r="D7560" s="2" t="str">
        <f>"6145616226"</f>
        <v>6145616226</v>
      </c>
      <c r="E7560" s="2" t="s">
        <v>2941</v>
      </c>
      <c r="F7560" s="2" t="s">
        <v>31944</v>
      </c>
      <c r="G7560" s="2" t="str">
        <f>"SR-10373"</f>
        <v>SR-10373</v>
      </c>
      <c r="H7560" s="2" t="s">
        <v>31955</v>
      </c>
      <c r="I7560" s="2" t="s">
        <v>31946</v>
      </c>
      <c r="K7560" s="2" t="s">
        <v>343</v>
      </c>
      <c r="L7560" s="2" t="s">
        <v>344</v>
      </c>
      <c r="M7560" s="2">
        <v>43021.0</v>
      </c>
      <c r="N7560" s="2" t="s">
        <v>21</v>
      </c>
    </row>
    <row r="7561" ht="15.75" customHeight="1">
      <c r="A7561" s="2">
        <v>2017.0</v>
      </c>
      <c r="B7561" s="2" t="s">
        <v>31956</v>
      </c>
      <c r="C7561" s="2" t="s">
        <v>31957</v>
      </c>
      <c r="D7561" s="2" t="str">
        <f>"6152005640"</f>
        <v>6152005640</v>
      </c>
      <c r="E7561" s="2" t="s">
        <v>57</v>
      </c>
      <c r="F7561" s="2" t="s">
        <v>10417</v>
      </c>
      <c r="G7561" s="2" t="str">
        <f>"SR-3912"</f>
        <v>SR-3912</v>
      </c>
      <c r="H7561" s="2" t="s">
        <v>31958</v>
      </c>
      <c r="I7561" s="2" t="s">
        <v>31959</v>
      </c>
      <c r="K7561" s="2" t="s">
        <v>9868</v>
      </c>
      <c r="L7561" s="2" t="s">
        <v>279</v>
      </c>
      <c r="M7561" s="2">
        <v>37027.0</v>
      </c>
      <c r="N7561" s="2" t="s">
        <v>21</v>
      </c>
    </row>
    <row r="7562" ht="15.75" customHeight="1">
      <c r="A7562" s="2">
        <v>2017.0</v>
      </c>
      <c r="B7562" s="2" t="s">
        <v>31960</v>
      </c>
      <c r="C7562" s="2" t="s">
        <v>31961</v>
      </c>
      <c r="D7562" s="2" t="str">
        <f>"9108592468"</f>
        <v>9108592468</v>
      </c>
      <c r="E7562" s="2" t="s">
        <v>2306</v>
      </c>
      <c r="F7562" s="2" t="s">
        <v>2548</v>
      </c>
      <c r="G7562" s="2" t="str">
        <f>"SR-10258"</f>
        <v>SR-10258</v>
      </c>
      <c r="H7562" s="2" t="s">
        <v>31962</v>
      </c>
      <c r="I7562" s="2" t="s">
        <v>31963</v>
      </c>
      <c r="K7562" s="2" t="s">
        <v>23449</v>
      </c>
      <c r="L7562" s="2" t="s">
        <v>279</v>
      </c>
      <c r="M7562" s="2">
        <v>37343.0</v>
      </c>
      <c r="N7562" s="2" t="s">
        <v>21</v>
      </c>
    </row>
    <row r="7563" ht="15.75" customHeight="1">
      <c r="A7563" s="2">
        <v>2017.0</v>
      </c>
      <c r="B7563" s="2" t="s">
        <v>31956</v>
      </c>
      <c r="C7563" s="2" t="s">
        <v>31964</v>
      </c>
      <c r="D7563" s="2" t="str">
        <f>"6152005649"</f>
        <v>6152005649</v>
      </c>
      <c r="E7563" s="2" t="s">
        <v>160</v>
      </c>
      <c r="F7563" s="2" t="s">
        <v>10417</v>
      </c>
      <c r="G7563" s="2" t="str">
        <f>"SR-10375"</f>
        <v>SR-10375</v>
      </c>
      <c r="H7563" s="2" t="s">
        <v>31965</v>
      </c>
      <c r="I7563" s="2" t="s">
        <v>31959</v>
      </c>
      <c r="K7563" s="2" t="s">
        <v>9868</v>
      </c>
      <c r="L7563" s="2" t="s">
        <v>279</v>
      </c>
      <c r="M7563" s="2">
        <v>37027.0</v>
      </c>
      <c r="N7563" s="2" t="s">
        <v>21</v>
      </c>
    </row>
    <row r="7564" ht="15.75" customHeight="1">
      <c r="A7564" s="2">
        <v>2017.0</v>
      </c>
      <c r="B7564" s="2" t="s">
        <v>31956</v>
      </c>
      <c r="C7564" s="2" t="s">
        <v>31956</v>
      </c>
      <c r="D7564" s="2" t="str">
        <f>"6159977808"</f>
        <v>6159977808</v>
      </c>
      <c r="E7564" s="2" t="s">
        <v>651</v>
      </c>
      <c r="F7564" s="2" t="s">
        <v>10417</v>
      </c>
      <c r="G7564" s="2" t="str">
        <f>"SR-10377"</f>
        <v>SR-10377</v>
      </c>
      <c r="H7564" s="2" t="s">
        <v>31966</v>
      </c>
      <c r="I7564" s="2" t="s">
        <v>31959</v>
      </c>
      <c r="K7564" s="2" t="s">
        <v>9868</v>
      </c>
      <c r="L7564" s="2" t="s">
        <v>279</v>
      </c>
      <c r="M7564" s="2">
        <v>37027.0</v>
      </c>
      <c r="N7564" s="2" t="s">
        <v>21</v>
      </c>
    </row>
    <row r="7565" ht="15.75" customHeight="1">
      <c r="A7565" s="2">
        <v>2017.0</v>
      </c>
      <c r="B7565" s="2" t="s">
        <v>31967</v>
      </c>
      <c r="C7565" s="2" t="s">
        <v>31967</v>
      </c>
      <c r="D7565" s="2" t="str">
        <f>"770-331-7975"</f>
        <v>770-331-7975</v>
      </c>
      <c r="E7565" s="2" t="s">
        <v>31968</v>
      </c>
      <c r="F7565" s="2" t="s">
        <v>4776</v>
      </c>
      <c r="G7565" s="2" t="str">
        <f>"SR-10186"</f>
        <v>SR-10186</v>
      </c>
      <c r="H7565" s="2" t="s">
        <v>31969</v>
      </c>
      <c r="I7565" s="2" t="s">
        <v>31970</v>
      </c>
      <c r="K7565" s="2" t="s">
        <v>11963</v>
      </c>
      <c r="L7565" s="2" t="s">
        <v>200</v>
      </c>
      <c r="M7565" s="2">
        <v>30115.0</v>
      </c>
      <c r="N7565" s="2" t="s">
        <v>21</v>
      </c>
    </row>
    <row r="7566" ht="15.75" customHeight="1">
      <c r="A7566" s="2">
        <v>2017.0</v>
      </c>
      <c r="B7566" s="2" t="s">
        <v>31971</v>
      </c>
      <c r="C7566" s="2" t="s">
        <v>31972</v>
      </c>
      <c r="D7566" s="2" t="str">
        <f>"4192819369"</f>
        <v>4192819369</v>
      </c>
      <c r="E7566" s="2" t="s">
        <v>16129</v>
      </c>
      <c r="F7566" s="2" t="s">
        <v>31973</v>
      </c>
      <c r="G7566" s="2" t="str">
        <f>"SR-10374"</f>
        <v>SR-10374</v>
      </c>
      <c r="H7566" s="2" t="s">
        <v>31974</v>
      </c>
      <c r="I7566" s="2" t="s">
        <v>31975</v>
      </c>
      <c r="K7566" s="2" t="s">
        <v>1154</v>
      </c>
      <c r="L7566" s="2" t="s">
        <v>344</v>
      </c>
      <c r="M7566" s="2">
        <v>44805.0</v>
      </c>
      <c r="N7566" s="2" t="s">
        <v>21</v>
      </c>
    </row>
    <row r="7567" ht="15.75" customHeight="1">
      <c r="A7567" s="2">
        <v>2017.0</v>
      </c>
      <c r="B7567" s="2" t="s">
        <v>28648</v>
      </c>
      <c r="C7567" s="2" t="s">
        <v>28648</v>
      </c>
      <c r="D7567" s="2" t="str">
        <f>"2146684416"</f>
        <v>2146684416</v>
      </c>
      <c r="E7567" s="2" t="s">
        <v>16650</v>
      </c>
      <c r="F7567" s="2" t="s">
        <v>28649</v>
      </c>
      <c r="G7567" s="2" t="str">
        <f>"SR-8011"</f>
        <v>SR-8011</v>
      </c>
      <c r="H7567" s="2" t="s">
        <v>28650</v>
      </c>
      <c r="I7567" s="2" t="s">
        <v>28651</v>
      </c>
      <c r="K7567" s="2" t="s">
        <v>21389</v>
      </c>
      <c r="L7567" s="2" t="s">
        <v>208</v>
      </c>
      <c r="M7567" s="2">
        <v>32601.0</v>
      </c>
      <c r="N7567" s="2" t="s">
        <v>21</v>
      </c>
    </row>
    <row r="7568" ht="15.75" customHeight="1">
      <c r="A7568" s="2">
        <v>2017.0</v>
      </c>
      <c r="B7568" s="2" t="s">
        <v>31976</v>
      </c>
      <c r="C7568" s="2" t="s">
        <v>31977</v>
      </c>
      <c r="D7568" s="2" t="str">
        <f>"3067737199"</f>
        <v>3067737199</v>
      </c>
      <c r="E7568" s="2" t="s">
        <v>31978</v>
      </c>
      <c r="F7568" s="2" t="s">
        <v>31979</v>
      </c>
      <c r="G7568" s="2" t="str">
        <f>"SR-10349"</f>
        <v>SR-10349</v>
      </c>
      <c r="H7568" s="2" t="s">
        <v>31980</v>
      </c>
      <c r="I7568" s="2" t="s">
        <v>31981</v>
      </c>
      <c r="K7568" s="2" t="s">
        <v>31982</v>
      </c>
      <c r="L7568" s="2" t="s">
        <v>31983</v>
      </c>
      <c r="M7568" s="2" t="s">
        <v>31984</v>
      </c>
      <c r="N7568" s="2" t="s">
        <v>1602</v>
      </c>
    </row>
    <row r="7569" ht="15.75" customHeight="1">
      <c r="A7569" s="2">
        <v>2017.0</v>
      </c>
      <c r="B7569" s="2" t="s">
        <v>31985</v>
      </c>
      <c r="C7569" s="2" t="s">
        <v>31985</v>
      </c>
      <c r="D7569" s="2" t="str">
        <f>"7042797991"</f>
        <v>7042797991</v>
      </c>
      <c r="E7569" s="2" t="s">
        <v>9486</v>
      </c>
      <c r="F7569" s="2" t="s">
        <v>4322</v>
      </c>
      <c r="G7569" s="2" t="str">
        <f>"SR-9688"</f>
        <v>SR-9688</v>
      </c>
      <c r="H7569" s="2" t="s">
        <v>31986</v>
      </c>
      <c r="I7569" s="2" t="s">
        <v>31987</v>
      </c>
      <c r="K7569" s="2" t="s">
        <v>31988</v>
      </c>
      <c r="L7569" s="2" t="s">
        <v>20</v>
      </c>
      <c r="M7569" s="2">
        <v>28138.0</v>
      </c>
      <c r="N7569" s="2" t="s">
        <v>21</v>
      </c>
    </row>
    <row r="7570" ht="15.75" customHeight="1">
      <c r="A7570" s="2">
        <v>2017.0</v>
      </c>
      <c r="B7570" s="2" t="s">
        <v>31989</v>
      </c>
      <c r="C7570" s="2" t="s">
        <v>31990</v>
      </c>
      <c r="D7570" s="2" t="str">
        <f>"208-407-0602"</f>
        <v>208-407-0602</v>
      </c>
      <c r="E7570" s="2" t="s">
        <v>2452</v>
      </c>
      <c r="F7570" s="2" t="s">
        <v>585</v>
      </c>
      <c r="G7570" s="2" t="str">
        <f>"SR-10355"</f>
        <v>SR-10355</v>
      </c>
      <c r="H7570" s="2" t="s">
        <v>31991</v>
      </c>
      <c r="I7570" s="2" t="s">
        <v>31992</v>
      </c>
      <c r="K7570" s="2" t="s">
        <v>2906</v>
      </c>
      <c r="L7570" s="2" t="s">
        <v>2613</v>
      </c>
      <c r="M7570" s="2">
        <v>83644.0</v>
      </c>
      <c r="N7570" s="2" t="s">
        <v>21</v>
      </c>
    </row>
    <row r="7571" ht="15.75" customHeight="1">
      <c r="A7571" s="2">
        <v>2017.0</v>
      </c>
      <c r="B7571" s="2" t="s">
        <v>12300</v>
      </c>
      <c r="C7571" s="2" t="s">
        <v>31993</v>
      </c>
      <c r="D7571" s="2" t="str">
        <f>"701-715-5727"</f>
        <v>701-715-5727</v>
      </c>
      <c r="E7571" s="2" t="s">
        <v>1135</v>
      </c>
      <c r="F7571" s="2" t="s">
        <v>12303</v>
      </c>
      <c r="G7571" s="2" t="str">
        <f>"SR-10385"</f>
        <v>SR-10385</v>
      </c>
      <c r="H7571" s="2" t="s">
        <v>31994</v>
      </c>
      <c r="I7571" s="2" t="s">
        <v>31995</v>
      </c>
      <c r="K7571" s="2" t="s">
        <v>12306</v>
      </c>
      <c r="L7571" s="2" t="s">
        <v>2534</v>
      </c>
      <c r="M7571" s="2">
        <v>58012.0</v>
      </c>
      <c r="N7571" s="2" t="s">
        <v>21</v>
      </c>
    </row>
    <row r="7572" ht="15.75" customHeight="1">
      <c r="A7572" s="2">
        <v>2017.0</v>
      </c>
      <c r="B7572" s="2" t="s">
        <v>31996</v>
      </c>
      <c r="C7572" s="2" t="s">
        <v>31997</v>
      </c>
      <c r="D7572" s="2" t="str">
        <f>"509-738-4319"</f>
        <v>509-738-4319</v>
      </c>
      <c r="E7572" s="2" t="s">
        <v>29638</v>
      </c>
      <c r="F7572" s="2" t="s">
        <v>1151</v>
      </c>
      <c r="G7572" s="2" t="str">
        <f>"SR-10384"</f>
        <v>SR-10384</v>
      </c>
      <c r="H7572" s="2" t="s">
        <v>29639</v>
      </c>
      <c r="I7572" s="2" t="s">
        <v>29640</v>
      </c>
      <c r="K7572" s="2" t="s">
        <v>14352</v>
      </c>
      <c r="L7572" s="2" t="s">
        <v>86</v>
      </c>
      <c r="M7572" s="2">
        <v>99167.0</v>
      </c>
      <c r="N7572" s="2" t="s">
        <v>21</v>
      </c>
    </row>
    <row r="7573" ht="15.75" customHeight="1">
      <c r="A7573" s="2">
        <v>2017.0</v>
      </c>
      <c r="B7573" s="2" t="s">
        <v>31998</v>
      </c>
      <c r="C7573" s="2" t="s">
        <v>31998</v>
      </c>
      <c r="D7573" s="2" t="str">
        <f>"205-285-6689"</f>
        <v>205-285-6689</v>
      </c>
      <c r="E7573" s="2" t="s">
        <v>453</v>
      </c>
      <c r="F7573" s="2" t="s">
        <v>1281</v>
      </c>
      <c r="G7573" s="2" t="str">
        <f>"SR-10388"</f>
        <v>SR-10388</v>
      </c>
      <c r="H7573" s="2" t="s">
        <v>31999</v>
      </c>
      <c r="I7573" s="2" t="s">
        <v>32000</v>
      </c>
      <c r="K7573" s="2" t="s">
        <v>21106</v>
      </c>
      <c r="L7573" s="2" t="s">
        <v>539</v>
      </c>
      <c r="M7573" s="2">
        <v>35117.0</v>
      </c>
      <c r="N7573" s="2" t="s">
        <v>21</v>
      </c>
    </row>
    <row r="7574" ht="15.75" customHeight="1">
      <c r="A7574" s="2">
        <v>2017.0</v>
      </c>
      <c r="B7574" s="2" t="s">
        <v>32001</v>
      </c>
      <c r="C7574" s="2" t="s">
        <v>32001</v>
      </c>
      <c r="D7574" s="2" t="str">
        <f>"719-687-4494"</f>
        <v>719-687-4494</v>
      </c>
      <c r="E7574" s="2" t="s">
        <v>261</v>
      </c>
      <c r="F7574" s="2" t="s">
        <v>3212</v>
      </c>
      <c r="G7574" s="2" t="str">
        <f>"SR-10392"</f>
        <v>SR-10392</v>
      </c>
      <c r="H7574" s="2" t="s">
        <v>32002</v>
      </c>
      <c r="I7574" s="2" t="s">
        <v>23131</v>
      </c>
      <c r="K7574" s="2" t="s">
        <v>1127</v>
      </c>
      <c r="L7574" s="2" t="s">
        <v>157</v>
      </c>
      <c r="M7574" s="2">
        <v>80814.0</v>
      </c>
      <c r="N7574" s="2" t="s">
        <v>21</v>
      </c>
    </row>
    <row r="7575" ht="15.75" customHeight="1">
      <c r="A7575" s="2">
        <v>2017.0</v>
      </c>
      <c r="B7575" s="2" t="s">
        <v>32003</v>
      </c>
      <c r="C7575" s="2" t="s">
        <v>25485</v>
      </c>
      <c r="D7575" s="2" t="str">
        <f>"937-818-9404"</f>
        <v>937-818-9404</v>
      </c>
      <c r="E7575" s="2" t="s">
        <v>580</v>
      </c>
      <c r="F7575" s="2" t="s">
        <v>2725</v>
      </c>
      <c r="G7575" s="2" t="str">
        <f>"SR-10395"</f>
        <v>SR-10395</v>
      </c>
      <c r="H7575" s="2" t="s">
        <v>32004</v>
      </c>
      <c r="I7575" s="2" t="s">
        <v>32005</v>
      </c>
      <c r="K7575" s="2" t="s">
        <v>8043</v>
      </c>
      <c r="L7575" s="2" t="s">
        <v>344</v>
      </c>
      <c r="M7575" s="2">
        <v>45440.0</v>
      </c>
      <c r="N7575" s="2" t="s">
        <v>21</v>
      </c>
    </row>
    <row r="7576" ht="15.75" customHeight="1">
      <c r="A7576" s="2">
        <v>2017.0</v>
      </c>
      <c r="B7576" s="2" t="s">
        <v>32006</v>
      </c>
      <c r="C7576" s="2" t="s">
        <v>32007</v>
      </c>
      <c r="D7576" s="2" t="str">
        <f>"2143364348"</f>
        <v>2143364348</v>
      </c>
      <c r="E7576" s="2" t="s">
        <v>26657</v>
      </c>
      <c r="F7576" s="2" t="s">
        <v>6612</v>
      </c>
      <c r="G7576" s="2" t="str">
        <f>"SR-10138"</f>
        <v>SR-10138</v>
      </c>
      <c r="H7576" s="2" t="s">
        <v>32008</v>
      </c>
      <c r="I7576" s="2" t="s">
        <v>32009</v>
      </c>
      <c r="K7576" s="2" t="s">
        <v>1255</v>
      </c>
      <c r="L7576" s="2" t="s">
        <v>172</v>
      </c>
      <c r="M7576" s="2">
        <v>75225.0</v>
      </c>
      <c r="N7576" s="2" t="s">
        <v>21</v>
      </c>
    </row>
    <row r="7577" ht="15.75" customHeight="1">
      <c r="A7577" s="2">
        <v>2017.0</v>
      </c>
      <c r="B7577" s="2" t="s">
        <v>32010</v>
      </c>
      <c r="C7577" s="2" t="s">
        <v>32010</v>
      </c>
      <c r="D7577" s="2" t="str">
        <f>"567-204-0508"</f>
        <v>567-204-0508</v>
      </c>
      <c r="E7577" s="2" t="s">
        <v>26136</v>
      </c>
      <c r="F7577" s="2" t="s">
        <v>2847</v>
      </c>
      <c r="G7577" s="2" t="str">
        <f>"SR-10396"</f>
        <v>SR-10396</v>
      </c>
      <c r="H7577" s="2" t="s">
        <v>32011</v>
      </c>
      <c r="I7577" s="2" t="s">
        <v>32012</v>
      </c>
      <c r="K7577" s="2" t="s">
        <v>32013</v>
      </c>
      <c r="L7577" s="2" t="s">
        <v>344</v>
      </c>
      <c r="M7577" s="2">
        <v>45807.0</v>
      </c>
      <c r="N7577" s="2" t="s">
        <v>21</v>
      </c>
    </row>
    <row r="7578" ht="15.75" customHeight="1">
      <c r="A7578" s="2">
        <v>2017.0</v>
      </c>
      <c r="B7578" s="2" t="s">
        <v>10289</v>
      </c>
      <c r="C7578" s="2" t="s">
        <v>2697</v>
      </c>
      <c r="D7578" s="2" t="str">
        <f>"4065967693"</f>
        <v>4065967693</v>
      </c>
      <c r="E7578" s="2" t="s">
        <v>124</v>
      </c>
      <c r="F7578" s="2" t="s">
        <v>2692</v>
      </c>
      <c r="G7578" s="2" t="str">
        <f>"SR-3011"</f>
        <v>SR-3011</v>
      </c>
      <c r="H7578" s="2" t="s">
        <v>2698</v>
      </c>
      <c r="I7578" s="2" t="s">
        <v>10290</v>
      </c>
      <c r="K7578" s="2" t="s">
        <v>2695</v>
      </c>
      <c r="L7578" s="2" t="s">
        <v>2696</v>
      </c>
      <c r="M7578" s="2">
        <v>59749.0</v>
      </c>
      <c r="N7578" s="2" t="s">
        <v>21</v>
      </c>
    </row>
    <row r="7579" ht="15.75" customHeight="1">
      <c r="A7579" s="2">
        <v>2017.0</v>
      </c>
      <c r="B7579" s="2" t="s">
        <v>32014</v>
      </c>
      <c r="C7579" s="2" t="s">
        <v>32015</v>
      </c>
      <c r="D7579" s="2" t="str">
        <f>"(405)719-3422"</f>
        <v>(405)719-3422</v>
      </c>
      <c r="E7579" s="2" t="s">
        <v>32016</v>
      </c>
      <c r="F7579" s="2" t="s">
        <v>21049</v>
      </c>
      <c r="G7579" s="2" t="str">
        <f>"SR-10394"</f>
        <v>SR-10394</v>
      </c>
      <c r="H7579" s="2" t="s">
        <v>32017</v>
      </c>
      <c r="I7579" s="2" t="s">
        <v>32018</v>
      </c>
      <c r="K7579" s="2" t="s">
        <v>1546</v>
      </c>
      <c r="L7579" s="2" t="s">
        <v>840</v>
      </c>
      <c r="M7579" s="2">
        <v>73013.0</v>
      </c>
      <c r="N7579" s="2" t="s">
        <v>21</v>
      </c>
    </row>
    <row r="7580" ht="15.75" customHeight="1">
      <c r="A7580" s="2">
        <v>2017.0</v>
      </c>
      <c r="B7580" s="2" t="s">
        <v>32019</v>
      </c>
      <c r="C7580" s="2" t="s">
        <v>32019</v>
      </c>
      <c r="D7580" s="2" t="str">
        <f>"903-952-8869"</f>
        <v>903-952-8869</v>
      </c>
      <c r="E7580" s="2" t="s">
        <v>2126</v>
      </c>
      <c r="F7580" s="2" t="s">
        <v>32020</v>
      </c>
      <c r="G7580" s="2" t="str">
        <f>"SR-10399"</f>
        <v>SR-10399</v>
      </c>
      <c r="H7580" s="2" t="s">
        <v>32021</v>
      </c>
      <c r="I7580" s="2" t="s">
        <v>32022</v>
      </c>
      <c r="K7580" s="2" t="s">
        <v>15055</v>
      </c>
      <c r="L7580" s="2" t="s">
        <v>172</v>
      </c>
      <c r="M7580" s="2">
        <v>75792.0</v>
      </c>
      <c r="N7580" s="2" t="s">
        <v>21</v>
      </c>
    </row>
    <row r="7581" ht="15.75" customHeight="1">
      <c r="A7581" s="2">
        <v>2017.0</v>
      </c>
      <c r="B7581" s="2" t="s">
        <v>11418</v>
      </c>
      <c r="C7581" s="2" t="s">
        <v>32023</v>
      </c>
      <c r="D7581" s="2" t="str">
        <f>"4024668555"</f>
        <v>4024668555</v>
      </c>
      <c r="E7581" s="2" t="s">
        <v>6202</v>
      </c>
      <c r="F7581" s="2" t="s">
        <v>1209</v>
      </c>
      <c r="G7581" s="2" t="str">
        <f>"SR-9797"</f>
        <v>SR-9797</v>
      </c>
      <c r="H7581" s="2" t="s">
        <v>32024</v>
      </c>
      <c r="I7581" s="2" t="s">
        <v>32025</v>
      </c>
      <c r="K7581" s="2" t="s">
        <v>572</v>
      </c>
      <c r="L7581" s="2" t="s">
        <v>757</v>
      </c>
      <c r="M7581" s="2">
        <v>68510.0</v>
      </c>
      <c r="N7581" s="2" t="s">
        <v>21</v>
      </c>
    </row>
    <row r="7582" ht="15.75" customHeight="1">
      <c r="A7582" s="2">
        <v>2017.0</v>
      </c>
      <c r="B7582" s="2" t="s">
        <v>11521</v>
      </c>
      <c r="C7582" s="2" t="s">
        <v>11522</v>
      </c>
      <c r="D7582" s="2" t="str">
        <f>"3207617100"</f>
        <v>3207617100</v>
      </c>
      <c r="E7582" s="2" t="s">
        <v>373</v>
      </c>
      <c r="F7582" s="2" t="s">
        <v>11523</v>
      </c>
      <c r="G7582" s="2" t="str">
        <f>"SR-3410"</f>
        <v>SR-3410</v>
      </c>
      <c r="H7582" s="2" t="s">
        <v>11524</v>
      </c>
      <c r="I7582" s="2" t="s">
        <v>11525</v>
      </c>
      <c r="K7582" s="2" t="s">
        <v>11526</v>
      </c>
      <c r="L7582" s="2" t="s">
        <v>62</v>
      </c>
      <c r="M7582" s="2">
        <v>56301.0</v>
      </c>
      <c r="N7582" s="2" t="s">
        <v>21</v>
      </c>
    </row>
    <row r="7583" ht="15.75" customHeight="1">
      <c r="A7583" s="2">
        <v>2017.0</v>
      </c>
      <c r="B7583" s="2" t="s">
        <v>32026</v>
      </c>
      <c r="C7583" s="2" t="s">
        <v>32027</v>
      </c>
      <c r="D7583" s="2" t="str">
        <f>"4435284324"</f>
        <v>4435284324</v>
      </c>
      <c r="E7583" s="2" t="s">
        <v>32028</v>
      </c>
      <c r="F7583" s="2" t="s">
        <v>529</v>
      </c>
      <c r="G7583" s="2" t="str">
        <f>"SR-10401"</f>
        <v>SR-10401</v>
      </c>
      <c r="H7583" s="2" t="s">
        <v>32029</v>
      </c>
      <c r="I7583" s="2" t="s">
        <v>32030</v>
      </c>
      <c r="K7583" s="2" t="s">
        <v>32031</v>
      </c>
      <c r="L7583" s="2" t="s">
        <v>1868</v>
      </c>
      <c r="M7583" s="2">
        <v>21160.0</v>
      </c>
      <c r="N7583" s="2" t="s">
        <v>21</v>
      </c>
    </row>
    <row r="7584" ht="15.75" customHeight="1">
      <c r="A7584" s="2">
        <v>2017.0</v>
      </c>
      <c r="B7584" s="2" t="s">
        <v>32032</v>
      </c>
      <c r="C7584" s="2" t="s">
        <v>32033</v>
      </c>
      <c r="D7584" s="2" t="str">
        <f>"863-273-2762"</f>
        <v>863-273-2762</v>
      </c>
      <c r="E7584" s="2" t="s">
        <v>456</v>
      </c>
      <c r="F7584" s="2" t="s">
        <v>32034</v>
      </c>
      <c r="G7584" s="2" t="str">
        <f>"SR-10403"</f>
        <v>SR-10403</v>
      </c>
      <c r="H7584" s="2" t="s">
        <v>32035</v>
      </c>
      <c r="I7584" s="2" t="s">
        <v>32036</v>
      </c>
      <c r="K7584" s="2" t="s">
        <v>26300</v>
      </c>
      <c r="L7584" s="2" t="s">
        <v>208</v>
      </c>
      <c r="M7584" s="2">
        <v>33852.0</v>
      </c>
      <c r="N7584" s="2" t="s">
        <v>21</v>
      </c>
    </row>
    <row r="7585" ht="15.75" customHeight="1">
      <c r="A7585" s="2">
        <v>2017.0</v>
      </c>
      <c r="B7585" s="2" t="s">
        <v>32037</v>
      </c>
      <c r="C7585" s="2" t="s">
        <v>32038</v>
      </c>
      <c r="D7585" s="2" t="str">
        <f>"4192811542"</f>
        <v>4192811542</v>
      </c>
      <c r="E7585" s="2" t="s">
        <v>386</v>
      </c>
      <c r="F7585" s="2" t="s">
        <v>20565</v>
      </c>
      <c r="G7585" s="2" t="str">
        <f>"SR-10397"</f>
        <v>SR-10397</v>
      </c>
      <c r="H7585" s="2" t="s">
        <v>32039</v>
      </c>
      <c r="I7585" s="2" t="s">
        <v>32040</v>
      </c>
      <c r="K7585" s="2" t="s">
        <v>1154</v>
      </c>
      <c r="L7585" s="2" t="s">
        <v>344</v>
      </c>
      <c r="M7585" s="2">
        <v>44805.0</v>
      </c>
      <c r="N7585" s="2" t="s">
        <v>21</v>
      </c>
    </row>
    <row r="7586" ht="15.75" customHeight="1">
      <c r="A7586" s="2">
        <v>2017.0</v>
      </c>
      <c r="B7586" s="2" t="s">
        <v>32041</v>
      </c>
      <c r="C7586" s="2" t="s">
        <v>32042</v>
      </c>
      <c r="D7586" s="2" t="str">
        <f>"8108951237"</f>
        <v>8108951237</v>
      </c>
      <c r="E7586" s="2" t="s">
        <v>3196</v>
      </c>
      <c r="F7586" s="2" t="s">
        <v>3903</v>
      </c>
      <c r="G7586" s="2" t="str">
        <f>"SR-10277"</f>
        <v>SR-10277</v>
      </c>
      <c r="H7586" s="2" t="s">
        <v>32043</v>
      </c>
      <c r="I7586" s="2" t="s">
        <v>32044</v>
      </c>
      <c r="K7586" s="2" t="s">
        <v>32045</v>
      </c>
      <c r="L7586" s="2" t="s">
        <v>29</v>
      </c>
      <c r="M7586" s="2">
        <v>48455.0</v>
      </c>
      <c r="N7586" s="2" t="s">
        <v>21</v>
      </c>
    </row>
    <row r="7587" ht="15.75" customHeight="1">
      <c r="A7587" s="2">
        <v>2017.0</v>
      </c>
      <c r="B7587" s="2" t="s">
        <v>32046</v>
      </c>
      <c r="C7587" s="2" t="s">
        <v>32047</v>
      </c>
      <c r="D7587" s="2" t="str">
        <f>"469-540-8465"</f>
        <v>469-540-8465</v>
      </c>
      <c r="E7587" s="2" t="s">
        <v>843</v>
      </c>
      <c r="F7587" s="2" t="s">
        <v>29815</v>
      </c>
      <c r="G7587" s="2" t="str">
        <f>"SR-10340"</f>
        <v>SR-10340</v>
      </c>
      <c r="H7587" s="2" t="s">
        <v>32048</v>
      </c>
      <c r="I7587" s="2" t="s">
        <v>32049</v>
      </c>
      <c r="K7587" s="2" t="s">
        <v>2643</v>
      </c>
      <c r="L7587" s="2" t="s">
        <v>172</v>
      </c>
      <c r="M7587" s="2">
        <v>75028.0</v>
      </c>
      <c r="N7587" s="2" t="s">
        <v>21</v>
      </c>
    </row>
    <row r="7588" ht="15.75" customHeight="1">
      <c r="A7588" s="2">
        <v>2017.0</v>
      </c>
      <c r="B7588" s="2" t="s">
        <v>32050</v>
      </c>
      <c r="C7588" s="2" t="s">
        <v>32050</v>
      </c>
      <c r="D7588" s="2" t="str">
        <f>"(907) 441-8865"</f>
        <v>(907) 441-8865</v>
      </c>
      <c r="E7588" s="2" t="s">
        <v>12166</v>
      </c>
      <c r="F7588" s="2" t="s">
        <v>701</v>
      </c>
      <c r="G7588" s="2" t="str">
        <f>"SR-10287"</f>
        <v>SR-10287</v>
      </c>
      <c r="H7588" s="2" t="s">
        <v>32051</v>
      </c>
      <c r="I7588" s="2" t="s">
        <v>32052</v>
      </c>
      <c r="K7588" s="2" t="s">
        <v>69</v>
      </c>
      <c r="L7588" s="2" t="s">
        <v>70</v>
      </c>
      <c r="M7588" s="2">
        <v>99504.0</v>
      </c>
      <c r="N7588" s="2" t="s">
        <v>21</v>
      </c>
    </row>
    <row r="7589" ht="15.75" customHeight="1">
      <c r="A7589" s="2">
        <v>2017.0</v>
      </c>
      <c r="B7589" s="2" t="s">
        <v>32053</v>
      </c>
      <c r="C7589" s="2" t="s">
        <v>32053</v>
      </c>
      <c r="D7589" s="2" t="str">
        <f>"(520) 678 9364"</f>
        <v>(520) 678 9364</v>
      </c>
      <c r="E7589" s="2" t="s">
        <v>9463</v>
      </c>
      <c r="F7589" s="2" t="s">
        <v>32054</v>
      </c>
      <c r="G7589" s="2" t="str">
        <f>"SR-10405"</f>
        <v>SR-10405</v>
      </c>
      <c r="H7589" s="2" t="s">
        <v>32055</v>
      </c>
      <c r="I7589" s="2" t="s">
        <v>32056</v>
      </c>
      <c r="K7589" s="2" t="s">
        <v>18852</v>
      </c>
      <c r="L7589" s="2" t="s">
        <v>422</v>
      </c>
      <c r="M7589" s="2">
        <v>85617.0</v>
      </c>
      <c r="N7589" s="2" t="s">
        <v>21</v>
      </c>
    </row>
    <row r="7590" ht="15.75" customHeight="1">
      <c r="A7590" s="2">
        <v>2017.0</v>
      </c>
      <c r="B7590" s="2" t="s">
        <v>27327</v>
      </c>
      <c r="C7590" s="2" t="s">
        <v>27328</v>
      </c>
      <c r="D7590" s="2" t="str">
        <f>"972-523-4293"</f>
        <v>972-523-4293</v>
      </c>
      <c r="E7590" s="2" t="s">
        <v>5548</v>
      </c>
      <c r="F7590" s="2" t="s">
        <v>10492</v>
      </c>
      <c r="G7590" s="2" t="str">
        <f>"SR-7841"</f>
        <v>SR-7841</v>
      </c>
      <c r="H7590" s="2" t="s">
        <v>27329</v>
      </c>
      <c r="I7590" s="2" t="s">
        <v>27330</v>
      </c>
      <c r="K7590" s="2" t="s">
        <v>3144</v>
      </c>
      <c r="L7590" s="2" t="s">
        <v>172</v>
      </c>
      <c r="M7590" s="2">
        <v>75013.0</v>
      </c>
      <c r="N7590" s="2" t="s">
        <v>21</v>
      </c>
    </row>
    <row r="7591" ht="15.75" customHeight="1">
      <c r="A7591" s="2">
        <v>2017.0</v>
      </c>
      <c r="B7591" s="2" t="s">
        <v>32057</v>
      </c>
      <c r="C7591" s="2" t="s">
        <v>32058</v>
      </c>
      <c r="D7591" s="2" t="str">
        <f>"412-606-9247"</f>
        <v>412-606-9247</v>
      </c>
      <c r="E7591" s="2" t="s">
        <v>9197</v>
      </c>
      <c r="F7591" s="2" t="s">
        <v>10706</v>
      </c>
      <c r="G7591" s="2" t="str">
        <f>"SR-10410"</f>
        <v>SR-10410</v>
      </c>
      <c r="H7591" s="2" t="s">
        <v>32059</v>
      </c>
      <c r="I7591" s="2" t="s">
        <v>32060</v>
      </c>
      <c r="K7591" s="2" t="s">
        <v>23171</v>
      </c>
      <c r="L7591" s="2" t="s">
        <v>179</v>
      </c>
      <c r="M7591" s="2">
        <v>15101.0</v>
      </c>
      <c r="N7591" s="2" t="s">
        <v>21</v>
      </c>
    </row>
    <row r="7592" ht="15.75" customHeight="1">
      <c r="A7592" s="2">
        <v>2017.0</v>
      </c>
      <c r="B7592" s="2" t="s">
        <v>32061</v>
      </c>
      <c r="C7592" s="2" t="s">
        <v>32062</v>
      </c>
      <c r="D7592" s="2" t="str">
        <f>"817-219-7515"</f>
        <v>817-219-7515</v>
      </c>
      <c r="E7592" s="2" t="s">
        <v>385</v>
      </c>
      <c r="F7592" s="2" t="s">
        <v>6413</v>
      </c>
      <c r="G7592" s="2" t="str">
        <f>"SR-10414"</f>
        <v>SR-10414</v>
      </c>
      <c r="H7592" s="2" t="s">
        <v>32063</v>
      </c>
      <c r="I7592" s="2" t="s">
        <v>32064</v>
      </c>
      <c r="K7592" s="2" t="s">
        <v>2046</v>
      </c>
      <c r="L7592" s="2" t="s">
        <v>172</v>
      </c>
      <c r="M7592" s="2">
        <v>76049.0</v>
      </c>
      <c r="N7592" s="2" t="s">
        <v>21</v>
      </c>
    </row>
    <row r="7593" ht="15.75" customHeight="1">
      <c r="A7593" s="2">
        <v>2017.0</v>
      </c>
      <c r="B7593" s="2" t="s">
        <v>27331</v>
      </c>
      <c r="C7593" s="2" t="s">
        <v>27332</v>
      </c>
      <c r="D7593" s="2" t="str">
        <f>"214-843-7303"</f>
        <v>214-843-7303</v>
      </c>
      <c r="E7593" s="2" t="s">
        <v>9975</v>
      </c>
      <c r="F7593" s="2" t="s">
        <v>2985</v>
      </c>
      <c r="G7593" s="2" t="str">
        <f>"SR-8608"</f>
        <v>SR-8608</v>
      </c>
      <c r="H7593" s="2" t="s">
        <v>27333</v>
      </c>
      <c r="I7593" s="2" t="s">
        <v>27334</v>
      </c>
      <c r="K7593" s="2" t="s">
        <v>3144</v>
      </c>
      <c r="L7593" s="2" t="s">
        <v>172</v>
      </c>
      <c r="M7593" s="2">
        <v>75013.0</v>
      </c>
      <c r="N7593" s="2" t="s">
        <v>21</v>
      </c>
    </row>
    <row r="7594" ht="15.75" customHeight="1">
      <c r="A7594" s="2">
        <v>2017.0</v>
      </c>
      <c r="B7594" s="2" t="s">
        <v>32065</v>
      </c>
      <c r="C7594" s="2" t="s">
        <v>32066</v>
      </c>
      <c r="D7594" s="2" t="str">
        <f>"2055355712"</f>
        <v>2055355712</v>
      </c>
      <c r="E7594" s="2" t="s">
        <v>847</v>
      </c>
      <c r="F7594" s="2" t="s">
        <v>32067</v>
      </c>
      <c r="G7594" s="2" t="str">
        <f>"SR-9780"</f>
        <v>SR-9780</v>
      </c>
      <c r="H7594" s="2" t="s">
        <v>32068</v>
      </c>
      <c r="I7594" s="2" t="s">
        <v>32069</v>
      </c>
      <c r="K7594" s="2" t="s">
        <v>31376</v>
      </c>
      <c r="L7594" s="2" t="s">
        <v>539</v>
      </c>
      <c r="M7594" s="2">
        <v>35406.0</v>
      </c>
      <c r="N7594" s="2" t="s">
        <v>21</v>
      </c>
    </row>
    <row r="7595" ht="15.75" customHeight="1">
      <c r="A7595" s="2">
        <v>2017.0</v>
      </c>
      <c r="B7595" s="2" t="s">
        <v>32070</v>
      </c>
      <c r="C7595" s="2" t="s">
        <v>32071</v>
      </c>
      <c r="D7595" s="2" t="str">
        <f>"7634639571"</f>
        <v>7634639571</v>
      </c>
      <c r="E7595" s="2" t="s">
        <v>8316</v>
      </c>
      <c r="F7595" s="2" t="s">
        <v>32072</v>
      </c>
      <c r="G7595" s="2" t="str">
        <f>"SR-10430"</f>
        <v>SR-10430</v>
      </c>
      <c r="H7595" s="2" t="s">
        <v>32073</v>
      </c>
      <c r="I7595" s="2" t="s">
        <v>32074</v>
      </c>
      <c r="K7595" s="2" t="s">
        <v>32075</v>
      </c>
      <c r="N7595" s="2" t="s">
        <v>32076</v>
      </c>
    </row>
    <row r="7596" ht="15.75" customHeight="1">
      <c r="A7596" s="2">
        <v>2017.0</v>
      </c>
      <c r="B7596" s="2" t="s">
        <v>32077</v>
      </c>
      <c r="C7596" s="2" t="s">
        <v>32078</v>
      </c>
      <c r="D7596" s="2" t="str">
        <f>"5042204460"</f>
        <v>5042204460</v>
      </c>
      <c r="E7596" s="2" t="s">
        <v>1434</v>
      </c>
      <c r="F7596" s="2" t="s">
        <v>984</v>
      </c>
      <c r="G7596" s="2" t="str">
        <f>"SR-10432"</f>
        <v>SR-10432</v>
      </c>
      <c r="H7596" s="2" t="s">
        <v>32079</v>
      </c>
      <c r="I7596" s="2" t="s">
        <v>32080</v>
      </c>
      <c r="K7596" s="2" t="s">
        <v>32081</v>
      </c>
      <c r="L7596" s="2" t="s">
        <v>165</v>
      </c>
      <c r="M7596" s="2">
        <v>22942.0</v>
      </c>
      <c r="N7596" s="2" t="s">
        <v>21</v>
      </c>
    </row>
    <row r="7597" ht="15.75" customHeight="1">
      <c r="A7597" s="2">
        <v>2017.0</v>
      </c>
      <c r="B7597" s="2" t="s">
        <v>32082</v>
      </c>
      <c r="C7597" s="2" t="s">
        <v>32083</v>
      </c>
      <c r="D7597" s="2" t="str">
        <f>"225-747-8952"</f>
        <v>225-747-8952</v>
      </c>
      <c r="E7597" s="2" t="s">
        <v>428</v>
      </c>
      <c r="F7597" s="2" t="s">
        <v>12676</v>
      </c>
      <c r="G7597" s="2" t="str">
        <f>"SR-10433"</f>
        <v>SR-10433</v>
      </c>
      <c r="H7597" s="2" t="s">
        <v>32084</v>
      </c>
      <c r="I7597" s="2" t="s">
        <v>32085</v>
      </c>
      <c r="K7597" s="2" t="s">
        <v>32086</v>
      </c>
      <c r="L7597" s="2" t="s">
        <v>715</v>
      </c>
      <c r="M7597" s="2">
        <v>70726.0</v>
      </c>
      <c r="N7597" s="2" t="s">
        <v>21</v>
      </c>
    </row>
    <row r="7598" ht="15.75" customHeight="1">
      <c r="A7598" s="2">
        <v>2017.0</v>
      </c>
      <c r="B7598" s="2" t="s">
        <v>32087</v>
      </c>
      <c r="C7598" s="2" t="s">
        <v>32088</v>
      </c>
      <c r="D7598" s="2" t="str">
        <f>"419-356-6221"</f>
        <v>419-356-6221</v>
      </c>
      <c r="E7598" s="2" t="s">
        <v>5760</v>
      </c>
      <c r="F7598" s="2" t="s">
        <v>18358</v>
      </c>
      <c r="G7598" s="2" t="str">
        <f>"SR-10434"</f>
        <v>SR-10434</v>
      </c>
      <c r="H7598" s="2" t="s">
        <v>32089</v>
      </c>
      <c r="I7598" s="2" t="s">
        <v>32090</v>
      </c>
      <c r="K7598" s="2" t="s">
        <v>32091</v>
      </c>
      <c r="L7598" s="2" t="s">
        <v>344</v>
      </c>
      <c r="M7598" s="2">
        <v>43566.0</v>
      </c>
      <c r="N7598" s="2" t="s">
        <v>21</v>
      </c>
    </row>
    <row r="7599" ht="15.75" customHeight="1">
      <c r="A7599" s="2">
        <v>2017.0</v>
      </c>
      <c r="B7599" s="2" t="s">
        <v>2546</v>
      </c>
      <c r="C7599" s="2" t="s">
        <v>25709</v>
      </c>
      <c r="D7599" s="2" t="str">
        <f>"7037273053"</f>
        <v>7037273053</v>
      </c>
      <c r="E7599" s="2" t="s">
        <v>217</v>
      </c>
      <c r="F7599" s="2" t="s">
        <v>2548</v>
      </c>
      <c r="G7599" s="2" t="str">
        <f>"SR-8079"</f>
        <v>SR-8079</v>
      </c>
      <c r="H7599" s="2" t="s">
        <v>25710</v>
      </c>
      <c r="I7599" s="2" t="s">
        <v>2550</v>
      </c>
      <c r="K7599" s="2" t="s">
        <v>2551</v>
      </c>
      <c r="L7599" s="2" t="s">
        <v>165</v>
      </c>
      <c r="M7599" s="2">
        <v>20135.0</v>
      </c>
      <c r="N7599" s="2" t="s">
        <v>21</v>
      </c>
    </row>
    <row r="7600" ht="15.75" customHeight="1">
      <c r="A7600" s="2">
        <v>2017.0</v>
      </c>
      <c r="B7600" s="2" t="s">
        <v>32092</v>
      </c>
      <c r="C7600" s="2" t="s">
        <v>32093</v>
      </c>
      <c r="D7600" s="2" t="str">
        <f>"9717084140"</f>
        <v>9717084140</v>
      </c>
      <c r="E7600" s="2" t="s">
        <v>32094</v>
      </c>
      <c r="F7600" s="2" t="s">
        <v>32095</v>
      </c>
      <c r="G7600" s="2" t="str">
        <f>"SR-10048"</f>
        <v>SR-10048</v>
      </c>
      <c r="H7600" s="2" t="s">
        <v>32096</v>
      </c>
      <c r="I7600" s="2" t="s">
        <v>32097</v>
      </c>
      <c r="K7600" s="2" t="s">
        <v>2921</v>
      </c>
      <c r="L7600" s="2" t="s">
        <v>2389</v>
      </c>
      <c r="M7600" s="2">
        <v>97116.0</v>
      </c>
      <c r="N7600" s="2" t="s">
        <v>21</v>
      </c>
    </row>
    <row r="7601" ht="15.75" customHeight="1">
      <c r="A7601" s="2">
        <v>2017.0</v>
      </c>
      <c r="B7601" s="2" t="s">
        <v>25167</v>
      </c>
      <c r="C7601" s="2" t="s">
        <v>32098</v>
      </c>
      <c r="D7601" s="2" t="str">
        <f>"951.473.4481"</f>
        <v>951.473.4481</v>
      </c>
      <c r="E7601" s="2" t="s">
        <v>7543</v>
      </c>
      <c r="F7601" s="2" t="s">
        <v>25169</v>
      </c>
      <c r="G7601" s="2" t="str">
        <f>"SR-9909"</f>
        <v>SR-9909</v>
      </c>
      <c r="H7601" s="2" t="s">
        <v>32099</v>
      </c>
      <c r="I7601" s="2" t="s">
        <v>25171</v>
      </c>
      <c r="K7601" s="2" t="s">
        <v>25172</v>
      </c>
      <c r="L7601" s="2" t="s">
        <v>222</v>
      </c>
      <c r="M7601" s="2">
        <v>92595.0</v>
      </c>
      <c r="N7601" s="2" t="s">
        <v>21</v>
      </c>
    </row>
    <row r="7602" ht="15.75" customHeight="1">
      <c r="A7602" s="2">
        <v>2017.0</v>
      </c>
      <c r="B7602" s="2" t="s">
        <v>32100</v>
      </c>
      <c r="C7602" s="2" t="s">
        <v>32101</v>
      </c>
      <c r="D7602" s="2" t="str">
        <f>"4029439088"</f>
        <v>4029439088</v>
      </c>
      <c r="E7602" s="2" t="s">
        <v>32102</v>
      </c>
      <c r="F7602" s="2" t="s">
        <v>32103</v>
      </c>
      <c r="G7602" s="2" t="str">
        <f>"SR-10435"</f>
        <v>SR-10435</v>
      </c>
      <c r="H7602" s="2" t="s">
        <v>32104</v>
      </c>
      <c r="I7602" s="2" t="s">
        <v>32105</v>
      </c>
      <c r="K7602" s="2" t="s">
        <v>32106</v>
      </c>
      <c r="L7602" s="2" t="s">
        <v>757</v>
      </c>
      <c r="M7602" s="2">
        <v>68022.0</v>
      </c>
      <c r="N7602" s="2" t="s">
        <v>21</v>
      </c>
    </row>
    <row r="7603" ht="15.75" customHeight="1">
      <c r="A7603" s="2">
        <v>2017.0</v>
      </c>
      <c r="B7603" s="2" t="s">
        <v>32107</v>
      </c>
      <c r="C7603" s="2" t="s">
        <v>32108</v>
      </c>
      <c r="D7603" s="2" t="str">
        <f>"713-725-2521"</f>
        <v>713-725-2521</v>
      </c>
      <c r="E7603" s="2" t="s">
        <v>23508</v>
      </c>
      <c r="F7603" s="2" t="s">
        <v>28594</v>
      </c>
      <c r="G7603" s="2" t="str">
        <f>"SR-10295"</f>
        <v>SR-10295</v>
      </c>
      <c r="H7603" s="2" t="s">
        <v>32109</v>
      </c>
      <c r="I7603" s="2" t="s">
        <v>28596</v>
      </c>
      <c r="K7603" s="2" t="s">
        <v>3524</v>
      </c>
      <c r="L7603" s="2" t="s">
        <v>172</v>
      </c>
      <c r="M7603" s="2">
        <v>77546.0</v>
      </c>
      <c r="N7603" s="2" t="s">
        <v>21</v>
      </c>
    </row>
    <row r="7604" ht="15.75" customHeight="1">
      <c r="A7604" s="2">
        <v>2017.0</v>
      </c>
      <c r="B7604" s="2" t="s">
        <v>32110</v>
      </c>
      <c r="C7604" s="2" t="s">
        <v>32111</v>
      </c>
      <c r="D7604" s="2" t="str">
        <f>"7174585674"</f>
        <v>7174585674</v>
      </c>
      <c r="E7604" s="2" t="s">
        <v>7758</v>
      </c>
      <c r="F7604" s="2" t="s">
        <v>32112</v>
      </c>
      <c r="G7604" s="2" t="str">
        <f>"SR-10412"</f>
        <v>SR-10412</v>
      </c>
      <c r="H7604" s="2" t="s">
        <v>32113</v>
      </c>
      <c r="I7604" s="2" t="s">
        <v>32114</v>
      </c>
      <c r="K7604" s="2" t="s">
        <v>32115</v>
      </c>
      <c r="L7604" s="2" t="s">
        <v>179</v>
      </c>
      <c r="M7604" s="2">
        <v>17055.0</v>
      </c>
      <c r="N7604" s="2" t="s">
        <v>21</v>
      </c>
    </row>
    <row r="7605" ht="15.75" customHeight="1">
      <c r="A7605" s="2">
        <v>2017.0</v>
      </c>
      <c r="B7605" s="2" t="s">
        <v>23842</v>
      </c>
      <c r="C7605" s="2" t="s">
        <v>23842</v>
      </c>
      <c r="D7605" s="2" t="str">
        <f>"262-527-2448"</f>
        <v>262-527-2448</v>
      </c>
      <c r="E7605" s="2" t="s">
        <v>1076</v>
      </c>
      <c r="F7605" s="2" t="s">
        <v>23843</v>
      </c>
      <c r="G7605" s="2" t="str">
        <f>"SR-7488"</f>
        <v>SR-7488</v>
      </c>
      <c r="H7605" s="2" t="s">
        <v>23844</v>
      </c>
      <c r="I7605" s="2" t="s">
        <v>23845</v>
      </c>
      <c r="K7605" s="2" t="s">
        <v>23846</v>
      </c>
      <c r="L7605" s="2" t="s">
        <v>193</v>
      </c>
      <c r="M7605" s="2">
        <v>53051.0</v>
      </c>
      <c r="N7605" s="2" t="s">
        <v>21</v>
      </c>
    </row>
    <row r="7606" ht="15.75" customHeight="1">
      <c r="A7606" s="2">
        <v>2017.0</v>
      </c>
      <c r="B7606" s="2" t="s">
        <v>32110</v>
      </c>
      <c r="C7606" s="2" t="s">
        <v>32116</v>
      </c>
      <c r="D7606" s="2" t="str">
        <f>"717-766-8217"</f>
        <v>717-766-8217</v>
      </c>
      <c r="E7606" s="2" t="s">
        <v>32117</v>
      </c>
      <c r="F7606" s="2" t="s">
        <v>32118</v>
      </c>
      <c r="G7606" s="2" t="str">
        <f>"SR-10415"</f>
        <v>SR-10415</v>
      </c>
      <c r="H7606" s="2" t="s">
        <v>32119</v>
      </c>
      <c r="I7606" s="2" t="s">
        <v>32120</v>
      </c>
      <c r="K7606" s="2" t="s">
        <v>32115</v>
      </c>
      <c r="L7606" s="2" t="s">
        <v>179</v>
      </c>
      <c r="M7606" s="2">
        <v>17055.0</v>
      </c>
      <c r="N7606" s="2" t="s">
        <v>21</v>
      </c>
    </row>
    <row r="7607" ht="15.75" customHeight="1">
      <c r="A7607" s="2">
        <v>2017.0</v>
      </c>
      <c r="B7607" s="2" t="s">
        <v>32121</v>
      </c>
      <c r="C7607" s="2" t="s">
        <v>32122</v>
      </c>
      <c r="D7607" s="2" t="str">
        <f>"919-309-0868"</f>
        <v>919-309-0868</v>
      </c>
      <c r="E7607" s="2" t="s">
        <v>824</v>
      </c>
      <c r="F7607" s="2" t="s">
        <v>1108</v>
      </c>
      <c r="G7607" s="2" t="str">
        <f>"SR-9889"</f>
        <v>SR-9889</v>
      </c>
      <c r="H7607" s="2" t="s">
        <v>32123</v>
      </c>
      <c r="I7607" s="2" t="s">
        <v>32124</v>
      </c>
      <c r="K7607" s="2" t="s">
        <v>1111</v>
      </c>
      <c r="L7607" s="2" t="s">
        <v>20</v>
      </c>
      <c r="M7607" s="2">
        <v>27712.0</v>
      </c>
      <c r="N7607" s="2" t="s">
        <v>21</v>
      </c>
    </row>
    <row r="7608" ht="15.75" customHeight="1">
      <c r="A7608" s="2">
        <v>2017.0</v>
      </c>
      <c r="B7608" s="2" t="s">
        <v>32125</v>
      </c>
      <c r="C7608" s="2" t="s">
        <v>25485</v>
      </c>
      <c r="D7608" s="2" t="str">
        <f>"8283699422"</f>
        <v>8283699422</v>
      </c>
      <c r="E7608" s="2" t="s">
        <v>19884</v>
      </c>
      <c r="F7608" s="2" t="s">
        <v>32126</v>
      </c>
      <c r="G7608" s="2" t="str">
        <f>"SR-10421"</f>
        <v>SR-10421</v>
      </c>
      <c r="H7608" s="2" t="s">
        <v>32127</v>
      </c>
      <c r="I7608" s="2" t="s">
        <v>32128</v>
      </c>
      <c r="K7608" s="2" t="s">
        <v>13666</v>
      </c>
      <c r="L7608" s="2" t="s">
        <v>20</v>
      </c>
      <c r="M7608" s="2">
        <v>28763.0</v>
      </c>
      <c r="N7608" s="2" t="s">
        <v>21</v>
      </c>
    </row>
    <row r="7609" ht="15.75" customHeight="1">
      <c r="A7609" s="2">
        <v>2017.0</v>
      </c>
      <c r="B7609" s="2" t="s">
        <v>32129</v>
      </c>
      <c r="C7609" s="2" t="s">
        <v>32130</v>
      </c>
      <c r="D7609" s="2" t="str">
        <f>"9724005129"</f>
        <v>9724005129</v>
      </c>
      <c r="E7609" s="2" t="s">
        <v>261</v>
      </c>
      <c r="F7609" s="2" t="s">
        <v>18873</v>
      </c>
      <c r="G7609" s="2" t="str">
        <f>"SR-10104"</f>
        <v>SR-10104</v>
      </c>
      <c r="H7609" s="2" t="s">
        <v>32131</v>
      </c>
      <c r="I7609" s="2" t="s">
        <v>32132</v>
      </c>
      <c r="K7609" s="2" t="s">
        <v>357</v>
      </c>
      <c r="L7609" s="2" t="s">
        <v>172</v>
      </c>
      <c r="M7609" s="2">
        <v>75025.0</v>
      </c>
      <c r="N7609" s="2" t="s">
        <v>21</v>
      </c>
    </row>
    <row r="7610" ht="15.75" customHeight="1">
      <c r="A7610" s="2">
        <v>2017.0</v>
      </c>
      <c r="B7610" s="2" t="s">
        <v>32133</v>
      </c>
      <c r="C7610" s="2" t="s">
        <v>32134</v>
      </c>
      <c r="D7610" s="2" t="str">
        <f>"423-333-6005"</f>
        <v>423-333-6005</v>
      </c>
      <c r="E7610" s="2" t="s">
        <v>32135</v>
      </c>
      <c r="F7610" s="2" t="s">
        <v>1496</v>
      </c>
      <c r="G7610" s="2" t="str">
        <f>"SR-10452"</f>
        <v>SR-10452</v>
      </c>
      <c r="H7610" s="2" t="s">
        <v>32136</v>
      </c>
      <c r="I7610" s="2" t="s">
        <v>32137</v>
      </c>
      <c r="K7610" s="2" t="s">
        <v>32138</v>
      </c>
      <c r="L7610" s="2" t="s">
        <v>279</v>
      </c>
      <c r="M7610" s="2">
        <v>37331.0</v>
      </c>
      <c r="N7610" s="2" t="s">
        <v>21</v>
      </c>
    </row>
    <row r="7611" ht="15.75" customHeight="1">
      <c r="A7611" s="2">
        <v>2017.0</v>
      </c>
      <c r="B7611" s="2" t="s">
        <v>32139</v>
      </c>
      <c r="C7611" s="2" t="s">
        <v>32140</v>
      </c>
      <c r="D7611" s="2" t="str">
        <f>"6015910044"</f>
        <v>6015910044</v>
      </c>
      <c r="E7611" s="2" t="s">
        <v>862</v>
      </c>
      <c r="F7611" s="2" t="s">
        <v>3903</v>
      </c>
      <c r="G7611" s="2" t="str">
        <f>"SR-10322"</f>
        <v>SR-10322</v>
      </c>
      <c r="H7611" s="2" t="s">
        <v>32141</v>
      </c>
      <c r="I7611" s="2" t="s">
        <v>32142</v>
      </c>
      <c r="K7611" s="2" t="s">
        <v>2147</v>
      </c>
      <c r="L7611" s="2" t="s">
        <v>1722</v>
      </c>
      <c r="M7611" s="2">
        <v>39042.0</v>
      </c>
      <c r="N7611" s="2" t="s">
        <v>21</v>
      </c>
    </row>
    <row r="7612" ht="15.75" customHeight="1">
      <c r="A7612" s="2">
        <v>2017.0</v>
      </c>
      <c r="B7612" s="2" t="s">
        <v>32143</v>
      </c>
      <c r="C7612" s="2" t="s">
        <v>32143</v>
      </c>
      <c r="D7612" s="2" t="str">
        <f>"(719) 722-1713"</f>
        <v>(719) 722-1713</v>
      </c>
      <c r="E7612" s="2" t="s">
        <v>261</v>
      </c>
      <c r="F7612" s="2" t="s">
        <v>32144</v>
      </c>
      <c r="G7612" s="2" t="str">
        <f>"SR-10454"</f>
        <v>SR-10454</v>
      </c>
      <c r="H7612" s="2" t="s">
        <v>32145</v>
      </c>
      <c r="I7612" s="2" t="s">
        <v>32146</v>
      </c>
      <c r="K7612" s="2" t="s">
        <v>809</v>
      </c>
      <c r="L7612" s="2" t="s">
        <v>157</v>
      </c>
      <c r="M7612" s="2">
        <v>80924.0</v>
      </c>
      <c r="N7612" s="2" t="s">
        <v>21</v>
      </c>
    </row>
    <row r="7613" ht="15.75" customHeight="1">
      <c r="A7613" s="2">
        <v>2017.0</v>
      </c>
      <c r="B7613" s="2" t="s">
        <v>32147</v>
      </c>
      <c r="C7613" s="2" t="s">
        <v>32147</v>
      </c>
      <c r="D7613" s="2" t="str">
        <f>"7636576725"</f>
        <v>7636576725</v>
      </c>
      <c r="E7613" s="2" t="s">
        <v>32148</v>
      </c>
      <c r="F7613" s="2" t="s">
        <v>32149</v>
      </c>
      <c r="G7613" s="2" t="str">
        <f>"SR-10456"</f>
        <v>SR-10456</v>
      </c>
      <c r="H7613" s="2" t="s">
        <v>32150</v>
      </c>
      <c r="I7613" s="2" t="s">
        <v>32151</v>
      </c>
      <c r="K7613" s="2" t="s">
        <v>32152</v>
      </c>
      <c r="L7613" s="2" t="s">
        <v>62</v>
      </c>
      <c r="M7613" s="2">
        <v>55319.0</v>
      </c>
      <c r="N7613" s="2" t="s">
        <v>21</v>
      </c>
    </row>
    <row r="7614" ht="15.75" customHeight="1">
      <c r="A7614" s="2">
        <v>2017.0</v>
      </c>
      <c r="B7614" s="2" t="s">
        <v>32153</v>
      </c>
      <c r="C7614" s="2" t="s">
        <v>32153</v>
      </c>
      <c r="D7614" s="2" t="str">
        <f>"5146688177"</f>
        <v>5146688177</v>
      </c>
      <c r="E7614" s="2" t="s">
        <v>6937</v>
      </c>
      <c r="F7614" s="2" t="s">
        <v>984</v>
      </c>
      <c r="G7614" s="2" t="str">
        <f>"SR-9881"</f>
        <v>SR-9881</v>
      </c>
      <c r="H7614" s="2" t="s">
        <v>32154</v>
      </c>
      <c r="I7614" s="2" t="s">
        <v>32155</v>
      </c>
      <c r="K7614" s="2" t="s">
        <v>32156</v>
      </c>
      <c r="L7614" s="2" t="s">
        <v>32157</v>
      </c>
      <c r="M7614" s="2" t="s">
        <v>32158</v>
      </c>
      <c r="N7614" s="2" t="s">
        <v>1602</v>
      </c>
    </row>
    <row r="7615" ht="15.75" customHeight="1">
      <c r="A7615" s="2">
        <v>2017.0</v>
      </c>
      <c r="B7615" s="2" t="s">
        <v>32159</v>
      </c>
      <c r="C7615" s="2" t="s">
        <v>32160</v>
      </c>
      <c r="D7615" s="2" t="str">
        <f>"336-816-7487"</f>
        <v>336-816-7487</v>
      </c>
      <c r="E7615" s="2" t="s">
        <v>301</v>
      </c>
      <c r="F7615" s="2" t="s">
        <v>32161</v>
      </c>
      <c r="G7615" s="2" t="str">
        <f>"SR-10455"</f>
        <v>SR-10455</v>
      </c>
      <c r="H7615" s="2" t="s">
        <v>32162</v>
      </c>
      <c r="I7615" s="2" t="s">
        <v>32163</v>
      </c>
      <c r="K7615" s="2" t="s">
        <v>14919</v>
      </c>
      <c r="L7615" s="2" t="s">
        <v>20</v>
      </c>
      <c r="M7615" s="2">
        <v>27103.0</v>
      </c>
      <c r="N7615" s="2" t="s">
        <v>21</v>
      </c>
    </row>
    <row r="7616" ht="15.75" customHeight="1">
      <c r="A7616" s="2">
        <v>2017.0</v>
      </c>
      <c r="B7616" s="2" t="s">
        <v>12315</v>
      </c>
      <c r="C7616" s="2" t="s">
        <v>32164</v>
      </c>
      <c r="D7616" s="2" t="str">
        <f>"336-712-6006"</f>
        <v>336-712-6006</v>
      </c>
      <c r="E7616" s="2" t="s">
        <v>2572</v>
      </c>
      <c r="F7616" s="2" t="s">
        <v>9752</v>
      </c>
      <c r="G7616" s="2" t="str">
        <f>"SR-10314"</f>
        <v>SR-10314</v>
      </c>
      <c r="H7616" s="2" t="s">
        <v>32165</v>
      </c>
      <c r="I7616" s="2" t="s">
        <v>32166</v>
      </c>
      <c r="K7616" s="2" t="s">
        <v>20462</v>
      </c>
      <c r="L7616" s="2" t="s">
        <v>20</v>
      </c>
      <c r="M7616" s="2">
        <v>27012.0</v>
      </c>
      <c r="N7616" s="2" t="s">
        <v>21</v>
      </c>
    </row>
    <row r="7617" ht="15.75" customHeight="1">
      <c r="A7617" s="2">
        <v>2017.0</v>
      </c>
      <c r="B7617" s="2" t="s">
        <v>32167</v>
      </c>
      <c r="C7617" s="2" t="s">
        <v>32167</v>
      </c>
      <c r="D7617" s="2" t="str">
        <f>"4067771135"</f>
        <v>4067771135</v>
      </c>
      <c r="E7617" s="2" t="s">
        <v>9010</v>
      </c>
      <c r="F7617" s="2" t="s">
        <v>19742</v>
      </c>
      <c r="G7617" s="2" t="str">
        <f>"SR-10453"</f>
        <v>SR-10453</v>
      </c>
      <c r="H7617" s="2" t="s">
        <v>32168</v>
      </c>
      <c r="I7617" s="2" t="s">
        <v>32169</v>
      </c>
      <c r="K7617" s="2" t="s">
        <v>9717</v>
      </c>
      <c r="L7617" s="2" t="s">
        <v>2696</v>
      </c>
      <c r="M7617" s="2">
        <v>59870.0</v>
      </c>
      <c r="N7617" s="2" t="s">
        <v>21</v>
      </c>
    </row>
    <row r="7618" ht="15.75" customHeight="1">
      <c r="A7618" s="2">
        <v>2017.0</v>
      </c>
      <c r="B7618" s="2" t="s">
        <v>32170</v>
      </c>
      <c r="C7618" s="2" t="s">
        <v>32171</v>
      </c>
      <c r="D7618" s="2" t="str">
        <f>"803-786-8443"</f>
        <v>803-786-8443</v>
      </c>
      <c r="E7618" s="2" t="s">
        <v>32172</v>
      </c>
      <c r="F7618" s="2" t="s">
        <v>12495</v>
      </c>
      <c r="G7618" s="2" t="str">
        <f>"SR-10376"</f>
        <v>SR-10376</v>
      </c>
      <c r="H7618" s="2" t="s">
        <v>32173</v>
      </c>
      <c r="I7618" s="2" t="s">
        <v>32174</v>
      </c>
      <c r="K7618" s="2" t="s">
        <v>2750</v>
      </c>
      <c r="L7618" s="2" t="s">
        <v>55</v>
      </c>
      <c r="M7618" s="2">
        <v>29203.0</v>
      </c>
      <c r="N7618" s="2" t="s">
        <v>21</v>
      </c>
    </row>
    <row r="7619" ht="15.75" customHeight="1">
      <c r="A7619" s="2">
        <v>2017.0</v>
      </c>
      <c r="B7619" s="2" t="s">
        <v>32175</v>
      </c>
      <c r="C7619" s="2" t="s">
        <v>32175</v>
      </c>
      <c r="D7619" s="2" t="str">
        <f>"612-401-7767"</f>
        <v>612-401-7767</v>
      </c>
      <c r="E7619" s="2" t="s">
        <v>3650</v>
      </c>
      <c r="F7619" s="2" t="s">
        <v>32149</v>
      </c>
      <c r="G7619" s="2" t="str">
        <f>"SR-10459"</f>
        <v>SR-10459</v>
      </c>
      <c r="H7619" s="2" t="s">
        <v>32176</v>
      </c>
      <c r="I7619" s="2" t="s">
        <v>32177</v>
      </c>
      <c r="J7619" s="2" t="s">
        <v>32178</v>
      </c>
      <c r="K7619" s="2" t="s">
        <v>18150</v>
      </c>
      <c r="L7619" s="2" t="s">
        <v>62</v>
      </c>
      <c r="M7619" s="2">
        <v>55303.0</v>
      </c>
      <c r="N7619" s="2" t="s">
        <v>21</v>
      </c>
    </row>
    <row r="7620" ht="15.75" customHeight="1">
      <c r="A7620" s="2">
        <v>2017.0</v>
      </c>
      <c r="B7620" s="2" t="s">
        <v>32179</v>
      </c>
      <c r="C7620" s="2" t="s">
        <v>32180</v>
      </c>
      <c r="D7620" s="2" t="str">
        <f>"6199719203"</f>
        <v>6199719203</v>
      </c>
      <c r="E7620" s="2" t="s">
        <v>385</v>
      </c>
      <c r="F7620" s="2" t="s">
        <v>784</v>
      </c>
      <c r="G7620" s="2" t="str">
        <f>"SR-10468"</f>
        <v>SR-10468</v>
      </c>
      <c r="H7620" s="2" t="s">
        <v>785</v>
      </c>
      <c r="I7620" s="2" t="s">
        <v>32181</v>
      </c>
      <c r="K7620" s="2" t="s">
        <v>809</v>
      </c>
      <c r="L7620" s="2" t="s">
        <v>157</v>
      </c>
      <c r="M7620" s="2">
        <v>80922.0</v>
      </c>
      <c r="N7620" s="2" t="s">
        <v>21</v>
      </c>
    </row>
    <row r="7621" ht="15.75" customHeight="1">
      <c r="A7621" s="2">
        <v>2017.0</v>
      </c>
      <c r="B7621" s="2" t="s">
        <v>14536</v>
      </c>
      <c r="C7621" s="2" t="s">
        <v>32182</v>
      </c>
      <c r="D7621" s="2" t="str">
        <f>"817-938-1176"</f>
        <v>817-938-1176</v>
      </c>
      <c r="E7621" s="2" t="s">
        <v>705</v>
      </c>
      <c r="F7621" s="2" t="s">
        <v>14538</v>
      </c>
      <c r="G7621" s="2" t="str">
        <f>"SR-10466"</f>
        <v>SR-10466</v>
      </c>
      <c r="H7621" s="2" t="s">
        <v>32183</v>
      </c>
      <c r="I7621" s="2" t="s">
        <v>14540</v>
      </c>
      <c r="K7621" s="2" t="s">
        <v>1260</v>
      </c>
      <c r="L7621" s="2" t="s">
        <v>172</v>
      </c>
      <c r="M7621" s="2">
        <v>76133.0</v>
      </c>
      <c r="N7621" s="2" t="s">
        <v>21</v>
      </c>
    </row>
    <row r="7622" ht="15.75" customHeight="1">
      <c r="A7622" s="2">
        <v>2017.0</v>
      </c>
      <c r="B7622" s="2" t="s">
        <v>32184</v>
      </c>
      <c r="C7622" s="2" t="s">
        <v>32185</v>
      </c>
      <c r="D7622" s="2" t="str">
        <f>"7195730029"</f>
        <v>7195730029</v>
      </c>
      <c r="E7622" s="2" t="s">
        <v>167</v>
      </c>
      <c r="F7622" s="2" t="s">
        <v>13920</v>
      </c>
      <c r="G7622" s="2" t="str">
        <f>"SR-10323"</f>
        <v>SR-10323</v>
      </c>
      <c r="H7622" s="2" t="s">
        <v>32186</v>
      </c>
      <c r="I7622" s="2" t="s">
        <v>32187</v>
      </c>
      <c r="K7622" s="2" t="s">
        <v>809</v>
      </c>
      <c r="L7622" s="2" t="s">
        <v>157</v>
      </c>
      <c r="M7622" s="2">
        <v>80920.0</v>
      </c>
      <c r="N7622" s="2" t="s">
        <v>21</v>
      </c>
    </row>
    <row r="7623" ht="15.75" customHeight="1">
      <c r="A7623" s="2">
        <v>2017.0</v>
      </c>
      <c r="B7623" s="2" t="s">
        <v>32188</v>
      </c>
      <c r="C7623" s="2" t="s">
        <v>32189</v>
      </c>
      <c r="D7623" s="2" t="str">
        <f>"832-776-8159"</f>
        <v>832-776-8159</v>
      </c>
      <c r="E7623" s="2" t="s">
        <v>1450</v>
      </c>
      <c r="F7623" s="2" t="s">
        <v>690</v>
      </c>
      <c r="G7623" s="2" t="str">
        <f>"SR-10199"</f>
        <v>SR-10199</v>
      </c>
      <c r="H7623" s="2" t="s">
        <v>32190</v>
      </c>
      <c r="I7623" s="2" t="s">
        <v>32191</v>
      </c>
      <c r="K7623" s="2" t="s">
        <v>2182</v>
      </c>
      <c r="L7623" s="2" t="s">
        <v>172</v>
      </c>
      <c r="M7623" s="2">
        <v>77479.0</v>
      </c>
      <c r="N7623" s="2" t="s">
        <v>21</v>
      </c>
    </row>
    <row r="7624" ht="15.75" customHeight="1">
      <c r="A7624" s="2">
        <v>2017.0</v>
      </c>
      <c r="B7624" s="2" t="s">
        <v>32192</v>
      </c>
      <c r="C7624" s="2" t="s">
        <v>32192</v>
      </c>
      <c r="D7624" s="2" t="str">
        <f>"7194452151"</f>
        <v>7194452151</v>
      </c>
      <c r="E7624" s="2" t="s">
        <v>651</v>
      </c>
      <c r="F7624" s="2" t="s">
        <v>28885</v>
      </c>
      <c r="G7624" s="2" t="str">
        <f>"SR-10473"</f>
        <v>SR-10473</v>
      </c>
      <c r="H7624" s="2" t="s">
        <v>32193</v>
      </c>
      <c r="I7624" s="2" t="s">
        <v>32194</v>
      </c>
      <c r="K7624" s="2" t="s">
        <v>809</v>
      </c>
      <c r="L7624" s="2" t="s">
        <v>157</v>
      </c>
      <c r="M7624" s="2">
        <v>80915.0</v>
      </c>
      <c r="N7624" s="2" t="s">
        <v>21</v>
      </c>
    </row>
    <row r="7625" ht="15.75" customHeight="1">
      <c r="A7625" s="2">
        <v>2017.0</v>
      </c>
      <c r="B7625" s="2" t="s">
        <v>32195</v>
      </c>
      <c r="C7625" s="2" t="s">
        <v>32196</v>
      </c>
      <c r="D7625" s="2" t="str">
        <f>"7202707251"</f>
        <v>7202707251</v>
      </c>
      <c r="E7625" s="2" t="s">
        <v>975</v>
      </c>
      <c r="F7625" s="2" t="s">
        <v>3028</v>
      </c>
      <c r="G7625" s="2" t="str">
        <f>"SR-10472"</f>
        <v>SR-10472</v>
      </c>
      <c r="H7625" s="2" t="s">
        <v>32197</v>
      </c>
      <c r="I7625" s="2" t="s">
        <v>32198</v>
      </c>
      <c r="K7625" s="2" t="s">
        <v>1889</v>
      </c>
      <c r="L7625" s="2" t="s">
        <v>157</v>
      </c>
      <c r="M7625" s="2">
        <v>80123.0</v>
      </c>
      <c r="N7625" s="2" t="s">
        <v>21</v>
      </c>
    </row>
    <row r="7626" ht="15.75" customHeight="1">
      <c r="A7626" s="2">
        <v>2017.0</v>
      </c>
      <c r="B7626" s="2" t="s">
        <v>32199</v>
      </c>
      <c r="C7626" s="2" t="s">
        <v>32199</v>
      </c>
      <c r="D7626" s="2" t="str">
        <f>"9544610370"</f>
        <v>9544610370</v>
      </c>
      <c r="E7626" s="2" t="s">
        <v>580</v>
      </c>
      <c r="F7626" s="2" t="s">
        <v>2894</v>
      </c>
      <c r="G7626" s="2" t="str">
        <f>"SR-10475"</f>
        <v>SR-10475</v>
      </c>
      <c r="H7626" s="2" t="s">
        <v>32200</v>
      </c>
      <c r="I7626" s="2" t="s">
        <v>32201</v>
      </c>
      <c r="K7626" s="2" t="s">
        <v>2897</v>
      </c>
      <c r="L7626" s="2" t="s">
        <v>208</v>
      </c>
      <c r="M7626" s="2">
        <v>33065.0</v>
      </c>
      <c r="N7626" s="2" t="s">
        <v>21</v>
      </c>
    </row>
    <row r="7627" ht="15.75" customHeight="1">
      <c r="A7627" s="2">
        <v>2017.0</v>
      </c>
      <c r="B7627" s="2" t="s">
        <v>32202</v>
      </c>
      <c r="C7627" s="2" t="s">
        <v>32203</v>
      </c>
      <c r="D7627" s="2" t="str">
        <f>"480-285-6843"</f>
        <v>480-285-6843</v>
      </c>
      <c r="E7627" s="2" t="s">
        <v>144</v>
      </c>
      <c r="F7627" s="2" t="s">
        <v>32204</v>
      </c>
      <c r="G7627" s="2" t="str">
        <f>"SR-10142"</f>
        <v>SR-10142</v>
      </c>
      <c r="H7627" s="2" t="s">
        <v>32205</v>
      </c>
      <c r="I7627" s="2" t="s">
        <v>32206</v>
      </c>
      <c r="K7627" s="2" t="s">
        <v>24774</v>
      </c>
      <c r="L7627" s="2" t="s">
        <v>422</v>
      </c>
      <c r="M7627" s="2">
        <v>85086.0</v>
      </c>
      <c r="N7627" s="2" t="s">
        <v>21</v>
      </c>
    </row>
    <row r="7628" ht="15.75" customHeight="1">
      <c r="A7628" s="2">
        <v>2017.0</v>
      </c>
      <c r="B7628" s="2" t="s">
        <v>32202</v>
      </c>
      <c r="C7628" s="2" t="s">
        <v>32207</v>
      </c>
      <c r="D7628" s="2" t="str">
        <f>"480-822-8338"</f>
        <v>480-822-8338</v>
      </c>
      <c r="E7628" s="2" t="s">
        <v>3597</v>
      </c>
      <c r="F7628" s="2" t="s">
        <v>2548</v>
      </c>
      <c r="G7628" s="2" t="str">
        <f>"SR-10143"</f>
        <v>SR-10143</v>
      </c>
      <c r="H7628" s="2" t="s">
        <v>32208</v>
      </c>
      <c r="I7628" s="2" t="s">
        <v>32209</v>
      </c>
      <c r="K7628" s="2" t="s">
        <v>24774</v>
      </c>
      <c r="L7628" s="2" t="s">
        <v>422</v>
      </c>
      <c r="M7628" s="2">
        <v>85086.0</v>
      </c>
      <c r="N7628" s="2" t="s">
        <v>21</v>
      </c>
    </row>
    <row r="7629" ht="15.75" customHeight="1">
      <c r="A7629" s="2">
        <v>2017.0</v>
      </c>
      <c r="B7629" s="2" t="s">
        <v>32210</v>
      </c>
      <c r="C7629" s="2" t="s">
        <v>32211</v>
      </c>
      <c r="D7629" s="2" t="str">
        <f>"507-889-4009"</f>
        <v>507-889-4009</v>
      </c>
      <c r="E7629" s="2" t="s">
        <v>1015</v>
      </c>
      <c r="F7629" s="2" t="s">
        <v>29522</v>
      </c>
      <c r="G7629" s="2" t="str">
        <f>"SR-10477"</f>
        <v>SR-10477</v>
      </c>
      <c r="H7629" s="2" t="s">
        <v>32212</v>
      </c>
      <c r="I7629" s="2" t="s">
        <v>32213</v>
      </c>
      <c r="J7629" s="2" t="s">
        <v>32214</v>
      </c>
      <c r="K7629" s="2" t="s">
        <v>32215</v>
      </c>
      <c r="L7629" s="2" t="s">
        <v>62</v>
      </c>
      <c r="M7629" s="2">
        <v>56045.0</v>
      </c>
      <c r="N7629" s="2" t="s">
        <v>21</v>
      </c>
    </row>
    <row r="7630" ht="15.75" customHeight="1">
      <c r="A7630" s="2">
        <v>2017.0</v>
      </c>
      <c r="B7630" s="2" t="s">
        <v>32216</v>
      </c>
      <c r="C7630" s="2" t="s">
        <v>25485</v>
      </c>
      <c r="D7630" s="2" t="str">
        <f>"704-491-9112"</f>
        <v>704-491-9112</v>
      </c>
      <c r="E7630" s="2" t="s">
        <v>1094</v>
      </c>
      <c r="F7630" s="2" t="s">
        <v>32217</v>
      </c>
      <c r="G7630" s="2" t="str">
        <f>"SR-10479"</f>
        <v>SR-10479</v>
      </c>
      <c r="H7630" s="2" t="s">
        <v>32218</v>
      </c>
      <c r="I7630" s="2" t="s">
        <v>32219</v>
      </c>
      <c r="K7630" s="2" t="s">
        <v>19</v>
      </c>
      <c r="L7630" s="2" t="s">
        <v>20</v>
      </c>
      <c r="M7630" s="2">
        <v>28226.0</v>
      </c>
      <c r="N7630" s="2" t="s">
        <v>21</v>
      </c>
    </row>
    <row r="7631" ht="15.75" customHeight="1">
      <c r="A7631" s="2">
        <v>2017.0</v>
      </c>
      <c r="B7631" s="2" t="s">
        <v>32220</v>
      </c>
      <c r="C7631" s="2" t="s">
        <v>32221</v>
      </c>
      <c r="D7631" s="2" t="str">
        <f>"703 505 1543"</f>
        <v>703 505 1543</v>
      </c>
      <c r="E7631" s="2" t="s">
        <v>32222</v>
      </c>
      <c r="F7631" s="2" t="s">
        <v>9331</v>
      </c>
      <c r="G7631" s="2" t="str">
        <f>"SR-10458"</f>
        <v>SR-10458</v>
      </c>
      <c r="H7631" s="2" t="s">
        <v>32223</v>
      </c>
      <c r="I7631" s="2" t="s">
        <v>32224</v>
      </c>
      <c r="K7631" s="2" t="s">
        <v>9334</v>
      </c>
      <c r="L7631" s="2" t="s">
        <v>165</v>
      </c>
      <c r="M7631" s="2">
        <v>22030.0</v>
      </c>
      <c r="N7631" s="2" t="s">
        <v>21</v>
      </c>
    </row>
    <row r="7632" ht="15.75" customHeight="1">
      <c r="A7632" s="2">
        <v>2017.0</v>
      </c>
      <c r="B7632" s="2" t="s">
        <v>32225</v>
      </c>
      <c r="C7632" s="2" t="s">
        <v>32225</v>
      </c>
      <c r="D7632" s="2" t="str">
        <f>"256-339-5578"</f>
        <v>256-339-5578</v>
      </c>
      <c r="E7632" s="2" t="s">
        <v>2841</v>
      </c>
      <c r="F7632" s="2" t="s">
        <v>32226</v>
      </c>
      <c r="G7632" s="2" t="str">
        <f>"SR-10481"</f>
        <v>SR-10481</v>
      </c>
      <c r="H7632" s="2" t="s">
        <v>32227</v>
      </c>
      <c r="I7632" s="2" t="s">
        <v>32228</v>
      </c>
      <c r="K7632" s="2" t="s">
        <v>21375</v>
      </c>
      <c r="L7632" s="2" t="s">
        <v>539</v>
      </c>
      <c r="M7632" s="2">
        <v>35055.0</v>
      </c>
      <c r="N7632" s="2" t="s">
        <v>21</v>
      </c>
    </row>
    <row r="7633" ht="15.75" customHeight="1">
      <c r="A7633" s="2">
        <v>2017.0</v>
      </c>
      <c r="B7633" s="2" t="s">
        <v>32229</v>
      </c>
      <c r="C7633" s="2" t="s">
        <v>32230</v>
      </c>
      <c r="D7633" s="2" t="str">
        <f>"7174629384"</f>
        <v>7174629384</v>
      </c>
      <c r="E7633" s="2" t="s">
        <v>261</v>
      </c>
      <c r="F7633" s="2" t="s">
        <v>32231</v>
      </c>
      <c r="G7633" s="2" t="str">
        <f>"SR-10156"</f>
        <v>SR-10156</v>
      </c>
      <c r="H7633" s="2" t="s">
        <v>32232</v>
      </c>
      <c r="I7633" s="2" t="s">
        <v>32233</v>
      </c>
      <c r="K7633" s="2" t="s">
        <v>32234</v>
      </c>
      <c r="L7633" s="2" t="s">
        <v>179</v>
      </c>
      <c r="M7633" s="2">
        <v>17350.0</v>
      </c>
      <c r="N7633" s="2" t="s">
        <v>21</v>
      </c>
    </row>
    <row r="7634" ht="15.75" customHeight="1">
      <c r="A7634" s="2">
        <v>2017.0</v>
      </c>
      <c r="B7634" s="2" t="s">
        <v>32235</v>
      </c>
      <c r="C7634" s="2" t="s">
        <v>32236</v>
      </c>
      <c r="D7634" s="2" t="str">
        <f>"8183952538"</f>
        <v>8183952538</v>
      </c>
      <c r="E7634" s="2" t="s">
        <v>4769</v>
      </c>
      <c r="F7634" s="2" t="s">
        <v>32237</v>
      </c>
      <c r="G7634" s="2" t="str">
        <f>"SR-9477"</f>
        <v>SR-9477</v>
      </c>
      <c r="H7634" s="2" t="s">
        <v>32238</v>
      </c>
      <c r="I7634" s="2" t="s">
        <v>32239</v>
      </c>
      <c r="K7634" s="2" t="s">
        <v>1223</v>
      </c>
      <c r="L7634" s="2" t="s">
        <v>157</v>
      </c>
      <c r="M7634" s="2">
        <v>80433.0</v>
      </c>
      <c r="N7634" s="2" t="s">
        <v>21</v>
      </c>
    </row>
    <row r="7635" ht="15.75" customHeight="1">
      <c r="A7635" s="2">
        <v>2017.0</v>
      </c>
      <c r="B7635" s="2" t="s">
        <v>17796</v>
      </c>
      <c r="C7635" s="2" t="s">
        <v>17797</v>
      </c>
      <c r="D7635" s="2" t="str">
        <f>"3208454979"</f>
        <v>3208454979</v>
      </c>
      <c r="E7635" s="2" t="s">
        <v>17798</v>
      </c>
      <c r="F7635" s="2" t="s">
        <v>2214</v>
      </c>
      <c r="G7635" s="2" t="str">
        <f>"SR-5484"</f>
        <v>SR-5484</v>
      </c>
      <c r="H7635" s="2" t="s">
        <v>17799</v>
      </c>
      <c r="I7635" s="2" t="s">
        <v>17800</v>
      </c>
      <c r="K7635" s="2" t="s">
        <v>7670</v>
      </c>
      <c r="L7635" s="2" t="s">
        <v>62</v>
      </c>
      <c r="M7635" s="2">
        <v>56307.0</v>
      </c>
      <c r="N7635" s="2" t="s">
        <v>21</v>
      </c>
    </row>
    <row r="7636" ht="15.75" customHeight="1">
      <c r="A7636" s="2">
        <v>2017.0</v>
      </c>
      <c r="B7636" s="2" t="s">
        <v>32210</v>
      </c>
      <c r="C7636" s="2" t="s">
        <v>32240</v>
      </c>
      <c r="D7636" s="2" t="str">
        <f>"507-889-4009"</f>
        <v>507-889-4009</v>
      </c>
      <c r="E7636" s="2" t="s">
        <v>2243</v>
      </c>
      <c r="F7636" s="2" t="s">
        <v>29522</v>
      </c>
      <c r="G7636" s="2" t="str">
        <f>"SR-9854"</f>
        <v>SR-9854</v>
      </c>
      <c r="H7636" s="2" t="s">
        <v>32241</v>
      </c>
      <c r="I7636" s="2" t="s">
        <v>32242</v>
      </c>
      <c r="J7636" s="2" t="s">
        <v>32243</v>
      </c>
      <c r="K7636" s="2" t="s">
        <v>32215</v>
      </c>
      <c r="L7636" s="2" t="s">
        <v>62</v>
      </c>
      <c r="M7636" s="2">
        <v>56045.0</v>
      </c>
      <c r="N7636" s="2" t="s">
        <v>21</v>
      </c>
    </row>
    <row r="7637" ht="15.75" customHeight="1">
      <c r="A7637" s="2">
        <v>2017.0</v>
      </c>
      <c r="B7637" s="2" t="s">
        <v>32244</v>
      </c>
      <c r="C7637" s="2" t="s">
        <v>32245</v>
      </c>
      <c r="D7637" s="2" t="str">
        <f>"507-822-9379"</f>
        <v>507-822-9379</v>
      </c>
      <c r="E7637" s="2" t="s">
        <v>862</v>
      </c>
      <c r="F7637" s="2" t="s">
        <v>2875</v>
      </c>
      <c r="G7637" s="2" t="str">
        <f>"SR-10488"</f>
        <v>SR-10488</v>
      </c>
      <c r="H7637" s="2" t="s">
        <v>32246</v>
      </c>
      <c r="I7637" s="2" t="s">
        <v>32247</v>
      </c>
      <c r="K7637" s="2" t="s">
        <v>5101</v>
      </c>
      <c r="L7637" s="2" t="s">
        <v>62</v>
      </c>
      <c r="M7637" s="2">
        <v>56118.0</v>
      </c>
      <c r="N7637" s="2" t="s">
        <v>21</v>
      </c>
    </row>
    <row r="7638" ht="15.75" customHeight="1">
      <c r="A7638" s="2">
        <v>2017.0</v>
      </c>
      <c r="B7638" s="2" t="s">
        <v>11516</v>
      </c>
      <c r="C7638" s="2" t="s">
        <v>11516</v>
      </c>
      <c r="D7638" s="2" t="str">
        <f>"6157390958"</f>
        <v>6157390958</v>
      </c>
      <c r="E7638" s="2" t="s">
        <v>282</v>
      </c>
      <c r="F7638" s="2" t="s">
        <v>11517</v>
      </c>
      <c r="G7638" s="2" t="str">
        <f>"SR-3411"</f>
        <v>SR-3411</v>
      </c>
      <c r="H7638" s="2" t="s">
        <v>11518</v>
      </c>
      <c r="I7638" s="2" t="s">
        <v>11519</v>
      </c>
      <c r="K7638" s="2" t="s">
        <v>11520</v>
      </c>
      <c r="L7638" s="2" t="s">
        <v>279</v>
      </c>
      <c r="M7638" s="2">
        <v>37128.0</v>
      </c>
      <c r="N7638" s="2" t="s">
        <v>21</v>
      </c>
    </row>
    <row r="7639" ht="15.75" customHeight="1">
      <c r="A7639" s="2">
        <v>2017.0</v>
      </c>
      <c r="B7639" s="2" t="s">
        <v>32248</v>
      </c>
      <c r="C7639" s="2" t="s">
        <v>32248</v>
      </c>
      <c r="D7639" s="2" t="str">
        <f>"402-379-3054"</f>
        <v>402-379-3054</v>
      </c>
      <c r="E7639" s="2" t="s">
        <v>4129</v>
      </c>
      <c r="F7639" s="2" t="s">
        <v>429</v>
      </c>
      <c r="G7639" s="2" t="str">
        <f>"SR-10491"</f>
        <v>SR-10491</v>
      </c>
      <c r="H7639" s="2" t="s">
        <v>32249</v>
      </c>
      <c r="I7639" s="2" t="s">
        <v>32250</v>
      </c>
      <c r="K7639" s="2" t="s">
        <v>11726</v>
      </c>
      <c r="L7639" s="2" t="s">
        <v>757</v>
      </c>
      <c r="M7639" s="2">
        <v>68701.0</v>
      </c>
      <c r="N7639" s="2" t="s">
        <v>21</v>
      </c>
    </row>
    <row r="7640" ht="15.75" customHeight="1">
      <c r="A7640" s="2">
        <v>2017.0</v>
      </c>
      <c r="B7640" s="2" t="s">
        <v>32251</v>
      </c>
      <c r="C7640" s="2" t="s">
        <v>32252</v>
      </c>
      <c r="D7640" s="2" t="str">
        <f>"805-748-7340"</f>
        <v>805-748-7340</v>
      </c>
      <c r="E7640" s="2" t="s">
        <v>32253</v>
      </c>
      <c r="F7640" s="2" t="s">
        <v>32254</v>
      </c>
      <c r="G7640" s="2" t="str">
        <f>"SR-10498"</f>
        <v>SR-10498</v>
      </c>
      <c r="H7640" s="2" t="s">
        <v>32255</v>
      </c>
      <c r="I7640" s="2" t="s">
        <v>32256</v>
      </c>
      <c r="K7640" s="2" t="s">
        <v>10498</v>
      </c>
      <c r="L7640" s="2" t="s">
        <v>222</v>
      </c>
      <c r="M7640" s="2">
        <v>93422.0</v>
      </c>
      <c r="N7640" s="2" t="s">
        <v>21</v>
      </c>
    </row>
    <row r="7641" ht="15.75" customHeight="1">
      <c r="A7641" s="2">
        <v>2017.0</v>
      </c>
      <c r="B7641" s="2" t="s">
        <v>32257</v>
      </c>
      <c r="C7641" s="2" t="s">
        <v>32257</v>
      </c>
      <c r="D7641" s="2" t="str">
        <f>"6053707417"</f>
        <v>6053707417</v>
      </c>
      <c r="E7641" s="2" t="s">
        <v>908</v>
      </c>
      <c r="F7641" s="2" t="s">
        <v>32258</v>
      </c>
      <c r="G7641" s="2" t="str">
        <f>"SR-10489"</f>
        <v>SR-10489</v>
      </c>
      <c r="H7641" s="2" t="s">
        <v>32259</v>
      </c>
      <c r="I7641" s="2" t="s">
        <v>32260</v>
      </c>
      <c r="K7641" s="2" t="s">
        <v>2147</v>
      </c>
      <c r="L7641" s="2" t="s">
        <v>920</v>
      </c>
      <c r="M7641" s="2">
        <v>57005.0</v>
      </c>
      <c r="N7641" s="2" t="s">
        <v>21</v>
      </c>
    </row>
    <row r="7642" ht="15.75" customHeight="1">
      <c r="A7642" s="2">
        <v>2017.0</v>
      </c>
      <c r="B7642" s="2" t="s">
        <v>32261</v>
      </c>
      <c r="C7642" s="2" t="s">
        <v>32261</v>
      </c>
      <c r="D7642" s="2" t="str">
        <f>"7854773534"</f>
        <v>7854773534</v>
      </c>
      <c r="E7642" s="2" t="s">
        <v>32262</v>
      </c>
      <c r="F7642" s="2" t="s">
        <v>4358</v>
      </c>
      <c r="G7642" s="2" t="str">
        <f>"SR-9864"</f>
        <v>SR-9864</v>
      </c>
      <c r="H7642" s="2" t="s">
        <v>32263</v>
      </c>
      <c r="I7642" s="2" t="s">
        <v>32264</v>
      </c>
      <c r="K7642" s="2" t="s">
        <v>752</v>
      </c>
      <c r="L7642" s="2" t="s">
        <v>272</v>
      </c>
      <c r="M7642" s="2">
        <v>66531.0</v>
      </c>
      <c r="N7642" s="2" t="s">
        <v>21</v>
      </c>
    </row>
    <row r="7643" ht="15.75" customHeight="1">
      <c r="A7643" s="2">
        <v>2017.0</v>
      </c>
      <c r="B7643" s="2" t="s">
        <v>32265</v>
      </c>
      <c r="C7643" s="2" t="s">
        <v>32266</v>
      </c>
      <c r="D7643" s="2" t="str">
        <f>"6512618973"</f>
        <v>6512618973</v>
      </c>
      <c r="E7643" s="2" t="s">
        <v>651</v>
      </c>
      <c r="F7643" s="2" t="s">
        <v>32267</v>
      </c>
      <c r="G7643" s="2" t="str">
        <f>"SR-10407"</f>
        <v>SR-10407</v>
      </c>
      <c r="H7643" s="2" t="s">
        <v>32268</v>
      </c>
      <c r="I7643" s="2" t="s">
        <v>32269</v>
      </c>
      <c r="K7643" s="2" t="s">
        <v>32270</v>
      </c>
      <c r="L7643" s="2" t="s">
        <v>62</v>
      </c>
      <c r="M7643" s="2">
        <v>55068.0</v>
      </c>
      <c r="N7643" s="2" t="s">
        <v>21</v>
      </c>
    </row>
    <row r="7644" ht="15.75" customHeight="1">
      <c r="A7644" s="2">
        <v>2017.0</v>
      </c>
      <c r="B7644" s="2" t="s">
        <v>25116</v>
      </c>
      <c r="C7644" s="2" t="s">
        <v>32271</v>
      </c>
      <c r="D7644" s="2" t="str">
        <f>"507-298-1312"</f>
        <v>507-298-1312</v>
      </c>
      <c r="E7644" s="2" t="s">
        <v>17177</v>
      </c>
      <c r="F7644" s="2" t="s">
        <v>15652</v>
      </c>
      <c r="G7644" s="2" t="str">
        <f>"SR-10496"</f>
        <v>SR-10496</v>
      </c>
      <c r="H7644" s="2" t="s">
        <v>32272</v>
      </c>
      <c r="I7644" s="2" t="s">
        <v>32273</v>
      </c>
      <c r="K7644" s="2" t="s">
        <v>25120</v>
      </c>
      <c r="L7644" s="2" t="s">
        <v>62</v>
      </c>
      <c r="M7644" s="2">
        <v>55018.0</v>
      </c>
      <c r="N7644" s="2" t="s">
        <v>21</v>
      </c>
    </row>
    <row r="7645" ht="15.75" customHeight="1">
      <c r="A7645" s="2">
        <v>2017.0</v>
      </c>
      <c r="B7645" s="2" t="s">
        <v>25116</v>
      </c>
      <c r="C7645" s="2" t="s">
        <v>25117</v>
      </c>
      <c r="D7645" s="2" t="str">
        <f>"507-649-0967"</f>
        <v>507-649-0967</v>
      </c>
      <c r="E7645" s="2" t="s">
        <v>2361</v>
      </c>
      <c r="F7645" s="2" t="s">
        <v>15652</v>
      </c>
      <c r="G7645" s="2" t="str">
        <f>"SR-7920"</f>
        <v>SR-7920</v>
      </c>
      <c r="H7645" s="2" t="s">
        <v>25118</v>
      </c>
      <c r="I7645" s="2" t="s">
        <v>25119</v>
      </c>
      <c r="K7645" s="2" t="s">
        <v>25120</v>
      </c>
      <c r="L7645" s="2" t="s">
        <v>62</v>
      </c>
      <c r="M7645" s="2">
        <v>55018.0</v>
      </c>
      <c r="N7645" s="2" t="s">
        <v>21</v>
      </c>
    </row>
    <row r="7646" ht="15.75" customHeight="1">
      <c r="A7646" s="2">
        <v>2017.0</v>
      </c>
      <c r="B7646" s="2" t="s">
        <v>32274</v>
      </c>
      <c r="C7646" s="2" t="s">
        <v>32275</v>
      </c>
      <c r="D7646" s="2" t="str">
        <f>"360 398-7741"</f>
        <v>360 398-7741</v>
      </c>
      <c r="E7646" s="2" t="s">
        <v>339</v>
      </c>
      <c r="F7646" s="2" t="s">
        <v>32276</v>
      </c>
      <c r="G7646" s="2" t="str">
        <f>"SR-10505"</f>
        <v>SR-10505</v>
      </c>
      <c r="H7646" s="2" t="s">
        <v>32277</v>
      </c>
      <c r="I7646" s="2" t="s">
        <v>32278</v>
      </c>
      <c r="K7646" s="2" t="s">
        <v>32279</v>
      </c>
      <c r="L7646" s="2" t="s">
        <v>86</v>
      </c>
      <c r="M7646" s="2">
        <v>98228.0</v>
      </c>
      <c r="N7646" s="2" t="s">
        <v>21</v>
      </c>
    </row>
    <row r="7647" ht="15.75" customHeight="1">
      <c r="A7647" s="2">
        <v>2017.0</v>
      </c>
      <c r="B7647" s="2" t="s">
        <v>32280</v>
      </c>
      <c r="C7647" s="2" t="s">
        <v>32280</v>
      </c>
      <c r="D7647" s="2" t="str">
        <f>"8563142"</f>
        <v>8563142</v>
      </c>
      <c r="E7647" s="2" t="s">
        <v>2167</v>
      </c>
      <c r="F7647" s="2" t="s">
        <v>32281</v>
      </c>
      <c r="G7647" s="2" t="str">
        <f>"SR-10511"</f>
        <v>SR-10511</v>
      </c>
      <c r="H7647" s="2" t="s">
        <v>32282</v>
      </c>
      <c r="I7647" s="2" t="s">
        <v>32283</v>
      </c>
      <c r="K7647" s="2" t="s">
        <v>32284</v>
      </c>
      <c r="L7647" s="2" t="s">
        <v>157</v>
      </c>
      <c r="M7647" s="2">
        <v>81413.0</v>
      </c>
      <c r="N7647" s="2" t="s">
        <v>21</v>
      </c>
    </row>
    <row r="7648" ht="15.75" customHeight="1">
      <c r="A7648" s="2">
        <v>2017.0</v>
      </c>
      <c r="B7648" s="2" t="s">
        <v>32285</v>
      </c>
      <c r="C7648" s="2" t="s">
        <v>32286</v>
      </c>
      <c r="D7648" s="2" t="str">
        <f>"505-967-9110"</f>
        <v>505-967-9110</v>
      </c>
      <c r="E7648" s="2" t="s">
        <v>659</v>
      </c>
      <c r="F7648" s="2" t="s">
        <v>32287</v>
      </c>
      <c r="G7648" s="2" t="str">
        <f>"SR-10256"</f>
        <v>SR-10256</v>
      </c>
      <c r="H7648" s="2" t="s">
        <v>32288</v>
      </c>
      <c r="I7648" s="2" t="s">
        <v>32289</v>
      </c>
      <c r="K7648" s="2" t="s">
        <v>3705</v>
      </c>
      <c r="L7648" s="2" t="s">
        <v>789</v>
      </c>
      <c r="M7648" s="2">
        <v>87114.0</v>
      </c>
      <c r="N7648" s="2" t="s">
        <v>21</v>
      </c>
    </row>
    <row r="7649" ht="15.75" customHeight="1">
      <c r="A7649" s="2">
        <v>2017.0</v>
      </c>
      <c r="B7649" s="2" t="s">
        <v>23891</v>
      </c>
      <c r="C7649" s="2" t="s">
        <v>23892</v>
      </c>
      <c r="D7649" s="2" t="str">
        <f>"5033071708"</f>
        <v>5033071708</v>
      </c>
      <c r="E7649" s="2" t="s">
        <v>2243</v>
      </c>
      <c r="F7649" s="2" t="s">
        <v>7251</v>
      </c>
      <c r="G7649" s="2" t="str">
        <f>"SR-7364"</f>
        <v>SR-7364</v>
      </c>
      <c r="H7649" s="2" t="s">
        <v>23893</v>
      </c>
      <c r="I7649" s="2" t="s">
        <v>23894</v>
      </c>
      <c r="K7649" s="2" t="s">
        <v>788</v>
      </c>
      <c r="L7649" s="2" t="s">
        <v>2389</v>
      </c>
      <c r="M7649" s="2">
        <v>97124.0</v>
      </c>
      <c r="N7649" s="2" t="s">
        <v>21</v>
      </c>
    </row>
    <row r="7650" ht="15.75" customHeight="1">
      <c r="A7650" s="2">
        <v>2017.0</v>
      </c>
      <c r="B7650" s="2" t="s">
        <v>48</v>
      </c>
      <c r="C7650" s="2" t="s">
        <v>32290</v>
      </c>
      <c r="D7650" s="2" t="str">
        <f>"864-414-1130"</f>
        <v>864-414-1130</v>
      </c>
      <c r="E7650" s="2" t="s">
        <v>4665</v>
      </c>
      <c r="F7650" s="2" t="s">
        <v>51</v>
      </c>
      <c r="G7650" s="2" t="str">
        <f>"SR-10514"</f>
        <v>SR-10514</v>
      </c>
      <c r="H7650" s="2" t="s">
        <v>32291</v>
      </c>
      <c r="I7650" s="2" t="s">
        <v>32292</v>
      </c>
      <c r="K7650" s="2" t="s">
        <v>54</v>
      </c>
      <c r="L7650" s="2" t="s">
        <v>55</v>
      </c>
      <c r="M7650" s="2">
        <v>29615.0</v>
      </c>
      <c r="N7650" s="2" t="s">
        <v>21</v>
      </c>
    </row>
    <row r="7651" ht="15.75" customHeight="1">
      <c r="A7651" s="2">
        <v>2017.0</v>
      </c>
      <c r="B7651" s="2" t="s">
        <v>24119</v>
      </c>
      <c r="C7651" s="2" t="s">
        <v>24120</v>
      </c>
      <c r="D7651" s="2" t="str">
        <f>"6196062335"</f>
        <v>6196062335</v>
      </c>
      <c r="E7651" s="2" t="s">
        <v>282</v>
      </c>
      <c r="F7651" s="2" t="s">
        <v>24121</v>
      </c>
      <c r="G7651" s="2" t="str">
        <f>"SR-7605"</f>
        <v>SR-7605</v>
      </c>
      <c r="H7651" s="2" t="s">
        <v>24122</v>
      </c>
      <c r="I7651" s="2" t="s">
        <v>24123</v>
      </c>
      <c r="K7651" s="2" t="s">
        <v>8250</v>
      </c>
      <c r="L7651" s="2" t="s">
        <v>222</v>
      </c>
      <c r="M7651" s="2">
        <v>92124.0</v>
      </c>
      <c r="N7651" s="2" t="s">
        <v>21</v>
      </c>
    </row>
    <row r="7652" ht="15.75" customHeight="1">
      <c r="A7652" s="2">
        <v>2017.0</v>
      </c>
      <c r="B7652" s="2" t="s">
        <v>3846</v>
      </c>
      <c r="C7652" s="2" t="s">
        <v>32293</v>
      </c>
      <c r="D7652" s="2" t="str">
        <f>"9316442506"</f>
        <v>9316442506</v>
      </c>
      <c r="E7652" s="2" t="s">
        <v>908</v>
      </c>
      <c r="F7652" s="2" t="s">
        <v>511</v>
      </c>
      <c r="G7652" s="2" t="str">
        <f>"SR-10080"</f>
        <v>SR-10080</v>
      </c>
      <c r="H7652" s="2" t="s">
        <v>32294</v>
      </c>
      <c r="I7652" s="2" t="s">
        <v>3848</v>
      </c>
      <c r="K7652" s="2" t="s">
        <v>3849</v>
      </c>
      <c r="L7652" s="2" t="s">
        <v>279</v>
      </c>
      <c r="M7652" s="2">
        <v>38583.0</v>
      </c>
      <c r="N7652" s="2" t="s">
        <v>21</v>
      </c>
    </row>
    <row r="7653" ht="15.75" customHeight="1">
      <c r="A7653" s="2">
        <v>2017.0</v>
      </c>
      <c r="B7653" s="2" t="s">
        <v>23614</v>
      </c>
      <c r="C7653" s="2" t="s">
        <v>23615</v>
      </c>
      <c r="D7653" s="2" t="str">
        <f>"4792828456"</f>
        <v>4792828456</v>
      </c>
      <c r="E7653" s="2" t="s">
        <v>453</v>
      </c>
      <c r="F7653" s="2" t="s">
        <v>6078</v>
      </c>
      <c r="G7653" s="2" t="str">
        <f>"SR-7401"</f>
        <v>SR-7401</v>
      </c>
      <c r="H7653" s="2" t="s">
        <v>23616</v>
      </c>
      <c r="I7653" s="2" t="s">
        <v>23617</v>
      </c>
      <c r="K7653" s="2" t="s">
        <v>14516</v>
      </c>
      <c r="L7653" s="2" t="s">
        <v>1012</v>
      </c>
      <c r="M7653" s="2">
        <v>72712.0</v>
      </c>
      <c r="N7653" s="2" t="s">
        <v>21</v>
      </c>
    </row>
    <row r="7654" ht="15.75" customHeight="1">
      <c r="A7654" s="2">
        <v>2017.0</v>
      </c>
      <c r="B7654" s="2" t="s">
        <v>32295</v>
      </c>
      <c r="C7654" s="2" t="s">
        <v>32296</v>
      </c>
      <c r="D7654" s="2" t="str">
        <f>"6625493376"</f>
        <v>6625493376</v>
      </c>
      <c r="E7654" s="2" t="s">
        <v>250</v>
      </c>
      <c r="F7654" s="2" t="s">
        <v>9036</v>
      </c>
      <c r="G7654" s="2" t="str">
        <f>"SR-10495"</f>
        <v>SR-10495</v>
      </c>
      <c r="H7654" s="2" t="s">
        <v>32297</v>
      </c>
      <c r="I7654" s="2" t="s">
        <v>32298</v>
      </c>
      <c r="K7654" s="2" t="s">
        <v>32299</v>
      </c>
      <c r="L7654" s="2" t="s">
        <v>279</v>
      </c>
      <c r="M7654" s="2">
        <v>37331.0</v>
      </c>
      <c r="N7654" s="2" t="s">
        <v>21</v>
      </c>
    </row>
    <row r="7655" ht="15.75" customHeight="1">
      <c r="A7655" s="2">
        <v>2017.0</v>
      </c>
      <c r="B7655" s="2" t="s">
        <v>13638</v>
      </c>
      <c r="C7655" s="2" t="s">
        <v>32300</v>
      </c>
      <c r="D7655" s="2" t="str">
        <f>"954 985 9477"</f>
        <v>954 985 9477</v>
      </c>
      <c r="E7655" s="2" t="s">
        <v>590</v>
      </c>
      <c r="F7655" s="2" t="s">
        <v>2648</v>
      </c>
      <c r="G7655" s="2" t="str">
        <f>"SR-10518"</f>
        <v>SR-10518</v>
      </c>
      <c r="H7655" s="2" t="s">
        <v>32301</v>
      </c>
      <c r="I7655" s="2" t="s">
        <v>13642</v>
      </c>
      <c r="K7655" s="2" t="s">
        <v>7313</v>
      </c>
      <c r="L7655" s="2" t="s">
        <v>208</v>
      </c>
      <c r="M7655" s="2">
        <v>33021.0</v>
      </c>
      <c r="N7655" s="2" t="s">
        <v>21</v>
      </c>
    </row>
    <row r="7656" ht="15.75" customHeight="1">
      <c r="A7656" s="2">
        <v>2017.0</v>
      </c>
      <c r="B7656" s="2" t="s">
        <v>32302</v>
      </c>
      <c r="C7656" s="2" t="s">
        <v>32302</v>
      </c>
      <c r="D7656" s="2" t="str">
        <f>"309-467-4357"</f>
        <v>309-467-4357</v>
      </c>
      <c r="E7656" s="2" t="s">
        <v>225</v>
      </c>
      <c r="F7656" s="2" t="s">
        <v>4574</v>
      </c>
      <c r="G7656" s="2" t="str">
        <f>"SR-10519"</f>
        <v>SR-10519</v>
      </c>
      <c r="H7656" s="2" t="s">
        <v>32303</v>
      </c>
      <c r="I7656" s="2" t="s">
        <v>32304</v>
      </c>
      <c r="K7656" s="2" t="s">
        <v>4577</v>
      </c>
      <c r="L7656" s="2" t="s">
        <v>105</v>
      </c>
      <c r="M7656" s="2">
        <v>61561.0</v>
      </c>
      <c r="N7656" s="2" t="s">
        <v>21</v>
      </c>
    </row>
    <row r="7657" ht="15.75" customHeight="1">
      <c r="A7657" s="2">
        <v>2017.0</v>
      </c>
      <c r="B7657" s="2" t="s">
        <v>32305</v>
      </c>
      <c r="C7657" s="2" t="s">
        <v>32305</v>
      </c>
      <c r="D7657" s="2" t="str">
        <f>"(970) 856-6412"</f>
        <v>(970) 856-6412</v>
      </c>
      <c r="E7657" s="2" t="s">
        <v>32306</v>
      </c>
      <c r="F7657" s="2" t="s">
        <v>6612</v>
      </c>
      <c r="G7657" s="2" t="str">
        <f>"SR-10508"</f>
        <v>SR-10508</v>
      </c>
      <c r="H7657" s="2" t="s">
        <v>32307</v>
      </c>
      <c r="I7657" s="2" t="s">
        <v>32308</v>
      </c>
      <c r="K7657" s="2" t="s">
        <v>32284</v>
      </c>
      <c r="L7657" s="2" t="s">
        <v>157</v>
      </c>
      <c r="M7657" s="2">
        <v>81413.0</v>
      </c>
      <c r="N7657" s="2" t="s">
        <v>21</v>
      </c>
    </row>
    <row r="7658" ht="15.75" customHeight="1">
      <c r="A7658" s="2">
        <v>2017.0</v>
      </c>
      <c r="B7658" s="2" t="s">
        <v>32309</v>
      </c>
      <c r="C7658" s="2" t="s">
        <v>32310</v>
      </c>
      <c r="D7658" s="2" t="str">
        <f>"970-275-6077"</f>
        <v>970-275-6077</v>
      </c>
      <c r="E7658" s="2" t="s">
        <v>32311</v>
      </c>
      <c r="F7658" s="2" t="s">
        <v>847</v>
      </c>
      <c r="G7658" s="2" t="str">
        <f>"SR-10484"</f>
        <v>SR-10484</v>
      </c>
      <c r="H7658" s="2" t="s">
        <v>32312</v>
      </c>
      <c r="I7658" s="2" t="s">
        <v>32313</v>
      </c>
      <c r="K7658" s="2" t="s">
        <v>32284</v>
      </c>
      <c r="L7658" s="2" t="s">
        <v>157</v>
      </c>
      <c r="M7658" s="2">
        <v>81413.0</v>
      </c>
      <c r="N7658" s="2" t="s">
        <v>21</v>
      </c>
    </row>
    <row r="7659" ht="15.75" customHeight="1">
      <c r="A7659" s="2">
        <v>2017.0</v>
      </c>
      <c r="B7659" s="2" t="s">
        <v>32314</v>
      </c>
      <c r="C7659" s="2" t="s">
        <v>32314</v>
      </c>
      <c r="D7659" s="2" t="str">
        <f>"954-629-3242"</f>
        <v>954-629-3242</v>
      </c>
      <c r="E7659" s="2" t="s">
        <v>11953</v>
      </c>
      <c r="F7659" s="2" t="s">
        <v>2875</v>
      </c>
      <c r="G7659" s="2" t="str">
        <f>"SR-10451"</f>
        <v>SR-10451</v>
      </c>
      <c r="H7659" s="2" t="s">
        <v>32315</v>
      </c>
      <c r="I7659" s="2" t="s">
        <v>32316</v>
      </c>
      <c r="K7659" s="2" t="s">
        <v>10022</v>
      </c>
      <c r="L7659" s="2" t="s">
        <v>208</v>
      </c>
      <c r="M7659" s="2">
        <v>33314.0</v>
      </c>
      <c r="N7659" s="2" t="s">
        <v>21</v>
      </c>
    </row>
    <row r="7660" ht="15.75" customHeight="1">
      <c r="A7660" s="2">
        <v>2017.0</v>
      </c>
      <c r="B7660" s="2" t="s">
        <v>32317</v>
      </c>
      <c r="C7660" s="2" t="s">
        <v>32317</v>
      </c>
      <c r="D7660" s="2" t="str">
        <f>"2623446914"</f>
        <v>2623446914</v>
      </c>
      <c r="E7660" s="2" t="s">
        <v>705</v>
      </c>
      <c r="F7660" s="2" t="s">
        <v>457</v>
      </c>
      <c r="G7660" s="2" t="str">
        <f>"SR-10510"</f>
        <v>SR-10510</v>
      </c>
      <c r="H7660" s="2" t="s">
        <v>32318</v>
      </c>
      <c r="I7660" s="2" t="s">
        <v>32319</v>
      </c>
      <c r="K7660" s="2" t="s">
        <v>32284</v>
      </c>
      <c r="L7660" s="2" t="s">
        <v>157</v>
      </c>
      <c r="M7660" s="2">
        <v>81413.0</v>
      </c>
      <c r="N7660" s="2" t="s">
        <v>21</v>
      </c>
    </row>
    <row r="7661" ht="15.75" customHeight="1">
      <c r="A7661" s="2">
        <v>2017.0</v>
      </c>
      <c r="B7661" s="2" t="s">
        <v>32320</v>
      </c>
      <c r="C7661" s="2" t="s">
        <v>32320</v>
      </c>
      <c r="D7661" s="2" t="str">
        <f>"4322546545"</f>
        <v>4322546545</v>
      </c>
      <c r="E7661" s="2" t="s">
        <v>2667</v>
      </c>
      <c r="F7661" s="2" t="s">
        <v>32321</v>
      </c>
      <c r="G7661" s="2" t="str">
        <f>"SR-10521"</f>
        <v>SR-10521</v>
      </c>
      <c r="H7661" s="2" t="s">
        <v>32322</v>
      </c>
      <c r="I7661" s="2" t="s">
        <v>32323</v>
      </c>
      <c r="K7661" s="2" t="s">
        <v>5833</v>
      </c>
      <c r="L7661" s="2" t="s">
        <v>172</v>
      </c>
      <c r="M7661" s="2">
        <v>79705.0</v>
      </c>
      <c r="N7661" s="2" t="s">
        <v>21</v>
      </c>
    </row>
    <row r="7662" ht="15.75" customHeight="1">
      <c r="A7662" s="2">
        <v>2017.0</v>
      </c>
      <c r="B7662" s="2" t="s">
        <v>32324</v>
      </c>
      <c r="C7662" s="2" t="s">
        <v>32324</v>
      </c>
      <c r="D7662" s="2" t="str">
        <f>"8325529761"</f>
        <v>8325529761</v>
      </c>
      <c r="E7662" s="2" t="s">
        <v>32325</v>
      </c>
      <c r="F7662" s="2" t="s">
        <v>6824</v>
      </c>
      <c r="G7662" s="2" t="str">
        <f>"SR-10490"</f>
        <v>SR-10490</v>
      </c>
      <c r="H7662" s="2" t="s">
        <v>32326</v>
      </c>
      <c r="I7662" s="2" t="s">
        <v>32327</v>
      </c>
      <c r="J7662" s="2" t="s">
        <v>32328</v>
      </c>
      <c r="K7662" s="2" t="s">
        <v>22224</v>
      </c>
      <c r="L7662" s="2" t="s">
        <v>3618</v>
      </c>
      <c r="M7662" s="2">
        <v>7002.0</v>
      </c>
      <c r="N7662" s="2" t="s">
        <v>21</v>
      </c>
    </row>
    <row r="7663" ht="15.75" customHeight="1">
      <c r="A7663" s="2">
        <v>2017.0</v>
      </c>
      <c r="B7663" s="2" t="s">
        <v>32329</v>
      </c>
      <c r="C7663" s="2" t="s">
        <v>32330</v>
      </c>
      <c r="D7663" s="2" t="str">
        <f>"(919) 796 7965"</f>
        <v>(919) 796 7965</v>
      </c>
      <c r="E7663" s="2" t="s">
        <v>32331</v>
      </c>
      <c r="F7663" s="2" t="s">
        <v>3823</v>
      </c>
      <c r="G7663" s="2" t="str">
        <f>"SR-9983"</f>
        <v>SR-9983</v>
      </c>
      <c r="H7663" s="2" t="s">
        <v>32332</v>
      </c>
      <c r="I7663" s="2" t="s">
        <v>32333</v>
      </c>
      <c r="J7663" s="2" t="s">
        <v>32334</v>
      </c>
      <c r="K7663" s="2" t="s">
        <v>14916</v>
      </c>
      <c r="L7663" s="2" t="s">
        <v>20</v>
      </c>
      <c r="M7663" s="2">
        <v>27529.0</v>
      </c>
      <c r="N7663" s="2" t="s">
        <v>21</v>
      </c>
    </row>
    <row r="7664" ht="15.75" customHeight="1">
      <c r="A7664" s="2">
        <v>2017.0</v>
      </c>
      <c r="B7664" s="2" t="s">
        <v>32335</v>
      </c>
      <c r="C7664" s="2" t="s">
        <v>32336</v>
      </c>
      <c r="D7664" s="2" t="str">
        <f>"(407) 290-8770"</f>
        <v>(407) 290-8770</v>
      </c>
      <c r="E7664" s="2" t="s">
        <v>485</v>
      </c>
      <c r="F7664" s="2" t="s">
        <v>32337</v>
      </c>
      <c r="G7664" s="2" t="str">
        <f>"SR-10509"</f>
        <v>SR-10509</v>
      </c>
      <c r="H7664" s="2" t="s">
        <v>32338</v>
      </c>
      <c r="I7664" s="2" t="s">
        <v>32339</v>
      </c>
      <c r="K7664" s="2" t="s">
        <v>4724</v>
      </c>
      <c r="L7664" s="2" t="s">
        <v>208</v>
      </c>
      <c r="M7664" s="2">
        <v>32810.0</v>
      </c>
      <c r="N7664" s="2" t="s">
        <v>21</v>
      </c>
    </row>
    <row r="7665" ht="15.75" customHeight="1">
      <c r="A7665" s="2">
        <v>2017.0</v>
      </c>
      <c r="B7665" s="2" t="s">
        <v>32340</v>
      </c>
      <c r="C7665" s="2" t="s">
        <v>32341</v>
      </c>
      <c r="D7665" s="2" t="str">
        <f>"207-582-5632"</f>
        <v>207-582-5632</v>
      </c>
      <c r="E7665" s="2" t="s">
        <v>9047</v>
      </c>
      <c r="F7665" s="2" t="s">
        <v>8565</v>
      </c>
      <c r="G7665" s="2" t="str">
        <f>"SR-10504"</f>
        <v>SR-10504</v>
      </c>
      <c r="H7665" s="2" t="s">
        <v>32342</v>
      </c>
      <c r="I7665" s="2" t="s">
        <v>32343</v>
      </c>
      <c r="K7665" s="2" t="s">
        <v>32344</v>
      </c>
      <c r="L7665" s="2" t="s">
        <v>3737</v>
      </c>
      <c r="M7665" s="2">
        <v>4345.0</v>
      </c>
      <c r="N7665" s="2" t="s">
        <v>21</v>
      </c>
    </row>
    <row r="7666" ht="15.75" customHeight="1">
      <c r="A7666" s="2">
        <v>2017.0</v>
      </c>
      <c r="B7666" s="2" t="s">
        <v>32345</v>
      </c>
      <c r="C7666" s="2" t="s">
        <v>32346</v>
      </c>
      <c r="D7666" s="2" t="str">
        <f>"4326850048"</f>
        <v>4326850048</v>
      </c>
      <c r="E7666" s="2" t="s">
        <v>16129</v>
      </c>
      <c r="F7666" s="2" t="s">
        <v>16867</v>
      </c>
      <c r="G7666" s="2" t="str">
        <f>"SR-10527"</f>
        <v>SR-10527</v>
      </c>
      <c r="H7666" s="2" t="s">
        <v>32347</v>
      </c>
      <c r="I7666" s="2" t="s">
        <v>32348</v>
      </c>
      <c r="K7666" s="2" t="s">
        <v>286</v>
      </c>
      <c r="L7666" s="2" t="s">
        <v>172</v>
      </c>
      <c r="M7666" s="2">
        <v>79705.0</v>
      </c>
      <c r="N7666" s="2" t="s">
        <v>21</v>
      </c>
    </row>
    <row r="7667" ht="15.75" customHeight="1">
      <c r="A7667" s="2">
        <v>2017.0</v>
      </c>
      <c r="B7667" s="2" t="s">
        <v>32349</v>
      </c>
      <c r="C7667" s="2" t="s">
        <v>32350</v>
      </c>
      <c r="D7667" s="2" t="str">
        <f>"417-612-1459"</f>
        <v>417-612-1459</v>
      </c>
      <c r="E7667" s="2" t="s">
        <v>417</v>
      </c>
      <c r="F7667" s="2" t="s">
        <v>32351</v>
      </c>
      <c r="G7667" s="2" t="str">
        <f>"SR-10088"</f>
        <v>SR-10088</v>
      </c>
      <c r="H7667" s="2" t="s">
        <v>32352</v>
      </c>
      <c r="I7667" s="2" t="s">
        <v>32353</v>
      </c>
      <c r="K7667" s="2" t="s">
        <v>3239</v>
      </c>
      <c r="L7667" s="2" t="s">
        <v>214</v>
      </c>
      <c r="M7667" s="2">
        <v>65810.0</v>
      </c>
      <c r="N7667" s="2" t="s">
        <v>21</v>
      </c>
    </row>
    <row r="7668" ht="15.75" customHeight="1">
      <c r="A7668" s="2">
        <v>2017.0</v>
      </c>
      <c r="B7668" s="2" t="s">
        <v>32354</v>
      </c>
      <c r="C7668" s="2" t="s">
        <v>29591</v>
      </c>
      <c r="D7668" s="2" t="str">
        <f>"5303208033"</f>
        <v>5303208033</v>
      </c>
      <c r="E7668" s="2" t="s">
        <v>385</v>
      </c>
      <c r="F7668" s="2" t="s">
        <v>12683</v>
      </c>
      <c r="G7668" s="2" t="str">
        <f>"SR-10420"</f>
        <v>SR-10420</v>
      </c>
      <c r="H7668" s="2" t="s">
        <v>29592</v>
      </c>
      <c r="I7668" s="2" t="s">
        <v>32355</v>
      </c>
      <c r="K7668" s="2" t="s">
        <v>15823</v>
      </c>
      <c r="L7668" s="2" t="s">
        <v>222</v>
      </c>
      <c r="M7668" s="2">
        <v>95722.0</v>
      </c>
      <c r="N7668" s="2" t="s">
        <v>21</v>
      </c>
    </row>
    <row r="7669" ht="15.75" customHeight="1">
      <c r="A7669" s="2">
        <v>2017.0</v>
      </c>
      <c r="B7669" s="2" t="s">
        <v>27124</v>
      </c>
      <c r="C7669" s="2" t="s">
        <v>27125</v>
      </c>
      <c r="D7669" s="2" t="str">
        <f>"405-285-5755"</f>
        <v>405-285-5755</v>
      </c>
      <c r="E7669" s="2" t="s">
        <v>282</v>
      </c>
      <c r="F7669" s="2" t="s">
        <v>27126</v>
      </c>
      <c r="G7669" s="2" t="str">
        <f>"SR-8564"</f>
        <v>SR-8564</v>
      </c>
      <c r="H7669" s="2" t="s">
        <v>27127</v>
      </c>
      <c r="I7669" s="2" t="s">
        <v>27128</v>
      </c>
      <c r="K7669" s="2" t="s">
        <v>1546</v>
      </c>
      <c r="L7669" s="2" t="s">
        <v>840</v>
      </c>
      <c r="M7669" s="2">
        <v>73034.0</v>
      </c>
      <c r="N7669" s="2" t="s">
        <v>21</v>
      </c>
    </row>
    <row r="7670" ht="15.75" customHeight="1">
      <c r="A7670" s="2">
        <v>2017.0</v>
      </c>
      <c r="B7670" s="2" t="s">
        <v>7371</v>
      </c>
      <c r="C7670" s="2" t="s">
        <v>32356</v>
      </c>
      <c r="D7670" s="2" t="str">
        <f>"740 541-2098"</f>
        <v>740 541-2098</v>
      </c>
      <c r="E7670" s="2" t="s">
        <v>32357</v>
      </c>
      <c r="F7670" s="2" t="s">
        <v>7372</v>
      </c>
      <c r="G7670" s="2" t="str">
        <f>"SR-10049"</f>
        <v>SR-10049</v>
      </c>
      <c r="H7670" s="2" t="s">
        <v>32358</v>
      </c>
      <c r="I7670" s="2" t="s">
        <v>7374</v>
      </c>
      <c r="K7670" s="2" t="s">
        <v>5108</v>
      </c>
      <c r="L7670" s="2" t="s">
        <v>344</v>
      </c>
      <c r="M7670" s="2">
        <v>45701.0</v>
      </c>
      <c r="N7670" s="2" t="s">
        <v>21</v>
      </c>
    </row>
    <row r="7671" ht="15.75" customHeight="1">
      <c r="A7671" s="2">
        <v>2017.0</v>
      </c>
      <c r="B7671" s="2" t="s">
        <v>7371</v>
      </c>
      <c r="C7671" s="2" t="s">
        <v>32359</v>
      </c>
      <c r="D7671" s="2" t="str">
        <f>"740 541-0708"</f>
        <v>740 541-0708</v>
      </c>
      <c r="E7671" s="2" t="s">
        <v>261</v>
      </c>
      <c r="F7671" s="2" t="s">
        <v>7372</v>
      </c>
      <c r="G7671" s="2" t="str">
        <f>"SR-10056"</f>
        <v>SR-10056</v>
      </c>
      <c r="H7671" s="2" t="s">
        <v>32360</v>
      </c>
      <c r="I7671" s="2" t="s">
        <v>7374</v>
      </c>
      <c r="K7671" s="2" t="s">
        <v>5108</v>
      </c>
      <c r="L7671" s="2" t="s">
        <v>344</v>
      </c>
      <c r="M7671" s="2">
        <v>45701.0</v>
      </c>
      <c r="N7671" s="2" t="s">
        <v>21</v>
      </c>
    </row>
    <row r="7672" ht="15.75" customHeight="1">
      <c r="A7672" s="2">
        <v>2017.0</v>
      </c>
      <c r="B7672" s="2" t="s">
        <v>32361</v>
      </c>
      <c r="C7672" s="2" t="s">
        <v>32362</v>
      </c>
      <c r="D7672" s="2" t="str">
        <f>"949-444-9765"</f>
        <v>949-444-9765</v>
      </c>
      <c r="E7672" s="2" t="s">
        <v>453</v>
      </c>
      <c r="F7672" s="2" t="s">
        <v>32363</v>
      </c>
      <c r="G7672" s="2" t="str">
        <f>"SR-10534"</f>
        <v>SR-10534</v>
      </c>
      <c r="H7672" s="2" t="s">
        <v>32364</v>
      </c>
      <c r="I7672" s="2" t="s">
        <v>32365</v>
      </c>
      <c r="K7672" s="2" t="s">
        <v>9670</v>
      </c>
      <c r="L7672" s="2" t="s">
        <v>222</v>
      </c>
      <c r="M7672" s="2">
        <v>92673.0</v>
      </c>
      <c r="N7672" s="2" t="s">
        <v>21</v>
      </c>
    </row>
    <row r="7673" ht="15.75" customHeight="1">
      <c r="A7673" s="2">
        <v>2017.0</v>
      </c>
      <c r="B7673" s="2" t="s">
        <v>32361</v>
      </c>
      <c r="C7673" s="2" t="s">
        <v>32366</v>
      </c>
      <c r="D7673" s="2" t="str">
        <f>"949-482-8582"</f>
        <v>949-482-8582</v>
      </c>
      <c r="E7673" s="2" t="s">
        <v>4111</v>
      </c>
      <c r="F7673" s="2" t="s">
        <v>32363</v>
      </c>
      <c r="G7673" s="2" t="str">
        <f>"SR-10539"</f>
        <v>SR-10539</v>
      </c>
      <c r="H7673" s="2" t="s">
        <v>32367</v>
      </c>
      <c r="I7673" s="2" t="s">
        <v>32365</v>
      </c>
      <c r="K7673" s="2" t="s">
        <v>9670</v>
      </c>
      <c r="L7673" s="2" t="s">
        <v>222</v>
      </c>
      <c r="M7673" s="2">
        <v>92673.0</v>
      </c>
      <c r="N7673" s="2" t="s">
        <v>21</v>
      </c>
    </row>
    <row r="7674" ht="15.75" customHeight="1">
      <c r="A7674" s="2">
        <v>2017.0</v>
      </c>
      <c r="B7674" s="2" t="s">
        <v>32368</v>
      </c>
      <c r="C7674" s="2" t="s">
        <v>32369</v>
      </c>
      <c r="D7674" s="2" t="str">
        <f>"713-218-9749"</f>
        <v>713-218-9749</v>
      </c>
      <c r="E7674" s="2" t="s">
        <v>562</v>
      </c>
      <c r="F7674" s="2" t="s">
        <v>10530</v>
      </c>
      <c r="G7674" s="2" t="str">
        <f>"SR-10507"</f>
        <v>SR-10507</v>
      </c>
      <c r="H7674" s="2" t="s">
        <v>32370</v>
      </c>
      <c r="I7674" s="2" t="s">
        <v>32371</v>
      </c>
      <c r="K7674" s="2" t="s">
        <v>32372</v>
      </c>
      <c r="L7674" s="2" t="s">
        <v>172</v>
      </c>
      <c r="M7674" s="2">
        <v>77401.0</v>
      </c>
      <c r="N7674" s="2" t="s">
        <v>21</v>
      </c>
    </row>
    <row r="7675" ht="15.75" customHeight="1">
      <c r="A7675" s="2">
        <v>2017.0</v>
      </c>
      <c r="B7675" s="2" t="s">
        <v>14586</v>
      </c>
      <c r="C7675" s="2" t="s">
        <v>32373</v>
      </c>
      <c r="D7675" s="2" t="str">
        <f>"6128123175"</f>
        <v>6128123175</v>
      </c>
      <c r="E7675" s="2" t="s">
        <v>1263</v>
      </c>
      <c r="F7675" s="2" t="s">
        <v>9467</v>
      </c>
      <c r="G7675" s="2" t="str">
        <f>"SR-10497"</f>
        <v>SR-10497</v>
      </c>
      <c r="H7675" s="2" t="s">
        <v>32374</v>
      </c>
      <c r="I7675" s="2" t="s">
        <v>14589</v>
      </c>
      <c r="K7675" s="2" t="s">
        <v>14590</v>
      </c>
      <c r="L7675" s="2" t="s">
        <v>62</v>
      </c>
      <c r="M7675" s="2">
        <v>55331.0</v>
      </c>
      <c r="N7675" s="2" t="s">
        <v>21</v>
      </c>
    </row>
    <row r="7676" ht="15.75" customHeight="1">
      <c r="A7676" s="2">
        <v>2017.0</v>
      </c>
      <c r="B7676" s="2" t="s">
        <v>32375</v>
      </c>
      <c r="C7676" s="2" t="s">
        <v>32375</v>
      </c>
      <c r="D7676" s="2" t="str">
        <f>"423-391-7760"</f>
        <v>423-391-7760</v>
      </c>
      <c r="E7676" s="2" t="s">
        <v>267</v>
      </c>
      <c r="F7676" s="2" t="s">
        <v>5305</v>
      </c>
      <c r="G7676" s="2" t="str">
        <f>"SR-10544"</f>
        <v>SR-10544</v>
      </c>
      <c r="H7676" s="2" t="s">
        <v>32376</v>
      </c>
      <c r="I7676" s="2" t="s">
        <v>32377</v>
      </c>
      <c r="K7676" s="2" t="s">
        <v>32378</v>
      </c>
      <c r="L7676" s="2" t="s">
        <v>279</v>
      </c>
      <c r="M7676" s="2">
        <v>37618.0</v>
      </c>
      <c r="N7676" s="2" t="s">
        <v>21</v>
      </c>
    </row>
    <row r="7677" ht="15.75" customHeight="1">
      <c r="A7677" s="2">
        <v>2017.0</v>
      </c>
      <c r="B7677" s="2" t="s">
        <v>32379</v>
      </c>
      <c r="C7677" s="2" t="s">
        <v>32380</v>
      </c>
      <c r="D7677" s="2" t="str">
        <f>"432-813-5153"</f>
        <v>432-813-5153</v>
      </c>
      <c r="E7677" s="2" t="s">
        <v>4033</v>
      </c>
      <c r="F7677" s="2" t="s">
        <v>1175</v>
      </c>
      <c r="G7677" s="2" t="str">
        <f>"SR-10529"</f>
        <v>SR-10529</v>
      </c>
      <c r="H7677" s="2" t="s">
        <v>32381</v>
      </c>
      <c r="I7677" s="2" t="s">
        <v>32382</v>
      </c>
      <c r="K7677" s="2" t="s">
        <v>286</v>
      </c>
      <c r="L7677" s="2" t="s">
        <v>172</v>
      </c>
      <c r="M7677" s="2">
        <v>79706.0</v>
      </c>
      <c r="N7677" s="2" t="s">
        <v>21</v>
      </c>
    </row>
    <row r="7678" ht="15.75" customHeight="1">
      <c r="A7678" s="2">
        <v>2017.0</v>
      </c>
      <c r="B7678" s="2" t="s">
        <v>32379</v>
      </c>
      <c r="C7678" s="2" t="s">
        <v>32383</v>
      </c>
      <c r="D7678" s="2" t="str">
        <f>"432-813-6436"</f>
        <v>432-813-6436</v>
      </c>
      <c r="E7678" s="2" t="s">
        <v>22331</v>
      </c>
      <c r="F7678" s="2" t="s">
        <v>1175</v>
      </c>
      <c r="G7678" s="2" t="str">
        <f>"SR-10537"</f>
        <v>SR-10537</v>
      </c>
      <c r="H7678" s="2" t="s">
        <v>32384</v>
      </c>
      <c r="I7678" s="2" t="s">
        <v>32382</v>
      </c>
      <c r="K7678" s="2" t="s">
        <v>286</v>
      </c>
      <c r="L7678" s="2" t="s">
        <v>172</v>
      </c>
      <c r="M7678" s="2">
        <v>79706.0</v>
      </c>
      <c r="N7678" s="2" t="s">
        <v>21</v>
      </c>
    </row>
    <row r="7679" ht="15.75" customHeight="1">
      <c r="A7679" s="2">
        <v>2017.0</v>
      </c>
      <c r="B7679" s="2" t="s">
        <v>32385</v>
      </c>
      <c r="C7679" s="2" t="s">
        <v>32386</v>
      </c>
      <c r="D7679" s="2" t="str">
        <f>"281-705-8062"</f>
        <v>281-705-8062</v>
      </c>
      <c r="E7679" s="2" t="s">
        <v>938</v>
      </c>
      <c r="F7679" s="2" t="s">
        <v>4648</v>
      </c>
      <c r="G7679" s="2" t="str">
        <f>"SR-10387"</f>
        <v>SR-10387</v>
      </c>
      <c r="H7679" s="2" t="s">
        <v>32387</v>
      </c>
      <c r="I7679" s="2" t="s">
        <v>32388</v>
      </c>
      <c r="K7679" s="2" t="s">
        <v>4350</v>
      </c>
      <c r="L7679" s="2" t="s">
        <v>172</v>
      </c>
      <c r="M7679" s="2">
        <v>77377.0</v>
      </c>
      <c r="N7679" s="2" t="s">
        <v>21</v>
      </c>
    </row>
    <row r="7680" ht="15.75" customHeight="1">
      <c r="A7680" s="2">
        <v>2017.0</v>
      </c>
      <c r="B7680" s="2" t="s">
        <v>32389</v>
      </c>
      <c r="C7680" s="2" t="s">
        <v>32390</v>
      </c>
      <c r="D7680" s="2" t="str">
        <f>"432-413-2977"</f>
        <v>432-413-2977</v>
      </c>
      <c r="E7680" s="2" t="s">
        <v>590</v>
      </c>
      <c r="F7680" s="2" t="s">
        <v>32391</v>
      </c>
      <c r="G7680" s="2" t="str">
        <f>"SR-10550"</f>
        <v>SR-10550</v>
      </c>
      <c r="H7680" s="2" t="s">
        <v>32392</v>
      </c>
      <c r="I7680" s="2" t="s">
        <v>32393</v>
      </c>
      <c r="K7680" s="2" t="s">
        <v>4764</v>
      </c>
      <c r="L7680" s="2" t="s">
        <v>172</v>
      </c>
      <c r="M7680" s="2">
        <v>79748.0</v>
      </c>
      <c r="N7680" s="2" t="s">
        <v>21</v>
      </c>
    </row>
    <row r="7681" ht="15.75" customHeight="1">
      <c r="A7681" s="2">
        <v>2017.0</v>
      </c>
      <c r="B7681" s="2" t="s">
        <v>32394</v>
      </c>
      <c r="C7681" s="2" t="s">
        <v>32395</v>
      </c>
      <c r="D7681" s="2" t="str">
        <f>"7203408896"</f>
        <v>7203408896</v>
      </c>
      <c r="E7681" s="2" t="s">
        <v>2433</v>
      </c>
      <c r="F7681" s="2" t="s">
        <v>9898</v>
      </c>
      <c r="G7681" s="2" t="str">
        <f>"SR-10552"</f>
        <v>SR-10552</v>
      </c>
      <c r="H7681" s="2" t="s">
        <v>32396</v>
      </c>
      <c r="I7681" s="2" t="s">
        <v>32397</v>
      </c>
      <c r="K7681" s="2" t="s">
        <v>32398</v>
      </c>
      <c r="L7681" s="2" t="s">
        <v>157</v>
      </c>
      <c r="M7681" s="2">
        <v>81647.0</v>
      </c>
      <c r="N7681" s="2" t="s">
        <v>21</v>
      </c>
    </row>
    <row r="7682" ht="15.75" customHeight="1">
      <c r="A7682" s="2">
        <v>2017.0</v>
      </c>
      <c r="B7682" s="2" t="s">
        <v>32399</v>
      </c>
      <c r="C7682" s="2" t="s">
        <v>32399</v>
      </c>
      <c r="D7682" s="2" t="str">
        <f>"6302545968"</f>
        <v>6302545968</v>
      </c>
      <c r="E7682" s="2" t="s">
        <v>32400</v>
      </c>
      <c r="F7682" s="2" t="s">
        <v>11248</v>
      </c>
      <c r="G7682" s="2" t="str">
        <f>"SR-10554"</f>
        <v>SR-10554</v>
      </c>
      <c r="H7682" s="2" t="s">
        <v>32401</v>
      </c>
      <c r="I7682" s="2" t="s">
        <v>32402</v>
      </c>
      <c r="K7682" s="2" t="s">
        <v>32403</v>
      </c>
      <c r="L7682" s="2" t="s">
        <v>105</v>
      </c>
      <c r="M7682" s="2">
        <v>60191.0</v>
      </c>
      <c r="N7682" s="2" t="s">
        <v>21</v>
      </c>
    </row>
    <row r="7683" ht="15.75" customHeight="1">
      <c r="A7683" s="2">
        <v>2017.0</v>
      </c>
      <c r="B7683" s="2" t="s">
        <v>32404</v>
      </c>
      <c r="C7683" s="2" t="s">
        <v>32405</v>
      </c>
      <c r="D7683" s="2" t="str">
        <f>"4026049098"</f>
        <v>4026049098</v>
      </c>
      <c r="E7683" s="2" t="s">
        <v>15993</v>
      </c>
      <c r="F7683" s="2" t="s">
        <v>32406</v>
      </c>
      <c r="G7683" s="2" t="str">
        <f>"SR-10535"</f>
        <v>SR-10535</v>
      </c>
      <c r="H7683" s="2" t="s">
        <v>32407</v>
      </c>
      <c r="I7683" s="2" t="s">
        <v>32408</v>
      </c>
      <c r="K7683" s="2" t="s">
        <v>21836</v>
      </c>
      <c r="L7683" s="2" t="s">
        <v>757</v>
      </c>
      <c r="M7683" s="2">
        <v>68841.0</v>
      </c>
      <c r="N7683" s="2" t="s">
        <v>21</v>
      </c>
    </row>
    <row r="7684" ht="15.75" customHeight="1">
      <c r="A7684" s="2">
        <v>2017.0</v>
      </c>
      <c r="B7684" s="2" t="s">
        <v>32409</v>
      </c>
      <c r="C7684" s="2" t="s">
        <v>32409</v>
      </c>
      <c r="D7684" s="2" t="str">
        <f>"8638588590"</f>
        <v>8638588590</v>
      </c>
      <c r="E7684" s="2" t="s">
        <v>27574</v>
      </c>
      <c r="F7684" s="2" t="s">
        <v>13946</v>
      </c>
      <c r="G7684" s="2" t="str">
        <f>"SR-10558"</f>
        <v>SR-10558</v>
      </c>
      <c r="H7684" s="2" t="s">
        <v>32410</v>
      </c>
      <c r="I7684" s="2" t="s">
        <v>32411</v>
      </c>
      <c r="K7684" s="2" t="s">
        <v>1570</v>
      </c>
      <c r="L7684" s="2" t="s">
        <v>208</v>
      </c>
      <c r="M7684" s="2">
        <v>33809.0</v>
      </c>
      <c r="N7684" s="2" t="s">
        <v>21</v>
      </c>
    </row>
    <row r="7685" ht="15.75" customHeight="1">
      <c r="A7685" s="2">
        <v>2017.0</v>
      </c>
      <c r="B7685" s="2" t="s">
        <v>32412</v>
      </c>
      <c r="C7685" s="2" t="s">
        <v>32412</v>
      </c>
      <c r="D7685" s="2" t="str">
        <f>"4027708359"</f>
        <v>4027708359</v>
      </c>
      <c r="E7685" s="2" t="s">
        <v>137</v>
      </c>
      <c r="F7685" s="2" t="s">
        <v>32413</v>
      </c>
      <c r="G7685" s="2" t="str">
        <f>"SR-10032"</f>
        <v>SR-10032</v>
      </c>
      <c r="H7685" s="2" t="s">
        <v>32414</v>
      </c>
      <c r="I7685" s="2" t="s">
        <v>32415</v>
      </c>
      <c r="K7685" s="2" t="s">
        <v>1520</v>
      </c>
      <c r="L7685" s="2" t="s">
        <v>757</v>
      </c>
      <c r="M7685" s="2">
        <v>68818.0</v>
      </c>
      <c r="N7685" s="2" t="s">
        <v>21</v>
      </c>
    </row>
    <row r="7686" ht="15.75" customHeight="1">
      <c r="A7686" s="2">
        <v>2017.0</v>
      </c>
      <c r="B7686" s="2" t="s">
        <v>32416</v>
      </c>
      <c r="C7686" s="2" t="s">
        <v>32416</v>
      </c>
      <c r="D7686" s="2" t="str">
        <f>"9546491937"</f>
        <v>9546491937</v>
      </c>
      <c r="E7686" s="2" t="s">
        <v>1632</v>
      </c>
      <c r="F7686" s="2" t="s">
        <v>9673</v>
      </c>
      <c r="G7686" s="2" t="str">
        <f>"SR-10561"</f>
        <v>SR-10561</v>
      </c>
      <c r="H7686" s="2" t="s">
        <v>32417</v>
      </c>
      <c r="I7686" s="2" t="s">
        <v>9675</v>
      </c>
      <c r="K7686" s="2" t="s">
        <v>9676</v>
      </c>
      <c r="L7686" s="2" t="s">
        <v>208</v>
      </c>
      <c r="M7686" s="2">
        <v>33308.0</v>
      </c>
      <c r="N7686" s="2" t="s">
        <v>21</v>
      </c>
    </row>
    <row r="7687" ht="15.75" customHeight="1">
      <c r="A7687" s="2">
        <v>2017.0</v>
      </c>
      <c r="B7687" s="2" t="s">
        <v>32418</v>
      </c>
      <c r="C7687" s="2" t="s">
        <v>32419</v>
      </c>
      <c r="D7687" s="2" t="str">
        <f>"561-585-8702"</f>
        <v>561-585-8702</v>
      </c>
      <c r="E7687" s="2" t="s">
        <v>203</v>
      </c>
      <c r="F7687" s="2" t="s">
        <v>32420</v>
      </c>
      <c r="G7687" s="2" t="str">
        <f>"SR-9962"</f>
        <v>SR-9962</v>
      </c>
      <c r="H7687" s="2" t="s">
        <v>32421</v>
      </c>
      <c r="I7687" s="2" t="s">
        <v>32422</v>
      </c>
      <c r="K7687" s="2" t="s">
        <v>32423</v>
      </c>
      <c r="L7687" s="2" t="s">
        <v>208</v>
      </c>
      <c r="M7687" s="2">
        <v>33460.0</v>
      </c>
      <c r="N7687" s="2" t="s">
        <v>21</v>
      </c>
    </row>
    <row r="7688" ht="15.75" customHeight="1">
      <c r="A7688" s="2">
        <v>2017.0</v>
      </c>
      <c r="B7688" s="2" t="s">
        <v>32424</v>
      </c>
      <c r="C7688" s="2" t="s">
        <v>32424</v>
      </c>
      <c r="D7688" s="2" t="str">
        <f>"478-960-3003"</f>
        <v>478-960-3003</v>
      </c>
      <c r="E7688" s="2" t="s">
        <v>1782</v>
      </c>
      <c r="F7688" s="2" t="s">
        <v>25851</v>
      </c>
      <c r="G7688" s="2" t="str">
        <f>"SR-10532"</f>
        <v>SR-10532</v>
      </c>
      <c r="H7688" s="2" t="s">
        <v>32425</v>
      </c>
      <c r="I7688" s="2" t="s">
        <v>32426</v>
      </c>
      <c r="K7688" s="2" t="s">
        <v>7843</v>
      </c>
      <c r="L7688" s="2" t="s">
        <v>200</v>
      </c>
      <c r="M7688" s="2">
        <v>31204.0</v>
      </c>
      <c r="N7688" s="2" t="s">
        <v>21</v>
      </c>
    </row>
    <row r="7689" ht="15.75" customHeight="1">
      <c r="A7689" s="2">
        <v>2017.0</v>
      </c>
      <c r="B7689" s="2" t="s">
        <v>32427</v>
      </c>
      <c r="C7689" s="2" t="s">
        <v>32428</v>
      </c>
      <c r="D7689" s="2" t="str">
        <f>"229-220-4412"</f>
        <v>229-220-4412</v>
      </c>
      <c r="E7689" s="2" t="s">
        <v>9846</v>
      </c>
      <c r="F7689" s="2" t="s">
        <v>10530</v>
      </c>
      <c r="G7689" s="2" t="str">
        <f>"SR-10567"</f>
        <v>SR-10567</v>
      </c>
      <c r="H7689" s="2" t="s">
        <v>32429</v>
      </c>
      <c r="I7689" s="2" t="s">
        <v>32430</v>
      </c>
      <c r="K7689" s="2" t="s">
        <v>32431</v>
      </c>
      <c r="L7689" s="2" t="s">
        <v>200</v>
      </c>
      <c r="M7689" s="2">
        <v>39825.0</v>
      </c>
      <c r="N7689" s="2" t="s">
        <v>21</v>
      </c>
    </row>
    <row r="7690" ht="15.75" customHeight="1">
      <c r="A7690" s="2">
        <v>2017.0</v>
      </c>
      <c r="B7690" s="2" t="s">
        <v>32432</v>
      </c>
      <c r="C7690" s="2" t="s">
        <v>32433</v>
      </c>
      <c r="D7690" s="2" t="str">
        <f>"(208)866-6759"</f>
        <v>(208)866-6759</v>
      </c>
      <c r="E7690" s="2" t="s">
        <v>261</v>
      </c>
      <c r="F7690" s="2" t="s">
        <v>20482</v>
      </c>
      <c r="G7690" s="2" t="str">
        <f>"SR-10492"</f>
        <v>SR-10492</v>
      </c>
      <c r="H7690" s="2" t="s">
        <v>24998</v>
      </c>
      <c r="I7690" s="2" t="s">
        <v>24999</v>
      </c>
      <c r="K7690" s="2" t="s">
        <v>20485</v>
      </c>
      <c r="L7690" s="2" t="s">
        <v>2613</v>
      </c>
      <c r="M7690" s="2">
        <v>83642.0</v>
      </c>
      <c r="N7690" s="2" t="s">
        <v>21</v>
      </c>
    </row>
    <row r="7691" ht="15.75" customHeight="1">
      <c r="A7691" s="2">
        <v>2017.0</v>
      </c>
      <c r="B7691" s="2" t="s">
        <v>32434</v>
      </c>
      <c r="C7691" s="2" t="s">
        <v>32435</v>
      </c>
      <c r="D7691" s="2" t="str">
        <f>"9127286758"</f>
        <v>9127286758</v>
      </c>
      <c r="E7691" s="2" t="s">
        <v>2243</v>
      </c>
      <c r="F7691" s="2" t="s">
        <v>32436</v>
      </c>
      <c r="G7691" s="2" t="str">
        <f>"SR-10383"</f>
        <v>SR-10383</v>
      </c>
      <c r="H7691" s="2" t="s">
        <v>32437</v>
      </c>
      <c r="I7691" s="2" t="s">
        <v>32438</v>
      </c>
      <c r="K7691" s="2" t="s">
        <v>32439</v>
      </c>
      <c r="L7691" s="2" t="s">
        <v>200</v>
      </c>
      <c r="M7691" s="2">
        <v>31326.0</v>
      </c>
      <c r="N7691" s="2" t="s">
        <v>21</v>
      </c>
    </row>
    <row r="7692" ht="15.75" customHeight="1">
      <c r="A7692" s="2">
        <v>2017.0</v>
      </c>
      <c r="B7692" s="2" t="s">
        <v>32440</v>
      </c>
      <c r="C7692" s="2" t="s">
        <v>32440</v>
      </c>
      <c r="D7692" s="2" t="str">
        <f>"9123126398"</f>
        <v>9123126398</v>
      </c>
      <c r="E7692" s="2" t="s">
        <v>2598</v>
      </c>
      <c r="F7692" s="2" t="s">
        <v>32441</v>
      </c>
      <c r="G7692" s="2" t="str">
        <f>"SR-10440"</f>
        <v>SR-10440</v>
      </c>
      <c r="H7692" s="2" t="s">
        <v>32442</v>
      </c>
      <c r="I7692" s="2" t="s">
        <v>32443</v>
      </c>
      <c r="K7692" s="2" t="s">
        <v>1239</v>
      </c>
      <c r="L7692" s="2" t="s">
        <v>200</v>
      </c>
      <c r="M7692" s="2">
        <v>31405.0</v>
      </c>
      <c r="N7692" s="2" t="s">
        <v>21</v>
      </c>
    </row>
    <row r="7693" ht="15.75" customHeight="1">
      <c r="A7693" s="2">
        <v>2017.0</v>
      </c>
      <c r="B7693" s="2" t="s">
        <v>32444</v>
      </c>
      <c r="C7693" s="2" t="s">
        <v>32445</v>
      </c>
      <c r="D7693" s="2" t="str">
        <f>"9724398220"</f>
        <v>9724398220</v>
      </c>
      <c r="E7693" s="2" t="s">
        <v>167</v>
      </c>
      <c r="F7693" s="2" t="s">
        <v>1175</v>
      </c>
      <c r="G7693" s="2" t="str">
        <f>"SR-8697"</f>
        <v>SR-8697</v>
      </c>
      <c r="H7693" s="2" t="s">
        <v>32446</v>
      </c>
      <c r="I7693" s="2" t="s">
        <v>32447</v>
      </c>
      <c r="K7693" s="2" t="s">
        <v>1239</v>
      </c>
      <c r="L7693" s="2" t="s">
        <v>200</v>
      </c>
      <c r="M7693" s="2">
        <v>31408.0</v>
      </c>
      <c r="N7693" s="2" t="s">
        <v>21</v>
      </c>
    </row>
    <row r="7694" ht="15.75" customHeight="1">
      <c r="A7694" s="2">
        <v>2017.0</v>
      </c>
      <c r="B7694" s="2" t="s">
        <v>32448</v>
      </c>
      <c r="C7694" s="2" t="s">
        <v>32448</v>
      </c>
      <c r="D7694" s="2" t="str">
        <f>"9128566137"</f>
        <v>9128566137</v>
      </c>
      <c r="E7694" s="2" t="s">
        <v>3878</v>
      </c>
      <c r="F7694" s="2" t="s">
        <v>2936</v>
      </c>
      <c r="G7694" s="2" t="str">
        <f>"SR-10309"</f>
        <v>SR-10309</v>
      </c>
      <c r="H7694" s="2" t="s">
        <v>32449</v>
      </c>
      <c r="I7694" s="2" t="s">
        <v>32450</v>
      </c>
      <c r="K7694" s="2" t="s">
        <v>1239</v>
      </c>
      <c r="L7694" s="2" t="s">
        <v>200</v>
      </c>
      <c r="M7694" s="2">
        <v>31419.0</v>
      </c>
      <c r="N7694" s="2" t="s">
        <v>21</v>
      </c>
    </row>
    <row r="7695" ht="15.75" customHeight="1">
      <c r="A7695" s="2">
        <v>2017.0</v>
      </c>
      <c r="B7695" s="2" t="s">
        <v>32451</v>
      </c>
      <c r="C7695" s="2" t="s">
        <v>32452</v>
      </c>
      <c r="D7695" s="2" t="str">
        <f>"912-675-8938"</f>
        <v>912-675-8938</v>
      </c>
      <c r="E7695" s="2" t="s">
        <v>4871</v>
      </c>
      <c r="F7695" s="2" t="s">
        <v>32453</v>
      </c>
      <c r="G7695" s="2" t="str">
        <f>"SR-10566"</f>
        <v>SR-10566</v>
      </c>
      <c r="H7695" s="2" t="s">
        <v>32454</v>
      </c>
      <c r="I7695" s="2" t="s">
        <v>32455</v>
      </c>
      <c r="K7695" s="2" t="s">
        <v>1239</v>
      </c>
      <c r="L7695" s="2" t="s">
        <v>200</v>
      </c>
      <c r="M7695" s="2">
        <v>31419.0</v>
      </c>
      <c r="N7695" s="2" t="s">
        <v>21</v>
      </c>
    </row>
    <row r="7696" ht="15.75" customHeight="1">
      <c r="A7696" s="2">
        <v>2017.0</v>
      </c>
      <c r="B7696" s="2" t="s">
        <v>32456</v>
      </c>
      <c r="C7696" s="2" t="s">
        <v>32457</v>
      </c>
      <c r="D7696" s="2" t="str">
        <f>"9126671455"</f>
        <v>9126671455</v>
      </c>
      <c r="E7696" s="2" t="s">
        <v>32458</v>
      </c>
      <c r="F7696" s="2" t="s">
        <v>12211</v>
      </c>
      <c r="G7696" s="2" t="str">
        <f>"SR-10389"</f>
        <v>SR-10389</v>
      </c>
      <c r="H7696" s="2" t="s">
        <v>32459</v>
      </c>
      <c r="I7696" s="2" t="s">
        <v>32460</v>
      </c>
      <c r="K7696" s="2" t="s">
        <v>1239</v>
      </c>
      <c r="L7696" s="2" t="s">
        <v>200</v>
      </c>
      <c r="M7696" s="2">
        <v>31411.0</v>
      </c>
      <c r="N7696" s="2" t="s">
        <v>21</v>
      </c>
    </row>
    <row r="7697" ht="15.75" customHeight="1">
      <c r="A7697" s="2">
        <v>2017.0</v>
      </c>
      <c r="B7697" s="2" t="s">
        <v>32461</v>
      </c>
      <c r="C7697" s="2" t="s">
        <v>32462</v>
      </c>
      <c r="D7697" s="2" t="str">
        <f>"9128975551"</f>
        <v>9128975551</v>
      </c>
      <c r="E7697" s="2" t="s">
        <v>2361</v>
      </c>
      <c r="F7697" s="2" t="s">
        <v>32463</v>
      </c>
      <c r="G7697" s="2" t="str">
        <f>"SR-10386"</f>
        <v>SR-10386</v>
      </c>
      <c r="H7697" s="2" t="s">
        <v>32464</v>
      </c>
      <c r="I7697" s="2" t="s">
        <v>32465</v>
      </c>
      <c r="K7697" s="2" t="s">
        <v>1239</v>
      </c>
      <c r="L7697" s="2" t="s">
        <v>200</v>
      </c>
      <c r="M7697" s="2">
        <v>31410.0</v>
      </c>
      <c r="N7697" s="2" t="s">
        <v>21</v>
      </c>
    </row>
    <row r="7698" ht="15.75" customHeight="1">
      <c r="A7698" s="2">
        <v>2017.0</v>
      </c>
      <c r="B7698" s="2" t="s">
        <v>32466</v>
      </c>
      <c r="C7698" s="2" t="s">
        <v>32466</v>
      </c>
      <c r="D7698" s="2" t="str">
        <f>"320-251-1902"</f>
        <v>320-251-1902</v>
      </c>
      <c r="E7698" s="2" t="s">
        <v>751</v>
      </c>
      <c r="F7698" s="2" t="s">
        <v>32467</v>
      </c>
      <c r="G7698" s="2" t="str">
        <f>"SR-10557"</f>
        <v>SR-10557</v>
      </c>
      <c r="H7698" s="2" t="s">
        <v>32468</v>
      </c>
      <c r="I7698" s="2" t="s">
        <v>32469</v>
      </c>
      <c r="K7698" s="2" t="s">
        <v>11526</v>
      </c>
      <c r="L7698" s="2" t="s">
        <v>62</v>
      </c>
      <c r="M7698" s="2">
        <v>56303.0</v>
      </c>
      <c r="N7698" s="2" t="s">
        <v>21</v>
      </c>
    </row>
    <row r="7699" ht="15.75" customHeight="1">
      <c r="A7699" s="2">
        <v>2017.0</v>
      </c>
      <c r="B7699" s="2" t="s">
        <v>4553</v>
      </c>
      <c r="C7699" s="2" t="s">
        <v>32470</v>
      </c>
      <c r="D7699" s="2" t="str">
        <f>"8134220620"</f>
        <v>8134220620</v>
      </c>
      <c r="E7699" s="2" t="s">
        <v>32471</v>
      </c>
      <c r="F7699" s="2" t="s">
        <v>4556</v>
      </c>
      <c r="G7699" s="2" t="str">
        <f>"SR-10564"</f>
        <v>SR-10564</v>
      </c>
      <c r="H7699" s="2" t="s">
        <v>32472</v>
      </c>
      <c r="I7699" s="2" t="s">
        <v>4558</v>
      </c>
      <c r="K7699" s="2" t="s">
        <v>3431</v>
      </c>
      <c r="L7699" s="2" t="s">
        <v>208</v>
      </c>
      <c r="M7699" s="2">
        <v>33618.0</v>
      </c>
      <c r="N7699" s="2" t="s">
        <v>21</v>
      </c>
    </row>
    <row r="7700" ht="15.75" customHeight="1">
      <c r="A7700" s="2">
        <v>2017.0</v>
      </c>
      <c r="B7700" s="2" t="s">
        <v>32473</v>
      </c>
      <c r="D7700" s="2" t="str">
        <f>""</f>
        <v/>
      </c>
      <c r="E7700" s="2" t="s">
        <v>167</v>
      </c>
      <c r="F7700" s="2" t="s">
        <v>32474</v>
      </c>
      <c r="G7700" s="2" t="str">
        <f>"SR-9247"</f>
        <v>SR-9247</v>
      </c>
      <c r="H7700" s="2" t="s">
        <v>32475</v>
      </c>
      <c r="N7700" s="2" t="s">
        <v>21</v>
      </c>
    </row>
    <row r="7701" ht="15.75" customHeight="1">
      <c r="A7701" s="2">
        <v>2017.0</v>
      </c>
      <c r="B7701" s="2" t="s">
        <v>26432</v>
      </c>
      <c r="C7701" s="2" t="s">
        <v>26433</v>
      </c>
      <c r="D7701" s="2" t="str">
        <f>"512-820-2793"</f>
        <v>512-820-2793</v>
      </c>
      <c r="E7701" s="2" t="s">
        <v>373</v>
      </c>
      <c r="F7701" s="2" t="s">
        <v>1151</v>
      </c>
      <c r="G7701" s="2" t="str">
        <f>"SR-6921"</f>
        <v>SR-6921</v>
      </c>
      <c r="H7701" s="2" t="s">
        <v>26434</v>
      </c>
      <c r="I7701" s="2" t="s">
        <v>26435</v>
      </c>
      <c r="K7701" s="2" t="s">
        <v>538</v>
      </c>
      <c r="L7701" s="2" t="s">
        <v>172</v>
      </c>
      <c r="M7701" s="2">
        <v>77316.0</v>
      </c>
      <c r="N7701" s="2" t="s">
        <v>21</v>
      </c>
    </row>
    <row r="7702" ht="15.75" customHeight="1">
      <c r="A7702" s="2">
        <v>2017.0</v>
      </c>
      <c r="B7702" s="2" t="s">
        <v>32476</v>
      </c>
      <c r="C7702" s="2" t="s">
        <v>32476</v>
      </c>
      <c r="D7702" s="2" t="str">
        <f>"573-819-2230"</f>
        <v>573-819-2230</v>
      </c>
      <c r="E7702" s="2" t="s">
        <v>580</v>
      </c>
      <c r="F7702" s="2" t="s">
        <v>32477</v>
      </c>
      <c r="G7702" s="2" t="str">
        <f>"SR-10579"</f>
        <v>SR-10579</v>
      </c>
      <c r="H7702" s="2" t="s">
        <v>32478</v>
      </c>
      <c r="I7702" s="2" t="s">
        <v>32479</v>
      </c>
      <c r="K7702" s="2" t="s">
        <v>2750</v>
      </c>
      <c r="L7702" s="2" t="s">
        <v>214</v>
      </c>
      <c r="M7702" s="2">
        <v>65203.0</v>
      </c>
      <c r="N7702" s="2" t="s">
        <v>21</v>
      </c>
    </row>
    <row r="7703" ht="15.75" customHeight="1">
      <c r="A7703" s="2">
        <v>2017.0</v>
      </c>
      <c r="B7703" s="2" t="s">
        <v>32480</v>
      </c>
      <c r="C7703" s="2" t="s">
        <v>32480</v>
      </c>
      <c r="D7703" s="2" t="str">
        <f>"321-504-0383"</f>
        <v>321-504-0383</v>
      </c>
      <c r="E7703" s="2" t="s">
        <v>12075</v>
      </c>
      <c r="F7703" s="2" t="s">
        <v>28440</v>
      </c>
      <c r="G7703" s="2" t="str">
        <f>"SR-10581"</f>
        <v>SR-10581</v>
      </c>
      <c r="H7703" s="2" t="s">
        <v>32481</v>
      </c>
      <c r="I7703" s="2" t="s">
        <v>32482</v>
      </c>
      <c r="K7703" s="2" t="s">
        <v>32483</v>
      </c>
      <c r="L7703" s="2" t="s">
        <v>208</v>
      </c>
      <c r="M7703" s="2">
        <v>32955.0</v>
      </c>
      <c r="N7703" s="2" t="s">
        <v>21</v>
      </c>
    </row>
    <row r="7704" ht="15.75" customHeight="1">
      <c r="A7704" s="2">
        <v>2017.0</v>
      </c>
      <c r="B7704" s="2" t="s">
        <v>16409</v>
      </c>
      <c r="C7704" s="2" t="s">
        <v>32484</v>
      </c>
      <c r="D7704" s="2" t="str">
        <f>"970-218-2178"</f>
        <v>970-218-2178</v>
      </c>
      <c r="E7704" s="2" t="s">
        <v>32485</v>
      </c>
      <c r="F7704" s="2" t="s">
        <v>16412</v>
      </c>
      <c r="G7704" s="2" t="str">
        <f>"SR-8781"</f>
        <v>SR-8781</v>
      </c>
      <c r="H7704" s="2" t="s">
        <v>32486</v>
      </c>
      <c r="I7704" s="2" t="s">
        <v>16414</v>
      </c>
      <c r="K7704" s="2" t="s">
        <v>656</v>
      </c>
      <c r="L7704" s="2" t="s">
        <v>157</v>
      </c>
      <c r="M7704" s="2">
        <v>80528.0</v>
      </c>
      <c r="N7704" s="2" t="s">
        <v>21</v>
      </c>
    </row>
    <row r="7705" ht="15.75" customHeight="1">
      <c r="A7705" s="2">
        <v>2017.0</v>
      </c>
      <c r="B7705" s="2" t="s">
        <v>32487</v>
      </c>
      <c r="C7705" s="2" t="s">
        <v>32487</v>
      </c>
      <c r="D7705" s="2" t="str">
        <f>"(417)274-4904"</f>
        <v>(417)274-4904</v>
      </c>
      <c r="E7705" s="2" t="s">
        <v>28804</v>
      </c>
      <c r="F7705" s="2" t="s">
        <v>315</v>
      </c>
      <c r="G7705" s="2" t="str">
        <f>"SR-10584"</f>
        <v>SR-10584</v>
      </c>
      <c r="H7705" s="2" t="s">
        <v>32488</v>
      </c>
      <c r="I7705" s="2" t="s">
        <v>32489</v>
      </c>
      <c r="K7705" s="2" t="s">
        <v>229</v>
      </c>
      <c r="L7705" s="2" t="s">
        <v>214</v>
      </c>
      <c r="M7705" s="2">
        <v>65775.0</v>
      </c>
      <c r="N7705" s="2" t="s">
        <v>21</v>
      </c>
    </row>
    <row r="7706" ht="15.75" customHeight="1">
      <c r="A7706" s="2">
        <v>2017.0</v>
      </c>
      <c r="B7706" s="2" t="s">
        <v>32490</v>
      </c>
      <c r="C7706" s="2" t="s">
        <v>32490</v>
      </c>
      <c r="D7706" s="2" t="str">
        <f>"321-593-3355"</f>
        <v>321-593-3355</v>
      </c>
      <c r="E7706" s="2" t="s">
        <v>417</v>
      </c>
      <c r="F7706" s="2" t="s">
        <v>28440</v>
      </c>
      <c r="G7706" s="2" t="str">
        <f>"SR-10531"</f>
        <v>SR-10531</v>
      </c>
      <c r="H7706" s="2" t="s">
        <v>32491</v>
      </c>
      <c r="I7706" s="2" t="s">
        <v>32492</v>
      </c>
      <c r="K7706" s="2" t="s">
        <v>32483</v>
      </c>
      <c r="L7706" s="2" t="s">
        <v>208</v>
      </c>
      <c r="M7706" s="2">
        <v>32955.0</v>
      </c>
      <c r="N7706" s="2" t="s">
        <v>21</v>
      </c>
    </row>
    <row r="7707" ht="15.75" customHeight="1">
      <c r="A7707" s="2">
        <v>2017.0</v>
      </c>
      <c r="B7707" s="2" t="s">
        <v>32493</v>
      </c>
      <c r="C7707" s="2" t="s">
        <v>32494</v>
      </c>
      <c r="D7707" s="2" t="str">
        <f>"3184913344"</f>
        <v>3184913344</v>
      </c>
      <c r="E7707" s="2" t="s">
        <v>447</v>
      </c>
      <c r="F7707" s="2" t="s">
        <v>32495</v>
      </c>
      <c r="G7707" s="2" t="str">
        <f>"SR-10583"</f>
        <v>SR-10583</v>
      </c>
      <c r="H7707" s="2" t="s">
        <v>32496</v>
      </c>
      <c r="I7707" s="2" t="s">
        <v>32497</v>
      </c>
      <c r="K7707" s="2" t="s">
        <v>3037</v>
      </c>
      <c r="L7707" s="2" t="s">
        <v>715</v>
      </c>
      <c r="M7707" s="2">
        <v>70644.0</v>
      </c>
      <c r="N7707" s="2" t="s">
        <v>21</v>
      </c>
    </row>
    <row r="7708" ht="15.75" customHeight="1">
      <c r="A7708" s="2">
        <v>2017.0</v>
      </c>
      <c r="B7708" s="2" t="s">
        <v>19009</v>
      </c>
      <c r="C7708" s="2" t="s">
        <v>19009</v>
      </c>
      <c r="D7708" s="2" t="str">
        <f>"3614437191"</f>
        <v>3614437191</v>
      </c>
      <c r="E7708" s="2" t="s">
        <v>678</v>
      </c>
      <c r="F7708" s="2" t="s">
        <v>3984</v>
      </c>
      <c r="G7708" s="2" t="str">
        <f>"SR-4964"</f>
        <v>SR-4964</v>
      </c>
      <c r="H7708" s="2" t="s">
        <v>19010</v>
      </c>
      <c r="I7708" s="2" t="s">
        <v>19011</v>
      </c>
      <c r="K7708" s="2" t="s">
        <v>3987</v>
      </c>
      <c r="L7708" s="2" t="s">
        <v>172</v>
      </c>
      <c r="M7708" s="2">
        <v>78414.0</v>
      </c>
      <c r="N7708" s="2" t="s">
        <v>21</v>
      </c>
    </row>
    <row r="7709" ht="15.75" customHeight="1">
      <c r="A7709" s="2">
        <v>2017.0</v>
      </c>
      <c r="B7709" s="2" t="s">
        <v>32498</v>
      </c>
      <c r="C7709" s="2" t="s">
        <v>32498</v>
      </c>
      <c r="D7709" s="2" t="str">
        <f>"361-438-9926"</f>
        <v>361-438-9926</v>
      </c>
      <c r="E7709" s="2" t="s">
        <v>1015</v>
      </c>
      <c r="F7709" s="2" t="s">
        <v>3984</v>
      </c>
      <c r="G7709" s="2" t="str">
        <f>"SR-9819"</f>
        <v>SR-9819</v>
      </c>
      <c r="H7709" s="2" t="s">
        <v>32499</v>
      </c>
      <c r="I7709" s="2" t="s">
        <v>3986</v>
      </c>
      <c r="K7709" s="2" t="s">
        <v>3987</v>
      </c>
      <c r="L7709" s="2" t="s">
        <v>172</v>
      </c>
      <c r="M7709" s="2">
        <v>78414.0</v>
      </c>
      <c r="N7709" s="2" t="s">
        <v>21</v>
      </c>
    </row>
    <row r="7710" ht="15.75" customHeight="1">
      <c r="A7710" s="2">
        <v>2017.0</v>
      </c>
      <c r="B7710" s="2" t="s">
        <v>32500</v>
      </c>
      <c r="C7710" s="2" t="s">
        <v>32501</v>
      </c>
      <c r="D7710" s="2" t="str">
        <f>"4237440864"</f>
        <v>4237440864</v>
      </c>
      <c r="E7710" s="2" t="s">
        <v>32502</v>
      </c>
      <c r="F7710" s="2" t="s">
        <v>32503</v>
      </c>
      <c r="G7710" s="2" t="str">
        <f>"SR-10419"</f>
        <v>SR-10419</v>
      </c>
      <c r="H7710" s="2" t="s">
        <v>32504</v>
      </c>
      <c r="I7710" s="2" t="s">
        <v>32505</v>
      </c>
      <c r="K7710" s="2" t="s">
        <v>5108</v>
      </c>
      <c r="L7710" s="2" t="s">
        <v>279</v>
      </c>
      <c r="M7710" s="2">
        <v>37303.0</v>
      </c>
      <c r="N7710" s="2" t="s">
        <v>21</v>
      </c>
    </row>
    <row r="7711" ht="15.75" customHeight="1">
      <c r="A7711" s="2">
        <v>2017.0</v>
      </c>
      <c r="B7711" s="2" t="s">
        <v>19292</v>
      </c>
      <c r="C7711" s="2" t="s">
        <v>32506</v>
      </c>
      <c r="D7711" s="2" t="str">
        <f>"540-234-6225"</f>
        <v>540-234-6225</v>
      </c>
      <c r="E7711" s="2" t="s">
        <v>288</v>
      </c>
      <c r="F7711" s="2" t="s">
        <v>19294</v>
      </c>
      <c r="G7711" s="2" t="str">
        <f>"SR-10585"</f>
        <v>SR-10585</v>
      </c>
      <c r="H7711" s="2" t="s">
        <v>32507</v>
      </c>
      <c r="I7711" s="2" t="s">
        <v>19296</v>
      </c>
      <c r="K7711" s="2" t="s">
        <v>32508</v>
      </c>
      <c r="L7711" s="2" t="s">
        <v>165</v>
      </c>
      <c r="M7711" s="2">
        <v>22841.0</v>
      </c>
      <c r="N7711" s="2" t="s">
        <v>21</v>
      </c>
    </row>
    <row r="7712" ht="15.75" customHeight="1">
      <c r="A7712" s="2">
        <v>2017.0</v>
      </c>
      <c r="B7712" s="2" t="s">
        <v>32509</v>
      </c>
      <c r="C7712" s="2" t="s">
        <v>32509</v>
      </c>
      <c r="D7712" s="2" t="str">
        <f>"(406)-499-2956"</f>
        <v>(406)-499-2956</v>
      </c>
      <c r="E7712" s="2" t="s">
        <v>137</v>
      </c>
      <c r="F7712" s="2" t="s">
        <v>5365</v>
      </c>
      <c r="G7712" s="2" t="str">
        <f>"SR-10587"</f>
        <v>SR-10587</v>
      </c>
      <c r="H7712" s="2" t="s">
        <v>32510</v>
      </c>
      <c r="I7712" s="2" t="s">
        <v>3291</v>
      </c>
      <c r="K7712" s="2" t="s">
        <v>24625</v>
      </c>
      <c r="L7712" s="2" t="s">
        <v>2696</v>
      </c>
      <c r="M7712" s="2">
        <v>59829.0</v>
      </c>
      <c r="N7712" s="2" t="s">
        <v>21</v>
      </c>
    </row>
    <row r="7713" ht="15.75" customHeight="1">
      <c r="A7713" s="2">
        <v>2017.0</v>
      </c>
      <c r="B7713" s="2" t="s">
        <v>23473</v>
      </c>
      <c r="D7713" s="2" t="str">
        <f>""</f>
        <v/>
      </c>
      <c r="E7713" s="2" t="s">
        <v>2361</v>
      </c>
      <c r="F7713" s="2" t="s">
        <v>23474</v>
      </c>
      <c r="G7713" s="2" t="str">
        <f>"SR-7353"</f>
        <v>SR-7353</v>
      </c>
      <c r="H7713" s="2" t="s">
        <v>23475</v>
      </c>
      <c r="N7713" s="2" t="s">
        <v>21</v>
      </c>
    </row>
    <row r="7714" ht="15.75" customHeight="1">
      <c r="A7714" s="2">
        <v>2017.0</v>
      </c>
      <c r="B7714" s="2" t="s">
        <v>32511</v>
      </c>
      <c r="C7714" s="2" t="s">
        <v>32512</v>
      </c>
      <c r="D7714" s="2" t="str">
        <f>"407-335-9701"</f>
        <v>407-335-9701</v>
      </c>
      <c r="E7714" s="2" t="s">
        <v>261</v>
      </c>
      <c r="F7714" s="2" t="s">
        <v>3576</v>
      </c>
      <c r="G7714" s="2" t="str">
        <f>"SR-10591"</f>
        <v>SR-10591</v>
      </c>
      <c r="H7714" s="2" t="s">
        <v>4270</v>
      </c>
      <c r="I7714" s="2" t="s">
        <v>32513</v>
      </c>
      <c r="K7714" s="2" t="s">
        <v>32514</v>
      </c>
      <c r="L7714" s="2" t="s">
        <v>208</v>
      </c>
      <c r="M7714" s="2">
        <v>34787.0</v>
      </c>
      <c r="N7714" s="2" t="s">
        <v>21</v>
      </c>
    </row>
    <row r="7715" ht="15.75" customHeight="1">
      <c r="A7715" s="2">
        <v>2017.0</v>
      </c>
      <c r="B7715" s="2" t="s">
        <v>32515</v>
      </c>
      <c r="C7715" s="2" t="s">
        <v>32516</v>
      </c>
      <c r="D7715" s="2" t="str">
        <f>"513-874-4252"</f>
        <v>513-874-4252</v>
      </c>
      <c r="E7715" s="2" t="s">
        <v>339</v>
      </c>
      <c r="F7715" s="2" t="s">
        <v>32517</v>
      </c>
      <c r="G7715" s="2" t="str">
        <f>"SR-10586"</f>
        <v>SR-10586</v>
      </c>
      <c r="H7715" s="2" t="s">
        <v>32518</v>
      </c>
      <c r="I7715" s="2" t="s">
        <v>32519</v>
      </c>
      <c r="K7715" s="2" t="s">
        <v>14929</v>
      </c>
      <c r="L7715" s="2" t="s">
        <v>344</v>
      </c>
      <c r="M7715" s="2">
        <v>45069.0</v>
      </c>
      <c r="N7715" s="2" t="s">
        <v>21</v>
      </c>
    </row>
    <row r="7716" ht="15.75" customHeight="1">
      <c r="A7716" s="2">
        <v>2017.0</v>
      </c>
      <c r="B7716" s="2" t="s">
        <v>32520</v>
      </c>
      <c r="C7716" s="2" t="s">
        <v>32520</v>
      </c>
      <c r="D7716" s="2" t="str">
        <f>"406-287-3212"</f>
        <v>406-287-3212</v>
      </c>
      <c r="E7716" s="2" t="s">
        <v>32521</v>
      </c>
      <c r="F7716" s="2" t="s">
        <v>32522</v>
      </c>
      <c r="G7716" s="2" t="str">
        <f>"SR-10594"</f>
        <v>SR-10594</v>
      </c>
      <c r="H7716" s="2" t="s">
        <v>32523</v>
      </c>
      <c r="I7716" s="2" t="s">
        <v>32524</v>
      </c>
      <c r="K7716" s="2" t="s">
        <v>2774</v>
      </c>
      <c r="L7716" s="2" t="s">
        <v>2696</v>
      </c>
      <c r="M7716" s="2">
        <v>59721.0</v>
      </c>
      <c r="N7716" s="2" t="s">
        <v>21</v>
      </c>
    </row>
    <row r="7717" ht="15.75" customHeight="1">
      <c r="A7717" s="2">
        <v>2017.0</v>
      </c>
      <c r="B7717" s="2" t="s">
        <v>32525</v>
      </c>
      <c r="C7717" s="2" t="s">
        <v>32526</v>
      </c>
      <c r="D7717" s="2" t="str">
        <f>"4054719669"</f>
        <v>4054719669</v>
      </c>
      <c r="E7717" s="2" t="s">
        <v>31923</v>
      </c>
      <c r="F7717" s="2" t="s">
        <v>27337</v>
      </c>
      <c r="G7717" s="2" t="str">
        <f>"SR-10592"</f>
        <v>SR-10592</v>
      </c>
      <c r="H7717" s="2" t="s">
        <v>32527</v>
      </c>
      <c r="I7717" s="2" t="s">
        <v>32528</v>
      </c>
      <c r="K7717" s="2" t="s">
        <v>1546</v>
      </c>
      <c r="L7717" s="2" t="s">
        <v>840</v>
      </c>
      <c r="M7717" s="2">
        <v>73034.0</v>
      </c>
      <c r="N7717" s="2" t="s">
        <v>21</v>
      </c>
    </row>
    <row r="7718" ht="15.75" customHeight="1">
      <c r="A7718" s="2">
        <v>2017.0</v>
      </c>
      <c r="B7718" s="2" t="s">
        <v>32529</v>
      </c>
      <c r="C7718" s="2" t="s">
        <v>32529</v>
      </c>
      <c r="D7718" s="2" t="str">
        <f>"8433842243"</f>
        <v>8433842243</v>
      </c>
      <c r="E7718" s="2" t="s">
        <v>456</v>
      </c>
      <c r="F7718" s="2" t="s">
        <v>836</v>
      </c>
      <c r="G7718" s="2" t="str">
        <f>"SR-10593"</f>
        <v>SR-10593</v>
      </c>
      <c r="H7718" s="2" t="s">
        <v>32530</v>
      </c>
      <c r="I7718" s="2" t="s">
        <v>32531</v>
      </c>
      <c r="K7718" s="2" t="s">
        <v>26737</v>
      </c>
      <c r="L7718" s="2" t="s">
        <v>55</v>
      </c>
      <c r="M7718" s="2">
        <v>29906.0</v>
      </c>
      <c r="N7718" s="2" t="s">
        <v>21</v>
      </c>
    </row>
    <row r="7719" ht="15.75" customHeight="1">
      <c r="A7719" s="2">
        <v>2017.0</v>
      </c>
      <c r="B7719" s="2" t="s">
        <v>23482</v>
      </c>
      <c r="D7719" s="2" t="str">
        <f>""</f>
        <v/>
      </c>
      <c r="E7719" s="2" t="s">
        <v>915</v>
      </c>
      <c r="F7719" s="2" t="s">
        <v>23483</v>
      </c>
      <c r="G7719" s="2" t="str">
        <f>"SR-7359"</f>
        <v>SR-7359</v>
      </c>
      <c r="H7719" s="2" t="s">
        <v>23484</v>
      </c>
      <c r="N7719" s="2" t="s">
        <v>21</v>
      </c>
    </row>
    <row r="7720" ht="15.75" customHeight="1">
      <c r="A7720" s="2">
        <v>2017.0</v>
      </c>
      <c r="B7720" s="2" t="s">
        <v>32532</v>
      </c>
      <c r="C7720" s="2" t="s">
        <v>32533</v>
      </c>
      <c r="D7720" s="2" t="str">
        <f>"719-432-9092"</f>
        <v>719-432-9092</v>
      </c>
      <c r="E7720" s="2" t="s">
        <v>32534</v>
      </c>
      <c r="F7720" s="2" t="s">
        <v>20228</v>
      </c>
      <c r="G7720" s="2" t="str">
        <f>"SR-10253"</f>
        <v>SR-10253</v>
      </c>
      <c r="H7720" s="2" t="s">
        <v>32535</v>
      </c>
      <c r="I7720" s="2" t="s">
        <v>32536</v>
      </c>
      <c r="J7720" s="2" t="s">
        <v>27456</v>
      </c>
      <c r="K7720" s="2" t="s">
        <v>809</v>
      </c>
      <c r="L7720" s="2" t="s">
        <v>157</v>
      </c>
      <c r="M7720" s="2">
        <v>80924.0</v>
      </c>
      <c r="N7720" s="2" t="s">
        <v>21</v>
      </c>
    </row>
    <row r="7721" ht="15.75" customHeight="1">
      <c r="A7721" s="2">
        <v>2017.0</v>
      </c>
      <c r="B7721" s="2" t="s">
        <v>9440</v>
      </c>
      <c r="D7721" s="2" t="str">
        <f>""</f>
        <v/>
      </c>
      <c r="E7721" s="2" t="s">
        <v>5548</v>
      </c>
      <c r="F7721" s="2" t="s">
        <v>5205</v>
      </c>
      <c r="G7721" s="2" t="str">
        <f>"SR-7218"</f>
        <v>SR-7218</v>
      </c>
      <c r="H7721" s="2" t="s">
        <v>24060</v>
      </c>
    </row>
    <row r="7722" ht="15.75" customHeight="1">
      <c r="A7722" s="2">
        <v>2017.0</v>
      </c>
      <c r="B7722" s="2" t="s">
        <v>32537</v>
      </c>
      <c r="C7722" s="2" t="s">
        <v>32538</v>
      </c>
      <c r="D7722" s="2" t="str">
        <f>"303-410-9940"</f>
        <v>303-410-9940</v>
      </c>
      <c r="E7722" s="2" t="s">
        <v>678</v>
      </c>
      <c r="F7722" s="2" t="s">
        <v>32539</v>
      </c>
      <c r="G7722" s="2" t="str">
        <f>"SR-10418"</f>
        <v>SR-10418</v>
      </c>
      <c r="H7722" s="2" t="s">
        <v>32540</v>
      </c>
      <c r="I7722" s="2" t="s">
        <v>32541</v>
      </c>
      <c r="K7722" s="2" t="s">
        <v>7480</v>
      </c>
      <c r="L7722" s="2" t="s">
        <v>157</v>
      </c>
      <c r="M7722" s="2">
        <v>80602.0</v>
      </c>
      <c r="N7722" s="2" t="s">
        <v>21</v>
      </c>
    </row>
    <row r="7723" ht="15.75" customHeight="1">
      <c r="A7723" s="2">
        <v>2017.0</v>
      </c>
      <c r="B7723" s="2" t="s">
        <v>32542</v>
      </c>
      <c r="C7723" s="2" t="s">
        <v>32543</v>
      </c>
      <c r="D7723" s="2" t="str">
        <f>"9717166142"</f>
        <v>9717166142</v>
      </c>
      <c r="E7723" s="2" t="s">
        <v>1208</v>
      </c>
      <c r="F7723" s="2" t="s">
        <v>32544</v>
      </c>
      <c r="G7723" s="2" t="str">
        <f>"SR-10073"</f>
        <v>SR-10073</v>
      </c>
      <c r="H7723" s="2" t="s">
        <v>32545</v>
      </c>
      <c r="I7723" s="2" t="s">
        <v>32546</v>
      </c>
      <c r="K7723" s="2" t="s">
        <v>32547</v>
      </c>
      <c r="L7723" s="2" t="s">
        <v>31606</v>
      </c>
      <c r="M7723" s="2">
        <v>692.0</v>
      </c>
      <c r="N7723" s="2" t="s">
        <v>32548</v>
      </c>
    </row>
    <row r="7724" ht="15.75" customHeight="1">
      <c r="A7724" s="2">
        <v>2017.0</v>
      </c>
      <c r="B7724" s="2" t="s">
        <v>32542</v>
      </c>
      <c r="C7724" s="2" t="s">
        <v>32549</v>
      </c>
      <c r="D7724" s="2" t="str">
        <f>"9712377137"</f>
        <v>9712377137</v>
      </c>
      <c r="E7724" s="2" t="s">
        <v>32550</v>
      </c>
      <c r="F7724" s="2" t="s">
        <v>32544</v>
      </c>
      <c r="G7724" s="2" t="str">
        <f>"SR-10072"</f>
        <v>SR-10072</v>
      </c>
      <c r="H7724" s="2" t="s">
        <v>32551</v>
      </c>
      <c r="I7724" s="2" t="s">
        <v>32546</v>
      </c>
      <c r="K7724" s="2" t="s">
        <v>32547</v>
      </c>
      <c r="L7724" s="2" t="s">
        <v>31541</v>
      </c>
      <c r="M7724" s="2">
        <v>692.0</v>
      </c>
      <c r="N7724" s="2" t="s">
        <v>32548</v>
      </c>
    </row>
    <row r="7725" ht="15.75" customHeight="1">
      <c r="A7725" s="2">
        <v>2017.0</v>
      </c>
      <c r="B7725" s="2" t="s">
        <v>32542</v>
      </c>
      <c r="C7725" s="2" t="s">
        <v>32552</v>
      </c>
      <c r="D7725" s="2" t="str">
        <f>"9712376894"</f>
        <v>9712376894</v>
      </c>
      <c r="E7725" s="2" t="s">
        <v>843</v>
      </c>
      <c r="F7725" s="2" t="s">
        <v>32544</v>
      </c>
      <c r="G7725" s="2" t="str">
        <f>"SR-10074"</f>
        <v>SR-10074</v>
      </c>
      <c r="H7725" s="2" t="s">
        <v>32553</v>
      </c>
      <c r="I7725" s="2" t="s">
        <v>32546</v>
      </c>
      <c r="K7725" s="2" t="s">
        <v>32547</v>
      </c>
      <c r="L7725" s="2" t="s">
        <v>31541</v>
      </c>
      <c r="M7725" s="2">
        <v>692.0</v>
      </c>
      <c r="N7725" s="2" t="s">
        <v>32548</v>
      </c>
    </row>
    <row r="7726" ht="15.75" customHeight="1">
      <c r="A7726" s="2">
        <v>2017.0</v>
      </c>
      <c r="B7726" s="2" t="s">
        <v>11651</v>
      </c>
      <c r="C7726" s="2" t="s">
        <v>32554</v>
      </c>
      <c r="D7726" s="2" t="str">
        <f>"803-553-7327"</f>
        <v>803-553-7327</v>
      </c>
      <c r="E7726" s="2" t="s">
        <v>2412</v>
      </c>
      <c r="F7726" s="2" t="s">
        <v>11653</v>
      </c>
      <c r="G7726" s="2" t="str">
        <f>"SR-10548"</f>
        <v>SR-10548</v>
      </c>
      <c r="H7726" s="2" t="s">
        <v>32555</v>
      </c>
      <c r="I7726" s="2" t="s">
        <v>11655</v>
      </c>
      <c r="K7726" s="2" t="s">
        <v>2750</v>
      </c>
      <c r="L7726" s="2" t="s">
        <v>55</v>
      </c>
      <c r="M7726" s="2">
        <v>29223.0</v>
      </c>
      <c r="N7726" s="2" t="s">
        <v>21</v>
      </c>
    </row>
    <row r="7727" ht="15.75" customHeight="1">
      <c r="A7727" s="2">
        <v>2017.0</v>
      </c>
      <c r="B7727" s="2" t="s">
        <v>32556</v>
      </c>
      <c r="C7727" s="2" t="s">
        <v>32557</v>
      </c>
      <c r="D7727" s="2" t="str">
        <f>"618-416-5952"</f>
        <v>618-416-5952</v>
      </c>
      <c r="E7727" s="2" t="s">
        <v>15933</v>
      </c>
      <c r="F7727" s="2" t="s">
        <v>32558</v>
      </c>
      <c r="G7727" s="2" t="str">
        <f>"SR-10598"</f>
        <v>SR-10598</v>
      </c>
      <c r="H7727" s="2" t="s">
        <v>32559</v>
      </c>
      <c r="I7727" s="2" t="s">
        <v>32560</v>
      </c>
      <c r="K7727" s="2" t="s">
        <v>28289</v>
      </c>
      <c r="L7727" s="2" t="s">
        <v>105</v>
      </c>
      <c r="M7727" s="2">
        <v>62226.0</v>
      </c>
      <c r="N7727" s="2" t="s">
        <v>21</v>
      </c>
    </row>
    <row r="7728" ht="15.75" customHeight="1">
      <c r="A7728" s="2">
        <v>2017.0</v>
      </c>
      <c r="B7728" s="2" t="s">
        <v>32561</v>
      </c>
      <c r="C7728" s="2" t="s">
        <v>32561</v>
      </c>
      <c r="D7728" s="2" t="str">
        <f>"928-206-6142"</f>
        <v>928-206-6142</v>
      </c>
      <c r="E7728" s="2" t="s">
        <v>2083</v>
      </c>
      <c r="F7728" s="2" t="s">
        <v>32562</v>
      </c>
      <c r="G7728" s="2" t="str">
        <f>"SR-10085"</f>
        <v>SR-10085</v>
      </c>
      <c r="H7728" s="2" t="s">
        <v>32563</v>
      </c>
      <c r="I7728" s="2" t="s">
        <v>32564</v>
      </c>
      <c r="K7728" s="2" t="s">
        <v>4420</v>
      </c>
      <c r="L7728" s="2" t="s">
        <v>422</v>
      </c>
      <c r="M7728" s="2">
        <v>86503.0</v>
      </c>
      <c r="N7728" s="2" t="s">
        <v>21</v>
      </c>
    </row>
    <row r="7729" ht="15.75" customHeight="1">
      <c r="A7729" s="2">
        <v>2017.0</v>
      </c>
      <c r="B7729" s="2" t="s">
        <v>4414</v>
      </c>
      <c r="C7729" s="2" t="s">
        <v>15115</v>
      </c>
      <c r="D7729" s="2" t="str">
        <f>"928-674-2962"</f>
        <v>928-674-2962</v>
      </c>
      <c r="E7729" s="2" t="s">
        <v>651</v>
      </c>
      <c r="F7729" s="2" t="s">
        <v>4417</v>
      </c>
      <c r="G7729" s="2" t="str">
        <f>"SR-3482"</f>
        <v>SR-3482</v>
      </c>
      <c r="H7729" s="2" t="s">
        <v>15116</v>
      </c>
      <c r="I7729" s="2" t="s">
        <v>4419</v>
      </c>
      <c r="K7729" s="2" t="s">
        <v>4420</v>
      </c>
      <c r="L7729" s="2" t="s">
        <v>422</v>
      </c>
      <c r="M7729" s="2">
        <v>86503.0</v>
      </c>
      <c r="N7729" s="2" t="s">
        <v>21</v>
      </c>
    </row>
    <row r="7730" ht="15.75" customHeight="1">
      <c r="A7730" s="2">
        <v>2017.0</v>
      </c>
      <c r="B7730" s="2" t="s">
        <v>4414</v>
      </c>
      <c r="C7730" s="2" t="s">
        <v>28558</v>
      </c>
      <c r="D7730" s="2" t="str">
        <f>"928-245-7679"</f>
        <v>928-245-7679</v>
      </c>
      <c r="E7730" s="2" t="s">
        <v>2089</v>
      </c>
      <c r="F7730" s="2" t="s">
        <v>4417</v>
      </c>
      <c r="G7730" s="2" t="str">
        <f>"SR-7767"</f>
        <v>SR-7767</v>
      </c>
      <c r="H7730" s="2" t="s">
        <v>28559</v>
      </c>
      <c r="I7730" s="2" t="s">
        <v>28560</v>
      </c>
      <c r="K7730" s="2" t="s">
        <v>28561</v>
      </c>
      <c r="L7730" s="2" t="s">
        <v>157</v>
      </c>
      <c r="M7730" s="2">
        <v>81147.0</v>
      </c>
      <c r="N7730" s="2" t="s">
        <v>21</v>
      </c>
    </row>
    <row r="7731" ht="15.75" customHeight="1">
      <c r="A7731" s="2">
        <v>2017.0</v>
      </c>
      <c r="B7731" s="2" t="s">
        <v>4414</v>
      </c>
      <c r="C7731" s="2" t="s">
        <v>4414</v>
      </c>
      <c r="D7731" s="2" t="str">
        <f>"928-674-2962"</f>
        <v>928-674-2962</v>
      </c>
      <c r="E7731" s="2" t="s">
        <v>2912</v>
      </c>
      <c r="F7731" s="2" t="s">
        <v>4417</v>
      </c>
      <c r="G7731" s="2" t="str">
        <f>"SR-9048"</f>
        <v>SR-9048</v>
      </c>
      <c r="H7731" s="2" t="s">
        <v>29031</v>
      </c>
      <c r="I7731" s="2" t="s">
        <v>4419</v>
      </c>
      <c r="K7731" s="2" t="s">
        <v>4420</v>
      </c>
      <c r="L7731" s="2" t="s">
        <v>422</v>
      </c>
      <c r="M7731" s="2">
        <v>86503.0</v>
      </c>
      <c r="N7731" s="2" t="s">
        <v>21</v>
      </c>
    </row>
    <row r="7732" ht="15.75" customHeight="1">
      <c r="A7732" s="2">
        <v>2017.0</v>
      </c>
      <c r="B7732" s="2" t="s">
        <v>32565</v>
      </c>
      <c r="C7732" s="2" t="s">
        <v>32565</v>
      </c>
      <c r="D7732" s="2" t="str">
        <f>"423 599 3477"</f>
        <v>423 599 3477</v>
      </c>
      <c r="E7732" s="2" t="s">
        <v>32566</v>
      </c>
      <c r="F7732" s="2" t="s">
        <v>10417</v>
      </c>
      <c r="G7732" s="2" t="str">
        <f>"SR-10601"</f>
        <v>SR-10601</v>
      </c>
      <c r="H7732" s="2" t="s">
        <v>32567</v>
      </c>
      <c r="I7732" s="2" t="s">
        <v>32568</v>
      </c>
      <c r="K7732" s="2" t="s">
        <v>1408</v>
      </c>
      <c r="L7732" s="2" t="s">
        <v>279</v>
      </c>
      <c r="M7732" s="2">
        <v>37323.0</v>
      </c>
      <c r="N7732" s="2" t="s">
        <v>21</v>
      </c>
    </row>
    <row r="7733" ht="15.75" customHeight="1">
      <c r="A7733" s="2">
        <v>2017.0</v>
      </c>
      <c r="B7733" s="2" t="s">
        <v>32569</v>
      </c>
      <c r="C7733" s="2" t="s">
        <v>32570</v>
      </c>
      <c r="D7733" s="2" t="str">
        <f>"575-545-7324"</f>
        <v>575-545-7324</v>
      </c>
      <c r="E7733" s="2" t="s">
        <v>5489</v>
      </c>
      <c r="F7733" s="2" t="s">
        <v>21040</v>
      </c>
      <c r="G7733" s="2" t="str">
        <f>"SR-10545"</f>
        <v>SR-10545</v>
      </c>
      <c r="H7733" s="2" t="s">
        <v>32571</v>
      </c>
      <c r="I7733" s="2" t="s">
        <v>32572</v>
      </c>
      <c r="K7733" s="2" t="s">
        <v>7900</v>
      </c>
      <c r="L7733" s="2" t="s">
        <v>789</v>
      </c>
      <c r="M7733" s="2">
        <v>88030.0</v>
      </c>
      <c r="N7733" s="2" t="s">
        <v>21</v>
      </c>
    </row>
    <row r="7734" ht="15.75" customHeight="1">
      <c r="A7734" s="2">
        <v>2017.0</v>
      </c>
      <c r="B7734" s="2" t="s">
        <v>32573</v>
      </c>
      <c r="C7734" s="2" t="s">
        <v>32573</v>
      </c>
      <c r="D7734" s="2" t="str">
        <f>"7176150607"</f>
        <v>7176150607</v>
      </c>
      <c r="E7734" s="2" t="s">
        <v>5901</v>
      </c>
      <c r="F7734" s="2" t="s">
        <v>4425</v>
      </c>
      <c r="G7734" s="2" t="str">
        <f>"SR-10605"</f>
        <v>SR-10605</v>
      </c>
      <c r="H7734" s="2" t="s">
        <v>32574</v>
      </c>
      <c r="I7734" s="2" t="s">
        <v>32575</v>
      </c>
      <c r="K7734" s="2" t="s">
        <v>7640</v>
      </c>
      <c r="L7734" s="2" t="s">
        <v>179</v>
      </c>
      <c r="M7734" s="2">
        <v>17543.0</v>
      </c>
      <c r="N7734" s="2" t="s">
        <v>21</v>
      </c>
    </row>
    <row r="7735" ht="15.75" customHeight="1">
      <c r="A7735" s="2">
        <v>2017.0</v>
      </c>
      <c r="B7735" s="2" t="s">
        <v>32576</v>
      </c>
      <c r="C7735" s="2" t="s">
        <v>32577</v>
      </c>
      <c r="D7735" s="2" t="str">
        <f>"(239)877-7872"</f>
        <v>(239)877-7872</v>
      </c>
      <c r="E7735" s="2" t="s">
        <v>1015</v>
      </c>
      <c r="F7735" s="2" t="s">
        <v>32578</v>
      </c>
      <c r="G7735" s="2" t="str">
        <f>"SR-10606"</f>
        <v>SR-10606</v>
      </c>
      <c r="H7735" s="2" t="s">
        <v>32579</v>
      </c>
      <c r="I7735" s="2" t="s">
        <v>32580</v>
      </c>
      <c r="K7735" s="2" t="s">
        <v>5046</v>
      </c>
      <c r="L7735" s="2" t="s">
        <v>208</v>
      </c>
      <c r="M7735" s="2">
        <v>34119.0</v>
      </c>
      <c r="N7735" s="2" t="s">
        <v>21</v>
      </c>
    </row>
    <row r="7736" ht="15.75" customHeight="1">
      <c r="A7736" s="2">
        <v>2017.0</v>
      </c>
      <c r="B7736" s="2" t="s">
        <v>32581</v>
      </c>
      <c r="C7736" s="2" t="s">
        <v>32582</v>
      </c>
      <c r="D7736" s="2" t="str">
        <f>"5078229351"</f>
        <v>5078229351</v>
      </c>
      <c r="E7736" s="2" t="s">
        <v>19261</v>
      </c>
      <c r="F7736" s="2" t="s">
        <v>1799</v>
      </c>
      <c r="G7736" s="2" t="str">
        <f>"SR-10409"</f>
        <v>SR-10409</v>
      </c>
      <c r="H7736" s="2" t="s">
        <v>32583</v>
      </c>
      <c r="I7736" s="2" t="s">
        <v>32584</v>
      </c>
      <c r="K7736" s="2" t="s">
        <v>16225</v>
      </c>
      <c r="L7736" s="2" t="s">
        <v>62</v>
      </c>
      <c r="M7736" s="2">
        <v>56101.0</v>
      </c>
      <c r="N7736" s="2" t="s">
        <v>21</v>
      </c>
    </row>
    <row r="7737" ht="15.75" customHeight="1">
      <c r="A7737" s="2">
        <v>2017.0</v>
      </c>
      <c r="B7737" s="2" t="s">
        <v>32585</v>
      </c>
      <c r="C7737" s="2" t="s">
        <v>32586</v>
      </c>
      <c r="D7737" s="2" t="str">
        <f>"970-466-9242"</f>
        <v>970-466-9242</v>
      </c>
      <c r="E7737" s="2" t="s">
        <v>908</v>
      </c>
      <c r="F7737" s="2" t="s">
        <v>94</v>
      </c>
      <c r="G7737" s="2" t="str">
        <f>"SR-10603"</f>
        <v>SR-10603</v>
      </c>
      <c r="H7737" s="2" t="s">
        <v>32587</v>
      </c>
      <c r="I7737" s="2">
        <v>53575.0</v>
      </c>
      <c r="K7737" s="2" t="s">
        <v>32588</v>
      </c>
      <c r="L7737" s="2" t="s">
        <v>157</v>
      </c>
      <c r="M7737" s="2">
        <v>80758.0</v>
      </c>
      <c r="N7737" s="2" t="s">
        <v>21</v>
      </c>
    </row>
    <row r="7738" ht="15.75" customHeight="1">
      <c r="A7738" s="2">
        <v>2017.0</v>
      </c>
      <c r="B7738" s="2" t="s">
        <v>25226</v>
      </c>
      <c r="C7738" s="2" t="s">
        <v>25227</v>
      </c>
      <c r="D7738" s="2" t="str">
        <f>"4056846119"</f>
        <v>4056846119</v>
      </c>
      <c r="E7738" s="2" t="s">
        <v>2681</v>
      </c>
      <c r="F7738" s="2" t="s">
        <v>25228</v>
      </c>
      <c r="G7738" s="2" t="str">
        <f>"SR-7851"</f>
        <v>SR-7851</v>
      </c>
      <c r="H7738" s="2" t="s">
        <v>25229</v>
      </c>
      <c r="I7738" s="2" t="s">
        <v>25230</v>
      </c>
      <c r="K7738" s="2" t="s">
        <v>2870</v>
      </c>
      <c r="L7738" s="2" t="s">
        <v>840</v>
      </c>
      <c r="M7738" s="2">
        <v>73026.0</v>
      </c>
      <c r="N7738" s="2" t="s">
        <v>21</v>
      </c>
    </row>
    <row r="7739" ht="15.75" customHeight="1">
      <c r="A7739" s="2">
        <v>2017.0</v>
      </c>
      <c r="B7739" s="2" t="s">
        <v>32589</v>
      </c>
      <c r="C7739" s="2" t="s">
        <v>32590</v>
      </c>
      <c r="D7739" s="2" t="str">
        <f>"512-943-4123"</f>
        <v>512-943-4123</v>
      </c>
      <c r="E7739" s="2" t="s">
        <v>32591</v>
      </c>
      <c r="F7739" s="2" t="s">
        <v>32592</v>
      </c>
      <c r="G7739" s="2" t="str">
        <f>"SR-9931"</f>
        <v>SR-9931</v>
      </c>
      <c r="H7739" s="2" t="s">
        <v>32593</v>
      </c>
      <c r="I7739" s="2" t="s">
        <v>32594</v>
      </c>
      <c r="K7739" s="2" t="s">
        <v>4482</v>
      </c>
      <c r="L7739" s="2" t="s">
        <v>172</v>
      </c>
      <c r="M7739" s="2">
        <v>78628.0</v>
      </c>
      <c r="N7739" s="2" t="s">
        <v>21</v>
      </c>
    </row>
    <row r="7740" ht="15.75" customHeight="1">
      <c r="A7740" s="2">
        <v>2017.0</v>
      </c>
      <c r="B7740" s="2" t="s">
        <v>9186</v>
      </c>
      <c r="C7740" s="2" t="s">
        <v>24057</v>
      </c>
      <c r="D7740" s="2" t="str">
        <f>"6025017951"</f>
        <v>6025017951</v>
      </c>
      <c r="E7740" s="2" t="s">
        <v>6966</v>
      </c>
      <c r="F7740" s="2" t="s">
        <v>9188</v>
      </c>
      <c r="G7740" s="2" t="str">
        <f>"SR-7575"</f>
        <v>SR-7575</v>
      </c>
      <c r="H7740" s="2" t="s">
        <v>24058</v>
      </c>
      <c r="I7740" s="2" t="s">
        <v>24059</v>
      </c>
      <c r="K7740" s="2" t="s">
        <v>9191</v>
      </c>
      <c r="L7740" s="2" t="s">
        <v>422</v>
      </c>
      <c r="M7740" s="2">
        <v>85142.0</v>
      </c>
      <c r="N7740" s="2" t="s">
        <v>21</v>
      </c>
    </row>
    <row r="7741" ht="15.75" customHeight="1">
      <c r="A7741" s="2">
        <v>2017.0</v>
      </c>
      <c r="B7741" s="2" t="s">
        <v>32595</v>
      </c>
      <c r="C7741" s="2" t="s">
        <v>32596</v>
      </c>
      <c r="D7741" s="2" t="str">
        <f>"8064181809"</f>
        <v>8064181809</v>
      </c>
      <c r="E7741" s="2" t="s">
        <v>678</v>
      </c>
      <c r="F7741" s="2" t="s">
        <v>32597</v>
      </c>
      <c r="G7741" s="2" t="str">
        <f>"SR-10274"</f>
        <v>SR-10274</v>
      </c>
      <c r="H7741" s="2" t="s">
        <v>32598</v>
      </c>
      <c r="I7741" s="2" t="s">
        <v>32599</v>
      </c>
      <c r="K7741" s="2" t="s">
        <v>32600</v>
      </c>
      <c r="L7741" s="2" t="s">
        <v>279</v>
      </c>
      <c r="M7741" s="2">
        <v>37763.0</v>
      </c>
      <c r="N7741" s="2" t="s">
        <v>21</v>
      </c>
    </row>
    <row r="7742" ht="15.75" customHeight="1">
      <c r="A7742" s="2">
        <v>2017.0</v>
      </c>
      <c r="B7742" s="2" t="s">
        <v>32601</v>
      </c>
      <c r="C7742" s="2" t="s">
        <v>25485</v>
      </c>
      <c r="D7742" s="2" t="str">
        <f t="shared" ref="D7742:D7743" si="128">"919-452-5806"</f>
        <v>919-452-5806</v>
      </c>
      <c r="E7742" s="2" t="s">
        <v>225</v>
      </c>
      <c r="F7742" s="2" t="s">
        <v>32602</v>
      </c>
      <c r="G7742" s="2" t="str">
        <f>"SR-10618"</f>
        <v>SR-10618</v>
      </c>
      <c r="H7742" s="2" t="s">
        <v>32603</v>
      </c>
      <c r="I7742" s="2" t="s">
        <v>32604</v>
      </c>
      <c r="K7742" s="2" t="s">
        <v>1285</v>
      </c>
      <c r="L7742" s="2" t="s">
        <v>20</v>
      </c>
      <c r="M7742" s="2">
        <v>27278.0</v>
      </c>
      <c r="N7742" s="2" t="s">
        <v>21</v>
      </c>
    </row>
    <row r="7743" ht="15.75" customHeight="1">
      <c r="A7743" s="2">
        <v>2017.0</v>
      </c>
      <c r="B7743" s="2" t="s">
        <v>32601</v>
      </c>
      <c r="C7743" s="2" t="s">
        <v>32605</v>
      </c>
      <c r="D7743" s="2" t="str">
        <f t="shared" si="128"/>
        <v>919-452-5806</v>
      </c>
      <c r="E7743" s="2" t="s">
        <v>6121</v>
      </c>
      <c r="F7743" s="2" t="s">
        <v>32602</v>
      </c>
      <c r="G7743" s="2" t="str">
        <f>"SR-10621"</f>
        <v>SR-10621</v>
      </c>
      <c r="H7743" s="2" t="s">
        <v>32606</v>
      </c>
      <c r="I7743" s="2" t="s">
        <v>32607</v>
      </c>
      <c r="K7743" s="2" t="s">
        <v>1285</v>
      </c>
      <c r="L7743" s="2" t="s">
        <v>20</v>
      </c>
      <c r="M7743" s="2">
        <v>27278.0</v>
      </c>
      <c r="N7743" s="2" t="s">
        <v>21</v>
      </c>
    </row>
    <row r="7744" ht="15.75" customHeight="1">
      <c r="A7744" s="2">
        <v>2017.0</v>
      </c>
      <c r="B7744" s="2" t="s">
        <v>10343</v>
      </c>
      <c r="C7744" s="2" t="s">
        <v>32608</v>
      </c>
      <c r="D7744" s="2" t="str">
        <f>"815-543-2292"</f>
        <v>815-543-2292</v>
      </c>
      <c r="E7744" s="2" t="s">
        <v>678</v>
      </c>
      <c r="F7744" s="2" t="s">
        <v>444</v>
      </c>
      <c r="G7744" s="2" t="str">
        <f>"SR-10615"</f>
        <v>SR-10615</v>
      </c>
      <c r="H7744" s="2" t="s">
        <v>32609</v>
      </c>
      <c r="I7744" s="2" t="s">
        <v>10346</v>
      </c>
      <c r="K7744" s="2" t="s">
        <v>10347</v>
      </c>
      <c r="L7744" s="2" t="s">
        <v>105</v>
      </c>
      <c r="M7744" s="2">
        <v>61084.0</v>
      </c>
      <c r="N7744" s="2" t="s">
        <v>21</v>
      </c>
    </row>
    <row r="7745" ht="15.75" customHeight="1">
      <c r="A7745" s="2">
        <v>2017.0</v>
      </c>
      <c r="B7745" s="2" t="s">
        <v>32610</v>
      </c>
      <c r="C7745" s="2" t="s">
        <v>32610</v>
      </c>
      <c r="D7745" s="2" t="str">
        <f>"334-405-4546"</f>
        <v>334-405-4546</v>
      </c>
      <c r="E7745" s="2" t="s">
        <v>1928</v>
      </c>
      <c r="F7745" s="2" t="s">
        <v>31409</v>
      </c>
      <c r="G7745" s="2" t="str">
        <f>"SR-10460"</f>
        <v>SR-10460</v>
      </c>
      <c r="H7745" s="2" t="s">
        <v>32611</v>
      </c>
      <c r="I7745" s="2" t="s">
        <v>32612</v>
      </c>
      <c r="K7745" s="2" t="s">
        <v>31411</v>
      </c>
      <c r="L7745" s="2" t="s">
        <v>539</v>
      </c>
      <c r="M7745" s="2">
        <v>36350.0</v>
      </c>
      <c r="N7745" s="2" t="s">
        <v>21</v>
      </c>
    </row>
    <row r="7746" ht="15.75" customHeight="1">
      <c r="A7746" s="2">
        <v>2017.0</v>
      </c>
      <c r="B7746" s="2" t="s">
        <v>32613</v>
      </c>
      <c r="C7746" s="2" t="s">
        <v>32614</v>
      </c>
      <c r="D7746" s="2" t="str">
        <f>"513-348-9077"</f>
        <v>513-348-9077</v>
      </c>
      <c r="E7746" s="2" t="s">
        <v>32615</v>
      </c>
      <c r="F7746" s="2" t="s">
        <v>32616</v>
      </c>
      <c r="G7746" s="2" t="str">
        <f>"SR-10391"</f>
        <v>SR-10391</v>
      </c>
      <c r="H7746" s="2" t="s">
        <v>32617</v>
      </c>
      <c r="I7746" s="2" t="s">
        <v>32618</v>
      </c>
      <c r="K7746" s="2" t="s">
        <v>809</v>
      </c>
      <c r="L7746" s="2" t="s">
        <v>157</v>
      </c>
      <c r="M7746" s="2">
        <v>80921.0</v>
      </c>
      <c r="N7746" s="2" t="s">
        <v>21</v>
      </c>
    </row>
    <row r="7747" ht="15.75" customHeight="1">
      <c r="A7747" s="2">
        <v>2017.0</v>
      </c>
      <c r="B7747" s="2" t="s">
        <v>32619</v>
      </c>
      <c r="C7747" s="2" t="s">
        <v>32620</v>
      </c>
      <c r="D7747" s="2" t="str">
        <f>"2692546595"</f>
        <v>2692546595</v>
      </c>
      <c r="E7747" s="2" t="s">
        <v>824</v>
      </c>
      <c r="F7747" s="2" t="s">
        <v>32621</v>
      </c>
      <c r="G7747" s="2" t="str">
        <f>"SR-10580"</f>
        <v>SR-10580</v>
      </c>
      <c r="H7747" s="2" t="s">
        <v>32622</v>
      </c>
      <c r="I7747" s="2" t="s">
        <v>32623</v>
      </c>
      <c r="K7747" s="2" t="s">
        <v>13760</v>
      </c>
      <c r="L7747" s="2" t="s">
        <v>29</v>
      </c>
      <c r="M7747" s="2">
        <v>49032.0</v>
      </c>
      <c r="N7747" s="2" t="s">
        <v>21</v>
      </c>
    </row>
    <row r="7748" ht="15.75" customHeight="1">
      <c r="A7748" s="2">
        <v>2017.0</v>
      </c>
      <c r="B7748" s="2" t="s">
        <v>11810</v>
      </c>
      <c r="C7748" s="2" t="s">
        <v>28182</v>
      </c>
      <c r="D7748" s="2" t="str">
        <f>"(615) 962-2252"</f>
        <v>(615) 962-2252</v>
      </c>
      <c r="E7748" s="2" t="s">
        <v>596</v>
      </c>
      <c r="F7748" s="2" t="s">
        <v>9537</v>
      </c>
      <c r="G7748" s="2" t="str">
        <f>"SR-8790"</f>
        <v>SR-8790</v>
      </c>
      <c r="H7748" s="2" t="s">
        <v>28183</v>
      </c>
      <c r="I7748" s="2" t="s">
        <v>28184</v>
      </c>
      <c r="K7748" s="2" t="s">
        <v>28185</v>
      </c>
      <c r="L7748" s="2" t="s">
        <v>279</v>
      </c>
      <c r="M7748" s="2">
        <v>37153.0</v>
      </c>
      <c r="N7748" s="2" t="s">
        <v>21</v>
      </c>
    </row>
    <row r="7749" ht="15.75" customHeight="1">
      <c r="A7749" s="2">
        <v>2017.0</v>
      </c>
      <c r="B7749" s="2" t="s">
        <v>32624</v>
      </c>
      <c r="C7749" s="2" t="s">
        <v>32625</v>
      </c>
      <c r="D7749" s="2" t="str">
        <f>"210-965-1058"</f>
        <v>210-965-1058</v>
      </c>
      <c r="E7749" s="2" t="s">
        <v>485</v>
      </c>
      <c r="F7749" s="2" t="s">
        <v>11769</v>
      </c>
      <c r="G7749" s="2" t="str">
        <f>"SR-10608"</f>
        <v>SR-10608</v>
      </c>
      <c r="H7749" s="2" t="s">
        <v>32626</v>
      </c>
      <c r="I7749" s="2" t="s">
        <v>32627</v>
      </c>
      <c r="K7749" s="2" t="s">
        <v>32628</v>
      </c>
      <c r="L7749" s="2" t="s">
        <v>172</v>
      </c>
      <c r="M7749" s="2">
        <v>78154.0</v>
      </c>
      <c r="N7749" s="2" t="s">
        <v>21</v>
      </c>
    </row>
    <row r="7750" ht="15.75" customHeight="1">
      <c r="A7750" s="2">
        <v>2017.0</v>
      </c>
      <c r="B7750" s="2" t="s">
        <v>32569</v>
      </c>
      <c r="C7750" s="2" t="s">
        <v>32629</v>
      </c>
      <c r="D7750" s="2" t="str">
        <f>"575-494-6122"</f>
        <v>575-494-6122</v>
      </c>
      <c r="E7750" s="2" t="s">
        <v>32630</v>
      </c>
      <c r="F7750" s="2" t="s">
        <v>32631</v>
      </c>
      <c r="G7750" s="2" t="str">
        <f>"SR-10607"</f>
        <v>SR-10607</v>
      </c>
      <c r="H7750" s="2" t="s">
        <v>32632</v>
      </c>
      <c r="I7750" s="2" t="s">
        <v>32633</v>
      </c>
      <c r="K7750" s="2" t="s">
        <v>7900</v>
      </c>
      <c r="L7750" s="2" t="s">
        <v>789</v>
      </c>
      <c r="M7750" s="2">
        <v>88030.0</v>
      </c>
      <c r="N7750" s="2" t="s">
        <v>21</v>
      </c>
    </row>
    <row r="7751" ht="15.75" customHeight="1">
      <c r="A7751" s="2">
        <v>2017.0</v>
      </c>
      <c r="B7751" s="2" t="s">
        <v>24548</v>
      </c>
      <c r="C7751" s="2" t="s">
        <v>24549</v>
      </c>
      <c r="D7751" s="2" t="str">
        <f>"512-534-9578"</f>
        <v>512-534-9578</v>
      </c>
      <c r="E7751" s="2" t="s">
        <v>50</v>
      </c>
      <c r="F7751" s="2" t="s">
        <v>645</v>
      </c>
      <c r="G7751" s="2" t="str">
        <f>"SR-7742"</f>
        <v>SR-7742</v>
      </c>
      <c r="H7751" s="2" t="s">
        <v>24550</v>
      </c>
      <c r="I7751" s="2" t="s">
        <v>24551</v>
      </c>
      <c r="K7751" s="2" t="s">
        <v>1141</v>
      </c>
      <c r="L7751" s="2" t="s">
        <v>172</v>
      </c>
      <c r="M7751" s="2">
        <v>78717.0</v>
      </c>
      <c r="N7751" s="2" t="s">
        <v>21</v>
      </c>
    </row>
    <row r="7752" ht="15.75" customHeight="1">
      <c r="A7752" s="2">
        <v>2017.0</v>
      </c>
      <c r="B7752" s="2" t="s">
        <v>26301</v>
      </c>
      <c r="C7752" s="2" t="s">
        <v>26302</v>
      </c>
      <c r="D7752" s="2" t="str">
        <f>"504-273-0421"</f>
        <v>504-273-0421</v>
      </c>
      <c r="E7752" s="2" t="s">
        <v>6266</v>
      </c>
      <c r="F7752" s="2" t="s">
        <v>26303</v>
      </c>
      <c r="G7752" s="2" t="str">
        <f>"SR-8157"</f>
        <v>SR-8157</v>
      </c>
      <c r="H7752" s="2" t="s">
        <v>26304</v>
      </c>
      <c r="I7752" s="2" t="s">
        <v>26305</v>
      </c>
      <c r="K7752" s="2" t="s">
        <v>26306</v>
      </c>
      <c r="L7752" s="2" t="s">
        <v>26307</v>
      </c>
      <c r="M7752" s="2" t="s">
        <v>26308</v>
      </c>
      <c r="N7752" s="2" t="s">
        <v>5746</v>
      </c>
    </row>
    <row r="7753" ht="15.75" customHeight="1">
      <c r="A7753" s="2">
        <v>2017.0</v>
      </c>
      <c r="B7753" s="2" t="s">
        <v>1128</v>
      </c>
      <c r="C7753" s="2" t="s">
        <v>1128</v>
      </c>
      <c r="D7753" s="2" t="str">
        <f>"(602)803-0389"</f>
        <v>(602)803-0389</v>
      </c>
      <c r="E7753" s="2" t="s">
        <v>32634</v>
      </c>
      <c r="F7753" s="2" t="s">
        <v>1130</v>
      </c>
      <c r="G7753" s="2" t="str">
        <f>"SR-10629"</f>
        <v>SR-10629</v>
      </c>
      <c r="H7753" s="2" t="s">
        <v>32635</v>
      </c>
      <c r="I7753" s="2" t="s">
        <v>32636</v>
      </c>
      <c r="K7753" s="2" t="s">
        <v>1133</v>
      </c>
      <c r="L7753" s="2" t="s">
        <v>422</v>
      </c>
      <c r="M7753" s="2">
        <v>85304.0</v>
      </c>
      <c r="N7753" s="2" t="s">
        <v>21</v>
      </c>
    </row>
    <row r="7754" ht="15.75" customHeight="1">
      <c r="A7754" s="2">
        <v>2017.0</v>
      </c>
      <c r="B7754" s="2" t="s">
        <v>32637</v>
      </c>
      <c r="C7754" s="2" t="s">
        <v>32638</v>
      </c>
      <c r="D7754" s="2" t="str">
        <f>"917 559 6620"</f>
        <v>917 559 6620</v>
      </c>
      <c r="E7754" s="2" t="s">
        <v>1799</v>
      </c>
      <c r="F7754" s="2" t="s">
        <v>10988</v>
      </c>
      <c r="G7754" s="2" t="str">
        <f>"SR-10446"</f>
        <v>SR-10446</v>
      </c>
      <c r="H7754" s="2" t="s">
        <v>32639</v>
      </c>
      <c r="I7754" s="2" t="s">
        <v>32640</v>
      </c>
      <c r="K7754" s="2" t="s">
        <v>32641</v>
      </c>
      <c r="L7754" s="2" t="s">
        <v>208</v>
      </c>
      <c r="M7754" s="2">
        <v>32746.0</v>
      </c>
      <c r="N7754" s="2" t="s">
        <v>21</v>
      </c>
    </row>
    <row r="7755" ht="15.75" customHeight="1">
      <c r="A7755" s="2">
        <v>2017.0</v>
      </c>
      <c r="B7755" s="2" t="s">
        <v>1128</v>
      </c>
      <c r="C7755" s="2" t="s">
        <v>1128</v>
      </c>
      <c r="D7755" s="2" t="str">
        <f>"602-803-0389"</f>
        <v>602-803-0389</v>
      </c>
      <c r="E7755" s="2" t="s">
        <v>2572</v>
      </c>
      <c r="F7755" s="2" t="s">
        <v>1130</v>
      </c>
      <c r="G7755" s="2" t="str">
        <f>"SR-10630"</f>
        <v>SR-10630</v>
      </c>
      <c r="H7755" s="2" t="s">
        <v>32642</v>
      </c>
      <c r="I7755" s="2" t="s">
        <v>32636</v>
      </c>
      <c r="K7755" s="2" t="s">
        <v>1133</v>
      </c>
      <c r="L7755" s="2" t="s">
        <v>422</v>
      </c>
      <c r="M7755" s="2">
        <v>85304.0</v>
      </c>
      <c r="N7755" s="2" t="s">
        <v>21</v>
      </c>
    </row>
    <row r="7756" ht="15.75" customHeight="1">
      <c r="A7756" s="2">
        <v>2017.0</v>
      </c>
      <c r="B7756" s="2" t="s">
        <v>32643</v>
      </c>
      <c r="C7756" s="2" t="s">
        <v>32644</v>
      </c>
      <c r="D7756" s="2" t="str">
        <f>"5033695663"</f>
        <v>5033695663</v>
      </c>
      <c r="E7756" s="2" t="s">
        <v>4935</v>
      </c>
      <c r="F7756" s="2" t="s">
        <v>32645</v>
      </c>
      <c r="G7756" s="2" t="str">
        <f>"SR-10625"</f>
        <v>SR-10625</v>
      </c>
      <c r="H7756" s="2" t="s">
        <v>32646</v>
      </c>
      <c r="I7756" s="2" t="s">
        <v>32647</v>
      </c>
      <c r="K7756" s="2" t="s">
        <v>32648</v>
      </c>
      <c r="L7756" s="2" t="s">
        <v>2389</v>
      </c>
      <c r="M7756" s="2">
        <v>97089.0</v>
      </c>
      <c r="N7756" s="2" t="s">
        <v>21</v>
      </c>
    </row>
    <row r="7757" ht="15.75" customHeight="1">
      <c r="A7757" s="2">
        <v>2017.0</v>
      </c>
      <c r="B7757" s="2" t="s">
        <v>32649</v>
      </c>
      <c r="C7757" s="2" t="s">
        <v>32650</v>
      </c>
      <c r="D7757" s="2" t="str">
        <f>"5673955606"</f>
        <v>5673955606</v>
      </c>
      <c r="E7757" s="2" t="s">
        <v>705</v>
      </c>
      <c r="F7757" s="2" t="s">
        <v>32651</v>
      </c>
      <c r="G7757" s="2" t="str">
        <f>"SR-10526"</f>
        <v>SR-10526</v>
      </c>
      <c r="H7757" s="2" t="s">
        <v>32652</v>
      </c>
      <c r="I7757" s="2" t="s">
        <v>32653</v>
      </c>
      <c r="K7757" s="2" t="s">
        <v>5275</v>
      </c>
      <c r="L7757" s="2" t="s">
        <v>344</v>
      </c>
      <c r="M7757" s="2">
        <v>43558.0</v>
      </c>
      <c r="N7757" s="2" t="s">
        <v>21</v>
      </c>
    </row>
    <row r="7758" ht="15.75" customHeight="1">
      <c r="A7758" s="2">
        <v>2017.0</v>
      </c>
      <c r="B7758" s="2" t="s">
        <v>18568</v>
      </c>
      <c r="C7758" s="2" t="s">
        <v>32654</v>
      </c>
      <c r="D7758" s="2" t="str">
        <f>"806-787-1815"</f>
        <v>806-787-1815</v>
      </c>
      <c r="E7758" s="2" t="s">
        <v>2851</v>
      </c>
      <c r="F7758" s="2" t="s">
        <v>3826</v>
      </c>
      <c r="G7758" s="2" t="str">
        <f>"SR-10634"</f>
        <v>SR-10634</v>
      </c>
      <c r="H7758" s="2" t="s">
        <v>32655</v>
      </c>
      <c r="I7758" s="2" t="s">
        <v>3828</v>
      </c>
      <c r="K7758" s="2" t="s">
        <v>1121</v>
      </c>
      <c r="L7758" s="2" t="s">
        <v>172</v>
      </c>
      <c r="M7758" s="2">
        <v>79416.0</v>
      </c>
      <c r="N7758" s="2" t="s">
        <v>21</v>
      </c>
    </row>
    <row r="7759" ht="15.75" customHeight="1">
      <c r="A7759" s="2">
        <v>2017.0</v>
      </c>
      <c r="B7759" s="2" t="s">
        <v>32656</v>
      </c>
      <c r="C7759" s="2" t="s">
        <v>32657</v>
      </c>
      <c r="D7759" s="2" t="str">
        <f>"269-202-4641"</f>
        <v>269-202-4641</v>
      </c>
      <c r="E7759" s="2" t="s">
        <v>27385</v>
      </c>
      <c r="F7759" s="2" t="s">
        <v>32658</v>
      </c>
      <c r="G7759" s="2" t="str">
        <f>"SR-10572"</f>
        <v>SR-10572</v>
      </c>
      <c r="H7759" s="2" t="s">
        <v>32659</v>
      </c>
      <c r="I7759" s="2" t="s">
        <v>32660</v>
      </c>
      <c r="K7759" s="2" t="s">
        <v>1201</v>
      </c>
      <c r="L7759" s="2" t="s">
        <v>29</v>
      </c>
      <c r="M7759" s="2">
        <v>49085.0</v>
      </c>
      <c r="N7759" s="2" t="s">
        <v>21</v>
      </c>
    </row>
    <row r="7760" ht="15.75" customHeight="1">
      <c r="A7760" s="2">
        <v>2017.0</v>
      </c>
      <c r="B7760" s="2" t="s">
        <v>11127</v>
      </c>
      <c r="C7760" s="2" t="s">
        <v>23787</v>
      </c>
      <c r="D7760" s="2" t="str">
        <f>"806-559-3868"</f>
        <v>806-559-3868</v>
      </c>
      <c r="E7760" s="2" t="s">
        <v>417</v>
      </c>
      <c r="F7760" s="2" t="s">
        <v>1151</v>
      </c>
      <c r="G7760" s="2" t="str">
        <f>"SR-7457"</f>
        <v>SR-7457</v>
      </c>
      <c r="H7760" s="2" t="s">
        <v>23788</v>
      </c>
      <c r="I7760" s="2" t="s">
        <v>11130</v>
      </c>
      <c r="K7760" s="2" t="s">
        <v>1121</v>
      </c>
      <c r="L7760" s="2" t="s">
        <v>172</v>
      </c>
      <c r="M7760" s="2">
        <v>79407.0</v>
      </c>
      <c r="N7760" s="2" t="s">
        <v>21</v>
      </c>
    </row>
    <row r="7761" ht="15.75" customHeight="1">
      <c r="A7761" s="2">
        <v>2017.0</v>
      </c>
      <c r="B7761" s="2" t="s">
        <v>32661</v>
      </c>
      <c r="C7761" s="2" t="s">
        <v>32662</v>
      </c>
      <c r="D7761" s="2" t="str">
        <f>"7196845797"</f>
        <v>7196845797</v>
      </c>
      <c r="E7761" s="2" t="s">
        <v>6526</v>
      </c>
      <c r="F7761" s="2" t="s">
        <v>962</v>
      </c>
      <c r="G7761" s="2" t="str">
        <f>"SR-7781"</f>
        <v>SR-7781</v>
      </c>
      <c r="H7761" s="2" t="s">
        <v>32663</v>
      </c>
      <c r="I7761" s="2" t="s">
        <v>22550</v>
      </c>
      <c r="K7761" s="2" t="s">
        <v>809</v>
      </c>
      <c r="L7761" s="2" t="s">
        <v>157</v>
      </c>
      <c r="M7761" s="2">
        <v>80908.0</v>
      </c>
      <c r="N7761" s="2" t="s">
        <v>21</v>
      </c>
    </row>
    <row r="7762" ht="15.75" customHeight="1">
      <c r="A7762" s="2">
        <v>2017.0</v>
      </c>
      <c r="B7762" s="2" t="s">
        <v>32664</v>
      </c>
      <c r="C7762" s="2" t="s">
        <v>32665</v>
      </c>
      <c r="D7762" s="2" t="str">
        <f>"281.513.2123"</f>
        <v>281.513.2123</v>
      </c>
      <c r="E7762" s="2" t="s">
        <v>931</v>
      </c>
      <c r="F7762" s="2" t="s">
        <v>89</v>
      </c>
      <c r="G7762" s="2" t="str">
        <f>"SR-10310"</f>
        <v>SR-10310</v>
      </c>
      <c r="H7762" s="2" t="s">
        <v>32666</v>
      </c>
      <c r="I7762" s="2" t="s">
        <v>32667</v>
      </c>
      <c r="K7762" s="2" t="s">
        <v>4350</v>
      </c>
      <c r="L7762" s="2" t="s">
        <v>172</v>
      </c>
      <c r="M7762" s="2">
        <v>77377.0</v>
      </c>
      <c r="N7762" s="2" t="s">
        <v>21</v>
      </c>
    </row>
    <row r="7763" ht="15.75" customHeight="1">
      <c r="A7763" s="2">
        <v>2017.0</v>
      </c>
      <c r="B7763" s="2" t="s">
        <v>32668</v>
      </c>
      <c r="C7763" s="2" t="s">
        <v>32668</v>
      </c>
      <c r="D7763" s="2" t="str">
        <f>"(906)863-8085"</f>
        <v>(906)863-8085</v>
      </c>
      <c r="E7763" s="2" t="s">
        <v>32669</v>
      </c>
      <c r="F7763" s="2" t="s">
        <v>2323</v>
      </c>
      <c r="G7763" s="2" t="str">
        <f>"SR-10461"</f>
        <v>SR-10461</v>
      </c>
      <c r="H7763" s="2" t="s">
        <v>32670</v>
      </c>
      <c r="I7763" s="2" t="s">
        <v>32671</v>
      </c>
      <c r="K7763" s="2" t="s">
        <v>1849</v>
      </c>
      <c r="L7763" s="2" t="s">
        <v>29</v>
      </c>
      <c r="M7763" s="2">
        <v>49893.0</v>
      </c>
      <c r="N7763" s="2" t="s">
        <v>21</v>
      </c>
    </row>
    <row r="7764" ht="15.75" customHeight="1">
      <c r="A7764" s="2">
        <v>2017.0</v>
      </c>
      <c r="B7764" s="2" t="s">
        <v>32672</v>
      </c>
      <c r="C7764" s="2" t="s">
        <v>32673</v>
      </c>
      <c r="D7764" s="2" t="str">
        <f>"316-282-4143"</f>
        <v>316-282-4143</v>
      </c>
      <c r="E7764" s="2" t="s">
        <v>32674</v>
      </c>
      <c r="F7764" s="2" t="s">
        <v>32675</v>
      </c>
      <c r="G7764" s="2" t="str">
        <f>"SR-10640"</f>
        <v>SR-10640</v>
      </c>
      <c r="H7764" s="2" t="s">
        <v>32676</v>
      </c>
      <c r="I7764" s="2" t="s">
        <v>32677</v>
      </c>
      <c r="K7764" s="2" t="s">
        <v>1889</v>
      </c>
      <c r="L7764" s="2" t="s">
        <v>157</v>
      </c>
      <c r="M7764" s="2">
        <v>80127.0</v>
      </c>
      <c r="N7764" s="2" t="s">
        <v>21</v>
      </c>
    </row>
    <row r="7765" ht="15.75" customHeight="1">
      <c r="A7765" s="2">
        <v>2017.0</v>
      </c>
      <c r="B7765" s="2" t="s">
        <v>32678</v>
      </c>
      <c r="C7765" s="2" t="s">
        <v>32679</v>
      </c>
      <c r="D7765" s="2" t="str">
        <f>"6107425801"</f>
        <v>6107425801</v>
      </c>
      <c r="E7765" s="2" t="s">
        <v>3191</v>
      </c>
      <c r="F7765" s="2" t="s">
        <v>16749</v>
      </c>
      <c r="G7765" s="2" t="str">
        <f>"SR-10522"</f>
        <v>SR-10522</v>
      </c>
      <c r="H7765" s="2" t="s">
        <v>32680</v>
      </c>
      <c r="I7765" s="2" t="s">
        <v>32681</v>
      </c>
      <c r="K7765" s="2" t="s">
        <v>32682</v>
      </c>
      <c r="L7765" s="2" t="s">
        <v>179</v>
      </c>
      <c r="M7765" s="2">
        <v>19348.0</v>
      </c>
      <c r="N7765" s="2" t="s">
        <v>21</v>
      </c>
    </row>
    <row r="7766" ht="15.75" customHeight="1">
      <c r="A7766" s="2">
        <v>2017.0</v>
      </c>
      <c r="B7766" s="2" t="s">
        <v>32683</v>
      </c>
      <c r="C7766" s="2" t="s">
        <v>32684</v>
      </c>
      <c r="D7766" s="2" t="str">
        <f>"3065802972"</f>
        <v>3065802972</v>
      </c>
      <c r="E7766" s="2" t="s">
        <v>32685</v>
      </c>
      <c r="F7766" s="2" t="s">
        <v>32686</v>
      </c>
      <c r="G7766" s="2" t="str">
        <f>"SR-9599"</f>
        <v>SR-9599</v>
      </c>
      <c r="H7766" s="2" t="s">
        <v>32687</v>
      </c>
      <c r="I7766" s="2" t="s">
        <v>32688</v>
      </c>
      <c r="K7766" s="2" t="s">
        <v>7336</v>
      </c>
      <c r="L7766" s="2" t="s">
        <v>32689</v>
      </c>
      <c r="M7766" s="2" t="s">
        <v>32690</v>
      </c>
      <c r="N7766" s="2" t="s">
        <v>1602</v>
      </c>
    </row>
    <row r="7767" ht="15.75" customHeight="1">
      <c r="A7767" s="2">
        <v>2017.0</v>
      </c>
      <c r="B7767" s="2" t="s">
        <v>32691</v>
      </c>
      <c r="D7767" s="2" t="str">
        <f>""</f>
        <v/>
      </c>
      <c r="E7767" s="2" t="s">
        <v>19353</v>
      </c>
      <c r="F7767" s="2" t="s">
        <v>639</v>
      </c>
      <c r="G7767" s="2" t="str">
        <f>"SR-10463"</f>
        <v>SR-10463</v>
      </c>
      <c r="H7767" s="2" t="s">
        <v>21914</v>
      </c>
      <c r="N7767" s="2" t="s">
        <v>21</v>
      </c>
    </row>
    <row r="7768" ht="15.75" customHeight="1">
      <c r="A7768" s="2">
        <v>2017.0</v>
      </c>
      <c r="B7768" s="2" t="s">
        <v>32692</v>
      </c>
      <c r="C7768" s="2" t="s">
        <v>32692</v>
      </c>
      <c r="D7768" s="2" t="str">
        <f>"2694291357"</f>
        <v>2694291357</v>
      </c>
      <c r="E7768" s="2" t="s">
        <v>385</v>
      </c>
      <c r="F7768" s="2" t="s">
        <v>32693</v>
      </c>
      <c r="G7768" s="2" t="str">
        <f>"SR-10642"</f>
        <v>SR-10642</v>
      </c>
      <c r="H7768" s="2" t="s">
        <v>32694</v>
      </c>
      <c r="I7768" s="2" t="s">
        <v>32695</v>
      </c>
      <c r="K7768" s="2" t="s">
        <v>1201</v>
      </c>
      <c r="L7768" s="2" t="s">
        <v>29</v>
      </c>
      <c r="M7768" s="2">
        <v>49085.0</v>
      </c>
      <c r="N7768" s="2" t="s">
        <v>21</v>
      </c>
    </row>
    <row r="7769" ht="15.75" customHeight="1">
      <c r="A7769" s="2">
        <v>2017.0</v>
      </c>
      <c r="B7769" s="2" t="s">
        <v>32696</v>
      </c>
      <c r="C7769" s="2" t="s">
        <v>32697</v>
      </c>
      <c r="D7769" s="2" t="str">
        <f>"9518059691"</f>
        <v>9518059691</v>
      </c>
      <c r="E7769" s="2" t="s">
        <v>1000</v>
      </c>
      <c r="F7769" s="2" t="s">
        <v>14352</v>
      </c>
      <c r="G7769" s="2" t="str">
        <f>"SR-10641"</f>
        <v>SR-10641</v>
      </c>
      <c r="H7769" s="2" t="s">
        <v>32698</v>
      </c>
      <c r="I7769" s="2" t="s">
        <v>32699</v>
      </c>
      <c r="K7769" s="2" t="s">
        <v>11731</v>
      </c>
      <c r="L7769" s="2" t="s">
        <v>222</v>
      </c>
      <c r="M7769" s="2">
        <v>91784.0</v>
      </c>
      <c r="N7769" s="2" t="s">
        <v>21</v>
      </c>
    </row>
    <row r="7770" ht="15.75" customHeight="1">
      <c r="A7770" s="2">
        <v>2017.0</v>
      </c>
      <c r="B7770" s="2" t="s">
        <v>21963</v>
      </c>
      <c r="C7770" s="2" t="s">
        <v>32700</v>
      </c>
      <c r="D7770" s="2" t="str">
        <f>"803-924-1138"</f>
        <v>803-924-1138</v>
      </c>
      <c r="E7770" s="2" t="s">
        <v>32701</v>
      </c>
      <c r="F7770" s="2" t="s">
        <v>32702</v>
      </c>
      <c r="G7770" s="2" t="str">
        <f>"SR-10643"</f>
        <v>SR-10643</v>
      </c>
      <c r="H7770" s="2" t="s">
        <v>32703</v>
      </c>
      <c r="I7770" s="2" t="s">
        <v>32704</v>
      </c>
      <c r="K7770" s="2" t="s">
        <v>32705</v>
      </c>
      <c r="L7770" s="2" t="s">
        <v>55</v>
      </c>
      <c r="M7770" s="2">
        <v>29127.0</v>
      </c>
      <c r="N7770" s="2" t="s">
        <v>21</v>
      </c>
    </row>
    <row r="7771" ht="15.75" customHeight="1">
      <c r="A7771" s="2">
        <v>2017.0</v>
      </c>
      <c r="B7771" s="2" t="s">
        <v>13484</v>
      </c>
      <c r="C7771" s="2" t="s">
        <v>32706</v>
      </c>
      <c r="D7771" s="2" t="str">
        <f>"3377893071"</f>
        <v>3377893071</v>
      </c>
      <c r="E7771" s="2" t="s">
        <v>584</v>
      </c>
      <c r="F7771" s="2" t="s">
        <v>984</v>
      </c>
      <c r="G7771" s="2" t="str">
        <f>"SR-10462"</f>
        <v>SR-10462</v>
      </c>
      <c r="H7771" s="2" t="s">
        <v>32707</v>
      </c>
      <c r="I7771" s="2" t="s">
        <v>32708</v>
      </c>
      <c r="K7771" s="2" t="s">
        <v>13488</v>
      </c>
      <c r="L7771" s="2" t="s">
        <v>715</v>
      </c>
      <c r="M7771" s="2">
        <v>70656.0</v>
      </c>
      <c r="N7771" s="2" t="s">
        <v>21</v>
      </c>
    </row>
    <row r="7772" ht="15.75" customHeight="1">
      <c r="A7772" s="2">
        <v>2017.0</v>
      </c>
      <c r="B7772" s="2" t="s">
        <v>32709</v>
      </c>
      <c r="C7772" s="2" t="s">
        <v>25485</v>
      </c>
      <c r="D7772" s="2" t="str">
        <f>"660-582-7550"</f>
        <v>660-582-7550</v>
      </c>
      <c r="E7772" s="2" t="s">
        <v>137</v>
      </c>
      <c r="F7772" s="2" t="s">
        <v>1269</v>
      </c>
      <c r="G7772" s="2" t="str">
        <f>"SR-10245"</f>
        <v>SR-10245</v>
      </c>
      <c r="H7772" s="2" t="s">
        <v>32710</v>
      </c>
      <c r="I7772" s="2" t="s">
        <v>32711</v>
      </c>
      <c r="K7772" s="2" t="s">
        <v>22167</v>
      </c>
      <c r="L7772" s="2" t="s">
        <v>214</v>
      </c>
      <c r="M7772" s="2">
        <v>64468.0</v>
      </c>
      <c r="N7772" s="2" t="s">
        <v>21</v>
      </c>
    </row>
    <row r="7773" ht="15.75" customHeight="1">
      <c r="A7773" s="2">
        <v>2017.0</v>
      </c>
      <c r="B7773" s="2" t="s">
        <v>32672</v>
      </c>
      <c r="C7773" s="2" t="s">
        <v>32712</v>
      </c>
      <c r="D7773" s="2" t="str">
        <f>"316-799-2717"</f>
        <v>316-799-2717</v>
      </c>
      <c r="E7773" s="2" t="s">
        <v>32713</v>
      </c>
      <c r="F7773" s="2" t="s">
        <v>32675</v>
      </c>
      <c r="G7773" s="2" t="str">
        <f>"SR-10646"</f>
        <v>SR-10646</v>
      </c>
      <c r="H7773" s="2" t="s">
        <v>32714</v>
      </c>
      <c r="I7773" s="2" t="s">
        <v>32715</v>
      </c>
      <c r="K7773" s="2" t="s">
        <v>10093</v>
      </c>
      <c r="L7773" s="2" t="s">
        <v>272</v>
      </c>
      <c r="M7773" s="2">
        <v>67062.0</v>
      </c>
      <c r="N7773" s="2" t="s">
        <v>21</v>
      </c>
    </row>
    <row r="7774" ht="15.75" customHeight="1">
      <c r="A7774" s="2">
        <v>2017.0</v>
      </c>
      <c r="B7774" s="2" t="s">
        <v>32716</v>
      </c>
      <c r="C7774" s="2" t="s">
        <v>32717</v>
      </c>
      <c r="D7774" s="2" t="str">
        <f t="shared" ref="D7774:D7775" si="129">"570-336-3269"</f>
        <v>570-336-3269</v>
      </c>
      <c r="E7774" s="2" t="s">
        <v>386</v>
      </c>
      <c r="F7774" s="2" t="s">
        <v>32718</v>
      </c>
      <c r="G7774" s="2" t="str">
        <f>"SR-10647"</f>
        <v>SR-10647</v>
      </c>
      <c r="H7774" s="2" t="s">
        <v>32719</v>
      </c>
      <c r="I7774" s="2" t="s">
        <v>32720</v>
      </c>
      <c r="K7774" s="2" t="s">
        <v>32721</v>
      </c>
      <c r="L7774" s="2" t="s">
        <v>179</v>
      </c>
      <c r="M7774" s="2">
        <v>17820.0</v>
      </c>
      <c r="N7774" s="2" t="s">
        <v>21</v>
      </c>
    </row>
    <row r="7775" ht="15.75" customHeight="1">
      <c r="A7775" s="2">
        <v>2017.0</v>
      </c>
      <c r="B7775" s="2" t="s">
        <v>32716</v>
      </c>
      <c r="C7775" s="2" t="s">
        <v>32722</v>
      </c>
      <c r="D7775" s="2" t="str">
        <f t="shared" si="129"/>
        <v>570-336-3269</v>
      </c>
      <c r="E7775" s="2" t="s">
        <v>4769</v>
      </c>
      <c r="F7775" s="2" t="s">
        <v>32718</v>
      </c>
      <c r="G7775" s="2" t="str">
        <f>"SR-10638"</f>
        <v>SR-10638</v>
      </c>
      <c r="H7775" s="2" t="s">
        <v>32723</v>
      </c>
      <c r="I7775" s="2" t="s">
        <v>32720</v>
      </c>
      <c r="K7775" s="2" t="s">
        <v>32721</v>
      </c>
      <c r="L7775" s="2" t="s">
        <v>179</v>
      </c>
      <c r="M7775" s="2">
        <v>17820.0</v>
      </c>
      <c r="N7775" s="2" t="s">
        <v>21</v>
      </c>
    </row>
    <row r="7776" ht="15.75" customHeight="1">
      <c r="A7776" s="2">
        <v>2017.0</v>
      </c>
      <c r="B7776" s="2" t="s">
        <v>26072</v>
      </c>
      <c r="C7776" s="2" t="s">
        <v>26073</v>
      </c>
      <c r="D7776" s="2" t="str">
        <f>"(540)539-4082"</f>
        <v>(540)539-4082</v>
      </c>
      <c r="E7776" s="2" t="s">
        <v>137</v>
      </c>
      <c r="F7776" s="2" t="s">
        <v>8446</v>
      </c>
      <c r="G7776" s="2" t="str">
        <f>"SR-8256"</f>
        <v>SR-8256</v>
      </c>
      <c r="H7776" s="2" t="s">
        <v>26074</v>
      </c>
      <c r="I7776" s="2" t="s">
        <v>26075</v>
      </c>
      <c r="K7776" s="2" t="s">
        <v>18209</v>
      </c>
      <c r="L7776" s="2" t="s">
        <v>165</v>
      </c>
      <c r="M7776" s="2">
        <v>22655.0</v>
      </c>
      <c r="N7776" s="2" t="s">
        <v>21</v>
      </c>
    </row>
    <row r="7777" ht="15.75" customHeight="1">
      <c r="A7777" s="2">
        <v>2017.0</v>
      </c>
      <c r="B7777" s="2" t="s">
        <v>26033</v>
      </c>
      <c r="C7777" s="2" t="s">
        <v>26033</v>
      </c>
      <c r="D7777" s="2" t="str">
        <f>"(432) 230-3146"</f>
        <v>(432) 230-3146</v>
      </c>
      <c r="E7777" s="2" t="s">
        <v>144</v>
      </c>
      <c r="F7777" s="2" t="s">
        <v>26034</v>
      </c>
      <c r="G7777" s="2" t="str">
        <f>"SR-7907"</f>
        <v>SR-7907</v>
      </c>
      <c r="H7777" s="2" t="s">
        <v>26035</v>
      </c>
      <c r="I7777" s="2" t="s">
        <v>26036</v>
      </c>
      <c r="K7777" s="2" t="s">
        <v>286</v>
      </c>
      <c r="L7777" s="2" t="s">
        <v>172</v>
      </c>
      <c r="M7777" s="2">
        <v>79707.0</v>
      </c>
      <c r="N7777" s="2" t="s">
        <v>21</v>
      </c>
    </row>
    <row r="7778" ht="15.75" customHeight="1">
      <c r="A7778" s="2">
        <v>2017.0</v>
      </c>
      <c r="B7778" s="2" t="s">
        <v>32724</v>
      </c>
      <c r="C7778" s="2" t="s">
        <v>32725</v>
      </c>
      <c r="D7778" s="2" t="str">
        <f>"4027703286"</f>
        <v>4027703286</v>
      </c>
      <c r="E7778" s="2" t="s">
        <v>3689</v>
      </c>
      <c r="F7778" s="2" t="s">
        <v>32726</v>
      </c>
      <c r="G7778" s="2" t="str">
        <f>"SR-10639"</f>
        <v>SR-10639</v>
      </c>
      <c r="H7778" s="2" t="s">
        <v>32727</v>
      </c>
      <c r="I7778" s="2" t="s">
        <v>32728</v>
      </c>
      <c r="K7778" s="2" t="s">
        <v>572</v>
      </c>
      <c r="L7778" s="2" t="s">
        <v>757</v>
      </c>
      <c r="M7778" s="2">
        <v>68510.0</v>
      </c>
      <c r="N7778" s="2" t="s">
        <v>21</v>
      </c>
    </row>
    <row r="7779" ht="15.75" customHeight="1">
      <c r="A7779" s="2">
        <v>2017.0</v>
      </c>
      <c r="B7779" s="2" t="s">
        <v>32729</v>
      </c>
      <c r="C7779" s="2" t="s">
        <v>32729</v>
      </c>
      <c r="D7779" s="2" t="str">
        <f>"(509)979-8177"</f>
        <v>(509)979-8177</v>
      </c>
      <c r="E7779" s="2" t="s">
        <v>32730</v>
      </c>
      <c r="F7779" s="2" t="s">
        <v>3144</v>
      </c>
      <c r="G7779" s="2" t="str">
        <f>"SR-10610"</f>
        <v>SR-10610</v>
      </c>
      <c r="H7779" s="2" t="s">
        <v>32731</v>
      </c>
      <c r="I7779" s="2" t="s">
        <v>32732</v>
      </c>
      <c r="K7779" s="2" t="s">
        <v>1413</v>
      </c>
      <c r="L7779" s="2" t="s">
        <v>86</v>
      </c>
      <c r="M7779" s="2">
        <v>99205.0</v>
      </c>
      <c r="N7779" s="2" t="s">
        <v>21</v>
      </c>
    </row>
    <row r="7780" ht="15.75" customHeight="1">
      <c r="A7780" s="2">
        <v>2017.0</v>
      </c>
      <c r="B7780" s="2" t="s">
        <v>32656</v>
      </c>
      <c r="C7780" s="2" t="s">
        <v>32733</v>
      </c>
      <c r="D7780" s="2" t="str">
        <f>"269 202 4641"</f>
        <v>269 202 4641</v>
      </c>
      <c r="E7780" s="2" t="s">
        <v>32734</v>
      </c>
      <c r="F7780" s="2" t="s">
        <v>32658</v>
      </c>
      <c r="G7780" s="2" t="str">
        <f>"SR-10648"</f>
        <v>SR-10648</v>
      </c>
      <c r="H7780" s="2" t="s">
        <v>32735</v>
      </c>
      <c r="I7780" s="2" t="s">
        <v>32736</v>
      </c>
      <c r="K7780" s="2" t="s">
        <v>32737</v>
      </c>
      <c r="L7780" s="2" t="s">
        <v>29</v>
      </c>
      <c r="M7780" s="2">
        <v>49085.0</v>
      </c>
      <c r="N7780" s="2" t="s">
        <v>21</v>
      </c>
    </row>
    <row r="7781" ht="15.75" customHeight="1">
      <c r="A7781" s="2">
        <v>2017.0</v>
      </c>
      <c r="B7781" s="2" t="s">
        <v>32738</v>
      </c>
      <c r="C7781" s="2" t="s">
        <v>32739</v>
      </c>
      <c r="D7781" s="2" t="str">
        <f>"402-556-5613"</f>
        <v>402-556-5613</v>
      </c>
      <c r="E7781" s="2" t="s">
        <v>32740</v>
      </c>
      <c r="F7781" s="2" t="s">
        <v>32741</v>
      </c>
      <c r="G7781" s="2" t="str">
        <f>"SR-10650"</f>
        <v>SR-10650</v>
      </c>
      <c r="H7781" s="2" t="s">
        <v>32742</v>
      </c>
      <c r="I7781" s="2" t="s">
        <v>32743</v>
      </c>
      <c r="K7781" s="2" t="s">
        <v>1470</v>
      </c>
      <c r="L7781" s="2" t="s">
        <v>757</v>
      </c>
      <c r="M7781" s="2">
        <v>68106.0</v>
      </c>
      <c r="N7781" s="2" t="s">
        <v>21</v>
      </c>
    </row>
    <row r="7782" ht="15.75" customHeight="1">
      <c r="A7782" s="2">
        <v>2017.0</v>
      </c>
      <c r="B7782" s="2" t="s">
        <v>32744</v>
      </c>
      <c r="C7782" s="2" t="s">
        <v>32744</v>
      </c>
      <c r="D7782" s="2" t="str">
        <f>"8173449288"</f>
        <v>8173449288</v>
      </c>
      <c r="E7782" s="2" t="s">
        <v>32745</v>
      </c>
      <c r="F7782" s="2" t="s">
        <v>32746</v>
      </c>
      <c r="G7782" s="2" t="str">
        <f>"SR-10573"</f>
        <v>SR-10573</v>
      </c>
      <c r="H7782" s="2" t="s">
        <v>32747</v>
      </c>
      <c r="I7782" s="2" t="s">
        <v>32748</v>
      </c>
      <c r="K7782" s="2" t="s">
        <v>882</v>
      </c>
      <c r="L7782" s="2" t="s">
        <v>172</v>
      </c>
      <c r="M7782" s="2">
        <v>76016.0</v>
      </c>
      <c r="N7782" s="2" t="s">
        <v>21</v>
      </c>
    </row>
    <row r="7783" ht="15.75" customHeight="1">
      <c r="A7783" s="2">
        <v>2017.0</v>
      </c>
      <c r="B7783" s="2" t="s">
        <v>32749</v>
      </c>
      <c r="C7783" s="2" t="s">
        <v>32749</v>
      </c>
      <c r="D7783" s="2" t="str">
        <f>"402-420-5124"</f>
        <v>402-420-5124</v>
      </c>
      <c r="E7783" s="2" t="s">
        <v>6244</v>
      </c>
      <c r="F7783" s="2" t="s">
        <v>32750</v>
      </c>
      <c r="G7783" s="2" t="str">
        <f>"SR-10633"</f>
        <v>SR-10633</v>
      </c>
      <c r="H7783" s="2" t="s">
        <v>32751</v>
      </c>
      <c r="I7783" s="2" t="s">
        <v>32752</v>
      </c>
      <c r="K7783" s="2" t="s">
        <v>32753</v>
      </c>
      <c r="L7783" s="2" t="s">
        <v>757</v>
      </c>
      <c r="M7783" s="2">
        <v>68430.0</v>
      </c>
      <c r="N7783" s="2" t="s">
        <v>21</v>
      </c>
    </row>
    <row r="7784" ht="15.75" customHeight="1">
      <c r="A7784" s="2">
        <v>2017.0</v>
      </c>
      <c r="B7784" s="2" t="s">
        <v>32754</v>
      </c>
      <c r="C7784" s="2" t="s">
        <v>32755</v>
      </c>
      <c r="D7784" s="2" t="str">
        <f>"4252951427"</f>
        <v>4252951427</v>
      </c>
      <c r="E7784" s="2" t="s">
        <v>2306</v>
      </c>
      <c r="F7784" s="2" t="s">
        <v>32756</v>
      </c>
      <c r="G7784" s="2" t="str">
        <f>"SR-9885"</f>
        <v>SR-9885</v>
      </c>
      <c r="H7784" s="2" t="s">
        <v>32757</v>
      </c>
      <c r="I7784" s="2" t="s">
        <v>32758</v>
      </c>
      <c r="K7784" s="2" t="s">
        <v>26270</v>
      </c>
      <c r="L7784" s="2" t="s">
        <v>86</v>
      </c>
      <c r="M7784" s="2">
        <v>98014.0</v>
      </c>
      <c r="N7784" s="2" t="s">
        <v>21</v>
      </c>
    </row>
    <row r="7785" ht="15.75" customHeight="1">
      <c r="A7785" s="2">
        <v>2017.0</v>
      </c>
      <c r="B7785" s="2" t="s">
        <v>32759</v>
      </c>
      <c r="C7785" s="2" t="s">
        <v>32759</v>
      </c>
      <c r="D7785" s="2" t="str">
        <f>"(805) 709-1662"</f>
        <v>(805) 709-1662</v>
      </c>
      <c r="E7785" s="2" t="s">
        <v>2314</v>
      </c>
      <c r="F7785" s="2" t="s">
        <v>32760</v>
      </c>
      <c r="G7785" s="2" t="str">
        <f>"SR-10483"</f>
        <v>SR-10483</v>
      </c>
      <c r="H7785" s="2" t="s">
        <v>32761</v>
      </c>
      <c r="I7785" s="2" t="s">
        <v>32762</v>
      </c>
      <c r="K7785" s="2" t="s">
        <v>17931</v>
      </c>
      <c r="L7785" s="2" t="s">
        <v>222</v>
      </c>
      <c r="M7785" s="2">
        <v>93449.0</v>
      </c>
      <c r="N7785" s="2" t="s">
        <v>21</v>
      </c>
    </row>
    <row r="7786" ht="15.75" customHeight="1">
      <c r="A7786" s="2">
        <v>2017.0</v>
      </c>
      <c r="B7786" s="2" t="s">
        <v>32763</v>
      </c>
      <c r="C7786" s="2" t="s">
        <v>32764</v>
      </c>
      <c r="D7786" s="2" t="str">
        <f>"4797212615"</f>
        <v>4797212615</v>
      </c>
      <c r="E7786" s="2" t="s">
        <v>4871</v>
      </c>
      <c r="F7786" s="2" t="s">
        <v>639</v>
      </c>
      <c r="G7786" s="2" t="str">
        <f>"SR-10528"</f>
        <v>SR-10528</v>
      </c>
      <c r="H7786" s="2" t="s">
        <v>32765</v>
      </c>
      <c r="I7786" s="2" t="s">
        <v>32766</v>
      </c>
      <c r="K7786" s="2" t="s">
        <v>14516</v>
      </c>
      <c r="L7786" s="2" t="s">
        <v>1012</v>
      </c>
      <c r="M7786" s="2">
        <v>72712.0</v>
      </c>
      <c r="N7786" s="2" t="s">
        <v>21</v>
      </c>
    </row>
    <row r="7787" ht="15.75" customHeight="1">
      <c r="A7787" s="2">
        <v>2017.0</v>
      </c>
      <c r="B7787" s="2" t="s">
        <v>32581</v>
      </c>
      <c r="C7787" s="2" t="s">
        <v>32767</v>
      </c>
      <c r="D7787" s="2" t="str">
        <f>"507 831 5121"</f>
        <v>507 831 5121</v>
      </c>
      <c r="E7787" s="2" t="s">
        <v>1548</v>
      </c>
      <c r="F7787" s="2" t="s">
        <v>1799</v>
      </c>
      <c r="G7787" s="2" t="str">
        <f>"SR-10540"</f>
        <v>SR-10540</v>
      </c>
      <c r="H7787" s="2" t="s">
        <v>32768</v>
      </c>
      <c r="I7787" s="2" t="s">
        <v>32584</v>
      </c>
      <c r="K7787" s="2" t="s">
        <v>8530</v>
      </c>
      <c r="L7787" s="2" t="s">
        <v>62</v>
      </c>
      <c r="M7787" s="2">
        <v>56101.0</v>
      </c>
      <c r="N7787" s="2" t="s">
        <v>21</v>
      </c>
    </row>
    <row r="7788" ht="15.75" customHeight="1">
      <c r="A7788" s="2">
        <v>2017.0</v>
      </c>
      <c r="B7788" s="2" t="s">
        <v>32769</v>
      </c>
      <c r="C7788" s="2" t="s">
        <v>32770</v>
      </c>
      <c r="D7788" s="2" t="str">
        <f>"785-513-1338"</f>
        <v>785-513-1338</v>
      </c>
      <c r="E7788" s="2" t="s">
        <v>678</v>
      </c>
      <c r="F7788" s="2" t="s">
        <v>1008</v>
      </c>
      <c r="G7788" s="2" t="str">
        <f>"SR-10021"</f>
        <v>SR-10021</v>
      </c>
      <c r="H7788" s="2" t="s">
        <v>32771</v>
      </c>
      <c r="I7788" s="2" t="s">
        <v>32772</v>
      </c>
      <c r="K7788" s="2" t="s">
        <v>32773</v>
      </c>
      <c r="L7788" s="2" t="s">
        <v>272</v>
      </c>
      <c r="M7788" s="2">
        <v>67730.0</v>
      </c>
      <c r="N7788" s="2" t="s">
        <v>21</v>
      </c>
    </row>
    <row r="7789" ht="15.75" customHeight="1">
      <c r="A7789" s="2">
        <v>2017.0</v>
      </c>
      <c r="B7789" s="2" t="s">
        <v>32774</v>
      </c>
      <c r="C7789" s="2" t="s">
        <v>32775</v>
      </c>
      <c r="D7789" s="2" t="str">
        <f>"618-566-7375"</f>
        <v>618-566-7375</v>
      </c>
      <c r="E7789" s="2" t="s">
        <v>18020</v>
      </c>
      <c r="F7789" s="2" t="s">
        <v>4011</v>
      </c>
      <c r="G7789" s="2" t="str">
        <f>"SR-10661"</f>
        <v>SR-10661</v>
      </c>
      <c r="H7789" s="2" t="s">
        <v>18021</v>
      </c>
      <c r="I7789" s="2" t="s">
        <v>32776</v>
      </c>
      <c r="K7789" s="2" t="s">
        <v>18018</v>
      </c>
      <c r="L7789" s="2" t="s">
        <v>105</v>
      </c>
      <c r="M7789" s="2">
        <v>62258.0</v>
      </c>
      <c r="N7789" s="2" t="s">
        <v>21</v>
      </c>
    </row>
    <row r="7790" ht="15.75" customHeight="1">
      <c r="A7790" s="2">
        <v>2017.0</v>
      </c>
      <c r="B7790" s="2" t="s">
        <v>27124</v>
      </c>
      <c r="C7790" s="2" t="s">
        <v>32777</v>
      </c>
      <c r="D7790" s="2" t="str">
        <f>"405-285-5755"</f>
        <v>405-285-5755</v>
      </c>
      <c r="E7790" s="2" t="s">
        <v>1347</v>
      </c>
      <c r="F7790" s="2" t="s">
        <v>27126</v>
      </c>
      <c r="G7790" s="2" t="str">
        <f>"SR-10337"</f>
        <v>SR-10337</v>
      </c>
      <c r="H7790" s="2" t="s">
        <v>32778</v>
      </c>
      <c r="I7790" s="2" t="s">
        <v>27128</v>
      </c>
      <c r="K7790" s="2" t="s">
        <v>1546</v>
      </c>
      <c r="L7790" s="2" t="s">
        <v>840</v>
      </c>
      <c r="M7790" s="2">
        <v>73034.0</v>
      </c>
      <c r="N7790" s="2" t="s">
        <v>21</v>
      </c>
    </row>
    <row r="7791" ht="15.75" customHeight="1">
      <c r="A7791" s="2">
        <v>2017.0</v>
      </c>
      <c r="B7791" s="2" t="s">
        <v>26626</v>
      </c>
      <c r="C7791" s="2" t="s">
        <v>26626</v>
      </c>
      <c r="D7791" s="2" t="str">
        <f>"931-813-3200"</f>
        <v>931-813-3200</v>
      </c>
      <c r="E7791" s="2" t="s">
        <v>32779</v>
      </c>
      <c r="F7791" s="2" t="s">
        <v>26628</v>
      </c>
      <c r="G7791" s="2" t="str">
        <f>"SR-10663"</f>
        <v>SR-10663</v>
      </c>
      <c r="H7791" s="2" t="s">
        <v>32780</v>
      </c>
      <c r="I7791" s="2" t="s">
        <v>26630</v>
      </c>
      <c r="K7791" s="2" t="s">
        <v>13851</v>
      </c>
      <c r="L7791" s="2" t="s">
        <v>279</v>
      </c>
      <c r="M7791" s="2">
        <v>37183.0</v>
      </c>
      <c r="N7791" s="2" t="s">
        <v>21</v>
      </c>
    </row>
    <row r="7792" ht="15.75" customHeight="1">
      <c r="A7792" s="2">
        <v>2017.0</v>
      </c>
      <c r="B7792" s="2" t="s">
        <v>22343</v>
      </c>
      <c r="C7792" s="2" t="s">
        <v>32781</v>
      </c>
      <c r="D7792" s="2" t="str">
        <f>"423-552-2296"</f>
        <v>423-552-2296</v>
      </c>
      <c r="E7792" s="2" t="s">
        <v>1529</v>
      </c>
      <c r="F7792" s="2" t="s">
        <v>21586</v>
      </c>
      <c r="G7792" s="2" t="str">
        <f>"SR-10652"</f>
        <v>SR-10652</v>
      </c>
      <c r="H7792" s="2" t="s">
        <v>32782</v>
      </c>
      <c r="I7792" s="2" t="s">
        <v>32783</v>
      </c>
      <c r="K7792" s="2" t="s">
        <v>32784</v>
      </c>
      <c r="L7792" s="2" t="s">
        <v>279</v>
      </c>
      <c r="M7792" s="2">
        <v>37818.0</v>
      </c>
      <c r="N7792" s="2" t="s">
        <v>21</v>
      </c>
    </row>
    <row r="7793" ht="15.75" customHeight="1">
      <c r="A7793" s="2">
        <v>2017.0</v>
      </c>
      <c r="B7793" s="2" t="s">
        <v>32785</v>
      </c>
      <c r="C7793" s="2" t="s">
        <v>32786</v>
      </c>
      <c r="D7793" s="2" t="str">
        <f>"601-720-8255"</f>
        <v>601-720-8255</v>
      </c>
      <c r="E7793" s="2" t="s">
        <v>705</v>
      </c>
      <c r="F7793" s="2" t="s">
        <v>32787</v>
      </c>
      <c r="G7793" s="2" t="str">
        <f>"SR-9953"</f>
        <v>SR-9953</v>
      </c>
      <c r="H7793" s="2" t="s">
        <v>32788</v>
      </c>
      <c r="I7793" s="2" t="s">
        <v>32789</v>
      </c>
      <c r="K7793" s="2" t="s">
        <v>1791</v>
      </c>
      <c r="L7793" s="2" t="s">
        <v>1722</v>
      </c>
      <c r="M7793" s="2">
        <v>39056.0</v>
      </c>
      <c r="N7793" s="2" t="s">
        <v>21</v>
      </c>
    </row>
    <row r="7794" ht="15.75" customHeight="1">
      <c r="A7794" s="2">
        <v>2017.0</v>
      </c>
      <c r="B7794" s="2" t="s">
        <v>32790</v>
      </c>
      <c r="C7794" s="2" t="s">
        <v>32791</v>
      </c>
      <c r="D7794" s="2" t="str">
        <f>"6017205496"</f>
        <v>6017205496</v>
      </c>
      <c r="E7794" s="2" t="s">
        <v>4501</v>
      </c>
      <c r="F7794" s="2" t="s">
        <v>21586</v>
      </c>
      <c r="G7794" s="2" t="str">
        <f>"SR-10653"</f>
        <v>SR-10653</v>
      </c>
      <c r="H7794" s="2" t="s">
        <v>22344</v>
      </c>
      <c r="I7794" s="2" t="s">
        <v>32792</v>
      </c>
      <c r="K7794" s="2" t="s">
        <v>11219</v>
      </c>
      <c r="L7794" s="2" t="s">
        <v>1722</v>
      </c>
      <c r="M7794" s="2">
        <v>39071.0</v>
      </c>
      <c r="N7794" s="2" t="s">
        <v>21</v>
      </c>
    </row>
    <row r="7795" ht="15.75" customHeight="1">
      <c r="A7795" s="2">
        <v>2017.0</v>
      </c>
      <c r="B7795" s="2" t="s">
        <v>32793</v>
      </c>
      <c r="C7795" s="2" t="s">
        <v>32794</v>
      </c>
      <c r="D7795" s="2" t="str">
        <f>"423-802-0367"</f>
        <v>423-802-0367</v>
      </c>
      <c r="E7795" s="2" t="s">
        <v>4224</v>
      </c>
      <c r="F7795" s="2" t="s">
        <v>645</v>
      </c>
      <c r="G7795" s="2" t="str">
        <f>"SR-9564"</f>
        <v>SR-9564</v>
      </c>
      <c r="H7795" s="2" t="s">
        <v>32795</v>
      </c>
      <c r="I7795" s="2" t="s">
        <v>32796</v>
      </c>
      <c r="K7795" s="2" t="s">
        <v>23449</v>
      </c>
      <c r="L7795" s="2" t="s">
        <v>279</v>
      </c>
      <c r="M7795" s="2">
        <v>37343.0</v>
      </c>
      <c r="N7795" s="2" t="s">
        <v>21</v>
      </c>
    </row>
    <row r="7796" ht="15.75" customHeight="1">
      <c r="A7796" s="2">
        <v>2017.0</v>
      </c>
      <c r="B7796" s="2" t="s">
        <v>32797</v>
      </c>
      <c r="C7796" s="2" t="s">
        <v>32797</v>
      </c>
      <c r="D7796" s="2" t="str">
        <f>"9725108050"</f>
        <v>9725108050</v>
      </c>
      <c r="E7796" s="2" t="s">
        <v>15</v>
      </c>
      <c r="F7796" s="2" t="s">
        <v>23483</v>
      </c>
      <c r="G7796" s="2" t="str">
        <f>"SR-10602"</f>
        <v>SR-10602</v>
      </c>
      <c r="H7796" s="2" t="s">
        <v>32798</v>
      </c>
      <c r="I7796" s="2" t="s">
        <v>32799</v>
      </c>
      <c r="K7796" s="2" t="s">
        <v>7113</v>
      </c>
      <c r="L7796" s="2" t="s">
        <v>172</v>
      </c>
      <c r="M7796" s="2">
        <v>75901.0</v>
      </c>
      <c r="N7796" s="2" t="s">
        <v>21</v>
      </c>
    </row>
    <row r="7797" ht="15.75" customHeight="1">
      <c r="A7797" s="2">
        <v>2017.0</v>
      </c>
      <c r="B7797" s="2" t="s">
        <v>32800</v>
      </c>
      <c r="C7797" s="2" t="s">
        <v>32801</v>
      </c>
      <c r="D7797" s="2" t="str">
        <f>"7195109947"</f>
        <v>7195109947</v>
      </c>
      <c r="E7797" s="2" t="s">
        <v>32802</v>
      </c>
      <c r="F7797" s="2" t="s">
        <v>32803</v>
      </c>
      <c r="G7797" s="2" t="str">
        <f>"SR-10669"</f>
        <v>SR-10669</v>
      </c>
      <c r="H7797" s="2" t="s">
        <v>32804</v>
      </c>
      <c r="I7797" s="2" t="s">
        <v>32805</v>
      </c>
      <c r="K7797" s="2" t="s">
        <v>809</v>
      </c>
      <c r="L7797" s="2" t="s">
        <v>157</v>
      </c>
      <c r="M7797" s="2">
        <v>80922.0</v>
      </c>
      <c r="N7797" s="2" t="s">
        <v>21</v>
      </c>
    </row>
    <row r="7798" ht="15.75" customHeight="1">
      <c r="A7798" s="2">
        <v>2017.0</v>
      </c>
      <c r="B7798" s="2" t="s">
        <v>32806</v>
      </c>
      <c r="C7798" s="2" t="s">
        <v>32806</v>
      </c>
      <c r="D7798" s="2" t="str">
        <f>"4692438805"</f>
        <v>4692438805</v>
      </c>
      <c r="E7798" s="2" t="s">
        <v>1548</v>
      </c>
      <c r="F7798" s="2" t="s">
        <v>320</v>
      </c>
      <c r="G7798" s="2" t="str">
        <f>"SR-10673"</f>
        <v>SR-10673</v>
      </c>
      <c r="H7798" s="2" t="s">
        <v>32807</v>
      </c>
      <c r="I7798" s="2" t="s">
        <v>32808</v>
      </c>
      <c r="K7798" s="2" t="s">
        <v>171</v>
      </c>
      <c r="L7798" s="2" t="s">
        <v>172</v>
      </c>
      <c r="M7798" s="2">
        <v>75007.0</v>
      </c>
      <c r="N7798" s="2" t="s">
        <v>21</v>
      </c>
    </row>
    <row r="7799" ht="15.75" customHeight="1">
      <c r="A7799" s="2">
        <v>2017.0</v>
      </c>
      <c r="B7799" s="2" t="s">
        <v>32809</v>
      </c>
      <c r="C7799" s="2" t="s">
        <v>32809</v>
      </c>
      <c r="D7799" s="2" t="str">
        <f>"9419606190"</f>
        <v>9419606190</v>
      </c>
      <c r="E7799" s="2" t="s">
        <v>1434</v>
      </c>
      <c r="F7799" s="2" t="s">
        <v>26789</v>
      </c>
      <c r="G7799" s="2" t="str">
        <f>"SR-10674"</f>
        <v>SR-10674</v>
      </c>
      <c r="H7799" s="2" t="s">
        <v>32810</v>
      </c>
      <c r="I7799" s="2" t="s">
        <v>32811</v>
      </c>
      <c r="K7799" s="2" t="s">
        <v>330</v>
      </c>
      <c r="L7799" s="2" t="s">
        <v>208</v>
      </c>
      <c r="M7799" s="2">
        <v>34285.0</v>
      </c>
      <c r="N7799" s="2" t="s">
        <v>21</v>
      </c>
    </row>
    <row r="7800" ht="15.75" customHeight="1">
      <c r="A7800" s="2">
        <v>2017.0</v>
      </c>
      <c r="B7800" s="2" t="s">
        <v>32809</v>
      </c>
      <c r="C7800" s="2" t="s">
        <v>32812</v>
      </c>
      <c r="D7800" s="2" t="str">
        <f>"3523624147"</f>
        <v>3523624147</v>
      </c>
      <c r="E7800" s="2" t="s">
        <v>20920</v>
      </c>
      <c r="F7800" s="2" t="s">
        <v>26789</v>
      </c>
      <c r="G7800" s="2" t="str">
        <f>"SR-10675"</f>
        <v>SR-10675</v>
      </c>
      <c r="H7800" s="2" t="s">
        <v>32813</v>
      </c>
      <c r="I7800" s="2" t="s">
        <v>32811</v>
      </c>
      <c r="K7800" s="2" t="s">
        <v>330</v>
      </c>
      <c r="L7800" s="2" t="s">
        <v>208</v>
      </c>
      <c r="M7800" s="2">
        <v>34285.0</v>
      </c>
      <c r="N7800" s="2" t="s">
        <v>21</v>
      </c>
    </row>
    <row r="7801" ht="15.75" customHeight="1">
      <c r="A7801" s="2">
        <v>2017.0</v>
      </c>
      <c r="B7801" s="2" t="s">
        <v>32809</v>
      </c>
      <c r="C7801" s="2" t="s">
        <v>32814</v>
      </c>
      <c r="D7801" s="2" t="str">
        <f>"3528951379"</f>
        <v>3528951379</v>
      </c>
      <c r="E7801" s="2" t="s">
        <v>417</v>
      </c>
      <c r="F7801" s="2" t="s">
        <v>26789</v>
      </c>
      <c r="G7801" s="2" t="str">
        <f>"SR-10677"</f>
        <v>SR-10677</v>
      </c>
      <c r="H7801" s="2" t="s">
        <v>32815</v>
      </c>
      <c r="I7801" s="2" t="s">
        <v>32811</v>
      </c>
      <c r="K7801" s="2" t="s">
        <v>330</v>
      </c>
      <c r="L7801" s="2" t="s">
        <v>208</v>
      </c>
      <c r="M7801" s="2">
        <v>34285.0</v>
      </c>
      <c r="N7801" s="2" t="s">
        <v>21</v>
      </c>
    </row>
    <row r="7802" ht="15.75" customHeight="1">
      <c r="A7802" s="2">
        <v>2017.0</v>
      </c>
      <c r="B7802" s="2" t="s">
        <v>28844</v>
      </c>
      <c r="C7802" s="2" t="s">
        <v>28848</v>
      </c>
      <c r="D7802" s="2" t="str">
        <f>"(803)997-1138"</f>
        <v>(803)997-1138</v>
      </c>
      <c r="E7802" s="2" t="s">
        <v>926</v>
      </c>
      <c r="F7802" s="2" t="s">
        <v>3301</v>
      </c>
      <c r="G7802" s="2" t="str">
        <f>"SR-8994"</f>
        <v>SR-8994</v>
      </c>
      <c r="H7802" s="2" t="s">
        <v>28849</v>
      </c>
      <c r="I7802" s="2" t="s">
        <v>28847</v>
      </c>
      <c r="K7802" s="2" t="s">
        <v>2750</v>
      </c>
      <c r="L7802" s="2" t="s">
        <v>55</v>
      </c>
      <c r="M7802" s="2">
        <v>29210.0</v>
      </c>
      <c r="N7802" s="2" t="s">
        <v>21</v>
      </c>
    </row>
    <row r="7803" ht="15.75" customHeight="1">
      <c r="A7803" s="2">
        <v>2017.0</v>
      </c>
      <c r="B7803" s="2" t="s">
        <v>29220</v>
      </c>
      <c r="C7803" s="2" t="s">
        <v>29221</v>
      </c>
      <c r="D7803" s="2" t="str">
        <f>"3862140140"</f>
        <v>3862140140</v>
      </c>
      <c r="E7803" s="2" t="s">
        <v>19516</v>
      </c>
      <c r="F7803" s="2" t="s">
        <v>29222</v>
      </c>
      <c r="G7803" s="2" t="str">
        <f>"SR-9093"</f>
        <v>SR-9093</v>
      </c>
      <c r="H7803" s="2" t="s">
        <v>29223</v>
      </c>
      <c r="I7803" s="2" t="s">
        <v>29224</v>
      </c>
      <c r="K7803" s="2" t="s">
        <v>26245</v>
      </c>
      <c r="L7803" s="2" t="s">
        <v>208</v>
      </c>
      <c r="M7803" s="2">
        <v>32127.0</v>
      </c>
      <c r="N7803" s="2" t="s">
        <v>21</v>
      </c>
    </row>
    <row r="7804" ht="15.75" customHeight="1">
      <c r="A7804" s="2">
        <v>2017.0</v>
      </c>
      <c r="B7804" s="2" t="s">
        <v>24746</v>
      </c>
      <c r="C7804" s="2" t="s">
        <v>24747</v>
      </c>
      <c r="D7804" s="2" t="str">
        <f>"6018324306"</f>
        <v>6018324306</v>
      </c>
      <c r="E7804" s="2" t="s">
        <v>2361</v>
      </c>
      <c r="F7804" s="2" t="s">
        <v>24748</v>
      </c>
      <c r="G7804" s="2" t="str">
        <f>"SR-7773"</f>
        <v>SR-7773</v>
      </c>
      <c r="H7804" s="2" t="s">
        <v>24749</v>
      </c>
      <c r="I7804" s="2" t="s">
        <v>24750</v>
      </c>
      <c r="K7804" s="2" t="s">
        <v>1257</v>
      </c>
      <c r="L7804" s="2" t="s">
        <v>1722</v>
      </c>
      <c r="M7804" s="2">
        <v>39202.0</v>
      </c>
      <c r="N7804" s="2" t="s">
        <v>21</v>
      </c>
    </row>
    <row r="7805" ht="15.75" customHeight="1">
      <c r="A7805" s="2">
        <v>2017.0</v>
      </c>
      <c r="B7805" s="2" t="s">
        <v>32816</v>
      </c>
      <c r="C7805" s="2" t="s">
        <v>32816</v>
      </c>
      <c r="D7805" s="2" t="str">
        <f>"6789406207"</f>
        <v>6789406207</v>
      </c>
      <c r="E7805" s="2" t="s">
        <v>21048</v>
      </c>
      <c r="F7805" s="2" t="s">
        <v>32817</v>
      </c>
      <c r="G7805" s="2" t="str">
        <f>"SR-9609"</f>
        <v>SR-9609</v>
      </c>
      <c r="H7805" s="2" t="s">
        <v>32818</v>
      </c>
      <c r="I7805" s="2" t="s">
        <v>32819</v>
      </c>
      <c r="K7805" s="2" t="s">
        <v>32820</v>
      </c>
      <c r="L7805" s="2" t="s">
        <v>200</v>
      </c>
      <c r="M7805" s="2">
        <v>30187.0</v>
      </c>
      <c r="N7805" s="2" t="s">
        <v>21</v>
      </c>
    </row>
    <row r="7806" ht="15.75" customHeight="1">
      <c r="A7806" s="2">
        <v>2017.0</v>
      </c>
      <c r="B7806" s="2" t="s">
        <v>32821</v>
      </c>
      <c r="C7806" s="2" t="s">
        <v>25485</v>
      </c>
      <c r="D7806" s="2" t="str">
        <f>"423-394-9085"</f>
        <v>423-394-9085</v>
      </c>
      <c r="E7806" s="2" t="s">
        <v>2851</v>
      </c>
      <c r="F7806" s="2" t="s">
        <v>2231</v>
      </c>
      <c r="G7806" s="2" t="str">
        <f>"SR-10324"</f>
        <v>SR-10324</v>
      </c>
      <c r="H7806" s="2" t="s">
        <v>32822</v>
      </c>
      <c r="I7806" s="2" t="s">
        <v>32823</v>
      </c>
      <c r="K7806" s="2" t="s">
        <v>32824</v>
      </c>
      <c r="L7806" s="2" t="s">
        <v>279</v>
      </c>
      <c r="M7806" s="2">
        <v>37373.0</v>
      </c>
      <c r="N7806" s="2" t="s">
        <v>21</v>
      </c>
    </row>
    <row r="7807" ht="15.75" customHeight="1">
      <c r="A7807" s="2">
        <v>2017.0</v>
      </c>
      <c r="B7807" s="2" t="s">
        <v>32825</v>
      </c>
      <c r="C7807" s="2" t="s">
        <v>25485</v>
      </c>
      <c r="D7807" s="2" t="str">
        <f>"8632430162"</f>
        <v>8632430162</v>
      </c>
      <c r="E7807" s="2" t="s">
        <v>2314</v>
      </c>
      <c r="F7807" s="2" t="s">
        <v>6912</v>
      </c>
      <c r="G7807" s="2" t="str">
        <f>"SR-10538"</f>
        <v>SR-10538</v>
      </c>
      <c r="H7807" s="2" t="s">
        <v>32826</v>
      </c>
      <c r="I7807" s="2" t="s">
        <v>32827</v>
      </c>
      <c r="K7807" s="2" t="s">
        <v>26300</v>
      </c>
      <c r="L7807" s="2" t="s">
        <v>208</v>
      </c>
      <c r="M7807" s="2">
        <v>33852.0</v>
      </c>
      <c r="N7807" s="2" t="s">
        <v>21</v>
      </c>
    </row>
    <row r="7808" ht="15.75" customHeight="1">
      <c r="A7808" s="2">
        <v>2017.0</v>
      </c>
      <c r="B7808" s="2" t="s">
        <v>32828</v>
      </c>
      <c r="C7808" s="2" t="s">
        <v>32828</v>
      </c>
      <c r="D7808" s="2" t="str">
        <f>"6159171448"</f>
        <v>6159171448</v>
      </c>
      <c r="E7808" s="2" t="s">
        <v>1263</v>
      </c>
      <c r="F7808" s="2" t="s">
        <v>24286</v>
      </c>
      <c r="G7808" s="2" t="str">
        <f>"SR-10672"</f>
        <v>SR-10672</v>
      </c>
      <c r="H7808" s="2" t="s">
        <v>32829</v>
      </c>
      <c r="I7808" s="2" t="s">
        <v>32830</v>
      </c>
      <c r="K7808" s="2" t="s">
        <v>32831</v>
      </c>
      <c r="L7808" s="2" t="s">
        <v>279</v>
      </c>
      <c r="M7808" s="2">
        <v>37187.0</v>
      </c>
      <c r="N7808" s="2" t="s">
        <v>21</v>
      </c>
    </row>
    <row r="7809" ht="15.75" customHeight="1">
      <c r="A7809" s="2">
        <v>2017.0</v>
      </c>
      <c r="B7809" s="2" t="s">
        <v>32832</v>
      </c>
      <c r="C7809" s="2" t="s">
        <v>32832</v>
      </c>
      <c r="D7809" s="2" t="str">
        <f>"(218) 626-7333"</f>
        <v>(218) 626-7333</v>
      </c>
      <c r="E7809" s="2" t="s">
        <v>217</v>
      </c>
      <c r="F7809" s="2" t="s">
        <v>31763</v>
      </c>
      <c r="G7809" s="2" t="str">
        <f>"SR-10315"</f>
        <v>SR-10315</v>
      </c>
      <c r="H7809" s="2" t="s">
        <v>32833</v>
      </c>
      <c r="I7809" s="2" t="s">
        <v>31765</v>
      </c>
      <c r="K7809" s="2" t="s">
        <v>31766</v>
      </c>
      <c r="L7809" s="2" t="s">
        <v>193</v>
      </c>
      <c r="M7809" s="2">
        <v>54880.0</v>
      </c>
      <c r="N7809" s="2" t="s">
        <v>21</v>
      </c>
    </row>
    <row r="7810" ht="15.75" customHeight="1">
      <c r="A7810" s="2">
        <v>2017.0</v>
      </c>
      <c r="B7810" s="2" t="s">
        <v>32834</v>
      </c>
      <c r="C7810" s="2" t="s">
        <v>32835</v>
      </c>
      <c r="D7810" s="2" t="str">
        <f>"7407511784"</f>
        <v>7407511784</v>
      </c>
      <c r="E7810" s="2" t="s">
        <v>5548</v>
      </c>
      <c r="F7810" s="2" t="s">
        <v>386</v>
      </c>
      <c r="G7810" s="2" t="str">
        <f>"SR-10604"</f>
        <v>SR-10604</v>
      </c>
      <c r="H7810" s="2" t="s">
        <v>32836</v>
      </c>
      <c r="I7810" s="2" t="s">
        <v>32837</v>
      </c>
      <c r="K7810" s="2" t="s">
        <v>3493</v>
      </c>
      <c r="L7810" s="2" t="s">
        <v>344</v>
      </c>
      <c r="M7810" s="2">
        <v>43302.0</v>
      </c>
      <c r="N7810" s="2" t="s">
        <v>21</v>
      </c>
    </row>
    <row r="7811" ht="15.75" customHeight="1">
      <c r="A7811" s="2">
        <v>2017.0</v>
      </c>
      <c r="B7811" s="2" t="s">
        <v>32774</v>
      </c>
      <c r="C7811" s="2" t="s">
        <v>32838</v>
      </c>
      <c r="D7811" s="2" t="str">
        <f>"618-566-7375"</f>
        <v>618-566-7375</v>
      </c>
      <c r="E7811" s="2" t="s">
        <v>32839</v>
      </c>
      <c r="F7811" s="2" t="s">
        <v>4011</v>
      </c>
      <c r="G7811" s="2" t="str">
        <f>"SR-10662"</f>
        <v>SR-10662</v>
      </c>
      <c r="H7811" s="2" t="s">
        <v>32840</v>
      </c>
      <c r="I7811" s="2" t="s">
        <v>32776</v>
      </c>
      <c r="K7811" s="2" t="s">
        <v>18018</v>
      </c>
      <c r="L7811" s="2" t="s">
        <v>105</v>
      </c>
      <c r="M7811" s="2">
        <v>62258.0</v>
      </c>
      <c r="N7811" s="2" t="s">
        <v>21</v>
      </c>
    </row>
    <row r="7812" ht="15.75" customHeight="1">
      <c r="A7812" s="2">
        <v>2017.0</v>
      </c>
      <c r="B7812" s="2" t="s">
        <v>32841</v>
      </c>
      <c r="C7812" s="2" t="s">
        <v>32841</v>
      </c>
      <c r="D7812" s="2" t="str">
        <f>"6312758748"</f>
        <v>6312758748</v>
      </c>
      <c r="E7812" s="2" t="s">
        <v>5632</v>
      </c>
      <c r="F7812" s="2" t="s">
        <v>32842</v>
      </c>
      <c r="G7812" s="2" t="str">
        <f>"SR-10688"</f>
        <v>SR-10688</v>
      </c>
      <c r="H7812" s="2" t="s">
        <v>32843</v>
      </c>
      <c r="I7812" s="2" t="s">
        <v>32844</v>
      </c>
      <c r="K7812" s="2" t="s">
        <v>32845</v>
      </c>
      <c r="L7812" s="2" t="s">
        <v>142</v>
      </c>
      <c r="M7812" s="2">
        <v>11746.0</v>
      </c>
      <c r="N7812" s="2" t="s">
        <v>21</v>
      </c>
    </row>
    <row r="7813" ht="15.75" customHeight="1">
      <c r="A7813" s="2">
        <v>2017.0</v>
      </c>
      <c r="B7813" s="2" t="s">
        <v>32846</v>
      </c>
      <c r="C7813" s="2" t="s">
        <v>32847</v>
      </c>
      <c r="D7813" s="2" t="str">
        <f>"615 499 3267"</f>
        <v>615 499 3267</v>
      </c>
      <c r="E7813" s="2" t="s">
        <v>690</v>
      </c>
      <c r="F7813" s="2" t="s">
        <v>16988</v>
      </c>
      <c r="G7813" s="2" t="str">
        <f>"SR-10676"</f>
        <v>SR-10676</v>
      </c>
      <c r="H7813" s="2" t="s">
        <v>32848</v>
      </c>
      <c r="I7813" s="2" t="s">
        <v>32849</v>
      </c>
      <c r="K7813" s="2" t="s">
        <v>32831</v>
      </c>
      <c r="L7813" s="2" t="s">
        <v>279</v>
      </c>
      <c r="M7813" s="2">
        <v>37187.0</v>
      </c>
      <c r="N7813" s="2" t="s">
        <v>21</v>
      </c>
    </row>
    <row r="7814" ht="15.75" customHeight="1">
      <c r="A7814" s="2">
        <v>2017.0</v>
      </c>
      <c r="B7814" s="2" t="s">
        <v>32850</v>
      </c>
      <c r="C7814" s="2" t="s">
        <v>32851</v>
      </c>
      <c r="D7814" s="2" t="str">
        <f>"979-533-9109"</f>
        <v>979-533-9109</v>
      </c>
      <c r="E7814" s="2" t="s">
        <v>23065</v>
      </c>
      <c r="F7814" s="2" t="s">
        <v>5281</v>
      </c>
      <c r="G7814" s="2" t="str">
        <f>"SR-10657"</f>
        <v>SR-10657</v>
      </c>
      <c r="H7814" s="2" t="s">
        <v>32852</v>
      </c>
      <c r="I7814" s="2" t="s">
        <v>32853</v>
      </c>
      <c r="K7814" s="2" t="s">
        <v>32854</v>
      </c>
      <c r="L7814" s="2" t="s">
        <v>172</v>
      </c>
      <c r="M7814" s="2">
        <v>77488.0</v>
      </c>
      <c r="N7814" s="2" t="s">
        <v>21</v>
      </c>
    </row>
    <row r="7815" ht="15.75" customHeight="1">
      <c r="A7815" s="2">
        <v>2017.0</v>
      </c>
      <c r="B7815" s="2" t="s">
        <v>32855</v>
      </c>
      <c r="C7815" s="2" t="s">
        <v>32856</v>
      </c>
      <c r="D7815" s="2" t="str">
        <f>"6266738642"</f>
        <v>6266738642</v>
      </c>
      <c r="E7815" s="2" t="s">
        <v>955</v>
      </c>
      <c r="F7815" s="2" t="s">
        <v>2875</v>
      </c>
      <c r="G7815" s="2" t="str">
        <f>"SR-10128"</f>
        <v>SR-10128</v>
      </c>
      <c r="H7815" s="2" t="s">
        <v>5099</v>
      </c>
      <c r="I7815" s="2" t="s">
        <v>32857</v>
      </c>
      <c r="K7815" s="2" t="s">
        <v>2877</v>
      </c>
      <c r="L7815" s="2" t="s">
        <v>222</v>
      </c>
      <c r="M7815" s="2">
        <v>91790.0</v>
      </c>
      <c r="N7815" s="2" t="s">
        <v>21</v>
      </c>
    </row>
    <row r="7816" ht="15.75" customHeight="1">
      <c r="A7816" s="2">
        <v>2017.0</v>
      </c>
      <c r="B7816" s="2" t="s">
        <v>32858</v>
      </c>
      <c r="C7816" s="2" t="s">
        <v>32859</v>
      </c>
      <c r="D7816" s="2" t="str">
        <f>"(317)441-1275"</f>
        <v>(317)441-1275</v>
      </c>
      <c r="E7816" s="2" t="s">
        <v>590</v>
      </c>
      <c r="F7816" s="2" t="s">
        <v>32860</v>
      </c>
      <c r="G7816" s="2" t="str">
        <f>"SR-10681"</f>
        <v>SR-10681</v>
      </c>
      <c r="H7816" s="2" t="s">
        <v>32861</v>
      </c>
      <c r="I7816" s="2" t="s">
        <v>32862</v>
      </c>
      <c r="K7816" s="2" t="s">
        <v>4965</v>
      </c>
      <c r="L7816" s="2" t="s">
        <v>222</v>
      </c>
      <c r="M7816" s="2">
        <v>95380.0</v>
      </c>
      <c r="N7816" s="2" t="s">
        <v>21</v>
      </c>
    </row>
    <row r="7817" ht="15.75" customHeight="1">
      <c r="A7817" s="2">
        <v>2017.0</v>
      </c>
      <c r="B7817" s="2" t="s">
        <v>32863</v>
      </c>
      <c r="C7817" s="2" t="s">
        <v>32863</v>
      </c>
      <c r="D7817" s="2" t="str">
        <f>"9312603948"</f>
        <v>9312603948</v>
      </c>
      <c r="E7817" s="2" t="s">
        <v>6266</v>
      </c>
      <c r="F7817" s="2" t="s">
        <v>6966</v>
      </c>
      <c r="G7817" s="2" t="str">
        <f>"SR-10684"</f>
        <v>SR-10684</v>
      </c>
      <c r="H7817" s="2" t="s">
        <v>32864</v>
      </c>
      <c r="I7817" s="2" t="s">
        <v>32865</v>
      </c>
      <c r="K7817" s="2" t="s">
        <v>29824</v>
      </c>
      <c r="L7817" s="2" t="s">
        <v>279</v>
      </c>
      <c r="M7817" s="2">
        <v>38506.0</v>
      </c>
      <c r="N7817" s="2" t="s">
        <v>21</v>
      </c>
    </row>
    <row r="7818" ht="15.75" customHeight="1">
      <c r="A7818" s="2">
        <v>2017.0</v>
      </c>
      <c r="B7818" s="2" t="s">
        <v>32866</v>
      </c>
      <c r="C7818" s="2" t="s">
        <v>32866</v>
      </c>
      <c r="D7818" s="2" t="str">
        <f>"765-721-3713"</f>
        <v>765-721-3713</v>
      </c>
      <c r="E7818" s="2" t="s">
        <v>36</v>
      </c>
      <c r="F7818" s="2" t="s">
        <v>17250</v>
      </c>
      <c r="G7818" s="2" t="str">
        <f>"SR-10694"</f>
        <v>SR-10694</v>
      </c>
      <c r="H7818" s="2" t="s">
        <v>32867</v>
      </c>
      <c r="I7818" s="2" t="s">
        <v>32868</v>
      </c>
      <c r="K7818" s="2" t="s">
        <v>32869</v>
      </c>
      <c r="L7818" s="2" t="s">
        <v>149</v>
      </c>
      <c r="M7818" s="2">
        <v>46128.0</v>
      </c>
      <c r="N7818" s="2" t="s">
        <v>21</v>
      </c>
    </row>
    <row r="7819" ht="15.75" customHeight="1">
      <c r="A7819" s="2">
        <v>2017.0</v>
      </c>
      <c r="B7819" s="2" t="s">
        <v>32870</v>
      </c>
      <c r="C7819" s="2" t="s">
        <v>32871</v>
      </c>
      <c r="D7819" s="2" t="str">
        <f>"94570828"</f>
        <v>94570828</v>
      </c>
      <c r="E7819" s="2" t="s">
        <v>23508</v>
      </c>
      <c r="F7819" s="2" t="s">
        <v>7523</v>
      </c>
      <c r="G7819" s="2" t="str">
        <f>"SR-10582"</f>
        <v>SR-10582</v>
      </c>
      <c r="H7819" s="2" t="s">
        <v>32872</v>
      </c>
      <c r="I7819" s="2" t="s">
        <v>32873</v>
      </c>
      <c r="K7819" s="2" t="s">
        <v>1490</v>
      </c>
      <c r="L7819" s="2" t="s">
        <v>62</v>
      </c>
      <c r="M7819" s="2">
        <v>55347.0</v>
      </c>
      <c r="N7819" s="2" t="s">
        <v>21</v>
      </c>
    </row>
    <row r="7820" ht="15.75" customHeight="1">
      <c r="A7820" s="2">
        <v>2017.0</v>
      </c>
      <c r="B7820" s="2" t="s">
        <v>32874</v>
      </c>
      <c r="C7820" s="2" t="s">
        <v>25485</v>
      </c>
      <c r="D7820" s="2" t="str">
        <f>"978-356-6264"</f>
        <v>978-356-6264</v>
      </c>
      <c r="E7820" s="2" t="s">
        <v>6121</v>
      </c>
      <c r="F7820" s="2" t="s">
        <v>32875</v>
      </c>
      <c r="G7820" s="2" t="str">
        <f>"SR-10699"</f>
        <v>SR-10699</v>
      </c>
      <c r="H7820" s="2" t="s">
        <v>32876</v>
      </c>
      <c r="I7820" s="2" t="s">
        <v>32877</v>
      </c>
      <c r="K7820" s="2" t="s">
        <v>32878</v>
      </c>
      <c r="L7820" s="2" t="s">
        <v>4108</v>
      </c>
      <c r="M7820" s="2">
        <v>1938.0</v>
      </c>
      <c r="N7820" s="2" t="s">
        <v>21</v>
      </c>
    </row>
    <row r="7821" ht="15.75" customHeight="1">
      <c r="A7821" s="2">
        <v>2017.0</v>
      </c>
      <c r="B7821" s="2" t="s">
        <v>10156</v>
      </c>
      <c r="C7821" s="2" t="s">
        <v>32879</v>
      </c>
      <c r="D7821" s="2" t="str">
        <f>"864-430-3572"</f>
        <v>864-430-3572</v>
      </c>
      <c r="E7821" s="2" t="s">
        <v>534</v>
      </c>
      <c r="F7821" s="2" t="s">
        <v>10158</v>
      </c>
      <c r="G7821" s="2" t="str">
        <f>"SR-10281"</f>
        <v>SR-10281</v>
      </c>
      <c r="H7821" s="2" t="s">
        <v>32880</v>
      </c>
      <c r="I7821" s="2" t="s">
        <v>10160</v>
      </c>
      <c r="K7821" s="2" t="s">
        <v>1878</v>
      </c>
      <c r="L7821" s="2" t="s">
        <v>55</v>
      </c>
      <c r="M7821" s="2">
        <v>29681.0</v>
      </c>
      <c r="N7821" s="2" t="s">
        <v>21</v>
      </c>
    </row>
    <row r="7822" ht="15.75" customHeight="1">
      <c r="A7822" s="2">
        <v>2017.0</v>
      </c>
      <c r="B7822" s="2" t="s">
        <v>32881</v>
      </c>
      <c r="C7822" s="2" t="s">
        <v>32882</v>
      </c>
      <c r="D7822" s="2" t="str">
        <f>"704-882-3745"</f>
        <v>704-882-3745</v>
      </c>
      <c r="E7822" s="2" t="s">
        <v>1548</v>
      </c>
      <c r="F7822" s="2" t="s">
        <v>32883</v>
      </c>
      <c r="G7822" s="2" t="str">
        <f>"SR-10515"</f>
        <v>SR-10515</v>
      </c>
      <c r="H7822" s="2" t="s">
        <v>32884</v>
      </c>
      <c r="I7822" s="2" t="s">
        <v>32885</v>
      </c>
      <c r="K7822" s="2" t="s">
        <v>12697</v>
      </c>
      <c r="L7822" s="2" t="s">
        <v>20</v>
      </c>
      <c r="M7822" s="2">
        <v>28079.0</v>
      </c>
      <c r="N7822" s="2" t="s">
        <v>21</v>
      </c>
    </row>
    <row r="7823" ht="15.75" customHeight="1">
      <c r="A7823" s="2">
        <v>2017.0</v>
      </c>
      <c r="B7823" s="2" t="s">
        <v>32774</v>
      </c>
      <c r="C7823" s="2" t="s">
        <v>32886</v>
      </c>
      <c r="D7823" s="2" t="str">
        <f>"618-206-8652"</f>
        <v>618-206-8652</v>
      </c>
      <c r="E7823" s="2" t="s">
        <v>1015</v>
      </c>
      <c r="F7823" s="2" t="s">
        <v>711</v>
      </c>
      <c r="G7823" s="2" t="str">
        <f>"SR-10698"</f>
        <v>SR-10698</v>
      </c>
      <c r="H7823" s="2" t="s">
        <v>32887</v>
      </c>
      <c r="I7823" s="2" t="s">
        <v>20661</v>
      </c>
      <c r="K7823" s="2" t="s">
        <v>3229</v>
      </c>
      <c r="L7823" s="2" t="s">
        <v>105</v>
      </c>
      <c r="M7823" s="2">
        <v>62254.0</v>
      </c>
      <c r="N7823" s="2" t="s">
        <v>21</v>
      </c>
    </row>
    <row r="7824" ht="15.75" customHeight="1">
      <c r="A7824" s="2">
        <v>2017.0</v>
      </c>
      <c r="B7824" s="2" t="s">
        <v>32888</v>
      </c>
      <c r="C7824" s="2" t="s">
        <v>32889</v>
      </c>
      <c r="D7824" s="2" t="str">
        <f>"4326313724"</f>
        <v>4326313724</v>
      </c>
      <c r="E7824" s="2" t="s">
        <v>10850</v>
      </c>
      <c r="F7824" s="2" t="s">
        <v>32890</v>
      </c>
      <c r="G7824" s="2" t="str">
        <f>"SR-10520"</f>
        <v>SR-10520</v>
      </c>
      <c r="H7824" s="2" t="s">
        <v>32891</v>
      </c>
      <c r="I7824" s="2" t="s">
        <v>32892</v>
      </c>
      <c r="K7824" s="2" t="s">
        <v>286</v>
      </c>
      <c r="L7824" s="2" t="s">
        <v>172</v>
      </c>
      <c r="M7824" s="2">
        <v>79705.0</v>
      </c>
      <c r="N7824" s="2" t="s">
        <v>21</v>
      </c>
    </row>
    <row r="7825" ht="15.75" customHeight="1">
      <c r="A7825" s="2">
        <v>2017.0</v>
      </c>
      <c r="B7825" s="2" t="s">
        <v>32893</v>
      </c>
      <c r="C7825" s="2" t="s">
        <v>32894</v>
      </c>
      <c r="D7825" s="2" t="str">
        <f>"720-600-1460"</f>
        <v>720-600-1460</v>
      </c>
      <c r="E7825" s="2" t="s">
        <v>124</v>
      </c>
      <c r="F7825" s="2" t="s">
        <v>283</v>
      </c>
      <c r="G7825" s="2" t="str">
        <f>"SR-10351"</f>
        <v>SR-10351</v>
      </c>
      <c r="H7825" s="2" t="s">
        <v>32895</v>
      </c>
      <c r="I7825" s="2" t="s">
        <v>32896</v>
      </c>
      <c r="K7825" s="2" t="s">
        <v>1520</v>
      </c>
      <c r="L7825" s="2" t="s">
        <v>157</v>
      </c>
      <c r="M7825" s="2">
        <v>80012.0</v>
      </c>
      <c r="N7825" s="2" t="s">
        <v>21</v>
      </c>
    </row>
    <row r="7826" ht="15.75" customHeight="1">
      <c r="A7826" s="2">
        <v>2017.0</v>
      </c>
      <c r="B7826" s="2" t="s">
        <v>32897</v>
      </c>
      <c r="C7826" s="2" t="s">
        <v>32898</v>
      </c>
      <c r="D7826" s="2" t="str">
        <f>"253-735-7903"</f>
        <v>253-735-7903</v>
      </c>
      <c r="E7826" s="2" t="s">
        <v>144</v>
      </c>
      <c r="F7826" s="2" t="s">
        <v>8941</v>
      </c>
      <c r="G7826" s="2" t="str">
        <f>"SR-10465"</f>
        <v>SR-10465</v>
      </c>
      <c r="H7826" s="2" t="s">
        <v>32899</v>
      </c>
      <c r="I7826" s="2" t="s">
        <v>32900</v>
      </c>
      <c r="K7826" s="2" t="s">
        <v>6312</v>
      </c>
      <c r="L7826" s="2" t="s">
        <v>86</v>
      </c>
      <c r="M7826" s="2">
        <v>98001.0</v>
      </c>
      <c r="N7826" s="2" t="s">
        <v>21</v>
      </c>
    </row>
    <row r="7827" ht="15.75" customHeight="1">
      <c r="A7827" s="2">
        <v>2017.0</v>
      </c>
      <c r="B7827" s="2" t="s">
        <v>30081</v>
      </c>
      <c r="C7827" s="2" t="s">
        <v>30082</v>
      </c>
      <c r="D7827" s="2" t="str">
        <f>"‚Ä≠936-465-2866"</f>
        <v>‚Ä≠936-465-2866</v>
      </c>
      <c r="E7827" s="2" t="s">
        <v>1032</v>
      </c>
      <c r="F7827" s="2" t="s">
        <v>30083</v>
      </c>
      <c r="G7827" s="2" t="str">
        <f>"SR-9379"</f>
        <v>SR-9379</v>
      </c>
      <c r="H7827" s="2" t="s">
        <v>30084</v>
      </c>
      <c r="I7827" s="2" t="s">
        <v>30085</v>
      </c>
      <c r="K7827" s="2" t="s">
        <v>7113</v>
      </c>
      <c r="L7827" s="2" t="s">
        <v>172</v>
      </c>
      <c r="M7827" s="2">
        <v>75904.0</v>
      </c>
      <c r="N7827" s="2" t="s">
        <v>21</v>
      </c>
    </row>
    <row r="7828" ht="15.75" customHeight="1">
      <c r="A7828" s="2">
        <v>2017.0</v>
      </c>
      <c r="B7828" s="2" t="s">
        <v>32897</v>
      </c>
      <c r="C7828" s="2" t="s">
        <v>32901</v>
      </c>
      <c r="D7828" s="2" t="str">
        <f>"253-735-7903"</f>
        <v>253-735-7903</v>
      </c>
      <c r="E7828" s="2" t="s">
        <v>2083</v>
      </c>
      <c r="F7828" s="2" t="s">
        <v>8941</v>
      </c>
      <c r="G7828" s="2" t="str">
        <f>"SR-10467"</f>
        <v>SR-10467</v>
      </c>
      <c r="H7828" s="2" t="s">
        <v>32902</v>
      </c>
      <c r="I7828" s="2" t="s">
        <v>32900</v>
      </c>
      <c r="K7828" s="2" t="s">
        <v>6312</v>
      </c>
      <c r="L7828" s="2" t="s">
        <v>86</v>
      </c>
      <c r="M7828" s="2">
        <v>98001.0</v>
      </c>
      <c r="N7828" s="2" t="s">
        <v>21</v>
      </c>
    </row>
    <row r="7829" ht="15.75" customHeight="1">
      <c r="A7829" s="2">
        <v>2017.0</v>
      </c>
      <c r="B7829" s="2" t="s">
        <v>30081</v>
      </c>
      <c r="C7829" s="2" t="s">
        <v>32903</v>
      </c>
      <c r="D7829" s="2" t="str">
        <f>"‚Ä≠936-465-2866"</f>
        <v>‚Ä≠936-465-2866</v>
      </c>
      <c r="E7829" s="2" t="s">
        <v>1015</v>
      </c>
      <c r="F7829" s="2" t="s">
        <v>30083</v>
      </c>
      <c r="G7829" s="2" t="str">
        <f>"SR-10708"</f>
        <v>SR-10708</v>
      </c>
      <c r="H7829" s="2" t="s">
        <v>32904</v>
      </c>
      <c r="I7829" s="2" t="s">
        <v>30085</v>
      </c>
      <c r="K7829" s="2" t="s">
        <v>7113</v>
      </c>
      <c r="L7829" s="2" t="s">
        <v>172</v>
      </c>
      <c r="M7829" s="2">
        <v>75904.0</v>
      </c>
      <c r="N7829" s="2" t="s">
        <v>21</v>
      </c>
    </row>
    <row r="7830" ht="15.75" customHeight="1">
      <c r="A7830" s="2">
        <v>2017.0</v>
      </c>
      <c r="B7830" s="2" t="s">
        <v>24240</v>
      </c>
      <c r="C7830" s="2" t="s">
        <v>24241</v>
      </c>
      <c r="D7830" s="2" t="str">
        <f>"9407654340"</f>
        <v>9407654340</v>
      </c>
      <c r="E7830" s="2" t="s">
        <v>4224</v>
      </c>
      <c r="F7830" s="2" t="s">
        <v>24242</v>
      </c>
      <c r="G7830" s="2" t="str">
        <f>"SR-7644"</f>
        <v>SR-7644</v>
      </c>
      <c r="H7830" s="2" t="s">
        <v>24243</v>
      </c>
      <c r="I7830" s="2" t="s">
        <v>24244</v>
      </c>
      <c r="K7830" s="2" t="s">
        <v>24245</v>
      </c>
      <c r="L7830" s="2" t="s">
        <v>172</v>
      </c>
      <c r="M7830" s="2">
        <v>76210.0</v>
      </c>
      <c r="N7830" s="2" t="s">
        <v>21</v>
      </c>
    </row>
    <row r="7831" ht="15.75" customHeight="1">
      <c r="A7831" s="2">
        <v>2017.0</v>
      </c>
      <c r="B7831" s="2" t="s">
        <v>10631</v>
      </c>
      <c r="C7831" s="2" t="s">
        <v>32905</v>
      </c>
      <c r="D7831" s="2" t="str">
        <f>"2676979808"</f>
        <v>2676979808</v>
      </c>
      <c r="E7831" s="2" t="s">
        <v>4871</v>
      </c>
      <c r="F7831" s="2" t="s">
        <v>10633</v>
      </c>
      <c r="G7831" s="2" t="str">
        <f>"SR-10709"</f>
        <v>SR-10709</v>
      </c>
      <c r="H7831" s="2" t="s">
        <v>32906</v>
      </c>
      <c r="I7831" s="2" t="s">
        <v>10635</v>
      </c>
      <c r="K7831" s="2" t="s">
        <v>10636</v>
      </c>
      <c r="L7831" s="2" t="s">
        <v>179</v>
      </c>
      <c r="M7831" s="2">
        <v>19047.0</v>
      </c>
      <c r="N7831" s="2" t="s">
        <v>21</v>
      </c>
    </row>
    <row r="7832" ht="15.75" customHeight="1">
      <c r="A7832" s="2">
        <v>2017.0</v>
      </c>
      <c r="B7832" s="2" t="s">
        <v>32907</v>
      </c>
      <c r="C7832" s="2" t="s">
        <v>32907</v>
      </c>
      <c r="D7832" s="2" t="str">
        <f>"2536179484"</f>
        <v>2536179484</v>
      </c>
      <c r="E7832" s="2" t="s">
        <v>2243</v>
      </c>
      <c r="F7832" s="2" t="s">
        <v>32908</v>
      </c>
      <c r="G7832" s="2" t="str">
        <f>"SR-9652"</f>
        <v>SR-9652</v>
      </c>
      <c r="H7832" s="2" t="s">
        <v>32909</v>
      </c>
      <c r="I7832" s="2" t="s">
        <v>32910</v>
      </c>
      <c r="K7832" s="2" t="s">
        <v>32911</v>
      </c>
      <c r="L7832" s="2" t="s">
        <v>86</v>
      </c>
      <c r="M7832" s="2">
        <v>98327.0</v>
      </c>
      <c r="N7832" s="2" t="s">
        <v>21</v>
      </c>
    </row>
    <row r="7833" ht="15.75" customHeight="1">
      <c r="A7833" s="2">
        <v>2017.0</v>
      </c>
      <c r="B7833" s="2" t="s">
        <v>32379</v>
      </c>
      <c r="C7833" s="2" t="s">
        <v>32912</v>
      </c>
      <c r="D7833" s="2" t="str">
        <f>"(432) 214-0481"</f>
        <v>(432) 214-0481</v>
      </c>
      <c r="E7833" s="2" t="s">
        <v>32913</v>
      </c>
      <c r="F7833" s="2" t="s">
        <v>1859</v>
      </c>
      <c r="G7833" s="2" t="str">
        <f>"SR-10712"</f>
        <v>SR-10712</v>
      </c>
      <c r="H7833" s="2" t="s">
        <v>32914</v>
      </c>
      <c r="I7833" s="2" t="s">
        <v>32382</v>
      </c>
      <c r="K7833" s="2" t="s">
        <v>286</v>
      </c>
      <c r="L7833" s="2" t="s">
        <v>172</v>
      </c>
      <c r="M7833" s="2">
        <v>79706.0</v>
      </c>
      <c r="N7833" s="2" t="s">
        <v>21</v>
      </c>
    </row>
    <row r="7834" ht="15.75" customHeight="1">
      <c r="A7834" s="2">
        <v>2017.0</v>
      </c>
      <c r="B7834" s="2" t="s">
        <v>32915</v>
      </c>
      <c r="C7834" s="2" t="s">
        <v>32915</v>
      </c>
      <c r="D7834" s="2" t="str">
        <f>"720-988-7256"</f>
        <v>720-988-7256</v>
      </c>
      <c r="E7834" s="2" t="s">
        <v>5134</v>
      </c>
      <c r="F7834" s="2" t="s">
        <v>31569</v>
      </c>
      <c r="G7834" s="2" t="str">
        <f>"SR-10715"</f>
        <v>SR-10715</v>
      </c>
      <c r="H7834" s="2" t="s">
        <v>32916</v>
      </c>
      <c r="I7834" s="2" t="s">
        <v>32917</v>
      </c>
      <c r="K7834" s="2" t="s">
        <v>1548</v>
      </c>
      <c r="L7834" s="2" t="s">
        <v>157</v>
      </c>
      <c r="M7834" s="2">
        <v>80107.0</v>
      </c>
      <c r="N7834" s="2" t="s">
        <v>21</v>
      </c>
    </row>
    <row r="7835" ht="15.75" customHeight="1">
      <c r="A7835" s="2">
        <v>2017.0</v>
      </c>
      <c r="B7835" s="2" t="s">
        <v>32918</v>
      </c>
      <c r="C7835" s="2" t="s">
        <v>32919</v>
      </c>
      <c r="D7835" s="2" t="str">
        <f>"(575) 936-7065"</f>
        <v>(575) 936-7065</v>
      </c>
      <c r="E7835" s="2" t="s">
        <v>2863</v>
      </c>
      <c r="F7835" s="2" t="s">
        <v>32920</v>
      </c>
      <c r="G7835" s="2" t="str">
        <f>"SR-10242"</f>
        <v>SR-10242</v>
      </c>
      <c r="H7835" s="2" t="s">
        <v>32921</v>
      </c>
      <c r="I7835" s="2" t="s">
        <v>32922</v>
      </c>
      <c r="K7835" s="2" t="s">
        <v>7900</v>
      </c>
      <c r="L7835" s="2" t="s">
        <v>789</v>
      </c>
      <c r="M7835" s="2">
        <v>88030.0</v>
      </c>
      <c r="N7835" s="2" t="s">
        <v>21</v>
      </c>
    </row>
    <row r="7836" ht="15.75" customHeight="1">
      <c r="A7836" s="2">
        <v>2017.0</v>
      </c>
      <c r="B7836" s="2" t="s">
        <v>32923</v>
      </c>
      <c r="C7836" s="2" t="s">
        <v>32924</v>
      </c>
      <c r="D7836" s="2" t="str">
        <f>"813-613-3702"</f>
        <v>813-613-3702</v>
      </c>
      <c r="E7836" s="2" t="s">
        <v>1324</v>
      </c>
      <c r="F7836" s="2" t="s">
        <v>32925</v>
      </c>
      <c r="G7836" s="2" t="str">
        <f>"SR-10703"</f>
        <v>SR-10703</v>
      </c>
      <c r="H7836" s="2" t="s">
        <v>32926</v>
      </c>
      <c r="I7836" s="2" t="s">
        <v>32927</v>
      </c>
      <c r="K7836" s="2" t="s">
        <v>32928</v>
      </c>
      <c r="L7836" s="2" t="s">
        <v>208</v>
      </c>
      <c r="M7836" s="2">
        <v>33578.0</v>
      </c>
      <c r="N7836" s="2" t="s">
        <v>21</v>
      </c>
    </row>
    <row r="7837" ht="15.75" customHeight="1">
      <c r="A7837" s="2">
        <v>2017.0</v>
      </c>
      <c r="B7837" s="2" t="s">
        <v>24920</v>
      </c>
      <c r="C7837" s="2" t="s">
        <v>24921</v>
      </c>
      <c r="D7837" s="2" t="str">
        <f>"7044430190"</f>
        <v>7044430190</v>
      </c>
      <c r="E7837" s="2" t="s">
        <v>1548</v>
      </c>
      <c r="F7837" s="2" t="s">
        <v>1609</v>
      </c>
      <c r="G7837" s="2" t="str">
        <f>"SR-7886"</f>
        <v>SR-7886</v>
      </c>
      <c r="H7837" s="2" t="s">
        <v>24922</v>
      </c>
      <c r="I7837" s="2" t="s">
        <v>1611</v>
      </c>
      <c r="K7837" s="2" t="s">
        <v>1612</v>
      </c>
      <c r="L7837" s="2" t="s">
        <v>20</v>
      </c>
      <c r="M7837" s="2">
        <v>28105.0</v>
      </c>
      <c r="N7837" s="2" t="s">
        <v>21</v>
      </c>
    </row>
    <row r="7838" ht="15.75" customHeight="1">
      <c r="A7838" s="2">
        <v>2017.0</v>
      </c>
      <c r="B7838" s="2" t="s">
        <v>32929</v>
      </c>
      <c r="C7838" s="2" t="s">
        <v>32930</v>
      </c>
      <c r="D7838" s="2" t="str">
        <f>"303 641 5205"</f>
        <v>303 641 5205</v>
      </c>
      <c r="E7838" s="2" t="s">
        <v>23759</v>
      </c>
      <c r="F7838" s="2" t="s">
        <v>32931</v>
      </c>
      <c r="G7838" s="2" t="str">
        <f>"SR-10595"</f>
        <v>SR-10595</v>
      </c>
      <c r="H7838" s="2" t="s">
        <v>32932</v>
      </c>
      <c r="I7838" s="2" t="s">
        <v>32933</v>
      </c>
      <c r="K7838" s="2" t="s">
        <v>17226</v>
      </c>
      <c r="L7838" s="2" t="s">
        <v>157</v>
      </c>
      <c r="M7838" s="2">
        <v>80516.0</v>
      </c>
      <c r="N7838" s="2" t="s">
        <v>21</v>
      </c>
    </row>
    <row r="7839" ht="15.75" customHeight="1">
      <c r="A7839" s="2">
        <v>2017.0</v>
      </c>
      <c r="B7839" s="2" t="s">
        <v>32934</v>
      </c>
      <c r="C7839" s="2" t="s">
        <v>32935</v>
      </c>
      <c r="D7839" s="2" t="str">
        <f>"3072997653"</f>
        <v>3072997653</v>
      </c>
      <c r="E7839" s="2" t="s">
        <v>13630</v>
      </c>
      <c r="F7839" s="2" t="s">
        <v>23239</v>
      </c>
      <c r="G7839" s="2" t="str">
        <f>"SR-10718"</f>
        <v>SR-10718</v>
      </c>
      <c r="H7839" s="2" t="s">
        <v>32936</v>
      </c>
      <c r="I7839" s="2" t="s">
        <v>32937</v>
      </c>
      <c r="K7839" s="2" t="s">
        <v>12686</v>
      </c>
      <c r="L7839" s="2" t="s">
        <v>1540</v>
      </c>
      <c r="M7839" s="2">
        <v>82716.0</v>
      </c>
      <c r="N7839" s="2" t="s">
        <v>21</v>
      </c>
    </row>
    <row r="7840" ht="15.75" customHeight="1">
      <c r="A7840" s="2">
        <v>2017.0</v>
      </c>
      <c r="B7840" s="2" t="s">
        <v>32938</v>
      </c>
      <c r="C7840" s="2" t="s">
        <v>32939</v>
      </c>
      <c r="D7840" s="2" t="str">
        <f>"6202186147"</f>
        <v>6202186147</v>
      </c>
      <c r="E7840" s="2" t="s">
        <v>448</v>
      </c>
      <c r="F7840" s="2" t="s">
        <v>3576</v>
      </c>
      <c r="G7840" s="2" t="str">
        <f>"SR-10546"</f>
        <v>SR-10546</v>
      </c>
      <c r="H7840" s="2" t="s">
        <v>32940</v>
      </c>
      <c r="I7840" s="2" t="s">
        <v>32941</v>
      </c>
      <c r="K7840" s="2" t="s">
        <v>3530</v>
      </c>
      <c r="L7840" s="2" t="s">
        <v>272</v>
      </c>
      <c r="M7840" s="2">
        <v>67156.0</v>
      </c>
      <c r="N7840" s="2" t="s">
        <v>21</v>
      </c>
    </row>
    <row r="7841" ht="15.75" customHeight="1">
      <c r="A7841" s="2">
        <v>2017.0</v>
      </c>
      <c r="B7841" s="2" t="s">
        <v>12296</v>
      </c>
      <c r="C7841" s="2" t="s">
        <v>20641</v>
      </c>
      <c r="D7841" s="2" t="str">
        <f>"8505240156"</f>
        <v>8505240156</v>
      </c>
      <c r="E7841" s="2" t="s">
        <v>428</v>
      </c>
      <c r="F7841" s="2" t="s">
        <v>3857</v>
      </c>
      <c r="G7841" s="2" t="str">
        <f>"SR-6364"</f>
        <v>SR-6364</v>
      </c>
      <c r="H7841" s="2" t="s">
        <v>20642</v>
      </c>
      <c r="I7841" s="2" t="s">
        <v>12299</v>
      </c>
      <c r="K7841" s="2" t="s">
        <v>2007</v>
      </c>
      <c r="L7841" s="2" t="s">
        <v>208</v>
      </c>
      <c r="M7841" s="2">
        <v>32309.0</v>
      </c>
      <c r="N7841" s="2" t="s">
        <v>21</v>
      </c>
    </row>
    <row r="7842" ht="15.75" customHeight="1">
      <c r="A7842" s="2">
        <v>2017.0</v>
      </c>
      <c r="B7842" s="2" t="s">
        <v>12296</v>
      </c>
      <c r="C7842" s="2" t="s">
        <v>32942</v>
      </c>
      <c r="D7842" s="2" t="str">
        <f>"850-524-2512"</f>
        <v>850-524-2512</v>
      </c>
      <c r="E7842" s="2" t="s">
        <v>4322</v>
      </c>
      <c r="F7842" s="2" t="s">
        <v>3857</v>
      </c>
      <c r="G7842" s="2" t="str">
        <f>"SR-10717"</f>
        <v>SR-10717</v>
      </c>
      <c r="H7842" s="2" t="s">
        <v>32943</v>
      </c>
      <c r="I7842" s="2" t="s">
        <v>12299</v>
      </c>
      <c r="K7842" s="2" t="s">
        <v>2007</v>
      </c>
      <c r="L7842" s="2" t="s">
        <v>208</v>
      </c>
      <c r="M7842" s="2">
        <v>32309.0</v>
      </c>
      <c r="N7842" s="2" t="s">
        <v>21</v>
      </c>
    </row>
    <row r="7843" ht="15.75" customHeight="1">
      <c r="A7843" s="2">
        <v>2017.0</v>
      </c>
      <c r="B7843" s="2" t="s">
        <v>32944</v>
      </c>
      <c r="C7843" s="2" t="s">
        <v>32944</v>
      </c>
      <c r="D7843" s="2" t="str">
        <f>"8136133702"</f>
        <v>8136133702</v>
      </c>
      <c r="E7843" s="2" t="s">
        <v>1400</v>
      </c>
      <c r="F7843" s="2" t="s">
        <v>32925</v>
      </c>
      <c r="G7843" s="2" t="str">
        <f>"SR-10719"</f>
        <v>SR-10719</v>
      </c>
      <c r="H7843" s="2" t="s">
        <v>32945</v>
      </c>
      <c r="I7843" s="2" t="s">
        <v>32946</v>
      </c>
      <c r="K7843" s="2" t="s">
        <v>32928</v>
      </c>
      <c r="L7843" s="2" t="s">
        <v>208</v>
      </c>
      <c r="M7843" s="2">
        <v>33578.0</v>
      </c>
      <c r="N7843" s="2" t="s">
        <v>21</v>
      </c>
    </row>
    <row r="7844" ht="15.75" customHeight="1">
      <c r="A7844" s="2">
        <v>2017.0</v>
      </c>
      <c r="B7844" s="2" t="s">
        <v>16723</v>
      </c>
      <c r="C7844" s="2" t="s">
        <v>16724</v>
      </c>
      <c r="D7844" s="2" t="str">
        <f>"4692477784"</f>
        <v>4692477784</v>
      </c>
      <c r="E7844" s="2" t="s">
        <v>250</v>
      </c>
      <c r="F7844" s="2" t="s">
        <v>16725</v>
      </c>
      <c r="G7844" s="2" t="str">
        <f>"SR-5109"</f>
        <v>SR-5109</v>
      </c>
      <c r="H7844" s="2" t="s">
        <v>16726</v>
      </c>
      <c r="I7844" s="2" t="s">
        <v>16727</v>
      </c>
      <c r="K7844" s="2" t="s">
        <v>3144</v>
      </c>
      <c r="L7844" s="2" t="s">
        <v>172</v>
      </c>
      <c r="M7844" s="2">
        <v>75002.0</v>
      </c>
      <c r="N7844" s="2" t="s">
        <v>21</v>
      </c>
    </row>
    <row r="7845" ht="15.75" customHeight="1">
      <c r="A7845" s="2">
        <v>2017.0</v>
      </c>
      <c r="B7845" s="2" t="s">
        <v>32947</v>
      </c>
      <c r="C7845" s="2" t="s">
        <v>32948</v>
      </c>
      <c r="D7845" s="2" t="str">
        <f>"5108137404"</f>
        <v>5108137404</v>
      </c>
      <c r="E7845" s="2" t="s">
        <v>3305</v>
      </c>
      <c r="F7845" s="2" t="s">
        <v>3440</v>
      </c>
      <c r="G7845" s="2" t="str">
        <f>"SR-10533"</f>
        <v>SR-10533</v>
      </c>
      <c r="H7845" s="2" t="s">
        <v>32949</v>
      </c>
      <c r="I7845" s="2" t="s">
        <v>32950</v>
      </c>
      <c r="K7845" s="2" t="s">
        <v>22040</v>
      </c>
      <c r="L7845" s="2" t="s">
        <v>222</v>
      </c>
      <c r="M7845" s="2">
        <v>94611.0</v>
      </c>
      <c r="N7845" s="2" t="s">
        <v>21</v>
      </c>
    </row>
    <row r="7846" ht="15.75" customHeight="1">
      <c r="A7846" s="2">
        <v>2017.0</v>
      </c>
      <c r="B7846" s="2" t="s">
        <v>32951</v>
      </c>
      <c r="C7846" s="2" t="s">
        <v>32952</v>
      </c>
      <c r="D7846" s="2" t="str">
        <f>"720-708-9397"</f>
        <v>720-708-9397</v>
      </c>
      <c r="E7846" s="2" t="s">
        <v>27385</v>
      </c>
      <c r="F7846" s="2" t="s">
        <v>32953</v>
      </c>
      <c r="G7846" s="2" t="str">
        <f>"SR-10724"</f>
        <v>SR-10724</v>
      </c>
      <c r="H7846" s="2" t="s">
        <v>32954</v>
      </c>
      <c r="I7846" s="2" t="s">
        <v>32955</v>
      </c>
      <c r="K7846" s="2" t="s">
        <v>682</v>
      </c>
      <c r="L7846" s="2" t="s">
        <v>157</v>
      </c>
      <c r="M7846" s="2">
        <v>80126.0</v>
      </c>
      <c r="N7846" s="2" t="s">
        <v>21</v>
      </c>
    </row>
    <row r="7847" ht="15.75" customHeight="1">
      <c r="A7847" s="2">
        <v>2017.0</v>
      </c>
      <c r="B7847" s="2" t="s">
        <v>26660</v>
      </c>
      <c r="C7847" s="2" t="s">
        <v>26661</v>
      </c>
      <c r="D7847" s="2" t="str">
        <f>"7706560874"</f>
        <v>7706560874</v>
      </c>
      <c r="E7847" s="2" t="s">
        <v>4300</v>
      </c>
      <c r="F7847" s="2" t="s">
        <v>5721</v>
      </c>
      <c r="G7847" s="2" t="str">
        <f>"SR-8471"</f>
        <v>SR-8471</v>
      </c>
      <c r="H7847" s="2" t="s">
        <v>26662</v>
      </c>
      <c r="I7847" s="2" t="s">
        <v>26663</v>
      </c>
      <c r="K7847" s="2" t="s">
        <v>26664</v>
      </c>
      <c r="L7847" s="2" t="s">
        <v>200</v>
      </c>
      <c r="M7847" s="2">
        <v>30185.0</v>
      </c>
      <c r="N7847" s="2" t="s">
        <v>21</v>
      </c>
    </row>
    <row r="7848" ht="15.75" customHeight="1">
      <c r="A7848" s="2">
        <v>2017.0</v>
      </c>
      <c r="B7848" s="2" t="s">
        <v>32956</v>
      </c>
      <c r="C7848" s="2" t="s">
        <v>25485</v>
      </c>
      <c r="D7848" s="2" t="str">
        <f>"937-243-7330"</f>
        <v>937-243-7330</v>
      </c>
      <c r="E7848" s="2" t="s">
        <v>690</v>
      </c>
      <c r="F7848" s="2" t="s">
        <v>32957</v>
      </c>
      <c r="G7848" s="2" t="str">
        <f>"SR-10645"</f>
        <v>SR-10645</v>
      </c>
      <c r="H7848" s="2" t="s">
        <v>32958</v>
      </c>
      <c r="I7848" s="2" t="s">
        <v>32959</v>
      </c>
      <c r="K7848" s="2" t="s">
        <v>26300</v>
      </c>
      <c r="L7848" s="2" t="s">
        <v>208</v>
      </c>
      <c r="M7848" s="2">
        <v>33852.0</v>
      </c>
      <c r="N7848" s="2" t="s">
        <v>21</v>
      </c>
    </row>
    <row r="7849" ht="15.75" customHeight="1">
      <c r="A7849" s="2">
        <v>2017.0</v>
      </c>
      <c r="B7849" s="2" t="s">
        <v>32960</v>
      </c>
      <c r="C7849" s="2" t="s">
        <v>32960</v>
      </c>
      <c r="D7849" s="2" t="str">
        <f>"979-595-4382"</f>
        <v>979-595-4382</v>
      </c>
      <c r="E7849" s="2" t="s">
        <v>144</v>
      </c>
      <c r="F7849" s="2" t="s">
        <v>3903</v>
      </c>
      <c r="G7849" s="2" t="str">
        <f>"SR-10294"</f>
        <v>SR-10294</v>
      </c>
      <c r="H7849" s="2" t="s">
        <v>32961</v>
      </c>
      <c r="I7849" s="2" t="s">
        <v>32962</v>
      </c>
      <c r="K7849" s="2" t="s">
        <v>309</v>
      </c>
      <c r="L7849" s="2" t="s">
        <v>172</v>
      </c>
      <c r="M7849" s="2">
        <v>75652.0</v>
      </c>
      <c r="N7849" s="2" t="s">
        <v>21</v>
      </c>
    </row>
    <row r="7850" ht="15.75" customHeight="1">
      <c r="A7850" s="2">
        <v>2017.0</v>
      </c>
      <c r="B7850" s="2" t="s">
        <v>32963</v>
      </c>
      <c r="C7850" s="2" t="s">
        <v>32963</v>
      </c>
      <c r="D7850" s="2" t="str">
        <f>"(501) 593 8504"</f>
        <v>(501) 593 8504</v>
      </c>
      <c r="E7850" s="2" t="s">
        <v>1548</v>
      </c>
      <c r="F7850" s="2" t="s">
        <v>32964</v>
      </c>
      <c r="G7850" s="2" t="str">
        <f>"SR-10398"</f>
        <v>SR-10398</v>
      </c>
      <c r="H7850" s="2" t="s">
        <v>32965</v>
      </c>
      <c r="I7850" s="2" t="s">
        <v>32966</v>
      </c>
      <c r="K7850" s="2" t="s">
        <v>17727</v>
      </c>
      <c r="L7850" s="2" t="s">
        <v>1012</v>
      </c>
      <c r="M7850" s="2">
        <v>72143.0</v>
      </c>
      <c r="N7850" s="2" t="s">
        <v>21</v>
      </c>
    </row>
    <row r="7851" ht="15.75" customHeight="1">
      <c r="A7851" s="2">
        <v>2017.0</v>
      </c>
      <c r="B7851" s="2" t="s">
        <v>23502</v>
      </c>
      <c r="D7851" s="2" t="str">
        <f>""</f>
        <v/>
      </c>
      <c r="E7851" s="2" t="s">
        <v>14005</v>
      </c>
      <c r="F7851" s="2" t="s">
        <v>4893</v>
      </c>
      <c r="G7851" s="2" t="str">
        <f>"SR-7234"</f>
        <v>SR-7234</v>
      </c>
      <c r="H7851" s="2" t="s">
        <v>23503</v>
      </c>
      <c r="N7851" s="2" t="s">
        <v>21</v>
      </c>
    </row>
    <row r="7852" ht="15.75" customHeight="1">
      <c r="A7852" s="2">
        <v>2017.0</v>
      </c>
      <c r="B7852" s="2" t="s">
        <v>32967</v>
      </c>
      <c r="C7852" s="2" t="s">
        <v>32968</v>
      </c>
      <c r="D7852" s="2" t="str">
        <f>"805-441-7210"</f>
        <v>805-441-7210</v>
      </c>
      <c r="E7852" s="2" t="s">
        <v>32969</v>
      </c>
      <c r="F7852" s="2" t="s">
        <v>13807</v>
      </c>
      <c r="G7852" s="2" t="str">
        <f>"SR-10210"</f>
        <v>SR-10210</v>
      </c>
      <c r="H7852" s="2" t="s">
        <v>32970</v>
      </c>
      <c r="I7852" s="2" t="s">
        <v>13809</v>
      </c>
      <c r="K7852" s="2" t="s">
        <v>13810</v>
      </c>
      <c r="L7852" s="2" t="s">
        <v>222</v>
      </c>
      <c r="M7852" s="2">
        <v>93401.0</v>
      </c>
      <c r="N7852" s="2" t="s">
        <v>21</v>
      </c>
    </row>
    <row r="7853" ht="15.75" customHeight="1">
      <c r="A7853" s="2">
        <v>2017.0</v>
      </c>
      <c r="B7853" s="2" t="s">
        <v>32971</v>
      </c>
      <c r="C7853" s="2" t="s">
        <v>32972</v>
      </c>
      <c r="D7853" s="2" t="str">
        <f>"9073987626"</f>
        <v>9073987626</v>
      </c>
      <c r="E7853" s="2" t="s">
        <v>3977</v>
      </c>
      <c r="F7853" s="2" t="s">
        <v>32973</v>
      </c>
      <c r="G7853" s="2" t="str">
        <f>"SR-10727"</f>
        <v>SR-10727</v>
      </c>
      <c r="H7853" s="2" t="s">
        <v>32974</v>
      </c>
      <c r="I7853" s="2" t="s">
        <v>32975</v>
      </c>
      <c r="K7853" s="2" t="s">
        <v>1336</v>
      </c>
      <c r="L7853" s="2" t="s">
        <v>70</v>
      </c>
      <c r="M7853" s="2">
        <v>99669.0</v>
      </c>
      <c r="N7853" s="2" t="s">
        <v>21</v>
      </c>
    </row>
    <row r="7854" ht="15.75" customHeight="1">
      <c r="A7854" s="2">
        <v>2017.0</v>
      </c>
      <c r="B7854" s="2" t="s">
        <v>32976</v>
      </c>
      <c r="C7854" s="2" t="s">
        <v>32976</v>
      </c>
      <c r="D7854" s="2" t="str">
        <f>"6163354612"</f>
        <v>6163354612</v>
      </c>
      <c r="E7854" s="2" t="s">
        <v>3743</v>
      </c>
      <c r="F7854" s="2" t="s">
        <v>32977</v>
      </c>
      <c r="G7854" s="2" t="str">
        <f>"SR-10487"</f>
        <v>SR-10487</v>
      </c>
      <c r="H7854" s="2" t="s">
        <v>32978</v>
      </c>
      <c r="I7854" s="2" t="s">
        <v>32979</v>
      </c>
      <c r="K7854" s="2" t="s">
        <v>32980</v>
      </c>
      <c r="L7854" s="2" t="s">
        <v>29</v>
      </c>
      <c r="M7854" s="2">
        <v>49404.0</v>
      </c>
      <c r="N7854" s="2" t="s">
        <v>21</v>
      </c>
    </row>
    <row r="7855" ht="15.75" customHeight="1">
      <c r="A7855" s="2">
        <v>2017.0</v>
      </c>
      <c r="B7855" s="2" t="s">
        <v>6238</v>
      </c>
      <c r="C7855" s="2" t="s">
        <v>25485</v>
      </c>
      <c r="D7855" s="2" t="str">
        <f>"4074897290"</f>
        <v>4074897290</v>
      </c>
      <c r="E7855" s="2" t="s">
        <v>705</v>
      </c>
      <c r="F7855" s="2" t="s">
        <v>6239</v>
      </c>
      <c r="G7855" s="2" t="str">
        <f>"SR-10733"</f>
        <v>SR-10733</v>
      </c>
      <c r="H7855" s="2" t="s">
        <v>32981</v>
      </c>
      <c r="I7855" s="2" t="s">
        <v>6241</v>
      </c>
      <c r="K7855" s="2" t="s">
        <v>4724</v>
      </c>
      <c r="L7855" s="2" t="s">
        <v>208</v>
      </c>
      <c r="M7855" s="2">
        <v>32836.0</v>
      </c>
      <c r="N7855" s="2" t="s">
        <v>21</v>
      </c>
    </row>
    <row r="7856" ht="15.75" customHeight="1">
      <c r="A7856" s="2">
        <v>2017.0</v>
      </c>
      <c r="B7856" s="2" t="s">
        <v>32982</v>
      </c>
      <c r="C7856" s="2" t="s">
        <v>32983</v>
      </c>
      <c r="D7856" s="2" t="str">
        <f>"256.233.3426"</f>
        <v>256.233.3426</v>
      </c>
      <c r="E7856" s="2" t="s">
        <v>225</v>
      </c>
      <c r="F7856" s="2" t="s">
        <v>4501</v>
      </c>
      <c r="G7856" s="2" t="str">
        <f>"SR-9380"</f>
        <v>SR-9380</v>
      </c>
      <c r="H7856" s="2" t="s">
        <v>32984</v>
      </c>
      <c r="I7856" s="2" t="s">
        <v>32985</v>
      </c>
      <c r="K7856" s="2" t="s">
        <v>2410</v>
      </c>
      <c r="L7856" s="2" t="s">
        <v>539</v>
      </c>
      <c r="M7856" s="2">
        <v>35620.0</v>
      </c>
      <c r="N7856" s="2" t="s">
        <v>21</v>
      </c>
    </row>
    <row r="7857" ht="15.75" customHeight="1">
      <c r="A7857" s="2">
        <v>2017.0</v>
      </c>
      <c r="B7857" s="2" t="s">
        <v>32986</v>
      </c>
      <c r="C7857" s="2" t="s">
        <v>32987</v>
      </c>
      <c r="D7857" s="2" t="str">
        <f>"5748504628"</f>
        <v>5748504628</v>
      </c>
      <c r="E7857" s="2" t="s">
        <v>20541</v>
      </c>
      <c r="F7857" s="2" t="s">
        <v>25654</v>
      </c>
      <c r="G7857" s="2" t="str">
        <f>"SR-10702"</f>
        <v>SR-10702</v>
      </c>
      <c r="H7857" s="2" t="s">
        <v>32988</v>
      </c>
      <c r="I7857" s="2">
        <v>22576.0</v>
      </c>
      <c r="K7857" s="2" t="s">
        <v>2267</v>
      </c>
      <c r="L7857" s="2" t="s">
        <v>149</v>
      </c>
      <c r="M7857" s="2">
        <v>46536.0</v>
      </c>
      <c r="N7857" s="2" t="s">
        <v>21</v>
      </c>
    </row>
    <row r="7858" ht="15.75" customHeight="1">
      <c r="A7858" s="2">
        <v>2017.0</v>
      </c>
      <c r="B7858" s="2" t="s">
        <v>32989</v>
      </c>
      <c r="C7858" s="2" t="s">
        <v>32989</v>
      </c>
      <c r="D7858" s="2" t="str">
        <f>"205-706-6272"</f>
        <v>205-706-6272</v>
      </c>
      <c r="E7858" s="2" t="s">
        <v>3878</v>
      </c>
      <c r="F7858" s="2" t="s">
        <v>32990</v>
      </c>
      <c r="G7858" s="2" t="str">
        <f>"SR-10735"</f>
        <v>SR-10735</v>
      </c>
      <c r="H7858" s="2" t="s">
        <v>32991</v>
      </c>
      <c r="I7858" s="2" t="s">
        <v>32992</v>
      </c>
      <c r="K7858" s="2" t="s">
        <v>404</v>
      </c>
      <c r="L7858" s="2" t="s">
        <v>165</v>
      </c>
      <c r="M7858" s="2">
        <v>22310.0</v>
      </c>
      <c r="N7858" s="2" t="s">
        <v>21</v>
      </c>
    </row>
    <row r="7859" ht="15.75" customHeight="1">
      <c r="A7859" s="2">
        <v>2017.0</v>
      </c>
      <c r="B7859" s="2" t="s">
        <v>32993</v>
      </c>
      <c r="C7859" s="2" t="s">
        <v>32993</v>
      </c>
      <c r="D7859" s="2" t="str">
        <f>"512-665-8084"</f>
        <v>512-665-8084</v>
      </c>
      <c r="E7859" s="2" t="s">
        <v>2314</v>
      </c>
      <c r="F7859" s="2" t="s">
        <v>12876</v>
      </c>
      <c r="G7859" s="2" t="str">
        <f>"SR-10740"</f>
        <v>SR-10740</v>
      </c>
      <c r="H7859" s="2" t="s">
        <v>32994</v>
      </c>
      <c r="I7859" s="2" t="s">
        <v>32995</v>
      </c>
      <c r="K7859" s="2" t="s">
        <v>4687</v>
      </c>
      <c r="L7859" s="2" t="s">
        <v>172</v>
      </c>
      <c r="M7859" s="2">
        <v>78664.0</v>
      </c>
      <c r="N7859" s="2" t="s">
        <v>21</v>
      </c>
    </row>
    <row r="7860" ht="15.75" customHeight="1">
      <c r="A7860" s="2">
        <v>2017.0</v>
      </c>
      <c r="B7860" s="2" t="s">
        <v>32996</v>
      </c>
      <c r="C7860" s="2" t="s">
        <v>32996</v>
      </c>
      <c r="D7860" s="2" t="str">
        <f>"9713445712"</f>
        <v>9713445712</v>
      </c>
      <c r="E7860" s="2" t="s">
        <v>718</v>
      </c>
      <c r="F7860" s="2" t="s">
        <v>12876</v>
      </c>
      <c r="G7860" s="2" t="str">
        <f>"SR-10741"</f>
        <v>SR-10741</v>
      </c>
      <c r="H7860" s="2" t="s">
        <v>13095</v>
      </c>
      <c r="I7860" s="2" t="s">
        <v>32995</v>
      </c>
      <c r="K7860" s="2" t="s">
        <v>4687</v>
      </c>
      <c r="L7860" s="2" t="s">
        <v>172</v>
      </c>
      <c r="M7860" s="2">
        <v>78664.0</v>
      </c>
      <c r="N7860" s="2" t="s">
        <v>21</v>
      </c>
    </row>
    <row r="7861" ht="15.75" customHeight="1">
      <c r="A7861" s="2">
        <v>2017.0</v>
      </c>
      <c r="B7861" s="2" t="s">
        <v>32997</v>
      </c>
      <c r="C7861" s="2" t="s">
        <v>32998</v>
      </c>
      <c r="D7861" s="2" t="str">
        <f>"309.278.8741"</f>
        <v>309.278.8741</v>
      </c>
      <c r="E7861" s="2" t="s">
        <v>705</v>
      </c>
      <c r="F7861" s="2" t="s">
        <v>3485</v>
      </c>
      <c r="G7861" s="2" t="str">
        <f>"SR-10744"</f>
        <v>SR-10744</v>
      </c>
      <c r="H7861" s="2" t="s">
        <v>32999</v>
      </c>
      <c r="I7861" s="2" t="s">
        <v>33000</v>
      </c>
      <c r="K7861" s="2" t="s">
        <v>3488</v>
      </c>
      <c r="L7861" s="2" t="s">
        <v>105</v>
      </c>
      <c r="M7861" s="2">
        <v>61277.0</v>
      </c>
      <c r="N7861" s="2" t="s">
        <v>21</v>
      </c>
    </row>
    <row r="7862" ht="15.75" customHeight="1">
      <c r="A7862" s="2">
        <v>2017.0</v>
      </c>
      <c r="B7862" s="2" t="s">
        <v>33001</v>
      </c>
      <c r="C7862" s="2" t="s">
        <v>33001</v>
      </c>
      <c r="D7862" s="2" t="str">
        <f>"713-668-8144"</f>
        <v>713-668-8144</v>
      </c>
      <c r="E7862" s="2" t="s">
        <v>5858</v>
      </c>
      <c r="F7862" s="2" t="s">
        <v>11503</v>
      </c>
      <c r="G7862" s="2" t="str">
        <f>"SR-10728"</f>
        <v>SR-10728</v>
      </c>
      <c r="H7862" s="2" t="s">
        <v>33002</v>
      </c>
      <c r="I7862" s="2" t="s">
        <v>33003</v>
      </c>
      <c r="K7862" s="2" t="s">
        <v>32372</v>
      </c>
      <c r="L7862" s="2" t="s">
        <v>172</v>
      </c>
      <c r="M7862" s="2">
        <v>77401.0</v>
      </c>
      <c r="N7862" s="2" t="s">
        <v>21</v>
      </c>
    </row>
    <row r="7863" ht="15.75" customHeight="1">
      <c r="A7863" s="2">
        <v>2017.0</v>
      </c>
      <c r="B7863" s="2" t="s">
        <v>33004</v>
      </c>
      <c r="C7863" s="2" t="s">
        <v>33005</v>
      </c>
      <c r="D7863" s="2" t="str">
        <f>"7632911210"</f>
        <v>7632911210</v>
      </c>
      <c r="E7863" s="2" t="s">
        <v>2162</v>
      </c>
      <c r="F7863" s="2" t="s">
        <v>1151</v>
      </c>
      <c r="G7863" s="2" t="str">
        <f>"SR-10749"</f>
        <v>SR-10749</v>
      </c>
      <c r="H7863" s="2" t="s">
        <v>2163</v>
      </c>
      <c r="I7863" s="2" t="s">
        <v>33006</v>
      </c>
      <c r="K7863" s="2" t="s">
        <v>33007</v>
      </c>
      <c r="L7863" s="2" t="s">
        <v>208</v>
      </c>
      <c r="M7863" s="2">
        <v>33872.0</v>
      </c>
      <c r="N7863" s="2" t="s">
        <v>21</v>
      </c>
    </row>
    <row r="7864" ht="15.75" customHeight="1">
      <c r="A7864" s="2">
        <v>2017.0</v>
      </c>
      <c r="B7864" s="2" t="s">
        <v>33008</v>
      </c>
      <c r="C7864" s="2" t="s">
        <v>33009</v>
      </c>
      <c r="D7864" s="2" t="str">
        <f>"907-978-4329"</f>
        <v>907-978-4329</v>
      </c>
      <c r="E7864" s="2" t="s">
        <v>465</v>
      </c>
      <c r="F7864" s="2" t="s">
        <v>33010</v>
      </c>
      <c r="G7864" s="2" t="str">
        <f>"SR-10751"</f>
        <v>SR-10751</v>
      </c>
      <c r="H7864" s="2" t="s">
        <v>33011</v>
      </c>
      <c r="I7864" s="2" t="s">
        <v>33012</v>
      </c>
      <c r="K7864" s="2" t="s">
        <v>1729</v>
      </c>
      <c r="L7864" s="2" t="s">
        <v>70</v>
      </c>
      <c r="M7864" s="2">
        <v>99577.0</v>
      </c>
      <c r="N7864" s="2" t="s">
        <v>21</v>
      </c>
    </row>
    <row r="7865" ht="15.75" customHeight="1">
      <c r="A7865" s="2">
        <v>2017.0</v>
      </c>
      <c r="B7865" s="2" t="s">
        <v>33013</v>
      </c>
      <c r="C7865" s="2" t="s">
        <v>33014</v>
      </c>
      <c r="D7865" s="2" t="str">
        <f>"3109417244"</f>
        <v>3109417244</v>
      </c>
      <c r="E7865" s="2" t="s">
        <v>33015</v>
      </c>
      <c r="F7865" s="2" t="s">
        <v>33016</v>
      </c>
      <c r="G7865" s="2" t="str">
        <f>"SR-10680"</f>
        <v>SR-10680</v>
      </c>
      <c r="H7865" s="2" t="s">
        <v>33017</v>
      </c>
      <c r="I7865" s="2" t="s">
        <v>33018</v>
      </c>
      <c r="K7865" s="2" t="s">
        <v>21053</v>
      </c>
      <c r="L7865" s="2" t="s">
        <v>222</v>
      </c>
      <c r="M7865" s="2">
        <v>90059.0</v>
      </c>
      <c r="N7865" s="2" t="s">
        <v>21</v>
      </c>
    </row>
    <row r="7866" ht="15.75" customHeight="1">
      <c r="A7866" s="2">
        <v>2017.0</v>
      </c>
      <c r="B7866" s="2" t="s">
        <v>33019</v>
      </c>
      <c r="C7866" s="2" t="s">
        <v>33019</v>
      </c>
      <c r="D7866" s="2" t="str">
        <f>"719-418-6265"</f>
        <v>719-418-6265</v>
      </c>
      <c r="E7866" s="2" t="s">
        <v>2598</v>
      </c>
      <c r="F7866" s="2" t="s">
        <v>850</v>
      </c>
      <c r="G7866" s="2" t="str">
        <f>"SR-10754"</f>
        <v>SR-10754</v>
      </c>
      <c r="H7866" s="2" t="s">
        <v>33020</v>
      </c>
      <c r="I7866" s="2" t="s">
        <v>33021</v>
      </c>
      <c r="K7866" s="2" t="s">
        <v>33022</v>
      </c>
      <c r="L7866" s="2" t="s">
        <v>157</v>
      </c>
      <c r="M7866" s="2">
        <v>80840.0</v>
      </c>
      <c r="N7866" s="2" t="s">
        <v>21</v>
      </c>
    </row>
    <row r="7867" ht="15.75" customHeight="1">
      <c r="A7867" s="2">
        <v>2017.0</v>
      </c>
      <c r="B7867" s="2" t="s">
        <v>28553</v>
      </c>
      <c r="C7867" s="2" t="s">
        <v>28553</v>
      </c>
      <c r="D7867" s="2" t="str">
        <f>"7068362361"</f>
        <v>7068362361</v>
      </c>
      <c r="E7867" s="2" t="s">
        <v>28554</v>
      </c>
      <c r="F7867" s="2" t="s">
        <v>28555</v>
      </c>
      <c r="G7867" s="2" t="str">
        <f>"SR-8888"</f>
        <v>SR-8888</v>
      </c>
      <c r="H7867" s="2" t="s">
        <v>28556</v>
      </c>
      <c r="I7867" s="2" t="s">
        <v>28557</v>
      </c>
      <c r="K7867" s="2" t="s">
        <v>19068</v>
      </c>
      <c r="L7867" s="2" t="s">
        <v>200</v>
      </c>
      <c r="M7867" s="2">
        <v>30813.0</v>
      </c>
      <c r="N7867" s="2" t="s">
        <v>21</v>
      </c>
    </row>
    <row r="7868" ht="15.75" customHeight="1">
      <c r="A7868" s="2">
        <v>2017.0</v>
      </c>
      <c r="B7868" s="2" t="s">
        <v>33023</v>
      </c>
      <c r="C7868" s="2" t="s">
        <v>33023</v>
      </c>
      <c r="D7868" s="2" t="str">
        <f>"620-787-2382"</f>
        <v>620-787-2382</v>
      </c>
      <c r="E7868" s="2" t="s">
        <v>33024</v>
      </c>
      <c r="F7868" s="2" t="s">
        <v>33025</v>
      </c>
      <c r="G7868" s="2" t="str">
        <f>"SR-10753"</f>
        <v>SR-10753</v>
      </c>
      <c r="H7868" s="2" t="s">
        <v>33026</v>
      </c>
      <c r="I7868" s="2" t="s">
        <v>33027</v>
      </c>
      <c r="K7868" s="2" t="s">
        <v>6149</v>
      </c>
      <c r="L7868" s="2" t="s">
        <v>272</v>
      </c>
      <c r="M7868" s="2">
        <v>66846.0</v>
      </c>
      <c r="N7868" s="2" t="s">
        <v>21</v>
      </c>
    </row>
    <row r="7869" ht="15.75" customHeight="1">
      <c r="A7869" s="2">
        <v>2017.0</v>
      </c>
      <c r="B7869" s="2" t="s">
        <v>33028</v>
      </c>
      <c r="C7869" s="2" t="s">
        <v>33029</v>
      </c>
      <c r="D7869" s="2" t="str">
        <f>"260-418-0584"</f>
        <v>260-418-0584</v>
      </c>
      <c r="E7869" s="2" t="s">
        <v>4300</v>
      </c>
      <c r="F7869" s="2" t="s">
        <v>33030</v>
      </c>
      <c r="G7869" s="2" t="str">
        <f>"SR-10755"</f>
        <v>SR-10755</v>
      </c>
      <c r="H7869" s="2" t="s">
        <v>33031</v>
      </c>
      <c r="I7869" s="2" t="s">
        <v>33032</v>
      </c>
      <c r="K7869" s="2" t="s">
        <v>13821</v>
      </c>
      <c r="L7869" s="2" t="s">
        <v>149</v>
      </c>
      <c r="M7869" s="2">
        <v>46774.0</v>
      </c>
      <c r="N7869" s="2" t="s">
        <v>21</v>
      </c>
    </row>
    <row r="7870" ht="15.75" customHeight="1">
      <c r="A7870" s="2">
        <v>2017.0</v>
      </c>
      <c r="B7870" s="2" t="s">
        <v>33033</v>
      </c>
      <c r="C7870" s="2" t="s">
        <v>33033</v>
      </c>
      <c r="D7870" s="2" t="str">
        <f>"6158385670"</f>
        <v>6158385670</v>
      </c>
      <c r="E7870" s="2" t="s">
        <v>282</v>
      </c>
      <c r="F7870" s="2" t="s">
        <v>30698</v>
      </c>
      <c r="G7870" s="2" t="str">
        <f>"SR-10686"</f>
        <v>SR-10686</v>
      </c>
      <c r="H7870" s="2" t="s">
        <v>33034</v>
      </c>
      <c r="I7870" s="2" t="s">
        <v>33035</v>
      </c>
      <c r="K7870" s="2" t="s">
        <v>278</v>
      </c>
      <c r="L7870" s="2" t="s">
        <v>279</v>
      </c>
      <c r="M7870" s="2">
        <v>37069.0</v>
      </c>
      <c r="N7870" s="2" t="s">
        <v>21</v>
      </c>
    </row>
    <row r="7871" ht="15.75" customHeight="1">
      <c r="A7871" s="2">
        <v>2017.0</v>
      </c>
      <c r="B7871" s="2" t="s">
        <v>33036</v>
      </c>
      <c r="C7871" s="2" t="s">
        <v>33037</v>
      </c>
      <c r="D7871" s="2" t="str">
        <f>"3089351757"</f>
        <v>3089351757</v>
      </c>
      <c r="E7871" s="2" t="s">
        <v>830</v>
      </c>
      <c r="F7871" s="2" t="s">
        <v>33038</v>
      </c>
      <c r="G7871" s="2" t="str">
        <f>"SR-10276"</f>
        <v>SR-10276</v>
      </c>
      <c r="H7871" s="2" t="s">
        <v>33039</v>
      </c>
      <c r="I7871" s="2" t="s">
        <v>33040</v>
      </c>
      <c r="K7871" s="2" t="s">
        <v>33041</v>
      </c>
      <c r="L7871" s="2" t="s">
        <v>757</v>
      </c>
      <c r="M7871" s="2">
        <v>68814.0</v>
      </c>
      <c r="N7871" s="2" t="s">
        <v>21</v>
      </c>
    </row>
    <row r="7872" ht="15.75" customHeight="1">
      <c r="A7872" s="2">
        <v>2017.0</v>
      </c>
      <c r="B7872" s="2" t="s">
        <v>33042</v>
      </c>
      <c r="C7872" s="2" t="s">
        <v>33043</v>
      </c>
      <c r="D7872" s="2" t="str">
        <f>"517-486-2062"</f>
        <v>517-486-2062</v>
      </c>
      <c r="E7872" s="2" t="s">
        <v>132</v>
      </c>
      <c r="F7872" s="2" t="s">
        <v>33044</v>
      </c>
      <c r="G7872" s="2" t="str">
        <f>"SR-10756"</f>
        <v>SR-10756</v>
      </c>
      <c r="H7872" s="2" t="s">
        <v>33045</v>
      </c>
      <c r="I7872" s="2" t="s">
        <v>33046</v>
      </c>
      <c r="K7872" s="2" t="s">
        <v>33047</v>
      </c>
      <c r="L7872" s="2" t="s">
        <v>29</v>
      </c>
      <c r="M7872" s="2">
        <v>49228.0</v>
      </c>
      <c r="N7872" s="2" t="s">
        <v>21</v>
      </c>
    </row>
    <row r="7873" ht="15.75" customHeight="1">
      <c r="A7873" s="2">
        <v>2017.0</v>
      </c>
      <c r="B7873" s="2" t="s">
        <v>33048</v>
      </c>
      <c r="C7873" s="2" t="s">
        <v>33049</v>
      </c>
      <c r="D7873" s="2" t="str">
        <f>"308-728-5278"</f>
        <v>308-728-5278</v>
      </c>
      <c r="E7873" s="2" t="s">
        <v>11562</v>
      </c>
      <c r="F7873" s="2" t="s">
        <v>33050</v>
      </c>
      <c r="G7873" s="2" t="str">
        <f>"SR-10761"</f>
        <v>SR-10761</v>
      </c>
      <c r="H7873" s="2" t="s">
        <v>33051</v>
      </c>
      <c r="I7873" s="2" t="s">
        <v>33052</v>
      </c>
      <c r="K7873" s="2" t="s">
        <v>23851</v>
      </c>
      <c r="L7873" s="2" t="s">
        <v>757</v>
      </c>
      <c r="M7873" s="2">
        <v>68862.0</v>
      </c>
      <c r="N7873" s="2" t="s">
        <v>21</v>
      </c>
    </row>
    <row r="7874" ht="15.75" customHeight="1">
      <c r="A7874" s="2">
        <v>2017.0</v>
      </c>
      <c r="B7874" s="2" t="s">
        <v>16442</v>
      </c>
      <c r="C7874" s="2" t="s">
        <v>33053</v>
      </c>
      <c r="D7874" s="2" t="str">
        <f>"(352)888-6175"</f>
        <v>(352)888-6175</v>
      </c>
      <c r="E7874" s="2" t="s">
        <v>20759</v>
      </c>
      <c r="F7874" s="2" t="s">
        <v>327</v>
      </c>
      <c r="G7874" s="2" t="str">
        <f>"SR-10732"</f>
        <v>SR-10732</v>
      </c>
      <c r="H7874" s="2" t="s">
        <v>33054</v>
      </c>
      <c r="I7874" s="2" t="s">
        <v>16445</v>
      </c>
      <c r="K7874" s="2" t="s">
        <v>16446</v>
      </c>
      <c r="L7874" s="2" t="s">
        <v>208</v>
      </c>
      <c r="M7874" s="2">
        <v>32666.0</v>
      </c>
      <c r="N7874" s="2" t="s">
        <v>21</v>
      </c>
    </row>
    <row r="7875" ht="15.75" customHeight="1">
      <c r="A7875" s="2">
        <v>2017.0</v>
      </c>
      <c r="B7875" s="2" t="s">
        <v>19383</v>
      </c>
      <c r="C7875" s="2" t="s">
        <v>19384</v>
      </c>
      <c r="D7875" s="2" t="str">
        <f>"4066961914"</f>
        <v>4066961914</v>
      </c>
      <c r="E7875" s="2" t="s">
        <v>15</v>
      </c>
      <c r="F7875" s="2" t="s">
        <v>2174</v>
      </c>
      <c r="G7875" s="2" t="str">
        <f>"SR-6006"</f>
        <v>SR-6006</v>
      </c>
      <c r="H7875" s="2" t="s">
        <v>19385</v>
      </c>
      <c r="I7875" s="2" t="s">
        <v>19386</v>
      </c>
      <c r="K7875" s="2" t="s">
        <v>3548</v>
      </c>
      <c r="L7875" s="2" t="s">
        <v>2696</v>
      </c>
      <c r="M7875" s="2">
        <v>59106.0</v>
      </c>
      <c r="N7875" s="2" t="s">
        <v>21</v>
      </c>
    </row>
    <row r="7876" ht="15.75" customHeight="1">
      <c r="A7876" s="2">
        <v>2017.0</v>
      </c>
      <c r="B7876" s="2" t="s">
        <v>33055</v>
      </c>
      <c r="C7876" s="2" t="s">
        <v>33056</v>
      </c>
      <c r="D7876" s="2" t="str">
        <f>"308-870-5226"</f>
        <v>308-870-5226</v>
      </c>
      <c r="E7876" s="2" t="s">
        <v>11981</v>
      </c>
      <c r="F7876" s="2" t="s">
        <v>33057</v>
      </c>
      <c r="G7876" s="2" t="str">
        <f>"SR-10763"</f>
        <v>SR-10763</v>
      </c>
      <c r="H7876" s="2" t="s">
        <v>33058</v>
      </c>
      <c r="I7876" s="2" t="s">
        <v>33059</v>
      </c>
      <c r="J7876" s="2" t="s">
        <v>33060</v>
      </c>
      <c r="K7876" s="2" t="s">
        <v>2735</v>
      </c>
      <c r="L7876" s="2" t="s">
        <v>757</v>
      </c>
      <c r="M7876" s="2">
        <v>68825.0</v>
      </c>
      <c r="N7876" s="2" t="s">
        <v>21</v>
      </c>
    </row>
    <row r="7877" ht="15.75" customHeight="1">
      <c r="A7877" s="2">
        <v>2017.0</v>
      </c>
      <c r="B7877" s="2" t="s">
        <v>33061</v>
      </c>
      <c r="C7877" s="2" t="s">
        <v>33062</v>
      </c>
      <c r="D7877" s="2" t="str">
        <f>"540-682-1341"</f>
        <v>540-682-1341</v>
      </c>
      <c r="E7877" s="2" t="s">
        <v>2988</v>
      </c>
      <c r="F7877" s="2" t="s">
        <v>33063</v>
      </c>
      <c r="G7877" s="2" t="str">
        <f>"SR-10757"</f>
        <v>SR-10757</v>
      </c>
      <c r="H7877" s="2" t="s">
        <v>33064</v>
      </c>
      <c r="I7877" s="2" t="s">
        <v>33065</v>
      </c>
      <c r="K7877" s="2" t="s">
        <v>5399</v>
      </c>
      <c r="L7877" s="2" t="s">
        <v>165</v>
      </c>
      <c r="M7877" s="2">
        <v>24523.0</v>
      </c>
      <c r="N7877" s="2" t="s">
        <v>21</v>
      </c>
    </row>
    <row r="7878" ht="15.75" customHeight="1">
      <c r="A7878" s="2">
        <v>2017.0</v>
      </c>
      <c r="B7878" s="2" t="s">
        <v>33066</v>
      </c>
      <c r="C7878" s="2" t="s">
        <v>33067</v>
      </c>
      <c r="D7878" s="2" t="str">
        <f>"406-207-7826"</f>
        <v>406-207-7826</v>
      </c>
      <c r="E7878" s="2" t="s">
        <v>24</v>
      </c>
      <c r="F7878" s="2" t="s">
        <v>9496</v>
      </c>
      <c r="G7878" s="2" t="str">
        <f>"SR-10769"</f>
        <v>SR-10769</v>
      </c>
      <c r="H7878" s="2" t="s">
        <v>33068</v>
      </c>
      <c r="I7878" s="2" t="s">
        <v>33069</v>
      </c>
      <c r="K7878" s="2" t="s">
        <v>1336</v>
      </c>
      <c r="L7878" s="2" t="s">
        <v>70</v>
      </c>
      <c r="M7878" s="2">
        <v>99669.0</v>
      </c>
      <c r="N7878" s="2" t="s">
        <v>21</v>
      </c>
    </row>
    <row r="7879" ht="15.75" customHeight="1">
      <c r="A7879" s="2">
        <v>2017.0</v>
      </c>
      <c r="B7879" s="2" t="s">
        <v>24607</v>
      </c>
      <c r="C7879" s="2" t="s">
        <v>24607</v>
      </c>
      <c r="D7879" s="2" t="str">
        <f>"8296054163"</f>
        <v>8296054163</v>
      </c>
      <c r="E7879" s="2" t="s">
        <v>24652</v>
      </c>
      <c r="F7879" s="2" t="s">
        <v>24653</v>
      </c>
      <c r="G7879" s="2" t="str">
        <f>"SR-7771"</f>
        <v>SR-7771</v>
      </c>
      <c r="H7879" s="2" t="s">
        <v>24654</v>
      </c>
      <c r="I7879" s="2" t="s">
        <v>24612</v>
      </c>
      <c r="J7879" s="2" t="s">
        <v>24655</v>
      </c>
      <c r="K7879" s="2" t="s">
        <v>24656</v>
      </c>
      <c r="L7879" s="2" t="s">
        <v>24657</v>
      </c>
      <c r="M7879" s="2">
        <v>0.0</v>
      </c>
      <c r="N7879" s="2" t="s">
        <v>24616</v>
      </c>
    </row>
    <row r="7880" ht="15.75" customHeight="1">
      <c r="A7880" s="2">
        <v>2017.0</v>
      </c>
      <c r="B7880" s="2" t="s">
        <v>24607</v>
      </c>
      <c r="C7880" s="2" t="s">
        <v>33070</v>
      </c>
      <c r="D7880" s="2" t="str">
        <f>"8094825407"</f>
        <v>8094825407</v>
      </c>
      <c r="E7880" s="2" t="s">
        <v>977</v>
      </c>
      <c r="F7880" s="2" t="s">
        <v>33071</v>
      </c>
      <c r="G7880" s="2" t="str">
        <f>"SR-10742"</f>
        <v>SR-10742</v>
      </c>
      <c r="H7880" s="2" t="s">
        <v>33072</v>
      </c>
      <c r="I7880" s="2" t="s">
        <v>24661</v>
      </c>
      <c r="K7880" s="2" t="s">
        <v>24614</v>
      </c>
      <c r="M7880" s="2">
        <v>0.0</v>
      </c>
      <c r="N7880" s="2" t="s">
        <v>24616</v>
      </c>
    </row>
    <row r="7881" ht="15.75" customHeight="1">
      <c r="A7881" s="2">
        <v>2017.0</v>
      </c>
      <c r="B7881" s="2" t="s">
        <v>25484</v>
      </c>
      <c r="C7881" s="2" t="s">
        <v>33073</v>
      </c>
      <c r="D7881" s="2" t="str">
        <f>"803-905-8068"</f>
        <v>803-905-8068</v>
      </c>
      <c r="E7881" s="2" t="s">
        <v>250</v>
      </c>
      <c r="F7881" s="2" t="s">
        <v>847</v>
      </c>
      <c r="G7881" s="2" t="str">
        <f>"SR-9921"</f>
        <v>SR-9921</v>
      </c>
      <c r="H7881" s="2" t="s">
        <v>33074</v>
      </c>
      <c r="I7881" s="2" t="s">
        <v>25487</v>
      </c>
      <c r="K7881" s="2" t="s">
        <v>25488</v>
      </c>
      <c r="L7881" s="2" t="s">
        <v>55</v>
      </c>
      <c r="M7881" s="2">
        <v>29150.0</v>
      </c>
      <c r="N7881" s="2" t="s">
        <v>21</v>
      </c>
    </row>
    <row r="7882" ht="15.75" customHeight="1">
      <c r="A7882" s="2">
        <v>2017.0</v>
      </c>
      <c r="B7882" s="2" t="s">
        <v>24607</v>
      </c>
      <c r="C7882" s="2" t="s">
        <v>24607</v>
      </c>
      <c r="D7882" s="2" t="str">
        <f>"8296054163"</f>
        <v>8296054163</v>
      </c>
      <c r="E7882" s="2" t="s">
        <v>33075</v>
      </c>
      <c r="F7882" s="2" t="s">
        <v>24610</v>
      </c>
      <c r="G7882" s="2" t="str">
        <f>"SR-10773"</f>
        <v>SR-10773</v>
      </c>
      <c r="H7882" s="2" t="s">
        <v>33076</v>
      </c>
      <c r="I7882" s="2" t="s">
        <v>24612</v>
      </c>
      <c r="K7882" s="2" t="s">
        <v>24614</v>
      </c>
      <c r="L7882" s="2" t="s">
        <v>208</v>
      </c>
      <c r="M7882" s="2">
        <v>0.0</v>
      </c>
      <c r="N7882" s="2" t="s">
        <v>24616</v>
      </c>
    </row>
    <row r="7883" ht="15.75" customHeight="1">
      <c r="A7883" s="2">
        <v>2017.0</v>
      </c>
      <c r="B7883" s="2" t="s">
        <v>33077</v>
      </c>
      <c r="C7883" s="2" t="s">
        <v>33077</v>
      </c>
      <c r="D7883" s="2" t="str">
        <f>"7082442403"</f>
        <v>7082442403</v>
      </c>
      <c r="E7883" s="2" t="s">
        <v>2841</v>
      </c>
      <c r="F7883" s="2" t="s">
        <v>33078</v>
      </c>
      <c r="G7883" s="2" t="str">
        <f>"SR-10771"</f>
        <v>SR-10771</v>
      </c>
      <c r="H7883" s="2" t="s">
        <v>33079</v>
      </c>
      <c r="I7883" s="2" t="s">
        <v>33080</v>
      </c>
      <c r="J7883" s="2" t="s">
        <v>33081</v>
      </c>
      <c r="K7883" s="2" t="s">
        <v>19397</v>
      </c>
      <c r="L7883" s="2" t="s">
        <v>105</v>
      </c>
      <c r="M7883" s="2">
        <v>60513.0</v>
      </c>
      <c r="N7883" s="2" t="s">
        <v>21</v>
      </c>
    </row>
    <row r="7884" ht="15.75" customHeight="1">
      <c r="A7884" s="2">
        <v>2017.0</v>
      </c>
      <c r="B7884" s="2" t="s">
        <v>33082</v>
      </c>
      <c r="C7884" s="2" t="s">
        <v>33082</v>
      </c>
      <c r="D7884" s="2" t="str">
        <f>"7086981318"</f>
        <v>7086981318</v>
      </c>
      <c r="E7884" s="2" t="s">
        <v>13842</v>
      </c>
      <c r="F7884" s="2" t="s">
        <v>33083</v>
      </c>
      <c r="G7884" s="2" t="str">
        <f>"SR-10772"</f>
        <v>SR-10772</v>
      </c>
      <c r="H7884" s="2" t="s">
        <v>33084</v>
      </c>
      <c r="I7884" s="2" t="s">
        <v>33085</v>
      </c>
      <c r="K7884" s="2" t="s">
        <v>33086</v>
      </c>
      <c r="L7884" s="2" t="s">
        <v>105</v>
      </c>
      <c r="M7884" s="2">
        <v>60534.0</v>
      </c>
      <c r="N7884" s="2" t="s">
        <v>21</v>
      </c>
    </row>
    <row r="7885" ht="15.75" customHeight="1">
      <c r="A7885" s="2">
        <v>2017.0</v>
      </c>
      <c r="B7885" s="2" t="s">
        <v>24607</v>
      </c>
      <c r="C7885" s="2" t="s">
        <v>24821</v>
      </c>
      <c r="D7885" s="2" t="str">
        <f>"8094825407"</f>
        <v>8094825407</v>
      </c>
      <c r="E7885" s="2" t="s">
        <v>17850</v>
      </c>
      <c r="F7885" s="2" t="s">
        <v>24822</v>
      </c>
      <c r="G7885" s="2" t="str">
        <f>"SR-7775"</f>
        <v>SR-7775</v>
      </c>
      <c r="H7885" s="2" t="s">
        <v>24823</v>
      </c>
      <c r="I7885" s="2" t="s">
        <v>24661</v>
      </c>
      <c r="K7885" s="2" t="s">
        <v>24614</v>
      </c>
      <c r="M7885" s="2">
        <v>0.0</v>
      </c>
      <c r="N7885" s="2" t="s">
        <v>24616</v>
      </c>
    </row>
    <row r="7886" ht="15.75" customHeight="1">
      <c r="A7886" s="2">
        <v>2017.0</v>
      </c>
      <c r="B7886" s="2" t="s">
        <v>26792</v>
      </c>
      <c r="C7886" s="2" t="s">
        <v>33087</v>
      </c>
      <c r="D7886" s="2" t="str">
        <f>"525647951"</f>
        <v>525647951</v>
      </c>
      <c r="E7886" s="2" t="s">
        <v>33088</v>
      </c>
      <c r="F7886" s="2" t="s">
        <v>26794</v>
      </c>
      <c r="G7886" s="2" t="str">
        <f>"SR-10721"</f>
        <v>SR-10721</v>
      </c>
      <c r="H7886" s="2" t="s">
        <v>33089</v>
      </c>
      <c r="I7886" s="2" t="s">
        <v>33090</v>
      </c>
      <c r="K7886" s="2" t="s">
        <v>809</v>
      </c>
      <c r="L7886" s="2" t="s">
        <v>157</v>
      </c>
      <c r="M7886" s="2">
        <v>80920.0</v>
      </c>
      <c r="N7886" s="2" t="s">
        <v>21</v>
      </c>
    </row>
    <row r="7887" ht="15.75" customHeight="1">
      <c r="A7887" s="2">
        <v>2017.0</v>
      </c>
      <c r="B7887" s="2" t="s">
        <v>33091</v>
      </c>
      <c r="C7887" s="2" t="s">
        <v>33092</v>
      </c>
      <c r="D7887" s="2" t="str">
        <f>"9707448091"</f>
        <v>9707448091</v>
      </c>
      <c r="E7887" s="2" t="s">
        <v>8316</v>
      </c>
      <c r="F7887" s="2" t="s">
        <v>1477</v>
      </c>
      <c r="G7887" s="2" t="str">
        <f>"SR-10775"</f>
        <v>SR-10775</v>
      </c>
      <c r="H7887" s="2" t="s">
        <v>33093</v>
      </c>
      <c r="I7887" s="2" t="s">
        <v>33094</v>
      </c>
      <c r="K7887" s="2" t="s">
        <v>1480</v>
      </c>
      <c r="L7887" s="2" t="s">
        <v>157</v>
      </c>
      <c r="M7887" s="2">
        <v>80534.0</v>
      </c>
      <c r="N7887" s="2" t="s">
        <v>21</v>
      </c>
    </row>
    <row r="7888" ht="15.75" customHeight="1">
      <c r="A7888" s="2">
        <v>2017.0</v>
      </c>
      <c r="B7888" s="2" t="s">
        <v>33095</v>
      </c>
      <c r="C7888" s="2" t="s">
        <v>33096</v>
      </c>
      <c r="D7888" s="2" t="str">
        <f>"8178749632"</f>
        <v>8178749632</v>
      </c>
      <c r="E7888" s="2" t="s">
        <v>33097</v>
      </c>
      <c r="F7888" s="2" t="s">
        <v>16920</v>
      </c>
      <c r="G7888" s="2" t="str">
        <f>"SR-10746"</f>
        <v>SR-10746</v>
      </c>
      <c r="H7888" s="2" t="s">
        <v>33098</v>
      </c>
      <c r="I7888" s="2" t="s">
        <v>33099</v>
      </c>
      <c r="K7888" s="2" t="s">
        <v>1260</v>
      </c>
      <c r="L7888" s="2" t="s">
        <v>172</v>
      </c>
      <c r="M7888" s="2">
        <v>76137.0</v>
      </c>
      <c r="N7888" s="2" t="s">
        <v>21</v>
      </c>
    </row>
    <row r="7889" ht="15.75" customHeight="1">
      <c r="A7889" s="2">
        <v>2017.0</v>
      </c>
      <c r="B7889" s="2" t="s">
        <v>33100</v>
      </c>
      <c r="C7889" s="2" t="s">
        <v>33101</v>
      </c>
      <c r="D7889" s="2" t="str">
        <f>"9513309881"</f>
        <v>9513309881</v>
      </c>
      <c r="E7889" s="2" t="s">
        <v>843</v>
      </c>
      <c r="F7889" s="2" t="s">
        <v>18199</v>
      </c>
      <c r="G7889" s="2" t="str">
        <f>"SR-10758"</f>
        <v>SR-10758</v>
      </c>
      <c r="H7889" s="2" t="s">
        <v>33102</v>
      </c>
      <c r="I7889" s="2" t="s">
        <v>33103</v>
      </c>
      <c r="K7889" s="2" t="s">
        <v>21097</v>
      </c>
      <c r="L7889" s="2" t="s">
        <v>222</v>
      </c>
      <c r="M7889" s="2">
        <v>92544.0</v>
      </c>
      <c r="N7889" s="2" t="s">
        <v>21</v>
      </c>
    </row>
    <row r="7890" ht="15.75" customHeight="1">
      <c r="A7890" s="2">
        <v>2017.0</v>
      </c>
      <c r="B7890" s="2" t="s">
        <v>33104</v>
      </c>
      <c r="C7890" s="2" t="s">
        <v>33104</v>
      </c>
      <c r="D7890" s="2" t="str">
        <f>"6264274253"</f>
        <v>6264274253</v>
      </c>
      <c r="E7890" s="2" t="s">
        <v>33105</v>
      </c>
      <c r="F7890" s="2" t="s">
        <v>33106</v>
      </c>
      <c r="G7890" s="2" t="str">
        <f>"SR-10588"</f>
        <v>SR-10588</v>
      </c>
      <c r="H7890" s="2" t="s">
        <v>33107</v>
      </c>
      <c r="I7890" s="2" t="s">
        <v>33108</v>
      </c>
      <c r="J7890" s="2" t="s">
        <v>33109</v>
      </c>
      <c r="K7890" s="2" t="s">
        <v>17891</v>
      </c>
      <c r="L7890" s="2" t="s">
        <v>222</v>
      </c>
      <c r="M7890" s="2">
        <v>90604.0</v>
      </c>
      <c r="N7890" s="2" t="s">
        <v>21</v>
      </c>
    </row>
    <row r="7891" ht="15.75" customHeight="1">
      <c r="A7891" s="2">
        <v>2017.0</v>
      </c>
      <c r="B7891" s="2" t="s">
        <v>24186</v>
      </c>
      <c r="C7891" s="2" t="s">
        <v>24187</v>
      </c>
      <c r="D7891" s="2" t="str">
        <f>"3607108861"</f>
        <v>3607108861</v>
      </c>
      <c r="E7891" s="2" t="s">
        <v>1585</v>
      </c>
      <c r="F7891" s="2" t="s">
        <v>24188</v>
      </c>
      <c r="G7891" s="2" t="str">
        <f>"SR-6950"</f>
        <v>SR-6950</v>
      </c>
      <c r="H7891" s="2" t="s">
        <v>24189</v>
      </c>
      <c r="I7891" s="2" t="s">
        <v>24190</v>
      </c>
      <c r="K7891" s="2" t="s">
        <v>3823</v>
      </c>
      <c r="L7891" s="2" t="s">
        <v>222</v>
      </c>
      <c r="M7891" s="2">
        <v>94534.0</v>
      </c>
      <c r="N7891" s="2" t="s">
        <v>21</v>
      </c>
    </row>
    <row r="7892" ht="15.75" customHeight="1">
      <c r="A7892" s="2">
        <v>2017.0</v>
      </c>
      <c r="B7892" s="2" t="s">
        <v>33110</v>
      </c>
      <c r="C7892" s="2" t="s">
        <v>33111</v>
      </c>
      <c r="D7892" s="2" t="str">
        <f>"5869439462"</f>
        <v>5869439462</v>
      </c>
      <c r="E7892" s="2" t="s">
        <v>938</v>
      </c>
      <c r="F7892" s="2" t="s">
        <v>33112</v>
      </c>
      <c r="G7892" s="2" t="str">
        <f>"SR-10752"</f>
        <v>SR-10752</v>
      </c>
      <c r="H7892" s="2" t="s">
        <v>33113</v>
      </c>
      <c r="I7892" s="2" t="s">
        <v>33114</v>
      </c>
      <c r="K7892" s="2" t="s">
        <v>27027</v>
      </c>
      <c r="L7892" s="2" t="s">
        <v>29</v>
      </c>
      <c r="M7892" s="2">
        <v>48327.0</v>
      </c>
      <c r="N7892" s="2" t="s">
        <v>21</v>
      </c>
    </row>
    <row r="7893" ht="15.75" customHeight="1">
      <c r="A7893" s="2">
        <v>2017.0</v>
      </c>
      <c r="B7893" s="2" t="s">
        <v>33115</v>
      </c>
      <c r="C7893" s="2" t="s">
        <v>25485</v>
      </c>
      <c r="D7893" s="2" t="str">
        <f>"423-432-0994"</f>
        <v>423-432-0994</v>
      </c>
      <c r="E7893" s="2" t="s">
        <v>10487</v>
      </c>
      <c r="F7893" s="2" t="s">
        <v>33116</v>
      </c>
      <c r="G7893" s="2" t="str">
        <f>"SR-10780"</f>
        <v>SR-10780</v>
      </c>
      <c r="H7893" s="2" t="s">
        <v>33117</v>
      </c>
      <c r="I7893" s="2" t="s">
        <v>33118</v>
      </c>
      <c r="K7893" s="2" t="s">
        <v>3975</v>
      </c>
      <c r="L7893" s="2" t="s">
        <v>279</v>
      </c>
      <c r="M7893" s="2">
        <v>37409.0</v>
      </c>
      <c r="N7893" s="2" t="s">
        <v>21</v>
      </c>
    </row>
    <row r="7894" ht="15.75" customHeight="1">
      <c r="A7894" s="2">
        <v>2017.0</v>
      </c>
      <c r="B7894" s="2" t="s">
        <v>33119</v>
      </c>
      <c r="C7894" s="2" t="s">
        <v>33120</v>
      </c>
      <c r="D7894" s="2" t="str">
        <f>"9515264138"</f>
        <v>9515264138</v>
      </c>
      <c r="E7894" s="2" t="s">
        <v>15415</v>
      </c>
      <c r="F7894" s="2" t="s">
        <v>15274</v>
      </c>
      <c r="G7894" s="2" t="str">
        <f>"SR-10781"</f>
        <v>SR-10781</v>
      </c>
      <c r="H7894" s="2" t="s">
        <v>33121</v>
      </c>
      <c r="I7894" s="2" t="s">
        <v>33122</v>
      </c>
      <c r="K7894" s="2" t="s">
        <v>33123</v>
      </c>
      <c r="L7894" s="2" t="s">
        <v>222</v>
      </c>
      <c r="M7894" s="2">
        <v>92536.0</v>
      </c>
      <c r="N7894" s="2" t="s">
        <v>21</v>
      </c>
    </row>
    <row r="7895" ht="15.75" customHeight="1">
      <c r="A7895" s="2">
        <v>2017.0</v>
      </c>
      <c r="B7895" s="2" t="s">
        <v>24607</v>
      </c>
      <c r="C7895" s="2" t="s">
        <v>24607</v>
      </c>
      <c r="D7895" s="2" t="str">
        <f>"8094825407"</f>
        <v>8094825407</v>
      </c>
      <c r="E7895" s="2" t="s">
        <v>33124</v>
      </c>
      <c r="F7895" s="2" t="s">
        <v>128</v>
      </c>
      <c r="G7895" s="2" t="str">
        <f>"SR-10782"</f>
        <v>SR-10782</v>
      </c>
      <c r="H7895" s="2" t="s">
        <v>33125</v>
      </c>
      <c r="I7895" s="2" t="s">
        <v>24661</v>
      </c>
      <c r="K7895" s="2" t="s">
        <v>24614</v>
      </c>
      <c r="M7895" s="2">
        <v>0.0</v>
      </c>
      <c r="N7895" s="2" t="s">
        <v>24616</v>
      </c>
    </row>
    <row r="7896" ht="15.75" customHeight="1">
      <c r="A7896" s="2">
        <v>2017.0</v>
      </c>
      <c r="B7896" s="2" t="s">
        <v>33126</v>
      </c>
      <c r="C7896" s="2" t="s">
        <v>33127</v>
      </c>
      <c r="D7896" s="2" t="str">
        <f>"859-553-3262"</f>
        <v>859-553-3262</v>
      </c>
      <c r="E7896" s="2" t="s">
        <v>29717</v>
      </c>
      <c r="F7896" s="2" t="s">
        <v>33128</v>
      </c>
      <c r="G7896" s="2" t="str">
        <f>"SR-10779"</f>
        <v>SR-10779</v>
      </c>
      <c r="H7896" s="2" t="s">
        <v>33129</v>
      </c>
      <c r="I7896" s="2" t="s">
        <v>33130</v>
      </c>
      <c r="K7896" s="2" t="s">
        <v>27749</v>
      </c>
      <c r="L7896" s="2" t="s">
        <v>208</v>
      </c>
      <c r="M7896" s="2">
        <v>32579.0</v>
      </c>
      <c r="N7896" s="2" t="s">
        <v>21</v>
      </c>
    </row>
    <row r="7897" ht="15.75" customHeight="1">
      <c r="A7897" s="2">
        <v>2017.0</v>
      </c>
      <c r="B7897" s="2" t="s">
        <v>33131</v>
      </c>
      <c r="C7897" s="2" t="s">
        <v>33131</v>
      </c>
      <c r="D7897" s="2" t="str">
        <f>"3362666166"</f>
        <v>3362666166</v>
      </c>
      <c r="E7897" s="2" t="s">
        <v>922</v>
      </c>
      <c r="F7897" s="2" t="s">
        <v>1240</v>
      </c>
      <c r="G7897" s="2" t="str">
        <f>"SR-10786"</f>
        <v>SR-10786</v>
      </c>
      <c r="H7897" s="2" t="s">
        <v>33132</v>
      </c>
      <c r="I7897" s="2" t="s">
        <v>33133</v>
      </c>
      <c r="K7897" s="2" t="s">
        <v>1243</v>
      </c>
      <c r="L7897" s="2" t="s">
        <v>20</v>
      </c>
      <c r="M7897" s="2">
        <v>27253.0</v>
      </c>
      <c r="N7897" s="2" t="s">
        <v>21</v>
      </c>
    </row>
    <row r="7898" ht="15.75" customHeight="1">
      <c r="A7898" s="2">
        <v>2017.0</v>
      </c>
      <c r="B7898" s="2" t="s">
        <v>33134</v>
      </c>
      <c r="C7898" s="2" t="s">
        <v>33135</v>
      </c>
      <c r="D7898" s="2" t="str">
        <f>"6614354103"</f>
        <v>6614354103</v>
      </c>
      <c r="E7898" s="2" t="s">
        <v>1387</v>
      </c>
      <c r="F7898" s="2" t="s">
        <v>33136</v>
      </c>
      <c r="G7898" s="2" t="str">
        <f>"SR-10784"</f>
        <v>SR-10784</v>
      </c>
      <c r="H7898" s="2" t="s">
        <v>33137</v>
      </c>
      <c r="I7898" s="2" t="s">
        <v>33138</v>
      </c>
      <c r="K7898" s="2" t="s">
        <v>33139</v>
      </c>
      <c r="L7898" s="2" t="s">
        <v>222</v>
      </c>
      <c r="M7898" s="2">
        <v>93536.0</v>
      </c>
      <c r="N7898" s="2" t="s">
        <v>21</v>
      </c>
    </row>
    <row r="7899" ht="15.75" customHeight="1">
      <c r="A7899" s="2">
        <v>2017.0</v>
      </c>
      <c r="B7899" s="2" t="s">
        <v>33140</v>
      </c>
      <c r="C7899" s="2" t="s">
        <v>33141</v>
      </c>
      <c r="D7899" s="2" t="str">
        <f>"4053410918"</f>
        <v>4053410918</v>
      </c>
      <c r="E7899" s="2" t="s">
        <v>7145</v>
      </c>
      <c r="F7899" s="2" t="s">
        <v>33142</v>
      </c>
      <c r="G7899" s="2" t="str">
        <f>"SR-9818"</f>
        <v>SR-9818</v>
      </c>
      <c r="H7899" s="2" t="s">
        <v>33143</v>
      </c>
      <c r="I7899" s="2" t="s">
        <v>33144</v>
      </c>
      <c r="K7899" s="2" t="s">
        <v>1546</v>
      </c>
      <c r="L7899" s="2" t="s">
        <v>840</v>
      </c>
      <c r="M7899" s="2">
        <v>73034.0</v>
      </c>
      <c r="N7899" s="2" t="s">
        <v>21</v>
      </c>
    </row>
    <row r="7900" ht="15.75" customHeight="1">
      <c r="A7900" s="2">
        <v>2017.0</v>
      </c>
      <c r="B7900" s="2" t="s">
        <v>33145</v>
      </c>
      <c r="C7900" s="2" t="s">
        <v>33145</v>
      </c>
      <c r="D7900" s="2" t="str">
        <f>"7656373497"</f>
        <v>7656373497</v>
      </c>
      <c r="E7900" s="2" t="s">
        <v>404</v>
      </c>
      <c r="F7900" s="2" t="s">
        <v>17856</v>
      </c>
      <c r="G7900" s="2" t="str">
        <f>"SR-10051"</f>
        <v>SR-10051</v>
      </c>
      <c r="H7900" s="2" t="s">
        <v>33146</v>
      </c>
      <c r="I7900" s="2" t="s">
        <v>33147</v>
      </c>
      <c r="K7900" s="2" t="s">
        <v>1178</v>
      </c>
      <c r="L7900" s="2" t="s">
        <v>149</v>
      </c>
      <c r="M7900" s="2">
        <v>47905.0</v>
      </c>
      <c r="N7900" s="2" t="s">
        <v>21</v>
      </c>
    </row>
    <row r="7901" ht="15.75" customHeight="1">
      <c r="A7901" s="2">
        <v>2017.0</v>
      </c>
      <c r="B7901" s="2" t="s">
        <v>33148</v>
      </c>
      <c r="C7901" s="2" t="s">
        <v>33148</v>
      </c>
      <c r="D7901" s="2" t="str">
        <f>"2812359562"</f>
        <v>2812359562</v>
      </c>
      <c r="E7901" s="2" t="s">
        <v>339</v>
      </c>
      <c r="F7901" s="2" t="s">
        <v>9398</v>
      </c>
      <c r="G7901" s="2" t="str">
        <f>"SR-10486"</f>
        <v>SR-10486</v>
      </c>
      <c r="H7901" s="2" t="s">
        <v>33149</v>
      </c>
      <c r="I7901" s="2" t="s">
        <v>33150</v>
      </c>
      <c r="K7901" s="2" t="s">
        <v>9334</v>
      </c>
      <c r="L7901" s="2" t="s">
        <v>165</v>
      </c>
      <c r="M7901" s="2">
        <v>22030.0</v>
      </c>
      <c r="N7901" s="2" t="s">
        <v>21</v>
      </c>
    </row>
    <row r="7902" ht="15.75" customHeight="1">
      <c r="A7902" s="2">
        <v>2017.0</v>
      </c>
      <c r="B7902" s="2" t="s">
        <v>19904</v>
      </c>
      <c r="C7902" s="2" t="s">
        <v>26169</v>
      </c>
      <c r="D7902" s="2" t="str">
        <f>"2085594007"</f>
        <v>2085594007</v>
      </c>
      <c r="E7902" s="2" t="s">
        <v>6202</v>
      </c>
      <c r="F7902" s="2" t="s">
        <v>5911</v>
      </c>
      <c r="G7902" s="2" t="str">
        <f>"SR-7912"</f>
        <v>SR-7912</v>
      </c>
      <c r="H7902" s="2" t="s">
        <v>26170</v>
      </c>
      <c r="I7902" s="2" t="s">
        <v>26171</v>
      </c>
      <c r="K7902" s="2" t="s">
        <v>10703</v>
      </c>
      <c r="L7902" s="2" t="s">
        <v>2613</v>
      </c>
      <c r="M7902" s="2">
        <v>83686.0</v>
      </c>
      <c r="N7902" s="2" t="s">
        <v>21</v>
      </c>
    </row>
    <row r="7903" ht="15.75" customHeight="1">
      <c r="A7903" s="2">
        <v>2017.0</v>
      </c>
      <c r="B7903" s="2" t="s">
        <v>33151</v>
      </c>
      <c r="C7903" s="2" t="s">
        <v>33152</v>
      </c>
      <c r="D7903" s="2" t="str">
        <f>"760-771-7118"</f>
        <v>760-771-7118</v>
      </c>
      <c r="E7903" s="2" t="s">
        <v>33153</v>
      </c>
      <c r="F7903" s="2" t="s">
        <v>33154</v>
      </c>
      <c r="G7903" s="2" t="str">
        <f>"SR-10614"</f>
        <v>SR-10614</v>
      </c>
      <c r="H7903" s="2" t="s">
        <v>33155</v>
      </c>
      <c r="I7903" s="2" t="s">
        <v>33156</v>
      </c>
      <c r="K7903" s="2" t="s">
        <v>33157</v>
      </c>
      <c r="L7903" s="2" t="s">
        <v>222</v>
      </c>
      <c r="M7903" s="2">
        <v>92203.0</v>
      </c>
      <c r="N7903" s="2" t="s">
        <v>21</v>
      </c>
    </row>
    <row r="7904" ht="15.75" customHeight="1">
      <c r="A7904" s="2">
        <v>2017.0</v>
      </c>
      <c r="B7904" s="2" t="s">
        <v>33158</v>
      </c>
      <c r="C7904" s="2" t="s">
        <v>33158</v>
      </c>
      <c r="D7904" s="2" t="str">
        <f>"727-518-5495"</f>
        <v>727-518-5495</v>
      </c>
      <c r="E7904" s="2" t="s">
        <v>33159</v>
      </c>
      <c r="F7904" s="2" t="s">
        <v>33160</v>
      </c>
      <c r="G7904" s="2" t="str">
        <f>"SR-10372"</f>
        <v>SR-10372</v>
      </c>
      <c r="H7904" s="2" t="s">
        <v>33161</v>
      </c>
      <c r="I7904" s="2" t="s">
        <v>33162</v>
      </c>
      <c r="K7904" s="2" t="s">
        <v>414</v>
      </c>
      <c r="L7904" s="2" t="s">
        <v>208</v>
      </c>
      <c r="M7904" s="2">
        <v>33778.0</v>
      </c>
      <c r="N7904" s="2" t="s">
        <v>21</v>
      </c>
    </row>
    <row r="7905" ht="15.75" customHeight="1">
      <c r="A7905" s="2">
        <v>2017.0</v>
      </c>
      <c r="B7905" s="2" t="s">
        <v>33163</v>
      </c>
      <c r="C7905" s="2" t="s">
        <v>33163</v>
      </c>
      <c r="D7905" s="2" t="str">
        <f>"8639910906"</f>
        <v>8639910906</v>
      </c>
      <c r="E7905" s="2" t="s">
        <v>1164</v>
      </c>
      <c r="F7905" s="2" t="s">
        <v>33164</v>
      </c>
      <c r="G7905" s="2" t="str">
        <f>"SR-10723"</f>
        <v>SR-10723</v>
      </c>
      <c r="H7905" s="2" t="s">
        <v>33165</v>
      </c>
      <c r="I7905" s="2" t="s">
        <v>33166</v>
      </c>
      <c r="K7905" s="2" t="s">
        <v>26300</v>
      </c>
      <c r="L7905" s="2" t="s">
        <v>208</v>
      </c>
      <c r="M7905" s="2">
        <v>33852.0</v>
      </c>
      <c r="N7905" s="2" t="s">
        <v>21</v>
      </c>
    </row>
    <row r="7906" ht="15.75" customHeight="1">
      <c r="A7906" s="2">
        <v>2017.0</v>
      </c>
      <c r="B7906" s="2" t="s">
        <v>33167</v>
      </c>
      <c r="C7906" s="2" t="s">
        <v>33168</v>
      </c>
      <c r="D7906" s="2" t="str">
        <f>"229-733-0686"</f>
        <v>229-733-0686</v>
      </c>
      <c r="E7906" s="2" t="s">
        <v>3878</v>
      </c>
      <c r="F7906" s="2" t="s">
        <v>256</v>
      </c>
      <c r="G7906" s="2" t="str">
        <f>"SR-10793"</f>
        <v>SR-10793</v>
      </c>
      <c r="H7906" s="2" t="s">
        <v>33169</v>
      </c>
      <c r="I7906" s="2" t="s">
        <v>33170</v>
      </c>
      <c r="K7906" s="2" t="s">
        <v>809</v>
      </c>
      <c r="L7906" s="2" t="s">
        <v>157</v>
      </c>
      <c r="M7906" s="2">
        <v>80919.0</v>
      </c>
      <c r="N7906" s="2" t="s">
        <v>21</v>
      </c>
    </row>
    <row r="7907" ht="15.75" customHeight="1">
      <c r="A7907" s="2">
        <v>2017.0</v>
      </c>
      <c r="B7907" s="2" t="s">
        <v>30081</v>
      </c>
      <c r="C7907" s="2" t="s">
        <v>33171</v>
      </c>
      <c r="D7907" s="2" t="str">
        <f>"936-219-4787"</f>
        <v>936-219-4787</v>
      </c>
      <c r="E7907" s="2" t="s">
        <v>33172</v>
      </c>
      <c r="F7907" s="2" t="s">
        <v>30083</v>
      </c>
      <c r="G7907" s="2" t="str">
        <f>"SR-10707"</f>
        <v>SR-10707</v>
      </c>
      <c r="H7907" s="2" t="s">
        <v>33173</v>
      </c>
      <c r="I7907" s="2" t="s">
        <v>30085</v>
      </c>
      <c r="K7907" s="2" t="s">
        <v>7113</v>
      </c>
      <c r="L7907" s="2" t="s">
        <v>172</v>
      </c>
      <c r="M7907" s="2">
        <v>75904.0</v>
      </c>
      <c r="N7907" s="2" t="s">
        <v>21</v>
      </c>
    </row>
    <row r="7908" ht="15.75" customHeight="1">
      <c r="A7908" s="2">
        <v>2017.0</v>
      </c>
      <c r="B7908" s="2" t="s">
        <v>33174</v>
      </c>
      <c r="C7908" s="2" t="s">
        <v>33175</v>
      </c>
      <c r="D7908" s="2" t="str">
        <f>"208-819-1998"</f>
        <v>208-819-1998</v>
      </c>
      <c r="E7908" s="2" t="s">
        <v>301</v>
      </c>
      <c r="F7908" s="2" t="s">
        <v>33176</v>
      </c>
      <c r="G7908" s="2" t="str">
        <f>"SR-9888"</f>
        <v>SR-9888</v>
      </c>
      <c r="H7908" s="2" t="s">
        <v>33177</v>
      </c>
      <c r="I7908" s="2" t="s">
        <v>33178</v>
      </c>
      <c r="K7908" s="2" t="s">
        <v>33179</v>
      </c>
      <c r="L7908" s="2" t="s">
        <v>2613</v>
      </c>
      <c r="M7908" s="2">
        <v>83858.0</v>
      </c>
      <c r="N7908" s="2" t="s">
        <v>21</v>
      </c>
    </row>
    <row r="7909" ht="15.75" customHeight="1">
      <c r="A7909" s="2">
        <v>2017.0</v>
      </c>
      <c r="B7909" s="2" t="s">
        <v>33180</v>
      </c>
      <c r="C7909" s="2" t="s">
        <v>33181</v>
      </c>
      <c r="D7909" s="2" t="str">
        <f>"4026718663"</f>
        <v>4026718663</v>
      </c>
      <c r="E7909" s="2" t="s">
        <v>225</v>
      </c>
      <c r="F7909" s="2" t="s">
        <v>1151</v>
      </c>
      <c r="G7909" s="2" t="str">
        <f>"SR-10671"</f>
        <v>SR-10671</v>
      </c>
      <c r="H7909" s="2" t="s">
        <v>33182</v>
      </c>
      <c r="I7909" s="2" t="s">
        <v>33183</v>
      </c>
      <c r="K7909" s="2" t="s">
        <v>1470</v>
      </c>
      <c r="L7909" s="2" t="s">
        <v>757</v>
      </c>
      <c r="M7909" s="2">
        <v>68131.0</v>
      </c>
      <c r="N7909" s="2" t="s">
        <v>21</v>
      </c>
    </row>
    <row r="7910" ht="15.75" customHeight="1">
      <c r="A7910" s="2">
        <v>2017.0</v>
      </c>
      <c r="B7910" s="2" t="s">
        <v>33184</v>
      </c>
      <c r="C7910" s="2" t="s">
        <v>33185</v>
      </c>
      <c r="D7910" s="2" t="str">
        <f>"(615)-972-8154"</f>
        <v>(615)-972-8154</v>
      </c>
      <c r="E7910" s="2" t="s">
        <v>33186</v>
      </c>
      <c r="F7910" s="2" t="s">
        <v>13200</v>
      </c>
      <c r="G7910" s="2" t="str">
        <f>"SR-9970"</f>
        <v>SR-9970</v>
      </c>
      <c r="H7910" s="2" t="s">
        <v>33187</v>
      </c>
      <c r="I7910" s="2" t="s">
        <v>33188</v>
      </c>
      <c r="K7910" s="2" t="s">
        <v>33189</v>
      </c>
      <c r="L7910" s="2" t="s">
        <v>279</v>
      </c>
      <c r="M7910" s="2">
        <v>37143.0</v>
      </c>
      <c r="N7910" s="2" t="s">
        <v>21</v>
      </c>
    </row>
    <row r="7911" ht="15.75" customHeight="1">
      <c r="A7911" s="2">
        <v>2017.0</v>
      </c>
      <c r="B7911" s="2" t="s">
        <v>33190</v>
      </c>
      <c r="C7911" s="2" t="s">
        <v>33191</v>
      </c>
      <c r="D7911" s="2" t="str">
        <f>"763-482-0572"</f>
        <v>763-482-0572</v>
      </c>
      <c r="E7911" s="2" t="s">
        <v>203</v>
      </c>
      <c r="F7911" s="2" t="s">
        <v>33192</v>
      </c>
      <c r="G7911" s="2" t="str">
        <f>"SR-10798"</f>
        <v>SR-10798</v>
      </c>
      <c r="H7911" s="2" t="s">
        <v>33193</v>
      </c>
      <c r="I7911" s="2" t="s">
        <v>33194</v>
      </c>
      <c r="K7911" s="2" t="s">
        <v>3730</v>
      </c>
      <c r="L7911" s="2" t="s">
        <v>62</v>
      </c>
      <c r="M7911" s="2">
        <v>55371.0</v>
      </c>
      <c r="N7911" s="2" t="s">
        <v>21</v>
      </c>
    </row>
    <row r="7912" ht="15.75" customHeight="1">
      <c r="A7912" s="2">
        <v>2017.0</v>
      </c>
      <c r="B7912" s="2" t="s">
        <v>33195</v>
      </c>
      <c r="C7912" s="2" t="s">
        <v>33195</v>
      </c>
      <c r="D7912" s="2" t="str">
        <f>"774-258-8525"</f>
        <v>774-258-8525</v>
      </c>
      <c r="E7912" s="2" t="s">
        <v>2361</v>
      </c>
      <c r="F7912" s="2" t="s">
        <v>28594</v>
      </c>
      <c r="G7912" s="2" t="str">
        <f>"SR-10800"</f>
        <v>SR-10800</v>
      </c>
      <c r="H7912" s="2" t="s">
        <v>33196</v>
      </c>
      <c r="I7912" s="2" t="s">
        <v>33197</v>
      </c>
      <c r="K7912" s="2" t="s">
        <v>33198</v>
      </c>
      <c r="L7912" s="2" t="s">
        <v>4108</v>
      </c>
      <c r="M7912" s="2">
        <v>1532.0</v>
      </c>
      <c r="N7912" s="2" t="s">
        <v>21</v>
      </c>
    </row>
    <row r="7913" ht="15.75" customHeight="1">
      <c r="A7913" s="2">
        <v>2017.0</v>
      </c>
      <c r="B7913" s="2" t="s">
        <v>33199</v>
      </c>
      <c r="C7913" s="2" t="s">
        <v>33199</v>
      </c>
      <c r="D7913" s="2" t="str">
        <f>"9366356238"</f>
        <v>9366356238</v>
      </c>
      <c r="E7913" s="2" t="s">
        <v>843</v>
      </c>
      <c r="F7913" s="2" t="s">
        <v>33200</v>
      </c>
      <c r="G7913" s="2" t="str">
        <f>"SR-10189"</f>
        <v>SR-10189</v>
      </c>
      <c r="H7913" s="2" t="s">
        <v>33201</v>
      </c>
      <c r="I7913" s="2" t="s">
        <v>33202</v>
      </c>
      <c r="K7913" s="2" t="s">
        <v>7113</v>
      </c>
      <c r="L7913" s="2" t="s">
        <v>172</v>
      </c>
      <c r="M7913" s="2">
        <v>75915.0</v>
      </c>
      <c r="N7913" s="2" t="s">
        <v>21</v>
      </c>
    </row>
    <row r="7914" ht="15.75" customHeight="1">
      <c r="A7914" s="2">
        <v>2017.0</v>
      </c>
      <c r="B7914" s="2" t="s">
        <v>33203</v>
      </c>
      <c r="C7914" s="2" t="s">
        <v>33204</v>
      </c>
      <c r="D7914" s="2" t="str">
        <f>"605 295-1785"</f>
        <v>605 295-1785</v>
      </c>
      <c r="E7914" s="2" t="s">
        <v>16187</v>
      </c>
      <c r="F7914" s="2" t="s">
        <v>457</v>
      </c>
      <c r="G7914" s="2" t="str">
        <f>"SR-10768"</f>
        <v>SR-10768</v>
      </c>
      <c r="H7914" s="2" t="s">
        <v>33205</v>
      </c>
      <c r="I7914" s="2" t="s">
        <v>33206</v>
      </c>
      <c r="K7914" s="2" t="s">
        <v>4355</v>
      </c>
      <c r="L7914" s="2" t="s">
        <v>920</v>
      </c>
      <c r="M7914" s="2">
        <v>57501.0</v>
      </c>
      <c r="N7914" s="2" t="s">
        <v>21</v>
      </c>
    </row>
    <row r="7915" ht="15.75" customHeight="1">
      <c r="A7915" s="2">
        <v>2017.0</v>
      </c>
      <c r="B7915" s="2" t="s">
        <v>29879</v>
      </c>
      <c r="C7915" s="2" t="s">
        <v>29880</v>
      </c>
      <c r="D7915" s="2" t="str">
        <f>"434-258-4476"</f>
        <v>434-258-4476</v>
      </c>
      <c r="E7915" s="2" t="s">
        <v>13107</v>
      </c>
      <c r="F7915" s="2" t="s">
        <v>29881</v>
      </c>
      <c r="G7915" s="2" t="str">
        <f>"SR-9294"</f>
        <v>SR-9294</v>
      </c>
      <c r="H7915" s="2" t="s">
        <v>29882</v>
      </c>
      <c r="I7915" s="2" t="s">
        <v>29883</v>
      </c>
      <c r="K7915" s="2" t="s">
        <v>323</v>
      </c>
      <c r="L7915" s="2" t="s">
        <v>165</v>
      </c>
      <c r="M7915" s="2">
        <v>24551.0</v>
      </c>
      <c r="N7915" s="2" t="s">
        <v>21</v>
      </c>
    </row>
    <row r="7916" ht="15.75" customHeight="1">
      <c r="A7916" s="2">
        <v>2017.0</v>
      </c>
      <c r="B7916" s="2" t="s">
        <v>33207</v>
      </c>
      <c r="C7916" s="2" t="s">
        <v>33208</v>
      </c>
      <c r="D7916" s="2" t="str">
        <f>"9046018879"</f>
        <v>9046018879</v>
      </c>
      <c r="E7916" s="2" t="s">
        <v>1548</v>
      </c>
      <c r="F7916" s="2" t="s">
        <v>33209</v>
      </c>
      <c r="G7916" s="2" t="str">
        <f>"SR-10807"</f>
        <v>SR-10807</v>
      </c>
      <c r="H7916" s="2" t="s">
        <v>33210</v>
      </c>
      <c r="I7916" s="2" t="s">
        <v>33211</v>
      </c>
      <c r="K7916" s="2" t="s">
        <v>33212</v>
      </c>
      <c r="L7916" s="2" t="s">
        <v>208</v>
      </c>
      <c r="M7916" s="2">
        <v>32034.0</v>
      </c>
      <c r="N7916" s="2" t="s">
        <v>21</v>
      </c>
    </row>
    <row r="7917" ht="15.75" customHeight="1">
      <c r="A7917" s="2">
        <v>2017.0</v>
      </c>
      <c r="B7917" s="2" t="s">
        <v>20857</v>
      </c>
      <c r="C7917" s="2" t="s">
        <v>33213</v>
      </c>
      <c r="D7917" s="2" t="str">
        <f>"(863) 529-5480"</f>
        <v>(863) 529-5480</v>
      </c>
      <c r="E7917" s="2" t="s">
        <v>922</v>
      </c>
      <c r="F7917" s="2" t="s">
        <v>1756</v>
      </c>
      <c r="G7917" s="2" t="str">
        <f>"SR-10644"</f>
        <v>SR-10644</v>
      </c>
      <c r="H7917" s="2" t="s">
        <v>33214</v>
      </c>
      <c r="I7917" s="2" t="s">
        <v>20860</v>
      </c>
      <c r="K7917" s="2" t="s">
        <v>1570</v>
      </c>
      <c r="L7917" s="2" t="s">
        <v>208</v>
      </c>
      <c r="M7917" s="2">
        <v>33811.0</v>
      </c>
      <c r="N7917" s="2" t="s">
        <v>21</v>
      </c>
    </row>
    <row r="7918" ht="15.75" customHeight="1">
      <c r="A7918" s="2">
        <v>2017.0</v>
      </c>
      <c r="B7918" s="2" t="s">
        <v>33215</v>
      </c>
      <c r="C7918" s="2" t="s">
        <v>33216</v>
      </c>
      <c r="D7918" s="2" t="str">
        <f>"3194400381"</f>
        <v>3194400381</v>
      </c>
      <c r="E7918" s="2" t="s">
        <v>638</v>
      </c>
      <c r="F7918" s="2" t="s">
        <v>13776</v>
      </c>
      <c r="G7918" s="2" t="str">
        <f>"SR-10180"</f>
        <v>SR-10180</v>
      </c>
      <c r="H7918" s="2" t="s">
        <v>33217</v>
      </c>
      <c r="I7918" s="2" t="s">
        <v>33218</v>
      </c>
      <c r="K7918" s="2" t="s">
        <v>25784</v>
      </c>
      <c r="L7918" s="2" t="s">
        <v>560</v>
      </c>
      <c r="M7918" s="2">
        <v>52328.0</v>
      </c>
      <c r="N7918" s="2" t="s">
        <v>21</v>
      </c>
    </row>
    <row r="7919" ht="15.75" customHeight="1">
      <c r="A7919" s="2">
        <v>2017.0</v>
      </c>
      <c r="B7919" s="2" t="s">
        <v>33219</v>
      </c>
      <c r="C7919" s="2" t="s">
        <v>33219</v>
      </c>
      <c r="D7919" s="2" t="str">
        <f>"719-592-0860"</f>
        <v>719-592-0860</v>
      </c>
      <c r="E7919" s="2" t="s">
        <v>1529</v>
      </c>
      <c r="F7919" s="2" t="s">
        <v>1083</v>
      </c>
      <c r="G7919" s="2" t="str">
        <f>"SR-9996"</f>
        <v>SR-9996</v>
      </c>
      <c r="H7919" s="2" t="s">
        <v>33220</v>
      </c>
      <c r="I7919" s="2" t="s">
        <v>33221</v>
      </c>
      <c r="K7919" s="2" t="s">
        <v>809</v>
      </c>
      <c r="L7919" s="2" t="s">
        <v>157</v>
      </c>
      <c r="M7919" s="2">
        <v>80918.0</v>
      </c>
      <c r="N7919" s="2" t="s">
        <v>21</v>
      </c>
    </row>
    <row r="7920" ht="15.75" customHeight="1">
      <c r="A7920" s="2">
        <v>2017.0</v>
      </c>
      <c r="B7920" s="2" t="s">
        <v>19329</v>
      </c>
      <c r="C7920" s="2" t="s">
        <v>19369</v>
      </c>
      <c r="D7920" s="2" t="str">
        <f>"616-528-2297"</f>
        <v>616-528-2297</v>
      </c>
      <c r="E7920" s="2" t="s">
        <v>57</v>
      </c>
      <c r="F7920" s="2" t="s">
        <v>1929</v>
      </c>
      <c r="G7920" s="2" t="str">
        <f>"SR-6022"</f>
        <v>SR-6022</v>
      </c>
      <c r="H7920" s="2" t="s">
        <v>18744</v>
      </c>
      <c r="I7920" s="2" t="s">
        <v>19370</v>
      </c>
      <c r="K7920" s="2" t="s">
        <v>28</v>
      </c>
      <c r="L7920" s="2" t="s">
        <v>29</v>
      </c>
      <c r="M7920" s="2">
        <v>49301.0</v>
      </c>
      <c r="N7920" s="2" t="s">
        <v>21</v>
      </c>
    </row>
    <row r="7921" ht="15.75" customHeight="1">
      <c r="A7921" s="2">
        <v>2017.0</v>
      </c>
      <c r="B7921" s="2" t="s">
        <v>33222</v>
      </c>
      <c r="C7921" s="2" t="s">
        <v>33222</v>
      </c>
      <c r="D7921" s="2" t="str">
        <f>"931-200-0176"</f>
        <v>931-200-0176</v>
      </c>
      <c r="E7921" s="2" t="s">
        <v>843</v>
      </c>
      <c r="F7921" s="2" t="s">
        <v>16181</v>
      </c>
      <c r="G7921" s="2" t="str">
        <f>"SR-10571"</f>
        <v>SR-10571</v>
      </c>
      <c r="H7921" s="2" t="s">
        <v>33223</v>
      </c>
      <c r="I7921" s="2" t="s">
        <v>33224</v>
      </c>
      <c r="K7921" s="2" t="s">
        <v>33225</v>
      </c>
      <c r="L7921" s="2" t="s">
        <v>279</v>
      </c>
      <c r="M7921" s="2">
        <v>37757.0</v>
      </c>
      <c r="N7921" s="2" t="s">
        <v>21</v>
      </c>
    </row>
    <row r="7922" ht="15.75" customHeight="1">
      <c r="A7922" s="2">
        <v>2017.0</v>
      </c>
      <c r="B7922" s="2" t="s">
        <v>8438</v>
      </c>
      <c r="C7922" s="2" t="s">
        <v>33226</v>
      </c>
      <c r="D7922" s="2" t="str">
        <f>"619-504-3248"</f>
        <v>619-504-3248</v>
      </c>
      <c r="E7922" s="2" t="s">
        <v>465</v>
      </c>
      <c r="F7922" s="2" t="s">
        <v>33227</v>
      </c>
      <c r="G7922" s="2" t="str">
        <f>"SR-9595"</f>
        <v>SR-9595</v>
      </c>
      <c r="H7922" s="2" t="s">
        <v>33228</v>
      </c>
      <c r="I7922" s="2" t="s">
        <v>33229</v>
      </c>
      <c r="K7922" s="2" t="s">
        <v>8444</v>
      </c>
      <c r="L7922" s="2" t="s">
        <v>222</v>
      </c>
      <c r="M7922" s="2">
        <v>92020.0</v>
      </c>
      <c r="N7922" s="2" t="s">
        <v>21</v>
      </c>
    </row>
    <row r="7923" ht="15.75" customHeight="1">
      <c r="A7923" s="2">
        <v>2017.0</v>
      </c>
      <c r="B7923" s="2" t="s">
        <v>33230</v>
      </c>
      <c r="C7923" s="2" t="s">
        <v>33231</v>
      </c>
      <c r="D7923" s="2" t="str">
        <f>"731-433-9825"</f>
        <v>731-433-9825</v>
      </c>
      <c r="E7923" s="2" t="s">
        <v>250</v>
      </c>
      <c r="F7923" s="2" t="s">
        <v>33232</v>
      </c>
      <c r="G7923" s="2" t="str">
        <f>"SR-9975"</f>
        <v>SR-9975</v>
      </c>
      <c r="H7923" s="2" t="s">
        <v>33233</v>
      </c>
      <c r="I7923" s="2" t="s">
        <v>33234</v>
      </c>
      <c r="K7923" s="2" t="s">
        <v>2906</v>
      </c>
      <c r="L7923" s="2" t="s">
        <v>279</v>
      </c>
      <c r="M7923" s="2">
        <v>38052.0</v>
      </c>
      <c r="N7923" s="2" t="s">
        <v>21</v>
      </c>
    </row>
    <row r="7924" ht="15.75" customHeight="1">
      <c r="A7924" s="2">
        <v>2017.0</v>
      </c>
      <c r="B7924" s="2" t="s">
        <v>33235</v>
      </c>
      <c r="C7924" s="2" t="s">
        <v>33235</v>
      </c>
      <c r="D7924" s="2" t="str">
        <f>"8287732354"</f>
        <v>8287732354</v>
      </c>
      <c r="E7924" s="2" t="s">
        <v>2126</v>
      </c>
      <c r="F7924" s="2" t="s">
        <v>28047</v>
      </c>
      <c r="G7924" s="2" t="str">
        <f>"SR-10541"</f>
        <v>SR-10541</v>
      </c>
      <c r="H7924" s="2" t="s">
        <v>33236</v>
      </c>
      <c r="I7924" s="2" t="s">
        <v>33237</v>
      </c>
      <c r="K7924" s="2" t="s">
        <v>10856</v>
      </c>
      <c r="L7924" s="2" t="s">
        <v>20</v>
      </c>
      <c r="M7924" s="2">
        <v>28607.0</v>
      </c>
      <c r="N7924" s="2" t="s">
        <v>21</v>
      </c>
    </row>
    <row r="7925" ht="15.75" customHeight="1">
      <c r="A7925" s="2">
        <v>2017.0</v>
      </c>
      <c r="B7925" s="2" t="s">
        <v>28045</v>
      </c>
      <c r="C7925" s="2" t="s">
        <v>28046</v>
      </c>
      <c r="D7925" s="2" t="str">
        <f>"828-406-7543"</f>
        <v>828-406-7543</v>
      </c>
      <c r="E7925" s="2" t="s">
        <v>2361</v>
      </c>
      <c r="F7925" s="2" t="s">
        <v>28047</v>
      </c>
      <c r="G7925" s="2" t="str">
        <f>"SR-8784"</f>
        <v>SR-8784</v>
      </c>
      <c r="H7925" s="2" t="s">
        <v>28048</v>
      </c>
      <c r="I7925" s="2" t="s">
        <v>28049</v>
      </c>
      <c r="K7925" s="2" t="s">
        <v>10856</v>
      </c>
      <c r="L7925" s="2" t="s">
        <v>20</v>
      </c>
      <c r="M7925" s="2">
        <v>28607.0</v>
      </c>
      <c r="N7925" s="2" t="s">
        <v>21</v>
      </c>
    </row>
    <row r="7926" ht="15.75" customHeight="1">
      <c r="A7926" s="2">
        <v>2017.0</v>
      </c>
      <c r="B7926" s="2" t="s">
        <v>21336</v>
      </c>
      <c r="C7926" s="2" t="s">
        <v>21337</v>
      </c>
      <c r="D7926" s="2" t="str">
        <f>"(717)479-0733"</f>
        <v>(717)479-0733</v>
      </c>
      <c r="E7926" s="2" t="s">
        <v>9828</v>
      </c>
      <c r="F7926" s="2" t="s">
        <v>21338</v>
      </c>
      <c r="G7926" s="2" t="str">
        <f>"SR-6510"</f>
        <v>SR-6510</v>
      </c>
      <c r="H7926" s="2" t="s">
        <v>21339</v>
      </c>
      <c r="I7926" s="2" t="s">
        <v>21340</v>
      </c>
      <c r="K7926" s="2" t="s">
        <v>21341</v>
      </c>
      <c r="L7926" s="2" t="s">
        <v>179</v>
      </c>
      <c r="M7926" s="2">
        <v>17331.0</v>
      </c>
      <c r="N7926" s="2" t="s">
        <v>21</v>
      </c>
    </row>
    <row r="7927" ht="15.75" customHeight="1">
      <c r="A7927" s="2">
        <v>2017.0</v>
      </c>
      <c r="B7927" s="2" t="s">
        <v>33238</v>
      </c>
      <c r="C7927" s="2" t="s">
        <v>25485</v>
      </c>
      <c r="D7927" s="2" t="str">
        <f>"9375816383"</f>
        <v>9375816383</v>
      </c>
      <c r="E7927" s="2" t="s">
        <v>50</v>
      </c>
      <c r="F7927" s="2" t="s">
        <v>13366</v>
      </c>
      <c r="G7927" s="2" t="str">
        <f>"SR-10795"</f>
        <v>SR-10795</v>
      </c>
      <c r="H7927" s="2" t="s">
        <v>13367</v>
      </c>
      <c r="I7927" s="2" t="s">
        <v>13368</v>
      </c>
      <c r="K7927" s="2" t="s">
        <v>8043</v>
      </c>
      <c r="L7927" s="2" t="s">
        <v>344</v>
      </c>
      <c r="M7927" s="2">
        <v>45429.0</v>
      </c>
      <c r="N7927" s="2" t="s">
        <v>21</v>
      </c>
    </row>
    <row r="7928" ht="15.75" customHeight="1">
      <c r="A7928" s="2">
        <v>2017.0</v>
      </c>
      <c r="B7928" s="2" t="s">
        <v>33239</v>
      </c>
      <c r="C7928" s="2" t="s">
        <v>33239</v>
      </c>
      <c r="D7928" s="2" t="str">
        <f>"2549318222"</f>
        <v>2549318222</v>
      </c>
      <c r="E7928" s="2" t="s">
        <v>3878</v>
      </c>
      <c r="F7928" s="2" t="s">
        <v>33240</v>
      </c>
      <c r="G7928" s="2" t="str">
        <f>"SR-10026"</f>
        <v>SR-10026</v>
      </c>
      <c r="H7928" s="2" t="s">
        <v>33241</v>
      </c>
      <c r="I7928" s="2" t="s">
        <v>33242</v>
      </c>
      <c r="J7928" s="2" t="s">
        <v>33243</v>
      </c>
      <c r="K7928" s="2" t="s">
        <v>17339</v>
      </c>
      <c r="L7928" s="2" t="s">
        <v>172</v>
      </c>
      <c r="M7928" s="2">
        <v>76502.0</v>
      </c>
      <c r="N7928" s="2" t="s">
        <v>21</v>
      </c>
    </row>
    <row r="7929" ht="15.75" customHeight="1">
      <c r="A7929" s="2">
        <v>2017.0</v>
      </c>
      <c r="B7929" s="2" t="s">
        <v>33244</v>
      </c>
      <c r="C7929" s="2" t="s">
        <v>33245</v>
      </c>
      <c r="D7929" s="2" t="str">
        <f>"817-658-3223"</f>
        <v>817-658-3223</v>
      </c>
      <c r="E7929" s="2" t="s">
        <v>3400</v>
      </c>
      <c r="F7929" s="2" t="s">
        <v>7449</v>
      </c>
      <c r="G7929" s="2" t="str">
        <f>"SR-10824"</f>
        <v>SR-10824</v>
      </c>
      <c r="H7929" s="2" t="s">
        <v>33246</v>
      </c>
      <c r="I7929" s="2" t="s">
        <v>33247</v>
      </c>
      <c r="K7929" s="2" t="s">
        <v>740</v>
      </c>
      <c r="L7929" s="2" t="s">
        <v>172</v>
      </c>
      <c r="M7929" s="2">
        <v>75052.0</v>
      </c>
      <c r="N7929" s="2" t="s">
        <v>21</v>
      </c>
    </row>
    <row r="7930" ht="15.75" customHeight="1">
      <c r="A7930" s="2">
        <v>2017.0</v>
      </c>
      <c r="B7930" s="2" t="s">
        <v>33248</v>
      </c>
      <c r="C7930" s="2" t="s">
        <v>33249</v>
      </c>
      <c r="D7930" s="2" t="str">
        <f>"256-617-2469"</f>
        <v>256-617-2469</v>
      </c>
      <c r="E7930" s="2" t="s">
        <v>33250</v>
      </c>
      <c r="F7930" s="2" t="s">
        <v>1040</v>
      </c>
      <c r="G7930" s="2" t="str">
        <f>"SR-10826"</f>
        <v>SR-10826</v>
      </c>
      <c r="H7930" s="2" t="s">
        <v>33251</v>
      </c>
      <c r="I7930" s="2" t="s">
        <v>33252</v>
      </c>
      <c r="K7930" s="2" t="s">
        <v>5108</v>
      </c>
      <c r="L7930" s="2" t="s">
        <v>539</v>
      </c>
      <c r="M7930" s="2">
        <v>35613.0</v>
      </c>
      <c r="N7930" s="2" t="s">
        <v>21</v>
      </c>
    </row>
    <row r="7931" ht="15.75" customHeight="1">
      <c r="A7931" s="2">
        <v>2017.0</v>
      </c>
      <c r="B7931" s="2" t="s">
        <v>33253</v>
      </c>
      <c r="C7931" s="2" t="s">
        <v>33253</v>
      </c>
      <c r="D7931" s="2" t="str">
        <f>"(307)286-1450"</f>
        <v>(307)286-1450</v>
      </c>
      <c r="E7931" s="2" t="s">
        <v>453</v>
      </c>
      <c r="F7931" s="2" t="s">
        <v>33254</v>
      </c>
      <c r="G7931" s="2" t="str">
        <f>"SR-10831"</f>
        <v>SR-10831</v>
      </c>
      <c r="H7931" s="2" t="s">
        <v>33255</v>
      </c>
      <c r="I7931" s="2" t="s">
        <v>33256</v>
      </c>
      <c r="K7931" s="2" t="s">
        <v>10638</v>
      </c>
      <c r="L7931" s="2" t="s">
        <v>1540</v>
      </c>
      <c r="M7931" s="2">
        <v>82007.0</v>
      </c>
      <c r="N7931" s="2" t="s">
        <v>21</v>
      </c>
    </row>
    <row r="7932" ht="15.75" customHeight="1">
      <c r="A7932" s="2">
        <v>2017.0</v>
      </c>
      <c r="B7932" s="2" t="s">
        <v>33253</v>
      </c>
      <c r="C7932" s="2" t="s">
        <v>33253</v>
      </c>
      <c r="D7932" s="2" t="str">
        <f>"(307)286-1445"</f>
        <v>(307)286-1445</v>
      </c>
      <c r="E7932" s="2" t="s">
        <v>20862</v>
      </c>
      <c r="F7932" s="2" t="s">
        <v>33254</v>
      </c>
      <c r="G7932" s="2" t="str">
        <f>"SR-10833"</f>
        <v>SR-10833</v>
      </c>
      <c r="H7932" s="2" t="s">
        <v>33257</v>
      </c>
      <c r="I7932" s="2" t="s">
        <v>33256</v>
      </c>
      <c r="K7932" s="2" t="s">
        <v>10638</v>
      </c>
      <c r="L7932" s="2" t="s">
        <v>1540</v>
      </c>
      <c r="M7932" s="2">
        <v>82007.0</v>
      </c>
      <c r="N7932" s="2" t="s">
        <v>21</v>
      </c>
    </row>
    <row r="7933" ht="15.75" customHeight="1">
      <c r="A7933" s="2">
        <v>2017.0</v>
      </c>
      <c r="B7933" s="2" t="s">
        <v>33258</v>
      </c>
      <c r="C7933" s="2" t="s">
        <v>33258</v>
      </c>
      <c r="D7933" s="2" t="str">
        <f>"3072860469"</f>
        <v>3072860469</v>
      </c>
      <c r="E7933" s="2" t="s">
        <v>447</v>
      </c>
      <c r="F7933" s="2" t="s">
        <v>33254</v>
      </c>
      <c r="G7933" s="2" t="str">
        <f>"SR-10832"</f>
        <v>SR-10832</v>
      </c>
      <c r="H7933" s="2" t="s">
        <v>33259</v>
      </c>
      <c r="I7933" s="2" t="s">
        <v>33260</v>
      </c>
      <c r="K7933" s="2" t="s">
        <v>10638</v>
      </c>
      <c r="L7933" s="2" t="s">
        <v>1540</v>
      </c>
      <c r="M7933" s="2">
        <v>82007.0</v>
      </c>
      <c r="N7933" s="2" t="s">
        <v>21</v>
      </c>
    </row>
    <row r="7934" ht="15.75" customHeight="1">
      <c r="A7934" s="2">
        <v>2017.0</v>
      </c>
      <c r="B7934" s="2" t="s">
        <v>33261</v>
      </c>
      <c r="C7934" s="2" t="s">
        <v>33262</v>
      </c>
      <c r="D7934" s="2" t="str">
        <f>"919-661-0018"</f>
        <v>919-661-0018</v>
      </c>
      <c r="E7934" s="2" t="s">
        <v>651</v>
      </c>
      <c r="F7934" s="2" t="s">
        <v>33263</v>
      </c>
      <c r="G7934" s="2" t="str">
        <f>"SR-10835"</f>
        <v>SR-10835</v>
      </c>
      <c r="H7934" s="2" t="s">
        <v>33264</v>
      </c>
      <c r="I7934" s="2" t="s">
        <v>33265</v>
      </c>
      <c r="K7934" s="2" t="s">
        <v>14454</v>
      </c>
      <c r="L7934" s="2" t="s">
        <v>20</v>
      </c>
      <c r="M7934" s="2">
        <v>27539.0</v>
      </c>
      <c r="N7934" s="2" t="s">
        <v>21</v>
      </c>
    </row>
    <row r="7935" ht="15.75" customHeight="1">
      <c r="A7935" s="2">
        <v>2017.0</v>
      </c>
      <c r="B7935" s="2" t="s">
        <v>33266</v>
      </c>
      <c r="C7935" s="2" t="s">
        <v>33267</v>
      </c>
      <c r="D7935" s="2" t="str">
        <f>"843-408-1350"</f>
        <v>843-408-1350</v>
      </c>
      <c r="E7935" s="2" t="s">
        <v>3878</v>
      </c>
      <c r="F7935" s="2" t="s">
        <v>1929</v>
      </c>
      <c r="G7935" s="2" t="str">
        <f>"SR-9779"</f>
        <v>SR-9779</v>
      </c>
      <c r="H7935" s="2" t="s">
        <v>33268</v>
      </c>
      <c r="I7935" s="2" t="s">
        <v>1931</v>
      </c>
      <c r="K7935" s="2" t="s">
        <v>1932</v>
      </c>
      <c r="L7935" s="2" t="s">
        <v>55</v>
      </c>
      <c r="M7935" s="2">
        <v>29485.0</v>
      </c>
      <c r="N7935" s="2" t="s">
        <v>21</v>
      </c>
    </row>
    <row r="7936" ht="15.75" customHeight="1">
      <c r="A7936" s="2">
        <v>2017.0</v>
      </c>
      <c r="B7936" s="2" t="s">
        <v>33269</v>
      </c>
      <c r="C7936" s="2" t="s">
        <v>33270</v>
      </c>
      <c r="D7936" s="2" t="str">
        <f>"6157206646"</f>
        <v>6157206646</v>
      </c>
      <c r="E7936" s="2" t="s">
        <v>225</v>
      </c>
      <c r="F7936" s="2" t="s">
        <v>30698</v>
      </c>
      <c r="G7936" s="2" t="str">
        <f>"SR-10837"</f>
        <v>SR-10837</v>
      </c>
      <c r="H7936" s="2" t="s">
        <v>33271</v>
      </c>
      <c r="I7936" s="2" t="s">
        <v>33272</v>
      </c>
      <c r="K7936" s="2" t="s">
        <v>278</v>
      </c>
      <c r="L7936" s="2" t="s">
        <v>279</v>
      </c>
      <c r="M7936" s="2">
        <v>37069.0</v>
      </c>
      <c r="N7936" s="2" t="s">
        <v>21</v>
      </c>
    </row>
    <row r="7937" ht="15.75" customHeight="1">
      <c r="A7937" s="2">
        <v>2017.0</v>
      </c>
      <c r="B7937" s="2" t="s">
        <v>33273</v>
      </c>
      <c r="C7937" s="2" t="s">
        <v>33273</v>
      </c>
      <c r="D7937" s="2" t="str">
        <f>"423-506-5077"</f>
        <v>423-506-5077</v>
      </c>
      <c r="E7937" s="2" t="s">
        <v>718</v>
      </c>
      <c r="F7937" s="2" t="s">
        <v>1101</v>
      </c>
      <c r="G7937" s="2" t="str">
        <f>"SR-10841"</f>
        <v>SR-10841</v>
      </c>
      <c r="H7937" s="2" t="s">
        <v>33274</v>
      </c>
      <c r="I7937" s="2" t="s">
        <v>33275</v>
      </c>
      <c r="K7937" s="2" t="s">
        <v>8231</v>
      </c>
      <c r="L7937" s="2" t="s">
        <v>279</v>
      </c>
      <c r="M7937" s="2">
        <v>37322.0</v>
      </c>
      <c r="N7937" s="2" t="s">
        <v>21</v>
      </c>
    </row>
    <row r="7938" ht="15.75" customHeight="1">
      <c r="A7938" s="2">
        <v>2017.0</v>
      </c>
      <c r="B7938" s="2" t="s">
        <v>23995</v>
      </c>
      <c r="C7938" s="2" t="s">
        <v>23995</v>
      </c>
      <c r="D7938" s="2" t="str">
        <f>"(208) 217-1722"</f>
        <v>(208) 217-1722</v>
      </c>
      <c r="E7938" s="2" t="s">
        <v>4782</v>
      </c>
      <c r="F7938" s="2" t="s">
        <v>23996</v>
      </c>
      <c r="G7938" s="2" t="str">
        <f>"SR-7472"</f>
        <v>SR-7472</v>
      </c>
      <c r="H7938" s="2" t="s">
        <v>23997</v>
      </c>
      <c r="I7938" s="2" t="s">
        <v>23998</v>
      </c>
      <c r="K7938" s="2" t="s">
        <v>19729</v>
      </c>
      <c r="L7938" s="2" t="s">
        <v>222</v>
      </c>
      <c r="M7938" s="2">
        <v>83864.0</v>
      </c>
      <c r="N7938" s="2" t="s">
        <v>21</v>
      </c>
    </row>
    <row r="7939" ht="15.75" customHeight="1">
      <c r="A7939" s="2">
        <v>2017.0</v>
      </c>
      <c r="B7939" s="2" t="s">
        <v>33276</v>
      </c>
      <c r="C7939" s="2" t="s">
        <v>33277</v>
      </c>
      <c r="D7939" s="2" t="str">
        <f>"8058863633"</f>
        <v>8058863633</v>
      </c>
      <c r="E7939" s="2" t="s">
        <v>1015</v>
      </c>
      <c r="F7939" s="2" t="s">
        <v>33278</v>
      </c>
      <c r="G7939" s="2" t="str">
        <f>"SR-10845"</f>
        <v>SR-10845</v>
      </c>
      <c r="H7939" s="2" t="s">
        <v>33279</v>
      </c>
      <c r="I7939" s="2" t="s">
        <v>33280</v>
      </c>
      <c r="K7939" s="2" t="s">
        <v>29300</v>
      </c>
      <c r="L7939" s="2" t="s">
        <v>222</v>
      </c>
      <c r="M7939" s="2">
        <v>93021.0</v>
      </c>
      <c r="N7939" s="2" t="s">
        <v>21</v>
      </c>
    </row>
    <row r="7940" ht="15.75" customHeight="1">
      <c r="A7940" s="2">
        <v>2017.0</v>
      </c>
      <c r="B7940" s="2" t="s">
        <v>33281</v>
      </c>
      <c r="C7940" s="2" t="s">
        <v>33282</v>
      </c>
      <c r="D7940" s="2" t="str">
        <f>"316-371-9644"</f>
        <v>316-371-9644</v>
      </c>
      <c r="E7940" s="2" t="s">
        <v>33283</v>
      </c>
      <c r="F7940" s="2" t="s">
        <v>5637</v>
      </c>
      <c r="G7940" s="2" t="str">
        <f>"SR-9465"</f>
        <v>SR-9465</v>
      </c>
      <c r="H7940" s="2" t="s">
        <v>33284</v>
      </c>
      <c r="I7940" s="2" t="s">
        <v>33285</v>
      </c>
      <c r="K7940" s="2" t="s">
        <v>11711</v>
      </c>
      <c r="L7940" s="2" t="s">
        <v>840</v>
      </c>
      <c r="M7940" s="2">
        <v>74074.0</v>
      </c>
      <c r="N7940" s="2" t="s">
        <v>21</v>
      </c>
    </row>
    <row r="7941" ht="15.75" customHeight="1">
      <c r="A7941" s="2">
        <v>2017.0</v>
      </c>
      <c r="B7941" s="2" t="s">
        <v>33286</v>
      </c>
      <c r="C7941" s="2" t="s">
        <v>33286</v>
      </c>
      <c r="D7941" s="2" t="str">
        <f>"6207675155"</f>
        <v>6207675155</v>
      </c>
      <c r="E7941" s="2" t="s">
        <v>955</v>
      </c>
      <c r="F7941" s="2" t="s">
        <v>33287</v>
      </c>
      <c r="G7941" s="2" t="str">
        <f>"SR-10819"</f>
        <v>SR-10819</v>
      </c>
      <c r="H7941" s="2" t="s">
        <v>33288</v>
      </c>
      <c r="I7941" s="2" t="s">
        <v>33289</v>
      </c>
      <c r="K7941" s="2" t="s">
        <v>6149</v>
      </c>
      <c r="L7941" s="2" t="s">
        <v>272</v>
      </c>
      <c r="M7941" s="2">
        <v>66846.0</v>
      </c>
      <c r="N7941" s="2" t="s">
        <v>21</v>
      </c>
    </row>
    <row r="7942" ht="15.75" customHeight="1">
      <c r="A7942" s="2">
        <v>2017.0</v>
      </c>
      <c r="B7942" s="2" t="s">
        <v>33290</v>
      </c>
      <c r="C7942" s="2" t="s">
        <v>33291</v>
      </c>
      <c r="D7942" s="2" t="str">
        <f>"3166173014"</f>
        <v>3166173014</v>
      </c>
      <c r="E7942" s="2" t="s">
        <v>33292</v>
      </c>
      <c r="F7942" s="2" t="s">
        <v>33293</v>
      </c>
      <c r="G7942" s="2" t="str">
        <f>"SR-10814"</f>
        <v>SR-10814</v>
      </c>
      <c r="H7942" s="2" t="s">
        <v>33294</v>
      </c>
      <c r="I7942" s="2" t="s">
        <v>33295</v>
      </c>
      <c r="K7942" s="2" t="s">
        <v>28594</v>
      </c>
      <c r="L7942" s="2" t="s">
        <v>272</v>
      </c>
      <c r="M7942" s="2">
        <v>67052.0</v>
      </c>
      <c r="N7942" s="2" t="s">
        <v>21</v>
      </c>
    </row>
    <row r="7943" ht="15.75" customHeight="1">
      <c r="A7943" s="2">
        <v>2017.0</v>
      </c>
      <c r="B7943" s="2" t="s">
        <v>33296</v>
      </c>
      <c r="C7943" s="2" t="s">
        <v>33296</v>
      </c>
      <c r="D7943" s="2" t="str">
        <f>"7855610518"</f>
        <v>7855610518</v>
      </c>
      <c r="E7943" s="2" t="s">
        <v>33297</v>
      </c>
      <c r="F7943" s="2" t="s">
        <v>11998</v>
      </c>
      <c r="G7943" s="2" t="str">
        <f>"SR-10848"</f>
        <v>SR-10848</v>
      </c>
      <c r="H7943" s="2" t="s">
        <v>33298</v>
      </c>
      <c r="I7943" s="2" t="s">
        <v>33299</v>
      </c>
      <c r="K7943" s="2" t="s">
        <v>6149</v>
      </c>
      <c r="L7943" s="2" t="s">
        <v>272</v>
      </c>
      <c r="M7943" s="2">
        <v>66846.0</v>
      </c>
      <c r="N7943" s="2" t="s">
        <v>21</v>
      </c>
    </row>
    <row r="7944" ht="15.75" customHeight="1">
      <c r="A7944" s="2">
        <v>2017.0</v>
      </c>
      <c r="B7944" s="2" t="s">
        <v>33300</v>
      </c>
      <c r="C7944" s="2" t="s">
        <v>33301</v>
      </c>
      <c r="D7944" s="2" t="str">
        <f>"9706468193"</f>
        <v>9706468193</v>
      </c>
      <c r="E7944" s="2" t="s">
        <v>11562</v>
      </c>
      <c r="F7944" s="2" t="s">
        <v>33302</v>
      </c>
      <c r="G7944" s="2" t="str">
        <f>"SR-10691"</f>
        <v>SR-10691</v>
      </c>
      <c r="H7944" s="2" t="s">
        <v>33303</v>
      </c>
      <c r="I7944" s="2" t="s">
        <v>33304</v>
      </c>
      <c r="K7944" s="2" t="s">
        <v>1048</v>
      </c>
      <c r="L7944" s="2" t="s">
        <v>157</v>
      </c>
      <c r="M7944" s="2">
        <v>80537.0</v>
      </c>
      <c r="N7944" s="2" t="s">
        <v>21</v>
      </c>
    </row>
    <row r="7945" ht="15.75" customHeight="1">
      <c r="A7945" s="2">
        <v>2017.0</v>
      </c>
      <c r="B7945" s="2" t="s">
        <v>33300</v>
      </c>
      <c r="C7945" s="2" t="s">
        <v>33305</v>
      </c>
      <c r="D7945" s="2" t="str">
        <f>"970-581-9811"</f>
        <v>970-581-9811</v>
      </c>
      <c r="E7945" s="2" t="s">
        <v>2361</v>
      </c>
      <c r="F7945" s="2" t="s">
        <v>33302</v>
      </c>
      <c r="G7945" s="2" t="str">
        <f>"SR-10692"</f>
        <v>SR-10692</v>
      </c>
      <c r="H7945" s="2" t="s">
        <v>33306</v>
      </c>
      <c r="I7945" s="2" t="s">
        <v>33304</v>
      </c>
      <c r="K7945" s="2" t="s">
        <v>1048</v>
      </c>
      <c r="L7945" s="2" t="s">
        <v>157</v>
      </c>
      <c r="M7945" s="2">
        <v>80537.0</v>
      </c>
      <c r="N7945" s="2" t="s">
        <v>21</v>
      </c>
    </row>
    <row r="7946" ht="15.75" customHeight="1">
      <c r="A7946" s="2">
        <v>2017.0</v>
      </c>
      <c r="B7946" s="2" t="s">
        <v>33307</v>
      </c>
      <c r="C7946" s="2" t="s">
        <v>33308</v>
      </c>
      <c r="D7946" s="2" t="str">
        <f>"8322489910"</f>
        <v>8322489910</v>
      </c>
      <c r="E7946" s="2" t="s">
        <v>4300</v>
      </c>
      <c r="F7946" s="2" t="s">
        <v>33309</v>
      </c>
      <c r="G7946" s="2" t="str">
        <f>"SR-10830"</f>
        <v>SR-10830</v>
      </c>
      <c r="H7946" s="2" t="s">
        <v>33310</v>
      </c>
      <c r="I7946" s="2" t="s">
        <v>33311</v>
      </c>
      <c r="K7946" s="2" t="s">
        <v>9614</v>
      </c>
      <c r="L7946" s="2" t="s">
        <v>172</v>
      </c>
      <c r="M7946" s="2">
        <v>77304.0</v>
      </c>
      <c r="N7946" s="2" t="s">
        <v>21</v>
      </c>
    </row>
    <row r="7947" ht="15.75" customHeight="1">
      <c r="A7947" s="2">
        <v>2017.0</v>
      </c>
      <c r="B7947" s="2" t="s">
        <v>33312</v>
      </c>
      <c r="C7947" s="2" t="s">
        <v>33313</v>
      </c>
      <c r="D7947" s="2" t="str">
        <f>"706-728-4122"</f>
        <v>706-728-4122</v>
      </c>
      <c r="E7947" s="2" t="s">
        <v>485</v>
      </c>
      <c r="F7947" s="2" t="s">
        <v>33314</v>
      </c>
      <c r="G7947" s="2" t="str">
        <f>"SR-10816"</f>
        <v>SR-10816</v>
      </c>
      <c r="H7947" s="2" t="s">
        <v>33315</v>
      </c>
      <c r="I7947" s="2" t="s">
        <v>33316</v>
      </c>
      <c r="K7947" s="2" t="s">
        <v>33317</v>
      </c>
      <c r="L7947" s="2" t="s">
        <v>200</v>
      </c>
      <c r="M7947" s="2">
        <v>30701.0</v>
      </c>
      <c r="N7947" s="2" t="s">
        <v>21</v>
      </c>
    </row>
    <row r="7948" ht="15.75" customHeight="1">
      <c r="A7948" s="2">
        <v>2017.0</v>
      </c>
      <c r="B7948" s="2" t="s">
        <v>33318</v>
      </c>
      <c r="D7948" s="2" t="str">
        <f>""</f>
        <v/>
      </c>
      <c r="E7948" s="2" t="s">
        <v>440</v>
      </c>
      <c r="F7948" s="2" t="s">
        <v>33319</v>
      </c>
      <c r="G7948" s="2" t="str">
        <f>"SR-10852"</f>
        <v>SR-10852</v>
      </c>
      <c r="H7948" s="2" t="s">
        <v>33320</v>
      </c>
      <c r="N7948" s="2" t="s">
        <v>21</v>
      </c>
    </row>
    <row r="7949" ht="15.75" customHeight="1">
      <c r="A7949" s="2">
        <v>2017.0</v>
      </c>
      <c r="B7949" s="2" t="s">
        <v>5180</v>
      </c>
      <c r="C7949" s="2" t="s">
        <v>33321</v>
      </c>
      <c r="D7949" s="2" t="str">
        <f>"9194791125"</f>
        <v>9194791125</v>
      </c>
      <c r="E7949" s="2" t="s">
        <v>926</v>
      </c>
      <c r="F7949" s="2" t="s">
        <v>33322</v>
      </c>
      <c r="G7949" s="2" t="str">
        <f>"SR-10860"</f>
        <v>SR-10860</v>
      </c>
      <c r="H7949" s="2" t="s">
        <v>33323</v>
      </c>
      <c r="I7949" s="2" t="s">
        <v>33324</v>
      </c>
      <c r="K7949" s="2" t="s">
        <v>33325</v>
      </c>
      <c r="L7949" s="2" t="s">
        <v>20</v>
      </c>
      <c r="M7949" s="2">
        <v>27503.0</v>
      </c>
      <c r="N7949" s="2" t="s">
        <v>21</v>
      </c>
    </row>
    <row r="7950" ht="15.75" customHeight="1">
      <c r="A7950" s="2">
        <v>2017.0</v>
      </c>
      <c r="B7950" s="2" t="s">
        <v>33326</v>
      </c>
      <c r="C7950" s="2" t="s">
        <v>33327</v>
      </c>
      <c r="D7950" s="2" t="str">
        <f>"815-298-4165"</f>
        <v>815-298-4165</v>
      </c>
      <c r="E7950" s="2" t="s">
        <v>1347</v>
      </c>
      <c r="F7950" s="2" t="s">
        <v>33328</v>
      </c>
      <c r="G7950" s="2" t="str">
        <f>"SR-10678"</f>
        <v>SR-10678</v>
      </c>
      <c r="H7950" s="2" t="s">
        <v>33329</v>
      </c>
      <c r="I7950" s="2" t="s">
        <v>33330</v>
      </c>
      <c r="K7950" s="2" t="s">
        <v>382</v>
      </c>
      <c r="L7950" s="2" t="s">
        <v>105</v>
      </c>
      <c r="M7950" s="2">
        <v>61109.0</v>
      </c>
      <c r="N7950" s="2" t="s">
        <v>21</v>
      </c>
    </row>
    <row r="7951" ht="15.75" customHeight="1">
      <c r="A7951" s="2">
        <v>2017.0</v>
      </c>
      <c r="B7951" s="2" t="s">
        <v>33331</v>
      </c>
      <c r="C7951" s="2" t="s">
        <v>9819</v>
      </c>
      <c r="D7951" s="2" t="str">
        <f>"7196501382"</f>
        <v>7196501382</v>
      </c>
      <c r="E7951" s="2" t="s">
        <v>6294</v>
      </c>
      <c r="F7951" s="2" t="s">
        <v>9820</v>
      </c>
      <c r="G7951" s="2" t="str">
        <f>"SR-10867"</f>
        <v>SR-10867</v>
      </c>
      <c r="H7951" s="2" t="s">
        <v>9821</v>
      </c>
      <c r="I7951" s="2" t="s">
        <v>9822</v>
      </c>
      <c r="K7951" s="2" t="s">
        <v>809</v>
      </c>
      <c r="L7951" s="2" t="s">
        <v>157</v>
      </c>
      <c r="M7951" s="2">
        <v>80920.0</v>
      </c>
      <c r="N7951" s="2" t="s">
        <v>21</v>
      </c>
    </row>
    <row r="7952" ht="15.75" customHeight="1">
      <c r="A7952" s="2">
        <v>2017.0</v>
      </c>
      <c r="B7952" s="2" t="s">
        <v>33331</v>
      </c>
      <c r="C7952" s="2" t="s">
        <v>33332</v>
      </c>
      <c r="D7952" s="2" t="str">
        <f>"7192661092"</f>
        <v>7192661092</v>
      </c>
      <c r="E7952" s="2" t="s">
        <v>339</v>
      </c>
      <c r="F7952" s="2" t="s">
        <v>9820</v>
      </c>
      <c r="G7952" s="2" t="str">
        <f>"SR-10869"</f>
        <v>SR-10869</v>
      </c>
      <c r="H7952" s="2" t="s">
        <v>33333</v>
      </c>
      <c r="I7952" s="2" t="s">
        <v>9822</v>
      </c>
      <c r="K7952" s="2" t="s">
        <v>809</v>
      </c>
      <c r="L7952" s="2" t="s">
        <v>157</v>
      </c>
      <c r="M7952" s="2">
        <v>80920.0</v>
      </c>
      <c r="N7952" s="2" t="s">
        <v>21</v>
      </c>
    </row>
    <row r="7953" ht="15.75" customHeight="1">
      <c r="A7953" s="2">
        <v>2017.0</v>
      </c>
      <c r="B7953" s="2" t="s">
        <v>33334</v>
      </c>
      <c r="C7953" s="2" t="s">
        <v>33335</v>
      </c>
      <c r="D7953" s="2" t="str">
        <f>"719-243-3614"</f>
        <v>719-243-3614</v>
      </c>
      <c r="E7953" s="2" t="s">
        <v>1208</v>
      </c>
      <c r="F7953" s="2" t="s">
        <v>5105</v>
      </c>
      <c r="G7953" s="2" t="str">
        <f>"SR-10859"</f>
        <v>SR-10859</v>
      </c>
      <c r="H7953" s="2" t="s">
        <v>33336</v>
      </c>
      <c r="I7953" s="2" t="s">
        <v>33337</v>
      </c>
      <c r="K7953" s="2" t="s">
        <v>1862</v>
      </c>
      <c r="L7953" s="2" t="s">
        <v>157</v>
      </c>
      <c r="M7953" s="2">
        <v>80921.0</v>
      </c>
      <c r="N7953" s="2" t="s">
        <v>21</v>
      </c>
    </row>
    <row r="7954" ht="15.75" customHeight="1">
      <c r="A7954" s="2">
        <v>2017.0</v>
      </c>
      <c r="B7954" s="2" t="s">
        <v>33338</v>
      </c>
      <c r="C7954" s="2" t="s">
        <v>33338</v>
      </c>
      <c r="D7954" s="2" t="str">
        <f>"9413769152"</f>
        <v>9413769152</v>
      </c>
      <c r="E7954" s="2" t="s">
        <v>1548</v>
      </c>
      <c r="F7954" s="2" t="s">
        <v>33339</v>
      </c>
      <c r="G7954" s="2" t="str">
        <f>"SR-10871"</f>
        <v>SR-10871</v>
      </c>
      <c r="H7954" s="2" t="s">
        <v>33340</v>
      </c>
      <c r="I7954" s="2" t="s">
        <v>33341</v>
      </c>
      <c r="K7954" s="2" t="s">
        <v>33342</v>
      </c>
      <c r="L7954" s="2" t="s">
        <v>200</v>
      </c>
      <c r="M7954" s="2">
        <v>31093.0</v>
      </c>
      <c r="N7954" s="2" t="s">
        <v>21</v>
      </c>
    </row>
    <row r="7955" ht="15.75" customHeight="1">
      <c r="A7955" s="2">
        <v>2017.0</v>
      </c>
      <c r="B7955" s="2" t="s">
        <v>33343</v>
      </c>
      <c r="C7955" s="2" t="s">
        <v>33343</v>
      </c>
      <c r="D7955" s="2" t="str">
        <f>"79132763515"</f>
        <v>79132763515</v>
      </c>
      <c r="E7955" s="2" t="s">
        <v>33344</v>
      </c>
      <c r="F7955" s="2" t="s">
        <v>33345</v>
      </c>
      <c r="G7955" s="2" t="str">
        <f>"SR-10560"</f>
        <v>SR-10560</v>
      </c>
      <c r="H7955" s="2" t="s">
        <v>33346</v>
      </c>
      <c r="I7955" s="2" t="s">
        <v>33347</v>
      </c>
      <c r="K7955" s="2" t="s">
        <v>33348</v>
      </c>
      <c r="L7955" s="2" t="s">
        <v>33349</v>
      </c>
      <c r="M7955" s="2">
        <v>656002.0</v>
      </c>
      <c r="N7955" s="2" t="s">
        <v>33350</v>
      </c>
    </row>
    <row r="7956" ht="15.75" customHeight="1">
      <c r="A7956" s="2">
        <v>2017.0</v>
      </c>
      <c r="B7956" s="2" t="s">
        <v>33351</v>
      </c>
      <c r="C7956" s="2" t="s">
        <v>33352</v>
      </c>
      <c r="D7956" s="2" t="str">
        <f>"808-781-4368"</f>
        <v>808-781-4368</v>
      </c>
      <c r="E7956" s="2" t="s">
        <v>33353</v>
      </c>
      <c r="F7956" s="2" t="s">
        <v>33354</v>
      </c>
      <c r="G7956" s="2" t="str">
        <f>"SR-10745"</f>
        <v>SR-10745</v>
      </c>
      <c r="H7956" s="2" t="s">
        <v>33355</v>
      </c>
      <c r="I7956" s="2" t="s">
        <v>33356</v>
      </c>
      <c r="K7956" s="2" t="s">
        <v>33357</v>
      </c>
      <c r="L7956" s="2" t="s">
        <v>715</v>
      </c>
      <c r="M7956" s="2">
        <v>70037.0</v>
      </c>
      <c r="N7956" s="2" t="s">
        <v>21</v>
      </c>
    </row>
    <row r="7957" ht="15.75" customHeight="1">
      <c r="A7957" s="2">
        <v>2017.0</v>
      </c>
      <c r="B7957" s="2" t="s">
        <v>33358</v>
      </c>
      <c r="C7957" s="2" t="s">
        <v>33358</v>
      </c>
      <c r="D7957" s="2" t="str">
        <f>"8632210780"</f>
        <v>8632210780</v>
      </c>
      <c r="E7957" s="2" t="s">
        <v>1725</v>
      </c>
      <c r="F7957" s="2" t="s">
        <v>29815</v>
      </c>
      <c r="G7957" s="2" t="str">
        <f>"SR-10524"</f>
        <v>SR-10524</v>
      </c>
      <c r="H7957" s="2" t="s">
        <v>33359</v>
      </c>
      <c r="I7957" s="2" t="s">
        <v>33360</v>
      </c>
      <c r="K7957" s="2" t="s">
        <v>33361</v>
      </c>
      <c r="L7957" s="2" t="s">
        <v>208</v>
      </c>
      <c r="M7957" s="2">
        <v>33884.0</v>
      </c>
      <c r="N7957" s="2" t="s">
        <v>21</v>
      </c>
    </row>
    <row r="7958" ht="15.75" customHeight="1">
      <c r="A7958" s="2">
        <v>2017.0</v>
      </c>
      <c r="B7958" s="2" t="s">
        <v>33362</v>
      </c>
      <c r="C7958" s="2" t="s">
        <v>33362</v>
      </c>
      <c r="D7958" s="2" t="str">
        <f>"254-291-8885"</f>
        <v>254-291-8885</v>
      </c>
      <c r="E7958" s="2" t="s">
        <v>471</v>
      </c>
      <c r="F7958" s="2" t="s">
        <v>2083</v>
      </c>
      <c r="G7958" s="2" t="str">
        <f>"SR-10815"</f>
        <v>SR-10815</v>
      </c>
      <c r="H7958" s="2" t="s">
        <v>33363</v>
      </c>
      <c r="I7958" s="2" t="s">
        <v>33364</v>
      </c>
      <c r="K7958" s="2" t="s">
        <v>1756</v>
      </c>
      <c r="L7958" s="2" t="s">
        <v>200</v>
      </c>
      <c r="M7958" s="2">
        <v>30809.0</v>
      </c>
      <c r="N7958" s="2" t="s">
        <v>21</v>
      </c>
    </row>
    <row r="7959" ht="15.75" customHeight="1">
      <c r="A7959" s="2">
        <v>2017.0</v>
      </c>
      <c r="B7959" s="2" t="s">
        <v>33365</v>
      </c>
      <c r="C7959" s="2" t="s">
        <v>33365</v>
      </c>
      <c r="D7959" s="2" t="str">
        <f>"832-908-8032"</f>
        <v>832-908-8032</v>
      </c>
      <c r="E7959" s="2" t="s">
        <v>2083</v>
      </c>
      <c r="F7959" s="2" t="s">
        <v>868</v>
      </c>
      <c r="G7959" s="2" t="str">
        <f>"SR-10812"</f>
        <v>SR-10812</v>
      </c>
      <c r="H7959" s="2" t="s">
        <v>33366</v>
      </c>
      <c r="I7959" s="2" t="s">
        <v>33367</v>
      </c>
      <c r="K7959" s="2" t="s">
        <v>27733</v>
      </c>
      <c r="L7959" s="2" t="s">
        <v>172</v>
      </c>
      <c r="M7959" s="2">
        <v>77459.0</v>
      </c>
      <c r="N7959" s="2" t="s">
        <v>21</v>
      </c>
    </row>
    <row r="7960" ht="15.75" customHeight="1">
      <c r="A7960" s="2">
        <v>2017.0</v>
      </c>
      <c r="B7960" s="2" t="s">
        <v>33368</v>
      </c>
      <c r="C7960" s="2" t="s">
        <v>33369</v>
      </c>
      <c r="D7960" s="2" t="str">
        <f>"4023168573"</f>
        <v>4023168573</v>
      </c>
      <c r="E7960" s="2" t="s">
        <v>386</v>
      </c>
      <c r="F7960" s="2" t="s">
        <v>3627</v>
      </c>
      <c r="G7960" s="2" t="str">
        <f>"SR-10851"</f>
        <v>SR-10851</v>
      </c>
      <c r="H7960" s="2" t="s">
        <v>33370</v>
      </c>
      <c r="I7960" s="2" t="s">
        <v>33371</v>
      </c>
      <c r="K7960" s="2" t="s">
        <v>11726</v>
      </c>
      <c r="L7960" s="2" t="s">
        <v>757</v>
      </c>
      <c r="M7960" s="2">
        <v>68701.0</v>
      </c>
      <c r="N7960" s="2" t="s">
        <v>21</v>
      </c>
    </row>
    <row r="7961" ht="15.75" customHeight="1">
      <c r="A7961" s="2">
        <v>2017.0</v>
      </c>
      <c r="B7961" s="2" t="s">
        <v>33372</v>
      </c>
      <c r="C7961" s="2" t="s">
        <v>33373</v>
      </c>
      <c r="D7961" s="2" t="str">
        <f>"620-204-0906"</f>
        <v>620-204-0906</v>
      </c>
      <c r="E7961" s="2" t="s">
        <v>2259</v>
      </c>
      <c r="F7961" s="2" t="s">
        <v>33374</v>
      </c>
      <c r="G7961" s="2" t="str">
        <f>"SR-10536"</f>
        <v>SR-10536</v>
      </c>
      <c r="H7961" s="2" t="s">
        <v>33375</v>
      </c>
      <c r="I7961" s="2" t="s">
        <v>33376</v>
      </c>
      <c r="K7961" s="2" t="s">
        <v>606</v>
      </c>
      <c r="L7961" s="2" t="s">
        <v>272</v>
      </c>
      <c r="M7961" s="2">
        <v>67230.0</v>
      </c>
      <c r="N7961" s="2" t="s">
        <v>21</v>
      </c>
    </row>
    <row r="7962" ht="15.75" customHeight="1">
      <c r="A7962" s="2">
        <v>2017.0</v>
      </c>
      <c r="B7962" s="2" t="s">
        <v>33377</v>
      </c>
      <c r="C7962" s="2" t="s">
        <v>33377</v>
      </c>
      <c r="D7962" s="2" t="str">
        <f>"(843)707-2828"</f>
        <v>(843)707-2828</v>
      </c>
      <c r="E7962" s="2" t="s">
        <v>3743</v>
      </c>
      <c r="F7962" s="2" t="s">
        <v>283</v>
      </c>
      <c r="G7962" s="2" t="str">
        <f>"SR-9930"</f>
        <v>SR-9930</v>
      </c>
      <c r="H7962" s="2" t="s">
        <v>33378</v>
      </c>
      <c r="I7962" s="2" t="s">
        <v>33379</v>
      </c>
      <c r="K7962" s="2" t="s">
        <v>7133</v>
      </c>
      <c r="L7962" s="2" t="s">
        <v>55</v>
      </c>
      <c r="M7962" s="2">
        <v>29924.0</v>
      </c>
      <c r="N7962" s="2" t="s">
        <v>21</v>
      </c>
    </row>
    <row r="7963" ht="15.75" customHeight="1">
      <c r="A7963" s="2">
        <v>2017.0</v>
      </c>
      <c r="B7963" s="2" t="s">
        <v>33380</v>
      </c>
      <c r="C7963" s="2" t="s">
        <v>33381</v>
      </c>
      <c r="D7963" s="2" t="str">
        <f>"8036335204"</f>
        <v>8036335204</v>
      </c>
      <c r="E7963" s="2" t="s">
        <v>160</v>
      </c>
      <c r="F7963" s="2" t="s">
        <v>1791</v>
      </c>
      <c r="G7963" s="2" t="str">
        <f>"SR-10316"</f>
        <v>SR-10316</v>
      </c>
      <c r="H7963" s="2" t="s">
        <v>33382</v>
      </c>
      <c r="I7963" s="2" t="s">
        <v>33383</v>
      </c>
      <c r="K7963" s="2" t="s">
        <v>2750</v>
      </c>
      <c r="L7963" s="2" t="s">
        <v>55</v>
      </c>
      <c r="M7963" s="2">
        <v>29212.0</v>
      </c>
      <c r="N7963" s="2" t="s">
        <v>21</v>
      </c>
    </row>
    <row r="7964" ht="15.75" customHeight="1">
      <c r="A7964" s="2">
        <v>2017.0</v>
      </c>
      <c r="B7964" s="2" t="s">
        <v>28417</v>
      </c>
      <c r="C7964" s="2" t="s">
        <v>28418</v>
      </c>
      <c r="D7964" s="2" t="str">
        <f>"8508904074"</f>
        <v>8508904074</v>
      </c>
      <c r="E7964" s="2" t="s">
        <v>1311</v>
      </c>
      <c r="F7964" s="2" t="s">
        <v>457</v>
      </c>
      <c r="G7964" s="2" t="str">
        <f>"SR-8820"</f>
        <v>SR-8820</v>
      </c>
      <c r="H7964" s="2" t="s">
        <v>28419</v>
      </c>
      <c r="I7964" s="2" t="s">
        <v>28420</v>
      </c>
      <c r="K7964" s="2" t="s">
        <v>3803</v>
      </c>
      <c r="L7964" s="2" t="s">
        <v>789</v>
      </c>
      <c r="M7964" s="2">
        <v>87144.0</v>
      </c>
      <c r="N7964" s="2" t="s">
        <v>21</v>
      </c>
    </row>
    <row r="7965" ht="15.75" customHeight="1">
      <c r="A7965" s="2">
        <v>2017.0</v>
      </c>
      <c r="B7965" s="2" t="s">
        <v>13695</v>
      </c>
      <c r="C7965" s="2" t="s">
        <v>33384</v>
      </c>
      <c r="D7965" s="2" t="str">
        <f>"303-763-0512"</f>
        <v>303-763-0512</v>
      </c>
      <c r="E7965" s="2" t="s">
        <v>301</v>
      </c>
      <c r="F7965" s="2" t="s">
        <v>13697</v>
      </c>
      <c r="G7965" s="2" t="str">
        <f>"SR-10687"</f>
        <v>SR-10687</v>
      </c>
      <c r="H7965" s="2" t="s">
        <v>33385</v>
      </c>
      <c r="I7965" s="2" t="s">
        <v>33386</v>
      </c>
      <c r="K7965" s="2" t="s">
        <v>1502</v>
      </c>
      <c r="L7965" s="2" t="s">
        <v>157</v>
      </c>
      <c r="M7965" s="2">
        <v>80007.0</v>
      </c>
      <c r="N7965" s="2" t="s">
        <v>21</v>
      </c>
    </row>
    <row r="7966" ht="15.75" customHeight="1">
      <c r="A7966" s="2">
        <v>2017.0</v>
      </c>
      <c r="B7966" s="2" t="s">
        <v>33387</v>
      </c>
      <c r="C7966" s="2" t="s">
        <v>33388</v>
      </c>
      <c r="D7966" s="2" t="str">
        <f>"9194356789"</f>
        <v>9194356789</v>
      </c>
      <c r="E7966" s="2" t="s">
        <v>2243</v>
      </c>
      <c r="F7966" s="2" t="s">
        <v>11287</v>
      </c>
      <c r="G7966" s="2" t="str">
        <f>"SR-10448"</f>
        <v>SR-10448</v>
      </c>
      <c r="H7966" s="2" t="s">
        <v>33389</v>
      </c>
      <c r="I7966" s="2" t="s">
        <v>33390</v>
      </c>
      <c r="K7966" s="2" t="s">
        <v>33391</v>
      </c>
      <c r="L7966" s="2" t="s">
        <v>20</v>
      </c>
      <c r="M7966" s="2">
        <v>27596.0</v>
      </c>
      <c r="N7966" s="2" t="s">
        <v>21</v>
      </c>
    </row>
    <row r="7967" ht="15.75" customHeight="1">
      <c r="A7967" s="2">
        <v>2017.0</v>
      </c>
      <c r="B7967" s="2" t="s">
        <v>33392</v>
      </c>
      <c r="C7967" s="2" t="s">
        <v>33393</v>
      </c>
      <c r="D7967" s="2" t="str">
        <f>"3076606757"</f>
        <v>3076606757</v>
      </c>
      <c r="E7967" s="2" t="s">
        <v>2598</v>
      </c>
      <c r="F7967" s="2" t="s">
        <v>2771</v>
      </c>
      <c r="G7967" s="2" t="str">
        <f>"SR-10880"</f>
        <v>SR-10880</v>
      </c>
      <c r="H7967" s="2" t="s">
        <v>33394</v>
      </c>
      <c r="I7967" s="2" t="s">
        <v>33395</v>
      </c>
      <c r="K7967" s="2" t="s">
        <v>12686</v>
      </c>
      <c r="L7967" s="2" t="s">
        <v>1540</v>
      </c>
      <c r="M7967" s="2">
        <v>82716.0</v>
      </c>
      <c r="N7967" s="2" t="s">
        <v>21</v>
      </c>
    </row>
    <row r="7968" ht="15.75" customHeight="1">
      <c r="A7968" s="2">
        <v>2017.0</v>
      </c>
      <c r="B7968" s="2" t="s">
        <v>16924</v>
      </c>
      <c r="C7968" s="2" t="s">
        <v>33396</v>
      </c>
      <c r="D7968" s="2" t="str">
        <f>"9528926958"</f>
        <v>9528926958</v>
      </c>
      <c r="E7968" s="2" t="s">
        <v>651</v>
      </c>
      <c r="F7968" s="2" t="s">
        <v>16926</v>
      </c>
      <c r="G7968" s="2" t="str">
        <f>"SR-10879"</f>
        <v>SR-10879</v>
      </c>
      <c r="H7968" s="2" t="s">
        <v>33397</v>
      </c>
      <c r="I7968" s="2" t="s">
        <v>33398</v>
      </c>
      <c r="K7968" s="2" t="s">
        <v>2267</v>
      </c>
      <c r="L7968" s="2" t="s">
        <v>62</v>
      </c>
      <c r="M7968" s="2">
        <v>55044.0</v>
      </c>
      <c r="N7968" s="2" t="s">
        <v>21</v>
      </c>
    </row>
    <row r="7969" ht="15.75" customHeight="1">
      <c r="A7969" s="2">
        <v>2017.0</v>
      </c>
      <c r="B7969" s="2" t="s">
        <v>26877</v>
      </c>
      <c r="C7969" s="2" t="s">
        <v>26877</v>
      </c>
      <c r="D7969" s="2" t="str">
        <f>"803-372-1636"</f>
        <v>803-372-1636</v>
      </c>
      <c r="E7969" s="2" t="s">
        <v>2988</v>
      </c>
      <c r="F7969" s="2" t="s">
        <v>182</v>
      </c>
      <c r="G7969" s="2" t="str">
        <f>"SR-8222"</f>
        <v>SR-8222</v>
      </c>
      <c r="H7969" s="2" t="s">
        <v>26878</v>
      </c>
      <c r="I7969" s="2" t="s">
        <v>13167</v>
      </c>
      <c r="K7969" s="2" t="s">
        <v>12999</v>
      </c>
      <c r="L7969" s="2" t="s">
        <v>55</v>
      </c>
      <c r="M7969" s="2">
        <v>29710.0</v>
      </c>
      <c r="N7969" s="2" t="s">
        <v>21</v>
      </c>
    </row>
    <row r="7970" ht="15.75" customHeight="1">
      <c r="A7970" s="2">
        <v>2017.0</v>
      </c>
      <c r="B7970" s="2" t="s">
        <v>33399</v>
      </c>
      <c r="C7970" s="2" t="s">
        <v>33400</v>
      </c>
      <c r="D7970" s="2" t="str">
        <f>"952-255-9816"</f>
        <v>952-255-9816</v>
      </c>
      <c r="E7970" s="2" t="s">
        <v>1088</v>
      </c>
      <c r="F7970" s="2" t="s">
        <v>33401</v>
      </c>
      <c r="G7970" s="2" t="str">
        <f>"SR-10882"</f>
        <v>SR-10882</v>
      </c>
      <c r="H7970" s="2" t="s">
        <v>33402</v>
      </c>
      <c r="I7970" s="2" t="s">
        <v>33403</v>
      </c>
      <c r="K7970" s="2" t="s">
        <v>1765</v>
      </c>
      <c r="L7970" s="2" t="s">
        <v>62</v>
      </c>
      <c r="M7970" s="2">
        <v>55378.0</v>
      </c>
      <c r="N7970" s="2" t="s">
        <v>21</v>
      </c>
    </row>
    <row r="7971" ht="15.75" customHeight="1">
      <c r="A7971" s="2">
        <v>2017.0</v>
      </c>
      <c r="B7971" s="2" t="s">
        <v>33404</v>
      </c>
      <c r="C7971" s="2" t="s">
        <v>33405</v>
      </c>
      <c r="D7971" s="2" t="str">
        <f>"(859)-270-2214"</f>
        <v>(859)-270-2214</v>
      </c>
      <c r="E7971" s="2" t="s">
        <v>843</v>
      </c>
      <c r="F7971" s="2" t="s">
        <v>33406</v>
      </c>
      <c r="G7971" s="2" t="str">
        <f>"SR-10656"</f>
        <v>SR-10656</v>
      </c>
      <c r="H7971" s="2" t="s">
        <v>33407</v>
      </c>
      <c r="I7971" s="2" t="s">
        <v>33408</v>
      </c>
      <c r="K7971" s="2" t="s">
        <v>254</v>
      </c>
      <c r="L7971" s="2" t="s">
        <v>1236</v>
      </c>
      <c r="M7971" s="2">
        <v>40515.0</v>
      </c>
      <c r="N7971" s="2" t="s">
        <v>21</v>
      </c>
    </row>
    <row r="7972" ht="15.75" customHeight="1">
      <c r="A7972" s="2">
        <v>2017.0</v>
      </c>
      <c r="B7972" s="2" t="s">
        <v>33409</v>
      </c>
      <c r="C7972" s="2" t="s">
        <v>33409</v>
      </c>
      <c r="D7972" s="2" t="str">
        <f>"(631) 902-8186"</f>
        <v>(631) 902-8186</v>
      </c>
      <c r="E7972" s="2" t="s">
        <v>2988</v>
      </c>
      <c r="F7972" s="2" t="s">
        <v>962</v>
      </c>
      <c r="G7972" s="2" t="str">
        <f>"SR-10886"</f>
        <v>SR-10886</v>
      </c>
      <c r="H7972" s="2" t="s">
        <v>33410</v>
      </c>
      <c r="I7972" s="2" t="s">
        <v>33411</v>
      </c>
      <c r="K7972" s="2" t="s">
        <v>809</v>
      </c>
      <c r="L7972" s="2" t="s">
        <v>157</v>
      </c>
      <c r="M7972" s="2">
        <v>80921.0</v>
      </c>
      <c r="N7972" s="2" t="s">
        <v>21</v>
      </c>
    </row>
    <row r="7973" ht="15.75" customHeight="1">
      <c r="A7973" s="2">
        <v>2017.0</v>
      </c>
      <c r="B7973" s="2" t="s">
        <v>18347</v>
      </c>
      <c r="C7973" s="2" t="s">
        <v>33412</v>
      </c>
      <c r="D7973" s="2" t="str">
        <f>"520-743-1994"</f>
        <v>520-743-1994</v>
      </c>
      <c r="E7973" s="2" t="s">
        <v>718</v>
      </c>
      <c r="F7973" s="2" t="s">
        <v>2342</v>
      </c>
      <c r="G7973" s="2" t="str">
        <f>"SR-10213"</f>
        <v>SR-10213</v>
      </c>
      <c r="H7973" s="2" t="s">
        <v>33413</v>
      </c>
      <c r="I7973" s="2" t="s">
        <v>18350</v>
      </c>
      <c r="K7973" s="2" t="s">
        <v>5946</v>
      </c>
      <c r="L7973" s="2" t="s">
        <v>422</v>
      </c>
      <c r="M7973" s="2">
        <v>85750.0</v>
      </c>
      <c r="N7973" s="2" t="s">
        <v>21</v>
      </c>
    </row>
    <row r="7974" ht="15.75" customHeight="1">
      <c r="A7974" s="2">
        <v>2017.0</v>
      </c>
      <c r="B7974" s="2" t="s">
        <v>18347</v>
      </c>
      <c r="C7974" s="2" t="s">
        <v>18348</v>
      </c>
      <c r="D7974" s="2" t="str">
        <f>"520-273-0247"</f>
        <v>520-273-0247</v>
      </c>
      <c r="E7974" s="2" t="s">
        <v>167</v>
      </c>
      <c r="F7974" s="2" t="s">
        <v>2342</v>
      </c>
      <c r="G7974" s="2" t="str">
        <f>"SR-5660"</f>
        <v>SR-5660</v>
      </c>
      <c r="H7974" s="2" t="s">
        <v>18349</v>
      </c>
      <c r="I7974" s="2" t="s">
        <v>18350</v>
      </c>
      <c r="K7974" s="2" t="s">
        <v>5946</v>
      </c>
      <c r="L7974" s="2" t="s">
        <v>422</v>
      </c>
      <c r="M7974" s="2">
        <v>85750.0</v>
      </c>
      <c r="N7974" s="2" t="s">
        <v>21</v>
      </c>
    </row>
    <row r="7975" ht="15.75" customHeight="1">
      <c r="A7975" s="2">
        <v>2017.0</v>
      </c>
      <c r="B7975" s="2" t="s">
        <v>33414</v>
      </c>
      <c r="C7975" s="2" t="s">
        <v>33415</v>
      </c>
      <c r="D7975" s="2" t="str">
        <f>"303-325-1692"</f>
        <v>303-325-1692</v>
      </c>
      <c r="E7975" s="2" t="s">
        <v>843</v>
      </c>
      <c r="F7975" s="2" t="s">
        <v>29672</v>
      </c>
      <c r="G7975" s="2" t="str">
        <f>"SR-9377"</f>
        <v>SR-9377</v>
      </c>
      <c r="H7975" s="2" t="s">
        <v>33416</v>
      </c>
      <c r="I7975" s="2" t="s">
        <v>33417</v>
      </c>
      <c r="K7975" s="2" t="s">
        <v>6308</v>
      </c>
      <c r="L7975" s="2" t="s">
        <v>157</v>
      </c>
      <c r="M7975" s="2">
        <v>80116.0</v>
      </c>
      <c r="N7975" s="2" t="s">
        <v>21</v>
      </c>
    </row>
    <row r="7976" ht="15.75" customHeight="1">
      <c r="A7976" s="2">
        <v>2017.0</v>
      </c>
      <c r="B7976" s="2" t="s">
        <v>33418</v>
      </c>
      <c r="C7976" s="2" t="s">
        <v>33419</v>
      </c>
      <c r="D7976" s="2" t="str">
        <f>"308-850-7537"</f>
        <v>308-850-7537</v>
      </c>
      <c r="E7976" s="2" t="s">
        <v>33420</v>
      </c>
      <c r="F7976" s="2" t="s">
        <v>256</v>
      </c>
      <c r="G7976" s="2" t="str">
        <f>"SR-10747"</f>
        <v>SR-10747</v>
      </c>
      <c r="H7976" s="2" t="s">
        <v>33421</v>
      </c>
      <c r="I7976" s="2" t="s">
        <v>33422</v>
      </c>
      <c r="K7976" s="2" t="s">
        <v>22708</v>
      </c>
      <c r="L7976" s="2" t="s">
        <v>757</v>
      </c>
      <c r="M7976" s="2">
        <v>68827.0</v>
      </c>
      <c r="N7976" s="2" t="s">
        <v>21</v>
      </c>
    </row>
    <row r="7977" ht="15.75" customHeight="1">
      <c r="A7977" s="2">
        <v>2017.0</v>
      </c>
      <c r="B7977" s="2" t="s">
        <v>33423</v>
      </c>
      <c r="C7977" s="2" t="s">
        <v>33424</v>
      </c>
      <c r="D7977" s="2" t="str">
        <f>"8708672391"</f>
        <v>8708672391</v>
      </c>
      <c r="E7977" s="2" t="s">
        <v>1614</v>
      </c>
      <c r="F7977" s="2" t="s">
        <v>33425</v>
      </c>
      <c r="G7977" s="2" t="str">
        <f>"SR-10785"</f>
        <v>SR-10785</v>
      </c>
      <c r="H7977" s="2" t="s">
        <v>33426</v>
      </c>
      <c r="I7977" s="2" t="s">
        <v>33427</v>
      </c>
      <c r="K7977" s="2" t="s">
        <v>1312</v>
      </c>
      <c r="L7977" s="2" t="s">
        <v>1012</v>
      </c>
      <c r="M7977" s="2">
        <v>71969.0</v>
      </c>
      <c r="N7977" s="2" t="s">
        <v>21</v>
      </c>
    </row>
    <row r="7978" ht="15.75" customHeight="1">
      <c r="A7978" s="2">
        <v>2017.0</v>
      </c>
      <c r="B7978" s="2" t="s">
        <v>33387</v>
      </c>
      <c r="C7978" s="2" t="s">
        <v>33428</v>
      </c>
      <c r="D7978" s="2" t="str">
        <f>"919-435-6789"</f>
        <v>919-435-6789</v>
      </c>
      <c r="E7978" s="2" t="s">
        <v>4224</v>
      </c>
      <c r="F7978" s="2" t="s">
        <v>11287</v>
      </c>
      <c r="G7978" s="2" t="str">
        <f>"SR-10894"</f>
        <v>SR-10894</v>
      </c>
      <c r="H7978" s="2" t="s">
        <v>33429</v>
      </c>
      <c r="I7978" s="2" t="s">
        <v>33390</v>
      </c>
      <c r="K7978" s="2" t="s">
        <v>33391</v>
      </c>
      <c r="L7978" s="2" t="s">
        <v>20</v>
      </c>
      <c r="M7978" s="2">
        <v>27596.0</v>
      </c>
      <c r="N7978" s="2" t="s">
        <v>21</v>
      </c>
    </row>
    <row r="7979" ht="15.75" customHeight="1">
      <c r="A7979" s="2">
        <v>2017.0</v>
      </c>
      <c r="B7979" s="2" t="s">
        <v>33430</v>
      </c>
      <c r="C7979" s="2" t="s">
        <v>33430</v>
      </c>
      <c r="D7979" s="2" t="str">
        <f>"9402188265"</f>
        <v>9402188265</v>
      </c>
      <c r="E7979" s="2" t="s">
        <v>33431</v>
      </c>
      <c r="F7979" s="2" t="s">
        <v>7523</v>
      </c>
      <c r="G7979" s="2" t="str">
        <f>"SR-10885"</f>
        <v>SR-10885</v>
      </c>
      <c r="H7979" s="2" t="s">
        <v>33432</v>
      </c>
      <c r="I7979" s="2" t="s">
        <v>33433</v>
      </c>
      <c r="K7979" s="2" t="s">
        <v>6539</v>
      </c>
      <c r="L7979" s="2" t="s">
        <v>172</v>
      </c>
      <c r="M7979" s="2">
        <v>76210.0</v>
      </c>
      <c r="N7979" s="2" t="s">
        <v>21</v>
      </c>
    </row>
    <row r="7980" ht="15.75" customHeight="1">
      <c r="A7980" s="2">
        <v>2017.0</v>
      </c>
      <c r="B7980" s="2" t="s">
        <v>24891</v>
      </c>
      <c r="C7980" s="2" t="s">
        <v>24891</v>
      </c>
      <c r="D7980" s="2" t="str">
        <f>"319-929-3398"</f>
        <v>319-929-3398</v>
      </c>
      <c r="E7980" s="2" t="s">
        <v>2147</v>
      </c>
      <c r="F7980" s="2" t="s">
        <v>24892</v>
      </c>
      <c r="G7980" s="2" t="str">
        <f>"SR-7866"</f>
        <v>SR-7866</v>
      </c>
      <c r="H7980" s="2" t="s">
        <v>24893</v>
      </c>
      <c r="I7980" s="2" t="s">
        <v>24894</v>
      </c>
      <c r="K7980" s="2" t="s">
        <v>3273</v>
      </c>
      <c r="L7980" s="2" t="s">
        <v>560</v>
      </c>
      <c r="M7980" s="2">
        <v>52405.0</v>
      </c>
      <c r="N7980" s="2" t="s">
        <v>21</v>
      </c>
    </row>
    <row r="7981" ht="15.75" customHeight="1">
      <c r="A7981" s="2">
        <v>2017.0</v>
      </c>
      <c r="B7981" s="2" t="s">
        <v>24505</v>
      </c>
      <c r="C7981" s="2" t="s">
        <v>33434</v>
      </c>
      <c r="D7981" s="2" t="str">
        <f>"317-475-9765"</f>
        <v>317-475-9765</v>
      </c>
      <c r="E7981" s="2" t="s">
        <v>1725</v>
      </c>
      <c r="F7981" s="2" t="s">
        <v>1756</v>
      </c>
      <c r="G7981" s="2" t="str">
        <f>"SR-10759"</f>
        <v>SR-10759</v>
      </c>
      <c r="H7981" s="2" t="s">
        <v>33435</v>
      </c>
      <c r="I7981" s="2" t="s">
        <v>33436</v>
      </c>
      <c r="K7981" s="2" t="s">
        <v>1188</v>
      </c>
      <c r="L7981" s="2" t="s">
        <v>149</v>
      </c>
      <c r="M7981" s="2">
        <v>46220.0</v>
      </c>
      <c r="N7981" s="2" t="s">
        <v>21</v>
      </c>
    </row>
    <row r="7982" ht="15.75" customHeight="1">
      <c r="A7982" s="2">
        <v>2017.0</v>
      </c>
      <c r="B7982" s="2" t="s">
        <v>33437</v>
      </c>
      <c r="C7982" s="2" t="s">
        <v>33438</v>
      </c>
      <c r="D7982" s="2" t="str">
        <f>"9184309179"</f>
        <v>9184309179</v>
      </c>
      <c r="E7982" s="2" t="s">
        <v>503</v>
      </c>
      <c r="F7982" s="2" t="s">
        <v>2852</v>
      </c>
      <c r="G7982" s="2" t="str">
        <f>"SR-10899"</f>
        <v>SR-10899</v>
      </c>
      <c r="H7982" s="2" t="s">
        <v>33439</v>
      </c>
      <c r="I7982" s="2" t="s">
        <v>33440</v>
      </c>
      <c r="K7982" s="2" t="s">
        <v>33441</v>
      </c>
      <c r="L7982" s="2" t="s">
        <v>840</v>
      </c>
      <c r="M7982" s="2">
        <v>74011.0</v>
      </c>
      <c r="N7982" s="2" t="s">
        <v>21</v>
      </c>
    </row>
    <row r="7983" ht="15.75" customHeight="1">
      <c r="A7983" s="2">
        <v>2017.0</v>
      </c>
      <c r="B7983" s="2" t="s">
        <v>33442</v>
      </c>
      <c r="C7983" s="2" t="s">
        <v>33443</v>
      </c>
      <c r="D7983" s="2" t="str">
        <f>"5157783837"</f>
        <v>5157783837</v>
      </c>
      <c r="E7983" s="2" t="s">
        <v>4665</v>
      </c>
      <c r="F7983" s="2" t="s">
        <v>4330</v>
      </c>
      <c r="G7983" s="2" t="str">
        <f>"SR-10898"</f>
        <v>SR-10898</v>
      </c>
      <c r="H7983" s="2" t="s">
        <v>33444</v>
      </c>
      <c r="I7983" s="2" t="s">
        <v>33445</v>
      </c>
      <c r="K7983" s="2" t="s">
        <v>33446</v>
      </c>
      <c r="L7983" s="2" t="s">
        <v>560</v>
      </c>
      <c r="M7983" s="2">
        <v>50003.0</v>
      </c>
      <c r="N7983" s="2" t="s">
        <v>21</v>
      </c>
    </row>
    <row r="7984" ht="15.75" customHeight="1">
      <c r="A7984" s="2">
        <v>2017.0</v>
      </c>
      <c r="B7984" s="2" t="s">
        <v>24505</v>
      </c>
      <c r="C7984" s="2" t="s">
        <v>33447</v>
      </c>
      <c r="D7984" s="2" t="str">
        <f>"3177905051"</f>
        <v>3177905051</v>
      </c>
      <c r="E7984" s="2" t="s">
        <v>13609</v>
      </c>
      <c r="F7984" s="2" t="s">
        <v>1301</v>
      </c>
      <c r="G7984" s="2" t="str">
        <f>"SR-10902"</f>
        <v>SR-10902</v>
      </c>
      <c r="H7984" s="2" t="s">
        <v>33448</v>
      </c>
      <c r="I7984" s="2" t="s">
        <v>33449</v>
      </c>
      <c r="K7984" s="2" t="s">
        <v>2660</v>
      </c>
      <c r="L7984" s="2" t="s">
        <v>149</v>
      </c>
      <c r="M7984" s="2">
        <v>46038.0</v>
      </c>
      <c r="N7984" s="2" t="s">
        <v>21</v>
      </c>
    </row>
    <row r="7985" ht="15.75" customHeight="1">
      <c r="A7985" s="2">
        <v>2017.0</v>
      </c>
      <c r="B7985" s="2" t="s">
        <v>33450</v>
      </c>
      <c r="C7985" s="2" t="s">
        <v>25485</v>
      </c>
      <c r="D7985" s="2" t="str">
        <f>"8632430455"</f>
        <v>8632430455</v>
      </c>
      <c r="E7985" s="2" t="s">
        <v>20726</v>
      </c>
      <c r="F7985" s="2" t="s">
        <v>33451</v>
      </c>
      <c r="G7985" s="2" t="str">
        <f>"SR-10900"</f>
        <v>SR-10900</v>
      </c>
      <c r="H7985" s="2" t="s">
        <v>33452</v>
      </c>
      <c r="I7985" s="2" t="s">
        <v>33453</v>
      </c>
      <c r="K7985" s="2" t="s">
        <v>26300</v>
      </c>
      <c r="L7985" s="2" t="s">
        <v>208</v>
      </c>
      <c r="M7985" s="2">
        <v>33852.0</v>
      </c>
      <c r="N7985" s="2" t="s">
        <v>21</v>
      </c>
    </row>
    <row r="7986" ht="15.75" customHeight="1">
      <c r="A7986" s="2">
        <v>2017.0</v>
      </c>
      <c r="B7986" s="2" t="s">
        <v>33454</v>
      </c>
      <c r="C7986" s="2" t="s">
        <v>33454</v>
      </c>
      <c r="D7986" s="2" t="str">
        <f>"9492925419"</f>
        <v>9492925419</v>
      </c>
      <c r="E7986" s="2" t="s">
        <v>1324</v>
      </c>
      <c r="F7986" s="2" t="s">
        <v>33455</v>
      </c>
      <c r="G7986" s="2" t="str">
        <f>"SR-10905"</f>
        <v>SR-10905</v>
      </c>
      <c r="H7986" s="2" t="s">
        <v>33456</v>
      </c>
      <c r="I7986" s="2" t="s">
        <v>33457</v>
      </c>
      <c r="K7986" s="2" t="s">
        <v>33458</v>
      </c>
      <c r="L7986" s="2" t="s">
        <v>422</v>
      </c>
      <c r="M7986" s="2">
        <v>85658.0</v>
      </c>
      <c r="N7986" s="2" t="s">
        <v>21</v>
      </c>
    </row>
    <row r="7987" ht="15.75" customHeight="1">
      <c r="A7987" s="2">
        <v>2017.0</v>
      </c>
      <c r="B7987" s="2" t="s">
        <v>33459</v>
      </c>
      <c r="C7987" s="2" t="s">
        <v>33460</v>
      </c>
      <c r="D7987" s="2" t="str">
        <f>"4327707288"</f>
        <v>4327707288</v>
      </c>
      <c r="E7987" s="2" t="s">
        <v>5906</v>
      </c>
      <c r="F7987" s="2" t="s">
        <v>6494</v>
      </c>
      <c r="G7987" s="2" t="str">
        <f>"SR-10806"</f>
        <v>SR-10806</v>
      </c>
      <c r="H7987" s="2" t="s">
        <v>33461</v>
      </c>
      <c r="I7987" s="2" t="s">
        <v>33462</v>
      </c>
      <c r="K7987" s="2" t="s">
        <v>286</v>
      </c>
      <c r="L7987" s="2" t="s">
        <v>172</v>
      </c>
      <c r="M7987" s="2">
        <v>79706.0</v>
      </c>
      <c r="N7987" s="2" t="s">
        <v>21</v>
      </c>
    </row>
    <row r="7988" ht="15.75" customHeight="1">
      <c r="A7988" s="2">
        <v>2017.0</v>
      </c>
      <c r="B7988" s="2" t="s">
        <v>33463</v>
      </c>
      <c r="C7988" s="2" t="s">
        <v>33464</v>
      </c>
      <c r="D7988" s="2" t="str">
        <f>"3037741834"</f>
        <v>3037741834</v>
      </c>
      <c r="E7988" s="2" t="s">
        <v>528</v>
      </c>
      <c r="F7988" s="2" t="s">
        <v>33465</v>
      </c>
      <c r="G7988" s="2" t="str">
        <f>"SR-8593"</f>
        <v>SR-8593</v>
      </c>
      <c r="H7988" s="2" t="s">
        <v>33466</v>
      </c>
      <c r="I7988" s="2" t="s">
        <v>33467</v>
      </c>
      <c r="K7988" s="2" t="s">
        <v>2317</v>
      </c>
      <c r="L7988" s="2" t="s">
        <v>157</v>
      </c>
      <c r="M7988" s="2">
        <v>80504.0</v>
      </c>
      <c r="N7988" s="2" t="s">
        <v>21</v>
      </c>
    </row>
    <row r="7989" ht="15.75" customHeight="1">
      <c r="A7989" s="2">
        <v>2017.0</v>
      </c>
      <c r="B7989" s="2" t="s">
        <v>33468</v>
      </c>
      <c r="C7989" s="2" t="s">
        <v>33468</v>
      </c>
      <c r="D7989" s="2" t="str">
        <f>"(315) 725-2661"</f>
        <v>(315) 725-2661</v>
      </c>
      <c r="E7989" s="2" t="s">
        <v>678</v>
      </c>
      <c r="F7989" s="2" t="s">
        <v>33469</v>
      </c>
      <c r="G7989" s="2" t="str">
        <f>"SR-10810"</f>
        <v>SR-10810</v>
      </c>
      <c r="H7989" s="2" t="s">
        <v>33470</v>
      </c>
      <c r="I7989" s="2" t="s">
        <v>33471</v>
      </c>
      <c r="J7989" s="2" t="s">
        <v>33472</v>
      </c>
      <c r="K7989" s="2" t="s">
        <v>33473</v>
      </c>
      <c r="L7989" s="2" t="s">
        <v>142</v>
      </c>
      <c r="M7989" s="2">
        <v>13431.0</v>
      </c>
      <c r="N7989" s="2" t="s">
        <v>21</v>
      </c>
    </row>
    <row r="7990" ht="15.75" customHeight="1">
      <c r="A7990" s="2">
        <v>2017.0</v>
      </c>
      <c r="B7990" s="2" t="s">
        <v>22508</v>
      </c>
      <c r="C7990" s="2" t="s">
        <v>33474</v>
      </c>
      <c r="D7990" s="2" t="str">
        <f>"253-304-4141"</f>
        <v>253-304-4141</v>
      </c>
      <c r="E7990" s="2" t="s">
        <v>261</v>
      </c>
      <c r="F7990" s="2" t="s">
        <v>22510</v>
      </c>
      <c r="G7990" s="2" t="str">
        <f>"SR-10914"</f>
        <v>SR-10914</v>
      </c>
      <c r="H7990" s="2" t="s">
        <v>33475</v>
      </c>
      <c r="I7990" s="2" t="s">
        <v>22512</v>
      </c>
      <c r="K7990" s="2" t="s">
        <v>22513</v>
      </c>
      <c r="L7990" s="2" t="s">
        <v>86</v>
      </c>
      <c r="M7990" s="2">
        <v>98407.0</v>
      </c>
      <c r="N7990" s="2" t="s">
        <v>21</v>
      </c>
    </row>
    <row r="7991" ht="15.75" customHeight="1">
      <c r="A7991" s="2">
        <v>2017.0</v>
      </c>
      <c r="B7991" s="2" t="s">
        <v>33476</v>
      </c>
      <c r="C7991" s="2" t="s">
        <v>33476</v>
      </c>
      <c r="D7991" s="2" t="str">
        <f>"8034697171"</f>
        <v>8034697171</v>
      </c>
      <c r="E7991" s="2" t="s">
        <v>1585</v>
      </c>
      <c r="F7991" s="2" t="s">
        <v>1325</v>
      </c>
      <c r="G7991" s="2" t="str">
        <f>"SR-10305"</f>
        <v>SR-10305</v>
      </c>
      <c r="H7991" s="2" t="s">
        <v>33477</v>
      </c>
      <c r="I7991" s="2" t="s">
        <v>33478</v>
      </c>
      <c r="K7991" s="2" t="s">
        <v>25488</v>
      </c>
      <c r="L7991" s="2" t="s">
        <v>55</v>
      </c>
      <c r="M7991" s="2">
        <v>29150.0</v>
      </c>
      <c r="N7991" s="2" t="s">
        <v>21</v>
      </c>
    </row>
    <row r="7992" ht="15.75" customHeight="1">
      <c r="A7992" s="2">
        <v>2017.0</v>
      </c>
      <c r="B7992" s="2" t="s">
        <v>33479</v>
      </c>
      <c r="C7992" s="2" t="s">
        <v>33480</v>
      </c>
      <c r="D7992" s="2" t="str">
        <f>"7199631135"</f>
        <v>7199631135</v>
      </c>
      <c r="E7992" s="2" t="s">
        <v>33481</v>
      </c>
      <c r="F7992" s="2" t="s">
        <v>33482</v>
      </c>
      <c r="G7992" s="2" t="str">
        <f>"SR-10915"</f>
        <v>SR-10915</v>
      </c>
      <c r="H7992" s="2" t="s">
        <v>33483</v>
      </c>
      <c r="I7992" s="2" t="s">
        <v>33484</v>
      </c>
      <c r="K7992" s="2" t="s">
        <v>809</v>
      </c>
      <c r="L7992" s="2" t="s">
        <v>157</v>
      </c>
      <c r="M7992" s="2">
        <v>80921.0</v>
      </c>
      <c r="N7992" s="2" t="s">
        <v>21</v>
      </c>
    </row>
    <row r="7993" ht="15.75" customHeight="1">
      <c r="A7993" s="2">
        <v>2017.0</v>
      </c>
      <c r="B7993" s="2" t="s">
        <v>18595</v>
      </c>
      <c r="C7993" s="2" t="s">
        <v>33485</v>
      </c>
      <c r="D7993" s="2" t="str">
        <f>"9193230118"</f>
        <v>9193230118</v>
      </c>
      <c r="E7993" s="2" t="s">
        <v>50</v>
      </c>
      <c r="F7993" s="2" t="s">
        <v>1352</v>
      </c>
      <c r="G7993" s="2" t="str">
        <f>"SR-10922"</f>
        <v>SR-10922</v>
      </c>
      <c r="H7993" s="2" t="s">
        <v>33486</v>
      </c>
      <c r="I7993" s="2" t="s">
        <v>33487</v>
      </c>
      <c r="K7993" s="2" t="s">
        <v>7993</v>
      </c>
      <c r="L7993" s="2" t="s">
        <v>20</v>
      </c>
      <c r="M7993" s="2">
        <v>27614.0</v>
      </c>
      <c r="N7993" s="2" t="s">
        <v>21</v>
      </c>
    </row>
    <row r="7994" ht="15.75" customHeight="1">
      <c r="A7994" s="2">
        <v>2017.0</v>
      </c>
      <c r="B7994" s="2" t="s">
        <v>33488</v>
      </c>
      <c r="C7994" s="2" t="s">
        <v>33488</v>
      </c>
      <c r="D7994" s="2" t="str">
        <f>"336-598-2658"</f>
        <v>336-598-2658</v>
      </c>
      <c r="E7994" s="2" t="s">
        <v>428</v>
      </c>
      <c r="F7994" s="2" t="s">
        <v>2598</v>
      </c>
      <c r="G7994" s="2" t="str">
        <f>"SR-10286"</f>
        <v>SR-10286</v>
      </c>
      <c r="H7994" s="2" t="s">
        <v>33489</v>
      </c>
      <c r="I7994" s="2" t="s">
        <v>20053</v>
      </c>
      <c r="K7994" s="2" t="s">
        <v>20054</v>
      </c>
      <c r="L7994" s="2" t="s">
        <v>20</v>
      </c>
      <c r="M7994" s="2">
        <v>27574.0</v>
      </c>
      <c r="N7994" s="2" t="s">
        <v>21</v>
      </c>
    </row>
    <row r="7995" ht="15.75" customHeight="1">
      <c r="A7995" s="2">
        <v>2017.0</v>
      </c>
      <c r="B7995" s="2" t="s">
        <v>33490</v>
      </c>
      <c r="C7995" s="2" t="s">
        <v>33491</v>
      </c>
      <c r="D7995" s="2" t="str">
        <f>"9195183925"</f>
        <v>9195183925</v>
      </c>
      <c r="E7995" s="2" t="s">
        <v>22983</v>
      </c>
      <c r="F7995" s="2" t="s">
        <v>10775</v>
      </c>
      <c r="G7995" s="2" t="str">
        <f>"SR-10920"</f>
        <v>SR-10920</v>
      </c>
      <c r="H7995" s="2" t="s">
        <v>33492</v>
      </c>
      <c r="I7995" s="2" t="s">
        <v>33493</v>
      </c>
      <c r="K7995" s="2" t="s">
        <v>33494</v>
      </c>
      <c r="L7995" s="2" t="s">
        <v>20</v>
      </c>
      <c r="M7995" s="2">
        <v>27526.0</v>
      </c>
      <c r="N7995" s="2" t="s">
        <v>21</v>
      </c>
    </row>
    <row r="7996" ht="15.75" customHeight="1">
      <c r="A7996" s="2">
        <v>2017.0</v>
      </c>
      <c r="B7996" s="2" t="s">
        <v>33495</v>
      </c>
      <c r="C7996" s="2" t="s">
        <v>33496</v>
      </c>
      <c r="D7996" s="2" t="str">
        <f>"3366021373"</f>
        <v>3366021373</v>
      </c>
      <c r="E7996" s="2" t="s">
        <v>705</v>
      </c>
      <c r="F7996" s="2" t="s">
        <v>33497</v>
      </c>
      <c r="G7996" s="2" t="str">
        <f>"SR-10874"</f>
        <v>SR-10874</v>
      </c>
      <c r="H7996" s="2" t="s">
        <v>33498</v>
      </c>
      <c r="I7996" s="2" t="s">
        <v>33499</v>
      </c>
      <c r="K7996" s="2" t="s">
        <v>7630</v>
      </c>
      <c r="L7996" s="2" t="s">
        <v>20</v>
      </c>
      <c r="M7996" s="2">
        <v>27107.0</v>
      </c>
      <c r="N7996" s="2" t="s">
        <v>21</v>
      </c>
    </row>
    <row r="7997" ht="15.75" customHeight="1">
      <c r="A7997" s="2">
        <v>2017.0</v>
      </c>
      <c r="B7997" s="2" t="s">
        <v>28021</v>
      </c>
      <c r="C7997" s="2" t="s">
        <v>30291</v>
      </c>
      <c r="D7997" s="2" t="str">
        <f>"316-209-3915"</f>
        <v>316-209-3915</v>
      </c>
      <c r="E7997" s="2" t="s">
        <v>453</v>
      </c>
      <c r="F7997" s="2" t="s">
        <v>28024</v>
      </c>
      <c r="G7997" s="2" t="str">
        <f>"SR-10918"</f>
        <v>SR-10918</v>
      </c>
      <c r="H7997" s="2" t="s">
        <v>33500</v>
      </c>
      <c r="I7997" s="2" t="s">
        <v>33501</v>
      </c>
      <c r="K7997" s="2" t="s">
        <v>6539</v>
      </c>
      <c r="L7997" s="2" t="s">
        <v>172</v>
      </c>
      <c r="M7997" s="2">
        <v>76210.0</v>
      </c>
      <c r="N7997" s="2" t="s">
        <v>21</v>
      </c>
    </row>
    <row r="7998" ht="15.75" customHeight="1">
      <c r="A7998" s="2">
        <v>2017.0</v>
      </c>
      <c r="B7998" s="2" t="s">
        <v>33502</v>
      </c>
      <c r="C7998" s="2" t="s">
        <v>33503</v>
      </c>
      <c r="D7998" s="2" t="str">
        <f>"616-296-0788"</f>
        <v>616-296-0788</v>
      </c>
      <c r="E7998" s="2" t="s">
        <v>718</v>
      </c>
      <c r="F7998" s="2" t="s">
        <v>33504</v>
      </c>
      <c r="G7998" s="2" t="str">
        <f>"SR-10923"</f>
        <v>SR-10923</v>
      </c>
      <c r="H7998" s="2" t="s">
        <v>33505</v>
      </c>
      <c r="I7998" s="2" t="s">
        <v>33506</v>
      </c>
      <c r="K7998" s="2" t="s">
        <v>33507</v>
      </c>
      <c r="L7998" s="2" t="s">
        <v>29</v>
      </c>
      <c r="M7998" s="2">
        <v>49456.0</v>
      </c>
      <c r="N7998" s="2" t="s">
        <v>21</v>
      </c>
    </row>
    <row r="7999" ht="15.75" customHeight="1">
      <c r="A7999" s="2">
        <v>2017.0</v>
      </c>
      <c r="B7999" s="2" t="s">
        <v>33508</v>
      </c>
      <c r="C7999" s="2" t="s">
        <v>33509</v>
      </c>
      <c r="D7999" s="2" t="str">
        <f>"8658987776"</f>
        <v>8658987776</v>
      </c>
      <c r="E7999" s="2" t="s">
        <v>7892</v>
      </c>
      <c r="F7999" s="2" t="s">
        <v>33510</v>
      </c>
      <c r="G7999" s="2" t="str">
        <f>"SR-10925"</f>
        <v>SR-10925</v>
      </c>
      <c r="H7999" s="2" t="s">
        <v>33511</v>
      </c>
      <c r="I7999" s="2" t="s">
        <v>33512</v>
      </c>
      <c r="K7999" s="2" t="s">
        <v>6168</v>
      </c>
      <c r="L7999" s="2" t="s">
        <v>279</v>
      </c>
      <c r="M7999" s="2">
        <v>37934.0</v>
      </c>
      <c r="N7999" s="2" t="s">
        <v>21</v>
      </c>
    </row>
    <row r="8000" ht="15.75" customHeight="1">
      <c r="A8000" s="2">
        <v>2017.0</v>
      </c>
      <c r="B8000" s="2" t="s">
        <v>26516</v>
      </c>
      <c r="C8000" s="2" t="s">
        <v>26516</v>
      </c>
      <c r="D8000" s="2" t="str">
        <f>"(540) 966-4365"</f>
        <v>(540) 966-4365</v>
      </c>
      <c r="E8000" s="2" t="s">
        <v>862</v>
      </c>
      <c r="F8000" s="2" t="s">
        <v>638</v>
      </c>
      <c r="G8000" s="2" t="str">
        <f>"SR-8411"</f>
        <v>SR-8411</v>
      </c>
      <c r="H8000" s="2" t="s">
        <v>26517</v>
      </c>
      <c r="I8000" s="2" t="s">
        <v>26518</v>
      </c>
      <c r="K8000" s="2" t="s">
        <v>4577</v>
      </c>
      <c r="L8000" s="2" t="s">
        <v>165</v>
      </c>
      <c r="M8000" s="2">
        <v>24019.0</v>
      </c>
      <c r="N8000" s="2" t="s">
        <v>21</v>
      </c>
    </row>
    <row r="8001" ht="15.75" customHeight="1">
      <c r="A8001" s="2">
        <v>2017.0</v>
      </c>
      <c r="B8001" s="2" t="s">
        <v>33508</v>
      </c>
      <c r="C8001" s="2" t="s">
        <v>33513</v>
      </c>
      <c r="D8001" s="2" t="str">
        <f>"8658987776"</f>
        <v>8658987776</v>
      </c>
      <c r="E8001" s="2" t="s">
        <v>417</v>
      </c>
      <c r="F8001" s="2" t="s">
        <v>33510</v>
      </c>
      <c r="G8001" s="2" t="str">
        <f>"SR-10926"</f>
        <v>SR-10926</v>
      </c>
      <c r="H8001" s="2" t="s">
        <v>33514</v>
      </c>
      <c r="I8001" s="2" t="s">
        <v>33512</v>
      </c>
      <c r="K8001" s="2" t="s">
        <v>6168</v>
      </c>
      <c r="L8001" s="2" t="s">
        <v>279</v>
      </c>
      <c r="M8001" s="2">
        <v>37934.0</v>
      </c>
      <c r="N8001" s="2" t="s">
        <v>21</v>
      </c>
    </row>
    <row r="8002" ht="15.75" customHeight="1">
      <c r="A8002" s="2">
        <v>2017.0</v>
      </c>
      <c r="B8002" s="2" t="s">
        <v>33515</v>
      </c>
      <c r="C8002" s="2" t="s">
        <v>33515</v>
      </c>
      <c r="D8002" s="2" t="str">
        <f>"2812221290"</f>
        <v>2812221290</v>
      </c>
      <c r="E8002" s="2" t="s">
        <v>456</v>
      </c>
      <c r="F8002" s="2" t="s">
        <v>10688</v>
      </c>
      <c r="G8002" s="2" t="str">
        <f>"SR-10908"</f>
        <v>SR-10908</v>
      </c>
      <c r="H8002" s="2" t="s">
        <v>33516</v>
      </c>
      <c r="I8002" s="2" t="s">
        <v>33517</v>
      </c>
      <c r="K8002" s="2" t="s">
        <v>18261</v>
      </c>
      <c r="L8002" s="2" t="s">
        <v>840</v>
      </c>
      <c r="M8002" s="2">
        <v>74006.0</v>
      </c>
      <c r="N8002" s="2" t="s">
        <v>21</v>
      </c>
    </row>
    <row r="8003" ht="15.75" customHeight="1">
      <c r="A8003" s="2">
        <v>2017.0</v>
      </c>
      <c r="B8003" s="2" t="s">
        <v>33518</v>
      </c>
      <c r="C8003" s="2" t="s">
        <v>33518</v>
      </c>
      <c r="D8003" s="2" t="str">
        <f>"8172716434"</f>
        <v>8172716434</v>
      </c>
      <c r="E8003" s="2" t="s">
        <v>862</v>
      </c>
      <c r="F8003" s="2" t="s">
        <v>14757</v>
      </c>
      <c r="G8003" s="2" t="str">
        <f>"SR-10827"</f>
        <v>SR-10827</v>
      </c>
      <c r="H8003" s="2" t="s">
        <v>33519</v>
      </c>
      <c r="I8003" s="2" t="s">
        <v>33520</v>
      </c>
      <c r="K8003" s="2" t="s">
        <v>887</v>
      </c>
      <c r="L8003" s="2" t="s">
        <v>172</v>
      </c>
      <c r="M8003" s="2">
        <v>76063.0</v>
      </c>
      <c r="N8003" s="2" t="s">
        <v>21</v>
      </c>
    </row>
    <row r="8004" ht="15.75" customHeight="1">
      <c r="A8004" s="2">
        <v>2017.0</v>
      </c>
      <c r="B8004" s="2" t="s">
        <v>33521</v>
      </c>
      <c r="C8004" s="2" t="s">
        <v>33522</v>
      </c>
      <c r="D8004" s="2" t="str">
        <f>"316-765-2012"</f>
        <v>316-765-2012</v>
      </c>
      <c r="E8004" s="2" t="s">
        <v>651</v>
      </c>
      <c r="F8004" s="2" t="s">
        <v>33523</v>
      </c>
      <c r="G8004" s="2" t="str">
        <f>"SR-10713"</f>
        <v>SR-10713</v>
      </c>
      <c r="H8004" s="2" t="s">
        <v>33524</v>
      </c>
      <c r="I8004" s="2" t="s">
        <v>33525</v>
      </c>
      <c r="K8004" s="2" t="s">
        <v>606</v>
      </c>
      <c r="L8004" s="2" t="s">
        <v>272</v>
      </c>
      <c r="M8004" s="2">
        <v>67226.0</v>
      </c>
      <c r="N8004" s="2" t="s">
        <v>21</v>
      </c>
    </row>
    <row r="8005" ht="15.75" customHeight="1">
      <c r="A8005" s="2">
        <v>2017.0</v>
      </c>
      <c r="B8005" s="2" t="s">
        <v>33526</v>
      </c>
      <c r="C8005" s="2" t="s">
        <v>33527</v>
      </c>
      <c r="D8005" s="2" t="str">
        <f>"805-512-4110"</f>
        <v>805-512-4110</v>
      </c>
      <c r="E8005" s="2" t="s">
        <v>5134</v>
      </c>
      <c r="F8005" s="2" t="s">
        <v>6088</v>
      </c>
      <c r="G8005" s="2" t="str">
        <f>"SR-10930"</f>
        <v>SR-10930</v>
      </c>
      <c r="H8005" s="2" t="s">
        <v>33528</v>
      </c>
      <c r="I8005" s="2" t="s">
        <v>33529</v>
      </c>
      <c r="K8005" s="2" t="s">
        <v>3245</v>
      </c>
      <c r="L8005" s="2" t="s">
        <v>222</v>
      </c>
      <c r="M8005" s="2">
        <v>91320.0</v>
      </c>
      <c r="N8005" s="2" t="s">
        <v>21</v>
      </c>
    </row>
    <row r="8006" ht="15.75" customHeight="1">
      <c r="A8006" s="2">
        <v>2017.0</v>
      </c>
      <c r="B8006" s="2" t="s">
        <v>33530</v>
      </c>
      <c r="C8006" s="2" t="s">
        <v>33530</v>
      </c>
      <c r="D8006" s="2" t="str">
        <f>"7138548820"</f>
        <v>7138548820</v>
      </c>
      <c r="E8006" s="2" t="s">
        <v>33531</v>
      </c>
      <c r="F8006" s="2" t="s">
        <v>33532</v>
      </c>
      <c r="G8006" s="2" t="str">
        <f>"SR-10928"</f>
        <v>SR-10928</v>
      </c>
      <c r="H8006" s="2" t="s">
        <v>33533</v>
      </c>
      <c r="I8006" s="2" t="s">
        <v>33534</v>
      </c>
      <c r="K8006" s="2" t="s">
        <v>33535</v>
      </c>
      <c r="L8006" s="2" t="s">
        <v>172</v>
      </c>
      <c r="M8006" s="2">
        <v>77345.0</v>
      </c>
      <c r="N8006" s="2" t="s">
        <v>21</v>
      </c>
    </row>
    <row r="8007" ht="15.75" customHeight="1">
      <c r="A8007" s="2">
        <v>2017.0</v>
      </c>
      <c r="B8007" s="2" t="s">
        <v>33536</v>
      </c>
      <c r="C8007" s="2" t="s">
        <v>25485</v>
      </c>
      <c r="D8007" s="2" t="str">
        <f>"9415390789"</f>
        <v>9415390789</v>
      </c>
      <c r="E8007" s="2" t="s">
        <v>225</v>
      </c>
      <c r="F8007" s="2" t="s">
        <v>33537</v>
      </c>
      <c r="G8007" s="2" t="str">
        <f>"SR-10856"</f>
        <v>SR-10856</v>
      </c>
      <c r="H8007" s="2" t="s">
        <v>33538</v>
      </c>
      <c r="I8007" s="2" t="s">
        <v>33539</v>
      </c>
      <c r="K8007" s="2" t="s">
        <v>16408</v>
      </c>
      <c r="L8007" s="2" t="s">
        <v>208</v>
      </c>
      <c r="M8007" s="2">
        <v>34275.0</v>
      </c>
      <c r="N8007" s="2" t="s">
        <v>21</v>
      </c>
    </row>
    <row r="8008" ht="15.75" customHeight="1">
      <c r="A8008" s="2">
        <v>2017.0</v>
      </c>
      <c r="B8008" s="2" t="s">
        <v>33540</v>
      </c>
      <c r="C8008" s="2" t="s">
        <v>25485</v>
      </c>
      <c r="D8008" s="2" t="str">
        <f>"3058012447"</f>
        <v>3058012447</v>
      </c>
      <c r="E8008" s="2" t="s">
        <v>33541</v>
      </c>
      <c r="F8008" s="2" t="s">
        <v>33542</v>
      </c>
      <c r="G8008" s="2" t="str">
        <f>"SR-7118"</f>
        <v>SR-7118</v>
      </c>
      <c r="H8008" s="2" t="s">
        <v>33543</v>
      </c>
      <c r="I8008" s="2" t="s">
        <v>33544</v>
      </c>
      <c r="K8008" s="2" t="s">
        <v>2211</v>
      </c>
      <c r="L8008" s="2" t="s">
        <v>208</v>
      </c>
      <c r="M8008" s="2">
        <v>33157.0</v>
      </c>
      <c r="N8008" s="2" t="s">
        <v>21</v>
      </c>
    </row>
    <row r="8009" ht="15.75" customHeight="1">
      <c r="A8009" s="2">
        <v>2017.0</v>
      </c>
      <c r="B8009" s="2" t="s">
        <v>16981</v>
      </c>
      <c r="C8009" s="2" t="s">
        <v>16981</v>
      </c>
      <c r="D8009" s="2" t="str">
        <f>"2146363015"</f>
        <v>2146363015</v>
      </c>
      <c r="E8009" s="2" t="s">
        <v>8752</v>
      </c>
      <c r="F8009" s="2" t="s">
        <v>10790</v>
      </c>
      <c r="G8009" s="2" t="str">
        <f>"SR-10853"</f>
        <v>SR-10853</v>
      </c>
      <c r="H8009" s="2" t="s">
        <v>16982</v>
      </c>
      <c r="I8009" s="2" t="s">
        <v>10792</v>
      </c>
      <c r="K8009" s="2" t="s">
        <v>4174</v>
      </c>
      <c r="L8009" s="2" t="s">
        <v>172</v>
      </c>
      <c r="M8009" s="2">
        <v>75056.0</v>
      </c>
      <c r="N8009" s="2" t="s">
        <v>21</v>
      </c>
    </row>
    <row r="8010" ht="15.75" customHeight="1">
      <c r="A8010" s="2">
        <v>2017.0</v>
      </c>
      <c r="B8010" s="2" t="s">
        <v>14712</v>
      </c>
      <c r="C8010" s="2" t="s">
        <v>33545</v>
      </c>
      <c r="D8010" s="2" t="str">
        <f>"740-968-2451"</f>
        <v>740-968-2451</v>
      </c>
      <c r="E8010" s="2" t="s">
        <v>3750</v>
      </c>
      <c r="F8010" s="2" t="s">
        <v>550</v>
      </c>
      <c r="G8010" s="2" t="str">
        <f>"SR-10881"</f>
        <v>SR-10881</v>
      </c>
      <c r="H8010" s="2" t="s">
        <v>33546</v>
      </c>
      <c r="I8010" s="2" t="s">
        <v>14715</v>
      </c>
      <c r="K8010" s="2" t="s">
        <v>14734</v>
      </c>
      <c r="L8010" s="2" t="s">
        <v>344</v>
      </c>
      <c r="M8010" s="2">
        <v>43950.0</v>
      </c>
      <c r="N8010" s="2" t="s">
        <v>21</v>
      </c>
    </row>
    <row r="8011" ht="15.75" customHeight="1">
      <c r="A8011" s="2">
        <v>2017.0</v>
      </c>
      <c r="B8011" s="2" t="s">
        <v>33203</v>
      </c>
      <c r="C8011" s="2" t="s">
        <v>33547</v>
      </c>
      <c r="D8011" s="2" t="str">
        <f>"6059514332"</f>
        <v>6059514332</v>
      </c>
      <c r="E8011" s="2" t="s">
        <v>585</v>
      </c>
      <c r="F8011" s="2" t="s">
        <v>386</v>
      </c>
      <c r="G8011" s="2" t="str">
        <f>"SR-10697"</f>
        <v>SR-10697</v>
      </c>
      <c r="H8011" s="2" t="s">
        <v>33548</v>
      </c>
      <c r="I8011" s="2" t="s">
        <v>33549</v>
      </c>
      <c r="K8011" s="2" t="s">
        <v>919</v>
      </c>
      <c r="L8011" s="2" t="s">
        <v>920</v>
      </c>
      <c r="M8011" s="2">
        <v>57108.0</v>
      </c>
      <c r="N8011" s="2" t="s">
        <v>21</v>
      </c>
    </row>
    <row r="8012" ht="15.75" customHeight="1">
      <c r="A8012" s="2">
        <v>2017.0</v>
      </c>
      <c r="B8012" s="2" t="s">
        <v>33550</v>
      </c>
      <c r="C8012" s="2" t="s">
        <v>33550</v>
      </c>
      <c r="D8012" s="2" t="str">
        <f>"5053868191"</f>
        <v>5053868191</v>
      </c>
      <c r="E8012" s="2" t="s">
        <v>2031</v>
      </c>
      <c r="F8012" s="2" t="s">
        <v>19517</v>
      </c>
      <c r="G8012" s="2" t="str">
        <f>"SR-10817"</f>
        <v>SR-10817</v>
      </c>
      <c r="H8012" s="2" t="s">
        <v>33551</v>
      </c>
      <c r="I8012" s="2" t="s">
        <v>19519</v>
      </c>
      <c r="K8012" s="2" t="s">
        <v>19520</v>
      </c>
      <c r="L8012" s="2" t="s">
        <v>789</v>
      </c>
      <c r="M8012" s="2">
        <v>87410.0</v>
      </c>
      <c r="N8012" s="2" t="s">
        <v>21</v>
      </c>
    </row>
    <row r="8013" ht="15.75" customHeight="1">
      <c r="A8013" s="2">
        <v>2017.0</v>
      </c>
      <c r="B8013" s="2" t="s">
        <v>27960</v>
      </c>
      <c r="C8013" s="2" t="s">
        <v>27960</v>
      </c>
      <c r="D8013" s="2" t="str">
        <f>"517-286-6685"</f>
        <v>517-286-6685</v>
      </c>
      <c r="E8013" s="2" t="s">
        <v>23409</v>
      </c>
      <c r="F8013" s="2" t="s">
        <v>5210</v>
      </c>
      <c r="G8013" s="2" t="str">
        <f>"SR-10937"</f>
        <v>SR-10937</v>
      </c>
      <c r="H8013" s="2" t="s">
        <v>33552</v>
      </c>
      <c r="I8013" s="2" t="s">
        <v>5212</v>
      </c>
      <c r="K8013" s="2" t="s">
        <v>5213</v>
      </c>
      <c r="L8013" s="2" t="s">
        <v>29</v>
      </c>
      <c r="M8013" s="2">
        <v>49288.0</v>
      </c>
      <c r="N8013" s="2" t="s">
        <v>21</v>
      </c>
    </row>
    <row r="8014" ht="15.75" customHeight="1">
      <c r="A8014" s="2">
        <v>2017.0</v>
      </c>
      <c r="B8014" s="2" t="s">
        <v>33553</v>
      </c>
      <c r="C8014" s="2" t="s">
        <v>33553</v>
      </c>
      <c r="D8014" s="2" t="str">
        <f>"(423)741-8248"</f>
        <v>(423)741-8248</v>
      </c>
      <c r="E8014" s="2" t="s">
        <v>843</v>
      </c>
      <c r="F8014" s="2" t="s">
        <v>13946</v>
      </c>
      <c r="G8014" s="2" t="str">
        <f>"SR-9485"</f>
        <v>SR-9485</v>
      </c>
      <c r="H8014" s="2" t="s">
        <v>33554</v>
      </c>
      <c r="I8014" s="2" t="s">
        <v>33555</v>
      </c>
      <c r="K8014" s="2" t="s">
        <v>51</v>
      </c>
      <c r="L8014" s="2" t="s">
        <v>279</v>
      </c>
      <c r="M8014" s="2">
        <v>37615.0</v>
      </c>
      <c r="N8014" s="2" t="s">
        <v>21</v>
      </c>
    </row>
    <row r="8015" ht="15.75" customHeight="1">
      <c r="A8015" s="2">
        <v>2017.0</v>
      </c>
      <c r="B8015" s="2" t="s">
        <v>33556</v>
      </c>
      <c r="C8015" s="2" t="s">
        <v>33557</v>
      </c>
      <c r="D8015" s="2" t="str">
        <f>"704-491-4389"</f>
        <v>704-491-4389</v>
      </c>
      <c r="E8015" s="2" t="s">
        <v>2598</v>
      </c>
      <c r="F8015" s="2" t="s">
        <v>457</v>
      </c>
      <c r="G8015" s="2" t="str">
        <f>"SR-10408"</f>
        <v>SR-10408</v>
      </c>
      <c r="H8015" s="2" t="s">
        <v>33558</v>
      </c>
      <c r="I8015" s="2" t="s">
        <v>33559</v>
      </c>
      <c r="K8015" s="2" t="s">
        <v>33560</v>
      </c>
      <c r="L8015" s="2" t="s">
        <v>20</v>
      </c>
      <c r="M8015" s="2">
        <v>28092.0</v>
      </c>
      <c r="N8015" s="2" t="s">
        <v>21</v>
      </c>
    </row>
    <row r="8016" ht="15.75" customHeight="1">
      <c r="A8016" s="2">
        <v>2017.0</v>
      </c>
      <c r="B8016" s="2" t="s">
        <v>33561</v>
      </c>
      <c r="C8016" s="2" t="s">
        <v>33562</v>
      </c>
      <c r="D8016" s="2" t="str">
        <f>"3167060151"</f>
        <v>3167060151</v>
      </c>
      <c r="E8016" s="2" t="s">
        <v>428</v>
      </c>
      <c r="F8016" s="2" t="s">
        <v>4171</v>
      </c>
      <c r="G8016" s="2" t="str">
        <f>"SR-10940"</f>
        <v>SR-10940</v>
      </c>
      <c r="H8016" s="2" t="s">
        <v>33563</v>
      </c>
      <c r="I8016" s="2" t="s">
        <v>33564</v>
      </c>
      <c r="K8016" s="2" t="s">
        <v>606</v>
      </c>
      <c r="L8016" s="2" t="s">
        <v>272</v>
      </c>
      <c r="M8016" s="2">
        <v>67206.0</v>
      </c>
      <c r="N8016" s="2" t="s">
        <v>21</v>
      </c>
    </row>
    <row r="8017" ht="15.75" customHeight="1">
      <c r="A8017" s="2">
        <v>2017.0</v>
      </c>
      <c r="B8017" s="2" t="s">
        <v>33565</v>
      </c>
      <c r="C8017" s="2" t="s">
        <v>33565</v>
      </c>
      <c r="D8017" s="2" t="str">
        <f>"9032243336"</f>
        <v>9032243336</v>
      </c>
      <c r="E8017" s="2" t="s">
        <v>456</v>
      </c>
      <c r="F8017" s="2" t="s">
        <v>33566</v>
      </c>
      <c r="G8017" s="2" t="str">
        <f>"SR-10004"</f>
        <v>SR-10004</v>
      </c>
      <c r="H8017" s="2" t="s">
        <v>33567</v>
      </c>
      <c r="I8017" s="2" t="s">
        <v>33568</v>
      </c>
      <c r="K8017" s="2" t="s">
        <v>4808</v>
      </c>
      <c r="L8017" s="2" t="s">
        <v>172</v>
      </c>
      <c r="M8017" s="2">
        <v>75604.0</v>
      </c>
      <c r="N8017" s="2" t="s">
        <v>21</v>
      </c>
    </row>
    <row r="8018" ht="15.75" customHeight="1">
      <c r="A8018" s="2">
        <v>2017.0</v>
      </c>
      <c r="B8018" s="2" t="s">
        <v>33569</v>
      </c>
      <c r="C8018" s="2" t="s">
        <v>33570</v>
      </c>
      <c r="D8018" s="2" t="str">
        <f>"3162045639"</f>
        <v>3162045639</v>
      </c>
      <c r="E8018" s="2" t="s">
        <v>27549</v>
      </c>
      <c r="F8018" s="2" t="s">
        <v>4171</v>
      </c>
      <c r="G8018" s="2" t="str">
        <f>"SR-10942"</f>
        <v>SR-10942</v>
      </c>
      <c r="H8018" s="2" t="s">
        <v>33571</v>
      </c>
      <c r="I8018" s="2" t="s">
        <v>33572</v>
      </c>
      <c r="K8018" s="2" t="s">
        <v>606</v>
      </c>
      <c r="L8018" s="2" t="s">
        <v>272</v>
      </c>
      <c r="M8018" s="2">
        <v>67206.0</v>
      </c>
      <c r="N8018" s="2" t="s">
        <v>21</v>
      </c>
    </row>
    <row r="8019" ht="15.75" customHeight="1">
      <c r="A8019" s="2">
        <v>2017.0</v>
      </c>
      <c r="B8019" s="2" t="s">
        <v>33573</v>
      </c>
      <c r="C8019" s="2" t="s">
        <v>33573</v>
      </c>
      <c r="D8019" s="2" t="str">
        <f>"3038855823"</f>
        <v>3038855823</v>
      </c>
      <c r="E8019" s="2" t="s">
        <v>11562</v>
      </c>
      <c r="F8019" s="2" t="s">
        <v>5808</v>
      </c>
      <c r="G8019" s="2" t="str">
        <f>"SR-6717"</f>
        <v>SR-6717</v>
      </c>
      <c r="H8019" s="2" t="s">
        <v>33574</v>
      </c>
      <c r="I8019" s="2" t="s">
        <v>33575</v>
      </c>
      <c r="K8019" s="2" t="s">
        <v>6915</v>
      </c>
      <c r="L8019" s="2" t="s">
        <v>157</v>
      </c>
      <c r="M8019" s="2">
        <v>80031.0</v>
      </c>
      <c r="N8019" s="2" t="s">
        <v>21</v>
      </c>
    </row>
    <row r="8020" ht="15.75" customHeight="1">
      <c r="A8020" s="2">
        <v>2017.0</v>
      </c>
      <c r="B8020" s="2" t="s">
        <v>13435</v>
      </c>
      <c r="C8020" s="2" t="s">
        <v>13436</v>
      </c>
      <c r="D8020" s="2" t="str">
        <f>"7046413698"</f>
        <v>7046413698</v>
      </c>
      <c r="E8020" s="2" t="s">
        <v>8887</v>
      </c>
      <c r="F8020" s="2" t="s">
        <v>13437</v>
      </c>
      <c r="G8020" s="2" t="str">
        <f>"SR-3240"</f>
        <v>SR-3240</v>
      </c>
      <c r="H8020" s="2" t="s">
        <v>13438</v>
      </c>
      <c r="I8020" s="2" t="s">
        <v>13439</v>
      </c>
      <c r="K8020" s="2" t="s">
        <v>4304</v>
      </c>
      <c r="L8020" s="2" t="s">
        <v>20</v>
      </c>
      <c r="M8020" s="2">
        <v>28173.0</v>
      </c>
      <c r="N8020" s="2" t="s">
        <v>21</v>
      </c>
    </row>
    <row r="8021" ht="15.75" customHeight="1">
      <c r="A8021" s="2">
        <v>2017.0</v>
      </c>
      <c r="B8021" s="2" t="s">
        <v>33576</v>
      </c>
      <c r="C8021" s="2" t="s">
        <v>33577</v>
      </c>
      <c r="D8021" s="2" t="str">
        <f>"763-331-4166"</f>
        <v>763-331-4166</v>
      </c>
      <c r="E8021" s="2" t="s">
        <v>33578</v>
      </c>
      <c r="F8021" s="2" t="s">
        <v>33579</v>
      </c>
      <c r="G8021" s="2" t="str">
        <f>"SR-10945"</f>
        <v>SR-10945</v>
      </c>
      <c r="H8021" s="2" t="s">
        <v>33580</v>
      </c>
      <c r="I8021" s="2" t="s">
        <v>33581</v>
      </c>
      <c r="K8021" s="2" t="s">
        <v>10904</v>
      </c>
      <c r="L8021" s="2" t="s">
        <v>62</v>
      </c>
      <c r="M8021" s="2">
        <v>55313.0</v>
      </c>
      <c r="N8021" s="2" t="s">
        <v>21</v>
      </c>
    </row>
    <row r="8022" ht="15.75" customHeight="1">
      <c r="A8022" s="2">
        <v>2017.0</v>
      </c>
      <c r="B8022" s="2" t="s">
        <v>33582</v>
      </c>
      <c r="C8022" s="2" t="s">
        <v>33582</v>
      </c>
      <c r="D8022" s="2" t="str">
        <f>"508-792-3448"</f>
        <v>508-792-3448</v>
      </c>
      <c r="E8022" s="2" t="s">
        <v>15626</v>
      </c>
      <c r="F8022" s="2" t="s">
        <v>33583</v>
      </c>
      <c r="G8022" s="2" t="str">
        <f>"SR-10809"</f>
        <v>SR-10809</v>
      </c>
      <c r="H8022" s="2" t="s">
        <v>33584</v>
      </c>
      <c r="I8022" s="2" t="s">
        <v>33585</v>
      </c>
      <c r="K8022" s="2" t="s">
        <v>33198</v>
      </c>
      <c r="L8022" s="2" t="s">
        <v>4108</v>
      </c>
      <c r="M8022" s="2">
        <v>1532.0</v>
      </c>
      <c r="N8022" s="2" t="s">
        <v>21</v>
      </c>
    </row>
    <row r="8023" ht="15.75" customHeight="1">
      <c r="A8023" s="2">
        <v>2017.0</v>
      </c>
      <c r="B8023" s="2" t="s">
        <v>33586</v>
      </c>
      <c r="C8023" s="2" t="s">
        <v>33587</v>
      </c>
      <c r="D8023" s="2" t="str">
        <f>"2073223006"</f>
        <v>2073223006</v>
      </c>
      <c r="E8023" s="2" t="s">
        <v>33588</v>
      </c>
      <c r="F8023" s="2" t="s">
        <v>5401</v>
      </c>
      <c r="G8023" s="2" t="str">
        <f>"SR-10623"</f>
        <v>SR-10623</v>
      </c>
      <c r="H8023" s="2" t="s">
        <v>33589</v>
      </c>
      <c r="I8023" s="2" t="s">
        <v>33590</v>
      </c>
      <c r="K8023" s="2" t="s">
        <v>5003</v>
      </c>
      <c r="L8023" s="2" t="s">
        <v>3737</v>
      </c>
      <c r="M8023" s="2">
        <v>4849.0</v>
      </c>
      <c r="N8023" s="2" t="s">
        <v>21</v>
      </c>
    </row>
    <row r="8024" ht="15.75" customHeight="1">
      <c r="A8024" s="2">
        <v>2017.0</v>
      </c>
      <c r="B8024" s="2" t="s">
        <v>33591</v>
      </c>
      <c r="C8024" s="2" t="s">
        <v>33591</v>
      </c>
      <c r="D8024" s="2" t="str">
        <f>"6182929978"</f>
        <v>6182929978</v>
      </c>
      <c r="E8024" s="2" t="s">
        <v>33592</v>
      </c>
      <c r="F8024" s="2" t="s">
        <v>16703</v>
      </c>
      <c r="G8024" s="2" t="str">
        <f>"SR-10948"</f>
        <v>SR-10948</v>
      </c>
      <c r="H8024" s="2" t="s">
        <v>33593</v>
      </c>
      <c r="I8024" s="2" t="s">
        <v>33594</v>
      </c>
      <c r="K8024" s="2" t="s">
        <v>21438</v>
      </c>
      <c r="L8024" s="2" t="s">
        <v>105</v>
      </c>
      <c r="M8024" s="2">
        <v>62801.0</v>
      </c>
      <c r="N8024" s="2" t="s">
        <v>21</v>
      </c>
    </row>
    <row r="8025" ht="15.75" customHeight="1">
      <c r="A8025" s="2">
        <v>2017.0</v>
      </c>
      <c r="B8025" s="2" t="s">
        <v>33595</v>
      </c>
      <c r="C8025" s="2" t="s">
        <v>30181</v>
      </c>
      <c r="D8025" s="2" t="str">
        <f>"940-367-6062"</f>
        <v>940-367-6062</v>
      </c>
      <c r="E8025" s="2" t="s">
        <v>19334</v>
      </c>
      <c r="F8025" s="2" t="s">
        <v>3144</v>
      </c>
      <c r="G8025" s="2" t="str">
        <f>"SR-10944"</f>
        <v>SR-10944</v>
      </c>
      <c r="H8025" s="2" t="s">
        <v>33596</v>
      </c>
      <c r="I8025" s="2" t="s">
        <v>33597</v>
      </c>
      <c r="K8025" s="2" t="s">
        <v>6539</v>
      </c>
      <c r="L8025" s="2" t="s">
        <v>172</v>
      </c>
      <c r="M8025" s="2">
        <v>76201.0</v>
      </c>
      <c r="N8025" s="2" t="s">
        <v>21</v>
      </c>
    </row>
    <row r="8026" ht="15.75" customHeight="1">
      <c r="A8026" s="2">
        <v>2017.0</v>
      </c>
      <c r="B8026" s="2" t="s">
        <v>33598</v>
      </c>
      <c r="C8026" s="2" t="s">
        <v>25485</v>
      </c>
      <c r="D8026" s="2" t="str">
        <f>"850-510-8806"</f>
        <v>850-510-8806</v>
      </c>
      <c r="E8026" s="2" t="s">
        <v>2912</v>
      </c>
      <c r="F8026" s="2" t="s">
        <v>2059</v>
      </c>
      <c r="G8026" s="2" t="str">
        <f>"SR-10599"</f>
        <v>SR-10599</v>
      </c>
      <c r="H8026" s="2" t="s">
        <v>33599</v>
      </c>
      <c r="I8026" s="2" t="s">
        <v>33600</v>
      </c>
      <c r="K8026" s="2" t="s">
        <v>2007</v>
      </c>
      <c r="L8026" s="2" t="s">
        <v>208</v>
      </c>
      <c r="M8026" s="2">
        <v>32309.0</v>
      </c>
      <c r="N8026" s="2" t="s">
        <v>21</v>
      </c>
    </row>
    <row r="8027" ht="15.75" customHeight="1">
      <c r="A8027" s="2">
        <v>2017.0</v>
      </c>
      <c r="B8027" s="2" t="s">
        <v>33601</v>
      </c>
      <c r="C8027" s="2" t="s">
        <v>33601</v>
      </c>
      <c r="D8027" s="2" t="str">
        <f>"9542408331"</f>
        <v>9542408331</v>
      </c>
      <c r="E8027" s="2" t="s">
        <v>217</v>
      </c>
      <c r="F8027" s="2" t="s">
        <v>14352</v>
      </c>
      <c r="G8027" s="2" t="str">
        <f>"SR-10482"</f>
        <v>SR-10482</v>
      </c>
      <c r="H8027" s="2" t="s">
        <v>33602</v>
      </c>
      <c r="I8027" s="2" t="s">
        <v>33603</v>
      </c>
      <c r="K8027" s="2" t="s">
        <v>9409</v>
      </c>
      <c r="L8027" s="2" t="s">
        <v>208</v>
      </c>
      <c r="M8027" s="2">
        <v>33063.0</v>
      </c>
      <c r="N8027" s="2" t="s">
        <v>21</v>
      </c>
    </row>
    <row r="8028" ht="15.75" customHeight="1">
      <c r="A8028" s="2">
        <v>2017.0</v>
      </c>
      <c r="B8028" s="2" t="s">
        <v>33604</v>
      </c>
      <c r="C8028" s="2" t="s">
        <v>33605</v>
      </c>
      <c r="D8028" s="2" t="str">
        <f>"3402278527"</f>
        <v>3402278527</v>
      </c>
      <c r="E8028" s="2" t="s">
        <v>23239</v>
      </c>
      <c r="F8028" s="2" t="s">
        <v>33606</v>
      </c>
      <c r="G8028" s="2" t="str">
        <f>"SR-10955"</f>
        <v>SR-10955</v>
      </c>
      <c r="H8028" s="2" t="s">
        <v>33607</v>
      </c>
      <c r="I8028" s="2" t="s">
        <v>33608</v>
      </c>
      <c r="K8028" s="2" t="s">
        <v>5468</v>
      </c>
      <c r="L8028" s="2" t="s">
        <v>208</v>
      </c>
      <c r="M8028" s="2">
        <v>32640.0</v>
      </c>
      <c r="N8028" s="2" t="s">
        <v>21</v>
      </c>
    </row>
    <row r="8029" ht="15.75" customHeight="1">
      <c r="A8029" s="2">
        <v>2017.0</v>
      </c>
      <c r="B8029" s="2" t="s">
        <v>33595</v>
      </c>
      <c r="C8029" s="2" t="s">
        <v>30181</v>
      </c>
      <c r="D8029" s="2" t="str">
        <f>"940-367-6062"</f>
        <v>940-367-6062</v>
      </c>
      <c r="E8029" s="2" t="s">
        <v>1156</v>
      </c>
      <c r="F8029" s="2" t="s">
        <v>3144</v>
      </c>
      <c r="G8029" s="2" t="str">
        <f>"SR-10956"</f>
        <v>SR-10956</v>
      </c>
      <c r="H8029" s="2" t="s">
        <v>30182</v>
      </c>
      <c r="I8029" s="2" t="s">
        <v>30183</v>
      </c>
      <c r="K8029" s="2" t="s">
        <v>6539</v>
      </c>
      <c r="L8029" s="2" t="s">
        <v>172</v>
      </c>
      <c r="M8029" s="2">
        <v>76201.0</v>
      </c>
      <c r="N8029" s="2" t="s">
        <v>21</v>
      </c>
    </row>
    <row r="8030" ht="15.75" customHeight="1">
      <c r="A8030" s="2">
        <v>2017.0</v>
      </c>
      <c r="B8030" s="2" t="s">
        <v>33609</v>
      </c>
      <c r="C8030" s="2" t="s">
        <v>33610</v>
      </c>
      <c r="D8030" s="2" t="str">
        <f>"3096781575"</f>
        <v>3096781575</v>
      </c>
      <c r="E8030" s="2" t="s">
        <v>339</v>
      </c>
      <c r="F8030" s="2" t="s">
        <v>8716</v>
      </c>
      <c r="G8030" s="2" t="str">
        <f>"SR-10743"</f>
        <v>SR-10743</v>
      </c>
      <c r="H8030" s="2" t="s">
        <v>33611</v>
      </c>
      <c r="I8030" s="2" t="s">
        <v>33612</v>
      </c>
      <c r="K8030" s="2" t="s">
        <v>104</v>
      </c>
      <c r="L8030" s="2" t="s">
        <v>105</v>
      </c>
      <c r="M8030" s="2">
        <v>61615.0</v>
      </c>
      <c r="N8030" s="2" t="s">
        <v>21</v>
      </c>
    </row>
    <row r="8031" ht="15.75" customHeight="1">
      <c r="A8031" s="2">
        <v>2017.0</v>
      </c>
      <c r="B8031" s="2" t="s">
        <v>33613</v>
      </c>
      <c r="C8031" s="2" t="s">
        <v>33614</v>
      </c>
      <c r="D8031" s="2" t="str">
        <f>"214-908-9329"</f>
        <v>214-908-9329</v>
      </c>
      <c r="E8031" s="2" t="s">
        <v>2083</v>
      </c>
      <c r="F8031" s="2" t="s">
        <v>29796</v>
      </c>
      <c r="G8031" s="2" t="str">
        <f>"SR-10700"</f>
        <v>SR-10700</v>
      </c>
      <c r="H8031" s="2" t="s">
        <v>33615</v>
      </c>
      <c r="I8031" s="2" t="s">
        <v>33616</v>
      </c>
      <c r="K8031" s="2" t="s">
        <v>4577</v>
      </c>
      <c r="L8031" s="2" t="s">
        <v>172</v>
      </c>
      <c r="M8031" s="2">
        <v>76262.0</v>
      </c>
      <c r="N8031" s="2" t="s">
        <v>21</v>
      </c>
    </row>
    <row r="8032" ht="15.75" customHeight="1">
      <c r="A8032" s="2">
        <v>2017.0</v>
      </c>
      <c r="B8032" s="2" t="s">
        <v>33617</v>
      </c>
      <c r="C8032" s="2" t="s">
        <v>33617</v>
      </c>
      <c r="D8032" s="2" t="str">
        <f>"8178974855"</f>
        <v>8178974855</v>
      </c>
      <c r="E8032" s="2" t="s">
        <v>33618</v>
      </c>
      <c r="F8032" s="2" t="s">
        <v>1064</v>
      </c>
      <c r="G8032" s="2" t="str">
        <f>"SR-10494"</f>
        <v>SR-10494</v>
      </c>
      <c r="H8032" s="2" t="s">
        <v>33619</v>
      </c>
      <c r="I8032" s="2" t="s">
        <v>1259</v>
      </c>
      <c r="K8032" s="2" t="s">
        <v>1260</v>
      </c>
      <c r="L8032" s="2" t="s">
        <v>172</v>
      </c>
      <c r="M8032" s="2">
        <v>76107.0</v>
      </c>
      <c r="N8032" s="2" t="s">
        <v>21</v>
      </c>
    </row>
    <row r="8033" ht="15.75" customHeight="1">
      <c r="A8033" s="2">
        <v>2017.0</v>
      </c>
      <c r="B8033" s="2" t="s">
        <v>33620</v>
      </c>
      <c r="C8033" s="2" t="s">
        <v>33621</v>
      </c>
      <c r="D8033" s="2" t="str">
        <f>"9373771444"</f>
        <v>9373771444</v>
      </c>
      <c r="E8033" s="2" t="s">
        <v>1141</v>
      </c>
      <c r="F8033" s="2" t="s">
        <v>6869</v>
      </c>
      <c r="G8033" s="2" t="str">
        <f>"SR-10960"</f>
        <v>SR-10960</v>
      </c>
      <c r="H8033" s="2" t="s">
        <v>33622</v>
      </c>
      <c r="I8033" s="2" t="s">
        <v>30140</v>
      </c>
      <c r="K8033" s="2" t="s">
        <v>33623</v>
      </c>
      <c r="L8033" s="2" t="s">
        <v>344</v>
      </c>
      <c r="M8033" s="2">
        <v>45168.0</v>
      </c>
      <c r="N8033" s="2" t="s">
        <v>21</v>
      </c>
    </row>
    <row r="8034" ht="15.75" customHeight="1">
      <c r="A8034" s="2">
        <v>2017.0</v>
      </c>
      <c r="B8034" s="2" t="s">
        <v>17136</v>
      </c>
      <c r="C8034" s="2" t="s">
        <v>33624</v>
      </c>
      <c r="D8034" s="2" t="str">
        <f>"303-514-5266"</f>
        <v>303-514-5266</v>
      </c>
      <c r="E8034" s="2" t="s">
        <v>9010</v>
      </c>
      <c r="F8034" s="2" t="s">
        <v>17138</v>
      </c>
      <c r="G8034" s="2" t="str">
        <f>"SR-10919"</f>
        <v>SR-10919</v>
      </c>
      <c r="H8034" s="2" t="s">
        <v>33625</v>
      </c>
      <c r="I8034" s="2" t="s">
        <v>33626</v>
      </c>
      <c r="K8034" s="2" t="s">
        <v>1054</v>
      </c>
      <c r="L8034" s="2" t="s">
        <v>157</v>
      </c>
      <c r="M8034" s="2">
        <v>80134.0</v>
      </c>
      <c r="N8034" s="2" t="s">
        <v>21</v>
      </c>
    </row>
    <row r="8035" ht="15.75" customHeight="1">
      <c r="A8035" s="2">
        <v>2017.0</v>
      </c>
      <c r="B8035" s="2" t="s">
        <v>33627</v>
      </c>
      <c r="C8035" s="2" t="s">
        <v>33627</v>
      </c>
      <c r="D8035" s="2" t="str">
        <f>"9073449845"</f>
        <v>9073449845</v>
      </c>
      <c r="E8035" s="2" t="s">
        <v>908</v>
      </c>
      <c r="F8035" s="2" t="s">
        <v>2053</v>
      </c>
      <c r="G8035" s="2" t="str">
        <f>"SR-10822"</f>
        <v>SR-10822</v>
      </c>
      <c r="H8035" s="2" t="s">
        <v>23557</v>
      </c>
      <c r="I8035" s="2" t="s">
        <v>2055</v>
      </c>
      <c r="K8035" s="2" t="s">
        <v>69</v>
      </c>
      <c r="L8035" s="2" t="s">
        <v>70</v>
      </c>
      <c r="M8035" s="2">
        <v>99516.0</v>
      </c>
      <c r="N8035" s="2" t="s">
        <v>21</v>
      </c>
    </row>
    <row r="8036" ht="15.75" customHeight="1">
      <c r="A8036" s="2">
        <v>2017.0</v>
      </c>
      <c r="B8036" s="2" t="s">
        <v>33628</v>
      </c>
      <c r="C8036" s="2" t="s">
        <v>33629</v>
      </c>
      <c r="D8036" s="2" t="str">
        <f>"919-585-4318"</f>
        <v>919-585-4318</v>
      </c>
      <c r="E8036" s="2" t="s">
        <v>339</v>
      </c>
      <c r="F8036" s="2" t="s">
        <v>33630</v>
      </c>
      <c r="G8036" s="2" t="str">
        <f>"SR-9982"</f>
        <v>SR-9982</v>
      </c>
      <c r="H8036" s="2" t="s">
        <v>33631</v>
      </c>
      <c r="I8036" s="2" t="s">
        <v>33632</v>
      </c>
      <c r="K8036" s="2" t="s">
        <v>2378</v>
      </c>
      <c r="L8036" s="2" t="s">
        <v>20</v>
      </c>
      <c r="M8036" s="2">
        <v>27520.0</v>
      </c>
      <c r="N8036" s="2" t="s">
        <v>21</v>
      </c>
    </row>
    <row r="8037" ht="15.75" customHeight="1">
      <c r="A8037" s="2">
        <v>2017.0</v>
      </c>
      <c r="B8037" s="2" t="s">
        <v>33633</v>
      </c>
      <c r="C8037" s="2" t="s">
        <v>33633</v>
      </c>
      <c r="D8037" s="2" t="str">
        <f>"7196610666"</f>
        <v>7196610666</v>
      </c>
      <c r="E8037" s="2" t="s">
        <v>417</v>
      </c>
      <c r="F8037" s="2" t="s">
        <v>33634</v>
      </c>
      <c r="G8037" s="2" t="str">
        <f>"SR-10950"</f>
        <v>SR-10950</v>
      </c>
      <c r="H8037" s="2" t="s">
        <v>33635</v>
      </c>
      <c r="I8037" s="2" t="s">
        <v>33636</v>
      </c>
      <c r="K8037" s="2" t="s">
        <v>13334</v>
      </c>
      <c r="L8037" s="2" t="s">
        <v>2534</v>
      </c>
      <c r="M8037" s="2">
        <v>58078.0</v>
      </c>
      <c r="N8037" s="2" t="s">
        <v>21</v>
      </c>
    </row>
    <row r="8038" ht="15.75" customHeight="1">
      <c r="A8038" s="2">
        <v>2017.0</v>
      </c>
      <c r="B8038" s="2" t="s">
        <v>33637</v>
      </c>
      <c r="C8038" s="2" t="s">
        <v>33638</v>
      </c>
      <c r="D8038" s="2" t="str">
        <f>"2484087774"</f>
        <v>2484087774</v>
      </c>
      <c r="E8038" s="2" t="s">
        <v>339</v>
      </c>
      <c r="F8038" s="2" t="s">
        <v>33639</v>
      </c>
      <c r="G8038" s="2" t="str">
        <f>"SR-10963"</f>
        <v>SR-10963</v>
      </c>
      <c r="H8038" s="2" t="s">
        <v>33640</v>
      </c>
      <c r="I8038" s="2" t="s">
        <v>33641</v>
      </c>
      <c r="K8038" s="2" t="s">
        <v>22040</v>
      </c>
      <c r="L8038" s="2" t="s">
        <v>29</v>
      </c>
      <c r="M8038" s="2">
        <v>48363.0</v>
      </c>
      <c r="N8038" s="2" t="s">
        <v>21</v>
      </c>
    </row>
    <row r="8039" ht="15.75" customHeight="1">
      <c r="A8039" s="2">
        <v>2017.0</v>
      </c>
      <c r="B8039" s="2" t="s">
        <v>33642</v>
      </c>
      <c r="C8039" s="2" t="s">
        <v>33642</v>
      </c>
      <c r="D8039" s="2" t="str">
        <f>"954-591-6307"</f>
        <v>954-591-6307</v>
      </c>
      <c r="E8039" s="2" t="s">
        <v>14431</v>
      </c>
      <c r="F8039" s="2" t="s">
        <v>33643</v>
      </c>
      <c r="G8039" s="2" t="str">
        <f>"SR-10947"</f>
        <v>SR-10947</v>
      </c>
      <c r="H8039" s="2" t="s">
        <v>33644</v>
      </c>
      <c r="I8039" s="2" t="s">
        <v>33645</v>
      </c>
      <c r="K8039" s="2" t="s">
        <v>33646</v>
      </c>
      <c r="L8039" s="2" t="s">
        <v>208</v>
      </c>
      <c r="M8039" s="2">
        <v>33328.0</v>
      </c>
      <c r="N8039" s="2" t="s">
        <v>21</v>
      </c>
    </row>
    <row r="8040" ht="15.75" customHeight="1">
      <c r="A8040" s="2">
        <v>2017.0</v>
      </c>
      <c r="B8040" s="2" t="s">
        <v>16899</v>
      </c>
      <c r="C8040" s="2" t="s">
        <v>16899</v>
      </c>
      <c r="D8040" s="2" t="str">
        <f>"567-215-7707"</f>
        <v>567-215-7707</v>
      </c>
      <c r="E8040" s="2" t="s">
        <v>485</v>
      </c>
      <c r="F8040" s="2" t="s">
        <v>3879</v>
      </c>
      <c r="G8040" s="2" t="str">
        <f>"SR-6961"</f>
        <v>SR-6961</v>
      </c>
      <c r="H8040" s="2" t="s">
        <v>16900</v>
      </c>
      <c r="I8040" s="2" t="s">
        <v>16901</v>
      </c>
      <c r="K8040" s="2" t="s">
        <v>1154</v>
      </c>
      <c r="L8040" s="2" t="s">
        <v>344</v>
      </c>
      <c r="M8040" s="2">
        <v>44805.0</v>
      </c>
      <c r="N8040" s="2" t="s">
        <v>21</v>
      </c>
    </row>
    <row r="8041" ht="15.75" customHeight="1">
      <c r="A8041" s="2">
        <v>2017.0</v>
      </c>
      <c r="B8041" s="2" t="s">
        <v>33647</v>
      </c>
      <c r="C8041" s="2" t="s">
        <v>33648</v>
      </c>
      <c r="D8041" s="2" t="str">
        <f>"319-373-0246"</f>
        <v>319-373-0246</v>
      </c>
      <c r="E8041" s="2" t="s">
        <v>659</v>
      </c>
      <c r="F8041" s="2" t="s">
        <v>33649</v>
      </c>
      <c r="G8041" s="2" t="str">
        <f>"SR-10916"</f>
        <v>SR-10916</v>
      </c>
      <c r="H8041" s="2" t="s">
        <v>33650</v>
      </c>
      <c r="I8041" s="2" t="s">
        <v>33651</v>
      </c>
      <c r="K8041" s="2" t="s">
        <v>3273</v>
      </c>
      <c r="L8041" s="2" t="s">
        <v>560</v>
      </c>
      <c r="M8041" s="2">
        <v>52402.0</v>
      </c>
      <c r="N8041" s="2" t="s">
        <v>21</v>
      </c>
    </row>
    <row r="8042" ht="15.75" customHeight="1">
      <c r="A8042" s="2">
        <v>2017.0</v>
      </c>
      <c r="B8042" s="2" t="s">
        <v>33652</v>
      </c>
      <c r="C8042" s="2" t="s">
        <v>33653</v>
      </c>
      <c r="D8042" s="2" t="str">
        <f>"661-877-6980"</f>
        <v>661-877-6980</v>
      </c>
      <c r="E8042" s="2" t="s">
        <v>33654</v>
      </c>
      <c r="F8042" s="2" t="s">
        <v>33655</v>
      </c>
      <c r="G8042" s="2" t="str">
        <f>"SR-10883"</f>
        <v>SR-10883</v>
      </c>
      <c r="H8042" s="2" t="s">
        <v>33656</v>
      </c>
      <c r="I8042" s="2" t="s">
        <v>33657</v>
      </c>
      <c r="K8042" s="2" t="s">
        <v>28814</v>
      </c>
      <c r="L8042" s="2" t="s">
        <v>222</v>
      </c>
      <c r="M8042" s="2">
        <v>91381.0</v>
      </c>
      <c r="N8042" s="2" t="s">
        <v>21</v>
      </c>
    </row>
    <row r="8043" ht="15.75" customHeight="1">
      <c r="A8043" s="2">
        <v>2017.0</v>
      </c>
      <c r="B8043" s="2" t="s">
        <v>33658</v>
      </c>
      <c r="C8043" s="2" t="s">
        <v>33659</v>
      </c>
      <c r="D8043" s="2" t="str">
        <f>"9727405725"</f>
        <v>9727405725</v>
      </c>
      <c r="E8043" s="2" t="s">
        <v>88</v>
      </c>
      <c r="F8043" s="2" t="s">
        <v>33660</v>
      </c>
      <c r="G8043" s="2" t="str">
        <f>"SR-10949"</f>
        <v>SR-10949</v>
      </c>
      <c r="H8043" s="2" t="s">
        <v>33661</v>
      </c>
      <c r="I8043" s="2" t="s">
        <v>33662</v>
      </c>
      <c r="K8043" s="2" t="s">
        <v>18128</v>
      </c>
      <c r="L8043" s="2" t="s">
        <v>172</v>
      </c>
      <c r="M8043" s="2">
        <v>76226.0</v>
      </c>
      <c r="N8043" s="2" t="s">
        <v>21</v>
      </c>
    </row>
    <row r="8044" ht="15.75" customHeight="1">
      <c r="A8044" s="2">
        <v>2017.0</v>
      </c>
      <c r="B8044" s="2" t="s">
        <v>33463</v>
      </c>
      <c r="C8044" s="2" t="s">
        <v>33663</v>
      </c>
      <c r="D8044" s="2" t="str">
        <f>"3037741834"</f>
        <v>3037741834</v>
      </c>
      <c r="E8044" s="2" t="s">
        <v>33664</v>
      </c>
      <c r="F8044" s="2" t="s">
        <v>33665</v>
      </c>
      <c r="G8044" s="2" t="str">
        <f>"SR-10964"</f>
        <v>SR-10964</v>
      </c>
      <c r="H8044" s="2" t="s">
        <v>33666</v>
      </c>
      <c r="I8044" s="2" t="s">
        <v>33667</v>
      </c>
      <c r="K8044" s="2" t="s">
        <v>33668</v>
      </c>
      <c r="L8044" s="2" t="s">
        <v>157</v>
      </c>
      <c r="M8044" s="2">
        <v>80504.0</v>
      </c>
      <c r="N8044" s="2" t="s">
        <v>21</v>
      </c>
    </row>
    <row r="8045" ht="15.75" customHeight="1">
      <c r="A8045" s="2">
        <v>2017.0</v>
      </c>
      <c r="B8045" s="2" t="s">
        <v>33669</v>
      </c>
      <c r="C8045" s="2" t="s">
        <v>33669</v>
      </c>
      <c r="D8045" s="2" t="str">
        <f>"919-934-8648"</f>
        <v>919-934-8648</v>
      </c>
      <c r="E8045" s="2" t="s">
        <v>18715</v>
      </c>
      <c r="F8045" s="2" t="s">
        <v>962</v>
      </c>
      <c r="G8045" s="2" t="str">
        <f>"SR-10339"</f>
        <v>SR-10339</v>
      </c>
      <c r="H8045" s="2" t="s">
        <v>33670</v>
      </c>
      <c r="I8045" s="2" t="s">
        <v>33671</v>
      </c>
      <c r="K8045" s="2" t="s">
        <v>26041</v>
      </c>
      <c r="L8045" s="2" t="s">
        <v>20</v>
      </c>
      <c r="M8045" s="2">
        <v>27577.0</v>
      </c>
      <c r="N8045" s="2" t="s">
        <v>21</v>
      </c>
    </row>
    <row r="8046" ht="15.75" customHeight="1">
      <c r="A8046" s="2">
        <v>2017.0</v>
      </c>
      <c r="B8046" s="2" t="s">
        <v>33672</v>
      </c>
      <c r="C8046" s="2" t="s">
        <v>33672</v>
      </c>
      <c r="D8046" s="2" t="str">
        <f>"4026720777"</f>
        <v>4026720777</v>
      </c>
      <c r="E8046" s="2" t="s">
        <v>938</v>
      </c>
      <c r="F8046" s="2" t="s">
        <v>33673</v>
      </c>
      <c r="G8046" s="2" t="str">
        <f>"SR-10972"</f>
        <v>SR-10972</v>
      </c>
      <c r="H8046" s="2" t="s">
        <v>33674</v>
      </c>
      <c r="I8046" s="2" t="s">
        <v>33675</v>
      </c>
      <c r="K8046" s="2" t="s">
        <v>13289</v>
      </c>
      <c r="L8046" s="2" t="s">
        <v>560</v>
      </c>
      <c r="M8046" s="2">
        <v>51503.0</v>
      </c>
      <c r="N8046" s="2" t="s">
        <v>21</v>
      </c>
    </row>
    <row r="8047" ht="15.75" customHeight="1">
      <c r="A8047" s="2">
        <v>2017.0</v>
      </c>
      <c r="B8047" s="2" t="s">
        <v>33676</v>
      </c>
      <c r="C8047" s="2" t="s">
        <v>33677</v>
      </c>
      <c r="D8047" s="2" t="str">
        <f>"4067020136"</f>
        <v>4067020136</v>
      </c>
      <c r="E8047" s="2" t="s">
        <v>4322</v>
      </c>
      <c r="F8047" s="2" t="s">
        <v>33678</v>
      </c>
      <c r="G8047" s="2" t="str">
        <f>"SR-10969"</f>
        <v>SR-10969</v>
      </c>
      <c r="H8047" s="2" t="s">
        <v>33679</v>
      </c>
      <c r="I8047" s="2" t="s">
        <v>33680</v>
      </c>
      <c r="K8047" s="2" t="s">
        <v>5732</v>
      </c>
      <c r="L8047" s="2" t="s">
        <v>2696</v>
      </c>
      <c r="M8047" s="2">
        <v>59044.0</v>
      </c>
      <c r="N8047" s="2" t="s">
        <v>21</v>
      </c>
    </row>
    <row r="8048" ht="15.75" customHeight="1">
      <c r="A8048" s="2">
        <v>2017.0</v>
      </c>
      <c r="B8048" s="2" t="s">
        <v>33681</v>
      </c>
      <c r="C8048" s="2" t="s">
        <v>33681</v>
      </c>
      <c r="D8048" s="2" t="str">
        <f>"2345751575"</f>
        <v>2345751575</v>
      </c>
      <c r="E8048" s="2" t="s">
        <v>6381</v>
      </c>
      <c r="F8048" s="2" t="s">
        <v>10257</v>
      </c>
      <c r="G8048" s="2" t="str">
        <f>"SR-10965"</f>
        <v>SR-10965</v>
      </c>
      <c r="H8048" s="2" t="s">
        <v>33682</v>
      </c>
      <c r="I8048" s="2" t="s">
        <v>33683</v>
      </c>
      <c r="K8048" s="2" t="s">
        <v>5131</v>
      </c>
      <c r="L8048" s="2" t="s">
        <v>344</v>
      </c>
      <c r="M8048" s="2">
        <v>44460.0</v>
      </c>
      <c r="N8048" s="2" t="s">
        <v>21</v>
      </c>
    </row>
    <row r="8049" ht="15.75" customHeight="1">
      <c r="A8049" s="2">
        <v>2017.0</v>
      </c>
      <c r="B8049" s="2" t="s">
        <v>33684</v>
      </c>
      <c r="C8049" s="2" t="s">
        <v>33684</v>
      </c>
      <c r="D8049" s="2" t="str">
        <f>"(440)305-7848"</f>
        <v>(440)305-7848</v>
      </c>
      <c r="E8049" s="2" t="s">
        <v>824</v>
      </c>
      <c r="F8049" s="2" t="s">
        <v>33685</v>
      </c>
      <c r="G8049" s="2" t="str">
        <f>"SR-10970"</f>
        <v>SR-10970</v>
      </c>
      <c r="H8049" s="2" t="s">
        <v>33686</v>
      </c>
      <c r="I8049" s="2" t="s">
        <v>33687</v>
      </c>
      <c r="K8049" s="2" t="s">
        <v>33688</v>
      </c>
      <c r="L8049" s="2" t="s">
        <v>344</v>
      </c>
      <c r="M8049" s="2">
        <v>44118.0</v>
      </c>
      <c r="N8049" s="2" t="s">
        <v>21</v>
      </c>
    </row>
    <row r="8050" ht="15.75" customHeight="1">
      <c r="A8050" s="2">
        <v>2017.0</v>
      </c>
      <c r="B8050" s="2" t="s">
        <v>33689</v>
      </c>
      <c r="C8050" s="2" t="s">
        <v>33689</v>
      </c>
      <c r="D8050" s="2" t="str">
        <f>"(806)¬†407-7407"</f>
        <v>(806)¬†407-7407</v>
      </c>
      <c r="E8050" s="2" t="s">
        <v>11583</v>
      </c>
      <c r="F8050" s="2" t="s">
        <v>6884</v>
      </c>
      <c r="G8050" s="2" t="str">
        <f>"SR-10971"</f>
        <v>SR-10971</v>
      </c>
      <c r="H8050" s="2" t="s">
        <v>33690</v>
      </c>
      <c r="I8050" s="2" t="s">
        <v>33691</v>
      </c>
      <c r="K8050" s="2" t="s">
        <v>1121</v>
      </c>
      <c r="L8050" s="2" t="s">
        <v>172</v>
      </c>
      <c r="M8050" s="2">
        <v>79423.0</v>
      </c>
      <c r="N8050" s="2" t="s">
        <v>21</v>
      </c>
    </row>
    <row r="8051" ht="15.75" customHeight="1">
      <c r="A8051" s="2">
        <v>2017.0</v>
      </c>
      <c r="B8051" s="2" t="s">
        <v>33692</v>
      </c>
      <c r="C8051" s="2" t="s">
        <v>33693</v>
      </c>
      <c r="D8051" s="2" t="str">
        <f>"8067865539"</f>
        <v>8067865539</v>
      </c>
      <c r="E8051" s="2" t="s">
        <v>33694</v>
      </c>
      <c r="F8051" s="2" t="s">
        <v>33695</v>
      </c>
      <c r="G8051" s="2" t="str">
        <f>"SR-10767"</f>
        <v>SR-10767</v>
      </c>
      <c r="H8051" s="2" t="s">
        <v>33696</v>
      </c>
      <c r="I8051" s="2" t="s">
        <v>33697</v>
      </c>
      <c r="K8051" s="2" t="s">
        <v>1121</v>
      </c>
      <c r="L8051" s="2" t="s">
        <v>172</v>
      </c>
      <c r="M8051" s="2">
        <v>79424.0</v>
      </c>
      <c r="N8051" s="2" t="s">
        <v>21</v>
      </c>
    </row>
    <row r="8052" ht="15.75" customHeight="1">
      <c r="A8052" s="2">
        <v>2017.0</v>
      </c>
      <c r="B8052" s="2" t="s">
        <v>20149</v>
      </c>
      <c r="C8052" s="2" t="s">
        <v>33698</v>
      </c>
      <c r="D8052" s="2" t="str">
        <f>"325-236-3791"</f>
        <v>325-236-3791</v>
      </c>
      <c r="E8052" s="2" t="s">
        <v>33699</v>
      </c>
      <c r="F8052" s="2" t="s">
        <v>3978</v>
      </c>
      <c r="G8052" s="2" t="str">
        <f>"SR-10050"</f>
        <v>SR-10050</v>
      </c>
      <c r="H8052" s="2" t="s">
        <v>33700</v>
      </c>
      <c r="I8052" s="2" t="s">
        <v>33701</v>
      </c>
      <c r="K8052" s="2" t="s">
        <v>20153</v>
      </c>
      <c r="L8052" s="2" t="s">
        <v>172</v>
      </c>
      <c r="M8052" s="2">
        <v>79545.0</v>
      </c>
      <c r="N8052" s="2" t="s">
        <v>21</v>
      </c>
    </row>
    <row r="8053" ht="15.75" customHeight="1">
      <c r="A8053" s="2">
        <v>2017.0</v>
      </c>
      <c r="B8053" s="2" t="s">
        <v>33702</v>
      </c>
      <c r="C8053" s="2" t="s">
        <v>33703</v>
      </c>
      <c r="D8053" s="2" t="str">
        <f>"214-535-1205"</f>
        <v>214-535-1205</v>
      </c>
      <c r="E8053" s="2" t="s">
        <v>4224</v>
      </c>
      <c r="F8053" s="2" t="s">
        <v>21932</v>
      </c>
      <c r="G8053" s="2" t="str">
        <f>"SR-10977"</f>
        <v>SR-10977</v>
      </c>
      <c r="H8053" s="2" t="s">
        <v>33704</v>
      </c>
      <c r="I8053" s="2" t="s">
        <v>33705</v>
      </c>
      <c r="K8053" s="2" t="s">
        <v>615</v>
      </c>
      <c r="L8053" s="2" t="s">
        <v>172</v>
      </c>
      <c r="M8053" s="2">
        <v>75070.0</v>
      </c>
      <c r="N8053" s="2" t="s">
        <v>21</v>
      </c>
    </row>
    <row r="8054" ht="15.75" customHeight="1">
      <c r="A8054" s="2">
        <v>2017.0</v>
      </c>
      <c r="B8054" s="2" t="s">
        <v>33706</v>
      </c>
      <c r="C8054" s="2" t="s">
        <v>33706</v>
      </c>
      <c r="D8054" s="2" t="str">
        <f>"8045031064"</f>
        <v>8045031064</v>
      </c>
      <c r="E8054" s="2" t="s">
        <v>17513</v>
      </c>
      <c r="F8054" s="2" t="s">
        <v>33707</v>
      </c>
      <c r="G8054" s="2" t="str">
        <f>"SR-9865"</f>
        <v>SR-9865</v>
      </c>
      <c r="H8054" s="2" t="s">
        <v>33708</v>
      </c>
      <c r="I8054" s="2" t="s">
        <v>33709</v>
      </c>
      <c r="K8054" s="2" t="s">
        <v>688</v>
      </c>
      <c r="L8054" s="2" t="s">
        <v>165</v>
      </c>
      <c r="M8054" s="2">
        <v>23233.0</v>
      </c>
      <c r="N8054" s="2" t="s">
        <v>21</v>
      </c>
    </row>
    <row r="8055" ht="15.75" customHeight="1">
      <c r="A8055" s="2">
        <v>2017.0</v>
      </c>
      <c r="B8055" s="2" t="s">
        <v>33710</v>
      </c>
      <c r="C8055" s="2" t="s">
        <v>33711</v>
      </c>
      <c r="D8055" s="2" t="str">
        <f>"3037747746"</f>
        <v>3037747746</v>
      </c>
      <c r="E8055" s="2" t="s">
        <v>353</v>
      </c>
      <c r="F8055" s="2" t="s">
        <v>3556</v>
      </c>
      <c r="G8055" s="2" t="str">
        <f>"SR-10551"</f>
        <v>SR-10551</v>
      </c>
      <c r="H8055" s="2" t="s">
        <v>33712</v>
      </c>
      <c r="I8055" s="2" t="s">
        <v>3558</v>
      </c>
      <c r="K8055" s="2" t="s">
        <v>2317</v>
      </c>
      <c r="L8055" s="2" t="s">
        <v>157</v>
      </c>
      <c r="M8055" s="2">
        <v>80504.0</v>
      </c>
      <c r="N8055" s="2" t="s">
        <v>21</v>
      </c>
    </row>
    <row r="8056" ht="15.75" customHeight="1">
      <c r="A8056" s="2">
        <v>2017.0</v>
      </c>
      <c r="B8056" s="2" t="s">
        <v>33713</v>
      </c>
      <c r="C8056" s="2" t="s">
        <v>33713</v>
      </c>
      <c r="D8056" s="2" t="str">
        <f>"952-465-9957"</f>
        <v>952-465-9957</v>
      </c>
      <c r="E8056" s="2" t="s">
        <v>3977</v>
      </c>
      <c r="F8056" s="2" t="s">
        <v>33714</v>
      </c>
      <c r="G8056" s="2" t="str">
        <f>"SR-10975"</f>
        <v>SR-10975</v>
      </c>
      <c r="H8056" s="2" t="s">
        <v>33715</v>
      </c>
      <c r="I8056" s="2" t="s">
        <v>33716</v>
      </c>
      <c r="K8056" s="2" t="s">
        <v>33717</v>
      </c>
      <c r="L8056" s="2" t="s">
        <v>62</v>
      </c>
      <c r="M8056" s="2">
        <v>55378.0</v>
      </c>
      <c r="N8056" s="2" t="s">
        <v>21</v>
      </c>
    </row>
    <row r="8057" ht="15.75" customHeight="1">
      <c r="A8057" s="2">
        <v>2017.0</v>
      </c>
      <c r="B8057" s="2" t="s">
        <v>33718</v>
      </c>
      <c r="C8057" s="2" t="s">
        <v>33718</v>
      </c>
      <c r="D8057" s="2" t="str">
        <f>"682-239-1671"</f>
        <v>682-239-1671</v>
      </c>
      <c r="E8057" s="2" t="s">
        <v>33719</v>
      </c>
      <c r="F8057" s="2" t="s">
        <v>3062</v>
      </c>
      <c r="G8057" s="2" t="str">
        <f>"SR-10884"</f>
        <v>SR-10884</v>
      </c>
      <c r="H8057" s="2" t="s">
        <v>33720</v>
      </c>
      <c r="I8057" s="2" t="s">
        <v>33721</v>
      </c>
      <c r="K8057" s="2" t="s">
        <v>882</v>
      </c>
      <c r="L8057" s="2" t="s">
        <v>172</v>
      </c>
      <c r="M8057" s="2">
        <v>76017.0</v>
      </c>
      <c r="N8057" s="2" t="s">
        <v>21</v>
      </c>
    </row>
    <row r="8058" ht="15.75" customHeight="1">
      <c r="A8058" s="2">
        <v>2017.0</v>
      </c>
      <c r="B8058" s="2" t="s">
        <v>15565</v>
      </c>
      <c r="C8058" s="2" t="s">
        <v>28597</v>
      </c>
      <c r="D8058" s="2" t="str">
        <f>"210-620-7464"</f>
        <v>210-620-7464</v>
      </c>
      <c r="E8058" s="2" t="s">
        <v>28598</v>
      </c>
      <c r="F8058" s="2" t="s">
        <v>15567</v>
      </c>
      <c r="G8058" s="2" t="str">
        <f>"SR-7873"</f>
        <v>SR-7873</v>
      </c>
      <c r="H8058" s="2" t="s">
        <v>28599</v>
      </c>
      <c r="I8058" s="2" t="s">
        <v>28600</v>
      </c>
      <c r="K8058" s="2" t="s">
        <v>632</v>
      </c>
      <c r="L8058" s="2" t="s">
        <v>172</v>
      </c>
      <c r="M8058" s="2">
        <v>78232.0</v>
      </c>
      <c r="N8058" s="2" t="s">
        <v>21</v>
      </c>
    </row>
    <row r="8059" ht="15.75" customHeight="1">
      <c r="A8059" s="2">
        <v>2017.0</v>
      </c>
      <c r="B8059" s="2" t="s">
        <v>20351</v>
      </c>
      <c r="C8059" s="2" t="s">
        <v>33722</v>
      </c>
      <c r="D8059" s="2" t="str">
        <f>"8025650525"</f>
        <v>8025650525</v>
      </c>
      <c r="E8059" s="2" t="s">
        <v>1810</v>
      </c>
      <c r="F8059" s="2" t="s">
        <v>3320</v>
      </c>
      <c r="G8059" s="2" t="str">
        <f>"SR-8772"</f>
        <v>SR-8772</v>
      </c>
      <c r="H8059" s="2" t="s">
        <v>33723</v>
      </c>
      <c r="I8059" s="2" t="s">
        <v>20354</v>
      </c>
      <c r="K8059" s="2" t="s">
        <v>18705</v>
      </c>
      <c r="L8059" s="2" t="s">
        <v>9264</v>
      </c>
      <c r="M8059" s="2">
        <v>5032.0</v>
      </c>
      <c r="N8059" s="2" t="s">
        <v>21</v>
      </c>
    </row>
    <row r="8060" ht="15.75" customHeight="1">
      <c r="A8060" s="2">
        <v>2017.0</v>
      </c>
      <c r="B8060" s="2" t="s">
        <v>33724</v>
      </c>
      <c r="C8060" s="2" t="s">
        <v>33724</v>
      </c>
      <c r="D8060" s="2" t="str">
        <f>"6202180127"</f>
        <v>6202180127</v>
      </c>
      <c r="E8060" s="2" t="s">
        <v>33725</v>
      </c>
      <c r="F8060" s="2" t="s">
        <v>33726</v>
      </c>
      <c r="G8060" s="2" t="str">
        <f>"SR-10978"</f>
        <v>SR-10978</v>
      </c>
      <c r="H8060" s="2" t="s">
        <v>33727</v>
      </c>
      <c r="I8060" s="2" t="s">
        <v>33728</v>
      </c>
      <c r="K8060" s="2" t="s">
        <v>3530</v>
      </c>
      <c r="L8060" s="2" t="s">
        <v>272</v>
      </c>
      <c r="M8060" s="2">
        <v>67156.0</v>
      </c>
      <c r="N8060" s="2" t="s">
        <v>21</v>
      </c>
    </row>
    <row r="8061" ht="15.75" customHeight="1">
      <c r="A8061" s="2">
        <v>2017.0</v>
      </c>
      <c r="B8061" s="2" t="s">
        <v>33729</v>
      </c>
      <c r="C8061" s="2" t="s">
        <v>33730</v>
      </c>
      <c r="D8061" s="2" t="str">
        <f>"214-226-7840"</f>
        <v>214-226-7840</v>
      </c>
      <c r="E8061" s="2" t="s">
        <v>9476</v>
      </c>
      <c r="F8061" s="2" t="s">
        <v>33731</v>
      </c>
      <c r="G8061" s="2" t="str">
        <f>"SR-10506"</f>
        <v>SR-10506</v>
      </c>
      <c r="H8061" s="2" t="s">
        <v>33732</v>
      </c>
      <c r="I8061" s="2" t="s">
        <v>33733</v>
      </c>
      <c r="K8061" s="2" t="s">
        <v>1255</v>
      </c>
      <c r="L8061" s="2" t="s">
        <v>279</v>
      </c>
      <c r="M8061" s="2">
        <v>75238.0</v>
      </c>
      <c r="N8061" s="2" t="s">
        <v>21</v>
      </c>
    </row>
    <row r="8062" ht="15.75" customHeight="1">
      <c r="A8062" s="2">
        <v>2017.0</v>
      </c>
      <c r="B8062" s="2" t="s">
        <v>33734</v>
      </c>
      <c r="C8062" s="2" t="s">
        <v>33734</v>
      </c>
      <c r="D8062" s="2" t="str">
        <f>"9078419930"</f>
        <v>9078419930</v>
      </c>
      <c r="E8062" s="2" t="s">
        <v>8887</v>
      </c>
      <c r="F8062" s="2" t="s">
        <v>1209</v>
      </c>
      <c r="G8062" s="2" t="str">
        <f>"SR-10976"</f>
        <v>SR-10976</v>
      </c>
      <c r="H8062" s="2" t="s">
        <v>33735</v>
      </c>
      <c r="I8062" s="2" t="s">
        <v>33736</v>
      </c>
      <c r="K8062" s="2" t="s">
        <v>13272</v>
      </c>
      <c r="L8062" s="2" t="s">
        <v>70</v>
      </c>
      <c r="M8062" s="2">
        <v>99687.0</v>
      </c>
      <c r="N8062" s="2" t="s">
        <v>21</v>
      </c>
    </row>
    <row r="8063" ht="15.75" customHeight="1">
      <c r="A8063" s="2">
        <v>2017.0</v>
      </c>
      <c r="B8063" s="2" t="s">
        <v>20808</v>
      </c>
      <c r="C8063" s="2" t="s">
        <v>33737</v>
      </c>
      <c r="D8063" s="2" t="str">
        <f>"+61411159322"</f>
        <v>+61411159322</v>
      </c>
      <c r="E8063" s="2" t="s">
        <v>33738</v>
      </c>
      <c r="F8063" s="2" t="s">
        <v>20810</v>
      </c>
      <c r="G8063" s="2" t="str">
        <f>"SR-10889"</f>
        <v>SR-10889</v>
      </c>
      <c r="H8063" s="2" t="s">
        <v>33739</v>
      </c>
      <c r="I8063" s="2" t="s">
        <v>20812</v>
      </c>
      <c r="K8063" s="2" t="s">
        <v>20813</v>
      </c>
      <c r="L8063" s="2" t="s">
        <v>33740</v>
      </c>
      <c r="M8063" s="2">
        <v>3130.0</v>
      </c>
      <c r="N8063" s="2" t="s">
        <v>4442</v>
      </c>
    </row>
    <row r="8064" ht="15.75" customHeight="1">
      <c r="A8064" s="2">
        <v>2017.0</v>
      </c>
      <c r="B8064" s="2" t="s">
        <v>33741</v>
      </c>
      <c r="C8064" s="2" t="s">
        <v>33741</v>
      </c>
      <c r="D8064" s="2" t="str">
        <f>"(812) 746-9524"</f>
        <v>(812) 746-9524</v>
      </c>
      <c r="E8064" s="2" t="s">
        <v>33742</v>
      </c>
      <c r="F8064" s="2" t="s">
        <v>13718</v>
      </c>
      <c r="G8064" s="2" t="str">
        <f>"SR-10979"</f>
        <v>SR-10979</v>
      </c>
      <c r="H8064" s="2" t="s">
        <v>33743</v>
      </c>
      <c r="I8064" s="2" t="s">
        <v>33744</v>
      </c>
      <c r="K8064" s="2" t="s">
        <v>20112</v>
      </c>
      <c r="L8064" s="2" t="s">
        <v>149</v>
      </c>
      <c r="M8064" s="2">
        <v>47601.0</v>
      </c>
      <c r="N8064" s="2" t="s">
        <v>21</v>
      </c>
    </row>
    <row r="8065" ht="15.75" customHeight="1">
      <c r="A8065" s="2">
        <v>2017.0</v>
      </c>
      <c r="B8065" s="2" t="s">
        <v>33745</v>
      </c>
      <c r="C8065" s="2" t="s">
        <v>33746</v>
      </c>
      <c r="D8065" s="2" t="str">
        <f>"303-693-9896"</f>
        <v>303-693-9896</v>
      </c>
      <c r="E8065" s="2" t="s">
        <v>88</v>
      </c>
      <c r="F8065" s="2" t="s">
        <v>11152</v>
      </c>
      <c r="G8065" s="2" t="str">
        <f>"SR-10939"</f>
        <v>SR-10939</v>
      </c>
      <c r="H8065" s="2" t="s">
        <v>33747</v>
      </c>
      <c r="I8065" s="2" t="s">
        <v>33748</v>
      </c>
      <c r="K8065" s="2" t="s">
        <v>992</v>
      </c>
      <c r="L8065" s="2" t="s">
        <v>157</v>
      </c>
      <c r="M8065" s="2">
        <v>80015.0</v>
      </c>
      <c r="N8065" s="2" t="s">
        <v>21</v>
      </c>
    </row>
    <row r="8066" ht="15.75" customHeight="1">
      <c r="A8066" s="2">
        <v>2017.0</v>
      </c>
      <c r="B8066" s="2" t="s">
        <v>33749</v>
      </c>
      <c r="C8066" s="2" t="s">
        <v>33750</v>
      </c>
      <c r="D8066" s="2" t="str">
        <f>"4104996059"</f>
        <v>4104996059</v>
      </c>
      <c r="E8066" s="2" t="s">
        <v>3196</v>
      </c>
      <c r="F8066" s="2" t="s">
        <v>26681</v>
      </c>
      <c r="G8066" s="2" t="str">
        <f>"SR-10935"</f>
        <v>SR-10935</v>
      </c>
      <c r="H8066" s="2" t="s">
        <v>33751</v>
      </c>
      <c r="I8066" s="2" t="s">
        <v>33752</v>
      </c>
      <c r="K8066" s="2" t="s">
        <v>33753</v>
      </c>
      <c r="L8066" s="2" t="s">
        <v>1868</v>
      </c>
      <c r="M8066" s="2">
        <v>21234.0</v>
      </c>
      <c r="N8066" s="2" t="s">
        <v>21</v>
      </c>
    </row>
    <row r="8067" ht="15.75" customHeight="1">
      <c r="A8067" s="2">
        <v>2017.0</v>
      </c>
      <c r="B8067" s="2" t="s">
        <v>28752</v>
      </c>
      <c r="C8067" s="2" t="s">
        <v>28753</v>
      </c>
      <c r="D8067" s="2" t="str">
        <f>"5157835196"</f>
        <v>5157835196</v>
      </c>
      <c r="E8067" s="2" t="s">
        <v>28754</v>
      </c>
      <c r="F8067" s="2" t="s">
        <v>2429</v>
      </c>
      <c r="G8067" s="2" t="str">
        <f>"SR-8936"</f>
        <v>SR-8936</v>
      </c>
      <c r="H8067" s="2" t="s">
        <v>28755</v>
      </c>
      <c r="I8067" s="2" t="s">
        <v>28756</v>
      </c>
      <c r="K8067" s="2" t="s">
        <v>1996</v>
      </c>
      <c r="L8067" s="2" t="s">
        <v>560</v>
      </c>
      <c r="M8067" s="2">
        <v>50310.0</v>
      </c>
      <c r="N8067" s="2" t="s">
        <v>21</v>
      </c>
    </row>
    <row r="8068" ht="15.75" customHeight="1">
      <c r="A8068" s="2">
        <v>2017.0</v>
      </c>
      <c r="B8068" s="2" t="s">
        <v>10018</v>
      </c>
      <c r="C8068" s="2" t="s">
        <v>10018</v>
      </c>
      <c r="D8068" s="2" t="str">
        <f>"7543668226"</f>
        <v>7543668226</v>
      </c>
      <c r="E8068" s="2" t="s">
        <v>955</v>
      </c>
      <c r="F8068" s="2" t="s">
        <v>10019</v>
      </c>
      <c r="G8068" s="2" t="str">
        <f>"SR-2758"</f>
        <v>SR-2758</v>
      </c>
      <c r="H8068" s="2" t="s">
        <v>10020</v>
      </c>
      <c r="I8068" s="2" t="s">
        <v>10021</v>
      </c>
      <c r="K8068" s="2" t="s">
        <v>10022</v>
      </c>
      <c r="L8068" s="2" t="s">
        <v>208</v>
      </c>
      <c r="M8068" s="2">
        <v>33325.0</v>
      </c>
      <c r="N8068" s="2" t="s">
        <v>21</v>
      </c>
    </row>
    <row r="8069" ht="15.75" customHeight="1">
      <c r="A8069" s="2">
        <v>2017.0</v>
      </c>
      <c r="B8069" s="2" t="s">
        <v>7967</v>
      </c>
      <c r="C8069" s="2" t="s">
        <v>33754</v>
      </c>
      <c r="D8069" s="2" t="str">
        <f>"8042778197"</f>
        <v>8042778197</v>
      </c>
      <c r="E8069" s="2" t="s">
        <v>9599</v>
      </c>
      <c r="F8069" s="2" t="s">
        <v>863</v>
      </c>
      <c r="G8069" s="2" t="str">
        <f>"SR-10986"</f>
        <v>SR-10986</v>
      </c>
      <c r="H8069" s="2" t="s">
        <v>33755</v>
      </c>
      <c r="I8069" s="2" t="s">
        <v>33756</v>
      </c>
      <c r="K8069" s="2" t="s">
        <v>7971</v>
      </c>
      <c r="L8069" s="2" t="s">
        <v>165</v>
      </c>
      <c r="M8069" s="2">
        <v>23111.0</v>
      </c>
      <c r="N8069" s="2" t="s">
        <v>21</v>
      </c>
    </row>
    <row r="8070" ht="15.75" customHeight="1">
      <c r="A8070" s="2">
        <v>2017.0</v>
      </c>
      <c r="B8070" s="2" t="s">
        <v>33757</v>
      </c>
      <c r="C8070" s="2" t="s">
        <v>33758</v>
      </c>
      <c r="D8070" s="2" t="str">
        <f>"425-404-0045"</f>
        <v>425-404-0045</v>
      </c>
      <c r="E8070" s="2" t="s">
        <v>33759</v>
      </c>
      <c r="F8070" s="2" t="s">
        <v>1586</v>
      </c>
      <c r="G8070" s="2" t="str">
        <f>"SR-10842"</f>
        <v>SR-10842</v>
      </c>
      <c r="H8070" s="2" t="s">
        <v>33760</v>
      </c>
      <c r="I8070" s="2" t="s">
        <v>33761</v>
      </c>
      <c r="K8070" s="2" t="s">
        <v>10295</v>
      </c>
      <c r="L8070" s="2" t="s">
        <v>86</v>
      </c>
      <c r="M8070" s="2">
        <v>98203.0</v>
      </c>
      <c r="N8070" s="2" t="s">
        <v>21</v>
      </c>
    </row>
    <row r="8071" ht="15.75" customHeight="1">
      <c r="A8071" s="2">
        <v>2017.0</v>
      </c>
      <c r="B8071" s="2" t="s">
        <v>33762</v>
      </c>
      <c r="C8071" s="2" t="s">
        <v>33763</v>
      </c>
      <c r="D8071" s="2" t="str">
        <f t="shared" ref="D8071:D8072" si="130">"205-475-2349"</f>
        <v>205-475-2349</v>
      </c>
      <c r="E8071" s="2" t="s">
        <v>33764</v>
      </c>
      <c r="F8071" s="2" t="s">
        <v>9976</v>
      </c>
      <c r="G8071" s="2" t="str">
        <f>"SR-10987"</f>
        <v>SR-10987</v>
      </c>
      <c r="H8071" s="2" t="s">
        <v>33765</v>
      </c>
      <c r="I8071" s="2" t="s">
        <v>33766</v>
      </c>
      <c r="K8071" s="2" t="s">
        <v>18521</v>
      </c>
      <c r="L8071" s="2" t="s">
        <v>539</v>
      </c>
      <c r="M8071" s="2">
        <v>35080.0</v>
      </c>
      <c r="N8071" s="2" t="s">
        <v>21</v>
      </c>
    </row>
    <row r="8072" ht="15.75" customHeight="1">
      <c r="A8072" s="2">
        <v>2017.0</v>
      </c>
      <c r="B8072" s="2" t="s">
        <v>33762</v>
      </c>
      <c r="C8072" s="2" t="s">
        <v>33767</v>
      </c>
      <c r="D8072" s="2" t="str">
        <f t="shared" si="130"/>
        <v>205-475-2349</v>
      </c>
      <c r="E8072" s="2" t="s">
        <v>261</v>
      </c>
      <c r="F8072" s="2" t="s">
        <v>9976</v>
      </c>
      <c r="G8072" s="2" t="str">
        <f>"SR-10989"</f>
        <v>SR-10989</v>
      </c>
      <c r="H8072" s="2" t="s">
        <v>33768</v>
      </c>
      <c r="I8072" s="2" t="s">
        <v>33766</v>
      </c>
      <c r="K8072" s="2" t="s">
        <v>18521</v>
      </c>
      <c r="L8072" s="2" t="s">
        <v>539</v>
      </c>
      <c r="M8072" s="2">
        <v>35080.0</v>
      </c>
      <c r="N8072" s="2" t="s">
        <v>21</v>
      </c>
    </row>
    <row r="8073" ht="15.75" customHeight="1">
      <c r="A8073" s="2">
        <v>2017.0</v>
      </c>
      <c r="B8073" s="2" t="s">
        <v>33769</v>
      </c>
      <c r="C8073" s="2" t="s">
        <v>33769</v>
      </c>
      <c r="D8073" s="2" t="str">
        <f>"503-328-9210"</f>
        <v>503-328-9210</v>
      </c>
      <c r="E8073" s="2" t="s">
        <v>3668</v>
      </c>
      <c r="F8073" s="2" t="s">
        <v>3055</v>
      </c>
      <c r="G8073" s="2" t="str">
        <f>"SR-10500"</f>
        <v>SR-10500</v>
      </c>
      <c r="H8073" s="2" t="s">
        <v>33770</v>
      </c>
      <c r="I8073" s="2" t="s">
        <v>33771</v>
      </c>
      <c r="K8073" s="2" t="s">
        <v>3058</v>
      </c>
      <c r="L8073" s="2" t="s">
        <v>2389</v>
      </c>
      <c r="M8073" s="2">
        <v>97080.0</v>
      </c>
      <c r="N8073" s="2" t="s">
        <v>21</v>
      </c>
    </row>
    <row r="8074" ht="15.75" customHeight="1">
      <c r="A8074" s="2">
        <v>2017.0</v>
      </c>
      <c r="B8074" s="2" t="s">
        <v>4608</v>
      </c>
      <c r="C8074" s="2" t="s">
        <v>33772</v>
      </c>
      <c r="D8074" s="2" t="str">
        <f>"2245673483"</f>
        <v>2245673483</v>
      </c>
      <c r="E8074" s="2" t="s">
        <v>261</v>
      </c>
      <c r="F8074" s="2" t="s">
        <v>4610</v>
      </c>
      <c r="G8074" s="2" t="str">
        <f>"SR-3884"</f>
        <v>SR-3884</v>
      </c>
      <c r="H8074" s="2" t="s">
        <v>33773</v>
      </c>
      <c r="I8074" s="2" t="s">
        <v>33774</v>
      </c>
      <c r="K8074" s="2" t="s">
        <v>4613</v>
      </c>
      <c r="L8074" s="2" t="s">
        <v>105</v>
      </c>
      <c r="M8074" s="2">
        <v>60047.0</v>
      </c>
      <c r="N8074" s="2" t="s">
        <v>21</v>
      </c>
    </row>
    <row r="8075" ht="15.75" customHeight="1">
      <c r="A8075" s="2">
        <v>2017.0</v>
      </c>
      <c r="B8075" s="2" t="s">
        <v>4780</v>
      </c>
      <c r="C8075" s="2" t="s">
        <v>33775</v>
      </c>
      <c r="D8075" s="2" t="str">
        <f>"719-337-3990"</f>
        <v>719-337-3990</v>
      </c>
      <c r="E8075" s="2" t="s">
        <v>456</v>
      </c>
      <c r="F8075" s="2" t="s">
        <v>4783</v>
      </c>
      <c r="G8075" s="2" t="str">
        <f>"SR-9765"</f>
        <v>SR-9765</v>
      </c>
      <c r="H8075" s="2" t="s">
        <v>33776</v>
      </c>
      <c r="I8075" s="2" t="s">
        <v>4785</v>
      </c>
      <c r="K8075" s="2" t="s">
        <v>809</v>
      </c>
      <c r="L8075" s="2" t="s">
        <v>157</v>
      </c>
      <c r="M8075" s="2">
        <v>80921.0</v>
      </c>
      <c r="N8075" s="2" t="s">
        <v>21</v>
      </c>
    </row>
    <row r="8076" ht="15.75" customHeight="1">
      <c r="A8076" s="2">
        <v>2017.0</v>
      </c>
      <c r="B8076" s="2" t="s">
        <v>33777</v>
      </c>
      <c r="C8076" s="2" t="s">
        <v>33778</v>
      </c>
      <c r="D8076" s="2" t="str">
        <f>"903-675-5312"</f>
        <v>903-675-5312</v>
      </c>
      <c r="E8076" s="2" t="s">
        <v>4401</v>
      </c>
      <c r="F8076" s="2" t="s">
        <v>2429</v>
      </c>
      <c r="G8076" s="2" t="str">
        <f>"SR-10993"</f>
        <v>SR-10993</v>
      </c>
      <c r="H8076" s="2" t="s">
        <v>33779</v>
      </c>
      <c r="I8076" s="2" t="s">
        <v>33780</v>
      </c>
      <c r="K8076" s="2" t="s">
        <v>5108</v>
      </c>
      <c r="L8076" s="2" t="s">
        <v>172</v>
      </c>
      <c r="M8076" s="2">
        <v>75752.0</v>
      </c>
      <c r="N8076" s="2" t="s">
        <v>21</v>
      </c>
    </row>
    <row r="8077" ht="15.75" customHeight="1">
      <c r="A8077" s="2">
        <v>2017.0</v>
      </c>
      <c r="B8077" s="2" t="s">
        <v>21227</v>
      </c>
      <c r="C8077" s="2" t="s">
        <v>21228</v>
      </c>
      <c r="D8077" s="2" t="str">
        <f>"4029333557"</f>
        <v>4029333557</v>
      </c>
      <c r="E8077" s="2" t="s">
        <v>2018</v>
      </c>
      <c r="F8077" s="2" t="s">
        <v>7477</v>
      </c>
      <c r="G8077" s="2" t="str">
        <f>"SR-6275"</f>
        <v>SR-6275</v>
      </c>
      <c r="H8077" s="2" t="s">
        <v>21229</v>
      </c>
      <c r="I8077" s="2" t="s">
        <v>21230</v>
      </c>
      <c r="K8077" s="2" t="s">
        <v>3438</v>
      </c>
      <c r="L8077" s="2" t="s">
        <v>757</v>
      </c>
      <c r="M8077" s="2">
        <v>68133.0</v>
      </c>
      <c r="N8077" s="2" t="s">
        <v>21</v>
      </c>
    </row>
    <row r="8078" ht="15.75" customHeight="1">
      <c r="A8078" s="2">
        <v>2017.0</v>
      </c>
      <c r="B8078" s="2" t="s">
        <v>33781</v>
      </c>
      <c r="C8078" s="2" t="s">
        <v>33781</v>
      </c>
      <c r="D8078" s="2" t="str">
        <f>"6127097030"</f>
        <v>6127097030</v>
      </c>
      <c r="E8078" s="2" t="s">
        <v>1803</v>
      </c>
      <c r="F8078" s="2" t="s">
        <v>33782</v>
      </c>
      <c r="G8078" s="2" t="str">
        <f>"SR-10994"</f>
        <v>SR-10994</v>
      </c>
      <c r="H8078" s="2" t="s">
        <v>33783</v>
      </c>
      <c r="I8078" s="2" t="s">
        <v>33784</v>
      </c>
      <c r="K8078" s="2" t="s">
        <v>33785</v>
      </c>
      <c r="L8078" s="2" t="s">
        <v>62</v>
      </c>
      <c r="M8078" s="2">
        <v>55321.0</v>
      </c>
      <c r="N8078" s="2" t="s">
        <v>21</v>
      </c>
    </row>
    <row r="8079" ht="15.75" customHeight="1">
      <c r="A8079" s="2">
        <v>2017.0</v>
      </c>
      <c r="B8079" s="2" t="s">
        <v>33786</v>
      </c>
      <c r="C8079" s="2" t="s">
        <v>33787</v>
      </c>
      <c r="D8079" s="2" t="str">
        <f>"817-600-0058"</f>
        <v>817-600-0058</v>
      </c>
      <c r="E8079" s="2" t="s">
        <v>651</v>
      </c>
      <c r="F8079" s="2" t="s">
        <v>33788</v>
      </c>
      <c r="G8079" s="2" t="str">
        <f>"SR-10868"</f>
        <v>SR-10868</v>
      </c>
      <c r="H8079" s="2" t="s">
        <v>33789</v>
      </c>
      <c r="I8079" s="2" t="s">
        <v>33790</v>
      </c>
      <c r="K8079" s="2" t="s">
        <v>1260</v>
      </c>
      <c r="L8079" s="2" t="s">
        <v>172</v>
      </c>
      <c r="M8079" s="2">
        <v>76244.0</v>
      </c>
      <c r="N8079" s="2" t="s">
        <v>21</v>
      </c>
    </row>
    <row r="8080" ht="15.75" customHeight="1">
      <c r="A8080" s="2">
        <v>2017.0</v>
      </c>
      <c r="B8080" s="2" t="s">
        <v>26581</v>
      </c>
      <c r="C8080" s="2" t="s">
        <v>26582</v>
      </c>
      <c r="D8080" s="2" t="str">
        <f>"9032610210"</f>
        <v>9032610210</v>
      </c>
      <c r="E8080" s="2" t="s">
        <v>6202</v>
      </c>
      <c r="F8080" s="2" t="s">
        <v>26583</v>
      </c>
      <c r="G8080" s="2" t="str">
        <f>"SR-8430"</f>
        <v>SR-8430</v>
      </c>
      <c r="H8080" s="2" t="s">
        <v>26584</v>
      </c>
      <c r="I8080" s="2" t="s">
        <v>26585</v>
      </c>
      <c r="K8080" s="2" t="s">
        <v>4808</v>
      </c>
      <c r="L8080" s="2" t="s">
        <v>172</v>
      </c>
      <c r="M8080" s="2">
        <v>75605.0</v>
      </c>
      <c r="N8080" s="2" t="s">
        <v>21</v>
      </c>
    </row>
    <row r="8081" ht="15.75" customHeight="1">
      <c r="A8081" s="2">
        <v>2017.0</v>
      </c>
      <c r="B8081" s="2" t="s">
        <v>33791</v>
      </c>
      <c r="C8081" s="2" t="s">
        <v>33791</v>
      </c>
      <c r="D8081" s="2" t="str">
        <f>"3205521687"</f>
        <v>3205521687</v>
      </c>
      <c r="E8081" s="2" t="s">
        <v>1022</v>
      </c>
      <c r="F8081" s="2" t="s">
        <v>33782</v>
      </c>
      <c r="G8081" s="2" t="str">
        <f>"SR-10995"</f>
        <v>SR-10995</v>
      </c>
      <c r="H8081" s="2" t="s">
        <v>33792</v>
      </c>
      <c r="I8081" s="2" t="s">
        <v>33784</v>
      </c>
      <c r="K8081" s="2" t="s">
        <v>33785</v>
      </c>
      <c r="L8081" s="2" t="s">
        <v>62</v>
      </c>
      <c r="M8081" s="2">
        <v>55321.0</v>
      </c>
      <c r="N8081" s="2" t="s">
        <v>21</v>
      </c>
    </row>
    <row r="8082" ht="15.75" customHeight="1">
      <c r="A8082" s="2">
        <v>2017.0</v>
      </c>
      <c r="B8082" s="2" t="s">
        <v>33793</v>
      </c>
      <c r="C8082" s="2" t="s">
        <v>33793</v>
      </c>
      <c r="D8082" s="2" t="str">
        <f>"859-366-5530"</f>
        <v>859-366-5530</v>
      </c>
      <c r="E8082" s="2" t="s">
        <v>1585</v>
      </c>
      <c r="F8082" s="2" t="s">
        <v>33794</v>
      </c>
      <c r="G8082" s="2" t="str">
        <f>"SR-10992"</f>
        <v>SR-10992</v>
      </c>
      <c r="H8082" s="2" t="s">
        <v>33795</v>
      </c>
      <c r="I8082" s="2" t="s">
        <v>33796</v>
      </c>
      <c r="K8082" s="2" t="s">
        <v>33797</v>
      </c>
      <c r="L8082" s="2" t="s">
        <v>1236</v>
      </c>
      <c r="M8082" s="2">
        <v>40078.0</v>
      </c>
      <c r="N8082" s="2" t="s">
        <v>21</v>
      </c>
    </row>
    <row r="8083" ht="15.75" customHeight="1">
      <c r="A8083" s="2">
        <v>2017.0</v>
      </c>
      <c r="B8083" s="2" t="s">
        <v>7641</v>
      </c>
      <c r="C8083" s="2" t="s">
        <v>27802</v>
      </c>
      <c r="D8083" s="2" t="str">
        <f>"904-518-0962"</f>
        <v>904-518-0962</v>
      </c>
      <c r="E8083" s="2" t="s">
        <v>428</v>
      </c>
      <c r="F8083" s="2" t="s">
        <v>5035</v>
      </c>
      <c r="G8083" s="2" t="str">
        <f>"SR-8685"</f>
        <v>SR-8685</v>
      </c>
      <c r="H8083" s="2" t="s">
        <v>27803</v>
      </c>
      <c r="I8083" s="2" t="s">
        <v>7644</v>
      </c>
      <c r="K8083" s="2" t="s">
        <v>27804</v>
      </c>
      <c r="L8083" s="2" t="s">
        <v>208</v>
      </c>
      <c r="M8083" s="2">
        <v>32259.0</v>
      </c>
      <c r="N8083" s="2" t="s">
        <v>21</v>
      </c>
    </row>
    <row r="8084" ht="15.75" customHeight="1">
      <c r="A8084" s="2">
        <v>2017.0</v>
      </c>
      <c r="B8084" s="2" t="s">
        <v>33798</v>
      </c>
      <c r="C8084" s="2" t="s">
        <v>33799</v>
      </c>
      <c r="D8084" s="2" t="str">
        <f>"2149083124"</f>
        <v>2149083124</v>
      </c>
      <c r="E8084" s="2" t="s">
        <v>19125</v>
      </c>
      <c r="F8084" s="2" t="s">
        <v>1252</v>
      </c>
      <c r="G8084" s="2" t="str">
        <f>"SR-10821"</f>
        <v>SR-10821</v>
      </c>
      <c r="H8084" s="2" t="s">
        <v>33800</v>
      </c>
      <c r="I8084" s="2" t="s">
        <v>21749</v>
      </c>
      <c r="K8084" s="2" t="s">
        <v>1255</v>
      </c>
      <c r="L8084" s="2" t="s">
        <v>172</v>
      </c>
      <c r="M8084" s="2">
        <v>75225.0</v>
      </c>
      <c r="N8084" s="2" t="s">
        <v>21</v>
      </c>
    </row>
    <row r="8085" ht="15.75" customHeight="1">
      <c r="A8085" s="2">
        <v>2017.0</v>
      </c>
      <c r="B8085" s="2" t="s">
        <v>33801</v>
      </c>
      <c r="C8085" s="2" t="s">
        <v>33802</v>
      </c>
      <c r="D8085" s="2" t="str">
        <f>"7036248903"</f>
        <v>7036248903</v>
      </c>
      <c r="E8085" s="2" t="s">
        <v>2401</v>
      </c>
      <c r="F8085" s="2" t="s">
        <v>33803</v>
      </c>
      <c r="G8085" s="2" t="str">
        <f>"SR-10070"</f>
        <v>SR-10070</v>
      </c>
      <c r="H8085" s="2" t="s">
        <v>33804</v>
      </c>
      <c r="I8085" s="2" t="s">
        <v>33805</v>
      </c>
      <c r="K8085" s="2" t="s">
        <v>7148</v>
      </c>
      <c r="L8085" s="2" t="s">
        <v>165</v>
      </c>
      <c r="M8085" s="2">
        <v>20112.0</v>
      </c>
      <c r="N8085" s="2" t="s">
        <v>21</v>
      </c>
    </row>
    <row r="8086" ht="15.75" customHeight="1">
      <c r="A8086" s="2">
        <v>2017.0</v>
      </c>
      <c r="B8086" s="2" t="s">
        <v>13981</v>
      </c>
      <c r="C8086" s="2" t="s">
        <v>33806</v>
      </c>
      <c r="D8086" s="2" t="str">
        <f>"973-625-1708"</f>
        <v>973-625-1708</v>
      </c>
      <c r="E8086" s="2" t="s">
        <v>24063</v>
      </c>
      <c r="F8086" s="2" t="s">
        <v>13983</v>
      </c>
      <c r="G8086" s="2" t="str">
        <f>"SR-10912"</f>
        <v>SR-10912</v>
      </c>
      <c r="H8086" s="2" t="s">
        <v>33807</v>
      </c>
      <c r="I8086" s="2" t="s">
        <v>13985</v>
      </c>
      <c r="K8086" s="2" t="s">
        <v>13986</v>
      </c>
      <c r="L8086" s="2" t="s">
        <v>3618</v>
      </c>
      <c r="M8086" s="2">
        <v>7834.0</v>
      </c>
      <c r="N8086" s="2" t="s">
        <v>21</v>
      </c>
    </row>
    <row r="8087" ht="15.75" customHeight="1">
      <c r="A8087" s="2">
        <v>2017.0</v>
      </c>
      <c r="B8087" s="2" t="s">
        <v>33808</v>
      </c>
      <c r="C8087" s="2" t="s">
        <v>33809</v>
      </c>
      <c r="D8087" s="2" t="str">
        <f>"8302756881"</f>
        <v>8302756881</v>
      </c>
      <c r="E8087" s="2" t="s">
        <v>301</v>
      </c>
      <c r="F8087" s="2" t="s">
        <v>33810</v>
      </c>
      <c r="G8087" s="2" t="str">
        <f>"SR-9957"</f>
        <v>SR-9957</v>
      </c>
      <c r="H8087" s="2" t="s">
        <v>33811</v>
      </c>
      <c r="I8087" s="2" t="s">
        <v>33812</v>
      </c>
      <c r="K8087" s="2" t="s">
        <v>10933</v>
      </c>
      <c r="L8087" s="2" t="s">
        <v>172</v>
      </c>
      <c r="M8087" s="2">
        <v>78801.0</v>
      </c>
      <c r="N8087" s="2" t="s">
        <v>21</v>
      </c>
    </row>
    <row r="8088" ht="15.75" customHeight="1">
      <c r="A8088" s="2">
        <v>2017.0</v>
      </c>
      <c r="B8088" s="2" t="s">
        <v>33813</v>
      </c>
      <c r="C8088" s="2" t="s">
        <v>33814</v>
      </c>
      <c r="D8088" s="2" t="str">
        <f>"3193509189"</f>
        <v>3193509189</v>
      </c>
      <c r="E8088" s="2" t="s">
        <v>33815</v>
      </c>
      <c r="F8088" s="2" t="s">
        <v>16714</v>
      </c>
      <c r="G8088" s="2" t="str">
        <f>"SR-10954"</f>
        <v>SR-10954</v>
      </c>
      <c r="H8088" s="2" t="s">
        <v>33816</v>
      </c>
      <c r="I8088" s="2" t="s">
        <v>33817</v>
      </c>
      <c r="K8088" s="2" t="s">
        <v>17466</v>
      </c>
      <c r="L8088" s="2" t="s">
        <v>560</v>
      </c>
      <c r="M8088" s="2">
        <v>52213.0</v>
      </c>
      <c r="N8088" s="2" t="s">
        <v>21</v>
      </c>
    </row>
    <row r="8089" ht="15.75" customHeight="1">
      <c r="A8089" s="2">
        <v>2017.0</v>
      </c>
      <c r="B8089" s="2" t="s">
        <v>17747</v>
      </c>
      <c r="C8089" s="2" t="s">
        <v>33818</v>
      </c>
      <c r="D8089" s="2" t="str">
        <f>"6016424815"</f>
        <v>6016424815</v>
      </c>
      <c r="E8089" s="2" t="s">
        <v>2243</v>
      </c>
      <c r="F8089" s="2" t="s">
        <v>21651</v>
      </c>
      <c r="G8089" s="2" t="str">
        <f>"SR-10792"</f>
        <v>SR-10792</v>
      </c>
      <c r="H8089" s="2" t="s">
        <v>33819</v>
      </c>
      <c r="I8089" s="2" t="s">
        <v>33820</v>
      </c>
      <c r="K8089" s="2" t="s">
        <v>17753</v>
      </c>
      <c r="L8089" s="2" t="s">
        <v>1722</v>
      </c>
      <c r="M8089" s="2">
        <v>39180.0</v>
      </c>
      <c r="N8089" s="2" t="s">
        <v>21</v>
      </c>
    </row>
    <row r="8090" ht="15.75" customHeight="1">
      <c r="A8090" s="2">
        <v>2017.0</v>
      </c>
      <c r="B8090" s="2" t="s">
        <v>33821</v>
      </c>
      <c r="C8090" s="2" t="s">
        <v>33821</v>
      </c>
      <c r="D8090" s="2" t="str">
        <f>"9712619067"</f>
        <v>9712619067</v>
      </c>
      <c r="E8090" s="2" t="s">
        <v>16919</v>
      </c>
      <c r="F8090" s="2" t="s">
        <v>33822</v>
      </c>
      <c r="G8090" s="2" t="str">
        <f>"SR-10485"</f>
        <v>SR-10485</v>
      </c>
      <c r="H8090" s="2" t="s">
        <v>33823</v>
      </c>
      <c r="I8090" s="2" t="s">
        <v>33824</v>
      </c>
      <c r="K8090" s="2" t="s">
        <v>33825</v>
      </c>
      <c r="L8090" s="2" t="s">
        <v>2389</v>
      </c>
      <c r="M8090" s="2">
        <v>97365.0</v>
      </c>
      <c r="N8090" s="2" t="s">
        <v>21</v>
      </c>
    </row>
    <row r="8091" ht="15.75" customHeight="1">
      <c r="A8091" s="2">
        <v>2017.0</v>
      </c>
      <c r="B8091" s="2" t="s">
        <v>33826</v>
      </c>
      <c r="C8091" s="2" t="s">
        <v>33826</v>
      </c>
      <c r="D8091" s="2" t="str">
        <f>"913-305-9445"</f>
        <v>913-305-9445</v>
      </c>
      <c r="E8091" s="2" t="s">
        <v>132</v>
      </c>
      <c r="F8091" s="2" t="s">
        <v>33827</v>
      </c>
      <c r="G8091" s="2" t="str">
        <f>"SR-10999"</f>
        <v>SR-10999</v>
      </c>
      <c r="H8091" s="2" t="s">
        <v>33828</v>
      </c>
      <c r="I8091" s="2" t="s">
        <v>33829</v>
      </c>
      <c r="K8091" s="2" t="s">
        <v>1067</v>
      </c>
      <c r="L8091" s="2" t="s">
        <v>272</v>
      </c>
      <c r="M8091" s="2">
        <v>66062.0</v>
      </c>
      <c r="N8091" s="2" t="s">
        <v>21</v>
      </c>
    </row>
    <row r="8092" ht="15.75" customHeight="1">
      <c r="A8092" s="2">
        <v>2017.0</v>
      </c>
      <c r="B8092" s="2" t="s">
        <v>33830</v>
      </c>
      <c r="C8092" s="2" t="s">
        <v>33831</v>
      </c>
      <c r="D8092" s="2" t="str">
        <f>"970-779-8426"</f>
        <v>970-779-8426</v>
      </c>
      <c r="E8092" s="2" t="s">
        <v>817</v>
      </c>
      <c r="F8092" s="2" t="s">
        <v>33832</v>
      </c>
      <c r="G8092" s="2" t="str">
        <f>"SR-10943"</f>
        <v>SR-10943</v>
      </c>
      <c r="H8092" s="2" t="s">
        <v>33833</v>
      </c>
      <c r="I8092" s="2" t="s">
        <v>33834</v>
      </c>
      <c r="K8092" s="2" t="s">
        <v>14645</v>
      </c>
      <c r="L8092" s="2" t="s">
        <v>157</v>
      </c>
      <c r="M8092" s="2">
        <v>81301.0</v>
      </c>
      <c r="N8092" s="2" t="s">
        <v>21</v>
      </c>
    </row>
    <row r="8093" ht="15.75" customHeight="1">
      <c r="A8093" s="2">
        <v>2017.0</v>
      </c>
      <c r="B8093" s="2" t="s">
        <v>7496</v>
      </c>
      <c r="C8093" s="2" t="s">
        <v>33835</v>
      </c>
      <c r="D8093" s="2" t="str">
        <f>"479-651-3283"</f>
        <v>479-651-3283</v>
      </c>
      <c r="E8093" s="2" t="s">
        <v>1987</v>
      </c>
      <c r="F8093" s="2" t="s">
        <v>4605</v>
      </c>
      <c r="G8093" s="2" t="str">
        <f>"SR-9808"</f>
        <v>SR-9808</v>
      </c>
      <c r="H8093" s="2" t="s">
        <v>33836</v>
      </c>
      <c r="I8093" s="2" t="s">
        <v>7500</v>
      </c>
      <c r="K8093" s="2" t="s">
        <v>7501</v>
      </c>
      <c r="L8093" s="2" t="s">
        <v>1012</v>
      </c>
      <c r="M8093" s="2">
        <v>72952.0</v>
      </c>
      <c r="N8093" s="2" t="s">
        <v>21</v>
      </c>
    </row>
    <row r="8094" ht="15.75" customHeight="1">
      <c r="A8094" s="2">
        <v>2017.0</v>
      </c>
      <c r="B8094" s="2" t="s">
        <v>33837</v>
      </c>
      <c r="C8094" s="2" t="s">
        <v>33838</v>
      </c>
      <c r="D8094" s="2" t="str">
        <f>"+34.955720528"</f>
        <v>+34.955720528</v>
      </c>
      <c r="E8094" s="2" t="s">
        <v>902</v>
      </c>
      <c r="F8094" s="2" t="s">
        <v>33839</v>
      </c>
      <c r="G8094" s="2" t="str">
        <f>"SR-10896"</f>
        <v>SR-10896</v>
      </c>
      <c r="H8094" s="2" t="s">
        <v>33840</v>
      </c>
      <c r="I8094" s="2" t="s">
        <v>33841</v>
      </c>
      <c r="J8094" s="2" t="s">
        <v>33842</v>
      </c>
      <c r="K8094" s="2" t="s">
        <v>29911</v>
      </c>
      <c r="N8094" s="2" t="s">
        <v>33843</v>
      </c>
    </row>
    <row r="8095" ht="15.75" customHeight="1">
      <c r="A8095" s="2">
        <v>2017.0</v>
      </c>
      <c r="B8095" s="2" t="s">
        <v>33844</v>
      </c>
      <c r="C8095" s="2" t="s">
        <v>33844</v>
      </c>
      <c r="D8095" s="2" t="str">
        <f>"319-404-0684"</f>
        <v>319-404-0684</v>
      </c>
      <c r="E8095" s="2" t="s">
        <v>33845</v>
      </c>
      <c r="F8095" s="2" t="s">
        <v>16714</v>
      </c>
      <c r="G8095" s="2" t="str">
        <f>"SR-10980"</f>
        <v>SR-10980</v>
      </c>
      <c r="H8095" s="2" t="s">
        <v>33846</v>
      </c>
      <c r="I8095" s="2" t="s">
        <v>33817</v>
      </c>
      <c r="K8095" s="2" t="s">
        <v>17466</v>
      </c>
      <c r="L8095" s="2" t="s">
        <v>560</v>
      </c>
      <c r="M8095" s="2">
        <v>52213.0</v>
      </c>
      <c r="N8095" s="2" t="s">
        <v>21</v>
      </c>
    </row>
    <row r="8096" ht="15.75" customHeight="1">
      <c r="A8096" s="2">
        <v>2017.0</v>
      </c>
      <c r="B8096" s="2" t="s">
        <v>33847</v>
      </c>
      <c r="C8096" s="2" t="s">
        <v>33848</v>
      </c>
      <c r="D8096" s="2" t="str">
        <f>"719-306-4370"</f>
        <v>719-306-4370</v>
      </c>
      <c r="E8096" s="2" t="s">
        <v>124</v>
      </c>
      <c r="F8096" s="2" t="s">
        <v>2084</v>
      </c>
      <c r="G8096" s="2" t="str">
        <f>"SR-11008"</f>
        <v>SR-11008</v>
      </c>
      <c r="H8096" s="2" t="s">
        <v>33849</v>
      </c>
      <c r="I8096" s="2" t="s">
        <v>33850</v>
      </c>
      <c r="K8096" s="2" t="s">
        <v>809</v>
      </c>
      <c r="L8096" s="2" t="s">
        <v>157</v>
      </c>
      <c r="M8096" s="2">
        <v>80918.0</v>
      </c>
      <c r="N8096" s="2" t="s">
        <v>21</v>
      </c>
    </row>
    <row r="8097" ht="15.75" customHeight="1">
      <c r="A8097" s="2">
        <v>2017.0</v>
      </c>
      <c r="B8097" s="2" t="s">
        <v>33777</v>
      </c>
      <c r="C8097" s="2" t="s">
        <v>33851</v>
      </c>
      <c r="D8097" s="2" t="str">
        <f>"903-804-0778"</f>
        <v>903-804-0778</v>
      </c>
      <c r="E8097" s="2" t="s">
        <v>3743</v>
      </c>
      <c r="F8097" s="2" t="s">
        <v>2429</v>
      </c>
      <c r="G8097" s="2" t="str">
        <f>"SR-10791"</f>
        <v>SR-10791</v>
      </c>
      <c r="H8097" s="2" t="s">
        <v>33852</v>
      </c>
      <c r="I8097" s="2" t="s">
        <v>33780</v>
      </c>
      <c r="K8097" s="2" t="s">
        <v>5108</v>
      </c>
      <c r="L8097" s="2" t="s">
        <v>172</v>
      </c>
      <c r="M8097" s="2">
        <v>75752.0</v>
      </c>
      <c r="N8097" s="2" t="s">
        <v>21</v>
      </c>
    </row>
    <row r="8098" ht="15.75" customHeight="1">
      <c r="A8098" s="2">
        <v>2017.0</v>
      </c>
      <c r="B8098" s="2" t="s">
        <v>33853</v>
      </c>
      <c r="C8098" s="2" t="s">
        <v>33854</v>
      </c>
      <c r="D8098" s="2" t="str">
        <f>"6153826822"</f>
        <v>6153826822</v>
      </c>
      <c r="E8098" s="2" t="s">
        <v>1782</v>
      </c>
      <c r="F8098" s="2" t="s">
        <v>1778</v>
      </c>
      <c r="G8098" s="2" t="str">
        <f>"SR-11012"</f>
        <v>SR-11012</v>
      </c>
      <c r="H8098" s="2" t="s">
        <v>33855</v>
      </c>
      <c r="I8098" s="2" t="s">
        <v>33856</v>
      </c>
      <c r="K8098" s="2" t="s">
        <v>24872</v>
      </c>
      <c r="L8098" s="2" t="s">
        <v>279</v>
      </c>
      <c r="M8098" s="2">
        <v>37073.0</v>
      </c>
      <c r="N8098" s="2" t="s">
        <v>21</v>
      </c>
    </row>
    <row r="8099" ht="15.75" customHeight="1">
      <c r="A8099" s="2">
        <v>2017.0</v>
      </c>
      <c r="B8099" s="2" t="s">
        <v>33857</v>
      </c>
      <c r="C8099" s="2" t="s">
        <v>33857</v>
      </c>
      <c r="D8099" s="2" t="str">
        <f>"4234860669"</f>
        <v>4234860669</v>
      </c>
      <c r="E8099" s="2" t="s">
        <v>718</v>
      </c>
      <c r="F8099" s="2" t="s">
        <v>33858</v>
      </c>
      <c r="G8099" s="2" t="str">
        <f>"SR-10620"</f>
        <v>SR-10620</v>
      </c>
      <c r="H8099" s="2" t="s">
        <v>33859</v>
      </c>
      <c r="I8099" s="2" t="s">
        <v>33860</v>
      </c>
      <c r="K8099" s="2" t="s">
        <v>4569</v>
      </c>
      <c r="L8099" s="2" t="s">
        <v>200</v>
      </c>
      <c r="M8099" s="2">
        <v>30736.0</v>
      </c>
      <c r="N8099" s="2" t="s">
        <v>21</v>
      </c>
    </row>
    <row r="8100" ht="15.75" customHeight="1">
      <c r="A8100" s="2">
        <v>2017.0</v>
      </c>
      <c r="B8100" s="2" t="s">
        <v>11246</v>
      </c>
      <c r="C8100" s="2" t="s">
        <v>33861</v>
      </c>
      <c r="D8100" s="2" t="str">
        <f>"806-704-3456"</f>
        <v>806-704-3456</v>
      </c>
      <c r="E8100" s="2" t="s">
        <v>11562</v>
      </c>
      <c r="F8100" s="2" t="s">
        <v>11248</v>
      </c>
      <c r="G8100" s="2" t="str">
        <f>"SR-10797"</f>
        <v>SR-10797</v>
      </c>
      <c r="H8100" s="2" t="s">
        <v>33862</v>
      </c>
      <c r="I8100" s="2" t="s">
        <v>33863</v>
      </c>
      <c r="K8100" s="2" t="s">
        <v>1121</v>
      </c>
      <c r="L8100" s="2" t="s">
        <v>172</v>
      </c>
      <c r="M8100" s="2">
        <v>79423.0</v>
      </c>
      <c r="N8100" s="2" t="s">
        <v>21</v>
      </c>
    </row>
    <row r="8101" ht="15.75" customHeight="1">
      <c r="A8101" s="2">
        <v>2017.0</v>
      </c>
      <c r="B8101" s="2" t="s">
        <v>33864</v>
      </c>
      <c r="C8101" s="2" t="s">
        <v>33865</v>
      </c>
      <c r="D8101" s="2" t="str">
        <f>"6053819767"</f>
        <v>6053819767</v>
      </c>
      <c r="E8101" s="2" t="s">
        <v>8561</v>
      </c>
      <c r="F8101" s="2" t="s">
        <v>639</v>
      </c>
      <c r="G8101" s="2" t="str">
        <f>"SR-10996"</f>
        <v>SR-10996</v>
      </c>
      <c r="H8101" s="2" t="s">
        <v>33866</v>
      </c>
      <c r="I8101" s="2" t="s">
        <v>33867</v>
      </c>
      <c r="K8101" s="2" t="s">
        <v>11510</v>
      </c>
      <c r="L8101" s="2" t="s">
        <v>920</v>
      </c>
      <c r="M8101" s="2">
        <v>57702.0</v>
      </c>
      <c r="N8101" s="2" t="s">
        <v>21</v>
      </c>
    </row>
    <row r="8102" ht="15.75" customHeight="1">
      <c r="A8102" s="2">
        <v>2017.0</v>
      </c>
      <c r="B8102" s="2" t="s">
        <v>3398</v>
      </c>
      <c r="C8102" s="2" t="s">
        <v>33868</v>
      </c>
      <c r="D8102" s="2" t="str">
        <f>"303-652-3012"</f>
        <v>303-652-3012</v>
      </c>
      <c r="E8102" s="2" t="s">
        <v>453</v>
      </c>
      <c r="F8102" s="2" t="s">
        <v>3401</v>
      </c>
      <c r="G8102" s="2" t="str">
        <f>"SR-11013"</f>
        <v>SR-11013</v>
      </c>
      <c r="H8102" s="2" t="s">
        <v>33869</v>
      </c>
      <c r="I8102" s="2" t="s">
        <v>3403</v>
      </c>
      <c r="K8102" s="2" t="s">
        <v>2317</v>
      </c>
      <c r="L8102" s="2" t="s">
        <v>157</v>
      </c>
      <c r="M8102" s="2">
        <v>80502.0</v>
      </c>
      <c r="N8102" s="2" t="s">
        <v>21</v>
      </c>
    </row>
    <row r="8103" ht="15.75" customHeight="1">
      <c r="A8103" s="2">
        <v>2017.0</v>
      </c>
      <c r="B8103" s="2" t="s">
        <v>33870</v>
      </c>
      <c r="C8103" s="2" t="s">
        <v>33870</v>
      </c>
      <c r="D8103" s="2" t="str">
        <f>"7814070822"</f>
        <v>7814070822</v>
      </c>
      <c r="E8103" s="2" t="s">
        <v>1987</v>
      </c>
      <c r="F8103" s="2" t="s">
        <v>33871</v>
      </c>
      <c r="G8103" s="2" t="str">
        <f>"SR-11017"</f>
        <v>SR-11017</v>
      </c>
      <c r="H8103" s="2" t="s">
        <v>33872</v>
      </c>
      <c r="I8103" s="2" t="s">
        <v>33873</v>
      </c>
      <c r="K8103" s="2" t="s">
        <v>4750</v>
      </c>
      <c r="L8103" s="2" t="s">
        <v>4108</v>
      </c>
      <c r="M8103" s="2">
        <v>1516.0</v>
      </c>
      <c r="N8103" s="2" t="s">
        <v>21</v>
      </c>
    </row>
    <row r="8104" ht="15.75" customHeight="1">
      <c r="A8104" s="2">
        <v>2017.0</v>
      </c>
      <c r="B8104" s="2" t="s">
        <v>9410</v>
      </c>
      <c r="C8104" s="2" t="s">
        <v>9411</v>
      </c>
      <c r="D8104" s="2" t="str">
        <f>"9545517634"</f>
        <v>9545517634</v>
      </c>
      <c r="E8104" s="2" t="s">
        <v>9412</v>
      </c>
      <c r="F8104" s="2" t="s">
        <v>9413</v>
      </c>
      <c r="G8104" s="2" t="str">
        <f>"SR-2763"</f>
        <v>SR-2763</v>
      </c>
      <c r="H8104" s="2" t="s">
        <v>9414</v>
      </c>
      <c r="I8104" s="2" t="s">
        <v>9415</v>
      </c>
      <c r="K8104" s="2" t="s">
        <v>2897</v>
      </c>
      <c r="L8104" s="2" t="s">
        <v>208</v>
      </c>
      <c r="M8104" s="2">
        <v>33067.0</v>
      </c>
      <c r="N8104" s="2" t="s">
        <v>21</v>
      </c>
    </row>
    <row r="8105" ht="15.75" customHeight="1">
      <c r="A8105" s="2">
        <v>2017.0</v>
      </c>
      <c r="B8105" s="2" t="s">
        <v>33874</v>
      </c>
      <c r="C8105" s="2" t="s">
        <v>33874</v>
      </c>
      <c r="D8105" s="2" t="str">
        <f>"7636881863"</f>
        <v>7636881863</v>
      </c>
      <c r="E8105" s="2" t="s">
        <v>4300</v>
      </c>
      <c r="F8105" s="2" t="s">
        <v>78</v>
      </c>
      <c r="G8105" s="2" t="str">
        <f>"SR-10802"</f>
        <v>SR-10802</v>
      </c>
      <c r="H8105" s="2" t="s">
        <v>33875</v>
      </c>
      <c r="I8105" s="2" t="s">
        <v>33876</v>
      </c>
      <c r="K8105" s="2" t="s">
        <v>3420</v>
      </c>
      <c r="L8105" s="2" t="s">
        <v>62</v>
      </c>
      <c r="M8105" s="2">
        <v>55008.0</v>
      </c>
      <c r="N8105" s="2" t="s">
        <v>21</v>
      </c>
    </row>
    <row r="8106" ht="15.75" customHeight="1">
      <c r="A8106" s="2">
        <v>2017.0</v>
      </c>
      <c r="B8106" s="2" t="s">
        <v>33877</v>
      </c>
      <c r="C8106" s="2" t="s">
        <v>33878</v>
      </c>
      <c r="D8106" s="2" t="str">
        <f>"716-406 2702"</f>
        <v>716-406 2702</v>
      </c>
      <c r="E8106" s="2" t="s">
        <v>137</v>
      </c>
      <c r="F8106" s="2" t="s">
        <v>33879</v>
      </c>
      <c r="G8106" s="2" t="str">
        <f>"SR-10720"</f>
        <v>SR-10720</v>
      </c>
      <c r="H8106" s="2" t="s">
        <v>33880</v>
      </c>
      <c r="I8106" s="2" t="s">
        <v>33881</v>
      </c>
      <c r="K8106" s="2" t="s">
        <v>33882</v>
      </c>
      <c r="L8106" s="2" t="s">
        <v>142</v>
      </c>
      <c r="M8106" s="2">
        <v>14032.0</v>
      </c>
      <c r="N8106" s="2" t="s">
        <v>21</v>
      </c>
    </row>
    <row r="8107" ht="15.75" customHeight="1">
      <c r="A8107" s="2">
        <v>2017.0</v>
      </c>
      <c r="B8107" s="2" t="s">
        <v>33883</v>
      </c>
      <c r="C8107" s="2" t="s">
        <v>33884</v>
      </c>
      <c r="D8107" s="2" t="str">
        <f>"785-280-0084"</f>
        <v>785-280-0084</v>
      </c>
      <c r="E8107" s="2" t="s">
        <v>33885</v>
      </c>
      <c r="F8107" s="2" t="s">
        <v>18542</v>
      </c>
      <c r="G8107" s="2" t="str">
        <f>"SR-11021"</f>
        <v>SR-11021</v>
      </c>
      <c r="H8107" s="2" t="s">
        <v>33886</v>
      </c>
      <c r="I8107" s="2" t="s">
        <v>33887</v>
      </c>
      <c r="K8107" s="2" t="s">
        <v>781</v>
      </c>
      <c r="L8107" s="2" t="s">
        <v>272</v>
      </c>
      <c r="M8107" s="2">
        <v>67410.0</v>
      </c>
      <c r="N8107" s="2" t="s">
        <v>21</v>
      </c>
    </row>
    <row r="8108" ht="15.75" customHeight="1">
      <c r="A8108" s="2">
        <v>2017.0</v>
      </c>
      <c r="B8108" s="2" t="s">
        <v>29571</v>
      </c>
      <c r="C8108" s="2" t="s">
        <v>29572</v>
      </c>
      <c r="D8108" s="2" t="str">
        <f>"815-908-8413"</f>
        <v>815-908-8413</v>
      </c>
      <c r="E8108" s="2" t="s">
        <v>26136</v>
      </c>
      <c r="F8108" s="2" t="s">
        <v>29573</v>
      </c>
      <c r="G8108" s="2" t="str">
        <f>"SR-9198"</f>
        <v>SR-9198</v>
      </c>
      <c r="H8108" s="2" t="s">
        <v>29574</v>
      </c>
      <c r="I8108" s="2">
        <v>3349.0</v>
      </c>
      <c r="J8108" s="2" t="s">
        <v>29575</v>
      </c>
      <c r="K8108" s="2" t="s">
        <v>8373</v>
      </c>
      <c r="L8108" s="2" t="s">
        <v>105</v>
      </c>
      <c r="M8108" s="2">
        <v>61008.0</v>
      </c>
      <c r="N8108" s="2" t="s">
        <v>21</v>
      </c>
    </row>
    <row r="8109" ht="15.75" customHeight="1">
      <c r="A8109" s="2">
        <v>2017.0</v>
      </c>
      <c r="B8109" s="2" t="s">
        <v>33888</v>
      </c>
      <c r="D8109" s="2" t="str">
        <f>""</f>
        <v/>
      </c>
      <c r="E8109" s="2" t="s">
        <v>33889</v>
      </c>
      <c r="F8109" s="2" t="s">
        <v>29573</v>
      </c>
      <c r="G8109" s="2" t="str">
        <f>"SR-10690"</f>
        <v>SR-10690</v>
      </c>
      <c r="H8109" s="2" t="s">
        <v>33890</v>
      </c>
      <c r="N8109" s="2" t="s">
        <v>21</v>
      </c>
    </row>
    <row r="8110" ht="15.75" customHeight="1">
      <c r="A8110" s="2">
        <v>2017.0</v>
      </c>
      <c r="B8110" s="2" t="s">
        <v>33891</v>
      </c>
      <c r="C8110" s="2" t="s">
        <v>33891</v>
      </c>
      <c r="D8110" s="2" t="str">
        <f>"5802353725"</f>
        <v>5802353725</v>
      </c>
      <c r="E8110" s="2" t="s">
        <v>1974</v>
      </c>
      <c r="F8110" s="2" t="s">
        <v>33892</v>
      </c>
      <c r="G8110" s="2" t="str">
        <f>"SR-10984"</f>
        <v>SR-10984</v>
      </c>
      <c r="H8110" s="2" t="s">
        <v>33893</v>
      </c>
      <c r="I8110" s="2" t="s">
        <v>33894</v>
      </c>
      <c r="K8110" s="2" t="s">
        <v>28</v>
      </c>
      <c r="L8110" s="2" t="s">
        <v>840</v>
      </c>
      <c r="M8110" s="2">
        <v>74820.0</v>
      </c>
      <c r="N8110" s="2" t="s">
        <v>21</v>
      </c>
    </row>
    <row r="8111" ht="15.75" customHeight="1">
      <c r="A8111" s="2">
        <v>2017.0</v>
      </c>
      <c r="B8111" s="2" t="s">
        <v>33895</v>
      </c>
      <c r="C8111" s="2" t="s">
        <v>33895</v>
      </c>
      <c r="D8111" s="2" t="str">
        <f>"9403659843"</f>
        <v>9403659843</v>
      </c>
      <c r="E8111" s="2" t="s">
        <v>16221</v>
      </c>
      <c r="F8111" s="2" t="s">
        <v>33896</v>
      </c>
      <c r="G8111" s="2" t="str">
        <f>"SR-11025"</f>
        <v>SR-11025</v>
      </c>
      <c r="H8111" s="2" t="s">
        <v>33897</v>
      </c>
      <c r="I8111" s="2" t="s">
        <v>33898</v>
      </c>
      <c r="K8111" s="2" t="s">
        <v>33899</v>
      </c>
      <c r="L8111" s="2" t="s">
        <v>172</v>
      </c>
      <c r="M8111" s="2">
        <v>76227.0</v>
      </c>
      <c r="N8111" s="2" t="s">
        <v>21</v>
      </c>
    </row>
    <row r="8112" ht="15.75" customHeight="1">
      <c r="A8112" s="2">
        <v>2017.0</v>
      </c>
      <c r="B8112" s="2" t="s">
        <v>33900</v>
      </c>
      <c r="C8112" s="2" t="s">
        <v>33901</v>
      </c>
      <c r="D8112" s="2" t="str">
        <f>"951-833-5505"</f>
        <v>951-833-5505</v>
      </c>
      <c r="E8112" s="2" t="s">
        <v>261</v>
      </c>
      <c r="F8112" s="2" t="s">
        <v>26192</v>
      </c>
      <c r="G8112" s="2" t="str">
        <f>"SR-10998"</f>
        <v>SR-10998</v>
      </c>
      <c r="H8112" s="2" t="s">
        <v>33902</v>
      </c>
      <c r="I8112" s="2" t="s">
        <v>33903</v>
      </c>
      <c r="K8112" s="2" t="s">
        <v>22758</v>
      </c>
      <c r="L8112" s="2" t="s">
        <v>222</v>
      </c>
      <c r="M8112" s="2">
        <v>93035.0</v>
      </c>
      <c r="N8112" s="2" t="s">
        <v>21</v>
      </c>
    </row>
    <row r="8113" ht="15.75" customHeight="1">
      <c r="A8113" s="2">
        <v>2017.0</v>
      </c>
      <c r="B8113" s="2" t="s">
        <v>33904</v>
      </c>
      <c r="C8113" s="2" t="s">
        <v>33904</v>
      </c>
      <c r="D8113" s="2" t="str">
        <f>"910-876-7292"</f>
        <v>910-876-7292</v>
      </c>
      <c r="E8113" s="2" t="s">
        <v>2089</v>
      </c>
      <c r="F8113" s="2" t="s">
        <v>15071</v>
      </c>
      <c r="G8113" s="2" t="str">
        <f>"SR-11019"</f>
        <v>SR-11019</v>
      </c>
      <c r="H8113" s="2" t="s">
        <v>33905</v>
      </c>
      <c r="I8113" s="2" t="s">
        <v>33906</v>
      </c>
      <c r="K8113" s="2" t="s">
        <v>4535</v>
      </c>
      <c r="L8113" s="2" t="s">
        <v>20</v>
      </c>
      <c r="M8113" s="2">
        <v>28337.0</v>
      </c>
      <c r="N8113" s="2" t="s">
        <v>21</v>
      </c>
    </row>
    <row r="8114" ht="15.75" customHeight="1">
      <c r="A8114" s="2">
        <v>2017.0</v>
      </c>
      <c r="B8114" s="2" t="s">
        <v>33907</v>
      </c>
      <c r="C8114" s="2" t="s">
        <v>33907</v>
      </c>
      <c r="D8114" s="2" t="str">
        <f>"832-287-2433"</f>
        <v>832-287-2433</v>
      </c>
      <c r="E8114" s="2" t="s">
        <v>1114</v>
      </c>
      <c r="F8114" s="2" t="s">
        <v>472</v>
      </c>
      <c r="G8114" s="2" t="str">
        <f>"SR-10664"</f>
        <v>SR-10664</v>
      </c>
      <c r="H8114" s="2" t="s">
        <v>33908</v>
      </c>
      <c r="I8114" s="2" t="s">
        <v>33909</v>
      </c>
      <c r="K8114" s="2" t="s">
        <v>444</v>
      </c>
      <c r="L8114" s="2" t="s">
        <v>172</v>
      </c>
      <c r="M8114" s="2">
        <v>77070.0</v>
      </c>
      <c r="N8114" s="2" t="s">
        <v>21</v>
      </c>
    </row>
    <row r="8115" ht="15.75" customHeight="1">
      <c r="A8115" s="2">
        <v>2017.0</v>
      </c>
      <c r="B8115" s="2" t="s">
        <v>588</v>
      </c>
      <c r="C8115" s="2" t="s">
        <v>33910</v>
      </c>
      <c r="D8115" s="2" t="str">
        <f>"540-533-0088"</f>
        <v>540-533-0088</v>
      </c>
      <c r="E8115" s="2" t="s">
        <v>8472</v>
      </c>
      <c r="F8115" s="2" t="s">
        <v>591</v>
      </c>
      <c r="G8115" s="2" t="str">
        <f>"SR-10906"</f>
        <v>SR-10906</v>
      </c>
      <c r="H8115" s="2" t="s">
        <v>33911</v>
      </c>
      <c r="I8115" s="2" t="s">
        <v>593</v>
      </c>
      <c r="K8115" s="2" t="s">
        <v>594</v>
      </c>
      <c r="L8115" s="2" t="s">
        <v>165</v>
      </c>
      <c r="M8115" s="2">
        <v>22601.0</v>
      </c>
      <c r="N8115" s="2" t="s">
        <v>21</v>
      </c>
    </row>
    <row r="8116" ht="15.75" customHeight="1">
      <c r="A8116" s="2">
        <v>2017.0</v>
      </c>
      <c r="B8116" s="2" t="s">
        <v>33912</v>
      </c>
      <c r="C8116" s="2" t="s">
        <v>33913</v>
      </c>
      <c r="D8116" s="2" t="str">
        <f>"3369462321"</f>
        <v>3369462321</v>
      </c>
      <c r="E8116" s="2" t="s">
        <v>160</v>
      </c>
      <c r="F8116" s="2" t="s">
        <v>26681</v>
      </c>
      <c r="G8116" s="2" t="str">
        <f>"SR-9730"</f>
        <v>SR-9730</v>
      </c>
      <c r="H8116" s="2" t="s">
        <v>33914</v>
      </c>
      <c r="I8116" s="2" t="s">
        <v>33915</v>
      </c>
      <c r="K8116" s="2" t="s">
        <v>4174</v>
      </c>
      <c r="L8116" s="2" t="s">
        <v>20</v>
      </c>
      <c r="M8116" s="2">
        <v>27023.0</v>
      </c>
      <c r="N8116" s="2" t="s">
        <v>21</v>
      </c>
    </row>
    <row r="8117" ht="15.75" customHeight="1">
      <c r="A8117" s="2">
        <v>2017.0</v>
      </c>
      <c r="B8117" s="2" t="s">
        <v>4549</v>
      </c>
      <c r="C8117" s="2" t="s">
        <v>25622</v>
      </c>
      <c r="D8117" s="2" t="str">
        <f>"2604095020"</f>
        <v>2604095020</v>
      </c>
      <c r="E8117" s="2" t="s">
        <v>5548</v>
      </c>
      <c r="F8117" s="2" t="s">
        <v>4547</v>
      </c>
      <c r="G8117" s="2" t="str">
        <f>"SR-7703"</f>
        <v>SR-7703</v>
      </c>
      <c r="H8117" s="2" t="s">
        <v>25623</v>
      </c>
      <c r="I8117" s="2" t="s">
        <v>25624</v>
      </c>
      <c r="K8117" s="2" t="s">
        <v>4552</v>
      </c>
      <c r="L8117" s="2" t="s">
        <v>149</v>
      </c>
      <c r="M8117" s="2">
        <v>46714.0</v>
      </c>
      <c r="N8117" s="2" t="s">
        <v>21</v>
      </c>
    </row>
    <row r="8118" ht="15.75" customHeight="1">
      <c r="A8118" s="2">
        <v>2017.0</v>
      </c>
      <c r="B8118" s="2" t="s">
        <v>33916</v>
      </c>
      <c r="C8118" s="2" t="s">
        <v>33917</v>
      </c>
      <c r="D8118" s="2" t="str">
        <f>"(315)271-1776"</f>
        <v>(315)271-1776</v>
      </c>
      <c r="E8118" s="2" t="s">
        <v>72</v>
      </c>
      <c r="F8118" s="2" t="s">
        <v>2852</v>
      </c>
      <c r="G8118" s="2" t="str">
        <f>"SR-10223"</f>
        <v>SR-10223</v>
      </c>
      <c r="H8118" s="2" t="s">
        <v>33918</v>
      </c>
      <c r="I8118" s="2" t="s">
        <v>33919</v>
      </c>
      <c r="K8118" s="2" t="s">
        <v>33920</v>
      </c>
      <c r="L8118" s="2" t="s">
        <v>142</v>
      </c>
      <c r="M8118" s="2">
        <v>13471.0</v>
      </c>
      <c r="N8118" s="2" t="s">
        <v>21</v>
      </c>
    </row>
    <row r="8119" ht="15.75" customHeight="1">
      <c r="A8119" s="2">
        <v>2017.0</v>
      </c>
      <c r="B8119" s="2" t="s">
        <v>33921</v>
      </c>
      <c r="C8119" s="2" t="s">
        <v>33921</v>
      </c>
      <c r="D8119" s="2" t="str">
        <f>"8178975655"</f>
        <v>8178975655</v>
      </c>
      <c r="E8119" s="2" t="s">
        <v>33922</v>
      </c>
      <c r="F8119" s="2" t="s">
        <v>1252</v>
      </c>
      <c r="G8119" s="2" t="str">
        <f>"SR-11003"</f>
        <v>SR-11003</v>
      </c>
      <c r="H8119" s="2" t="s">
        <v>33923</v>
      </c>
      <c r="I8119" s="2" t="s">
        <v>33924</v>
      </c>
      <c r="K8119" s="2" t="s">
        <v>1260</v>
      </c>
      <c r="L8119" s="2" t="s">
        <v>172</v>
      </c>
      <c r="M8119" s="2">
        <v>76132.0</v>
      </c>
      <c r="N8119" s="2" t="s">
        <v>21</v>
      </c>
    </row>
    <row r="8120" ht="15.75" customHeight="1">
      <c r="A8120" s="2">
        <v>2017.0</v>
      </c>
      <c r="B8120" s="2" t="s">
        <v>33925</v>
      </c>
      <c r="C8120" s="2" t="s">
        <v>33926</v>
      </c>
      <c r="D8120" s="2" t="str">
        <f>"3524736061"</f>
        <v>3524736061</v>
      </c>
      <c r="E8120" s="2" t="s">
        <v>3191</v>
      </c>
      <c r="F8120" s="2" t="s">
        <v>33927</v>
      </c>
      <c r="G8120" s="2" t="str">
        <f>"SR-11022"</f>
        <v>SR-11022</v>
      </c>
      <c r="H8120" s="2" t="s">
        <v>33928</v>
      </c>
      <c r="I8120" s="2" t="s">
        <v>33929</v>
      </c>
      <c r="K8120" s="2" t="s">
        <v>5124</v>
      </c>
      <c r="L8120" s="2" t="s">
        <v>208</v>
      </c>
      <c r="M8120" s="2">
        <v>32656.0</v>
      </c>
      <c r="N8120" s="2" t="s">
        <v>21</v>
      </c>
    </row>
    <row r="8121" ht="15.75" customHeight="1">
      <c r="A8121" s="2">
        <v>2017.0</v>
      </c>
      <c r="B8121" s="2" t="s">
        <v>33930</v>
      </c>
      <c r="C8121" s="2" t="s">
        <v>33930</v>
      </c>
      <c r="D8121" s="2" t="str">
        <f>"941-539-1491"</f>
        <v>941-539-1491</v>
      </c>
      <c r="E8121" s="2" t="s">
        <v>27873</v>
      </c>
      <c r="F8121" s="2" t="s">
        <v>33537</v>
      </c>
      <c r="G8121" s="2" t="str">
        <f>"SR-10985"</f>
        <v>SR-10985</v>
      </c>
      <c r="H8121" s="2" t="s">
        <v>33931</v>
      </c>
      <c r="I8121" s="2" t="s">
        <v>33932</v>
      </c>
      <c r="K8121" s="2" t="s">
        <v>16408</v>
      </c>
      <c r="L8121" s="2" t="s">
        <v>208</v>
      </c>
      <c r="M8121" s="2">
        <v>34275.0</v>
      </c>
      <c r="N8121" s="2" t="s">
        <v>21</v>
      </c>
    </row>
    <row r="8122" ht="15.75" customHeight="1">
      <c r="A8122" s="2">
        <v>2017.0</v>
      </c>
      <c r="B8122" s="2" t="s">
        <v>25062</v>
      </c>
      <c r="C8122" s="2" t="s">
        <v>25066</v>
      </c>
      <c r="D8122" s="2" t="str">
        <f>"918-804-3190"</f>
        <v>918-804-3190</v>
      </c>
      <c r="E8122" s="2" t="s">
        <v>25067</v>
      </c>
      <c r="F8122" s="2" t="s">
        <v>7449</v>
      </c>
      <c r="G8122" s="2" t="str">
        <f>"SR-7943"</f>
        <v>SR-7943</v>
      </c>
      <c r="H8122" s="2" t="s">
        <v>25068</v>
      </c>
      <c r="I8122" s="2" t="s">
        <v>25065</v>
      </c>
      <c r="K8122" s="2" t="s">
        <v>2477</v>
      </c>
      <c r="L8122" s="2" t="s">
        <v>840</v>
      </c>
      <c r="M8122" s="2">
        <v>74011.0</v>
      </c>
      <c r="N8122" s="2" t="s">
        <v>21</v>
      </c>
    </row>
    <row r="8123" ht="15.75" customHeight="1">
      <c r="A8123" s="2">
        <v>2017.0</v>
      </c>
      <c r="B8123" s="2" t="s">
        <v>33933</v>
      </c>
      <c r="C8123" s="2" t="s">
        <v>33933</v>
      </c>
      <c r="D8123" s="2" t="str">
        <f>"2605735111"</f>
        <v>2605735111</v>
      </c>
      <c r="E8123" s="2" t="s">
        <v>1022</v>
      </c>
      <c r="F8123" s="2" t="s">
        <v>33934</v>
      </c>
      <c r="G8123" s="2" t="str">
        <f>"SR-11006"</f>
        <v>SR-11006</v>
      </c>
      <c r="H8123" s="2" t="s">
        <v>33935</v>
      </c>
      <c r="I8123" s="2" t="s">
        <v>33936</v>
      </c>
      <c r="K8123" s="2" t="s">
        <v>6312</v>
      </c>
      <c r="L8123" s="2" t="s">
        <v>149</v>
      </c>
      <c r="M8123" s="2">
        <v>46706.0</v>
      </c>
      <c r="N8123" s="2" t="s">
        <v>21</v>
      </c>
    </row>
    <row r="8124" ht="15.75" customHeight="1">
      <c r="A8124" s="2">
        <v>2017.0</v>
      </c>
      <c r="B8124" s="2" t="s">
        <v>33937</v>
      </c>
      <c r="C8124" s="2" t="s">
        <v>33937</v>
      </c>
      <c r="D8124" s="2" t="str">
        <f>"2603336586"</f>
        <v>2603336586</v>
      </c>
      <c r="E8124" s="2" t="s">
        <v>1529</v>
      </c>
      <c r="F8124" s="2" t="s">
        <v>33938</v>
      </c>
      <c r="G8124" s="2" t="str">
        <f>"SR-11007"</f>
        <v>SR-11007</v>
      </c>
      <c r="H8124" s="2" t="s">
        <v>33939</v>
      </c>
      <c r="I8124" s="2" t="s">
        <v>33940</v>
      </c>
      <c r="K8124" s="2" t="s">
        <v>6312</v>
      </c>
      <c r="L8124" s="2" t="s">
        <v>149</v>
      </c>
      <c r="M8124" s="2">
        <v>46706.0</v>
      </c>
      <c r="N8124" s="2" t="s">
        <v>21</v>
      </c>
    </row>
    <row r="8125" ht="15.75" customHeight="1">
      <c r="A8125" s="2">
        <v>2017.0</v>
      </c>
      <c r="B8125" s="2" t="s">
        <v>33941</v>
      </c>
      <c r="D8125" s="2" t="str">
        <f>""</f>
        <v/>
      </c>
      <c r="E8125" s="2" t="s">
        <v>33942</v>
      </c>
      <c r="F8125" s="2" t="s">
        <v>33943</v>
      </c>
      <c r="G8125" s="2" t="str">
        <f>"SR-11014"</f>
        <v>SR-11014</v>
      </c>
      <c r="H8125" s="2" t="s">
        <v>33944</v>
      </c>
      <c r="N8125" s="2" t="s">
        <v>21</v>
      </c>
    </row>
    <row r="8126" ht="15.75" customHeight="1">
      <c r="A8126" s="2">
        <v>2017.0</v>
      </c>
      <c r="B8126" s="2" t="s">
        <v>33945</v>
      </c>
      <c r="C8126" s="2" t="s">
        <v>33946</v>
      </c>
      <c r="D8126" s="2" t="str">
        <f>"719-440-0697"</f>
        <v>719-440-0697</v>
      </c>
      <c r="E8126" s="2" t="s">
        <v>4406</v>
      </c>
      <c r="F8126" s="2" t="s">
        <v>1441</v>
      </c>
      <c r="G8126" s="2" t="str">
        <f>"SR-10941"</f>
        <v>SR-10941</v>
      </c>
      <c r="H8126" s="2" t="s">
        <v>33947</v>
      </c>
      <c r="I8126" s="2" t="s">
        <v>33948</v>
      </c>
      <c r="K8126" s="2" t="s">
        <v>809</v>
      </c>
      <c r="L8126" s="2" t="s">
        <v>157</v>
      </c>
      <c r="M8126" s="2">
        <v>80908.0</v>
      </c>
      <c r="N8126" s="2" t="s">
        <v>21</v>
      </c>
    </row>
    <row r="8127" ht="15.75" customHeight="1">
      <c r="A8127" s="2">
        <v>2017.0</v>
      </c>
      <c r="B8127" s="2" t="s">
        <v>33949</v>
      </c>
      <c r="C8127" s="2" t="s">
        <v>33950</v>
      </c>
      <c r="D8127" s="2" t="str">
        <f>"2603881322"</f>
        <v>2603881322</v>
      </c>
      <c r="E8127" s="2" t="s">
        <v>33951</v>
      </c>
      <c r="F8127" s="2" t="s">
        <v>33952</v>
      </c>
      <c r="G8127" s="2" t="str">
        <f>"SR-11015"</f>
        <v>SR-11015</v>
      </c>
      <c r="H8127" s="2" t="s">
        <v>33953</v>
      </c>
      <c r="I8127" s="2" t="s">
        <v>33954</v>
      </c>
      <c r="K8127" s="2" t="s">
        <v>6312</v>
      </c>
      <c r="L8127" s="2" t="s">
        <v>149</v>
      </c>
      <c r="M8127" s="2">
        <v>46706.0</v>
      </c>
      <c r="N8127" s="2" t="s">
        <v>21</v>
      </c>
    </row>
    <row r="8128" ht="15.75" customHeight="1">
      <c r="A8128" s="2">
        <v>2017.0</v>
      </c>
      <c r="B8128" s="2" t="s">
        <v>33955</v>
      </c>
      <c r="C8128" s="2" t="s">
        <v>33955</v>
      </c>
      <c r="D8128" s="2" t="str">
        <f>"515-661-8667"</f>
        <v>515-661-8667</v>
      </c>
      <c r="E8128" s="2" t="s">
        <v>12491</v>
      </c>
      <c r="F8128" s="2" t="s">
        <v>33956</v>
      </c>
      <c r="G8128" s="2" t="str">
        <f>"SR-11024"</f>
        <v>SR-11024</v>
      </c>
      <c r="H8128" s="2" t="s">
        <v>33957</v>
      </c>
      <c r="I8128" s="2" t="s">
        <v>33958</v>
      </c>
      <c r="K8128" s="2" t="s">
        <v>12994</v>
      </c>
      <c r="L8128" s="2" t="s">
        <v>560</v>
      </c>
      <c r="M8128" s="2">
        <v>50072.0</v>
      </c>
      <c r="N8128" s="2" t="s">
        <v>21</v>
      </c>
    </row>
    <row r="8129" ht="15.75" customHeight="1">
      <c r="A8129" s="2">
        <v>2017.0</v>
      </c>
      <c r="B8129" s="2" t="s">
        <v>33959</v>
      </c>
      <c r="C8129" s="2" t="s">
        <v>33959</v>
      </c>
      <c r="D8129" s="2" t="str">
        <f>"6202186075"</f>
        <v>6202186075</v>
      </c>
      <c r="E8129" s="2" t="s">
        <v>33960</v>
      </c>
      <c r="F8129" s="2" t="s">
        <v>33961</v>
      </c>
      <c r="G8129" s="2" t="str">
        <f>"SR-11047"</f>
        <v>SR-11047</v>
      </c>
      <c r="H8129" s="2" t="s">
        <v>33962</v>
      </c>
      <c r="I8129" s="2" t="s">
        <v>33963</v>
      </c>
      <c r="K8129" s="2" t="s">
        <v>10027</v>
      </c>
      <c r="L8129" s="2" t="s">
        <v>272</v>
      </c>
      <c r="M8129" s="2">
        <v>67019.0</v>
      </c>
      <c r="N8129" s="2" t="s">
        <v>21</v>
      </c>
    </row>
    <row r="8130" ht="15.75" customHeight="1">
      <c r="A8130" s="2">
        <v>2017.0</v>
      </c>
      <c r="B8130" s="2" t="s">
        <v>131</v>
      </c>
      <c r="C8130" s="2" t="s">
        <v>131</v>
      </c>
      <c r="D8130" s="2" t="str">
        <f>"(309)-696-5707"</f>
        <v>(309)-696-5707</v>
      </c>
      <c r="E8130" s="2" t="s">
        <v>132</v>
      </c>
      <c r="F8130" s="2" t="s">
        <v>133</v>
      </c>
      <c r="G8130" s="2" t="str">
        <f>"SR-56"</f>
        <v>SR-56</v>
      </c>
      <c r="H8130" s="2" t="s">
        <v>134</v>
      </c>
      <c r="I8130" s="2" t="s">
        <v>33964</v>
      </c>
      <c r="K8130" s="2" t="s">
        <v>104</v>
      </c>
      <c r="L8130" s="2" t="s">
        <v>105</v>
      </c>
      <c r="M8130" s="2">
        <v>61614.0</v>
      </c>
      <c r="N8130" s="2" t="s">
        <v>21</v>
      </c>
    </row>
    <row r="8131" ht="15.75" customHeight="1">
      <c r="A8131" s="2">
        <v>2017.0</v>
      </c>
      <c r="B8131" s="2" t="s">
        <v>33965</v>
      </c>
      <c r="C8131" s="2" t="s">
        <v>33966</v>
      </c>
      <c r="D8131" s="2" t="str">
        <f>"405.423.9496"</f>
        <v>405.423.9496</v>
      </c>
      <c r="E8131" s="2" t="s">
        <v>33967</v>
      </c>
      <c r="F8131" s="2" t="s">
        <v>33968</v>
      </c>
      <c r="G8131" s="2" t="str">
        <f>"SR-11046"</f>
        <v>SR-11046</v>
      </c>
      <c r="H8131" s="2" t="s">
        <v>33969</v>
      </c>
      <c r="I8131" s="2" t="s">
        <v>33970</v>
      </c>
      <c r="K8131" s="2" t="s">
        <v>13776</v>
      </c>
      <c r="L8131" s="2" t="s">
        <v>840</v>
      </c>
      <c r="M8131" s="2">
        <v>73044.0</v>
      </c>
      <c r="N8131" s="2" t="s">
        <v>21</v>
      </c>
    </row>
    <row r="8132" ht="15.75" customHeight="1">
      <c r="A8132" s="2">
        <v>2017.0</v>
      </c>
      <c r="B8132" s="2" t="s">
        <v>33971</v>
      </c>
      <c r="C8132" s="2" t="s">
        <v>33972</v>
      </c>
      <c r="D8132" s="2" t="str">
        <f>"4067719008"</f>
        <v>4067719008</v>
      </c>
      <c r="E8132" s="2" t="s">
        <v>3693</v>
      </c>
      <c r="F8132" s="2" t="s">
        <v>12211</v>
      </c>
      <c r="G8132" s="2" t="str">
        <f>"SR-9943"</f>
        <v>SR-9943</v>
      </c>
      <c r="H8132" s="2" t="s">
        <v>33973</v>
      </c>
      <c r="I8132" s="2" t="s">
        <v>33974</v>
      </c>
      <c r="K8132" s="2" t="s">
        <v>17600</v>
      </c>
      <c r="L8132" s="2" t="s">
        <v>2696</v>
      </c>
      <c r="M8132" s="2">
        <v>59405.0</v>
      </c>
      <c r="N8132" s="2" t="s">
        <v>21</v>
      </c>
    </row>
    <row r="8133" ht="15.75" customHeight="1">
      <c r="A8133" s="2">
        <v>2017.0</v>
      </c>
      <c r="B8133" s="2" t="s">
        <v>27829</v>
      </c>
      <c r="C8133" s="2" t="s">
        <v>27830</v>
      </c>
      <c r="D8133" s="2" t="str">
        <f>"843-368-0953"</f>
        <v>843-368-0953</v>
      </c>
      <c r="E8133" s="2" t="s">
        <v>2306</v>
      </c>
      <c r="F8133" s="2" t="s">
        <v>27831</v>
      </c>
      <c r="G8133" s="2" t="str">
        <f>"SR-8704"</f>
        <v>SR-8704</v>
      </c>
      <c r="H8133" s="2" t="s">
        <v>27832</v>
      </c>
      <c r="I8133" s="2" t="s">
        <v>27833</v>
      </c>
      <c r="K8133" s="2" t="s">
        <v>5724</v>
      </c>
      <c r="L8133" s="2" t="s">
        <v>55</v>
      </c>
      <c r="M8133" s="2">
        <v>29928.0</v>
      </c>
      <c r="N8133" s="2" t="s">
        <v>21</v>
      </c>
    </row>
    <row r="8134" ht="15.75" customHeight="1">
      <c r="A8134" s="2">
        <v>2017.0</v>
      </c>
      <c r="B8134" s="2" t="s">
        <v>33975</v>
      </c>
      <c r="C8134" s="2" t="s">
        <v>33975</v>
      </c>
      <c r="D8134" s="2" t="str">
        <f>"(719) 337-5330"</f>
        <v>(719) 337-5330</v>
      </c>
      <c r="E8134" s="2" t="s">
        <v>33976</v>
      </c>
      <c r="F8134" s="2" t="s">
        <v>21785</v>
      </c>
      <c r="G8134" s="2" t="str">
        <f>"SR-11039"</f>
        <v>SR-11039</v>
      </c>
      <c r="H8134" s="2" t="s">
        <v>33977</v>
      </c>
      <c r="I8134" s="2" t="s">
        <v>33978</v>
      </c>
      <c r="K8134" s="2" t="s">
        <v>809</v>
      </c>
      <c r="L8134" s="2" t="s">
        <v>157</v>
      </c>
      <c r="M8134" s="2">
        <v>80908.0</v>
      </c>
      <c r="N8134" s="2" t="s">
        <v>21</v>
      </c>
    </row>
    <row r="8135" ht="15.75" customHeight="1">
      <c r="A8135" s="2">
        <v>2017.0</v>
      </c>
      <c r="B8135" s="2" t="s">
        <v>33368</v>
      </c>
      <c r="C8135" s="2" t="s">
        <v>33979</v>
      </c>
      <c r="D8135" s="2" t="str">
        <f>"402 3168623"</f>
        <v>402 3168623</v>
      </c>
      <c r="E8135" s="2" t="s">
        <v>137</v>
      </c>
      <c r="F8135" s="2" t="s">
        <v>3627</v>
      </c>
      <c r="G8135" s="2" t="str">
        <f>"SR-10849"</f>
        <v>SR-10849</v>
      </c>
      <c r="H8135" s="2" t="s">
        <v>33980</v>
      </c>
      <c r="I8135" s="2" t="s">
        <v>33371</v>
      </c>
      <c r="K8135" s="2" t="s">
        <v>11726</v>
      </c>
      <c r="L8135" s="2" t="s">
        <v>757</v>
      </c>
      <c r="M8135" s="2">
        <v>68701.0</v>
      </c>
      <c r="N8135" s="2" t="s">
        <v>21</v>
      </c>
    </row>
    <row r="8136" ht="15.75" customHeight="1">
      <c r="A8136" s="2">
        <v>2017.0</v>
      </c>
      <c r="B8136" s="2" t="s">
        <v>10830</v>
      </c>
      <c r="C8136" s="2" t="s">
        <v>33981</v>
      </c>
      <c r="D8136" s="2" t="str">
        <f>"651-246-0761"</f>
        <v>651-246-0761</v>
      </c>
      <c r="E8136" s="2" t="s">
        <v>1094</v>
      </c>
      <c r="F8136" s="2" t="s">
        <v>10832</v>
      </c>
      <c r="G8136" s="2" t="str">
        <f>"SR-11052"</f>
        <v>SR-11052</v>
      </c>
      <c r="H8136" s="2" t="s">
        <v>33982</v>
      </c>
      <c r="I8136" s="2" t="s">
        <v>10834</v>
      </c>
      <c r="K8136" s="2" t="s">
        <v>10835</v>
      </c>
      <c r="L8136" s="2" t="s">
        <v>62</v>
      </c>
      <c r="M8136" s="2">
        <v>55016.0</v>
      </c>
      <c r="N8136" s="2" t="s">
        <v>21</v>
      </c>
    </row>
    <row r="8137" ht="15.75" customHeight="1">
      <c r="A8137" s="2">
        <v>2017.0</v>
      </c>
      <c r="B8137" s="2" t="s">
        <v>33983</v>
      </c>
      <c r="C8137" s="2" t="s">
        <v>33984</v>
      </c>
      <c r="D8137" s="2" t="str">
        <f>"307-250-2380"</f>
        <v>307-250-2380</v>
      </c>
      <c r="E8137" s="2" t="s">
        <v>908</v>
      </c>
      <c r="F8137" s="2" t="s">
        <v>12320</v>
      </c>
      <c r="G8137" s="2" t="str">
        <f>"SR-11001"</f>
        <v>SR-11001</v>
      </c>
      <c r="H8137" s="2" t="s">
        <v>33985</v>
      </c>
      <c r="I8137" s="2" t="s">
        <v>33986</v>
      </c>
      <c r="K8137" s="2" t="s">
        <v>2771</v>
      </c>
      <c r="L8137" s="2" t="s">
        <v>1540</v>
      </c>
      <c r="M8137" s="2">
        <v>82435.0</v>
      </c>
      <c r="N8137" s="2" t="s">
        <v>21</v>
      </c>
    </row>
    <row r="8138" ht="15.75" customHeight="1">
      <c r="A8138" s="2">
        <v>2017.0</v>
      </c>
      <c r="B8138" s="2" t="s">
        <v>6384</v>
      </c>
      <c r="C8138" s="2" t="s">
        <v>33987</v>
      </c>
      <c r="D8138" s="2" t="str">
        <f>"805-208-3988"</f>
        <v>805-208-3988</v>
      </c>
      <c r="E8138" s="2" t="s">
        <v>1094</v>
      </c>
      <c r="F8138" s="2" t="s">
        <v>6387</v>
      </c>
      <c r="G8138" s="2" t="str">
        <f>"SR-11028"</f>
        <v>SR-11028</v>
      </c>
      <c r="H8138" s="2" t="s">
        <v>33988</v>
      </c>
      <c r="I8138" s="2" t="s">
        <v>6389</v>
      </c>
      <c r="K8138" s="2" t="s">
        <v>5168</v>
      </c>
      <c r="L8138" s="2" t="s">
        <v>222</v>
      </c>
      <c r="M8138" s="2">
        <v>91360.0</v>
      </c>
      <c r="N8138" s="2" t="s">
        <v>21</v>
      </c>
    </row>
    <row r="8139" ht="15.75" customHeight="1">
      <c r="A8139" s="2">
        <v>2017.0</v>
      </c>
      <c r="B8139" s="2" t="s">
        <v>33989</v>
      </c>
      <c r="C8139" s="2" t="s">
        <v>33989</v>
      </c>
      <c r="D8139" s="2" t="str">
        <f>"3072503028"</f>
        <v>3072503028</v>
      </c>
      <c r="E8139" s="2" t="s">
        <v>447</v>
      </c>
      <c r="F8139" s="2" t="s">
        <v>33990</v>
      </c>
      <c r="G8139" s="2" t="str">
        <f>"SR-11027"</f>
        <v>SR-11027</v>
      </c>
      <c r="H8139" s="2" t="s">
        <v>33991</v>
      </c>
      <c r="I8139" s="2" t="s">
        <v>33992</v>
      </c>
      <c r="K8139" s="2" t="s">
        <v>88</v>
      </c>
      <c r="L8139" s="2" t="s">
        <v>1540</v>
      </c>
      <c r="M8139" s="2">
        <v>82414.0</v>
      </c>
      <c r="N8139" s="2" t="s">
        <v>21</v>
      </c>
    </row>
    <row r="8140" ht="15.75" customHeight="1">
      <c r="A8140" s="2">
        <v>2017.0</v>
      </c>
      <c r="B8140" s="2" t="s">
        <v>30256</v>
      </c>
      <c r="C8140" s="2" t="s">
        <v>30256</v>
      </c>
      <c r="D8140" s="2" t="str">
        <f>"918-812-9753"</f>
        <v>918-812-9753</v>
      </c>
      <c r="E8140" s="2" t="s">
        <v>167</v>
      </c>
      <c r="F8140" s="2" t="s">
        <v>13200</v>
      </c>
      <c r="G8140" s="2" t="str">
        <f>"SR-9444"</f>
        <v>SR-9444</v>
      </c>
      <c r="H8140" s="2" t="s">
        <v>30257</v>
      </c>
      <c r="I8140" s="2" t="s">
        <v>30258</v>
      </c>
      <c r="K8140" s="2" t="s">
        <v>2471</v>
      </c>
      <c r="L8140" s="2" t="s">
        <v>840</v>
      </c>
      <c r="M8140" s="2">
        <v>74037.0</v>
      </c>
      <c r="N8140" s="2" t="s">
        <v>21</v>
      </c>
    </row>
    <row r="8141" ht="15.75" customHeight="1">
      <c r="A8141" s="2">
        <v>2017.0</v>
      </c>
      <c r="B8141" s="2" t="s">
        <v>33993</v>
      </c>
      <c r="C8141" s="2" t="s">
        <v>33994</v>
      </c>
      <c r="D8141" s="2" t="str">
        <f>"8652359578"</f>
        <v>8652359578</v>
      </c>
      <c r="E8141" s="2" t="s">
        <v>6081</v>
      </c>
      <c r="F8141" s="2" t="s">
        <v>5105</v>
      </c>
      <c r="G8141" s="2" t="str">
        <f>"SR-11036"</f>
        <v>SR-11036</v>
      </c>
      <c r="H8141" s="2" t="s">
        <v>33995</v>
      </c>
      <c r="I8141" s="2" t="s">
        <v>33996</v>
      </c>
      <c r="K8141" s="2" t="s">
        <v>33997</v>
      </c>
      <c r="L8141" s="2" t="s">
        <v>279</v>
      </c>
      <c r="M8141" s="2">
        <v>37876.0</v>
      </c>
      <c r="N8141" s="2" t="s">
        <v>21</v>
      </c>
    </row>
    <row r="8142" ht="15.75" customHeight="1">
      <c r="A8142" s="2">
        <v>2017.0</v>
      </c>
      <c r="B8142" s="2" t="s">
        <v>33998</v>
      </c>
      <c r="C8142" s="2" t="s">
        <v>33999</v>
      </c>
      <c r="D8142" s="2" t="str">
        <f>"9709861414"</f>
        <v>9709861414</v>
      </c>
      <c r="E8142" s="2" t="s">
        <v>12806</v>
      </c>
      <c r="F8142" s="2" t="s">
        <v>12325</v>
      </c>
      <c r="G8142" s="2" t="str">
        <f>"SR-11053"</f>
        <v>SR-11053</v>
      </c>
      <c r="H8142" s="2" t="s">
        <v>34000</v>
      </c>
      <c r="I8142" s="2" t="s">
        <v>12327</v>
      </c>
      <c r="K8142" s="2" t="s">
        <v>11440</v>
      </c>
      <c r="L8142" s="2" t="s">
        <v>157</v>
      </c>
      <c r="M8142" s="2">
        <v>81507.0</v>
      </c>
      <c r="N8142" s="2" t="s">
        <v>21</v>
      </c>
    </row>
    <row r="8143" ht="15.75" customHeight="1">
      <c r="A8143" s="2">
        <v>2017.0</v>
      </c>
      <c r="B8143" s="2" t="s">
        <v>26080</v>
      </c>
      <c r="C8143" s="2" t="s">
        <v>34001</v>
      </c>
      <c r="D8143" s="2" t="str">
        <f>"6783817705"</f>
        <v>6783817705</v>
      </c>
      <c r="E8143" s="2" t="s">
        <v>282</v>
      </c>
      <c r="F8143" s="2" t="s">
        <v>26083</v>
      </c>
      <c r="G8143" s="2" t="str">
        <f>"SR-10839"</f>
        <v>SR-10839</v>
      </c>
      <c r="H8143" s="2" t="s">
        <v>34002</v>
      </c>
      <c r="I8143" s="2" t="s">
        <v>26085</v>
      </c>
      <c r="K8143" s="2" t="s">
        <v>11963</v>
      </c>
      <c r="L8143" s="2" t="s">
        <v>200</v>
      </c>
      <c r="M8143" s="2">
        <v>30114.0</v>
      </c>
      <c r="N8143" s="2" t="s">
        <v>21</v>
      </c>
    </row>
    <row r="8144" ht="15.75" customHeight="1">
      <c r="A8144" s="2">
        <v>2017.0</v>
      </c>
      <c r="B8144" s="2" t="s">
        <v>25591</v>
      </c>
      <c r="C8144" s="2" t="s">
        <v>34003</v>
      </c>
      <c r="D8144" s="2" t="str">
        <f>"865.850.4832"</f>
        <v>865.850.4832</v>
      </c>
      <c r="E8144" s="2" t="s">
        <v>1362</v>
      </c>
      <c r="F8144" s="2" t="s">
        <v>5414</v>
      </c>
      <c r="G8144" s="2" t="str">
        <f>"SR-11058"</f>
        <v>SR-11058</v>
      </c>
      <c r="H8144" s="2" t="s">
        <v>34004</v>
      </c>
      <c r="I8144" s="2" t="s">
        <v>25594</v>
      </c>
      <c r="K8144" s="2" t="s">
        <v>3630</v>
      </c>
      <c r="L8144" s="2" t="s">
        <v>279</v>
      </c>
      <c r="M8144" s="2">
        <v>37820.0</v>
      </c>
      <c r="N8144" s="2" t="s">
        <v>21</v>
      </c>
    </row>
    <row r="8145" ht="15.75" customHeight="1">
      <c r="A8145" s="2">
        <v>2017.0</v>
      </c>
      <c r="B8145" s="2" t="s">
        <v>34005</v>
      </c>
      <c r="D8145" s="2" t="str">
        <f>""</f>
        <v/>
      </c>
      <c r="E8145" s="2" t="s">
        <v>3037</v>
      </c>
      <c r="F8145" s="2" t="s">
        <v>3903</v>
      </c>
      <c r="G8145" s="2" t="str">
        <f>"SR-11059"</f>
        <v>SR-11059</v>
      </c>
      <c r="H8145" s="2" t="s">
        <v>34006</v>
      </c>
      <c r="N8145" s="2" t="s">
        <v>21</v>
      </c>
    </row>
    <row r="8146" ht="15.75" customHeight="1">
      <c r="A8146" s="2">
        <v>2017.0</v>
      </c>
      <c r="B8146" s="2" t="s">
        <v>34007</v>
      </c>
      <c r="C8146" s="2" t="s">
        <v>34007</v>
      </c>
      <c r="D8146" s="2" t="str">
        <f>"612-709-4100"</f>
        <v>612-709-4100</v>
      </c>
      <c r="E8146" s="2" t="s">
        <v>261</v>
      </c>
      <c r="F8146" s="2" t="s">
        <v>2906</v>
      </c>
      <c r="G8146" s="2" t="str">
        <f>"SR-11009"</f>
        <v>SR-11009</v>
      </c>
      <c r="H8146" s="2" t="s">
        <v>34008</v>
      </c>
      <c r="I8146" s="2" t="s">
        <v>2908</v>
      </c>
      <c r="K8146" s="2" t="s">
        <v>2909</v>
      </c>
      <c r="L8146" s="2" t="s">
        <v>62</v>
      </c>
      <c r="M8146" s="2">
        <v>55441.0</v>
      </c>
      <c r="N8146" s="2" t="s">
        <v>21</v>
      </c>
    </row>
    <row r="8147" ht="15.75" customHeight="1">
      <c r="A8147" s="2">
        <v>2017.0</v>
      </c>
      <c r="B8147" s="2" t="s">
        <v>34009</v>
      </c>
      <c r="C8147" s="2" t="s">
        <v>34010</v>
      </c>
      <c r="D8147" s="2" t="str">
        <f>"423-443-0510"</f>
        <v>423-443-0510</v>
      </c>
      <c r="E8147" s="2" t="s">
        <v>1141</v>
      </c>
      <c r="F8147" s="2" t="s">
        <v>639</v>
      </c>
      <c r="G8147" s="2" t="str">
        <f>"SR-11040"</f>
        <v>SR-11040</v>
      </c>
      <c r="H8147" s="2" t="s">
        <v>34011</v>
      </c>
      <c r="I8147" s="2" t="s">
        <v>34012</v>
      </c>
      <c r="K8147" s="2" t="s">
        <v>34013</v>
      </c>
      <c r="L8147" s="2" t="s">
        <v>29</v>
      </c>
      <c r="M8147" s="2">
        <v>48306.0</v>
      </c>
      <c r="N8147" s="2" t="s">
        <v>21</v>
      </c>
    </row>
    <row r="8148" ht="15.75" customHeight="1">
      <c r="A8148" s="2">
        <v>2017.0</v>
      </c>
      <c r="B8148" s="2" t="s">
        <v>34014</v>
      </c>
      <c r="C8148" s="2" t="s">
        <v>34015</v>
      </c>
      <c r="D8148" s="2" t="str">
        <f>"512-952-2346"</f>
        <v>512-952-2346</v>
      </c>
      <c r="E8148" s="2" t="s">
        <v>1810</v>
      </c>
      <c r="F8148" s="2" t="s">
        <v>34016</v>
      </c>
      <c r="G8148" s="2" t="str">
        <f>"SR-11062"</f>
        <v>SR-11062</v>
      </c>
      <c r="H8148" s="2" t="s">
        <v>34017</v>
      </c>
      <c r="I8148" s="2" t="s">
        <v>34018</v>
      </c>
      <c r="K8148" s="2" t="s">
        <v>1141</v>
      </c>
      <c r="L8148" s="2" t="s">
        <v>172</v>
      </c>
      <c r="M8148" s="2">
        <v>78738.0</v>
      </c>
      <c r="N8148" s="2" t="s">
        <v>21</v>
      </c>
    </row>
    <row r="8149" ht="15.75" customHeight="1">
      <c r="A8149" s="2">
        <v>2017.0</v>
      </c>
      <c r="B8149" s="2" t="s">
        <v>34019</v>
      </c>
      <c r="C8149" s="2" t="s">
        <v>34020</v>
      </c>
      <c r="D8149" s="2" t="str">
        <f>"720-975-4955"</f>
        <v>720-975-4955</v>
      </c>
      <c r="E8149" s="2" t="s">
        <v>2243</v>
      </c>
      <c r="F8149" s="2" t="s">
        <v>34021</v>
      </c>
      <c r="G8149" s="2" t="str">
        <f>"SR-10627"</f>
        <v>SR-10627</v>
      </c>
      <c r="H8149" s="2" t="s">
        <v>34022</v>
      </c>
      <c r="I8149" s="2" t="s">
        <v>34023</v>
      </c>
      <c r="K8149" s="2" t="s">
        <v>1054</v>
      </c>
      <c r="L8149" s="2" t="s">
        <v>157</v>
      </c>
      <c r="M8149" s="2">
        <v>80134.0</v>
      </c>
      <c r="N8149" s="2" t="s">
        <v>21</v>
      </c>
    </row>
    <row r="8150" ht="15.75" customHeight="1">
      <c r="A8150" s="2">
        <v>2017.0</v>
      </c>
      <c r="B8150" s="2" t="s">
        <v>25121</v>
      </c>
      <c r="C8150" s="2" t="s">
        <v>25121</v>
      </c>
      <c r="D8150" s="2" t="str">
        <f>"8136439506"</f>
        <v>8136439506</v>
      </c>
      <c r="E8150" s="2" t="s">
        <v>471</v>
      </c>
      <c r="F8150" s="2" t="s">
        <v>11781</v>
      </c>
      <c r="G8150" s="2" t="str">
        <f>"SR-7885"</f>
        <v>SR-7885</v>
      </c>
      <c r="H8150" s="2" t="s">
        <v>25122</v>
      </c>
      <c r="I8150" s="2" t="s">
        <v>25123</v>
      </c>
      <c r="K8150" s="2" t="s">
        <v>2147</v>
      </c>
      <c r="L8150" s="2" t="s">
        <v>208</v>
      </c>
      <c r="M8150" s="2">
        <v>33511.0</v>
      </c>
      <c r="N8150" s="2" t="s">
        <v>21</v>
      </c>
    </row>
    <row r="8151" ht="15.75" customHeight="1">
      <c r="A8151" s="2">
        <v>2017.0</v>
      </c>
      <c r="B8151" s="2" t="s">
        <v>34024</v>
      </c>
      <c r="C8151" s="2" t="s">
        <v>34025</v>
      </c>
      <c r="D8151" s="2" t="str">
        <f>"4234213172"</f>
        <v>4234213172</v>
      </c>
      <c r="E8151" s="2" t="s">
        <v>873</v>
      </c>
      <c r="F8151" s="2" t="s">
        <v>8894</v>
      </c>
      <c r="G8151" s="2" t="str">
        <f>"SR-10364"</f>
        <v>SR-10364</v>
      </c>
      <c r="H8151" s="2" t="s">
        <v>34026</v>
      </c>
      <c r="I8151" s="2" t="s">
        <v>34027</v>
      </c>
      <c r="K8151" s="2" t="s">
        <v>23449</v>
      </c>
      <c r="L8151" s="2" t="s">
        <v>279</v>
      </c>
      <c r="M8151" s="2">
        <v>37343.0</v>
      </c>
      <c r="N8151" s="2" t="s">
        <v>21</v>
      </c>
    </row>
    <row r="8152" ht="15.75" customHeight="1">
      <c r="A8152" s="2">
        <v>2017.0</v>
      </c>
      <c r="B8152" s="2" t="s">
        <v>34028</v>
      </c>
      <c r="C8152" s="2" t="s">
        <v>34029</v>
      </c>
      <c r="D8152" s="2" t="str">
        <f>"4075510890"</f>
        <v>4075510890</v>
      </c>
      <c r="E8152" s="2" t="s">
        <v>373</v>
      </c>
      <c r="F8152" s="2" t="s">
        <v>12309</v>
      </c>
      <c r="G8152" s="2" t="str">
        <f>"SR-10875"</f>
        <v>SR-10875</v>
      </c>
      <c r="H8152" s="2" t="s">
        <v>34030</v>
      </c>
      <c r="I8152" s="2" t="s">
        <v>34031</v>
      </c>
      <c r="K8152" s="2" t="s">
        <v>34032</v>
      </c>
      <c r="L8152" s="2" t="s">
        <v>208</v>
      </c>
      <c r="M8152" s="2">
        <v>32714.0</v>
      </c>
      <c r="N8152" s="2" t="s">
        <v>21</v>
      </c>
    </row>
    <row r="8153" ht="15.75" customHeight="1">
      <c r="A8153" s="2">
        <v>2017.0</v>
      </c>
      <c r="B8153" s="2" t="s">
        <v>26465</v>
      </c>
      <c r="C8153" s="2" t="s">
        <v>26466</v>
      </c>
      <c r="D8153" s="2" t="str">
        <f>"901-267-9107"</f>
        <v>901-267-9107</v>
      </c>
      <c r="E8153" s="2" t="s">
        <v>282</v>
      </c>
      <c r="F8153" s="2" t="s">
        <v>26467</v>
      </c>
      <c r="G8153" s="2" t="str">
        <f>"SR-8245"</f>
        <v>SR-8245</v>
      </c>
      <c r="H8153" s="2" t="s">
        <v>26468</v>
      </c>
      <c r="I8153" s="2" t="s">
        <v>26469</v>
      </c>
      <c r="K8153" s="2" t="s">
        <v>26470</v>
      </c>
      <c r="L8153" s="2" t="s">
        <v>279</v>
      </c>
      <c r="M8153" s="2">
        <v>38066.0</v>
      </c>
      <c r="N8153" s="2" t="s">
        <v>21</v>
      </c>
    </row>
    <row r="8154" ht="15.75" customHeight="1">
      <c r="A8154" s="2">
        <v>2017.0</v>
      </c>
      <c r="B8154" s="2" t="s">
        <v>34033</v>
      </c>
      <c r="C8154" s="2" t="s">
        <v>34034</v>
      </c>
      <c r="D8154" s="2" t="str">
        <f>"3072506122"</f>
        <v>3072506122</v>
      </c>
      <c r="E8154" s="2" t="s">
        <v>34035</v>
      </c>
      <c r="F8154" s="2" t="s">
        <v>9904</v>
      </c>
      <c r="G8154" s="2" t="str">
        <f>"SR-11060"</f>
        <v>SR-11060</v>
      </c>
      <c r="H8154" s="2" t="s">
        <v>34036</v>
      </c>
      <c r="I8154" s="2" t="s">
        <v>34037</v>
      </c>
      <c r="K8154" s="2" t="s">
        <v>88</v>
      </c>
      <c r="L8154" s="2" t="s">
        <v>1540</v>
      </c>
      <c r="M8154" s="2">
        <v>82414.0</v>
      </c>
      <c r="N8154" s="2" t="s">
        <v>21</v>
      </c>
    </row>
    <row r="8155" ht="15.75" customHeight="1">
      <c r="A8155" s="2">
        <v>2017.0</v>
      </c>
      <c r="B8155" s="2" t="s">
        <v>28407</v>
      </c>
      <c r="C8155" s="2" t="s">
        <v>28408</v>
      </c>
      <c r="D8155" s="2" t="str">
        <f>"8473629279"</f>
        <v>8473629279</v>
      </c>
      <c r="E8155" s="2" t="s">
        <v>5456</v>
      </c>
      <c r="F8155" s="2" t="s">
        <v>28409</v>
      </c>
      <c r="G8155" s="2" t="str">
        <f>"SR-8840"</f>
        <v>SR-8840</v>
      </c>
      <c r="H8155" s="2" t="s">
        <v>28410</v>
      </c>
      <c r="I8155" s="2" t="s">
        <v>28411</v>
      </c>
      <c r="K8155" s="2" t="s">
        <v>28412</v>
      </c>
      <c r="L8155" s="2" t="s">
        <v>105</v>
      </c>
      <c r="M8155" s="2">
        <v>60048.0</v>
      </c>
      <c r="N8155" s="2" t="s">
        <v>21</v>
      </c>
    </row>
    <row r="8156" ht="15.75" customHeight="1">
      <c r="A8156" s="2">
        <v>2017.0</v>
      </c>
      <c r="B8156" s="2" t="s">
        <v>34038</v>
      </c>
      <c r="C8156" s="2" t="s">
        <v>34039</v>
      </c>
      <c r="D8156" s="2" t="str">
        <f>"954-245-5103"</f>
        <v>954-245-5103</v>
      </c>
      <c r="E8156" s="2" t="s">
        <v>1810</v>
      </c>
      <c r="F8156" s="2" t="s">
        <v>2350</v>
      </c>
      <c r="G8156" s="2" t="str">
        <f>"SR-11049"</f>
        <v>SR-11049</v>
      </c>
      <c r="H8156" s="2" t="s">
        <v>34040</v>
      </c>
      <c r="I8156" s="2" t="s">
        <v>34041</v>
      </c>
      <c r="K8156" s="2" t="s">
        <v>34042</v>
      </c>
      <c r="L8156" s="2" t="s">
        <v>208</v>
      </c>
      <c r="M8156" s="2">
        <v>33441.0</v>
      </c>
      <c r="N8156" s="2" t="s">
        <v>21</v>
      </c>
    </row>
    <row r="8157" ht="15.75" customHeight="1">
      <c r="A8157" s="2">
        <v>2017.0</v>
      </c>
      <c r="B8157" s="2" t="s">
        <v>12939</v>
      </c>
      <c r="C8157" s="2" t="s">
        <v>34043</v>
      </c>
      <c r="D8157" s="2" t="str">
        <f>"7203349030"</f>
        <v>7203349030</v>
      </c>
      <c r="E8157" s="2" t="s">
        <v>2851</v>
      </c>
      <c r="F8157" s="2" t="s">
        <v>12941</v>
      </c>
      <c r="G8157" s="2" t="str">
        <f>"SR-11044"</f>
        <v>SR-11044</v>
      </c>
      <c r="H8157" s="2" t="s">
        <v>34044</v>
      </c>
      <c r="I8157" s="2" t="s">
        <v>12943</v>
      </c>
      <c r="K8157" s="2" t="s">
        <v>1054</v>
      </c>
      <c r="L8157" s="2" t="s">
        <v>157</v>
      </c>
      <c r="M8157" s="2">
        <v>80134.0</v>
      </c>
      <c r="N8157" s="2" t="s">
        <v>21</v>
      </c>
    </row>
    <row r="8158" ht="15.75" customHeight="1">
      <c r="A8158" s="2">
        <v>2017.0</v>
      </c>
      <c r="B8158" s="2" t="s">
        <v>27263</v>
      </c>
      <c r="C8158" s="2" t="s">
        <v>27264</v>
      </c>
      <c r="D8158" s="2" t="str">
        <f>"5405330391"</f>
        <v>5405330391</v>
      </c>
      <c r="E8158" s="2" t="s">
        <v>27265</v>
      </c>
      <c r="F8158" s="2" t="s">
        <v>27266</v>
      </c>
      <c r="G8158" s="2" t="str">
        <f>"SR-8576"</f>
        <v>SR-8576</v>
      </c>
      <c r="H8158" s="2" t="s">
        <v>27267</v>
      </c>
      <c r="I8158" s="2" t="s">
        <v>27268</v>
      </c>
      <c r="K8158" s="2" t="s">
        <v>594</v>
      </c>
      <c r="L8158" s="2" t="s">
        <v>165</v>
      </c>
      <c r="M8158" s="2">
        <v>22601.0</v>
      </c>
      <c r="N8158" s="2" t="s">
        <v>21</v>
      </c>
    </row>
    <row r="8159" ht="15.75" customHeight="1">
      <c r="A8159" s="2">
        <v>2017.0</v>
      </c>
      <c r="B8159" s="2" t="s">
        <v>33066</v>
      </c>
      <c r="C8159" s="2" t="s">
        <v>34045</v>
      </c>
      <c r="D8159" s="2" t="str">
        <f>"9073517849"</f>
        <v>9073517849</v>
      </c>
      <c r="E8159" s="2" t="s">
        <v>10825</v>
      </c>
      <c r="F8159" s="2" t="s">
        <v>10257</v>
      </c>
      <c r="G8159" s="2" t="str">
        <f>"SR-9875"</f>
        <v>SR-9875</v>
      </c>
      <c r="H8159" s="2" t="s">
        <v>34046</v>
      </c>
      <c r="I8159" s="2" t="s">
        <v>34047</v>
      </c>
      <c r="K8159" s="2" t="s">
        <v>1336</v>
      </c>
      <c r="L8159" s="2" t="s">
        <v>70</v>
      </c>
      <c r="M8159" s="2">
        <v>99669.0</v>
      </c>
      <c r="N8159" s="2" t="s">
        <v>21</v>
      </c>
    </row>
    <row r="8160" ht="15.75" customHeight="1">
      <c r="A8160" s="2">
        <v>2017.0</v>
      </c>
      <c r="B8160" s="2" t="s">
        <v>33066</v>
      </c>
      <c r="C8160" s="2" t="s">
        <v>34048</v>
      </c>
      <c r="D8160" s="2" t="str">
        <f>"907-953-1830"</f>
        <v>907-953-1830</v>
      </c>
      <c r="E8160" s="2" t="s">
        <v>81</v>
      </c>
      <c r="F8160" s="2" t="s">
        <v>34049</v>
      </c>
      <c r="G8160" s="2" t="str">
        <f>"SR-10787"</f>
        <v>SR-10787</v>
      </c>
      <c r="H8160" s="2" t="s">
        <v>34050</v>
      </c>
      <c r="I8160" s="2" t="s">
        <v>34051</v>
      </c>
      <c r="K8160" s="2" t="s">
        <v>1336</v>
      </c>
      <c r="L8160" s="2" t="s">
        <v>70</v>
      </c>
      <c r="M8160" s="2">
        <v>99669.0</v>
      </c>
      <c r="N8160" s="2" t="s">
        <v>21</v>
      </c>
    </row>
    <row r="8161" ht="15.75" customHeight="1">
      <c r="A8161" s="2">
        <v>2017.0</v>
      </c>
      <c r="B8161" s="2" t="s">
        <v>34052</v>
      </c>
      <c r="C8161" s="2" t="s">
        <v>34053</v>
      </c>
      <c r="D8161" s="2" t="str">
        <f>"503-309-1981"</f>
        <v>503-309-1981</v>
      </c>
      <c r="E8161" s="2" t="s">
        <v>453</v>
      </c>
      <c r="F8161" s="2" t="s">
        <v>34054</v>
      </c>
      <c r="G8161" s="2" t="str">
        <f>"SR-11057"</f>
        <v>SR-11057</v>
      </c>
      <c r="H8161" s="2" t="s">
        <v>34055</v>
      </c>
      <c r="I8161" s="2" t="s">
        <v>34056</v>
      </c>
      <c r="K8161" s="2" t="s">
        <v>34057</v>
      </c>
      <c r="L8161" s="2" t="s">
        <v>2389</v>
      </c>
      <c r="M8161" s="2">
        <v>97013.0</v>
      </c>
      <c r="N8161" s="2" t="s">
        <v>21</v>
      </c>
    </row>
    <row r="8162" ht="15.75" customHeight="1">
      <c r="A8162" s="2">
        <v>2017.0</v>
      </c>
      <c r="B8162" s="2" t="s">
        <v>25297</v>
      </c>
      <c r="C8162" s="2" t="s">
        <v>25297</v>
      </c>
      <c r="D8162" s="2" t="str">
        <f>"5015141806"</f>
        <v>5015141806</v>
      </c>
      <c r="E8162" s="2" t="s">
        <v>2250</v>
      </c>
      <c r="F8162" s="2" t="s">
        <v>4648</v>
      </c>
      <c r="G8162" s="2" t="str">
        <f>"SR-11038"</f>
        <v>SR-11038</v>
      </c>
      <c r="H8162" s="2" t="s">
        <v>34058</v>
      </c>
      <c r="I8162" s="2" t="s">
        <v>25301</v>
      </c>
      <c r="K8162" s="2" t="s">
        <v>24872</v>
      </c>
      <c r="L8162" s="2" t="s">
        <v>1012</v>
      </c>
      <c r="M8162" s="2">
        <v>72058.0</v>
      </c>
      <c r="N8162" s="2" t="s">
        <v>21</v>
      </c>
    </row>
    <row r="8163" ht="15.75" customHeight="1">
      <c r="A8163" s="2">
        <v>2017.0</v>
      </c>
      <c r="B8163" s="2" t="s">
        <v>34059</v>
      </c>
      <c r="C8163" s="2" t="s">
        <v>34060</v>
      </c>
      <c r="D8163" s="2" t="str">
        <f>"319-393-3573"</f>
        <v>319-393-3573</v>
      </c>
      <c r="E8163" s="2" t="s">
        <v>1197</v>
      </c>
      <c r="F8163" s="2" t="s">
        <v>4011</v>
      </c>
      <c r="G8163" s="2" t="str">
        <f>"SR-10901"</f>
        <v>SR-10901</v>
      </c>
      <c r="H8163" s="2" t="s">
        <v>34061</v>
      </c>
      <c r="I8163" s="2" t="s">
        <v>34062</v>
      </c>
      <c r="K8163" s="2" t="s">
        <v>3273</v>
      </c>
      <c r="L8163" s="2" t="s">
        <v>560</v>
      </c>
      <c r="M8163" s="2">
        <v>52402.0</v>
      </c>
      <c r="N8163" s="2" t="s">
        <v>21</v>
      </c>
    </row>
    <row r="8164" ht="15.75" customHeight="1">
      <c r="A8164" s="2">
        <v>2017.0</v>
      </c>
      <c r="B8164" s="2" t="s">
        <v>34063</v>
      </c>
      <c r="C8164" s="2" t="s">
        <v>34063</v>
      </c>
      <c r="D8164" s="2" t="str">
        <f>"319-491-7414"</f>
        <v>319-491-7414</v>
      </c>
      <c r="E8164" s="2" t="s">
        <v>34064</v>
      </c>
      <c r="F8164" s="2" t="s">
        <v>34065</v>
      </c>
      <c r="G8164" s="2" t="str">
        <f>"SR-11068"</f>
        <v>SR-11068</v>
      </c>
      <c r="H8164" s="2" t="s">
        <v>34066</v>
      </c>
      <c r="I8164" s="2" t="s">
        <v>34067</v>
      </c>
      <c r="K8164" s="2" t="s">
        <v>3273</v>
      </c>
      <c r="L8164" s="2" t="s">
        <v>560</v>
      </c>
      <c r="M8164" s="2">
        <v>52411.0</v>
      </c>
      <c r="N8164" s="2" t="s">
        <v>21</v>
      </c>
    </row>
    <row r="8165" ht="15.75" customHeight="1">
      <c r="A8165" s="2">
        <v>2017.0</v>
      </c>
      <c r="B8165" s="2" t="s">
        <v>25996</v>
      </c>
      <c r="C8165" s="2" t="s">
        <v>26002</v>
      </c>
      <c r="D8165" s="2" t="str">
        <f>"307-587-6118"</f>
        <v>307-587-6118</v>
      </c>
      <c r="E8165" s="2" t="s">
        <v>404</v>
      </c>
      <c r="F8165" s="2" t="s">
        <v>25999</v>
      </c>
      <c r="G8165" s="2" t="str">
        <f>"SR-8262"</f>
        <v>SR-8262</v>
      </c>
      <c r="H8165" s="2" t="s">
        <v>26003</v>
      </c>
      <c r="I8165" s="2" t="s">
        <v>26001</v>
      </c>
      <c r="K8165" s="2" t="s">
        <v>88</v>
      </c>
      <c r="L8165" s="2" t="s">
        <v>1540</v>
      </c>
      <c r="M8165" s="2">
        <v>82414.0</v>
      </c>
      <c r="N8165" s="2" t="s">
        <v>21</v>
      </c>
    </row>
    <row r="8166" ht="15.75" customHeight="1">
      <c r="A8166" s="2">
        <v>2017.0</v>
      </c>
      <c r="B8166" s="2" t="s">
        <v>34068</v>
      </c>
      <c r="C8166" s="2" t="s">
        <v>34069</v>
      </c>
      <c r="D8166" s="2" t="str">
        <f>"559-903-4146"</f>
        <v>559-903-4146</v>
      </c>
      <c r="E8166" s="2" t="s">
        <v>1548</v>
      </c>
      <c r="F8166" s="2" t="s">
        <v>17851</v>
      </c>
      <c r="G8166" s="2" t="str">
        <f>"SR-11064"</f>
        <v>SR-11064</v>
      </c>
      <c r="H8166" s="2" t="s">
        <v>34070</v>
      </c>
      <c r="I8166" s="2" t="s">
        <v>34071</v>
      </c>
      <c r="K8166" s="2" t="s">
        <v>10354</v>
      </c>
      <c r="L8166" s="2" t="s">
        <v>222</v>
      </c>
      <c r="M8166" s="2">
        <v>93720.0</v>
      </c>
      <c r="N8166" s="2" t="s">
        <v>21</v>
      </c>
    </row>
    <row r="8167" ht="15.75" customHeight="1">
      <c r="A8167" s="2">
        <v>2017.0</v>
      </c>
      <c r="B8167" s="2" t="s">
        <v>28371</v>
      </c>
      <c r="C8167" s="2" t="s">
        <v>21084</v>
      </c>
      <c r="D8167" s="2" t="str">
        <f>"(321) 266-8578"</f>
        <v>(321) 266-8578</v>
      </c>
      <c r="E8167" s="2" t="s">
        <v>2126</v>
      </c>
      <c r="F8167" s="2" t="s">
        <v>5150</v>
      </c>
      <c r="G8167" s="2" t="str">
        <f>"SR-8603"</f>
        <v>SR-8603</v>
      </c>
      <c r="H8167" s="2" t="s">
        <v>21085</v>
      </c>
      <c r="I8167" s="2" t="s">
        <v>21086</v>
      </c>
      <c r="K8167" s="2" t="s">
        <v>21087</v>
      </c>
      <c r="L8167" s="2" t="s">
        <v>208</v>
      </c>
      <c r="M8167" s="2">
        <v>32953.0</v>
      </c>
      <c r="N8167" s="2" t="s">
        <v>21</v>
      </c>
    </row>
    <row r="8168" ht="15.75" customHeight="1">
      <c r="A8168" s="2">
        <v>2017.0</v>
      </c>
      <c r="B8168" s="2" t="s">
        <v>34072</v>
      </c>
      <c r="C8168" s="2" t="s">
        <v>34072</v>
      </c>
      <c r="D8168" s="2" t="str">
        <f>"239-694-0652"</f>
        <v>239-694-0652</v>
      </c>
      <c r="E8168" s="2" t="s">
        <v>6170</v>
      </c>
      <c r="F8168" s="2" t="s">
        <v>543</v>
      </c>
      <c r="G8168" s="2" t="str">
        <f>"SR-11054"</f>
        <v>SR-11054</v>
      </c>
      <c r="H8168" s="2" t="s">
        <v>34073</v>
      </c>
      <c r="I8168" s="2" t="s">
        <v>16205</v>
      </c>
      <c r="J8168" s="2" t="s">
        <v>34074</v>
      </c>
      <c r="K8168" s="2" t="s">
        <v>5124</v>
      </c>
      <c r="L8168" s="2" t="s">
        <v>208</v>
      </c>
      <c r="M8168" s="2">
        <v>32656.0</v>
      </c>
      <c r="N8168" s="2" t="s">
        <v>21</v>
      </c>
    </row>
    <row r="8169" ht="15.75" customHeight="1">
      <c r="A8169" s="2">
        <v>2017.0</v>
      </c>
      <c r="B8169" s="2" t="s">
        <v>34075</v>
      </c>
      <c r="C8169" s="2" t="s">
        <v>34076</v>
      </c>
      <c r="D8169" s="2" t="str">
        <f>"352 234 7317"</f>
        <v>352 234 7317</v>
      </c>
      <c r="E8169" s="2" t="s">
        <v>217</v>
      </c>
      <c r="F8169" s="2" t="s">
        <v>34077</v>
      </c>
      <c r="G8169" s="2" t="str">
        <f>"SR-10904"</f>
        <v>SR-10904</v>
      </c>
      <c r="H8169" s="2" t="s">
        <v>34078</v>
      </c>
      <c r="I8169" s="2" t="s">
        <v>34079</v>
      </c>
      <c r="K8169" s="2" t="s">
        <v>5468</v>
      </c>
      <c r="L8169" s="2" t="s">
        <v>208</v>
      </c>
      <c r="M8169" s="2">
        <v>32640.0</v>
      </c>
      <c r="N8169" s="2" t="s">
        <v>21</v>
      </c>
    </row>
    <row r="8170" ht="15.75" customHeight="1">
      <c r="A8170" s="2">
        <v>2017.0</v>
      </c>
      <c r="B8170" s="2" t="s">
        <v>34080</v>
      </c>
      <c r="C8170" s="2" t="s">
        <v>34081</v>
      </c>
      <c r="D8170" s="2" t="str">
        <f>"4027103936"</f>
        <v>4027103936</v>
      </c>
      <c r="E8170" s="2" t="s">
        <v>34082</v>
      </c>
      <c r="F8170" s="2" t="s">
        <v>34083</v>
      </c>
      <c r="G8170" s="2" t="str">
        <f>"SR-10876"</f>
        <v>SR-10876</v>
      </c>
      <c r="H8170" s="2" t="s">
        <v>34084</v>
      </c>
      <c r="I8170" s="2" t="s">
        <v>34085</v>
      </c>
      <c r="K8170" s="2" t="s">
        <v>16541</v>
      </c>
      <c r="L8170" s="2" t="s">
        <v>757</v>
      </c>
      <c r="M8170" s="2">
        <v>68467.0</v>
      </c>
      <c r="N8170" s="2" t="s">
        <v>21</v>
      </c>
    </row>
    <row r="8171" ht="15.75" customHeight="1">
      <c r="A8171" s="2">
        <v>2017.0</v>
      </c>
      <c r="B8171" s="2" t="s">
        <v>34086</v>
      </c>
      <c r="C8171" s="2" t="s">
        <v>34086</v>
      </c>
      <c r="D8171" s="2" t="str">
        <f>"(904) 343-3098"</f>
        <v>(904) 343-3098</v>
      </c>
      <c r="E8171" s="2" t="s">
        <v>447</v>
      </c>
      <c r="F8171" s="2" t="s">
        <v>8278</v>
      </c>
      <c r="G8171" s="2" t="str">
        <f>"SR-10450"</f>
        <v>SR-10450</v>
      </c>
      <c r="H8171" s="2" t="s">
        <v>34087</v>
      </c>
      <c r="I8171" s="2" t="s">
        <v>34088</v>
      </c>
      <c r="K8171" s="2" t="s">
        <v>451</v>
      </c>
      <c r="L8171" s="2" t="s">
        <v>208</v>
      </c>
      <c r="M8171" s="2">
        <v>32207.0</v>
      </c>
      <c r="N8171" s="2" t="s">
        <v>21</v>
      </c>
    </row>
    <row r="8172" ht="15.75" customHeight="1">
      <c r="A8172" s="2">
        <v>2017.0</v>
      </c>
      <c r="B8172" s="2" t="s">
        <v>34089</v>
      </c>
      <c r="C8172" s="2" t="s">
        <v>34090</v>
      </c>
      <c r="D8172" s="2" t="str">
        <f>"9316250203"</f>
        <v>9316250203</v>
      </c>
      <c r="E8172" s="2" t="s">
        <v>34091</v>
      </c>
      <c r="F8172" s="2" t="s">
        <v>34092</v>
      </c>
      <c r="G8172" s="2" t="str">
        <f>"SR-10924"</f>
        <v>SR-10924</v>
      </c>
      <c r="H8172" s="2" t="s">
        <v>34093</v>
      </c>
      <c r="I8172" s="2" t="s">
        <v>34094</v>
      </c>
      <c r="K8172" s="2" t="s">
        <v>3164</v>
      </c>
      <c r="L8172" s="2" t="s">
        <v>279</v>
      </c>
      <c r="M8172" s="2">
        <v>37334.0</v>
      </c>
      <c r="N8172" s="2" t="s">
        <v>21</v>
      </c>
    </row>
    <row r="8173" ht="15.75" customHeight="1">
      <c r="A8173" s="2">
        <v>2017.0</v>
      </c>
      <c r="B8173" s="2" t="s">
        <v>34095</v>
      </c>
      <c r="C8173" s="2" t="s">
        <v>34096</v>
      </c>
      <c r="D8173" s="2" t="str">
        <f>"(205)594-5594"</f>
        <v>(205)594-5594</v>
      </c>
      <c r="E8173" s="2" t="s">
        <v>34097</v>
      </c>
      <c r="F8173" s="2" t="s">
        <v>457</v>
      </c>
      <c r="G8173" s="2" t="str">
        <f>"SR-11076"</f>
        <v>SR-11076</v>
      </c>
      <c r="H8173" s="2" t="s">
        <v>34098</v>
      </c>
      <c r="I8173" s="2" t="s">
        <v>34099</v>
      </c>
      <c r="K8173" s="2" t="s">
        <v>5019</v>
      </c>
      <c r="L8173" s="2" t="s">
        <v>539</v>
      </c>
      <c r="M8173" s="2">
        <v>35953.0</v>
      </c>
      <c r="N8173" s="2" t="s">
        <v>21</v>
      </c>
    </row>
    <row r="8174" ht="15.75" customHeight="1">
      <c r="A8174" s="2">
        <v>2017.0</v>
      </c>
      <c r="B8174" s="2" t="s">
        <v>34100</v>
      </c>
      <c r="C8174" s="2" t="s">
        <v>34100</v>
      </c>
      <c r="D8174" s="2" t="str">
        <f>"360-912-5092"</f>
        <v>360-912-5092</v>
      </c>
      <c r="E8174" s="2" t="s">
        <v>34101</v>
      </c>
      <c r="F8174" s="2" t="s">
        <v>22883</v>
      </c>
      <c r="G8174" s="2" t="str">
        <f>"SR-11018"</f>
        <v>SR-11018</v>
      </c>
      <c r="H8174" s="2" t="s">
        <v>34102</v>
      </c>
      <c r="I8174" s="2" t="s">
        <v>34103</v>
      </c>
      <c r="K8174" s="2" t="s">
        <v>2449</v>
      </c>
      <c r="L8174" s="2" t="s">
        <v>55</v>
      </c>
      <c r="M8174" s="2">
        <v>29720.0</v>
      </c>
      <c r="N8174" s="2" t="s">
        <v>21</v>
      </c>
    </row>
    <row r="8175" ht="15.75" customHeight="1">
      <c r="A8175" s="2">
        <v>2017.0</v>
      </c>
      <c r="B8175" s="2" t="s">
        <v>34104</v>
      </c>
      <c r="C8175" s="2" t="s">
        <v>34104</v>
      </c>
      <c r="D8175" s="2" t="str">
        <f>"423-775-0466"</f>
        <v>423-775-0466</v>
      </c>
      <c r="E8175" s="2" t="s">
        <v>584</v>
      </c>
      <c r="F8175" s="2" t="s">
        <v>10930</v>
      </c>
      <c r="G8175" s="2" t="str">
        <f>"SR-11043"</f>
        <v>SR-11043</v>
      </c>
      <c r="H8175" s="2" t="s">
        <v>34105</v>
      </c>
      <c r="I8175" s="2" t="s">
        <v>34106</v>
      </c>
      <c r="K8175" s="2" t="s">
        <v>4310</v>
      </c>
      <c r="L8175" s="2" t="s">
        <v>279</v>
      </c>
      <c r="M8175" s="2">
        <v>37321.0</v>
      </c>
      <c r="N8175" s="2" t="s">
        <v>21</v>
      </c>
    </row>
    <row r="8176" ht="15.75" customHeight="1">
      <c r="A8176" s="2">
        <v>2017.0</v>
      </c>
      <c r="B8176" s="2" t="s">
        <v>34100</v>
      </c>
      <c r="C8176" s="2" t="s">
        <v>34107</v>
      </c>
      <c r="D8176" s="2" t="str">
        <f>"3609125092"</f>
        <v>3609125092</v>
      </c>
      <c r="E8176" s="2" t="s">
        <v>34108</v>
      </c>
      <c r="F8176" s="2" t="s">
        <v>22883</v>
      </c>
      <c r="G8176" s="2" t="str">
        <f>"SR-11016"</f>
        <v>SR-11016</v>
      </c>
      <c r="H8176" s="2" t="s">
        <v>34109</v>
      </c>
      <c r="I8176" s="2" t="s">
        <v>34103</v>
      </c>
      <c r="K8176" s="2" t="s">
        <v>2449</v>
      </c>
      <c r="L8176" s="2" t="s">
        <v>55</v>
      </c>
      <c r="M8176" s="2">
        <v>29720.0</v>
      </c>
      <c r="N8176" s="2" t="s">
        <v>21</v>
      </c>
    </row>
    <row r="8177" ht="15.75" customHeight="1">
      <c r="A8177" s="2">
        <v>2017.0</v>
      </c>
      <c r="B8177" s="2" t="s">
        <v>11444</v>
      </c>
      <c r="C8177" s="2" t="s">
        <v>34110</v>
      </c>
      <c r="D8177" s="2" t="str">
        <f>"9707738918"</f>
        <v>9707738918</v>
      </c>
      <c r="E8177" s="2" t="s">
        <v>485</v>
      </c>
      <c r="F8177" s="2" t="s">
        <v>11446</v>
      </c>
      <c r="G8177" s="2" t="str">
        <f>"SR-9839"</f>
        <v>SR-9839</v>
      </c>
      <c r="H8177" s="2" t="s">
        <v>34111</v>
      </c>
      <c r="I8177" s="2" t="s">
        <v>11448</v>
      </c>
      <c r="K8177" s="2" t="s">
        <v>11440</v>
      </c>
      <c r="L8177" s="2" t="s">
        <v>157</v>
      </c>
      <c r="M8177" s="2">
        <v>81505.0</v>
      </c>
      <c r="N8177" s="2" t="s">
        <v>21</v>
      </c>
    </row>
    <row r="8178" ht="15.75" customHeight="1">
      <c r="A8178" s="2">
        <v>2017.0</v>
      </c>
      <c r="B8178" s="2" t="s">
        <v>34112</v>
      </c>
      <c r="C8178" s="2" t="s">
        <v>34113</v>
      </c>
      <c r="D8178" s="2" t="str">
        <f>"785-280-2760"</f>
        <v>785-280-2760</v>
      </c>
      <c r="E8178" s="2" t="s">
        <v>2162</v>
      </c>
      <c r="F8178" s="2" t="s">
        <v>18542</v>
      </c>
      <c r="G8178" s="2" t="str">
        <f>"SR-11026"</f>
        <v>SR-11026</v>
      </c>
      <c r="H8178" s="2" t="s">
        <v>34114</v>
      </c>
      <c r="I8178" s="2" t="s">
        <v>33887</v>
      </c>
      <c r="K8178" s="2" t="s">
        <v>781</v>
      </c>
      <c r="L8178" s="2" t="s">
        <v>272</v>
      </c>
      <c r="M8178" s="2">
        <v>67410.0</v>
      </c>
      <c r="N8178" s="2" t="s">
        <v>21</v>
      </c>
    </row>
    <row r="8179" ht="15.75" customHeight="1">
      <c r="A8179" s="2">
        <v>2017.0</v>
      </c>
      <c r="B8179" s="2" t="s">
        <v>34115</v>
      </c>
      <c r="C8179" s="2" t="s">
        <v>34115</v>
      </c>
      <c r="D8179" s="2" t="str">
        <f>"5802160001"</f>
        <v>5802160001</v>
      </c>
      <c r="E8179" s="2" t="s">
        <v>34116</v>
      </c>
      <c r="F8179" s="2" t="s">
        <v>31189</v>
      </c>
      <c r="G8179" s="2" t="str">
        <f>"SR-11071"</f>
        <v>SR-11071</v>
      </c>
      <c r="H8179" s="2" t="s">
        <v>34117</v>
      </c>
      <c r="I8179" s="2" t="s">
        <v>34118</v>
      </c>
      <c r="K8179" s="2" t="s">
        <v>13036</v>
      </c>
      <c r="L8179" s="2" t="s">
        <v>840</v>
      </c>
      <c r="M8179" s="2">
        <v>73801.0</v>
      </c>
      <c r="N8179" s="2" t="s">
        <v>21</v>
      </c>
    </row>
    <row r="8180" ht="15.75" customHeight="1">
      <c r="A8180" s="2">
        <v>2017.0</v>
      </c>
      <c r="B8180" s="2" t="s">
        <v>34119</v>
      </c>
      <c r="C8180" s="2" t="s">
        <v>34119</v>
      </c>
      <c r="D8180" s="2" t="str">
        <f>"9013511011"</f>
        <v>9013511011</v>
      </c>
      <c r="E8180" s="2" t="s">
        <v>659</v>
      </c>
      <c r="F8180" s="2" t="s">
        <v>1859</v>
      </c>
      <c r="G8180" s="2" t="str">
        <f>"SR-11072"</f>
        <v>SR-11072</v>
      </c>
      <c r="H8180" s="2" t="s">
        <v>34120</v>
      </c>
      <c r="I8180" s="2" t="s">
        <v>34121</v>
      </c>
      <c r="K8180" s="2" t="s">
        <v>882</v>
      </c>
      <c r="L8180" s="2" t="s">
        <v>279</v>
      </c>
      <c r="M8180" s="2">
        <v>38002.0</v>
      </c>
      <c r="N8180" s="2" t="s">
        <v>21</v>
      </c>
    </row>
    <row r="8181" ht="15.75" customHeight="1">
      <c r="A8181" s="2">
        <v>2017.0</v>
      </c>
      <c r="B8181" s="2" t="s">
        <v>34122</v>
      </c>
      <c r="C8181" s="2" t="s">
        <v>34123</v>
      </c>
      <c r="D8181" s="2" t="str">
        <f>"9316261661"</f>
        <v>9316261661</v>
      </c>
      <c r="E8181" s="2" t="s">
        <v>651</v>
      </c>
      <c r="F8181" s="2" t="s">
        <v>24787</v>
      </c>
      <c r="G8181" s="2" t="str">
        <f>"SR-11042"</f>
        <v>SR-11042</v>
      </c>
      <c r="H8181" s="2" t="s">
        <v>34124</v>
      </c>
      <c r="I8181" s="2" t="s">
        <v>34125</v>
      </c>
      <c r="K8181" s="2" t="s">
        <v>24415</v>
      </c>
      <c r="L8181" s="2" t="s">
        <v>279</v>
      </c>
      <c r="M8181" s="2">
        <v>38451.0</v>
      </c>
      <c r="N8181" s="2" t="s">
        <v>21</v>
      </c>
    </row>
    <row r="8182" ht="15.75" customHeight="1">
      <c r="A8182" s="2">
        <v>2017.0</v>
      </c>
      <c r="B8182" s="2" t="s">
        <v>34126</v>
      </c>
      <c r="C8182" s="2" t="s">
        <v>34127</v>
      </c>
      <c r="D8182" s="2" t="str">
        <f>"2547027129"</f>
        <v>2547027129</v>
      </c>
      <c r="E8182" s="2" t="s">
        <v>1015</v>
      </c>
      <c r="F8182" s="2" t="s">
        <v>19130</v>
      </c>
      <c r="G8182" s="2" t="str">
        <f>"SR-11067"</f>
        <v>SR-11067</v>
      </c>
      <c r="H8182" s="2" t="s">
        <v>34128</v>
      </c>
      <c r="I8182" s="2" t="s">
        <v>34129</v>
      </c>
      <c r="K8182" s="2" t="s">
        <v>19133</v>
      </c>
      <c r="L8182" s="2" t="s">
        <v>172</v>
      </c>
      <c r="M8182" s="2">
        <v>76522.0</v>
      </c>
      <c r="N8182" s="2" t="s">
        <v>21</v>
      </c>
    </row>
    <row r="8183" ht="15.75" customHeight="1">
      <c r="A8183" s="2">
        <v>2017.0</v>
      </c>
      <c r="B8183" s="2" t="s">
        <v>34130</v>
      </c>
      <c r="C8183" s="2" t="s">
        <v>34130</v>
      </c>
      <c r="D8183" s="2" t="str">
        <f>"712-441-7543"</f>
        <v>712-441-7543</v>
      </c>
      <c r="E8183" s="2" t="s">
        <v>225</v>
      </c>
      <c r="F8183" s="2" t="s">
        <v>12094</v>
      </c>
      <c r="G8183" s="2" t="str">
        <f>"SR-11078"</f>
        <v>SR-11078</v>
      </c>
      <c r="H8183" s="2" t="s">
        <v>34131</v>
      </c>
      <c r="I8183" s="2" t="s">
        <v>12096</v>
      </c>
      <c r="K8183" s="2" t="s">
        <v>12097</v>
      </c>
      <c r="L8183" s="2" t="s">
        <v>560</v>
      </c>
      <c r="M8183" s="2">
        <v>51041.0</v>
      </c>
      <c r="N8183" s="2" t="s">
        <v>21</v>
      </c>
    </row>
    <row r="8184" ht="15.75" customHeight="1">
      <c r="A8184" s="2">
        <v>2017.0</v>
      </c>
      <c r="B8184" s="2" t="s">
        <v>34132</v>
      </c>
      <c r="C8184" s="2" t="s">
        <v>34133</v>
      </c>
      <c r="D8184" s="2" t="str">
        <f>"806-535-1960"</f>
        <v>806-535-1960</v>
      </c>
      <c r="E8184" s="2" t="s">
        <v>4079</v>
      </c>
      <c r="F8184" s="2" t="s">
        <v>34134</v>
      </c>
      <c r="G8184" s="2" t="str">
        <f>"SR-11081"</f>
        <v>SR-11081</v>
      </c>
      <c r="H8184" s="2" t="s">
        <v>34135</v>
      </c>
      <c r="I8184" s="2" t="s">
        <v>34136</v>
      </c>
      <c r="K8184" s="2" t="s">
        <v>1121</v>
      </c>
      <c r="L8184" s="2" t="s">
        <v>172</v>
      </c>
      <c r="M8184" s="2">
        <v>79416.0</v>
      </c>
      <c r="N8184" s="2" t="s">
        <v>21</v>
      </c>
    </row>
    <row r="8185" ht="15.75" customHeight="1">
      <c r="A8185" s="2">
        <v>2017.0</v>
      </c>
      <c r="B8185" s="2" t="s">
        <v>18988</v>
      </c>
      <c r="C8185" s="2" t="s">
        <v>34137</v>
      </c>
      <c r="D8185" s="2" t="str">
        <f>"6606191253"</f>
        <v>6606191253</v>
      </c>
      <c r="E8185" s="2" t="s">
        <v>34138</v>
      </c>
      <c r="F8185" s="2" t="s">
        <v>18990</v>
      </c>
      <c r="G8185" s="2" t="str">
        <f>"SR-10725"</f>
        <v>SR-10725</v>
      </c>
      <c r="H8185" s="2" t="s">
        <v>34139</v>
      </c>
      <c r="I8185" s="2" t="s">
        <v>18992</v>
      </c>
      <c r="K8185" s="2" t="s">
        <v>18993</v>
      </c>
      <c r="L8185" s="2" t="s">
        <v>214</v>
      </c>
      <c r="M8185" s="2">
        <v>65276.0</v>
      </c>
      <c r="N8185" s="2" t="s">
        <v>21</v>
      </c>
    </row>
    <row r="8186" ht="15.75" customHeight="1">
      <c r="A8186" s="2">
        <v>2017.0</v>
      </c>
      <c r="B8186" s="2" t="s">
        <v>34140</v>
      </c>
      <c r="C8186" s="2" t="s">
        <v>34141</v>
      </c>
      <c r="D8186" s="2" t="str">
        <f>"8063926118"</f>
        <v>8063926118</v>
      </c>
      <c r="E8186" s="2" t="s">
        <v>4224</v>
      </c>
      <c r="F8186" s="2" t="s">
        <v>89</v>
      </c>
      <c r="G8186" s="2" t="str">
        <f>"SR-11079"</f>
        <v>SR-11079</v>
      </c>
      <c r="H8186" s="2" t="s">
        <v>34142</v>
      </c>
      <c r="I8186" s="2" t="s">
        <v>20864</v>
      </c>
      <c r="K8186" s="2" t="s">
        <v>1121</v>
      </c>
      <c r="L8186" s="2" t="s">
        <v>172</v>
      </c>
      <c r="M8186" s="2">
        <v>79413.0</v>
      </c>
      <c r="N8186" s="2" t="s">
        <v>21</v>
      </c>
    </row>
    <row r="8187" ht="15.75" customHeight="1">
      <c r="A8187" s="2">
        <v>2017.0</v>
      </c>
      <c r="B8187" s="2" t="s">
        <v>34143</v>
      </c>
      <c r="C8187" s="2" t="s">
        <v>34144</v>
      </c>
      <c r="D8187" s="2" t="str">
        <f>"6154771011"</f>
        <v>6154771011</v>
      </c>
      <c r="E8187" s="2" t="s">
        <v>137</v>
      </c>
      <c r="F8187" s="2" t="s">
        <v>34145</v>
      </c>
      <c r="G8187" s="2" t="str">
        <f>"SR-10846"</f>
        <v>SR-10846</v>
      </c>
      <c r="H8187" s="2" t="s">
        <v>34146</v>
      </c>
      <c r="I8187" s="2" t="s">
        <v>34147</v>
      </c>
      <c r="K8187" s="2" t="s">
        <v>11803</v>
      </c>
      <c r="L8187" s="2" t="s">
        <v>279</v>
      </c>
      <c r="M8187" s="2">
        <v>37122.0</v>
      </c>
      <c r="N8187" s="2" t="s">
        <v>21</v>
      </c>
    </row>
    <row r="8188" ht="15.75" customHeight="1">
      <c r="A8188" s="2">
        <v>2017.0</v>
      </c>
      <c r="B8188" s="2" t="s">
        <v>34148</v>
      </c>
      <c r="C8188" s="2" t="s">
        <v>34148</v>
      </c>
      <c r="D8188" s="2" t="str">
        <f>"8063922956"</f>
        <v>8063922956</v>
      </c>
      <c r="E8188" s="2" t="s">
        <v>160</v>
      </c>
      <c r="F8188" s="2" t="s">
        <v>89</v>
      </c>
      <c r="G8188" s="2" t="str">
        <f>"SR-11088"</f>
        <v>SR-11088</v>
      </c>
      <c r="H8188" s="2" t="s">
        <v>34149</v>
      </c>
      <c r="I8188" s="2" t="s">
        <v>34150</v>
      </c>
      <c r="K8188" s="2" t="s">
        <v>1121</v>
      </c>
      <c r="L8188" s="2" t="s">
        <v>172</v>
      </c>
      <c r="M8188" s="2">
        <v>79413.0</v>
      </c>
      <c r="N8188" s="2" t="s">
        <v>21</v>
      </c>
    </row>
    <row r="8189" ht="15.75" customHeight="1">
      <c r="A8189" s="2">
        <v>2017.0</v>
      </c>
      <c r="B8189" s="2" t="s">
        <v>34151</v>
      </c>
      <c r="C8189" s="2" t="s">
        <v>34151</v>
      </c>
      <c r="D8189" s="2" t="str">
        <f>"4028737780"</f>
        <v>4028737780</v>
      </c>
      <c r="E8189" s="2" t="s">
        <v>6121</v>
      </c>
      <c r="F8189" s="2" t="s">
        <v>34152</v>
      </c>
      <c r="G8189" s="2" t="str">
        <f>"SR-10820"</f>
        <v>SR-10820</v>
      </c>
      <c r="H8189" s="2" t="s">
        <v>34153</v>
      </c>
      <c r="I8189" s="2" t="s">
        <v>34154</v>
      </c>
      <c r="K8189" s="2" t="s">
        <v>23739</v>
      </c>
      <c r="L8189" s="2" t="s">
        <v>757</v>
      </c>
      <c r="M8189" s="2">
        <v>68854.0</v>
      </c>
      <c r="N8189" s="2" t="s">
        <v>21</v>
      </c>
    </row>
    <row r="8190" ht="15.75" customHeight="1">
      <c r="A8190" s="2">
        <v>2017.0</v>
      </c>
      <c r="B8190" s="2" t="s">
        <v>34155</v>
      </c>
      <c r="C8190" s="2" t="s">
        <v>34155</v>
      </c>
      <c r="D8190" s="2" t="str">
        <f>"719-229-5566"</f>
        <v>719-229-5566</v>
      </c>
      <c r="E8190" s="2" t="s">
        <v>34156</v>
      </c>
      <c r="F8190" s="2" t="s">
        <v>34157</v>
      </c>
      <c r="G8190" s="2" t="str">
        <f>"SR-11063"</f>
        <v>SR-11063</v>
      </c>
      <c r="H8190" s="2" t="s">
        <v>34158</v>
      </c>
      <c r="I8190" s="2" t="s">
        <v>34159</v>
      </c>
      <c r="K8190" s="2" t="s">
        <v>809</v>
      </c>
      <c r="L8190" s="2" t="s">
        <v>157</v>
      </c>
      <c r="M8190" s="2">
        <v>80908.0</v>
      </c>
      <c r="N8190" s="2" t="s">
        <v>21</v>
      </c>
    </row>
    <row r="8191" ht="15.75" customHeight="1">
      <c r="A8191" s="2">
        <v>2017.0</v>
      </c>
      <c r="B8191" s="2" t="s">
        <v>34160</v>
      </c>
      <c r="C8191" s="2" t="s">
        <v>34161</v>
      </c>
      <c r="D8191" s="2" t="str">
        <f>"5016791318"</f>
        <v>5016791318</v>
      </c>
      <c r="E8191" s="2" t="s">
        <v>34162</v>
      </c>
      <c r="F8191" s="2" t="s">
        <v>34163</v>
      </c>
      <c r="G8191" s="2" t="str">
        <f>"SR-11087"</f>
        <v>SR-11087</v>
      </c>
      <c r="H8191" s="2" t="s">
        <v>34164</v>
      </c>
      <c r="I8191" s="2" t="s">
        <v>34165</v>
      </c>
      <c r="K8191" s="2" t="s">
        <v>34166</v>
      </c>
      <c r="L8191" s="2" t="s">
        <v>1012</v>
      </c>
      <c r="M8191" s="2">
        <v>72032.0</v>
      </c>
      <c r="N8191" s="2" t="s">
        <v>21</v>
      </c>
    </row>
    <row r="8192" ht="15.75" customHeight="1">
      <c r="A8192" s="2">
        <v>2017.0</v>
      </c>
      <c r="B8192" s="2" t="s">
        <v>34167</v>
      </c>
      <c r="C8192" s="2" t="s">
        <v>34168</v>
      </c>
      <c r="D8192" s="2" t="str">
        <f>"949 572 4564"</f>
        <v>949 572 4564</v>
      </c>
      <c r="E8192" s="2" t="s">
        <v>137</v>
      </c>
      <c r="F8192" s="2" t="s">
        <v>16181</v>
      </c>
      <c r="G8192" s="2" t="str">
        <f>"SR-11055"</f>
        <v>SR-11055</v>
      </c>
      <c r="H8192" s="2" t="s">
        <v>34169</v>
      </c>
      <c r="I8192" s="2" t="s">
        <v>34170</v>
      </c>
      <c r="K8192" s="2" t="s">
        <v>9670</v>
      </c>
      <c r="L8192" s="2" t="s">
        <v>222</v>
      </c>
      <c r="M8192" s="2">
        <v>92673.0</v>
      </c>
      <c r="N8192" s="2" t="s">
        <v>21</v>
      </c>
    </row>
    <row r="8193" ht="15.75" customHeight="1">
      <c r="A8193" s="2">
        <v>2017.0</v>
      </c>
      <c r="B8193" s="2" t="s">
        <v>34171</v>
      </c>
      <c r="C8193" s="2" t="s">
        <v>34171</v>
      </c>
      <c r="D8193" s="2" t="str">
        <f>"4027720031"</f>
        <v>4027720031</v>
      </c>
      <c r="E8193" s="2" t="s">
        <v>1928</v>
      </c>
      <c r="F8193" s="2" t="s">
        <v>4497</v>
      </c>
      <c r="G8193" s="2" t="str">
        <f>"SR-10983"</f>
        <v>SR-10983</v>
      </c>
      <c r="H8193" s="2" t="s">
        <v>34172</v>
      </c>
      <c r="I8193" s="2" t="s">
        <v>34173</v>
      </c>
      <c r="K8193" s="2" t="s">
        <v>1520</v>
      </c>
      <c r="L8193" s="2" t="s">
        <v>757</v>
      </c>
      <c r="M8193" s="2">
        <v>68818.0</v>
      </c>
      <c r="N8193" s="2" t="s">
        <v>21</v>
      </c>
    </row>
    <row r="8194" ht="15.75" customHeight="1">
      <c r="A8194" s="2">
        <v>2017.0</v>
      </c>
      <c r="B8194" s="2" t="s">
        <v>34174</v>
      </c>
      <c r="C8194" s="2" t="s">
        <v>34175</v>
      </c>
      <c r="D8194" s="2" t="str">
        <f>"3093970463"</f>
        <v>3093970463</v>
      </c>
      <c r="E8194" s="2" t="s">
        <v>465</v>
      </c>
      <c r="F8194" s="2" t="s">
        <v>34176</v>
      </c>
      <c r="G8194" s="2" t="str">
        <f>"SR-11084"</f>
        <v>SR-11084</v>
      </c>
      <c r="H8194" s="2" t="s">
        <v>34177</v>
      </c>
      <c r="I8194" s="2" t="s">
        <v>34178</v>
      </c>
      <c r="K8194" s="2" t="s">
        <v>2732</v>
      </c>
      <c r="L8194" s="2" t="s">
        <v>105</v>
      </c>
      <c r="M8194" s="2">
        <v>61568.0</v>
      </c>
      <c r="N8194" s="2" t="s">
        <v>21</v>
      </c>
    </row>
    <row r="8195" ht="15.75" customHeight="1">
      <c r="A8195" s="2">
        <v>2017.0</v>
      </c>
      <c r="B8195" s="2" t="s">
        <v>34179</v>
      </c>
      <c r="C8195" s="2" t="s">
        <v>34180</v>
      </c>
      <c r="D8195" s="2" t="str">
        <f>"3233655215"</f>
        <v>3233655215</v>
      </c>
      <c r="E8195" s="2" t="s">
        <v>25244</v>
      </c>
      <c r="F8195" s="2" t="s">
        <v>34181</v>
      </c>
      <c r="G8195" s="2" t="str">
        <f>"SR-10855"</f>
        <v>SR-10855</v>
      </c>
      <c r="H8195" s="2" t="s">
        <v>34182</v>
      </c>
      <c r="I8195" s="2" t="s">
        <v>34183</v>
      </c>
      <c r="K8195" s="2" t="s">
        <v>15522</v>
      </c>
      <c r="L8195" s="2" t="s">
        <v>222</v>
      </c>
      <c r="M8195" s="2">
        <v>91708.0</v>
      </c>
      <c r="N8195" s="2" t="s">
        <v>21</v>
      </c>
    </row>
    <row r="8196" ht="15.75" customHeight="1">
      <c r="A8196" s="2">
        <v>2017.0</v>
      </c>
      <c r="B8196" s="2" t="s">
        <v>34184</v>
      </c>
      <c r="C8196" s="2" t="s">
        <v>34184</v>
      </c>
      <c r="D8196" s="2" t="str">
        <f>"702-277-2325"</f>
        <v>702-277-2325</v>
      </c>
      <c r="E8196" s="2" t="s">
        <v>34185</v>
      </c>
      <c r="F8196" s="2" t="s">
        <v>1151</v>
      </c>
      <c r="G8196" s="2" t="str">
        <f>"SR-11070"</f>
        <v>SR-11070</v>
      </c>
      <c r="H8196" s="2" t="s">
        <v>34186</v>
      </c>
      <c r="I8196" s="2" t="s">
        <v>34187</v>
      </c>
      <c r="K8196" s="2" t="s">
        <v>3128</v>
      </c>
      <c r="L8196" s="2" t="s">
        <v>1419</v>
      </c>
      <c r="M8196" s="2">
        <v>89134.0</v>
      </c>
      <c r="N8196" s="2" t="s">
        <v>21</v>
      </c>
    </row>
    <row r="8197" ht="15.75" customHeight="1">
      <c r="A8197" s="2">
        <v>2017.0</v>
      </c>
      <c r="B8197" s="2" t="s">
        <v>34188</v>
      </c>
      <c r="C8197" s="2" t="s">
        <v>34188</v>
      </c>
      <c r="D8197" s="2" t="str">
        <f>"6265664740"</f>
        <v>6265664740</v>
      </c>
      <c r="E8197" s="2" t="s">
        <v>34189</v>
      </c>
      <c r="F8197" s="2" t="s">
        <v>34190</v>
      </c>
      <c r="G8197" s="2" t="str">
        <f>"SR-11029"</f>
        <v>SR-11029</v>
      </c>
      <c r="H8197" s="2" t="s">
        <v>34191</v>
      </c>
      <c r="I8197" s="2" t="s">
        <v>34192</v>
      </c>
      <c r="K8197" s="2" t="s">
        <v>8558</v>
      </c>
      <c r="L8197" s="2" t="s">
        <v>222</v>
      </c>
      <c r="M8197" s="2">
        <v>91007.0</v>
      </c>
      <c r="N8197" s="2" t="s">
        <v>21</v>
      </c>
    </row>
    <row r="8198" ht="15.75" customHeight="1">
      <c r="A8198" s="2">
        <v>2017.0</v>
      </c>
      <c r="B8198" s="2" t="s">
        <v>19337</v>
      </c>
      <c r="C8198" s="2" t="s">
        <v>34193</v>
      </c>
      <c r="D8198" s="2" t="str">
        <f>"907-750-9875"</f>
        <v>907-750-9875</v>
      </c>
      <c r="E8198" s="2" t="s">
        <v>5335</v>
      </c>
      <c r="F8198" s="2" t="s">
        <v>18291</v>
      </c>
      <c r="G8198" s="2" t="str">
        <f>"SR-10952"</f>
        <v>SR-10952</v>
      </c>
      <c r="H8198" s="2" t="s">
        <v>34194</v>
      </c>
      <c r="I8198" s="2" t="s">
        <v>19340</v>
      </c>
      <c r="K8198" s="2" t="s">
        <v>5329</v>
      </c>
      <c r="L8198" s="2" t="s">
        <v>70</v>
      </c>
      <c r="M8198" s="2">
        <v>99712.0</v>
      </c>
      <c r="N8198" s="2" t="s">
        <v>21</v>
      </c>
    </row>
    <row r="8199" ht="15.75" customHeight="1">
      <c r="A8199" s="2">
        <v>2017.0</v>
      </c>
      <c r="B8199" s="2" t="s">
        <v>34195</v>
      </c>
      <c r="C8199" s="2" t="s">
        <v>34195</v>
      </c>
      <c r="D8199" s="2" t="str">
        <f>"(908)-842-7742"</f>
        <v>(908)-842-7742</v>
      </c>
      <c r="E8199" s="2" t="s">
        <v>24317</v>
      </c>
      <c r="F8199" s="2" t="s">
        <v>34196</v>
      </c>
      <c r="G8199" s="2" t="str">
        <f>"SR-10966"</f>
        <v>SR-10966</v>
      </c>
      <c r="H8199" s="2" t="s">
        <v>34197</v>
      </c>
      <c r="I8199" s="2" t="s">
        <v>34198</v>
      </c>
      <c r="K8199" s="2" t="s">
        <v>1285</v>
      </c>
      <c r="L8199" s="2" t="s">
        <v>3618</v>
      </c>
      <c r="M8199" s="2">
        <v>8844.0</v>
      </c>
      <c r="N8199" s="2" t="s">
        <v>21</v>
      </c>
    </row>
    <row r="8200" ht="15.75" customHeight="1">
      <c r="A8200" s="2">
        <v>2017.0</v>
      </c>
      <c r="B8200" s="2" t="s">
        <v>34199</v>
      </c>
      <c r="C8200" s="2" t="s">
        <v>34200</v>
      </c>
      <c r="D8200" s="2" t="str">
        <f>"319-432-5331"</f>
        <v>319-432-5331</v>
      </c>
      <c r="E8200" s="2" t="s">
        <v>503</v>
      </c>
      <c r="F8200" s="2" t="s">
        <v>1636</v>
      </c>
      <c r="G8200" s="2" t="str">
        <f>"SR-10917"</f>
        <v>SR-10917</v>
      </c>
      <c r="H8200" s="2" t="s">
        <v>34201</v>
      </c>
      <c r="I8200" s="2" t="s">
        <v>3496</v>
      </c>
      <c r="K8200" s="2" t="s">
        <v>3273</v>
      </c>
      <c r="L8200" s="2" t="s">
        <v>560</v>
      </c>
      <c r="M8200" s="2">
        <v>52402.0</v>
      </c>
      <c r="N8200" s="2" t="s">
        <v>21</v>
      </c>
    </row>
    <row r="8201" ht="15.75" customHeight="1">
      <c r="A8201" s="2">
        <v>2017.0</v>
      </c>
      <c r="B8201" s="2" t="s">
        <v>34202</v>
      </c>
      <c r="C8201" s="2" t="s">
        <v>33576</v>
      </c>
      <c r="D8201" s="2" t="str">
        <f>"612 6190386"</f>
        <v>612 6190386</v>
      </c>
      <c r="E8201" s="2" t="s">
        <v>17850</v>
      </c>
      <c r="F8201" s="2" t="s">
        <v>33579</v>
      </c>
      <c r="G8201" s="2" t="str">
        <f>"SR-10934"</f>
        <v>SR-10934</v>
      </c>
      <c r="H8201" s="2" t="s">
        <v>34203</v>
      </c>
      <c r="I8201" s="2" t="s">
        <v>34204</v>
      </c>
      <c r="K8201" s="2" t="s">
        <v>34205</v>
      </c>
      <c r="L8201" s="2" t="s">
        <v>62</v>
      </c>
      <c r="M8201" s="2">
        <v>55313.0</v>
      </c>
      <c r="N8201" s="2" t="s">
        <v>21</v>
      </c>
    </row>
    <row r="8202" ht="15.75" customHeight="1">
      <c r="A8202" s="2">
        <v>2017.0</v>
      </c>
      <c r="B8202" s="2" t="s">
        <v>34206</v>
      </c>
      <c r="C8202" s="2" t="s">
        <v>34206</v>
      </c>
      <c r="D8202" s="2" t="str">
        <f>"(852) 91799540"</f>
        <v>(852) 91799540</v>
      </c>
      <c r="E8202" s="2" t="s">
        <v>385</v>
      </c>
      <c r="F8202" s="2" t="s">
        <v>29454</v>
      </c>
      <c r="G8202" s="2" t="str">
        <f>"SR-11045"</f>
        <v>SR-11045</v>
      </c>
      <c r="H8202" s="2" t="s">
        <v>34207</v>
      </c>
      <c r="I8202" s="2" t="s">
        <v>34208</v>
      </c>
      <c r="J8202" s="2" t="s">
        <v>34209</v>
      </c>
      <c r="K8202" s="2" t="s">
        <v>19761</v>
      </c>
      <c r="N8202" s="2" t="s">
        <v>19761</v>
      </c>
    </row>
    <row r="8203" ht="15.75" customHeight="1">
      <c r="A8203" s="2">
        <v>2017.0</v>
      </c>
      <c r="B8203" s="2" t="s">
        <v>34210</v>
      </c>
      <c r="C8203" s="2" t="s">
        <v>34210</v>
      </c>
      <c r="D8203" s="2" t="str">
        <f>"620-212-2636"</f>
        <v>620-212-2636</v>
      </c>
      <c r="E8203" s="2" t="s">
        <v>485</v>
      </c>
      <c r="F8203" s="2" t="s">
        <v>14476</v>
      </c>
      <c r="G8203" s="2" t="str">
        <f>"SR-10575"</f>
        <v>SR-10575</v>
      </c>
      <c r="H8203" s="2" t="s">
        <v>34211</v>
      </c>
      <c r="I8203" s="2" t="s">
        <v>14478</v>
      </c>
      <c r="K8203" s="2" t="s">
        <v>14479</v>
      </c>
      <c r="L8203" s="2" t="s">
        <v>272</v>
      </c>
      <c r="M8203" s="2">
        <v>66720.0</v>
      </c>
      <c r="N8203" s="2" t="s">
        <v>21</v>
      </c>
    </row>
    <row r="8204" ht="15.75" customHeight="1">
      <c r="A8204" s="2">
        <v>2017.0</v>
      </c>
      <c r="B8204" s="2" t="s">
        <v>34212</v>
      </c>
      <c r="C8204" s="2" t="s">
        <v>34213</v>
      </c>
      <c r="D8204" s="2" t="str">
        <f>"715-568-1495"</f>
        <v>715-568-1495</v>
      </c>
      <c r="E8204" s="2" t="s">
        <v>15</v>
      </c>
      <c r="F8204" s="2" t="s">
        <v>34214</v>
      </c>
      <c r="G8204" s="2" t="str">
        <f>"SR-11092"</f>
        <v>SR-11092</v>
      </c>
      <c r="H8204" s="2" t="s">
        <v>34215</v>
      </c>
      <c r="I8204" s="2" t="s">
        <v>34216</v>
      </c>
      <c r="K8204" s="2" t="s">
        <v>22211</v>
      </c>
      <c r="L8204" s="2" t="s">
        <v>193</v>
      </c>
      <c r="M8204" s="2">
        <v>54724.0</v>
      </c>
      <c r="N8204" s="2" t="s">
        <v>21</v>
      </c>
    </row>
    <row r="8205" ht="15.75" customHeight="1">
      <c r="A8205" s="2">
        <v>2017.0</v>
      </c>
      <c r="B8205" s="2" t="s">
        <v>34217</v>
      </c>
      <c r="C8205" s="2" t="s">
        <v>34218</v>
      </c>
      <c r="D8205" s="2" t="str">
        <f>"816-824-6232"</f>
        <v>816-824-6232</v>
      </c>
      <c r="E8205" s="2" t="s">
        <v>580</v>
      </c>
      <c r="F8205" s="2" t="s">
        <v>1435</v>
      </c>
      <c r="G8205" s="2" t="str">
        <f>"SR-11093"</f>
        <v>SR-11093</v>
      </c>
      <c r="H8205" s="2" t="s">
        <v>34219</v>
      </c>
      <c r="I8205" s="2" t="s">
        <v>34220</v>
      </c>
      <c r="K8205" s="2" t="s">
        <v>1814</v>
      </c>
      <c r="L8205" s="2" t="s">
        <v>214</v>
      </c>
      <c r="M8205" s="2">
        <v>64137.0</v>
      </c>
      <c r="N8205" s="2" t="s">
        <v>21</v>
      </c>
    </row>
    <row r="8206" ht="15.75" customHeight="1">
      <c r="A8206" s="2">
        <v>2017.0</v>
      </c>
      <c r="B8206" s="2" t="s">
        <v>17796</v>
      </c>
      <c r="C8206" s="2" t="s">
        <v>17806</v>
      </c>
      <c r="D8206" s="2" t="str">
        <f>"320-845-4979"</f>
        <v>320-845-4979</v>
      </c>
      <c r="E8206" s="2" t="s">
        <v>14532</v>
      </c>
      <c r="F8206" s="2" t="s">
        <v>2214</v>
      </c>
      <c r="G8206" s="2" t="str">
        <f>"SR-5485"</f>
        <v>SR-5485</v>
      </c>
      <c r="H8206" s="2" t="s">
        <v>17807</v>
      </c>
      <c r="I8206" s="2" t="s">
        <v>17808</v>
      </c>
      <c r="K8206" s="2" t="s">
        <v>7670</v>
      </c>
      <c r="L8206" s="2" t="s">
        <v>62</v>
      </c>
      <c r="M8206" s="2">
        <v>5307.0</v>
      </c>
      <c r="N8206" s="2" t="s">
        <v>21</v>
      </c>
    </row>
    <row r="8207" ht="15.75" customHeight="1">
      <c r="A8207" s="2">
        <v>2017.0</v>
      </c>
      <c r="B8207" s="2" t="s">
        <v>29297</v>
      </c>
      <c r="C8207" s="2" t="s">
        <v>34221</v>
      </c>
      <c r="D8207" s="2" t="str">
        <f>"8059808754"</f>
        <v>8059808754</v>
      </c>
      <c r="E8207" s="2" t="s">
        <v>353</v>
      </c>
      <c r="F8207" s="2" t="s">
        <v>11986</v>
      </c>
      <c r="G8207" s="2" t="str">
        <f>"SR-10844"</f>
        <v>SR-10844</v>
      </c>
      <c r="H8207" s="2" t="s">
        <v>34222</v>
      </c>
      <c r="I8207" s="2" t="s">
        <v>34223</v>
      </c>
      <c r="K8207" s="2" t="s">
        <v>29300</v>
      </c>
      <c r="L8207" s="2" t="s">
        <v>222</v>
      </c>
      <c r="M8207" s="2">
        <v>93021.0</v>
      </c>
      <c r="N8207" s="2" t="s">
        <v>21</v>
      </c>
    </row>
    <row r="8208" ht="15.75" customHeight="1">
      <c r="A8208" s="2">
        <v>2017.0</v>
      </c>
      <c r="B8208" s="2" t="s">
        <v>34224</v>
      </c>
      <c r="C8208" s="2" t="s">
        <v>34225</v>
      </c>
      <c r="D8208" s="2" t="str">
        <f>"4805982033"</f>
        <v>4805982033</v>
      </c>
      <c r="E8208" s="2" t="s">
        <v>34226</v>
      </c>
      <c r="F8208" s="2" t="s">
        <v>23292</v>
      </c>
      <c r="G8208" s="2" t="str">
        <f>"SR-10683"</f>
        <v>SR-10683</v>
      </c>
      <c r="H8208" s="2" t="s">
        <v>34227</v>
      </c>
      <c r="I8208" s="2" t="s">
        <v>34228</v>
      </c>
      <c r="K8208" s="2" t="s">
        <v>2841</v>
      </c>
      <c r="L8208" s="2" t="s">
        <v>422</v>
      </c>
      <c r="M8208" s="2">
        <v>85286.0</v>
      </c>
      <c r="N8208" s="2" t="s">
        <v>21</v>
      </c>
    </row>
    <row r="8209" ht="15.75" customHeight="1">
      <c r="A8209" s="2">
        <v>2017.0</v>
      </c>
      <c r="B8209" s="2" t="s">
        <v>34229</v>
      </c>
      <c r="D8209" s="2" t="str">
        <f>""</f>
        <v/>
      </c>
      <c r="E8209" s="2" t="s">
        <v>34230</v>
      </c>
      <c r="F8209" s="2" t="s">
        <v>89</v>
      </c>
      <c r="G8209" s="2" t="str">
        <f>"SR-11098"</f>
        <v>SR-11098</v>
      </c>
      <c r="H8209" s="2" t="s">
        <v>34231</v>
      </c>
      <c r="N8209" s="2" t="s">
        <v>21</v>
      </c>
    </row>
    <row r="8210" ht="15.75" customHeight="1">
      <c r="A8210" s="2">
        <v>2017.0</v>
      </c>
      <c r="B8210" s="2" t="s">
        <v>34232</v>
      </c>
      <c r="C8210" s="2" t="s">
        <v>34232</v>
      </c>
      <c r="D8210" s="2" t="str">
        <f>"316-882-3282"</f>
        <v>316-882-3282</v>
      </c>
      <c r="E8210" s="2" t="s">
        <v>23508</v>
      </c>
      <c r="F8210" s="2" t="s">
        <v>34233</v>
      </c>
      <c r="G8210" s="2" t="str">
        <f>"SR-11080"</f>
        <v>SR-11080</v>
      </c>
      <c r="H8210" s="2" t="s">
        <v>34234</v>
      </c>
      <c r="I8210" s="2" t="s">
        <v>34235</v>
      </c>
      <c r="K8210" s="2" t="s">
        <v>1026</v>
      </c>
      <c r="L8210" s="2" t="s">
        <v>272</v>
      </c>
      <c r="M8210" s="2">
        <v>67037.0</v>
      </c>
      <c r="N8210" s="2" t="s">
        <v>21</v>
      </c>
    </row>
    <row r="8211" ht="15.75" customHeight="1">
      <c r="A8211" s="2">
        <v>2017.0</v>
      </c>
      <c r="B8211" s="2" t="s">
        <v>34236</v>
      </c>
      <c r="C8211" s="2" t="s">
        <v>34237</v>
      </c>
      <c r="D8211" s="2" t="str">
        <f>"402-350-5338"</f>
        <v>402-350-5338</v>
      </c>
      <c r="E8211" s="2" t="s">
        <v>217</v>
      </c>
      <c r="F8211" s="2" t="s">
        <v>1209</v>
      </c>
      <c r="G8211" s="2" t="str">
        <f>"SR-10750"</f>
        <v>SR-10750</v>
      </c>
      <c r="H8211" s="2" t="s">
        <v>34238</v>
      </c>
      <c r="I8211" s="2" t="s">
        <v>34239</v>
      </c>
      <c r="K8211" s="2" t="s">
        <v>9635</v>
      </c>
      <c r="L8211" s="2" t="s">
        <v>757</v>
      </c>
      <c r="M8211" s="2">
        <v>68022.0</v>
      </c>
      <c r="N8211" s="2" t="s">
        <v>21</v>
      </c>
    </row>
    <row r="8212" ht="15.75" customHeight="1">
      <c r="A8212" s="2">
        <v>2017.0</v>
      </c>
      <c r="B8212" s="2" t="s">
        <v>11590</v>
      </c>
      <c r="C8212" s="2" t="s">
        <v>34240</v>
      </c>
      <c r="D8212" s="2" t="str">
        <f>"918-704-3690"</f>
        <v>918-704-3690</v>
      </c>
      <c r="E8212" s="2" t="s">
        <v>2018</v>
      </c>
      <c r="F8212" s="2" t="s">
        <v>11592</v>
      </c>
      <c r="G8212" s="2" t="str">
        <f>"SR-11094"</f>
        <v>SR-11094</v>
      </c>
      <c r="H8212" s="2" t="s">
        <v>34241</v>
      </c>
      <c r="I8212" s="2" t="s">
        <v>11594</v>
      </c>
      <c r="K8212" s="2" t="s">
        <v>11595</v>
      </c>
      <c r="L8212" s="2" t="s">
        <v>840</v>
      </c>
      <c r="M8212" s="2">
        <v>74055.0</v>
      </c>
      <c r="N8212" s="2" t="s">
        <v>21</v>
      </c>
    </row>
    <row r="8213" ht="15.75" customHeight="1">
      <c r="A8213" s="2">
        <v>2017.0</v>
      </c>
      <c r="B8213" s="2" t="s">
        <v>34242</v>
      </c>
      <c r="C8213" s="2" t="s">
        <v>34242</v>
      </c>
      <c r="D8213" s="2" t="str">
        <f>"319-721-0631"</f>
        <v>319-721-0631</v>
      </c>
      <c r="E8213" s="2" t="s">
        <v>4224</v>
      </c>
      <c r="F8213" s="2" t="s">
        <v>1756</v>
      </c>
      <c r="G8213" s="2" t="str">
        <f>"SR-11106"</f>
        <v>SR-11106</v>
      </c>
      <c r="H8213" s="2" t="s">
        <v>34243</v>
      </c>
      <c r="I8213" s="2" t="s">
        <v>34244</v>
      </c>
      <c r="K8213" s="2" t="s">
        <v>34245</v>
      </c>
      <c r="L8213" s="2" t="s">
        <v>560</v>
      </c>
      <c r="M8213" s="2">
        <v>52336.0</v>
      </c>
      <c r="N8213" s="2" t="s">
        <v>21</v>
      </c>
    </row>
    <row r="8214" ht="15.75" customHeight="1">
      <c r="A8214" s="2">
        <v>2017.0</v>
      </c>
      <c r="B8214" s="2" t="s">
        <v>34246</v>
      </c>
      <c r="C8214" s="2" t="s">
        <v>34246</v>
      </c>
      <c r="D8214" s="2" t="str">
        <f>"9059011977"</f>
        <v>9059011977</v>
      </c>
      <c r="E8214" s="2" t="s">
        <v>584</v>
      </c>
      <c r="F8214" s="2" t="s">
        <v>34247</v>
      </c>
      <c r="G8214" s="2" t="str">
        <f>"SR-10910"</f>
        <v>SR-10910</v>
      </c>
      <c r="H8214" s="2" t="s">
        <v>34248</v>
      </c>
      <c r="I8214" s="2" t="s">
        <v>34249</v>
      </c>
      <c r="K8214" s="2" t="s">
        <v>34250</v>
      </c>
      <c r="L8214" s="2" t="s">
        <v>2015</v>
      </c>
      <c r="M8214" s="2" t="s">
        <v>34251</v>
      </c>
      <c r="N8214" s="2" t="s">
        <v>1602</v>
      </c>
    </row>
    <row r="8215" ht="15.75" customHeight="1">
      <c r="A8215" s="2">
        <v>2017.0</v>
      </c>
      <c r="B8215" s="2" t="s">
        <v>34252</v>
      </c>
      <c r="C8215" s="2" t="s">
        <v>34252</v>
      </c>
      <c r="D8215" s="2" t="str">
        <f>"205-719-6796"</f>
        <v>205-719-6796</v>
      </c>
      <c r="E8215" s="2" t="s">
        <v>1434</v>
      </c>
      <c r="F8215" s="2" t="s">
        <v>1151</v>
      </c>
      <c r="G8215" s="2" t="str">
        <f>"SR-11083"</f>
        <v>SR-11083</v>
      </c>
      <c r="H8215" s="2" t="s">
        <v>34253</v>
      </c>
      <c r="I8215" s="2" t="s">
        <v>34254</v>
      </c>
      <c r="K8215" s="2" t="s">
        <v>7469</v>
      </c>
      <c r="L8215" s="2" t="s">
        <v>539</v>
      </c>
      <c r="M8215" s="2">
        <v>35125.0</v>
      </c>
      <c r="N8215" s="2" t="s">
        <v>21</v>
      </c>
    </row>
    <row r="8216" ht="15.75" customHeight="1">
      <c r="A8216" s="2">
        <v>2017.0</v>
      </c>
      <c r="B8216" s="2" t="s">
        <v>26148</v>
      </c>
      <c r="C8216" s="2" t="s">
        <v>26149</v>
      </c>
      <c r="D8216" s="2" t="str">
        <f>"303-703-4515"</f>
        <v>303-703-4515</v>
      </c>
      <c r="E8216" s="2" t="s">
        <v>26150</v>
      </c>
      <c r="F8216" s="2" t="s">
        <v>962</v>
      </c>
      <c r="G8216" s="2" t="str">
        <f>"SR-7844"</f>
        <v>SR-7844</v>
      </c>
      <c r="H8216" s="2" t="s">
        <v>26151</v>
      </c>
      <c r="I8216" s="2" t="s">
        <v>5547</v>
      </c>
      <c r="K8216" s="2" t="s">
        <v>992</v>
      </c>
      <c r="L8216" s="2" t="s">
        <v>157</v>
      </c>
      <c r="M8216" s="2">
        <v>80122.0</v>
      </c>
      <c r="N8216" s="2" t="s">
        <v>21</v>
      </c>
    </row>
    <row r="8217" ht="15.75" customHeight="1">
      <c r="A8217" s="2">
        <v>2017.0</v>
      </c>
      <c r="B8217" s="2" t="s">
        <v>34255</v>
      </c>
      <c r="C8217" s="2" t="s">
        <v>34256</v>
      </c>
      <c r="D8217" s="2" t="str">
        <f>"408-810-5267"</f>
        <v>408-810-5267</v>
      </c>
      <c r="E8217" s="2" t="s">
        <v>217</v>
      </c>
      <c r="F8217" s="2" t="s">
        <v>34257</v>
      </c>
      <c r="G8217" s="2" t="str">
        <f>"SR-10872"</f>
        <v>SR-10872</v>
      </c>
      <c r="H8217" s="2" t="s">
        <v>34258</v>
      </c>
      <c r="I8217" s="2" t="s">
        <v>34259</v>
      </c>
      <c r="K8217" s="2" t="s">
        <v>519</v>
      </c>
      <c r="L8217" s="2" t="s">
        <v>157</v>
      </c>
      <c r="M8217" s="2">
        <v>80465.0</v>
      </c>
      <c r="N8217" s="2" t="s">
        <v>21</v>
      </c>
    </row>
    <row r="8218" ht="15.75" customHeight="1">
      <c r="A8218" s="2">
        <v>2017.0</v>
      </c>
      <c r="B8218" s="2" t="s">
        <v>34260</v>
      </c>
      <c r="C8218" s="2" t="s">
        <v>25371</v>
      </c>
      <c r="D8218" s="2" t="str">
        <f>"813-215-8404"</f>
        <v>813-215-8404</v>
      </c>
      <c r="E8218" s="2" t="s">
        <v>2309</v>
      </c>
      <c r="F8218" s="2" t="s">
        <v>25372</v>
      </c>
      <c r="G8218" s="2" t="str">
        <f>"SR-7951"</f>
        <v>SR-7951</v>
      </c>
      <c r="H8218" s="2" t="s">
        <v>25373</v>
      </c>
      <c r="I8218" s="2" t="s">
        <v>34261</v>
      </c>
      <c r="K8218" s="2" t="s">
        <v>2147</v>
      </c>
      <c r="L8218" s="2" t="s">
        <v>208</v>
      </c>
      <c r="M8218" s="2">
        <v>33511.0</v>
      </c>
      <c r="N8218" s="2" t="s">
        <v>21</v>
      </c>
    </row>
    <row r="8219" ht="15.75" customHeight="1">
      <c r="A8219" s="2">
        <v>2017.0</v>
      </c>
      <c r="B8219" s="2" t="s">
        <v>34262</v>
      </c>
      <c r="C8219" s="2" t="s">
        <v>34263</v>
      </c>
      <c r="D8219" s="2" t="str">
        <f>"7193759525"</f>
        <v>7193759525</v>
      </c>
      <c r="E8219" s="2" t="s">
        <v>8649</v>
      </c>
      <c r="F8219" s="2" t="s">
        <v>984</v>
      </c>
      <c r="G8219" s="2" t="str">
        <f>"SR-11104"</f>
        <v>SR-11104</v>
      </c>
      <c r="H8219" s="2" t="s">
        <v>34264</v>
      </c>
      <c r="I8219" s="2" t="s">
        <v>34265</v>
      </c>
      <c r="K8219" s="2" t="s">
        <v>3385</v>
      </c>
      <c r="L8219" s="2" t="s">
        <v>55</v>
      </c>
      <c r="M8219" s="2">
        <v>29651.0</v>
      </c>
      <c r="N8219" s="2" t="s">
        <v>21</v>
      </c>
    </row>
    <row r="8220" ht="15.75" customHeight="1">
      <c r="A8220" s="2">
        <v>2017.0</v>
      </c>
      <c r="B8220" s="2" t="s">
        <v>34266</v>
      </c>
      <c r="C8220" s="2" t="s">
        <v>34266</v>
      </c>
      <c r="D8220" s="2" t="str">
        <f>"8642368090"</f>
        <v>8642368090</v>
      </c>
      <c r="E8220" s="2" t="s">
        <v>2378</v>
      </c>
      <c r="F8220" s="2" t="s">
        <v>34267</v>
      </c>
      <c r="G8220" s="2" t="str">
        <f>"SR-10714"</f>
        <v>SR-10714</v>
      </c>
      <c r="H8220" s="2" t="s">
        <v>34268</v>
      </c>
      <c r="I8220" s="2" t="s">
        <v>34269</v>
      </c>
      <c r="K8220" s="2" t="s">
        <v>1878</v>
      </c>
      <c r="L8220" s="2" t="s">
        <v>55</v>
      </c>
      <c r="M8220" s="2">
        <v>29681.0</v>
      </c>
      <c r="N8220" s="2" t="s">
        <v>21</v>
      </c>
    </row>
    <row r="8221" ht="15.75" customHeight="1">
      <c r="A8221" s="2">
        <v>2017.0</v>
      </c>
      <c r="B8221" s="2" t="s">
        <v>34270</v>
      </c>
      <c r="C8221" s="2" t="s">
        <v>34271</v>
      </c>
      <c r="D8221" s="2" t="str">
        <f>"(864)979-1082"</f>
        <v>(864)979-1082</v>
      </c>
      <c r="E8221" s="2" t="s">
        <v>2306</v>
      </c>
      <c r="F8221" s="2" t="s">
        <v>3385</v>
      </c>
      <c r="G8221" s="2" t="str">
        <f>"SR-10679"</f>
        <v>SR-10679</v>
      </c>
      <c r="H8221" s="2" t="s">
        <v>34272</v>
      </c>
      <c r="I8221" s="2" t="s">
        <v>18024</v>
      </c>
      <c r="K8221" s="2" t="s">
        <v>1878</v>
      </c>
      <c r="L8221" s="2" t="s">
        <v>55</v>
      </c>
      <c r="M8221" s="2">
        <v>29681.0</v>
      </c>
      <c r="N8221" s="2" t="s">
        <v>21</v>
      </c>
    </row>
    <row r="8222" ht="15.75" customHeight="1">
      <c r="A8222" s="2">
        <v>2017.0</v>
      </c>
      <c r="B8222" s="2" t="s">
        <v>34273</v>
      </c>
      <c r="C8222" s="2" t="s">
        <v>34274</v>
      </c>
      <c r="D8222" s="2" t="str">
        <f>"3045732717"</f>
        <v>3045732717</v>
      </c>
      <c r="E8222" s="2" t="s">
        <v>4097</v>
      </c>
      <c r="F8222" s="2" t="s">
        <v>10116</v>
      </c>
      <c r="G8222" s="2" t="str">
        <f>"SR-10565"</f>
        <v>SR-10565</v>
      </c>
      <c r="H8222" s="2" t="s">
        <v>34275</v>
      </c>
      <c r="I8222" s="2" t="s">
        <v>34276</v>
      </c>
      <c r="K8222" s="2" t="s">
        <v>34277</v>
      </c>
      <c r="L8222" s="2" t="s">
        <v>6449</v>
      </c>
      <c r="M8222" s="2">
        <v>25962.0</v>
      </c>
      <c r="N8222" s="2" t="s">
        <v>21</v>
      </c>
    </row>
    <row r="8223" ht="15.75" customHeight="1">
      <c r="A8223" s="2">
        <v>2017.0</v>
      </c>
      <c r="B8223" s="2" t="s">
        <v>12020</v>
      </c>
      <c r="C8223" s="2" t="s">
        <v>34278</v>
      </c>
      <c r="D8223" s="2" t="str">
        <f>"9138296659"</f>
        <v>9138296659</v>
      </c>
      <c r="E8223" s="2" t="s">
        <v>1263</v>
      </c>
      <c r="F8223" s="2" t="s">
        <v>12022</v>
      </c>
      <c r="G8223" s="2" t="str">
        <f>"SR-11110"</f>
        <v>SR-11110</v>
      </c>
      <c r="H8223" s="2" t="s">
        <v>34279</v>
      </c>
      <c r="I8223" s="2" t="s">
        <v>34280</v>
      </c>
      <c r="K8223" s="2" t="s">
        <v>1067</v>
      </c>
      <c r="L8223" s="2" t="s">
        <v>272</v>
      </c>
      <c r="M8223" s="2">
        <v>66062.0</v>
      </c>
      <c r="N8223" s="2" t="s">
        <v>21</v>
      </c>
    </row>
    <row r="8224" ht="15.75" customHeight="1">
      <c r="A8224" s="2">
        <v>2017.0</v>
      </c>
      <c r="B8224" s="2" t="s">
        <v>34281</v>
      </c>
      <c r="C8224" s="2" t="s">
        <v>34282</v>
      </c>
      <c r="D8224" s="2" t="str">
        <f>"3039062650"</f>
        <v>3039062650</v>
      </c>
      <c r="E8224" s="2" t="s">
        <v>34283</v>
      </c>
      <c r="F8224" s="2" t="s">
        <v>26160</v>
      </c>
      <c r="G8224" s="2" t="str">
        <f>"SR-11111"</f>
        <v>SR-11111</v>
      </c>
      <c r="H8224" s="2" t="s">
        <v>34284</v>
      </c>
      <c r="I8224" s="2" t="s">
        <v>34285</v>
      </c>
      <c r="K8224" s="2" t="s">
        <v>3114</v>
      </c>
      <c r="L8224" s="2" t="s">
        <v>222</v>
      </c>
      <c r="M8224" s="2">
        <v>95765.0</v>
      </c>
      <c r="N8224" s="2" t="s">
        <v>21</v>
      </c>
    </row>
    <row r="8225" ht="15.75" customHeight="1">
      <c r="A8225" s="2">
        <v>2017.0</v>
      </c>
      <c r="B8225" s="2" t="s">
        <v>34286</v>
      </c>
      <c r="C8225" s="2" t="s">
        <v>34287</v>
      </c>
      <c r="D8225" s="2" t="str">
        <f>"5172828236"</f>
        <v>5172828236</v>
      </c>
      <c r="E8225" s="2" t="s">
        <v>5760</v>
      </c>
      <c r="F8225" s="2" t="s">
        <v>182</v>
      </c>
      <c r="G8225" s="2" t="str">
        <f>"SR-11109"</f>
        <v>SR-11109</v>
      </c>
      <c r="H8225" s="2" t="s">
        <v>34288</v>
      </c>
      <c r="I8225" s="2" t="s">
        <v>34289</v>
      </c>
      <c r="K8225" s="2" t="s">
        <v>34290</v>
      </c>
      <c r="L8225" s="2" t="s">
        <v>29</v>
      </c>
      <c r="M8225" s="2">
        <v>48823.0</v>
      </c>
      <c r="N8225" s="2" t="s">
        <v>21</v>
      </c>
    </row>
    <row r="8226" ht="15.75" customHeight="1">
      <c r="A8226" s="2">
        <v>2017.0</v>
      </c>
      <c r="B8226" s="2" t="s">
        <v>34291</v>
      </c>
      <c r="C8226" s="2" t="s">
        <v>34292</v>
      </c>
      <c r="D8226" s="2" t="str">
        <f>"7206162516"</f>
        <v>7206162516</v>
      </c>
      <c r="E8226" s="2" t="s">
        <v>580</v>
      </c>
      <c r="F8226" s="2" t="s">
        <v>34293</v>
      </c>
      <c r="G8226" s="2" t="str">
        <f>"SR-10445"</f>
        <v>SR-10445</v>
      </c>
      <c r="H8226" s="2" t="s">
        <v>34294</v>
      </c>
      <c r="I8226" s="2" t="s">
        <v>34295</v>
      </c>
      <c r="K8226" s="2" t="s">
        <v>682</v>
      </c>
      <c r="L8226" s="2" t="s">
        <v>157</v>
      </c>
      <c r="M8226" s="2">
        <v>80129.0</v>
      </c>
      <c r="N8226" s="2" t="s">
        <v>21</v>
      </c>
    </row>
    <row r="8227" ht="15.75" customHeight="1">
      <c r="A8227" s="2">
        <v>2017.0</v>
      </c>
      <c r="B8227" s="2" t="s">
        <v>34296</v>
      </c>
      <c r="C8227" s="2" t="s">
        <v>34297</v>
      </c>
      <c r="D8227" s="2" t="str">
        <f>"805 434 7454"</f>
        <v>805 434 7454</v>
      </c>
      <c r="E8227" s="2" t="s">
        <v>167</v>
      </c>
      <c r="F8227" s="2" t="s">
        <v>34298</v>
      </c>
      <c r="G8227" s="2" t="str">
        <f>"SR-10722"</f>
        <v>SR-10722</v>
      </c>
      <c r="H8227" s="2" t="s">
        <v>34299</v>
      </c>
      <c r="I8227" s="2" t="s">
        <v>34300</v>
      </c>
      <c r="K8227" s="2" t="s">
        <v>34301</v>
      </c>
      <c r="L8227" s="2" t="s">
        <v>222</v>
      </c>
      <c r="M8227" s="2">
        <v>93465.0</v>
      </c>
      <c r="N8227" s="2" t="s">
        <v>21</v>
      </c>
    </row>
    <row r="8228" ht="15.75" customHeight="1">
      <c r="A8228" s="2">
        <v>2017.0</v>
      </c>
      <c r="B8228" s="2" t="s">
        <v>34302</v>
      </c>
      <c r="C8228" s="2" t="s">
        <v>34303</v>
      </c>
      <c r="D8228" s="2" t="str">
        <f>"2292331024"</f>
        <v>2292331024</v>
      </c>
      <c r="E8228" s="2" t="s">
        <v>3191</v>
      </c>
      <c r="F8228" s="2" t="s">
        <v>34304</v>
      </c>
      <c r="G8228" s="2" t="str">
        <f>"SR-10547"</f>
        <v>SR-10547</v>
      </c>
      <c r="H8228" s="2" t="s">
        <v>34305</v>
      </c>
      <c r="I8228" s="2" t="s">
        <v>34306</v>
      </c>
      <c r="K8228" s="2" t="s">
        <v>7938</v>
      </c>
      <c r="L8228" s="2" t="s">
        <v>200</v>
      </c>
      <c r="M8228" s="2">
        <v>30101.0</v>
      </c>
      <c r="N8228" s="2" t="s">
        <v>21</v>
      </c>
    </row>
    <row r="8229" ht="15.75" customHeight="1">
      <c r="A8229" s="2">
        <v>2017.0</v>
      </c>
      <c r="B8229" s="2" t="s">
        <v>34307</v>
      </c>
      <c r="C8229" s="2" t="s">
        <v>34308</v>
      </c>
      <c r="D8229" s="2" t="str">
        <f>"219-472-5147"</f>
        <v>219-472-5147</v>
      </c>
      <c r="E8229" s="2" t="s">
        <v>160</v>
      </c>
      <c r="F8229" s="2" t="s">
        <v>34309</v>
      </c>
      <c r="G8229" s="2" t="str">
        <f>"SR-11073"</f>
        <v>SR-11073</v>
      </c>
      <c r="H8229" s="2" t="s">
        <v>34310</v>
      </c>
      <c r="I8229" s="2" t="s">
        <v>34311</v>
      </c>
      <c r="K8229" s="2" t="s">
        <v>21692</v>
      </c>
      <c r="L8229" s="2" t="s">
        <v>149</v>
      </c>
      <c r="M8229" s="2">
        <v>46385.0</v>
      </c>
      <c r="N8229" s="2" t="s">
        <v>21</v>
      </c>
    </row>
    <row r="8230" ht="15.75" customHeight="1">
      <c r="A8230" s="2">
        <v>2017.0</v>
      </c>
      <c r="B8230" s="2" t="s">
        <v>34312</v>
      </c>
      <c r="C8230" s="2" t="s">
        <v>34312</v>
      </c>
      <c r="D8230" s="2" t="str">
        <f>"4325576499"</f>
        <v>4325576499</v>
      </c>
      <c r="E8230" s="2" t="s">
        <v>824</v>
      </c>
      <c r="F8230" s="2" t="s">
        <v>34313</v>
      </c>
      <c r="G8230" s="2" t="str">
        <f>"SR-10612"</f>
        <v>SR-10612</v>
      </c>
      <c r="H8230" s="2" t="s">
        <v>34314</v>
      </c>
      <c r="I8230" s="2" t="s">
        <v>34315</v>
      </c>
      <c r="K8230" s="2" t="s">
        <v>286</v>
      </c>
      <c r="L8230" s="2" t="s">
        <v>172</v>
      </c>
      <c r="M8230" s="2">
        <v>79705.0</v>
      </c>
      <c r="N8230" s="2" t="s">
        <v>21</v>
      </c>
    </row>
    <row r="8231" ht="15.75" customHeight="1">
      <c r="A8231" s="2">
        <v>2017.0</v>
      </c>
      <c r="B8231" s="2" t="s">
        <v>34302</v>
      </c>
      <c r="C8231" s="2" t="s">
        <v>34316</v>
      </c>
      <c r="D8231" s="2" t="str">
        <f>"2292331024"</f>
        <v>2292331024</v>
      </c>
      <c r="E8231" s="2" t="s">
        <v>485</v>
      </c>
      <c r="F8231" s="2" t="s">
        <v>34304</v>
      </c>
      <c r="G8231" s="2" t="str">
        <f>"SR-9856"</f>
        <v>SR-9856</v>
      </c>
      <c r="H8231" s="2" t="s">
        <v>34317</v>
      </c>
      <c r="I8231" s="2" t="s">
        <v>34306</v>
      </c>
      <c r="K8231" s="2" t="s">
        <v>7938</v>
      </c>
      <c r="L8231" s="2" t="s">
        <v>200</v>
      </c>
      <c r="M8231" s="2">
        <v>30101.0</v>
      </c>
      <c r="N8231" s="2" t="s">
        <v>21</v>
      </c>
    </row>
    <row r="8232" ht="15.75" customHeight="1">
      <c r="A8232" s="2">
        <v>2017.0</v>
      </c>
      <c r="B8232" s="2" t="s">
        <v>34318</v>
      </c>
      <c r="C8232" s="2" t="s">
        <v>34319</v>
      </c>
      <c r="D8232" s="2" t="str">
        <f>"3362501156"</f>
        <v>3362501156</v>
      </c>
      <c r="E8232" s="2" t="s">
        <v>2572</v>
      </c>
      <c r="F8232" s="2" t="s">
        <v>34320</v>
      </c>
      <c r="G8232" s="2" t="str">
        <f>"SR-10866"</f>
        <v>SR-10866</v>
      </c>
      <c r="H8232" s="2" t="s">
        <v>34321</v>
      </c>
      <c r="I8232" s="2" t="s">
        <v>34322</v>
      </c>
      <c r="K8232" s="2" t="s">
        <v>254</v>
      </c>
      <c r="L8232" s="2" t="s">
        <v>20</v>
      </c>
      <c r="M8232" s="2">
        <v>27292.0</v>
      </c>
      <c r="N8232" s="2" t="s">
        <v>21</v>
      </c>
    </row>
    <row r="8233" ht="15.75" customHeight="1">
      <c r="A8233" s="2">
        <v>2017.0</v>
      </c>
      <c r="B8233" s="2" t="s">
        <v>34323</v>
      </c>
      <c r="C8233" s="2" t="s">
        <v>34324</v>
      </c>
      <c r="D8233" s="2" t="str">
        <f>"4234634908"</f>
        <v>4234634908</v>
      </c>
      <c r="E8233" s="2" t="s">
        <v>2126</v>
      </c>
      <c r="F8233" s="2" t="s">
        <v>34325</v>
      </c>
      <c r="G8233" s="2" t="str">
        <f>"SR-11100"</f>
        <v>SR-11100</v>
      </c>
      <c r="H8233" s="2" t="s">
        <v>34326</v>
      </c>
      <c r="I8233" s="2">
        <v>302.0</v>
      </c>
      <c r="K8233" s="2" t="s">
        <v>34327</v>
      </c>
      <c r="L8233" s="2" t="s">
        <v>279</v>
      </c>
      <c r="M8233" s="2">
        <v>37321.0</v>
      </c>
      <c r="N8233" s="2" t="s">
        <v>21</v>
      </c>
    </row>
    <row r="8234" ht="15.75" customHeight="1">
      <c r="A8234" s="2">
        <v>2017.0</v>
      </c>
      <c r="B8234" s="2" t="s">
        <v>34328</v>
      </c>
      <c r="C8234" s="2" t="s">
        <v>34329</v>
      </c>
      <c r="D8234" s="2" t="str">
        <f>"8285247176"</f>
        <v>8285247176</v>
      </c>
      <c r="E8234" s="2" t="s">
        <v>580</v>
      </c>
      <c r="F8234" s="2" t="s">
        <v>34330</v>
      </c>
      <c r="G8234" s="2" t="str">
        <f>"SR-11117"</f>
        <v>SR-11117</v>
      </c>
      <c r="H8234" s="2" t="s">
        <v>34331</v>
      </c>
      <c r="I8234" s="2" t="s">
        <v>34332</v>
      </c>
      <c r="K8234" s="2" t="s">
        <v>278</v>
      </c>
      <c r="L8234" s="2" t="s">
        <v>20</v>
      </c>
      <c r="M8234" s="2">
        <v>28734.0</v>
      </c>
      <c r="N8234" s="2" t="s">
        <v>21</v>
      </c>
    </row>
    <row r="8235" ht="15.75" customHeight="1">
      <c r="A8235" s="2">
        <v>2017.0</v>
      </c>
      <c r="B8235" s="2" t="s">
        <v>34333</v>
      </c>
      <c r="C8235" s="2" t="s">
        <v>34333</v>
      </c>
      <c r="D8235" s="2" t="str">
        <f>"7637328512"</f>
        <v>7637328512</v>
      </c>
      <c r="E8235" s="2" t="s">
        <v>4750</v>
      </c>
      <c r="F8235" s="2" t="s">
        <v>34334</v>
      </c>
      <c r="G8235" s="2" t="str">
        <f>"SR-11119"</f>
        <v>SR-11119</v>
      </c>
      <c r="H8235" s="2" t="s">
        <v>34335</v>
      </c>
      <c r="I8235" s="2" t="s">
        <v>34336</v>
      </c>
      <c r="K8235" s="2" t="s">
        <v>18307</v>
      </c>
      <c r="L8235" s="2" t="s">
        <v>62</v>
      </c>
      <c r="M8235" s="2">
        <v>55357.0</v>
      </c>
      <c r="N8235" s="2" t="s">
        <v>21</v>
      </c>
    </row>
    <row r="8236" ht="15.75" customHeight="1">
      <c r="A8236" s="2">
        <v>2017.0</v>
      </c>
      <c r="B8236" s="2" t="s">
        <v>34337</v>
      </c>
      <c r="C8236" s="2" t="s">
        <v>34338</v>
      </c>
      <c r="D8236" s="2" t="str">
        <f>"7162884752"</f>
        <v>7162884752</v>
      </c>
      <c r="E8236" s="2" t="s">
        <v>3750</v>
      </c>
      <c r="F8236" s="2" t="s">
        <v>13216</v>
      </c>
      <c r="G8236" s="2" t="str">
        <f>"SR-10568"</f>
        <v>SR-10568</v>
      </c>
      <c r="H8236" s="2" t="s">
        <v>34339</v>
      </c>
      <c r="I8236" s="2" t="s">
        <v>34340</v>
      </c>
      <c r="K8236" s="2" t="s">
        <v>2449</v>
      </c>
      <c r="L8236" s="2" t="s">
        <v>142</v>
      </c>
      <c r="M8236" s="2">
        <v>14086.0</v>
      </c>
      <c r="N8236" s="2" t="s">
        <v>21</v>
      </c>
    </row>
    <row r="8237" ht="15.75" customHeight="1">
      <c r="A8237" s="2">
        <v>2017.0</v>
      </c>
      <c r="B8237" s="2" t="s">
        <v>25305</v>
      </c>
      <c r="C8237" s="2" t="s">
        <v>25305</v>
      </c>
      <c r="D8237" s="2" t="str">
        <f>"6185410661"</f>
        <v>6185410661</v>
      </c>
      <c r="E8237" s="2" t="s">
        <v>2378</v>
      </c>
      <c r="F8237" s="2" t="s">
        <v>24782</v>
      </c>
      <c r="G8237" s="2" t="str">
        <f>"SR-7964"</f>
        <v>SR-7964</v>
      </c>
      <c r="H8237" s="2" t="s">
        <v>25306</v>
      </c>
      <c r="I8237" s="2" t="s">
        <v>25307</v>
      </c>
      <c r="K8237" s="2" t="s">
        <v>25308</v>
      </c>
      <c r="L8237" s="2" t="s">
        <v>105</v>
      </c>
      <c r="M8237" s="2">
        <v>62002.0</v>
      </c>
      <c r="N8237" s="2" t="s">
        <v>21</v>
      </c>
    </row>
    <row r="8238" ht="15.75" customHeight="1">
      <c r="A8238" s="2">
        <v>2017.0</v>
      </c>
      <c r="B8238" s="2" t="s">
        <v>34341</v>
      </c>
      <c r="C8238" s="2" t="s">
        <v>25485</v>
      </c>
      <c r="D8238" s="2" t="str">
        <f>"4103266829"</f>
        <v>4103266829</v>
      </c>
      <c r="E8238" s="2" t="s">
        <v>1928</v>
      </c>
      <c r="F8238" s="2" t="s">
        <v>16610</v>
      </c>
      <c r="G8238" s="2" t="str">
        <f>"SR-11118"</f>
        <v>SR-11118</v>
      </c>
      <c r="H8238" s="2" t="s">
        <v>34342</v>
      </c>
      <c r="I8238" s="2" t="s">
        <v>34343</v>
      </c>
      <c r="J8238" s="2" t="s">
        <v>34344</v>
      </c>
      <c r="K8238" s="2" t="s">
        <v>34345</v>
      </c>
      <c r="L8238" s="2" t="s">
        <v>1868</v>
      </c>
      <c r="M8238" s="2">
        <v>20657.0</v>
      </c>
      <c r="N8238" s="2" t="s">
        <v>21</v>
      </c>
    </row>
    <row r="8239" ht="15.75" customHeight="1">
      <c r="A8239" s="2">
        <v>2017.0</v>
      </c>
      <c r="B8239" s="2" t="s">
        <v>34346</v>
      </c>
      <c r="C8239" s="2" t="s">
        <v>34347</v>
      </c>
      <c r="D8239" s="2" t="str">
        <f>"317-429-7289"</f>
        <v>317-429-7289</v>
      </c>
      <c r="E8239" s="2" t="s">
        <v>34348</v>
      </c>
      <c r="F8239" s="2" t="s">
        <v>2429</v>
      </c>
      <c r="G8239" s="2" t="str">
        <f>"SR-10600"</f>
        <v>SR-10600</v>
      </c>
      <c r="H8239" s="2" t="s">
        <v>34349</v>
      </c>
      <c r="I8239" s="2" t="s">
        <v>34350</v>
      </c>
      <c r="K8239" s="2" t="s">
        <v>1188</v>
      </c>
      <c r="L8239" s="2" t="s">
        <v>149</v>
      </c>
      <c r="M8239" s="2">
        <v>46228.0</v>
      </c>
      <c r="N8239" s="2" t="s">
        <v>21</v>
      </c>
    </row>
    <row r="8240" ht="15.75" customHeight="1">
      <c r="A8240" s="2">
        <v>2017.0</v>
      </c>
      <c r="B8240" s="2" t="s">
        <v>34351</v>
      </c>
      <c r="C8240" s="2" t="s">
        <v>34352</v>
      </c>
      <c r="D8240" s="2" t="str">
        <f>"6056700419"</f>
        <v>6056700419</v>
      </c>
      <c r="E8240" s="2" t="s">
        <v>34353</v>
      </c>
      <c r="F8240" s="2" t="s">
        <v>34354</v>
      </c>
      <c r="G8240" s="2" t="str">
        <f>"SR-11121"</f>
        <v>SR-11121</v>
      </c>
      <c r="H8240" s="2" t="s">
        <v>34355</v>
      </c>
      <c r="I8240" s="2" t="s">
        <v>34356</v>
      </c>
      <c r="K8240" s="2" t="s">
        <v>34357</v>
      </c>
      <c r="L8240" s="2" t="s">
        <v>920</v>
      </c>
      <c r="M8240" s="2">
        <v>57004.0</v>
      </c>
      <c r="N8240" s="2" t="s">
        <v>21</v>
      </c>
    </row>
    <row r="8241" ht="15.75" customHeight="1">
      <c r="A8241" s="2">
        <v>2017.0</v>
      </c>
      <c r="B8241" s="2" t="s">
        <v>34358</v>
      </c>
      <c r="C8241" s="2" t="s">
        <v>34358</v>
      </c>
      <c r="D8241" s="2" t="str">
        <f>"8062527509"</f>
        <v>8062527509</v>
      </c>
      <c r="E8241" s="2" t="s">
        <v>585</v>
      </c>
      <c r="F8241" s="2" t="s">
        <v>34359</v>
      </c>
      <c r="G8241" s="2" t="str">
        <f>"SR-11074"</f>
        <v>SR-11074</v>
      </c>
      <c r="H8241" s="2" t="s">
        <v>34360</v>
      </c>
      <c r="I8241" s="2" t="s">
        <v>34361</v>
      </c>
      <c r="K8241" s="2" t="s">
        <v>1121</v>
      </c>
      <c r="L8241" s="2" t="s">
        <v>172</v>
      </c>
      <c r="M8241" s="2">
        <v>79413.0</v>
      </c>
      <c r="N8241" s="2" t="s">
        <v>21</v>
      </c>
    </row>
    <row r="8242" ht="15.75" customHeight="1">
      <c r="A8242" s="2">
        <v>2017.0</v>
      </c>
      <c r="B8242" s="2" t="s">
        <v>34362</v>
      </c>
      <c r="C8242" s="2" t="s">
        <v>25485</v>
      </c>
      <c r="D8242" s="2" t="str">
        <f>"4103266829"</f>
        <v>4103266829</v>
      </c>
      <c r="E8242" s="2" t="s">
        <v>485</v>
      </c>
      <c r="F8242" s="2" t="s">
        <v>16610</v>
      </c>
      <c r="G8242" s="2" t="str">
        <f>"SR-11126"</f>
        <v>SR-11126</v>
      </c>
      <c r="H8242" s="2" t="s">
        <v>34363</v>
      </c>
      <c r="I8242" s="2" t="s">
        <v>34343</v>
      </c>
      <c r="J8242" s="2" t="s">
        <v>34344</v>
      </c>
      <c r="K8242" s="2" t="s">
        <v>34345</v>
      </c>
      <c r="L8242" s="2" t="s">
        <v>1868</v>
      </c>
      <c r="M8242" s="2">
        <v>20657.0</v>
      </c>
      <c r="N8242" s="2" t="s">
        <v>21</v>
      </c>
    </row>
    <row r="8243" ht="15.75" customHeight="1">
      <c r="A8243" s="2">
        <v>2017.0</v>
      </c>
      <c r="B8243" s="2" t="s">
        <v>34364</v>
      </c>
      <c r="C8243" s="2" t="s">
        <v>34364</v>
      </c>
      <c r="D8243" s="2" t="str">
        <f>"3179542330"</f>
        <v>3179542330</v>
      </c>
      <c r="E8243" s="2" t="s">
        <v>34365</v>
      </c>
      <c r="F8243" s="2" t="s">
        <v>34366</v>
      </c>
      <c r="G8243" s="2" t="str">
        <f>"SR-11125"</f>
        <v>SR-11125</v>
      </c>
      <c r="H8243" s="2" t="s">
        <v>34367</v>
      </c>
      <c r="I8243" s="2" t="s">
        <v>34368</v>
      </c>
      <c r="K8243" s="2" t="s">
        <v>1188</v>
      </c>
      <c r="L8243" s="2" t="s">
        <v>149</v>
      </c>
      <c r="M8243" s="2">
        <v>46221.0</v>
      </c>
      <c r="N8243" s="2" t="s">
        <v>21</v>
      </c>
    </row>
    <row r="8244" ht="15.75" customHeight="1">
      <c r="A8244" s="2">
        <v>2017.0</v>
      </c>
      <c r="B8244" s="2" t="s">
        <v>34369</v>
      </c>
      <c r="C8244" s="2" t="s">
        <v>34369</v>
      </c>
      <c r="D8244" s="2" t="str">
        <f>"260-715-5669"</f>
        <v>260-715-5669</v>
      </c>
      <c r="E8244" s="2" t="s">
        <v>386</v>
      </c>
      <c r="F8244" s="2" t="s">
        <v>34370</v>
      </c>
      <c r="G8244" s="2" t="str">
        <f>"SR-11124"</f>
        <v>SR-11124</v>
      </c>
      <c r="H8244" s="2" t="s">
        <v>34371</v>
      </c>
      <c r="I8244" s="2" t="s">
        <v>34372</v>
      </c>
      <c r="K8244" s="2" t="s">
        <v>34373</v>
      </c>
      <c r="L8244" s="2" t="s">
        <v>149</v>
      </c>
      <c r="M8244" s="2">
        <v>46797.0</v>
      </c>
      <c r="N8244" s="2" t="s">
        <v>21</v>
      </c>
    </row>
    <row r="8245" ht="15.75" customHeight="1">
      <c r="A8245" s="2">
        <v>2017.0</v>
      </c>
      <c r="B8245" s="2" t="s">
        <v>16496</v>
      </c>
      <c r="C8245" s="2" t="s">
        <v>16496</v>
      </c>
      <c r="D8245" s="2" t="str">
        <f>"8644008262"</f>
        <v>8644008262</v>
      </c>
      <c r="E8245" s="2" t="s">
        <v>2954</v>
      </c>
      <c r="F8245" s="2" t="s">
        <v>16497</v>
      </c>
      <c r="G8245" s="2" t="str">
        <f>"SR-4989"</f>
        <v>SR-4989</v>
      </c>
      <c r="H8245" s="2" t="s">
        <v>16498</v>
      </c>
      <c r="I8245" s="2" t="s">
        <v>16499</v>
      </c>
      <c r="K8245" s="2" t="s">
        <v>16500</v>
      </c>
      <c r="M8245" s="2" t="s">
        <v>16501</v>
      </c>
      <c r="N8245" s="2" t="s">
        <v>16502</v>
      </c>
    </row>
    <row r="8246" ht="15.75" customHeight="1">
      <c r="A8246" s="2">
        <v>2017.0</v>
      </c>
      <c r="B8246" s="2" t="s">
        <v>34374</v>
      </c>
      <c r="C8246" s="2" t="s">
        <v>34375</v>
      </c>
      <c r="D8246" s="2" t="str">
        <f>"302.727.2125"</f>
        <v>302.727.2125</v>
      </c>
      <c r="E8246" s="2" t="s">
        <v>57</v>
      </c>
      <c r="F8246" s="2" t="s">
        <v>34376</v>
      </c>
      <c r="G8246" s="2" t="str">
        <f>"SR-11129"</f>
        <v>SR-11129</v>
      </c>
      <c r="H8246" s="2" t="s">
        <v>34377</v>
      </c>
      <c r="I8246" s="2" t="s">
        <v>34378</v>
      </c>
      <c r="K8246" s="2" t="s">
        <v>34379</v>
      </c>
      <c r="L8246" s="2" t="s">
        <v>4885</v>
      </c>
      <c r="M8246" s="2">
        <v>19973.0</v>
      </c>
      <c r="N8246" s="2" t="s">
        <v>21</v>
      </c>
    </row>
    <row r="8247" ht="15.75" customHeight="1">
      <c r="A8247" s="2">
        <v>2017.0</v>
      </c>
      <c r="B8247" s="2" t="s">
        <v>34380</v>
      </c>
      <c r="C8247" s="2" t="s">
        <v>34380</v>
      </c>
      <c r="D8247" s="2" t="str">
        <f>"770-634-0804"</f>
        <v>770-634-0804</v>
      </c>
      <c r="E8247" s="2" t="s">
        <v>1682</v>
      </c>
      <c r="F8247" s="2" t="s">
        <v>34381</v>
      </c>
      <c r="G8247" s="2" t="str">
        <f>"SR-11127"</f>
        <v>SR-11127</v>
      </c>
      <c r="H8247" s="2" t="s">
        <v>34382</v>
      </c>
      <c r="I8247" s="2" t="s">
        <v>34383</v>
      </c>
      <c r="K8247" s="2" t="s">
        <v>4988</v>
      </c>
      <c r="L8247" s="2" t="s">
        <v>200</v>
      </c>
      <c r="M8247" s="2">
        <v>30152.0</v>
      </c>
      <c r="N8247" s="2" t="s">
        <v>21</v>
      </c>
    </row>
    <row r="8248" ht="15.75" customHeight="1">
      <c r="A8248" s="2">
        <v>2017.0</v>
      </c>
      <c r="B8248" s="2" t="s">
        <v>34384</v>
      </c>
      <c r="C8248" s="2" t="s">
        <v>34385</v>
      </c>
      <c r="D8248" s="2" t="str">
        <f>"9404653023"</f>
        <v>9404653023</v>
      </c>
      <c r="E8248" s="2" t="s">
        <v>1810</v>
      </c>
      <c r="F8248" s="2" t="s">
        <v>34386</v>
      </c>
      <c r="G8248" s="2" t="str">
        <f>"SR-10962"</f>
        <v>SR-10962</v>
      </c>
      <c r="H8248" s="2" t="s">
        <v>34387</v>
      </c>
      <c r="I8248" s="2" t="s">
        <v>34388</v>
      </c>
      <c r="K8248" s="2" t="s">
        <v>34389</v>
      </c>
      <c r="L8248" s="2" t="s">
        <v>172</v>
      </c>
      <c r="M8248" s="2">
        <v>76249.0</v>
      </c>
      <c r="N8248" s="2" t="s">
        <v>21</v>
      </c>
    </row>
    <row r="8249" ht="15.75" customHeight="1">
      <c r="A8249" s="2">
        <v>2017.0</v>
      </c>
      <c r="B8249" s="2" t="s">
        <v>11979</v>
      </c>
      <c r="C8249" s="2" t="s">
        <v>34390</v>
      </c>
      <c r="D8249" s="2" t="str">
        <f>"919.886.1361"</f>
        <v>919.886.1361</v>
      </c>
      <c r="E8249" s="2" t="s">
        <v>6170</v>
      </c>
      <c r="F8249" s="2" t="s">
        <v>11982</v>
      </c>
      <c r="G8249" s="2" t="str">
        <f>"SR-11051"</f>
        <v>SR-11051</v>
      </c>
      <c r="H8249" s="2" t="s">
        <v>34391</v>
      </c>
      <c r="I8249" s="2">
        <v>1005.0</v>
      </c>
      <c r="J8249" s="2" t="s">
        <v>34392</v>
      </c>
      <c r="K8249" s="2" t="s">
        <v>1111</v>
      </c>
      <c r="L8249" s="2" t="s">
        <v>20</v>
      </c>
      <c r="M8249" s="2">
        <v>27713.0</v>
      </c>
      <c r="N8249" s="2" t="s">
        <v>21</v>
      </c>
    </row>
    <row r="8250" ht="15.75" customHeight="1">
      <c r="A8250" s="2">
        <v>2017.0</v>
      </c>
      <c r="B8250" s="2" t="s">
        <v>34393</v>
      </c>
      <c r="C8250" s="2" t="s">
        <v>34394</v>
      </c>
      <c r="D8250" s="2" t="str">
        <f>"9036403469"</f>
        <v>9036403469</v>
      </c>
      <c r="E8250" s="2" t="s">
        <v>2578</v>
      </c>
      <c r="F8250" s="2" t="s">
        <v>34395</v>
      </c>
      <c r="G8250" s="2" t="str">
        <f>"SR-11131"</f>
        <v>SR-11131</v>
      </c>
      <c r="H8250" s="2" t="s">
        <v>34396</v>
      </c>
      <c r="I8250" s="2" t="s">
        <v>34397</v>
      </c>
      <c r="K8250" s="2" t="s">
        <v>34398</v>
      </c>
      <c r="L8250" s="2" t="s">
        <v>172</v>
      </c>
      <c r="M8250" s="2">
        <v>75065.0</v>
      </c>
      <c r="N8250" s="2" t="s">
        <v>21</v>
      </c>
    </row>
    <row r="8251" ht="15.75" customHeight="1">
      <c r="A8251" s="2">
        <v>2017.0</v>
      </c>
      <c r="B8251" s="2" t="s">
        <v>5163</v>
      </c>
      <c r="C8251" s="2" t="s">
        <v>34399</v>
      </c>
      <c r="D8251" s="2" t="str">
        <f>"(805) 405-0353"</f>
        <v>(805) 405-0353</v>
      </c>
      <c r="E8251" s="2" t="s">
        <v>7996</v>
      </c>
      <c r="F8251" s="2" t="s">
        <v>5165</v>
      </c>
      <c r="G8251" s="2" t="str">
        <f>"SR-10913"</f>
        <v>SR-10913</v>
      </c>
      <c r="H8251" s="2" t="s">
        <v>34400</v>
      </c>
      <c r="I8251" s="2" t="s">
        <v>5167</v>
      </c>
      <c r="K8251" s="2" t="s">
        <v>5168</v>
      </c>
      <c r="L8251" s="2" t="s">
        <v>222</v>
      </c>
      <c r="M8251" s="2">
        <v>91362.0</v>
      </c>
      <c r="N8251" s="2" t="s">
        <v>21</v>
      </c>
    </row>
    <row r="8252" ht="15.75" customHeight="1">
      <c r="A8252" s="2">
        <v>2017.0</v>
      </c>
      <c r="B8252" s="2" t="s">
        <v>34401</v>
      </c>
      <c r="C8252" s="2" t="s">
        <v>34402</v>
      </c>
      <c r="D8252" s="2" t="str">
        <f>"817-448-7767"</f>
        <v>817-448-7767</v>
      </c>
      <c r="E8252" s="2" t="s">
        <v>2438</v>
      </c>
      <c r="F8252" s="2" t="s">
        <v>18477</v>
      </c>
      <c r="G8252" s="2" t="str">
        <f>"SR-11133"</f>
        <v>SR-11133</v>
      </c>
      <c r="H8252" s="2" t="s">
        <v>34403</v>
      </c>
      <c r="I8252" s="2" t="s">
        <v>34404</v>
      </c>
      <c r="K8252" s="2" t="s">
        <v>34405</v>
      </c>
      <c r="L8252" s="2" t="s">
        <v>172</v>
      </c>
      <c r="M8252" s="2">
        <v>76020.0</v>
      </c>
      <c r="N8252" s="2" t="s">
        <v>21</v>
      </c>
    </row>
    <row r="8253" ht="15.75" customHeight="1">
      <c r="A8253" s="2">
        <v>2017.0</v>
      </c>
      <c r="B8253" s="2" t="s">
        <v>24698</v>
      </c>
      <c r="C8253" s="2" t="s">
        <v>24699</v>
      </c>
      <c r="D8253" s="2" t="str">
        <f>"714-474-8142"</f>
        <v>714-474-8142</v>
      </c>
      <c r="E8253" s="2" t="s">
        <v>385</v>
      </c>
      <c r="F8253" s="2" t="s">
        <v>6824</v>
      </c>
      <c r="G8253" s="2" t="str">
        <f>"SR-7784"</f>
        <v>SR-7784</v>
      </c>
      <c r="H8253" s="2" t="s">
        <v>24700</v>
      </c>
      <c r="I8253" s="2" t="s">
        <v>24701</v>
      </c>
      <c r="K8253" s="2" t="s">
        <v>24702</v>
      </c>
      <c r="L8253" s="2" t="s">
        <v>222</v>
      </c>
      <c r="M8253" s="2">
        <v>92870.0</v>
      </c>
      <c r="N8253" s="2" t="s">
        <v>21</v>
      </c>
    </row>
    <row r="8254" ht="15.75" customHeight="1">
      <c r="A8254" s="2">
        <v>2017.0</v>
      </c>
      <c r="B8254" s="2" t="s">
        <v>2427</v>
      </c>
      <c r="C8254" s="2" t="s">
        <v>34406</v>
      </c>
      <c r="D8254" s="2" t="str">
        <f>"6622552271"</f>
        <v>6622552271</v>
      </c>
      <c r="E8254" s="2" t="s">
        <v>580</v>
      </c>
      <c r="F8254" s="2" t="s">
        <v>2429</v>
      </c>
      <c r="G8254" s="2" t="str">
        <f>"SR-11041"</f>
        <v>SR-11041</v>
      </c>
      <c r="H8254" s="2" t="s">
        <v>34407</v>
      </c>
      <c r="I8254" s="2" t="s">
        <v>34408</v>
      </c>
      <c r="K8254" s="2" t="s">
        <v>2432</v>
      </c>
      <c r="L8254" s="2" t="s">
        <v>1722</v>
      </c>
      <c r="M8254" s="2">
        <v>38801.0</v>
      </c>
      <c r="N8254" s="2" t="s">
        <v>21</v>
      </c>
    </row>
    <row r="8255" ht="15.75" customHeight="1">
      <c r="A8255" s="2">
        <v>2017.0</v>
      </c>
      <c r="B8255" s="2" t="s">
        <v>34409</v>
      </c>
      <c r="C8255" s="2" t="s">
        <v>34409</v>
      </c>
      <c r="D8255" s="2" t="str">
        <f>"647-702-3930"</f>
        <v>647-702-3930</v>
      </c>
      <c r="E8255" s="2" t="s">
        <v>1440</v>
      </c>
      <c r="F8255" s="2" t="s">
        <v>34410</v>
      </c>
      <c r="G8255" s="2" t="str">
        <f>"SR-10973"</f>
        <v>SR-10973</v>
      </c>
      <c r="H8255" s="2" t="s">
        <v>34411</v>
      </c>
      <c r="I8255" s="2" t="s">
        <v>34412</v>
      </c>
      <c r="K8255" s="2" t="s">
        <v>34250</v>
      </c>
      <c r="L8255" s="2" t="s">
        <v>2015</v>
      </c>
      <c r="M8255" s="2" t="s">
        <v>34413</v>
      </c>
      <c r="N8255" s="2" t="s">
        <v>1602</v>
      </c>
    </row>
    <row r="8256" ht="15.75" customHeight="1">
      <c r="A8256" s="2">
        <v>2017.0</v>
      </c>
      <c r="B8256" s="2" t="s">
        <v>34414</v>
      </c>
      <c r="C8256" s="2" t="s">
        <v>34414</v>
      </c>
      <c r="D8256" s="2" t="str">
        <f>"817-275-6310"</f>
        <v>817-275-6310</v>
      </c>
      <c r="E8256" s="2" t="s">
        <v>1076</v>
      </c>
      <c r="F8256" s="2" t="s">
        <v>34415</v>
      </c>
      <c r="G8256" s="2" t="str">
        <f>"SR-11132"</f>
        <v>SR-11132</v>
      </c>
      <c r="H8256" s="2" t="s">
        <v>34416</v>
      </c>
      <c r="I8256" s="2" t="s">
        <v>34417</v>
      </c>
      <c r="K8256" s="2" t="s">
        <v>882</v>
      </c>
      <c r="L8256" s="2" t="s">
        <v>172</v>
      </c>
      <c r="M8256" s="2">
        <v>76012.0</v>
      </c>
      <c r="N8256" s="2" t="s">
        <v>21</v>
      </c>
    </row>
    <row r="8257" ht="15.75" customHeight="1">
      <c r="A8257" s="2">
        <v>2017.0</v>
      </c>
      <c r="B8257" s="2" t="s">
        <v>34418</v>
      </c>
      <c r="C8257" s="2" t="s">
        <v>34418</v>
      </c>
      <c r="D8257" s="2" t="str">
        <f>"6265664739"</f>
        <v>6265664739</v>
      </c>
      <c r="E8257" s="2" t="s">
        <v>453</v>
      </c>
      <c r="F8257" s="2" t="s">
        <v>34190</v>
      </c>
      <c r="G8257" s="2" t="str">
        <f>"SR-11136"</f>
        <v>SR-11136</v>
      </c>
      <c r="H8257" s="2" t="s">
        <v>34419</v>
      </c>
      <c r="I8257" s="2" t="s">
        <v>34420</v>
      </c>
      <c r="K8257" s="2" t="s">
        <v>8558</v>
      </c>
      <c r="L8257" s="2" t="s">
        <v>222</v>
      </c>
      <c r="M8257" s="2">
        <v>91007.0</v>
      </c>
      <c r="N8257" s="2" t="s">
        <v>21</v>
      </c>
    </row>
    <row r="8258" ht="15.75" customHeight="1">
      <c r="A8258" s="2">
        <v>2017.0</v>
      </c>
      <c r="B8258" s="2" t="s">
        <v>30335</v>
      </c>
      <c r="C8258" s="2" t="s">
        <v>30335</v>
      </c>
      <c r="D8258" s="2" t="str">
        <f>"561-883-3952"</f>
        <v>561-883-3952</v>
      </c>
      <c r="E8258" s="2" t="s">
        <v>1263</v>
      </c>
      <c r="F8258" s="2" t="s">
        <v>591</v>
      </c>
      <c r="G8258" s="2" t="str">
        <f>"SR-11123"</f>
        <v>SR-11123</v>
      </c>
      <c r="H8258" s="2" t="s">
        <v>30336</v>
      </c>
      <c r="I8258" s="2" t="s">
        <v>34421</v>
      </c>
      <c r="K8258" s="2" t="s">
        <v>2273</v>
      </c>
      <c r="L8258" s="2" t="s">
        <v>208</v>
      </c>
      <c r="M8258" s="2">
        <v>33431.0</v>
      </c>
      <c r="N8258" s="2" t="s">
        <v>21</v>
      </c>
    </row>
    <row r="8259" ht="15.75" customHeight="1">
      <c r="A8259" s="2">
        <v>2017.0</v>
      </c>
      <c r="B8259" s="2" t="s">
        <v>34422</v>
      </c>
      <c r="C8259" s="2" t="s">
        <v>34423</v>
      </c>
      <c r="D8259" s="2" t="str">
        <f>"603-275-0924"</f>
        <v>603-275-0924</v>
      </c>
      <c r="E8259" s="2" t="s">
        <v>4300</v>
      </c>
      <c r="F8259" s="2" t="s">
        <v>34424</v>
      </c>
      <c r="G8259" s="2" t="str">
        <f>"SR-11099"</f>
        <v>SR-11099</v>
      </c>
      <c r="H8259" s="2" t="s">
        <v>34425</v>
      </c>
      <c r="I8259" s="2" t="s">
        <v>34426</v>
      </c>
      <c r="K8259" s="2" t="s">
        <v>27306</v>
      </c>
      <c r="L8259" s="2" t="s">
        <v>19930</v>
      </c>
      <c r="M8259" s="2">
        <v>3076.0</v>
      </c>
      <c r="N8259" s="2" t="s">
        <v>21</v>
      </c>
    </row>
    <row r="8260" ht="15.75" customHeight="1">
      <c r="A8260" s="2">
        <v>2017.0</v>
      </c>
      <c r="B8260" s="2" t="s">
        <v>34427</v>
      </c>
      <c r="D8260" s="2" t="str">
        <f>""</f>
        <v/>
      </c>
      <c r="E8260" s="2" t="s">
        <v>1548</v>
      </c>
      <c r="F8260" s="2" t="s">
        <v>2474</v>
      </c>
      <c r="G8260" s="2" t="str">
        <f>"SR-11023"</f>
        <v>SR-11023</v>
      </c>
      <c r="H8260" s="2" t="s">
        <v>34428</v>
      </c>
    </row>
    <row r="8261" ht="15.75" customHeight="1">
      <c r="A8261" s="2">
        <v>2017.0</v>
      </c>
      <c r="B8261" s="2" t="s">
        <v>34429</v>
      </c>
      <c r="C8261" s="2" t="s">
        <v>34429</v>
      </c>
      <c r="D8261" s="2" t="str">
        <f>"256-812-2321"</f>
        <v>256-812-2321</v>
      </c>
      <c r="E8261" s="2" t="s">
        <v>503</v>
      </c>
      <c r="F8261" s="2" t="s">
        <v>639</v>
      </c>
      <c r="G8261" s="2" t="str">
        <f>"SR-11137"</f>
        <v>SR-11137</v>
      </c>
      <c r="H8261" s="2" t="s">
        <v>34430</v>
      </c>
      <c r="I8261" s="2" t="s">
        <v>34431</v>
      </c>
      <c r="K8261" s="2" t="s">
        <v>34432</v>
      </c>
      <c r="L8261" s="2" t="s">
        <v>539</v>
      </c>
      <c r="M8261" s="2">
        <v>35748.0</v>
      </c>
      <c r="N8261" s="2" t="s">
        <v>21</v>
      </c>
    </row>
    <row r="8262" ht="15.75" customHeight="1">
      <c r="A8262" s="2">
        <v>2017.0</v>
      </c>
      <c r="B8262" s="2" t="s">
        <v>28162</v>
      </c>
      <c r="C8262" s="2" t="s">
        <v>28162</v>
      </c>
      <c r="D8262" s="2" t="str">
        <f>"7042215712"</f>
        <v>7042215712</v>
      </c>
      <c r="E8262" s="2" t="s">
        <v>862</v>
      </c>
      <c r="F8262" s="2" t="s">
        <v>12694</v>
      </c>
      <c r="G8262" s="2" t="str">
        <f>"SR-8769"</f>
        <v>SR-8769</v>
      </c>
      <c r="H8262" s="2" t="s">
        <v>28163</v>
      </c>
      <c r="I8262" s="2" t="s">
        <v>28164</v>
      </c>
      <c r="K8262" s="2" t="s">
        <v>572</v>
      </c>
      <c r="L8262" s="2" t="s">
        <v>222</v>
      </c>
      <c r="M8262" s="2">
        <v>95648.0</v>
      </c>
      <c r="N8262" s="2" t="s">
        <v>21</v>
      </c>
    </row>
    <row r="8263" ht="15.75" customHeight="1">
      <c r="A8263" s="2">
        <v>2017.0</v>
      </c>
      <c r="B8263" s="2" t="s">
        <v>24607</v>
      </c>
      <c r="C8263" s="2" t="s">
        <v>24608</v>
      </c>
      <c r="D8263" s="2" t="str">
        <f>"8296054163"</f>
        <v>8296054163</v>
      </c>
      <c r="E8263" s="2" t="s">
        <v>24609</v>
      </c>
      <c r="F8263" s="2" t="s">
        <v>24610</v>
      </c>
      <c r="G8263" s="2" t="str">
        <f>"SR-7759"</f>
        <v>SR-7759</v>
      </c>
      <c r="H8263" s="2" t="s">
        <v>24611</v>
      </c>
      <c r="I8263" s="2" t="s">
        <v>24612</v>
      </c>
      <c r="J8263" s="2" t="s">
        <v>24613</v>
      </c>
      <c r="K8263" s="2" t="s">
        <v>24614</v>
      </c>
      <c r="L8263" s="2" t="s">
        <v>24615</v>
      </c>
      <c r="M8263" s="2">
        <v>0.0</v>
      </c>
      <c r="N8263" s="2" t="s">
        <v>24616</v>
      </c>
    </row>
    <row r="8264" ht="15.75" customHeight="1">
      <c r="A8264" s="2">
        <v>2017.0</v>
      </c>
      <c r="B8264" s="2" t="s">
        <v>34433</v>
      </c>
      <c r="C8264" s="2" t="s">
        <v>34433</v>
      </c>
      <c r="D8264" s="2" t="str">
        <f>"805-813-1814"</f>
        <v>805-813-1814</v>
      </c>
      <c r="E8264" s="2" t="s">
        <v>339</v>
      </c>
      <c r="F8264" s="2" t="s">
        <v>34434</v>
      </c>
      <c r="G8264" s="2" t="str">
        <f>"SR-11031"</f>
        <v>SR-11031</v>
      </c>
      <c r="H8264" s="2" t="s">
        <v>34435</v>
      </c>
      <c r="I8264" s="2" t="s">
        <v>34436</v>
      </c>
      <c r="K8264" s="2" t="s">
        <v>10557</v>
      </c>
      <c r="L8264" s="2" t="s">
        <v>222</v>
      </c>
      <c r="M8264" s="2">
        <v>91739.0</v>
      </c>
      <c r="N8264" s="2" t="s">
        <v>21</v>
      </c>
    </row>
    <row r="8265" ht="15.75" customHeight="1">
      <c r="A8265" s="2">
        <v>2017.0</v>
      </c>
      <c r="B8265" s="2" t="s">
        <v>34437</v>
      </c>
      <c r="C8265" s="2" t="s">
        <v>34438</v>
      </c>
      <c r="D8265" s="2" t="str">
        <f>"8172012946"</f>
        <v>8172012946</v>
      </c>
      <c r="E8265" s="2" t="s">
        <v>5760</v>
      </c>
      <c r="F8265" s="2" t="s">
        <v>666</v>
      </c>
      <c r="G8265" s="2" t="str">
        <f>"SR-10701"</f>
        <v>SR-10701</v>
      </c>
      <c r="H8265" s="2" t="s">
        <v>34439</v>
      </c>
      <c r="I8265" s="2" t="s">
        <v>34440</v>
      </c>
      <c r="K8265" s="2" t="s">
        <v>882</v>
      </c>
      <c r="L8265" s="2" t="s">
        <v>172</v>
      </c>
      <c r="M8265" s="2">
        <v>76013.0</v>
      </c>
      <c r="N8265" s="2" t="s">
        <v>21</v>
      </c>
    </row>
    <row r="8266" ht="15.75" customHeight="1">
      <c r="A8266" s="2">
        <v>2017.0</v>
      </c>
      <c r="B8266" s="2" t="s">
        <v>27113</v>
      </c>
      <c r="C8266" s="2" t="s">
        <v>27114</v>
      </c>
      <c r="D8266" s="2" t="str">
        <f>"334 797-5686"</f>
        <v>334 797-5686</v>
      </c>
      <c r="E8266" s="2" t="s">
        <v>10949</v>
      </c>
      <c r="F8266" s="2" t="s">
        <v>27115</v>
      </c>
      <c r="G8266" s="2" t="str">
        <f>"SR-8512"</f>
        <v>SR-8512</v>
      </c>
      <c r="H8266" s="2" t="s">
        <v>27116</v>
      </c>
      <c r="I8266" s="2" t="s">
        <v>27117</v>
      </c>
      <c r="K8266" s="2" t="s">
        <v>27118</v>
      </c>
      <c r="L8266" s="2" t="s">
        <v>539</v>
      </c>
      <c r="M8266" s="2">
        <v>36321.0</v>
      </c>
      <c r="N8266" s="2" t="s">
        <v>21</v>
      </c>
    </row>
    <row r="8267" ht="15.75" customHeight="1">
      <c r="A8267" s="2">
        <v>2017.0</v>
      </c>
      <c r="B8267" s="2" t="s">
        <v>34441</v>
      </c>
      <c r="C8267" s="2" t="s">
        <v>34441</v>
      </c>
      <c r="D8267" s="2" t="str">
        <f>"8148874139"</f>
        <v>8148874139</v>
      </c>
      <c r="E8267" s="2" t="s">
        <v>471</v>
      </c>
      <c r="F8267" s="2" t="s">
        <v>3212</v>
      </c>
      <c r="G8267" s="2" t="str">
        <f>"SR-11143"</f>
        <v>SR-11143</v>
      </c>
      <c r="H8267" s="2" t="s">
        <v>34442</v>
      </c>
      <c r="I8267" s="2" t="s">
        <v>34443</v>
      </c>
      <c r="K8267" s="2" t="s">
        <v>34444</v>
      </c>
      <c r="L8267" s="2" t="s">
        <v>179</v>
      </c>
      <c r="M8267" s="2">
        <v>16749.0</v>
      </c>
      <c r="N8267" s="2" t="s">
        <v>21</v>
      </c>
    </row>
    <row r="8268" ht="15.75" customHeight="1">
      <c r="A8268" s="2">
        <v>2017.0</v>
      </c>
      <c r="B8268" s="2" t="s">
        <v>34445</v>
      </c>
      <c r="C8268" s="2" t="s">
        <v>34445</v>
      </c>
      <c r="D8268" s="2" t="str">
        <f>"984-234-2987"</f>
        <v>984-234-2987</v>
      </c>
      <c r="E8268" s="2" t="s">
        <v>2361</v>
      </c>
      <c r="F8268" s="2" t="s">
        <v>34446</v>
      </c>
      <c r="G8268" s="2" t="str">
        <f>"SR-11077"</f>
        <v>SR-11077</v>
      </c>
      <c r="H8268" s="2" t="s">
        <v>34447</v>
      </c>
      <c r="I8268" s="2" t="s">
        <v>34448</v>
      </c>
      <c r="K8268" s="2" t="s">
        <v>1111</v>
      </c>
      <c r="L8268" s="2" t="s">
        <v>20</v>
      </c>
      <c r="M8268" s="2">
        <v>27713.0</v>
      </c>
      <c r="N8268" s="2" t="s">
        <v>21</v>
      </c>
    </row>
    <row r="8269" ht="15.75" customHeight="1">
      <c r="A8269" s="2">
        <v>2017.0</v>
      </c>
      <c r="B8269" s="2" t="s">
        <v>34449</v>
      </c>
      <c r="C8269" s="2" t="s">
        <v>34450</v>
      </c>
      <c r="D8269" s="2" t="str">
        <f>"6052226169"</f>
        <v>6052226169</v>
      </c>
      <c r="E8269" s="2" t="s">
        <v>705</v>
      </c>
      <c r="F8269" s="2" t="s">
        <v>34451</v>
      </c>
      <c r="G8269" s="2" t="str">
        <f>"SR-11128"</f>
        <v>SR-11128</v>
      </c>
      <c r="H8269" s="2" t="s">
        <v>34452</v>
      </c>
      <c r="I8269" s="2" t="s">
        <v>34453</v>
      </c>
      <c r="K8269" s="2" t="s">
        <v>34454</v>
      </c>
      <c r="L8269" s="2" t="s">
        <v>920</v>
      </c>
      <c r="M8269" s="2">
        <v>57501.0</v>
      </c>
      <c r="N8269" s="2" t="s">
        <v>21</v>
      </c>
    </row>
    <row r="8270" ht="15.75" customHeight="1">
      <c r="A8270" s="2">
        <v>2017.0</v>
      </c>
      <c r="B8270" s="2" t="s">
        <v>28640</v>
      </c>
      <c r="C8270" s="2" t="s">
        <v>28640</v>
      </c>
      <c r="D8270" s="2" t="str">
        <f>"9077455148"</f>
        <v>9077455148</v>
      </c>
      <c r="E8270" s="2" t="s">
        <v>28641</v>
      </c>
      <c r="F8270" s="2" t="s">
        <v>28208</v>
      </c>
      <c r="G8270" s="2" t="str">
        <f>"SR-8923"</f>
        <v>SR-8923</v>
      </c>
      <c r="H8270" s="2" t="s">
        <v>28642</v>
      </c>
      <c r="I8270" s="2" t="s">
        <v>28643</v>
      </c>
      <c r="K8270" s="2" t="s">
        <v>24289</v>
      </c>
      <c r="L8270" s="2" t="s">
        <v>70</v>
      </c>
      <c r="M8270" s="2">
        <v>99645.0</v>
      </c>
      <c r="N8270" s="2" t="s">
        <v>21</v>
      </c>
    </row>
    <row r="8271" ht="15.75" customHeight="1">
      <c r="A8271" s="2">
        <v>2017.0</v>
      </c>
      <c r="B8271" s="2" t="s">
        <v>34455</v>
      </c>
      <c r="C8271" s="2" t="s">
        <v>34456</v>
      </c>
      <c r="D8271" s="2" t="str">
        <f>"8653683075"</f>
        <v>8653683075</v>
      </c>
      <c r="E8271" s="2" t="s">
        <v>9032</v>
      </c>
      <c r="F8271" s="2" t="s">
        <v>1859</v>
      </c>
      <c r="G8271" s="2" t="str">
        <f>"SR-10891"</f>
        <v>SR-10891</v>
      </c>
      <c r="H8271" s="2" t="s">
        <v>34457</v>
      </c>
      <c r="I8271" s="2" t="s">
        <v>34458</v>
      </c>
      <c r="K8271" s="2" t="s">
        <v>6168</v>
      </c>
      <c r="L8271" s="2" t="s">
        <v>279</v>
      </c>
      <c r="M8271" s="2">
        <v>37920.0</v>
      </c>
      <c r="N8271" s="2" t="s">
        <v>21</v>
      </c>
    </row>
    <row r="8272" ht="15.75" customHeight="1">
      <c r="A8272" s="2">
        <v>2017.0</v>
      </c>
      <c r="B8272" s="2" t="s">
        <v>34459</v>
      </c>
      <c r="C8272" s="2" t="s">
        <v>34459</v>
      </c>
      <c r="D8272" s="2" t="str">
        <f>"4024990584"</f>
        <v>4024990584</v>
      </c>
      <c r="E8272" s="2" t="s">
        <v>19125</v>
      </c>
      <c r="F8272" s="2" t="s">
        <v>10116</v>
      </c>
      <c r="G8272" s="2" t="str">
        <f>"SR-10390"</f>
        <v>SR-10390</v>
      </c>
      <c r="H8272" s="2" t="s">
        <v>34460</v>
      </c>
      <c r="I8272" s="2" t="s">
        <v>34461</v>
      </c>
      <c r="K8272" s="2" t="s">
        <v>34462</v>
      </c>
      <c r="L8272" s="2" t="s">
        <v>757</v>
      </c>
      <c r="M8272" s="2">
        <v>68349.0</v>
      </c>
      <c r="N8272" s="2" t="s">
        <v>21</v>
      </c>
    </row>
    <row r="8273" ht="15.75" customHeight="1">
      <c r="A8273" s="2">
        <v>2017.0</v>
      </c>
      <c r="B8273" s="2" t="s">
        <v>27354</v>
      </c>
      <c r="C8273" s="2" t="s">
        <v>34463</v>
      </c>
      <c r="D8273" s="2" t="str">
        <f>"6052301075"</f>
        <v>6052301075</v>
      </c>
      <c r="E8273" s="2" t="s">
        <v>4406</v>
      </c>
      <c r="F8273" s="2" t="s">
        <v>27356</v>
      </c>
      <c r="G8273" s="2" t="str">
        <f>"SR-8625"</f>
        <v>SR-8625</v>
      </c>
      <c r="H8273" s="2" t="s">
        <v>34464</v>
      </c>
      <c r="I8273" s="2" t="s">
        <v>27358</v>
      </c>
      <c r="K8273" s="2" t="s">
        <v>18927</v>
      </c>
      <c r="L8273" s="2" t="s">
        <v>920</v>
      </c>
      <c r="M8273" s="2">
        <v>57472.0</v>
      </c>
      <c r="N8273" s="2" t="s">
        <v>21</v>
      </c>
    </row>
    <row r="8274" ht="15.75" customHeight="1">
      <c r="A8274" s="2">
        <v>2017.0</v>
      </c>
      <c r="B8274" s="2" t="s">
        <v>34465</v>
      </c>
      <c r="C8274" s="2" t="s">
        <v>34466</v>
      </c>
      <c r="D8274" s="2" t="str">
        <f>"3193652669"</f>
        <v>3193652669</v>
      </c>
      <c r="E8274" s="2" t="s">
        <v>2162</v>
      </c>
      <c r="F8274" s="2" t="s">
        <v>26297</v>
      </c>
      <c r="G8274" s="2" t="str">
        <f>"SR-11096"</f>
        <v>SR-11096</v>
      </c>
      <c r="H8274" s="2" t="s">
        <v>34467</v>
      </c>
      <c r="I8274" s="2" t="s">
        <v>34468</v>
      </c>
      <c r="K8274" s="2" t="s">
        <v>3273</v>
      </c>
      <c r="L8274" s="2" t="s">
        <v>560</v>
      </c>
      <c r="M8274" s="2">
        <v>52402.0</v>
      </c>
      <c r="N8274" s="2" t="s">
        <v>21</v>
      </c>
    </row>
    <row r="8275" ht="15.75" customHeight="1">
      <c r="A8275" s="2">
        <v>2017.0</v>
      </c>
      <c r="B8275" s="2" t="s">
        <v>34469</v>
      </c>
      <c r="C8275" s="2" t="s">
        <v>34469</v>
      </c>
      <c r="D8275" s="2" t="str">
        <f>"5407409441"</f>
        <v>5407409441</v>
      </c>
      <c r="E8275" s="2" t="s">
        <v>843</v>
      </c>
      <c r="F8275" s="2" t="s">
        <v>89</v>
      </c>
      <c r="G8275" s="2" t="str">
        <f>"SR-11085"</f>
        <v>SR-11085</v>
      </c>
      <c r="H8275" s="2" t="s">
        <v>20618</v>
      </c>
      <c r="I8275" s="2" t="s">
        <v>34470</v>
      </c>
      <c r="K8275" s="2" t="s">
        <v>3630</v>
      </c>
      <c r="L8275" s="2" t="s">
        <v>165</v>
      </c>
      <c r="M8275" s="2">
        <v>22844.0</v>
      </c>
      <c r="N8275" s="2" t="s">
        <v>21</v>
      </c>
    </row>
    <row r="8276" ht="15.75" customHeight="1">
      <c r="A8276" s="2">
        <v>2017.0</v>
      </c>
      <c r="B8276" s="2" t="s">
        <v>34471</v>
      </c>
      <c r="C8276" s="2" t="s">
        <v>34472</v>
      </c>
      <c r="D8276" s="2" t="str">
        <f>"3303051387"</f>
        <v>3303051387</v>
      </c>
      <c r="E8276" s="2" t="s">
        <v>72</v>
      </c>
      <c r="F8276" s="2" t="s">
        <v>4941</v>
      </c>
      <c r="G8276" s="2" t="str">
        <f>"SR-11149"</f>
        <v>SR-11149</v>
      </c>
      <c r="H8276" s="2" t="s">
        <v>34473</v>
      </c>
      <c r="I8276" s="2" t="s">
        <v>34474</v>
      </c>
      <c r="K8276" s="2" t="s">
        <v>11068</v>
      </c>
      <c r="L8276" s="2" t="s">
        <v>344</v>
      </c>
      <c r="M8276" s="2">
        <v>44720.0</v>
      </c>
      <c r="N8276" s="2" t="s">
        <v>21</v>
      </c>
    </row>
    <row r="8277" ht="15.75" customHeight="1">
      <c r="A8277" s="2">
        <v>2017.0</v>
      </c>
      <c r="B8277" s="2" t="s">
        <v>28527</v>
      </c>
      <c r="C8277" s="2" t="s">
        <v>28527</v>
      </c>
      <c r="D8277" s="2" t="str">
        <f>"4078839544"</f>
        <v>4078839544</v>
      </c>
      <c r="E8277" s="2" t="s">
        <v>28528</v>
      </c>
      <c r="F8277" s="2" t="s">
        <v>31</v>
      </c>
      <c r="G8277" s="2" t="str">
        <f>"SR-8517"</f>
        <v>SR-8517</v>
      </c>
      <c r="H8277" s="2" t="s">
        <v>28529</v>
      </c>
      <c r="I8277" s="2" t="s">
        <v>28530</v>
      </c>
      <c r="K8277" s="2" t="s">
        <v>4724</v>
      </c>
      <c r="L8277" s="2" t="s">
        <v>208</v>
      </c>
      <c r="M8277" s="2">
        <v>32824.0</v>
      </c>
      <c r="N8277" s="2" t="s">
        <v>21</v>
      </c>
    </row>
    <row r="8278" ht="15.75" customHeight="1">
      <c r="A8278" s="2">
        <v>2017.0</v>
      </c>
      <c r="B8278" s="2" t="s">
        <v>34475</v>
      </c>
      <c r="C8278" s="2" t="s">
        <v>34476</v>
      </c>
      <c r="D8278" s="2" t="str">
        <f>"6262449951"</f>
        <v>6262449951</v>
      </c>
      <c r="E8278" s="2" t="s">
        <v>34477</v>
      </c>
      <c r="F8278" s="2" t="s">
        <v>9398</v>
      </c>
      <c r="G8278" s="2" t="str">
        <f>"SR-11151"</f>
        <v>SR-11151</v>
      </c>
      <c r="H8278" s="2" t="s">
        <v>34478</v>
      </c>
      <c r="I8278" s="2" t="s">
        <v>34479</v>
      </c>
      <c r="K8278" s="2" t="s">
        <v>8558</v>
      </c>
      <c r="L8278" s="2" t="s">
        <v>222</v>
      </c>
      <c r="M8278" s="2">
        <v>9107.0</v>
      </c>
      <c r="N8278" s="2" t="s">
        <v>21</v>
      </c>
    </row>
    <row r="8279" ht="15.75" customHeight="1">
      <c r="A8279" s="2">
        <v>2017.0</v>
      </c>
      <c r="B8279" s="2" t="s">
        <v>34480</v>
      </c>
      <c r="C8279" s="2" t="s">
        <v>34481</v>
      </c>
      <c r="D8279" s="2" t="str">
        <f>"2058844006"</f>
        <v>2058844006</v>
      </c>
      <c r="E8279" s="2" t="s">
        <v>18964</v>
      </c>
      <c r="F8279" s="2" t="s">
        <v>34482</v>
      </c>
      <c r="G8279" s="2" t="str">
        <f>"SR-11150"</f>
        <v>SR-11150</v>
      </c>
      <c r="H8279" s="2" t="s">
        <v>34483</v>
      </c>
      <c r="I8279" s="2" t="s">
        <v>34484</v>
      </c>
      <c r="K8279" s="2" t="s">
        <v>7469</v>
      </c>
      <c r="L8279" s="2" t="s">
        <v>539</v>
      </c>
      <c r="M8279" s="2">
        <v>35125.0</v>
      </c>
      <c r="N8279" s="2" t="s">
        <v>21</v>
      </c>
    </row>
    <row r="8280" ht="15.75" customHeight="1">
      <c r="A8280" s="2">
        <v>2017.0</v>
      </c>
      <c r="B8280" s="2" t="s">
        <v>27275</v>
      </c>
      <c r="C8280" s="2" t="s">
        <v>34485</v>
      </c>
      <c r="D8280" s="2" t="str">
        <f>"3193107903"</f>
        <v>3193107903</v>
      </c>
      <c r="E8280" s="2" t="s">
        <v>5248</v>
      </c>
      <c r="F8280" s="2" t="s">
        <v>27277</v>
      </c>
      <c r="G8280" s="2" t="str">
        <f>"SR-11155"</f>
        <v>SR-11155</v>
      </c>
      <c r="H8280" s="2" t="s">
        <v>34486</v>
      </c>
      <c r="I8280" s="2" t="s">
        <v>27279</v>
      </c>
      <c r="K8280" s="2" t="s">
        <v>3273</v>
      </c>
      <c r="L8280" s="2" t="s">
        <v>560</v>
      </c>
      <c r="M8280" s="2">
        <v>52411.0</v>
      </c>
      <c r="N8280" s="2" t="s">
        <v>21</v>
      </c>
    </row>
    <row r="8281" ht="15.75" customHeight="1">
      <c r="A8281" s="2">
        <v>2017.0</v>
      </c>
      <c r="B8281" s="2" t="s">
        <v>34465</v>
      </c>
      <c r="C8281" s="2" t="s">
        <v>34487</v>
      </c>
      <c r="D8281" s="2" t="str">
        <f>"319-531-0274"</f>
        <v>319-531-0274</v>
      </c>
      <c r="E8281" s="2" t="s">
        <v>984</v>
      </c>
      <c r="F8281" s="2" t="s">
        <v>26297</v>
      </c>
      <c r="G8281" s="2" t="str">
        <f>"SR-11095"</f>
        <v>SR-11095</v>
      </c>
      <c r="H8281" s="2" t="s">
        <v>34488</v>
      </c>
      <c r="I8281" s="2" t="s">
        <v>34468</v>
      </c>
      <c r="K8281" s="2" t="s">
        <v>3273</v>
      </c>
      <c r="L8281" s="2" t="s">
        <v>560</v>
      </c>
      <c r="M8281" s="2">
        <v>52402.0</v>
      </c>
      <c r="N8281" s="2" t="s">
        <v>21</v>
      </c>
    </row>
    <row r="8282" ht="15.75" customHeight="1">
      <c r="A8282" s="2">
        <v>2017.0</v>
      </c>
      <c r="B8282" s="2" t="s">
        <v>34489</v>
      </c>
      <c r="C8282" s="2" t="s">
        <v>34489</v>
      </c>
      <c r="D8282" s="2" t="str">
        <f>"(941) 786-8032"</f>
        <v>(941) 786-8032</v>
      </c>
      <c r="E8282" s="2" t="s">
        <v>124</v>
      </c>
      <c r="F8282" s="2" t="s">
        <v>34490</v>
      </c>
      <c r="G8282" s="2" t="str">
        <f>"SR-11090"</f>
        <v>SR-11090</v>
      </c>
      <c r="H8282" s="2" t="s">
        <v>34491</v>
      </c>
      <c r="I8282" s="2" t="s">
        <v>34492</v>
      </c>
      <c r="K8282" s="2" t="s">
        <v>330</v>
      </c>
      <c r="L8282" s="2" t="s">
        <v>208</v>
      </c>
      <c r="M8282" s="2">
        <v>34292.0</v>
      </c>
      <c r="N8282" s="2" t="s">
        <v>21</v>
      </c>
    </row>
    <row r="8283" ht="15.75" customHeight="1">
      <c r="A8283" s="2">
        <v>2017.0</v>
      </c>
      <c r="B8283" s="2" t="s">
        <v>34493</v>
      </c>
      <c r="C8283" s="2" t="s">
        <v>34494</v>
      </c>
      <c r="D8283" s="2" t="str">
        <f>"4073599050"</f>
        <v>4073599050</v>
      </c>
      <c r="E8283" s="2" t="s">
        <v>843</v>
      </c>
      <c r="F8283" s="2" t="s">
        <v>14000</v>
      </c>
      <c r="G8283" s="2" t="str">
        <f>"SR-11153"</f>
        <v>SR-11153</v>
      </c>
      <c r="H8283" s="2" t="s">
        <v>34495</v>
      </c>
      <c r="I8283" s="2" t="s">
        <v>34496</v>
      </c>
      <c r="K8283" s="2" t="s">
        <v>12702</v>
      </c>
      <c r="L8283" s="2" t="s">
        <v>208</v>
      </c>
      <c r="M8283" s="2">
        <v>32765.0</v>
      </c>
      <c r="N8283" s="2" t="s">
        <v>21</v>
      </c>
    </row>
    <row r="8284" ht="15.75" customHeight="1">
      <c r="A8284" s="2">
        <v>2017.0</v>
      </c>
      <c r="B8284" s="2" t="s">
        <v>34497</v>
      </c>
      <c r="C8284" s="2" t="s">
        <v>34498</v>
      </c>
      <c r="D8284" s="2" t="str">
        <f>"816-305-8848"</f>
        <v>816-305-8848</v>
      </c>
      <c r="E8284" s="2" t="s">
        <v>1810</v>
      </c>
      <c r="F8284" s="2" t="s">
        <v>13182</v>
      </c>
      <c r="G8284" s="2" t="str">
        <f>"SR-11010"</f>
        <v>SR-11010</v>
      </c>
      <c r="H8284" s="2" t="s">
        <v>34499</v>
      </c>
      <c r="I8284" s="2" t="s">
        <v>34500</v>
      </c>
      <c r="K8284" s="2" t="s">
        <v>1814</v>
      </c>
      <c r="L8284" s="2" t="s">
        <v>214</v>
      </c>
      <c r="M8284" s="2">
        <v>64116.0</v>
      </c>
      <c r="N8284" s="2" t="s">
        <v>21</v>
      </c>
    </row>
    <row r="8285" ht="15.75" customHeight="1">
      <c r="A8285" s="2">
        <v>2017.0</v>
      </c>
      <c r="B8285" s="2" t="s">
        <v>34501</v>
      </c>
      <c r="C8285" s="2" t="s">
        <v>34501</v>
      </c>
      <c r="D8285" s="2" t="str">
        <f>"6159340309"</f>
        <v>6159340309</v>
      </c>
      <c r="E8285" s="2" t="s">
        <v>11024</v>
      </c>
      <c r="F8285" s="2" t="s">
        <v>34502</v>
      </c>
      <c r="G8285" s="2" t="str">
        <f>"SR-11159"</f>
        <v>SR-11159</v>
      </c>
      <c r="H8285" s="2" t="s">
        <v>34503</v>
      </c>
      <c r="I8285" s="2" t="s">
        <v>34504</v>
      </c>
      <c r="K8285" s="2" t="s">
        <v>29219</v>
      </c>
      <c r="L8285" s="2" t="s">
        <v>279</v>
      </c>
      <c r="M8285" s="2">
        <v>37188.0</v>
      </c>
      <c r="N8285" s="2" t="s">
        <v>21</v>
      </c>
    </row>
    <row r="8286" ht="15.75" customHeight="1">
      <c r="A8286" s="2">
        <v>2017.0</v>
      </c>
      <c r="B8286" s="2" t="s">
        <v>34505</v>
      </c>
      <c r="C8286" s="2" t="s">
        <v>34505</v>
      </c>
      <c r="D8286" s="2" t="str">
        <f>"2089300677"</f>
        <v>2089300677</v>
      </c>
      <c r="E8286" s="2" t="s">
        <v>1278</v>
      </c>
      <c r="F8286" s="2" t="s">
        <v>82</v>
      </c>
      <c r="G8286" s="2" t="str">
        <f>"SR-11114"</f>
        <v>SR-11114</v>
      </c>
      <c r="H8286" s="2" t="s">
        <v>34506</v>
      </c>
      <c r="I8286" s="2" t="s">
        <v>34507</v>
      </c>
      <c r="K8286" s="2" t="s">
        <v>15917</v>
      </c>
      <c r="L8286" s="2" t="s">
        <v>105</v>
      </c>
      <c r="M8286" s="2">
        <v>83815.0</v>
      </c>
      <c r="N8286" s="2" t="s">
        <v>21</v>
      </c>
    </row>
    <row r="8287" ht="15.75" customHeight="1">
      <c r="A8287" s="2">
        <v>2017.0</v>
      </c>
      <c r="B8287" s="2" t="s">
        <v>34508</v>
      </c>
      <c r="C8287" s="2" t="s">
        <v>34508</v>
      </c>
      <c r="D8287" s="2" t="str">
        <f>"9738851218"</f>
        <v>9738851218</v>
      </c>
      <c r="E8287" s="2" t="s">
        <v>250</v>
      </c>
      <c r="F8287" s="2" t="s">
        <v>108</v>
      </c>
      <c r="G8287" s="2" t="str">
        <f>"SR-10974"</f>
        <v>SR-10974</v>
      </c>
      <c r="H8287" s="2" t="s">
        <v>34509</v>
      </c>
      <c r="I8287" s="2" t="s">
        <v>34510</v>
      </c>
      <c r="K8287" s="2" t="s">
        <v>659</v>
      </c>
      <c r="L8287" s="2" t="s">
        <v>3618</v>
      </c>
      <c r="M8287" s="2">
        <v>7940.0</v>
      </c>
      <c r="N8287" s="2" t="s">
        <v>21</v>
      </c>
    </row>
    <row r="8288" ht="15.75" customHeight="1">
      <c r="A8288" s="2">
        <v>2017.0</v>
      </c>
      <c r="B8288" s="2" t="s">
        <v>34511</v>
      </c>
      <c r="C8288" s="2" t="s">
        <v>34511</v>
      </c>
      <c r="D8288" s="2" t="str">
        <f>"3195731242"</f>
        <v>3195731242</v>
      </c>
      <c r="E8288" s="2" t="s">
        <v>261</v>
      </c>
      <c r="F8288" s="2" t="s">
        <v>22883</v>
      </c>
      <c r="G8288" s="2" t="str">
        <f>"SR-11161"</f>
        <v>SR-11161</v>
      </c>
      <c r="H8288" s="2" t="s">
        <v>34512</v>
      </c>
      <c r="I8288" s="2" t="s">
        <v>34513</v>
      </c>
      <c r="K8288" s="2" t="s">
        <v>3273</v>
      </c>
      <c r="L8288" s="2" t="s">
        <v>560</v>
      </c>
      <c r="M8288" s="2">
        <v>52402.0</v>
      </c>
      <c r="N8288" s="2" t="s">
        <v>21</v>
      </c>
    </row>
    <row r="8289" ht="15.75" customHeight="1">
      <c r="A8289" s="2">
        <v>2017.0</v>
      </c>
      <c r="B8289" s="2" t="s">
        <v>34514</v>
      </c>
      <c r="C8289" s="2" t="s">
        <v>34515</v>
      </c>
      <c r="D8289" s="2" t="str">
        <f>"435 730 7341"</f>
        <v>435 730 7341</v>
      </c>
      <c r="E8289" s="2" t="s">
        <v>13585</v>
      </c>
      <c r="F8289" s="2" t="s">
        <v>34516</v>
      </c>
      <c r="G8289" s="2" t="str">
        <f>"SR-11160"</f>
        <v>SR-11160</v>
      </c>
      <c r="H8289" s="2" t="s">
        <v>34517</v>
      </c>
      <c r="I8289" s="2" t="s">
        <v>34518</v>
      </c>
      <c r="K8289" s="2" t="s">
        <v>19689</v>
      </c>
      <c r="L8289" s="2" t="s">
        <v>763</v>
      </c>
      <c r="M8289" s="2">
        <v>84340.0</v>
      </c>
      <c r="N8289" s="2" t="s">
        <v>21</v>
      </c>
    </row>
    <row r="8290" ht="15.75" customHeight="1">
      <c r="A8290" s="2">
        <v>2017.0</v>
      </c>
      <c r="B8290" s="2" t="s">
        <v>34519</v>
      </c>
      <c r="C8290" s="2" t="s">
        <v>34520</v>
      </c>
      <c r="D8290" s="2" t="str">
        <f>"865-789-7811"</f>
        <v>865-789-7811</v>
      </c>
      <c r="E8290" s="2" t="s">
        <v>2825</v>
      </c>
      <c r="F8290" s="2" t="s">
        <v>34521</v>
      </c>
      <c r="G8290" s="2" t="str">
        <f>"SR-11061"</f>
        <v>SR-11061</v>
      </c>
      <c r="H8290" s="2" t="s">
        <v>34522</v>
      </c>
      <c r="I8290" s="2" t="s">
        <v>34523</v>
      </c>
      <c r="K8290" s="2" t="s">
        <v>3397</v>
      </c>
      <c r="L8290" s="2" t="s">
        <v>279</v>
      </c>
      <c r="M8290" s="2">
        <v>37814.0</v>
      </c>
      <c r="N8290" s="2" t="s">
        <v>21</v>
      </c>
    </row>
    <row r="8291" ht="15.75" customHeight="1">
      <c r="A8291" s="2">
        <v>2017.0</v>
      </c>
      <c r="B8291" s="2" t="s">
        <v>31292</v>
      </c>
      <c r="C8291" s="2" t="s">
        <v>34524</v>
      </c>
      <c r="D8291" s="2" t="str">
        <f>"402750-2095"</f>
        <v>402750-2095</v>
      </c>
      <c r="E8291" s="2" t="s">
        <v>1088</v>
      </c>
      <c r="F8291" s="2" t="s">
        <v>31294</v>
      </c>
      <c r="G8291" s="2" t="str">
        <f>"SR-11130"</f>
        <v>SR-11130</v>
      </c>
      <c r="H8291" s="2" t="s">
        <v>34525</v>
      </c>
      <c r="I8291" s="2" t="s">
        <v>34526</v>
      </c>
      <c r="K8291" s="2" t="s">
        <v>11726</v>
      </c>
      <c r="L8291" s="2" t="s">
        <v>757</v>
      </c>
      <c r="M8291" s="2">
        <v>68701.0</v>
      </c>
      <c r="N8291" s="2" t="s">
        <v>21</v>
      </c>
    </row>
    <row r="8292" ht="15.75" customHeight="1">
      <c r="A8292" s="2">
        <v>2017.0</v>
      </c>
      <c r="B8292" s="2" t="s">
        <v>34527</v>
      </c>
      <c r="C8292" s="2" t="s">
        <v>34528</v>
      </c>
      <c r="D8292" s="2" t="str">
        <f>"7653749066"</f>
        <v>7653749066</v>
      </c>
      <c r="E8292" s="2" t="s">
        <v>3668</v>
      </c>
      <c r="F8292" s="2" t="s">
        <v>34529</v>
      </c>
      <c r="G8292" s="2" t="str">
        <f>"SR-9974"</f>
        <v>SR-9974</v>
      </c>
      <c r="H8292" s="2" t="s">
        <v>34530</v>
      </c>
      <c r="I8292" s="2" t="s">
        <v>34531</v>
      </c>
      <c r="K8292" s="2" t="s">
        <v>984</v>
      </c>
      <c r="L8292" s="2" t="s">
        <v>149</v>
      </c>
      <c r="M8292" s="2">
        <v>46011.0</v>
      </c>
      <c r="N8292" s="2" t="s">
        <v>21</v>
      </c>
    </row>
    <row r="8293" ht="15.75" customHeight="1">
      <c r="A8293" s="2">
        <v>2017.0</v>
      </c>
      <c r="B8293" s="2" t="s">
        <v>34532</v>
      </c>
      <c r="C8293" s="2" t="s">
        <v>34532</v>
      </c>
      <c r="D8293" s="2" t="str">
        <f>"316-683-6671"</f>
        <v>316-683-6671</v>
      </c>
      <c r="E8293" s="2" t="s">
        <v>34533</v>
      </c>
      <c r="F8293" s="2" t="s">
        <v>34534</v>
      </c>
      <c r="G8293" s="2" t="str">
        <f>"SR-11167"</f>
        <v>SR-11167</v>
      </c>
      <c r="H8293" s="2" t="s">
        <v>34535</v>
      </c>
      <c r="I8293" s="2" t="s">
        <v>34536</v>
      </c>
      <c r="K8293" s="2" t="s">
        <v>606</v>
      </c>
      <c r="L8293" s="2" t="s">
        <v>272</v>
      </c>
      <c r="M8293" s="2">
        <v>67220.0</v>
      </c>
      <c r="N8293" s="2" t="s">
        <v>21</v>
      </c>
    </row>
    <row r="8294" ht="15.75" customHeight="1">
      <c r="A8294" s="2">
        <v>2017.0</v>
      </c>
      <c r="B8294" s="2" t="s">
        <v>34537</v>
      </c>
      <c r="C8294" s="2" t="s">
        <v>34538</v>
      </c>
      <c r="D8294" s="2" t="str">
        <f>"(316)-733-9658"</f>
        <v>(316)-733-9658</v>
      </c>
      <c r="E8294" s="2" t="s">
        <v>34539</v>
      </c>
      <c r="F8294" s="2" t="s">
        <v>34540</v>
      </c>
      <c r="G8294" s="2" t="str">
        <f>"SR-11089"</f>
        <v>SR-11089</v>
      </c>
      <c r="H8294" s="2" t="s">
        <v>34541</v>
      </c>
      <c r="I8294" s="2" t="s">
        <v>34542</v>
      </c>
      <c r="K8294" s="2" t="s">
        <v>10124</v>
      </c>
      <c r="L8294" s="2" t="s">
        <v>272</v>
      </c>
      <c r="M8294" s="2">
        <v>67133.0</v>
      </c>
      <c r="N8294" s="2" t="s">
        <v>21</v>
      </c>
    </row>
    <row r="8295" ht="15.75" customHeight="1">
      <c r="A8295" s="2">
        <v>2017.0</v>
      </c>
      <c r="B8295" s="2" t="s">
        <v>17778</v>
      </c>
      <c r="C8295" s="2" t="s">
        <v>34543</v>
      </c>
      <c r="D8295" s="2" t="str">
        <f>"4057803086"</f>
        <v>4057803086</v>
      </c>
      <c r="E8295" s="2" t="s">
        <v>453</v>
      </c>
      <c r="F8295" s="2" t="s">
        <v>17780</v>
      </c>
      <c r="G8295" s="2" t="str">
        <f>"SR-11002"</f>
        <v>SR-11002</v>
      </c>
      <c r="H8295" s="2" t="s">
        <v>34544</v>
      </c>
      <c r="I8295" s="2" t="s">
        <v>34545</v>
      </c>
      <c r="K8295" s="2" t="s">
        <v>11711</v>
      </c>
      <c r="L8295" s="2" t="s">
        <v>840</v>
      </c>
      <c r="M8295" s="2">
        <v>74076.0</v>
      </c>
      <c r="N8295" s="2" t="s">
        <v>21</v>
      </c>
    </row>
    <row r="8296" ht="15.75" customHeight="1">
      <c r="A8296" s="2">
        <v>2017.0</v>
      </c>
      <c r="B8296" s="2" t="s">
        <v>34546</v>
      </c>
      <c r="C8296" s="2" t="s">
        <v>34547</v>
      </c>
      <c r="D8296" s="2" t="str">
        <f>"3037765777"</f>
        <v>3037765777</v>
      </c>
      <c r="E8296" s="2" t="s">
        <v>2162</v>
      </c>
      <c r="F8296" s="2" t="s">
        <v>3319</v>
      </c>
      <c r="G8296" s="2" t="str">
        <f>"SR-11169"</f>
        <v>SR-11169</v>
      </c>
      <c r="H8296" s="2" t="s">
        <v>34548</v>
      </c>
      <c r="I8296" s="2" t="s">
        <v>34549</v>
      </c>
      <c r="K8296" s="2" t="s">
        <v>2317</v>
      </c>
      <c r="L8296" s="2" t="s">
        <v>157</v>
      </c>
      <c r="M8296" s="2">
        <v>80503.0</v>
      </c>
      <c r="N8296" s="2" t="s">
        <v>21</v>
      </c>
    </row>
    <row r="8297" ht="15.75" customHeight="1">
      <c r="A8297" s="2">
        <v>2017.0</v>
      </c>
      <c r="B8297" s="2" t="s">
        <v>5589</v>
      </c>
      <c r="C8297" s="2" t="s">
        <v>34550</v>
      </c>
      <c r="D8297" s="2" t="str">
        <f>"319-373-8825"</f>
        <v>319-373-8825</v>
      </c>
      <c r="E8297" s="2" t="s">
        <v>339</v>
      </c>
      <c r="F8297" s="2" t="s">
        <v>5590</v>
      </c>
      <c r="G8297" s="2" t="str">
        <f>"SR-11171"</f>
        <v>SR-11171</v>
      </c>
      <c r="H8297" s="2" t="s">
        <v>34551</v>
      </c>
      <c r="I8297" s="2" t="s">
        <v>34552</v>
      </c>
      <c r="K8297" s="2" t="s">
        <v>3493</v>
      </c>
      <c r="L8297" s="2" t="s">
        <v>560</v>
      </c>
      <c r="M8297" s="2">
        <v>52302.0</v>
      </c>
      <c r="N8297" s="2" t="s">
        <v>21</v>
      </c>
    </row>
    <row r="8298" ht="15.75" customHeight="1">
      <c r="A8298" s="2">
        <v>2017.0</v>
      </c>
      <c r="B8298" s="2" t="s">
        <v>34553</v>
      </c>
      <c r="C8298" s="2" t="s">
        <v>34554</v>
      </c>
      <c r="D8298" s="2" t="str">
        <f>"9522283313"</f>
        <v>9522283313</v>
      </c>
      <c r="E8298" s="2" t="s">
        <v>385</v>
      </c>
      <c r="F8298" s="2" t="s">
        <v>4941</v>
      </c>
      <c r="G8298" s="2" t="str">
        <f>"SR-11172"</f>
        <v>SR-11172</v>
      </c>
      <c r="H8298" s="2" t="s">
        <v>34555</v>
      </c>
      <c r="I8298" s="2" t="s">
        <v>34556</v>
      </c>
      <c r="K8298" s="2" t="s">
        <v>4944</v>
      </c>
      <c r="L8298" s="2" t="s">
        <v>62</v>
      </c>
      <c r="M8298" s="2">
        <v>55345.0</v>
      </c>
      <c r="N8298" s="2" t="s">
        <v>21</v>
      </c>
    </row>
    <row r="8299" ht="15.75" customHeight="1">
      <c r="A8299" s="2">
        <v>2017.0</v>
      </c>
      <c r="B8299" s="2" t="s">
        <v>34557</v>
      </c>
      <c r="C8299" s="2" t="s">
        <v>34558</v>
      </c>
      <c r="D8299" s="2" t="str">
        <f>"407-340-0912"</f>
        <v>407-340-0912</v>
      </c>
      <c r="E8299" s="2" t="s">
        <v>386</v>
      </c>
      <c r="F8299" s="2" t="s">
        <v>34559</v>
      </c>
      <c r="G8299" s="2" t="str">
        <f>"SR-11176"</f>
        <v>SR-11176</v>
      </c>
      <c r="H8299" s="2" t="s">
        <v>34560</v>
      </c>
      <c r="I8299" s="2" t="s">
        <v>34561</v>
      </c>
      <c r="K8299" s="2" t="s">
        <v>4724</v>
      </c>
      <c r="L8299" s="2" t="s">
        <v>208</v>
      </c>
      <c r="M8299" s="2">
        <v>32812.0</v>
      </c>
      <c r="N8299" s="2" t="s">
        <v>21</v>
      </c>
    </row>
    <row r="8300" ht="15.75" customHeight="1">
      <c r="A8300" s="2">
        <v>2017.0</v>
      </c>
      <c r="B8300" s="2" t="s">
        <v>34562</v>
      </c>
      <c r="C8300" s="2" t="s">
        <v>34563</v>
      </c>
      <c r="D8300" s="2" t="str">
        <f>"3036619143"</f>
        <v>3036619143</v>
      </c>
      <c r="E8300" s="2" t="s">
        <v>705</v>
      </c>
      <c r="F8300" s="2" t="s">
        <v>34564</v>
      </c>
      <c r="G8300" s="2" t="str">
        <f>"SR-11177"</f>
        <v>SR-11177</v>
      </c>
      <c r="H8300" s="2" t="s">
        <v>34565</v>
      </c>
      <c r="I8300" s="2" t="s">
        <v>34566</v>
      </c>
      <c r="K8300" s="2" t="s">
        <v>5288</v>
      </c>
      <c r="L8300" s="2" t="s">
        <v>157</v>
      </c>
      <c r="M8300" s="2">
        <v>80027.0</v>
      </c>
      <c r="N8300" s="2" t="s">
        <v>21</v>
      </c>
    </row>
    <row r="8301" ht="15.75" customHeight="1">
      <c r="A8301" s="2">
        <v>2017.0</v>
      </c>
      <c r="B8301" s="2" t="s">
        <v>34567</v>
      </c>
      <c r="C8301" s="2" t="s">
        <v>34567</v>
      </c>
      <c r="D8301" s="2" t="str">
        <f>"9099218960"</f>
        <v>9099218960</v>
      </c>
      <c r="E8301" s="2" t="s">
        <v>4275</v>
      </c>
      <c r="F8301" s="2" t="s">
        <v>34568</v>
      </c>
      <c r="G8301" s="2" t="str">
        <f>"SR-11175"</f>
        <v>SR-11175</v>
      </c>
      <c r="H8301" s="2" t="s">
        <v>34569</v>
      </c>
      <c r="I8301" s="2" t="s">
        <v>34570</v>
      </c>
      <c r="K8301" s="2" t="s">
        <v>34571</v>
      </c>
      <c r="L8301" s="2" t="s">
        <v>222</v>
      </c>
      <c r="M8301" s="2">
        <v>91737.0</v>
      </c>
      <c r="N8301" s="2" t="s">
        <v>21</v>
      </c>
    </row>
    <row r="8302" ht="15.75" customHeight="1">
      <c r="A8302" s="2">
        <v>2017.0</v>
      </c>
      <c r="B8302" s="2" t="s">
        <v>34572</v>
      </c>
      <c r="C8302" s="2" t="s">
        <v>34572</v>
      </c>
      <c r="D8302" s="2" t="str">
        <f>"505-336-3762"</f>
        <v>505-336-3762</v>
      </c>
      <c r="E8302" s="2" t="s">
        <v>485</v>
      </c>
      <c r="F8302" s="2" t="s">
        <v>34573</v>
      </c>
      <c r="G8302" s="2" t="str">
        <f>"SR-11142"</f>
        <v>SR-11142</v>
      </c>
      <c r="H8302" s="2" t="s">
        <v>34574</v>
      </c>
      <c r="I8302" s="2" t="s">
        <v>34575</v>
      </c>
      <c r="K8302" s="2" t="s">
        <v>3803</v>
      </c>
      <c r="L8302" s="2" t="s">
        <v>789</v>
      </c>
      <c r="M8302" s="2">
        <v>87124.0</v>
      </c>
      <c r="N8302" s="2" t="s">
        <v>21</v>
      </c>
    </row>
    <row r="8303" ht="15.75" customHeight="1">
      <c r="A8303" s="2">
        <v>2017.0</v>
      </c>
      <c r="B8303" s="2" t="s">
        <v>27844</v>
      </c>
      <c r="D8303" s="2" t="str">
        <f>""</f>
        <v/>
      </c>
      <c r="E8303" s="2" t="s">
        <v>1301</v>
      </c>
      <c r="F8303" s="2" t="s">
        <v>27845</v>
      </c>
      <c r="G8303" s="2" t="str">
        <f>"SR-8408"</f>
        <v>SR-8408</v>
      </c>
      <c r="H8303" s="2" t="s">
        <v>27846</v>
      </c>
    </row>
    <row r="8304" ht="15.75" customHeight="1">
      <c r="A8304" s="2">
        <v>2017.0</v>
      </c>
      <c r="B8304" s="2" t="s">
        <v>34576</v>
      </c>
      <c r="C8304" s="2" t="s">
        <v>34577</v>
      </c>
      <c r="D8304" s="2" t="str">
        <f>"7182572576"</f>
        <v>7182572576</v>
      </c>
      <c r="E8304" s="2" t="s">
        <v>2126</v>
      </c>
      <c r="F8304" s="2" t="s">
        <v>19619</v>
      </c>
      <c r="G8304" s="2" t="str">
        <f>"SR-11157"</f>
        <v>SR-11157</v>
      </c>
      <c r="H8304" s="2" t="s">
        <v>34578</v>
      </c>
      <c r="I8304" s="2" t="s">
        <v>34579</v>
      </c>
      <c r="K8304" s="2" t="s">
        <v>15498</v>
      </c>
      <c r="L8304" s="2" t="s">
        <v>142</v>
      </c>
      <c r="M8304" s="2">
        <v>11236.0</v>
      </c>
      <c r="N8304" s="2" t="s">
        <v>21</v>
      </c>
    </row>
    <row r="8305" ht="15.75" customHeight="1">
      <c r="A8305" s="2">
        <v>2017.0</v>
      </c>
      <c r="B8305" s="2" t="s">
        <v>29833</v>
      </c>
      <c r="C8305" s="2" t="s">
        <v>29834</v>
      </c>
      <c r="D8305" s="2" t="str">
        <f>"573-433-9408"</f>
        <v>573-433-9408</v>
      </c>
      <c r="E8305" s="2" t="s">
        <v>29835</v>
      </c>
      <c r="F8305" s="2" t="s">
        <v>283</v>
      </c>
      <c r="G8305" s="2" t="str">
        <f>"SR-9252"</f>
        <v>SR-9252</v>
      </c>
      <c r="H8305" s="2" t="s">
        <v>29836</v>
      </c>
      <c r="I8305" s="2" t="s">
        <v>29837</v>
      </c>
      <c r="K8305" s="2" t="s">
        <v>29838</v>
      </c>
      <c r="L8305" s="2" t="s">
        <v>539</v>
      </c>
      <c r="M8305" s="2">
        <v>36360.0</v>
      </c>
      <c r="N8305" s="2" t="s">
        <v>21</v>
      </c>
    </row>
    <row r="8306" ht="15.75" customHeight="1">
      <c r="A8306" s="2">
        <v>2017.0</v>
      </c>
      <c r="B8306" s="2" t="s">
        <v>34580</v>
      </c>
      <c r="C8306" s="2" t="s">
        <v>34580</v>
      </c>
      <c r="D8306" s="2" t="str">
        <f>"603-569-6267"</f>
        <v>603-569-6267</v>
      </c>
      <c r="E8306" s="2" t="s">
        <v>1664</v>
      </c>
      <c r="F8306" s="2" t="s">
        <v>34581</v>
      </c>
      <c r="G8306" s="2" t="str">
        <f>"SR-11154"</f>
        <v>SR-11154</v>
      </c>
      <c r="H8306" s="2" t="s">
        <v>34582</v>
      </c>
      <c r="I8306" s="2" t="s">
        <v>34583</v>
      </c>
      <c r="K8306" s="2" t="s">
        <v>25308</v>
      </c>
      <c r="L8306" s="2" t="s">
        <v>19930</v>
      </c>
      <c r="M8306" s="2">
        <v>3809.0</v>
      </c>
      <c r="N8306" s="2" t="s">
        <v>21</v>
      </c>
    </row>
    <row r="8307" ht="15.75" customHeight="1">
      <c r="A8307" s="2">
        <v>2017.0</v>
      </c>
      <c r="B8307" s="2" t="s">
        <v>34584</v>
      </c>
      <c r="C8307" s="2" t="s">
        <v>34585</v>
      </c>
      <c r="D8307" s="2" t="str">
        <f>"7312121932"</f>
        <v>7312121932</v>
      </c>
      <c r="E8307" s="2" t="s">
        <v>17971</v>
      </c>
      <c r="F8307" s="2" t="s">
        <v>34586</v>
      </c>
      <c r="G8307" s="2" t="str">
        <f>"SR-11185"</f>
        <v>SR-11185</v>
      </c>
      <c r="H8307" s="2" t="s">
        <v>34587</v>
      </c>
      <c r="I8307" s="2" t="s">
        <v>34588</v>
      </c>
      <c r="K8307" s="2" t="s">
        <v>2906</v>
      </c>
      <c r="L8307" s="2" t="s">
        <v>279</v>
      </c>
      <c r="M8307" s="2">
        <v>38052.0</v>
      </c>
      <c r="N8307" s="2" t="s">
        <v>21</v>
      </c>
    </row>
    <row r="8308" ht="15.75" customHeight="1">
      <c r="A8308" s="2">
        <v>2017.0</v>
      </c>
      <c r="B8308" s="2" t="s">
        <v>34589</v>
      </c>
      <c r="C8308" s="2" t="s">
        <v>34590</v>
      </c>
      <c r="D8308" s="2" t="str">
        <f>"609-618-6717"</f>
        <v>609-618-6717</v>
      </c>
      <c r="E8308" s="2" t="s">
        <v>1946</v>
      </c>
      <c r="F8308" s="2" t="s">
        <v>3320</v>
      </c>
      <c r="G8308" s="2" t="str">
        <f>"SR-11147"</f>
        <v>SR-11147</v>
      </c>
      <c r="H8308" s="2" t="s">
        <v>34591</v>
      </c>
      <c r="I8308" s="2" t="s">
        <v>34592</v>
      </c>
      <c r="K8308" s="2" t="s">
        <v>5108</v>
      </c>
      <c r="L8308" s="2" t="s">
        <v>539</v>
      </c>
      <c r="M8308" s="2">
        <v>35611.0</v>
      </c>
      <c r="N8308" s="2" t="s">
        <v>21</v>
      </c>
    </row>
    <row r="8309" ht="15.75" customHeight="1">
      <c r="A8309" s="2">
        <v>2017.0</v>
      </c>
      <c r="B8309" s="2" t="s">
        <v>34593</v>
      </c>
      <c r="C8309" s="2" t="s">
        <v>34594</v>
      </c>
      <c r="D8309" s="2" t="str">
        <f>"803-635-3842"</f>
        <v>803-635-3842</v>
      </c>
      <c r="E8309" s="2" t="s">
        <v>1208</v>
      </c>
      <c r="F8309" s="2" t="s">
        <v>7449</v>
      </c>
      <c r="G8309" s="2" t="str">
        <f>"SR-11184"</f>
        <v>SR-11184</v>
      </c>
      <c r="H8309" s="2" t="s">
        <v>34595</v>
      </c>
      <c r="I8309" s="2" t="s">
        <v>34596</v>
      </c>
      <c r="K8309" s="2" t="s">
        <v>8479</v>
      </c>
      <c r="L8309" s="2" t="s">
        <v>55</v>
      </c>
      <c r="M8309" s="2">
        <v>29016.0</v>
      </c>
      <c r="N8309" s="2" t="s">
        <v>21</v>
      </c>
    </row>
    <row r="8310" ht="15.75" customHeight="1">
      <c r="A8310" s="2">
        <v>2017.0</v>
      </c>
      <c r="B8310" s="2" t="s">
        <v>21533</v>
      </c>
      <c r="C8310" s="2" t="s">
        <v>34597</v>
      </c>
      <c r="D8310" s="2" t="str">
        <f>"219-838-8425"</f>
        <v>219-838-8425</v>
      </c>
      <c r="E8310" s="2" t="s">
        <v>580</v>
      </c>
      <c r="F8310" s="2" t="s">
        <v>591</v>
      </c>
      <c r="G8310" s="2" t="str">
        <f>"SR-11166"</f>
        <v>SR-11166</v>
      </c>
      <c r="H8310" s="2" t="s">
        <v>34598</v>
      </c>
      <c r="I8310" s="2" t="s">
        <v>21536</v>
      </c>
      <c r="K8310" s="2" t="s">
        <v>21537</v>
      </c>
      <c r="L8310" s="2" t="s">
        <v>149</v>
      </c>
      <c r="M8310" s="2">
        <v>46321.0</v>
      </c>
      <c r="N8310" s="2" t="s">
        <v>21</v>
      </c>
    </row>
    <row r="8311" ht="15.75" customHeight="1">
      <c r="A8311" s="2">
        <v>2017.0</v>
      </c>
      <c r="B8311" s="2" t="s">
        <v>34599</v>
      </c>
      <c r="C8311" s="2" t="s">
        <v>34600</v>
      </c>
      <c r="D8311" s="2" t="str">
        <f>"702-461-4274"</f>
        <v>702-461-4274</v>
      </c>
      <c r="E8311" s="2" t="s">
        <v>578</v>
      </c>
      <c r="F8311" s="2" t="s">
        <v>34601</v>
      </c>
      <c r="G8311" s="2" t="str">
        <f>"SR-10857"</f>
        <v>SR-10857</v>
      </c>
      <c r="H8311" s="2" t="s">
        <v>34602</v>
      </c>
      <c r="I8311" s="2" t="s">
        <v>34603</v>
      </c>
      <c r="K8311" s="2" t="s">
        <v>34604</v>
      </c>
      <c r="L8311" s="2" t="s">
        <v>172</v>
      </c>
      <c r="M8311" s="2">
        <v>78666.0</v>
      </c>
      <c r="N8311" s="2" t="s">
        <v>21</v>
      </c>
    </row>
    <row r="8312" ht="15.75" customHeight="1">
      <c r="A8312" s="2">
        <v>2017.0</v>
      </c>
      <c r="B8312" s="2" t="s">
        <v>34605</v>
      </c>
      <c r="C8312" s="2" t="s">
        <v>34606</v>
      </c>
      <c r="D8312" s="2" t="str">
        <f>"803-714-9947"</f>
        <v>803-714-9947</v>
      </c>
      <c r="E8312" s="2" t="s">
        <v>2891</v>
      </c>
      <c r="F8312" s="2" t="s">
        <v>34607</v>
      </c>
      <c r="G8312" s="2" t="str">
        <f>"SR-11192"</f>
        <v>SR-11192</v>
      </c>
      <c r="H8312" s="2" t="s">
        <v>34608</v>
      </c>
      <c r="I8312" s="2" t="s">
        <v>34609</v>
      </c>
      <c r="K8312" s="2" t="s">
        <v>2750</v>
      </c>
      <c r="L8312" s="2" t="s">
        <v>55</v>
      </c>
      <c r="M8312" s="2">
        <v>29203.0</v>
      </c>
      <c r="N8312" s="2" t="s">
        <v>21</v>
      </c>
    </row>
    <row r="8313" ht="15.75" customHeight="1">
      <c r="A8313" s="2">
        <v>2017.0</v>
      </c>
      <c r="B8313" s="2" t="s">
        <v>19329</v>
      </c>
      <c r="C8313" s="2" t="s">
        <v>25957</v>
      </c>
      <c r="D8313" s="2" t="str">
        <f>"(616) 634-9178"</f>
        <v>(616) 634-9178</v>
      </c>
      <c r="E8313" s="2" t="s">
        <v>908</v>
      </c>
      <c r="F8313" s="2" t="s">
        <v>1929</v>
      </c>
      <c r="G8313" s="2" t="str">
        <f>"SR-8094"</f>
        <v>SR-8094</v>
      </c>
      <c r="H8313" s="2" t="s">
        <v>25958</v>
      </c>
      <c r="I8313" s="2" t="s">
        <v>25959</v>
      </c>
      <c r="K8313" s="2" t="s">
        <v>28</v>
      </c>
      <c r="L8313" s="2" t="s">
        <v>29</v>
      </c>
      <c r="M8313" s="2">
        <v>49301.0</v>
      </c>
      <c r="N8313" s="2" t="s">
        <v>21</v>
      </c>
    </row>
    <row r="8314" ht="15.75" customHeight="1">
      <c r="A8314" s="2">
        <v>2017.0</v>
      </c>
      <c r="B8314" s="2" t="s">
        <v>34610</v>
      </c>
      <c r="C8314" s="2" t="s">
        <v>34611</v>
      </c>
      <c r="D8314" s="2" t="str">
        <f>"4024203415"</f>
        <v>4024203415</v>
      </c>
      <c r="E8314" s="2" t="s">
        <v>9197</v>
      </c>
      <c r="F8314" s="2" t="s">
        <v>34612</v>
      </c>
      <c r="G8314" s="2" t="str">
        <f>"SR-11198"</f>
        <v>SR-11198</v>
      </c>
      <c r="H8314" s="2" t="s">
        <v>34613</v>
      </c>
      <c r="I8314" s="2" t="s">
        <v>34614</v>
      </c>
      <c r="K8314" s="2" t="s">
        <v>572</v>
      </c>
      <c r="L8314" s="2" t="s">
        <v>757</v>
      </c>
      <c r="M8314" s="2">
        <v>68506.0</v>
      </c>
      <c r="N8314" s="2" t="s">
        <v>21</v>
      </c>
    </row>
    <row r="8315" ht="15.75" customHeight="1">
      <c r="A8315" s="2">
        <v>2017.0</v>
      </c>
      <c r="B8315" s="2" t="s">
        <v>30292</v>
      </c>
      <c r="C8315" s="2" t="s">
        <v>30293</v>
      </c>
      <c r="D8315" s="2" t="str">
        <f>"813-651-0089"</f>
        <v>813-651-0089</v>
      </c>
      <c r="E8315" s="2" t="s">
        <v>5760</v>
      </c>
      <c r="F8315" s="2" t="s">
        <v>9052</v>
      </c>
      <c r="G8315" s="2" t="str">
        <f>"SR-9458"</f>
        <v>SR-9458</v>
      </c>
      <c r="H8315" s="2" t="s">
        <v>30294</v>
      </c>
      <c r="I8315" s="2" t="s">
        <v>30295</v>
      </c>
      <c r="K8315" s="2" t="s">
        <v>2147</v>
      </c>
      <c r="L8315" s="2" t="s">
        <v>208</v>
      </c>
      <c r="M8315" s="2">
        <v>33511.0</v>
      </c>
      <c r="N8315" s="2" t="s">
        <v>21</v>
      </c>
    </row>
    <row r="8316" ht="15.75" customHeight="1">
      <c r="A8316" s="2">
        <v>2017.0</v>
      </c>
      <c r="B8316" s="2" t="s">
        <v>34589</v>
      </c>
      <c r="C8316" s="2" t="s">
        <v>34615</v>
      </c>
      <c r="D8316" s="2" t="str">
        <f>"256-374-2385"</f>
        <v>256-374-2385</v>
      </c>
      <c r="E8316" s="2" t="s">
        <v>705</v>
      </c>
      <c r="F8316" s="2" t="s">
        <v>3320</v>
      </c>
      <c r="G8316" s="2" t="str">
        <f>"SR-11188"</f>
        <v>SR-11188</v>
      </c>
      <c r="H8316" s="2" t="s">
        <v>34616</v>
      </c>
      <c r="I8316" s="2" t="s">
        <v>34617</v>
      </c>
      <c r="K8316" s="2" t="s">
        <v>5108</v>
      </c>
      <c r="L8316" s="2" t="s">
        <v>539</v>
      </c>
      <c r="M8316" s="2">
        <v>35611.0</v>
      </c>
      <c r="N8316" s="2" t="s">
        <v>21</v>
      </c>
    </row>
    <row r="8317" ht="15.75" customHeight="1">
      <c r="A8317" s="2">
        <v>2017.0</v>
      </c>
      <c r="B8317" s="2" t="s">
        <v>34618</v>
      </c>
      <c r="C8317" s="2" t="s">
        <v>34619</v>
      </c>
      <c r="D8317" s="2" t="str">
        <f>"806-577-1629"</f>
        <v>806-577-1629</v>
      </c>
      <c r="E8317" s="2" t="s">
        <v>34353</v>
      </c>
      <c r="F8317" s="2" t="s">
        <v>34620</v>
      </c>
      <c r="G8317" s="2" t="str">
        <f>"SR-10704"</f>
        <v>SR-10704</v>
      </c>
      <c r="H8317" s="2" t="s">
        <v>34621</v>
      </c>
      <c r="I8317" s="2" t="s">
        <v>34622</v>
      </c>
      <c r="K8317" s="2" t="s">
        <v>1121</v>
      </c>
      <c r="L8317" s="2" t="s">
        <v>172</v>
      </c>
      <c r="M8317" s="2">
        <v>79424.0</v>
      </c>
      <c r="N8317" s="2" t="s">
        <v>21</v>
      </c>
    </row>
    <row r="8318" ht="15.75" customHeight="1">
      <c r="A8318" s="2">
        <v>2017.0</v>
      </c>
      <c r="B8318" s="2" t="s">
        <v>7415</v>
      </c>
      <c r="C8318" s="2" t="s">
        <v>34623</v>
      </c>
      <c r="D8318" s="2" t="str">
        <f>"319-378-0993"</f>
        <v>319-378-0993</v>
      </c>
      <c r="E8318" s="2" t="s">
        <v>100</v>
      </c>
      <c r="F8318" s="2" t="s">
        <v>1083</v>
      </c>
      <c r="G8318" s="2" t="str">
        <f>"SR-11152"</f>
        <v>SR-11152</v>
      </c>
      <c r="H8318" s="2" t="s">
        <v>34624</v>
      </c>
      <c r="I8318" s="2" t="s">
        <v>34625</v>
      </c>
      <c r="K8318" s="2" t="s">
        <v>3273</v>
      </c>
      <c r="L8318" s="2" t="s">
        <v>560</v>
      </c>
      <c r="M8318" s="2">
        <v>52411.0</v>
      </c>
      <c r="N8318" s="2" t="s">
        <v>21</v>
      </c>
    </row>
    <row r="8319" ht="15.75" customHeight="1">
      <c r="A8319" s="2">
        <v>2017.0</v>
      </c>
      <c r="B8319" s="2" t="s">
        <v>23671</v>
      </c>
      <c r="C8319" s="2" t="s">
        <v>23671</v>
      </c>
      <c r="D8319" s="2" t="str">
        <f>"9136834605"</f>
        <v>9136834605</v>
      </c>
      <c r="E8319" s="2" t="s">
        <v>167</v>
      </c>
      <c r="F8319" s="2" t="s">
        <v>23672</v>
      </c>
      <c r="G8319" s="2" t="str">
        <f>"SR-9954"</f>
        <v>SR-9954</v>
      </c>
      <c r="H8319" s="2" t="s">
        <v>23673</v>
      </c>
      <c r="I8319" s="2">
        <v>19778.0</v>
      </c>
      <c r="J8319" s="2" t="s">
        <v>34626</v>
      </c>
      <c r="K8319" s="2" t="s">
        <v>23675</v>
      </c>
      <c r="L8319" s="2" t="s">
        <v>272</v>
      </c>
      <c r="M8319" s="2">
        <v>66048.0</v>
      </c>
      <c r="N8319" s="2" t="s">
        <v>21</v>
      </c>
    </row>
    <row r="8320" ht="15.75" customHeight="1">
      <c r="A8320" s="2">
        <v>2017.0</v>
      </c>
      <c r="B8320" s="2" t="s">
        <v>26993</v>
      </c>
      <c r="C8320" s="2" t="s">
        <v>26994</v>
      </c>
      <c r="D8320" s="2" t="str">
        <f>"703 753 5177"</f>
        <v>703 753 5177</v>
      </c>
      <c r="E8320" s="2" t="s">
        <v>447</v>
      </c>
      <c r="F8320" s="2" t="s">
        <v>10257</v>
      </c>
      <c r="G8320" s="2" t="str">
        <f>"SR-8346"</f>
        <v>SR-8346</v>
      </c>
      <c r="H8320" s="2" t="s">
        <v>26995</v>
      </c>
      <c r="I8320" s="2" t="s">
        <v>12515</v>
      </c>
      <c r="K8320" s="2" t="s">
        <v>12516</v>
      </c>
      <c r="L8320" s="2" t="s">
        <v>165</v>
      </c>
      <c r="M8320" s="2">
        <v>20169.0</v>
      </c>
      <c r="N8320" s="2" t="s">
        <v>21</v>
      </c>
    </row>
    <row r="8321" ht="15.75" customHeight="1">
      <c r="A8321" s="2">
        <v>2017.0</v>
      </c>
      <c r="B8321" s="2" t="s">
        <v>34627</v>
      </c>
      <c r="C8321" s="2" t="s">
        <v>34628</v>
      </c>
      <c r="D8321" s="2" t="str">
        <f>"361-232-2259"</f>
        <v>361-232-2259</v>
      </c>
      <c r="E8321" s="2" t="s">
        <v>261</v>
      </c>
      <c r="F8321" s="2" t="s">
        <v>18073</v>
      </c>
      <c r="G8321" s="2" t="str">
        <f>"SR-10424"</f>
        <v>SR-10424</v>
      </c>
      <c r="H8321" s="2" t="s">
        <v>34629</v>
      </c>
      <c r="I8321" s="2" t="s">
        <v>34630</v>
      </c>
      <c r="K8321" s="2" t="s">
        <v>3987</v>
      </c>
      <c r="L8321" s="2" t="s">
        <v>172</v>
      </c>
      <c r="M8321" s="2">
        <v>78411.0</v>
      </c>
      <c r="N8321" s="2" t="s">
        <v>21</v>
      </c>
    </row>
    <row r="8322" ht="15.75" customHeight="1">
      <c r="A8322" s="2">
        <v>2017.0</v>
      </c>
      <c r="B8322" s="2" t="s">
        <v>34631</v>
      </c>
      <c r="C8322" s="2" t="s">
        <v>34632</v>
      </c>
      <c r="D8322" s="2" t="str">
        <f>"307-548-7060"</f>
        <v>307-548-7060</v>
      </c>
      <c r="E8322" s="2" t="s">
        <v>4749</v>
      </c>
      <c r="F8322" s="2" t="s">
        <v>962</v>
      </c>
      <c r="G8322" s="2" t="str">
        <f>"SR-11174"</f>
        <v>SR-11174</v>
      </c>
      <c r="H8322" s="2" t="s">
        <v>31115</v>
      </c>
      <c r="I8322" s="2" t="s">
        <v>34633</v>
      </c>
      <c r="J8322" s="2" t="s">
        <v>34634</v>
      </c>
      <c r="K8322" s="2" t="s">
        <v>11259</v>
      </c>
      <c r="L8322" s="2" t="s">
        <v>1540</v>
      </c>
      <c r="M8322" s="2">
        <v>82420.0</v>
      </c>
      <c r="N8322" s="2" t="s">
        <v>21</v>
      </c>
    </row>
    <row r="8323" ht="15.75" customHeight="1">
      <c r="A8323" s="2">
        <v>2017.0</v>
      </c>
      <c r="B8323" s="2" t="s">
        <v>26993</v>
      </c>
      <c r="C8323" s="2" t="s">
        <v>34635</v>
      </c>
      <c r="D8323" s="2" t="str">
        <f>"850-624-3474"</f>
        <v>850-624-3474</v>
      </c>
      <c r="E8323" s="2" t="s">
        <v>339</v>
      </c>
      <c r="F8323" s="2" t="s">
        <v>34636</v>
      </c>
      <c r="G8323" s="2" t="str">
        <f>"SR-11162"</f>
        <v>SR-11162</v>
      </c>
      <c r="H8323" s="2" t="s">
        <v>34637</v>
      </c>
      <c r="I8323" s="2" t="s">
        <v>34638</v>
      </c>
      <c r="K8323" s="2" t="s">
        <v>3239</v>
      </c>
      <c r="L8323" s="2" t="s">
        <v>165</v>
      </c>
      <c r="M8323" s="2">
        <v>22153.0</v>
      </c>
      <c r="N8323" s="2" t="s">
        <v>21</v>
      </c>
    </row>
    <row r="8324" ht="15.75" customHeight="1">
      <c r="A8324" s="2">
        <v>2017.0</v>
      </c>
      <c r="B8324" s="2" t="s">
        <v>34639</v>
      </c>
      <c r="C8324" s="2" t="s">
        <v>34640</v>
      </c>
      <c r="D8324" s="2" t="str">
        <f>"940-367-4270"</f>
        <v>940-367-4270</v>
      </c>
      <c r="E8324" s="2" t="s">
        <v>167</v>
      </c>
      <c r="F8324" s="2" t="s">
        <v>15428</v>
      </c>
      <c r="G8324" s="2" t="str">
        <f>"SR-11202"</f>
        <v>SR-11202</v>
      </c>
      <c r="H8324" s="2" t="s">
        <v>34641</v>
      </c>
      <c r="I8324" s="2">
        <v>6675.0</v>
      </c>
      <c r="J8324" s="2" t="s">
        <v>34642</v>
      </c>
      <c r="K8324" s="2" t="s">
        <v>9975</v>
      </c>
      <c r="L8324" s="2" t="s">
        <v>172</v>
      </c>
      <c r="M8324" s="2">
        <v>76227.0</v>
      </c>
      <c r="N8324" s="2" t="s">
        <v>21</v>
      </c>
    </row>
    <row r="8325" ht="15.75" customHeight="1">
      <c r="A8325" s="2">
        <v>2017.0</v>
      </c>
      <c r="B8325" s="2" t="s">
        <v>25384</v>
      </c>
      <c r="C8325" s="2" t="s">
        <v>25385</v>
      </c>
      <c r="D8325" s="2" t="str">
        <f>"7209352015"</f>
        <v>7209352015</v>
      </c>
      <c r="E8325" s="2" t="s">
        <v>261</v>
      </c>
      <c r="F8325" s="2" t="s">
        <v>25386</v>
      </c>
      <c r="G8325" s="2" t="str">
        <f>"SR-8015"</f>
        <v>SR-8015</v>
      </c>
      <c r="H8325" s="2" t="s">
        <v>25387</v>
      </c>
      <c r="I8325" s="2" t="s">
        <v>25388</v>
      </c>
      <c r="K8325" s="2" t="s">
        <v>6514</v>
      </c>
      <c r="L8325" s="2" t="s">
        <v>157</v>
      </c>
      <c r="M8325" s="2">
        <v>80235.0</v>
      </c>
      <c r="N8325" s="2" t="s">
        <v>21</v>
      </c>
    </row>
    <row r="8326" ht="15.75" customHeight="1">
      <c r="A8326" s="2">
        <v>2017.0</v>
      </c>
      <c r="B8326" s="2" t="s">
        <v>34643</v>
      </c>
      <c r="C8326" s="2" t="s">
        <v>34644</v>
      </c>
      <c r="D8326" s="2" t="str">
        <f>"715-410-6104"</f>
        <v>715-410-6104</v>
      </c>
      <c r="E8326" s="2" t="s">
        <v>2936</v>
      </c>
      <c r="F8326" s="2" t="s">
        <v>34645</v>
      </c>
      <c r="G8326" s="2" t="str">
        <f>"SR-11146"</f>
        <v>SR-11146</v>
      </c>
      <c r="H8326" s="2" t="s">
        <v>34646</v>
      </c>
      <c r="I8326" s="2" t="s">
        <v>34647</v>
      </c>
      <c r="K8326" s="2" t="s">
        <v>6438</v>
      </c>
      <c r="L8326" s="2" t="s">
        <v>193</v>
      </c>
      <c r="M8326" s="2">
        <v>54020.0</v>
      </c>
      <c r="N8326" s="2" t="s">
        <v>21</v>
      </c>
    </row>
    <row r="8327" ht="15.75" customHeight="1">
      <c r="A8327" s="2">
        <v>2017.0</v>
      </c>
      <c r="B8327" s="2" t="s">
        <v>34648</v>
      </c>
      <c r="C8327" s="2" t="s">
        <v>34649</v>
      </c>
      <c r="D8327" s="2" t="str">
        <f>"318-278-2466"</f>
        <v>318-278-2466</v>
      </c>
      <c r="E8327" s="2" t="s">
        <v>931</v>
      </c>
      <c r="F8327" s="2" t="s">
        <v>11586</v>
      </c>
      <c r="G8327" s="2" t="str">
        <f>"SR-10549"</f>
        <v>SR-10549</v>
      </c>
      <c r="H8327" s="2" t="s">
        <v>34650</v>
      </c>
      <c r="I8327" s="2" t="s">
        <v>34651</v>
      </c>
      <c r="K8327" s="2" t="s">
        <v>714</v>
      </c>
      <c r="L8327" s="2" t="s">
        <v>715</v>
      </c>
      <c r="M8327" s="2">
        <v>71270.0</v>
      </c>
      <c r="N8327" s="2" t="s">
        <v>21</v>
      </c>
    </row>
    <row r="8328" ht="15.75" customHeight="1">
      <c r="A8328" s="2">
        <v>2017.0</v>
      </c>
      <c r="B8328" s="2" t="s">
        <v>34652</v>
      </c>
      <c r="C8328" s="2" t="s">
        <v>34652</v>
      </c>
      <c r="D8328" s="2" t="str">
        <f>"5167462986"</f>
        <v>5167462986</v>
      </c>
      <c r="E8328" s="2" t="s">
        <v>18027</v>
      </c>
      <c r="F8328" s="2" t="s">
        <v>34653</v>
      </c>
      <c r="G8328" s="2" t="str">
        <f>"SR-10036"</f>
        <v>SR-10036</v>
      </c>
      <c r="H8328" s="2" t="s">
        <v>34654</v>
      </c>
      <c r="I8328" s="2" t="s">
        <v>34655</v>
      </c>
      <c r="K8328" s="2" t="s">
        <v>1583</v>
      </c>
      <c r="L8328" s="2" t="s">
        <v>142</v>
      </c>
      <c r="M8328" s="2">
        <v>11530.0</v>
      </c>
      <c r="N8328" s="2" t="s">
        <v>21</v>
      </c>
    </row>
    <row r="8329" ht="15.75" customHeight="1">
      <c r="A8329" s="2">
        <v>2017.0</v>
      </c>
      <c r="B8329" s="2" t="s">
        <v>34656</v>
      </c>
      <c r="C8329" s="2" t="s">
        <v>34657</v>
      </c>
      <c r="D8329" s="2" t="str">
        <f>"314-249-1259"</f>
        <v>314-249-1259</v>
      </c>
      <c r="E8329" s="2" t="s">
        <v>1263</v>
      </c>
      <c r="F8329" s="2" t="s">
        <v>1151</v>
      </c>
      <c r="G8329" s="2" t="str">
        <f>"SR-11179"</f>
        <v>SR-11179</v>
      </c>
      <c r="H8329" s="2" t="s">
        <v>17829</v>
      </c>
      <c r="I8329" s="2" t="s">
        <v>34658</v>
      </c>
      <c r="K8329" s="2" t="s">
        <v>34659</v>
      </c>
      <c r="L8329" s="2" t="s">
        <v>214</v>
      </c>
      <c r="M8329" s="2">
        <v>63304.0</v>
      </c>
      <c r="N8329" s="2" t="s">
        <v>21</v>
      </c>
    </row>
    <row r="8330" ht="15.75" customHeight="1">
      <c r="A8330" s="2">
        <v>2017.0</v>
      </c>
      <c r="B8330" s="2" t="s">
        <v>34660</v>
      </c>
      <c r="C8330" s="2" t="s">
        <v>34660</v>
      </c>
      <c r="D8330" s="2" t="str">
        <f>"(813) 495-0284"</f>
        <v>(813) 495-0284</v>
      </c>
      <c r="E8330" s="2" t="s">
        <v>34661</v>
      </c>
      <c r="F8330" s="2" t="s">
        <v>2632</v>
      </c>
      <c r="G8330" s="2" t="str">
        <f>"SR-10982"</f>
        <v>SR-10982</v>
      </c>
      <c r="H8330" s="2" t="s">
        <v>34662</v>
      </c>
      <c r="I8330" s="2" t="s">
        <v>34663</v>
      </c>
      <c r="K8330" s="2" t="s">
        <v>10322</v>
      </c>
      <c r="L8330" s="2" t="s">
        <v>208</v>
      </c>
      <c r="M8330" s="2">
        <v>33527.0</v>
      </c>
      <c r="N8330" s="2" t="s">
        <v>21</v>
      </c>
    </row>
    <row r="8331" ht="15.75" customHeight="1">
      <c r="A8331" s="2">
        <v>2017.0</v>
      </c>
      <c r="B8331" s="2" t="s">
        <v>34664</v>
      </c>
      <c r="C8331" s="2" t="s">
        <v>34665</v>
      </c>
      <c r="D8331" s="2" t="str">
        <f>"8507282676"</f>
        <v>8507282676</v>
      </c>
      <c r="E8331" s="2" t="s">
        <v>15902</v>
      </c>
      <c r="F8331" s="2" t="s">
        <v>20109</v>
      </c>
      <c r="G8331" s="2" t="str">
        <f>"SR-11211"</f>
        <v>SR-11211</v>
      </c>
      <c r="H8331" s="2" t="s">
        <v>34666</v>
      </c>
      <c r="I8331" s="2" t="s">
        <v>34667</v>
      </c>
      <c r="K8331" s="2" t="s">
        <v>16529</v>
      </c>
      <c r="L8331" s="2" t="s">
        <v>208</v>
      </c>
      <c r="M8331" s="2">
        <v>32352.0</v>
      </c>
      <c r="N8331" s="2" t="s">
        <v>21</v>
      </c>
    </row>
    <row r="8332" ht="15.75" customHeight="1">
      <c r="A8332" s="2">
        <v>2017.0</v>
      </c>
      <c r="B8332" s="2" t="s">
        <v>22972</v>
      </c>
      <c r="C8332" s="2" t="s">
        <v>22972</v>
      </c>
      <c r="D8332" s="2" t="str">
        <f>"8134548061"</f>
        <v>8134548061</v>
      </c>
      <c r="E8332" s="2" t="s">
        <v>908</v>
      </c>
      <c r="F8332" s="2" t="s">
        <v>15402</v>
      </c>
      <c r="G8332" s="2" t="str">
        <f>"SR-5532"</f>
        <v>SR-5532</v>
      </c>
      <c r="H8332" s="2" t="s">
        <v>22973</v>
      </c>
      <c r="I8332" s="2" t="s">
        <v>15404</v>
      </c>
      <c r="K8332" s="2" t="s">
        <v>5683</v>
      </c>
      <c r="L8332" s="2" t="s">
        <v>208</v>
      </c>
      <c r="M8332" s="2">
        <v>33596.0</v>
      </c>
      <c r="N8332" s="2" t="s">
        <v>21</v>
      </c>
    </row>
    <row r="8333" ht="15.75" customHeight="1">
      <c r="A8333" s="2">
        <v>2017.0</v>
      </c>
      <c r="B8333" s="2" t="s">
        <v>34664</v>
      </c>
      <c r="C8333" s="2" t="s">
        <v>34668</v>
      </c>
      <c r="D8333" s="2" t="str">
        <f>"850-728-5907"</f>
        <v>850-728-5907</v>
      </c>
      <c r="E8333" s="2" t="s">
        <v>580</v>
      </c>
      <c r="F8333" s="2" t="s">
        <v>20109</v>
      </c>
      <c r="G8333" s="2" t="str">
        <f>"SR-11217"</f>
        <v>SR-11217</v>
      </c>
      <c r="H8333" s="2" t="s">
        <v>34669</v>
      </c>
      <c r="I8333" s="2" t="s">
        <v>34667</v>
      </c>
      <c r="K8333" s="2" t="s">
        <v>16529</v>
      </c>
      <c r="L8333" s="2" t="s">
        <v>208</v>
      </c>
      <c r="M8333" s="2">
        <v>32352.0</v>
      </c>
      <c r="N8333" s="2" t="s">
        <v>21</v>
      </c>
    </row>
    <row r="8334" ht="15.75" customHeight="1">
      <c r="A8334" s="2">
        <v>2017.0</v>
      </c>
      <c r="B8334" s="2" t="s">
        <v>34670</v>
      </c>
      <c r="C8334" s="2" t="s">
        <v>34671</v>
      </c>
      <c r="D8334" s="2" t="str">
        <f>"6168225393"</f>
        <v>6168225393</v>
      </c>
      <c r="E8334" s="2" t="s">
        <v>1548</v>
      </c>
      <c r="F8334" s="2" t="s">
        <v>2350</v>
      </c>
      <c r="G8334" s="2" t="str">
        <f>"SR-11206"</f>
        <v>SR-11206</v>
      </c>
      <c r="H8334" s="2" t="s">
        <v>34672</v>
      </c>
      <c r="I8334" s="2" t="s">
        <v>34673</v>
      </c>
      <c r="K8334" s="2" t="s">
        <v>16428</v>
      </c>
      <c r="L8334" s="2" t="s">
        <v>29</v>
      </c>
      <c r="M8334" s="2">
        <v>49426.0</v>
      </c>
      <c r="N8334" s="2" t="s">
        <v>21</v>
      </c>
    </row>
    <row r="8335" ht="15.75" customHeight="1">
      <c r="A8335" s="2">
        <v>2017.0</v>
      </c>
      <c r="B8335" s="2" t="s">
        <v>34674</v>
      </c>
      <c r="C8335" s="2" t="s">
        <v>34674</v>
      </c>
      <c r="D8335" s="2" t="str">
        <f>"803.341.1526"</f>
        <v>803.341.1526</v>
      </c>
      <c r="E8335" s="2" t="s">
        <v>386</v>
      </c>
      <c r="F8335" s="2" t="s">
        <v>34675</v>
      </c>
      <c r="G8335" s="2" t="str">
        <f>"SR-11219"</f>
        <v>SR-11219</v>
      </c>
      <c r="H8335" s="2" t="s">
        <v>34676</v>
      </c>
      <c r="I8335" s="2" t="s">
        <v>34677</v>
      </c>
      <c r="K8335" s="2" t="s">
        <v>29425</v>
      </c>
      <c r="L8335" s="2" t="s">
        <v>55</v>
      </c>
      <c r="M8335" s="2">
        <v>29860.0</v>
      </c>
      <c r="N8335" s="2" t="s">
        <v>21</v>
      </c>
    </row>
    <row r="8336" ht="15.75" customHeight="1">
      <c r="A8336" s="2">
        <v>2017.0</v>
      </c>
      <c r="B8336" s="2" t="s">
        <v>34678</v>
      </c>
      <c r="C8336" s="2" t="s">
        <v>34679</v>
      </c>
      <c r="D8336" s="2" t="str">
        <f>"6038095860"</f>
        <v>6038095860</v>
      </c>
      <c r="E8336" s="2" t="s">
        <v>12253</v>
      </c>
      <c r="F8336" s="2" t="s">
        <v>690</v>
      </c>
      <c r="G8336" s="2" t="str">
        <f>"SR-11221"</f>
        <v>SR-11221</v>
      </c>
      <c r="H8336" s="2" t="s">
        <v>34680</v>
      </c>
      <c r="I8336" s="2" t="s">
        <v>34681</v>
      </c>
      <c r="K8336" s="2" t="s">
        <v>34682</v>
      </c>
      <c r="L8336" s="2" t="s">
        <v>19930</v>
      </c>
      <c r="M8336" s="2">
        <v>3049.0</v>
      </c>
      <c r="N8336" s="2" t="s">
        <v>21</v>
      </c>
    </row>
    <row r="8337" ht="15.75" customHeight="1">
      <c r="A8337" s="2">
        <v>2017.0</v>
      </c>
      <c r="B8337" s="2" t="s">
        <v>34683</v>
      </c>
      <c r="C8337" s="2" t="s">
        <v>34684</v>
      </c>
      <c r="D8337" s="2" t="str">
        <f>"828-963-3577"</f>
        <v>828-963-3577</v>
      </c>
      <c r="E8337" s="2" t="s">
        <v>7517</v>
      </c>
      <c r="F8337" s="2" t="s">
        <v>34685</v>
      </c>
      <c r="G8337" s="2" t="str">
        <f>"SR-11222"</f>
        <v>SR-11222</v>
      </c>
      <c r="H8337" s="2" t="s">
        <v>34686</v>
      </c>
      <c r="I8337" s="2" t="s">
        <v>34687</v>
      </c>
      <c r="K8337" s="2" t="s">
        <v>34688</v>
      </c>
      <c r="L8337" s="2" t="s">
        <v>20</v>
      </c>
      <c r="M8337" s="2">
        <v>28698.0</v>
      </c>
      <c r="N8337" s="2" t="s">
        <v>21</v>
      </c>
    </row>
    <row r="8338" ht="15.75" customHeight="1">
      <c r="A8338" s="2">
        <v>2017.0</v>
      </c>
      <c r="B8338" s="2" t="s">
        <v>25484</v>
      </c>
      <c r="C8338" s="2" t="s">
        <v>25485</v>
      </c>
      <c r="D8338" s="2" t="str">
        <f>"803.795.7471"</f>
        <v>803.795.7471</v>
      </c>
      <c r="E8338" s="2" t="s">
        <v>908</v>
      </c>
      <c r="F8338" s="2" t="s">
        <v>847</v>
      </c>
      <c r="G8338" s="2" t="str">
        <f>"SR-8008"</f>
        <v>SR-8008</v>
      </c>
      <c r="H8338" s="2" t="s">
        <v>25486</v>
      </c>
      <c r="I8338" s="2" t="s">
        <v>25487</v>
      </c>
      <c r="K8338" s="2" t="s">
        <v>25488</v>
      </c>
      <c r="L8338" s="2" t="s">
        <v>55</v>
      </c>
      <c r="M8338" s="2">
        <v>29150.0</v>
      </c>
      <c r="N8338" s="2" t="s">
        <v>21</v>
      </c>
    </row>
    <row r="8339" ht="15.75" customHeight="1">
      <c r="A8339" s="2">
        <v>2017.0</v>
      </c>
      <c r="B8339" s="2" t="s">
        <v>34689</v>
      </c>
      <c r="C8339" s="2" t="s">
        <v>34689</v>
      </c>
      <c r="D8339" s="2" t="str">
        <f>"9102642114"</f>
        <v>9102642114</v>
      </c>
      <c r="E8339" s="2" t="s">
        <v>14532</v>
      </c>
      <c r="F8339" s="2" t="s">
        <v>2662</v>
      </c>
      <c r="G8339" s="2" t="str">
        <f>"SR-10739"</f>
        <v>SR-10739</v>
      </c>
      <c r="H8339" s="2" t="s">
        <v>34690</v>
      </c>
      <c r="I8339" s="2" t="s">
        <v>34691</v>
      </c>
      <c r="K8339" s="2" t="s">
        <v>11784</v>
      </c>
      <c r="L8339" s="2" t="s">
        <v>20</v>
      </c>
      <c r="M8339" s="2">
        <v>28412.0</v>
      </c>
      <c r="N8339" s="2" t="s">
        <v>21</v>
      </c>
    </row>
    <row r="8340" ht="15.75" customHeight="1">
      <c r="A8340" s="2">
        <v>2017.0</v>
      </c>
      <c r="B8340" s="2" t="s">
        <v>34692</v>
      </c>
      <c r="C8340" s="2" t="s">
        <v>34693</v>
      </c>
      <c r="D8340" s="2" t="str">
        <f>"803 524 9693"</f>
        <v>803 524 9693</v>
      </c>
      <c r="E8340" s="2" t="s">
        <v>1251</v>
      </c>
      <c r="F8340" s="2" t="s">
        <v>639</v>
      </c>
      <c r="G8340" s="2" t="str">
        <f>"SR-11215"</f>
        <v>SR-11215</v>
      </c>
      <c r="H8340" s="2" t="s">
        <v>34694</v>
      </c>
      <c r="I8340" s="2" t="s">
        <v>34695</v>
      </c>
      <c r="K8340" s="2" t="s">
        <v>29754</v>
      </c>
      <c r="L8340" s="2" t="s">
        <v>55</v>
      </c>
      <c r="M8340" s="2">
        <v>29732.0</v>
      </c>
      <c r="N8340" s="2" t="s">
        <v>21</v>
      </c>
    </row>
    <row r="8341" ht="15.75" customHeight="1">
      <c r="A8341" s="2">
        <v>2017.0</v>
      </c>
      <c r="B8341" s="2" t="s">
        <v>34696</v>
      </c>
      <c r="C8341" s="2" t="s">
        <v>34697</v>
      </c>
      <c r="D8341" s="2" t="str">
        <f>"719-529-0946"</f>
        <v>719-529-0946</v>
      </c>
      <c r="E8341" s="2" t="s">
        <v>417</v>
      </c>
      <c r="F8341" s="2" t="s">
        <v>34698</v>
      </c>
      <c r="G8341" s="2" t="str">
        <f>"SR-11112"</f>
        <v>SR-11112</v>
      </c>
      <c r="H8341" s="2" t="s">
        <v>34699</v>
      </c>
      <c r="I8341" s="2" t="s">
        <v>34700</v>
      </c>
      <c r="K8341" s="2" t="s">
        <v>12320</v>
      </c>
      <c r="L8341" s="2" t="s">
        <v>157</v>
      </c>
      <c r="M8341" s="2">
        <v>81039.0</v>
      </c>
      <c r="N8341" s="2" t="s">
        <v>21</v>
      </c>
    </row>
    <row r="8342" ht="15.75" customHeight="1">
      <c r="A8342" s="2">
        <v>2017.0</v>
      </c>
      <c r="B8342" s="2" t="s">
        <v>34701</v>
      </c>
      <c r="C8342" s="2" t="s">
        <v>34702</v>
      </c>
      <c r="D8342" s="2" t="str">
        <f>"989.948.8374"</f>
        <v>989.948.8374</v>
      </c>
      <c r="E8342" s="2" t="s">
        <v>72</v>
      </c>
      <c r="F8342" s="2" t="s">
        <v>34703</v>
      </c>
      <c r="G8342" s="2" t="str">
        <f>"SR-11148"</f>
        <v>SR-11148</v>
      </c>
      <c r="H8342" s="2" t="s">
        <v>34704</v>
      </c>
      <c r="I8342" s="2" t="s">
        <v>34705</v>
      </c>
      <c r="K8342" s="2" t="s">
        <v>286</v>
      </c>
      <c r="L8342" s="2" t="s">
        <v>29</v>
      </c>
      <c r="M8342" s="2">
        <v>48640.0</v>
      </c>
      <c r="N8342" s="2" t="s">
        <v>21</v>
      </c>
    </row>
    <row r="8343" ht="15.75" customHeight="1">
      <c r="A8343" s="2">
        <v>2017.0</v>
      </c>
      <c r="B8343" s="2" t="s">
        <v>34706</v>
      </c>
      <c r="C8343" s="2" t="s">
        <v>34707</v>
      </c>
      <c r="D8343" s="2" t="str">
        <f>"419.612.5309"</f>
        <v>419.612.5309</v>
      </c>
      <c r="E8343" s="2" t="s">
        <v>955</v>
      </c>
      <c r="F8343" s="2" t="s">
        <v>34708</v>
      </c>
      <c r="G8343" s="2" t="str">
        <f>"SR-11189"</f>
        <v>SR-11189</v>
      </c>
      <c r="H8343" s="2" t="s">
        <v>34709</v>
      </c>
      <c r="I8343" s="2" t="s">
        <v>34710</v>
      </c>
      <c r="K8343" s="2" t="s">
        <v>4782</v>
      </c>
      <c r="L8343" s="2" t="s">
        <v>344</v>
      </c>
      <c r="M8343" s="2">
        <v>44875.0</v>
      </c>
      <c r="N8343" s="2" t="s">
        <v>21</v>
      </c>
    </row>
    <row r="8344" ht="15.75" customHeight="1">
      <c r="A8344" s="2">
        <v>2017.0</v>
      </c>
      <c r="B8344" s="2" t="s">
        <v>34706</v>
      </c>
      <c r="C8344" s="2" t="s">
        <v>34711</v>
      </c>
      <c r="D8344" s="2" t="str">
        <f>"419.566.7185"</f>
        <v>419.566.7185</v>
      </c>
      <c r="E8344" s="2" t="s">
        <v>485</v>
      </c>
      <c r="F8344" s="2" t="s">
        <v>34712</v>
      </c>
      <c r="G8344" s="2" t="str">
        <f>"SR-11195"</f>
        <v>SR-11195</v>
      </c>
      <c r="H8344" s="2" t="s">
        <v>34713</v>
      </c>
      <c r="I8344" s="2" t="s">
        <v>34714</v>
      </c>
      <c r="K8344" s="2" t="s">
        <v>4782</v>
      </c>
      <c r="L8344" s="2" t="s">
        <v>344</v>
      </c>
      <c r="M8344" s="2">
        <v>44875.0</v>
      </c>
      <c r="N8344" s="2" t="s">
        <v>21</v>
      </c>
    </row>
    <row r="8345" ht="15.75" customHeight="1">
      <c r="A8345" s="2">
        <v>2017.0</v>
      </c>
      <c r="B8345" s="2" t="s">
        <v>34715</v>
      </c>
      <c r="C8345" s="2" t="s">
        <v>34716</v>
      </c>
      <c r="D8345" s="2" t="str">
        <f>"4029290959"</f>
        <v>4029290959</v>
      </c>
      <c r="E8345" s="2" t="s">
        <v>34717</v>
      </c>
      <c r="F8345" s="2" t="s">
        <v>34718</v>
      </c>
      <c r="G8345" s="2" t="str">
        <f>"SR-11190"</f>
        <v>SR-11190</v>
      </c>
      <c r="H8345" s="2" t="s">
        <v>34719</v>
      </c>
      <c r="I8345" s="2" t="s">
        <v>34720</v>
      </c>
      <c r="K8345" s="2" t="s">
        <v>5732</v>
      </c>
      <c r="L8345" s="2" t="s">
        <v>757</v>
      </c>
      <c r="M8345" s="2">
        <v>68745.0</v>
      </c>
      <c r="N8345" s="2" t="s">
        <v>21</v>
      </c>
    </row>
    <row r="8346" ht="15.75" customHeight="1">
      <c r="A8346" s="2">
        <v>2017.0</v>
      </c>
      <c r="B8346" s="2" t="s">
        <v>34721</v>
      </c>
      <c r="D8346" s="2" t="str">
        <f>""</f>
        <v/>
      </c>
      <c r="E8346" s="2" t="s">
        <v>8386</v>
      </c>
      <c r="F8346" s="2" t="s">
        <v>538</v>
      </c>
      <c r="G8346" s="2" t="str">
        <f>"SR-10961"</f>
        <v>SR-10961</v>
      </c>
      <c r="H8346" s="2" t="s">
        <v>34722</v>
      </c>
      <c r="N8346" s="2" t="s">
        <v>21</v>
      </c>
    </row>
    <row r="8347" ht="15.75" customHeight="1">
      <c r="A8347" s="2">
        <v>2017.0</v>
      </c>
      <c r="B8347" s="2" t="s">
        <v>34706</v>
      </c>
      <c r="C8347" s="2" t="s">
        <v>34723</v>
      </c>
      <c r="D8347" s="2" t="str">
        <f>"567.274.7755"</f>
        <v>567.274.7755</v>
      </c>
      <c r="E8347" s="2" t="s">
        <v>217</v>
      </c>
      <c r="F8347" s="2" t="s">
        <v>4383</v>
      </c>
      <c r="G8347" s="2" t="str">
        <f>"SR-11199"</f>
        <v>SR-11199</v>
      </c>
      <c r="H8347" s="2" t="s">
        <v>34724</v>
      </c>
      <c r="I8347" s="2" t="s">
        <v>34725</v>
      </c>
      <c r="K8347" s="2" t="s">
        <v>887</v>
      </c>
      <c r="L8347" s="2" t="s">
        <v>344</v>
      </c>
      <c r="M8347" s="2">
        <v>44903.0</v>
      </c>
      <c r="N8347" s="2" t="s">
        <v>21</v>
      </c>
    </row>
    <row r="8348" ht="15.75" customHeight="1">
      <c r="A8348" s="2">
        <v>2017.0</v>
      </c>
      <c r="B8348" s="2" t="s">
        <v>27982</v>
      </c>
      <c r="C8348" s="2" t="s">
        <v>27982</v>
      </c>
      <c r="D8348" s="2" t="str">
        <f>"281-935-9750"</f>
        <v>281-935-9750</v>
      </c>
      <c r="E8348" s="2" t="s">
        <v>282</v>
      </c>
      <c r="F8348" s="2" t="s">
        <v>1987</v>
      </c>
      <c r="G8348" s="2" t="str">
        <f>"SR-8767"</f>
        <v>SR-8767</v>
      </c>
      <c r="H8348" s="2" t="s">
        <v>27983</v>
      </c>
      <c r="I8348" s="2" t="s">
        <v>27984</v>
      </c>
      <c r="K8348" s="2" t="s">
        <v>3524</v>
      </c>
      <c r="L8348" s="2" t="s">
        <v>172</v>
      </c>
      <c r="M8348" s="2">
        <v>77546.0</v>
      </c>
      <c r="N8348" s="2" t="s">
        <v>21</v>
      </c>
    </row>
    <row r="8349" ht="15.75" customHeight="1">
      <c r="A8349" s="2">
        <v>2017.0</v>
      </c>
      <c r="B8349" s="2" t="s">
        <v>34726</v>
      </c>
      <c r="C8349" s="2" t="s">
        <v>34727</v>
      </c>
      <c r="D8349" s="2" t="str">
        <f>"847-873-7164"</f>
        <v>847-873-7164</v>
      </c>
      <c r="E8349" s="2" t="s">
        <v>485</v>
      </c>
      <c r="F8349" s="2" t="s">
        <v>34728</v>
      </c>
      <c r="G8349" s="2" t="str">
        <f>"SR-11233"</f>
        <v>SR-11233</v>
      </c>
      <c r="H8349" s="2" t="s">
        <v>34729</v>
      </c>
      <c r="I8349" s="2" t="s">
        <v>34730</v>
      </c>
      <c r="K8349" s="2" t="s">
        <v>34731</v>
      </c>
      <c r="L8349" s="2" t="s">
        <v>105</v>
      </c>
      <c r="M8349" s="2">
        <v>60013.0</v>
      </c>
      <c r="N8349" s="2" t="s">
        <v>21</v>
      </c>
    </row>
    <row r="8350" ht="15.75" customHeight="1">
      <c r="A8350" s="2">
        <v>2017.0</v>
      </c>
      <c r="B8350" s="2" t="s">
        <v>34732</v>
      </c>
      <c r="C8350" s="2" t="s">
        <v>34732</v>
      </c>
      <c r="D8350" s="2" t="str">
        <f>"4235820583"</f>
        <v>4235820583</v>
      </c>
      <c r="E8350" s="2" t="s">
        <v>843</v>
      </c>
      <c r="F8350" s="2" t="s">
        <v>34733</v>
      </c>
      <c r="G8350" s="2" t="str">
        <f>"SR-11204"</f>
        <v>SR-11204</v>
      </c>
      <c r="H8350" s="2" t="s">
        <v>34734</v>
      </c>
      <c r="I8350" s="2" t="s">
        <v>34735</v>
      </c>
      <c r="K8350" s="2" t="s">
        <v>5671</v>
      </c>
      <c r="L8350" s="2" t="s">
        <v>279</v>
      </c>
      <c r="M8350" s="2">
        <v>37377.0</v>
      </c>
      <c r="N8350" s="2" t="s">
        <v>21</v>
      </c>
    </row>
    <row r="8351" ht="15.75" customHeight="1">
      <c r="A8351" s="2">
        <v>2017.0</v>
      </c>
      <c r="B8351" s="2" t="s">
        <v>34736</v>
      </c>
      <c r="D8351" s="2" t="str">
        <f>""</f>
        <v/>
      </c>
      <c r="E8351" s="2" t="s">
        <v>34737</v>
      </c>
      <c r="F8351" s="2" t="s">
        <v>34738</v>
      </c>
      <c r="G8351" s="2" t="str">
        <f>"SR-9868"</f>
        <v>SR-9868</v>
      </c>
      <c r="H8351" s="2" t="s">
        <v>34739</v>
      </c>
      <c r="N8351" s="2" t="s">
        <v>21</v>
      </c>
    </row>
    <row r="8352" ht="15.75" customHeight="1">
      <c r="A8352" s="2">
        <v>2017.0</v>
      </c>
      <c r="B8352" s="2" t="s">
        <v>34726</v>
      </c>
      <c r="C8352" s="2" t="s">
        <v>34740</v>
      </c>
      <c r="D8352" s="2" t="str">
        <f>"847-873-7164"</f>
        <v>847-873-7164</v>
      </c>
      <c r="E8352" s="2" t="s">
        <v>2412</v>
      </c>
      <c r="F8352" s="2" t="s">
        <v>34728</v>
      </c>
      <c r="G8352" s="2" t="str">
        <f>"SR-11238"</f>
        <v>SR-11238</v>
      </c>
      <c r="H8352" s="2" t="s">
        <v>34741</v>
      </c>
      <c r="I8352" s="2" t="s">
        <v>34730</v>
      </c>
      <c r="K8352" s="2" t="s">
        <v>34731</v>
      </c>
      <c r="L8352" s="2" t="s">
        <v>105</v>
      </c>
      <c r="M8352" s="2">
        <v>60013.0</v>
      </c>
      <c r="N8352" s="2" t="s">
        <v>21</v>
      </c>
    </row>
    <row r="8353" ht="15.75" customHeight="1">
      <c r="A8353" s="2">
        <v>2017.0</v>
      </c>
      <c r="B8353" s="2" t="s">
        <v>34742</v>
      </c>
      <c r="C8353" s="2" t="s">
        <v>34743</v>
      </c>
      <c r="D8353" s="2" t="str">
        <f>"8065435971"</f>
        <v>8065435971</v>
      </c>
      <c r="E8353" s="2" t="s">
        <v>34744</v>
      </c>
      <c r="F8353" s="2" t="s">
        <v>1289</v>
      </c>
      <c r="G8353" s="2" t="str">
        <f>"SR-11237"</f>
        <v>SR-11237</v>
      </c>
      <c r="H8353" s="2" t="s">
        <v>34745</v>
      </c>
      <c r="I8353" s="2" t="s">
        <v>34746</v>
      </c>
      <c r="K8353" s="2" t="s">
        <v>1121</v>
      </c>
      <c r="L8353" s="2" t="s">
        <v>172</v>
      </c>
      <c r="M8353" s="2">
        <v>79424.0</v>
      </c>
      <c r="N8353" s="2" t="s">
        <v>21</v>
      </c>
    </row>
    <row r="8354" ht="15.75" customHeight="1">
      <c r="A8354" s="2">
        <v>2017.0</v>
      </c>
      <c r="B8354" s="2" t="s">
        <v>34747</v>
      </c>
      <c r="C8354" s="2" t="s">
        <v>34748</v>
      </c>
      <c r="D8354" s="2" t="str">
        <f>"5305705515"</f>
        <v>5305705515</v>
      </c>
      <c r="E8354" s="2" t="s">
        <v>34749</v>
      </c>
      <c r="F8354" s="2" t="s">
        <v>34750</v>
      </c>
      <c r="G8354" s="2" t="str">
        <f>"SR-11230"</f>
        <v>SR-11230</v>
      </c>
      <c r="H8354" s="2" t="s">
        <v>34751</v>
      </c>
      <c r="I8354" s="2" t="s">
        <v>34752</v>
      </c>
      <c r="K8354" s="2" t="s">
        <v>809</v>
      </c>
      <c r="L8354" s="2" t="s">
        <v>157</v>
      </c>
      <c r="M8354" s="2">
        <v>80917.0</v>
      </c>
      <c r="N8354" s="2" t="s">
        <v>21</v>
      </c>
    </row>
    <row r="8355" ht="15.75" customHeight="1">
      <c r="A8355" s="2">
        <v>2017.0</v>
      </c>
      <c r="B8355" s="2" t="s">
        <v>2996</v>
      </c>
      <c r="C8355" s="2" t="s">
        <v>20092</v>
      </c>
      <c r="D8355" s="2" t="str">
        <f>"(587) 988-0100"</f>
        <v>(587) 988-0100</v>
      </c>
      <c r="E8355" s="2" t="s">
        <v>20093</v>
      </c>
      <c r="F8355" s="2" t="s">
        <v>2998</v>
      </c>
      <c r="G8355" s="2" t="str">
        <f>"SR-6213"</f>
        <v>SR-6213</v>
      </c>
      <c r="H8355" s="2" t="s">
        <v>20094</v>
      </c>
      <c r="I8355" s="2" t="s">
        <v>20095</v>
      </c>
      <c r="K8355" s="2" t="s">
        <v>13836</v>
      </c>
      <c r="L8355" s="2" t="s">
        <v>2397</v>
      </c>
      <c r="M8355" s="2" t="s">
        <v>20096</v>
      </c>
      <c r="N8355" s="2" t="s">
        <v>1602</v>
      </c>
    </row>
    <row r="8356" ht="15.75" customHeight="1">
      <c r="A8356" s="2">
        <v>2017.0</v>
      </c>
      <c r="B8356" s="2" t="s">
        <v>34753</v>
      </c>
      <c r="C8356" s="2" t="s">
        <v>34753</v>
      </c>
      <c r="D8356" s="2" t="str">
        <f>"727-403-0089"</f>
        <v>727-403-0089</v>
      </c>
      <c r="E8356" s="2" t="s">
        <v>2126</v>
      </c>
      <c r="F8356" s="2" t="s">
        <v>34754</v>
      </c>
      <c r="G8356" s="2" t="str">
        <f>"SR-10166"</f>
        <v>SR-10166</v>
      </c>
      <c r="H8356" s="2" t="s">
        <v>34755</v>
      </c>
      <c r="I8356" s="2" t="s">
        <v>34756</v>
      </c>
      <c r="K8356" s="2" t="s">
        <v>4042</v>
      </c>
      <c r="L8356" s="2" t="s">
        <v>208</v>
      </c>
      <c r="M8356" s="2">
        <v>33772.0</v>
      </c>
      <c r="N8356" s="2" t="s">
        <v>21</v>
      </c>
    </row>
    <row r="8357" ht="15.75" customHeight="1">
      <c r="A8357" s="2">
        <v>2017.0</v>
      </c>
      <c r="B8357" s="2" t="s">
        <v>34757</v>
      </c>
      <c r="C8357" s="2" t="s">
        <v>34757</v>
      </c>
      <c r="D8357" s="2" t="str">
        <f>"13476059751"</f>
        <v>13476059751</v>
      </c>
      <c r="E8357" s="2" t="s">
        <v>32028</v>
      </c>
      <c r="F8357" s="2" t="s">
        <v>28459</v>
      </c>
      <c r="G8357" s="2" t="str">
        <f>"SR-8420"</f>
        <v>SR-8420</v>
      </c>
      <c r="H8357" s="2" t="s">
        <v>34758</v>
      </c>
      <c r="I8357" s="2" t="s">
        <v>34759</v>
      </c>
      <c r="K8357" s="2" t="s">
        <v>15498</v>
      </c>
      <c r="L8357" s="2" t="s">
        <v>142</v>
      </c>
      <c r="M8357" s="2">
        <v>11204.0</v>
      </c>
      <c r="N8357" s="2" t="s">
        <v>21</v>
      </c>
    </row>
    <row r="8358" ht="15.75" customHeight="1">
      <c r="A8358" s="2">
        <v>2017.0</v>
      </c>
      <c r="B8358" s="2" t="s">
        <v>34760</v>
      </c>
      <c r="C8358" s="2" t="s">
        <v>34760</v>
      </c>
      <c r="D8358" s="2" t="str">
        <f>"3173457972"</f>
        <v>3173457972</v>
      </c>
      <c r="E8358" s="2" t="s">
        <v>1094</v>
      </c>
      <c r="F8358" s="2" t="s">
        <v>457</v>
      </c>
      <c r="G8358" s="2" t="str">
        <f>"SR-11234"</f>
        <v>SR-11234</v>
      </c>
      <c r="H8358" s="2" t="s">
        <v>34761</v>
      </c>
      <c r="I8358" s="2" t="s">
        <v>34762</v>
      </c>
      <c r="K8358" s="2" t="s">
        <v>1188</v>
      </c>
      <c r="L8358" s="2" t="s">
        <v>149</v>
      </c>
      <c r="M8358" s="2">
        <v>46239.0</v>
      </c>
      <c r="N8358" s="2" t="s">
        <v>21</v>
      </c>
    </row>
    <row r="8359" ht="15.75" customHeight="1">
      <c r="A8359" s="2">
        <v>2017.0</v>
      </c>
      <c r="B8359" s="2" t="s">
        <v>34763</v>
      </c>
      <c r="C8359" s="2" t="s">
        <v>34763</v>
      </c>
      <c r="D8359" s="2" t="str">
        <f>"651-707-5149"</f>
        <v>651-707-5149</v>
      </c>
      <c r="E8359" s="2" t="s">
        <v>34764</v>
      </c>
      <c r="F8359" s="2" t="s">
        <v>5414</v>
      </c>
      <c r="G8359" s="2" t="str">
        <f>"SR-11075"</f>
        <v>SR-11075</v>
      </c>
      <c r="H8359" s="2" t="s">
        <v>34765</v>
      </c>
      <c r="I8359" s="2" t="s">
        <v>34766</v>
      </c>
      <c r="K8359" s="2" t="s">
        <v>8175</v>
      </c>
      <c r="L8359" s="2" t="s">
        <v>62</v>
      </c>
      <c r="M8359" s="2">
        <v>55033.0</v>
      </c>
      <c r="N8359" s="2" t="s">
        <v>21</v>
      </c>
    </row>
    <row r="8360" ht="15.75" customHeight="1">
      <c r="A8360" s="2">
        <v>2017.0</v>
      </c>
      <c r="B8360" s="2" t="s">
        <v>34767</v>
      </c>
      <c r="C8360" s="2" t="s">
        <v>34767</v>
      </c>
      <c r="D8360" s="2" t="str">
        <f>"615-600-6320"</f>
        <v>615-600-6320</v>
      </c>
      <c r="E8360" s="2" t="s">
        <v>4782</v>
      </c>
      <c r="F8360" s="2" t="s">
        <v>34768</v>
      </c>
      <c r="G8360" s="2" t="str">
        <f>"SR-11241"</f>
        <v>SR-11241</v>
      </c>
      <c r="H8360" s="2" t="s">
        <v>34769</v>
      </c>
      <c r="I8360" s="2" t="s">
        <v>34770</v>
      </c>
      <c r="K8360" s="2" t="s">
        <v>278</v>
      </c>
      <c r="L8360" s="2" t="s">
        <v>279</v>
      </c>
      <c r="M8360" s="2">
        <v>37067.0</v>
      </c>
      <c r="N8360" s="2" t="s">
        <v>21</v>
      </c>
    </row>
    <row r="8361" ht="15.75" customHeight="1">
      <c r="A8361" s="2">
        <v>2017.0</v>
      </c>
      <c r="B8361" s="2" t="s">
        <v>34771</v>
      </c>
      <c r="C8361" s="2" t="s">
        <v>34772</v>
      </c>
      <c r="D8361" s="2" t="str">
        <f>"919-453-0061"</f>
        <v>919-453-0061</v>
      </c>
      <c r="E8361" s="2" t="s">
        <v>4064</v>
      </c>
      <c r="F8361" s="2" t="s">
        <v>34773</v>
      </c>
      <c r="G8361" s="2" t="str">
        <f>"SR-10578"</f>
        <v>SR-10578</v>
      </c>
      <c r="H8361" s="2" t="s">
        <v>34774</v>
      </c>
      <c r="I8361" s="2" t="s">
        <v>34775</v>
      </c>
      <c r="K8361" s="2" t="s">
        <v>34776</v>
      </c>
      <c r="L8361" s="2" t="s">
        <v>20</v>
      </c>
      <c r="M8361" s="2">
        <v>27571.0</v>
      </c>
      <c r="N8361" s="2" t="s">
        <v>21</v>
      </c>
    </row>
    <row r="8362" ht="15.75" customHeight="1">
      <c r="A8362" s="2">
        <v>2017.0</v>
      </c>
      <c r="B8362" s="2" t="s">
        <v>34777</v>
      </c>
      <c r="C8362" s="2" t="s">
        <v>34778</v>
      </c>
      <c r="D8362" s="2" t="str">
        <f>"320-453-2393"</f>
        <v>320-453-2393</v>
      </c>
      <c r="E8362" s="2" t="s">
        <v>31809</v>
      </c>
      <c r="F8362" s="2" t="s">
        <v>34779</v>
      </c>
      <c r="G8362" s="2" t="str">
        <f>"SR-11235"</f>
        <v>SR-11235</v>
      </c>
      <c r="H8362" s="2" t="s">
        <v>34780</v>
      </c>
      <c r="I8362" s="2" t="s">
        <v>34781</v>
      </c>
      <c r="K8362" s="2" t="s">
        <v>34782</v>
      </c>
      <c r="L8362" s="2" t="s">
        <v>62</v>
      </c>
      <c r="M8362" s="2">
        <v>55329.0</v>
      </c>
      <c r="N8362" s="2" t="s">
        <v>21</v>
      </c>
    </row>
    <row r="8363" ht="15.75" customHeight="1">
      <c r="A8363" s="2">
        <v>2017.0</v>
      </c>
      <c r="B8363" s="2" t="s">
        <v>29795</v>
      </c>
      <c r="C8363" s="2" t="s">
        <v>34783</v>
      </c>
      <c r="D8363" s="2" t="str">
        <f>"8122391511"</f>
        <v>8122391511</v>
      </c>
      <c r="E8363" s="2" t="s">
        <v>4206</v>
      </c>
      <c r="F8363" s="2" t="s">
        <v>29796</v>
      </c>
      <c r="G8363" s="2" t="str">
        <f>"SR-10298"</f>
        <v>SR-10298</v>
      </c>
      <c r="H8363" s="2" t="s">
        <v>29797</v>
      </c>
      <c r="I8363" s="2" t="s">
        <v>34784</v>
      </c>
      <c r="K8363" s="2" t="s">
        <v>8684</v>
      </c>
      <c r="L8363" s="2" t="s">
        <v>149</v>
      </c>
      <c r="M8363" s="2">
        <v>47802.0</v>
      </c>
      <c r="N8363" s="2" t="s">
        <v>21</v>
      </c>
    </row>
    <row r="8364" ht="15.75" customHeight="1">
      <c r="A8364" s="2">
        <v>2017.0</v>
      </c>
      <c r="B8364" s="2" t="s">
        <v>34785</v>
      </c>
      <c r="C8364" s="2" t="s">
        <v>34785</v>
      </c>
      <c r="D8364" s="2" t="str">
        <f>"15402368043"</f>
        <v>15402368043</v>
      </c>
      <c r="E8364" s="2" t="s">
        <v>5858</v>
      </c>
      <c r="F8364" s="2" t="s">
        <v>34786</v>
      </c>
      <c r="G8364" s="2" t="str">
        <f>"SR-11180"</f>
        <v>SR-11180</v>
      </c>
      <c r="H8364" s="2" t="s">
        <v>34787</v>
      </c>
      <c r="I8364" s="2" t="s">
        <v>34788</v>
      </c>
      <c r="K8364" s="2" t="s">
        <v>32508</v>
      </c>
      <c r="L8364" s="2" t="s">
        <v>165</v>
      </c>
      <c r="M8364" s="2">
        <v>22841.0</v>
      </c>
      <c r="N8364" s="2" t="s">
        <v>21</v>
      </c>
    </row>
    <row r="8365" ht="15.75" customHeight="1">
      <c r="A8365" s="2">
        <v>2017.0</v>
      </c>
      <c r="B8365" s="2" t="s">
        <v>34789</v>
      </c>
      <c r="C8365" s="2" t="s">
        <v>34789</v>
      </c>
      <c r="D8365" s="2" t="str">
        <f>"720-275-9939"</f>
        <v>720-275-9939</v>
      </c>
      <c r="E8365" s="2" t="s">
        <v>34790</v>
      </c>
      <c r="F8365" s="2" t="s">
        <v>34791</v>
      </c>
      <c r="G8365" s="2" t="str">
        <f>"SR-11011"</f>
        <v>SR-11011</v>
      </c>
      <c r="H8365" s="2" t="s">
        <v>34792</v>
      </c>
      <c r="I8365" s="2" t="s">
        <v>34793</v>
      </c>
      <c r="K8365" s="2" t="s">
        <v>1398</v>
      </c>
      <c r="L8365" s="2" t="s">
        <v>157</v>
      </c>
      <c r="M8365" s="2">
        <v>80104.0</v>
      </c>
      <c r="N8365" s="2" t="s">
        <v>21</v>
      </c>
    </row>
    <row r="8366" ht="15.75" customHeight="1">
      <c r="A8366" s="2">
        <v>2017.0</v>
      </c>
      <c r="B8366" s="2" t="s">
        <v>34794</v>
      </c>
      <c r="C8366" s="2" t="s">
        <v>34795</v>
      </c>
      <c r="D8366" s="2" t="str">
        <f>"512-639-8928"</f>
        <v>512-639-8928</v>
      </c>
      <c r="E8366" s="2" t="s">
        <v>2089</v>
      </c>
      <c r="F8366" s="2" t="s">
        <v>34796</v>
      </c>
      <c r="G8366" s="2" t="str">
        <f>"SR-11246"</f>
        <v>SR-11246</v>
      </c>
      <c r="H8366" s="2" t="s">
        <v>34797</v>
      </c>
      <c r="I8366" s="2" t="s">
        <v>34798</v>
      </c>
      <c r="K8366" s="2" t="s">
        <v>4482</v>
      </c>
      <c r="L8366" s="2" t="s">
        <v>172</v>
      </c>
      <c r="M8366" s="2">
        <v>78628.0</v>
      </c>
      <c r="N8366" s="2" t="s">
        <v>21</v>
      </c>
    </row>
    <row r="8367" ht="15.75" customHeight="1">
      <c r="A8367" s="2">
        <v>2017.0</v>
      </c>
      <c r="B8367" s="2" t="s">
        <v>34799</v>
      </c>
      <c r="C8367" s="2" t="s">
        <v>34799</v>
      </c>
      <c r="D8367" s="2" t="str">
        <f>"4174694653"</f>
        <v>4174694653</v>
      </c>
      <c r="E8367" s="2" t="s">
        <v>4935</v>
      </c>
      <c r="F8367" s="2" t="s">
        <v>5205</v>
      </c>
      <c r="G8367" s="2" t="str">
        <f>"SR-11249"</f>
        <v>SR-11249</v>
      </c>
      <c r="H8367" s="2" t="s">
        <v>34800</v>
      </c>
      <c r="I8367" s="2" t="s">
        <v>34801</v>
      </c>
      <c r="K8367" s="2" t="s">
        <v>34802</v>
      </c>
      <c r="L8367" s="2" t="s">
        <v>214</v>
      </c>
      <c r="M8367" s="2">
        <v>65793.0</v>
      </c>
      <c r="N8367" s="2" t="s">
        <v>21</v>
      </c>
    </row>
    <row r="8368" ht="15.75" customHeight="1">
      <c r="A8368" s="2">
        <v>2017.0</v>
      </c>
      <c r="B8368" s="2" t="s">
        <v>30322</v>
      </c>
      <c r="C8368" s="2" t="s">
        <v>30323</v>
      </c>
      <c r="D8368" s="2" t="str">
        <f>"903-644-5878"</f>
        <v>903-644-5878</v>
      </c>
      <c r="E8368" s="2" t="s">
        <v>261</v>
      </c>
      <c r="F8368" s="2" t="s">
        <v>30324</v>
      </c>
      <c r="G8368" s="2" t="str">
        <f>"SR-9454"</f>
        <v>SR-9454</v>
      </c>
      <c r="H8368" s="2" t="s">
        <v>30325</v>
      </c>
      <c r="I8368" s="2" t="s">
        <v>30326</v>
      </c>
      <c r="K8368" s="2" t="s">
        <v>30327</v>
      </c>
      <c r="L8368" s="2" t="s">
        <v>715</v>
      </c>
      <c r="M8368" s="2">
        <v>70395.0</v>
      </c>
      <c r="N8368" s="2" t="s">
        <v>21</v>
      </c>
    </row>
    <row r="8369" ht="15.75" customHeight="1">
      <c r="A8369" s="2">
        <v>2017.0</v>
      </c>
      <c r="B8369" s="2" t="s">
        <v>34803</v>
      </c>
      <c r="C8369" s="2" t="s">
        <v>34804</v>
      </c>
      <c r="D8369" s="2" t="str">
        <f>"7192461244"</f>
        <v>7192461244</v>
      </c>
      <c r="E8369" s="2" t="s">
        <v>301</v>
      </c>
      <c r="F8369" s="2" t="s">
        <v>6360</v>
      </c>
      <c r="G8369" s="2" t="str">
        <f>"SR-11243"</f>
        <v>SR-11243</v>
      </c>
      <c r="H8369" s="2" t="s">
        <v>34805</v>
      </c>
      <c r="I8369" s="2">
        <v>9060.0</v>
      </c>
      <c r="J8369" s="2" t="s">
        <v>6941</v>
      </c>
      <c r="K8369" s="2" t="s">
        <v>809</v>
      </c>
      <c r="L8369" s="2" t="s">
        <v>157</v>
      </c>
      <c r="M8369" s="2">
        <v>80920.0</v>
      </c>
      <c r="N8369" s="2" t="s">
        <v>21</v>
      </c>
    </row>
    <row r="8370" ht="15.75" customHeight="1">
      <c r="A8370" s="2">
        <v>2017.0</v>
      </c>
      <c r="B8370" s="2" t="s">
        <v>34806</v>
      </c>
      <c r="C8370" s="2" t="s">
        <v>34807</v>
      </c>
      <c r="D8370" s="2" t="str">
        <f>"2143846503"</f>
        <v>2143846503</v>
      </c>
      <c r="E8370" s="2" t="s">
        <v>1548</v>
      </c>
      <c r="F8370" s="2" t="s">
        <v>4941</v>
      </c>
      <c r="G8370" s="2" t="str">
        <f>"SR-9869"</f>
        <v>SR-9869</v>
      </c>
      <c r="H8370" s="2" t="s">
        <v>34808</v>
      </c>
      <c r="I8370" s="2" t="s">
        <v>34809</v>
      </c>
      <c r="K8370" s="2" t="s">
        <v>34810</v>
      </c>
      <c r="L8370" s="2" t="s">
        <v>172</v>
      </c>
      <c r="M8370" s="2">
        <v>75418.0</v>
      </c>
      <c r="N8370" s="2" t="s">
        <v>21</v>
      </c>
    </row>
    <row r="8371" ht="15.75" customHeight="1">
      <c r="A8371" s="2">
        <v>2017.0</v>
      </c>
      <c r="B8371" s="2" t="s">
        <v>34811</v>
      </c>
      <c r="C8371" s="2" t="s">
        <v>34812</v>
      </c>
      <c r="D8371" s="2" t="str">
        <f>"804-687-2242"</f>
        <v>804-687-2242</v>
      </c>
      <c r="E8371" s="2" t="s">
        <v>3305</v>
      </c>
      <c r="F8371" s="2" t="s">
        <v>737</v>
      </c>
      <c r="G8371" s="2" t="str">
        <f>"SR-6761"</f>
        <v>SR-6761</v>
      </c>
      <c r="H8371" s="2" t="s">
        <v>34813</v>
      </c>
      <c r="I8371" s="2" t="s">
        <v>34814</v>
      </c>
      <c r="K8371" s="2" t="s">
        <v>11179</v>
      </c>
      <c r="L8371" s="2" t="s">
        <v>165</v>
      </c>
      <c r="M8371" s="2">
        <v>23113.0</v>
      </c>
      <c r="N8371" s="2" t="s">
        <v>21</v>
      </c>
    </row>
    <row r="8372" ht="15.75" customHeight="1">
      <c r="A8372" s="2">
        <v>2017.0</v>
      </c>
      <c r="B8372" s="2" t="s">
        <v>28809</v>
      </c>
      <c r="C8372" s="2" t="s">
        <v>28809</v>
      </c>
      <c r="D8372" s="2" t="str">
        <f>"6615103972"</f>
        <v>6615103972</v>
      </c>
      <c r="E8372" s="2" t="s">
        <v>2243</v>
      </c>
      <c r="F8372" s="2" t="s">
        <v>28811</v>
      </c>
      <c r="G8372" s="2" t="str">
        <f>"SR-8985"</f>
        <v>SR-8985</v>
      </c>
      <c r="H8372" s="2" t="s">
        <v>28815</v>
      </c>
      <c r="I8372" s="2" t="s">
        <v>28813</v>
      </c>
      <c r="K8372" s="2" t="s">
        <v>28814</v>
      </c>
      <c r="L8372" s="2" t="s">
        <v>222</v>
      </c>
      <c r="M8372" s="2">
        <v>91381.0</v>
      </c>
      <c r="N8372" s="2" t="s">
        <v>21</v>
      </c>
    </row>
    <row r="8373" ht="15.75" customHeight="1">
      <c r="A8373" s="2">
        <v>2017.0</v>
      </c>
      <c r="B8373" s="2" t="s">
        <v>34815</v>
      </c>
      <c r="C8373" s="2" t="s">
        <v>34815</v>
      </c>
      <c r="D8373" s="2" t="str">
        <f>"8134548334"</f>
        <v>8134548334</v>
      </c>
      <c r="E8373" s="2" t="s">
        <v>1263</v>
      </c>
      <c r="F8373" s="2" t="s">
        <v>15402</v>
      </c>
      <c r="G8373" s="2" t="str">
        <f>"SR-11207"</f>
        <v>SR-11207</v>
      </c>
      <c r="H8373" s="2" t="s">
        <v>34816</v>
      </c>
      <c r="I8373" s="2" t="s">
        <v>34817</v>
      </c>
      <c r="K8373" s="2" t="s">
        <v>5683</v>
      </c>
      <c r="L8373" s="2" t="s">
        <v>208</v>
      </c>
      <c r="M8373" s="2">
        <v>33596.0</v>
      </c>
      <c r="N8373" s="2" t="s">
        <v>21</v>
      </c>
    </row>
    <row r="8374" ht="15.75" customHeight="1">
      <c r="A8374" s="2">
        <v>2017.0</v>
      </c>
      <c r="B8374" s="2" t="s">
        <v>34818</v>
      </c>
      <c r="C8374" s="2" t="s">
        <v>34818</v>
      </c>
      <c r="D8374" s="2" t="str">
        <f>"208/576/1603"</f>
        <v>208/576/1603</v>
      </c>
      <c r="E8374" s="2" t="s">
        <v>2263</v>
      </c>
      <c r="F8374" s="2" t="s">
        <v>34819</v>
      </c>
      <c r="G8374" s="2" t="str">
        <f>"SR-10125"</f>
        <v>SR-10125</v>
      </c>
      <c r="H8374" s="2" t="s">
        <v>34820</v>
      </c>
      <c r="I8374" s="2" t="s">
        <v>34821</v>
      </c>
      <c r="K8374" s="2" t="s">
        <v>20485</v>
      </c>
      <c r="L8374" s="2" t="s">
        <v>2613</v>
      </c>
      <c r="M8374" s="2">
        <v>83642.0</v>
      </c>
      <c r="N8374" s="2" t="s">
        <v>21</v>
      </c>
    </row>
    <row r="8375" ht="15.75" customHeight="1">
      <c r="A8375" s="2">
        <v>2017.0</v>
      </c>
      <c r="B8375" s="2" t="s">
        <v>34822</v>
      </c>
      <c r="C8375" s="2" t="s">
        <v>34822</v>
      </c>
      <c r="D8375" s="2" t="str">
        <f>"7202010122"</f>
        <v>7202010122</v>
      </c>
      <c r="E8375" s="2" t="s">
        <v>8752</v>
      </c>
      <c r="F8375" s="2" t="s">
        <v>8778</v>
      </c>
      <c r="G8375" s="2" t="str">
        <f>"SR-11257"</f>
        <v>SR-11257</v>
      </c>
      <c r="H8375" s="2" t="s">
        <v>34823</v>
      </c>
      <c r="I8375" s="2" t="s">
        <v>34824</v>
      </c>
      <c r="K8375" s="2" t="s">
        <v>6514</v>
      </c>
      <c r="L8375" s="2" t="s">
        <v>157</v>
      </c>
      <c r="M8375" s="2">
        <v>80228.0</v>
      </c>
      <c r="N8375" s="2" t="s">
        <v>21</v>
      </c>
    </row>
    <row r="8376" ht="15.75" customHeight="1">
      <c r="A8376" s="2">
        <v>2017.0</v>
      </c>
      <c r="B8376" s="2" t="s">
        <v>27834</v>
      </c>
      <c r="C8376" s="2" t="s">
        <v>27834</v>
      </c>
      <c r="D8376" s="2" t="str">
        <f>"646-761-2271"</f>
        <v>646-761-2271</v>
      </c>
      <c r="E8376" s="2" t="s">
        <v>27835</v>
      </c>
      <c r="F8376" s="2" t="s">
        <v>12612</v>
      </c>
      <c r="G8376" s="2" t="str">
        <f>"SR-8533"</f>
        <v>SR-8533</v>
      </c>
      <c r="H8376" s="2" t="s">
        <v>27836</v>
      </c>
      <c r="I8376" s="2" t="s">
        <v>27837</v>
      </c>
      <c r="K8376" s="2" t="s">
        <v>26685</v>
      </c>
      <c r="L8376" s="2" t="s">
        <v>142</v>
      </c>
      <c r="M8376" s="2">
        <v>10314.0</v>
      </c>
      <c r="N8376" s="2" t="s">
        <v>21</v>
      </c>
    </row>
    <row r="8377" ht="15.75" customHeight="1">
      <c r="A8377" s="2">
        <v>2017.0</v>
      </c>
      <c r="B8377" s="2" t="s">
        <v>27581</v>
      </c>
      <c r="C8377" s="2" t="s">
        <v>27582</v>
      </c>
      <c r="D8377" s="2" t="str">
        <f>"3165227178"</f>
        <v>3165227178</v>
      </c>
      <c r="E8377" s="2" t="s">
        <v>4206</v>
      </c>
      <c r="F8377" s="2" t="s">
        <v>4120</v>
      </c>
      <c r="G8377" s="2" t="str">
        <f>"SR-8160"</f>
        <v>SR-8160</v>
      </c>
      <c r="H8377" s="2" t="s">
        <v>27583</v>
      </c>
      <c r="I8377" s="2" t="s">
        <v>27584</v>
      </c>
      <c r="K8377" s="2" t="s">
        <v>3716</v>
      </c>
      <c r="L8377" s="2" t="s">
        <v>272</v>
      </c>
      <c r="M8377" s="2">
        <v>67120.0</v>
      </c>
      <c r="N8377" s="2" t="s">
        <v>21</v>
      </c>
    </row>
    <row r="8378" ht="15.75" customHeight="1">
      <c r="A8378" s="2">
        <v>2017.0</v>
      </c>
      <c r="B8378" s="2" t="s">
        <v>34825</v>
      </c>
      <c r="C8378" s="2" t="s">
        <v>34825</v>
      </c>
      <c r="D8378" s="2" t="str">
        <f>"8287558120"</f>
        <v>8287558120</v>
      </c>
      <c r="E8378" s="2" t="s">
        <v>453</v>
      </c>
      <c r="F8378" s="2" t="s">
        <v>1778</v>
      </c>
      <c r="G8378" s="2" t="str">
        <f>"SR-11200"</f>
        <v>SR-11200</v>
      </c>
      <c r="H8378" s="2" t="s">
        <v>34826</v>
      </c>
      <c r="I8378" s="2" t="s">
        <v>34827</v>
      </c>
      <c r="K8378" s="2" t="s">
        <v>34828</v>
      </c>
      <c r="L8378" s="2" t="s">
        <v>20</v>
      </c>
      <c r="M8378" s="2">
        <v>28043.0</v>
      </c>
      <c r="N8378" s="2" t="s">
        <v>21</v>
      </c>
    </row>
    <row r="8379" ht="15.75" customHeight="1">
      <c r="A8379" s="2">
        <v>2017.0</v>
      </c>
      <c r="B8379" s="2" t="s">
        <v>34829</v>
      </c>
      <c r="C8379" s="2" t="s">
        <v>34829</v>
      </c>
      <c r="D8379" s="2" t="str">
        <f>"719-235-7010"</f>
        <v>719-235-7010</v>
      </c>
      <c r="E8379" s="2" t="s">
        <v>21415</v>
      </c>
      <c r="F8379" s="2" t="s">
        <v>847</v>
      </c>
      <c r="G8379" s="2" t="str">
        <f>"SR-1527"</f>
        <v>SR-1527</v>
      </c>
      <c r="H8379" s="2" t="s">
        <v>34830</v>
      </c>
      <c r="I8379" s="2" t="s">
        <v>34831</v>
      </c>
      <c r="K8379" s="2" t="s">
        <v>809</v>
      </c>
      <c r="L8379" s="2" t="s">
        <v>157</v>
      </c>
      <c r="M8379" s="2">
        <v>80920.0</v>
      </c>
      <c r="N8379" s="2" t="s">
        <v>21</v>
      </c>
    </row>
    <row r="8380" ht="15.75" customHeight="1">
      <c r="A8380" s="2">
        <v>2017.0</v>
      </c>
      <c r="B8380" s="2" t="s">
        <v>19534</v>
      </c>
      <c r="C8380" s="2" t="s">
        <v>34832</v>
      </c>
      <c r="D8380" s="2" t="str">
        <f>"248-828-6380"</f>
        <v>248-828-6380</v>
      </c>
      <c r="E8380" s="2" t="s">
        <v>890</v>
      </c>
      <c r="F8380" s="2" t="s">
        <v>19536</v>
      </c>
      <c r="G8380" s="2" t="str">
        <f>"SR-11256"</f>
        <v>SR-11256</v>
      </c>
      <c r="H8380" s="2" t="s">
        <v>34833</v>
      </c>
      <c r="I8380" s="2" t="s">
        <v>19538</v>
      </c>
      <c r="K8380" s="2" t="s">
        <v>4115</v>
      </c>
      <c r="L8380" s="2" t="s">
        <v>29</v>
      </c>
      <c r="M8380" s="2">
        <v>48085.0</v>
      </c>
      <c r="N8380" s="2" t="s">
        <v>21</v>
      </c>
    </row>
    <row r="8381" ht="15.75" customHeight="1">
      <c r="A8381" s="2">
        <v>2017.0</v>
      </c>
      <c r="B8381" s="2" t="s">
        <v>34834</v>
      </c>
      <c r="C8381" s="2" t="s">
        <v>34835</v>
      </c>
      <c r="D8381" s="2" t="str">
        <f>"3038479244"</f>
        <v>3038479244</v>
      </c>
      <c r="E8381" s="2" t="s">
        <v>2891</v>
      </c>
      <c r="F8381" s="2" t="s">
        <v>34836</v>
      </c>
      <c r="G8381" s="2" t="str">
        <f>"SR-11005"</f>
        <v>SR-11005</v>
      </c>
      <c r="H8381" s="2" t="s">
        <v>34837</v>
      </c>
      <c r="I8381" s="2" t="s">
        <v>34838</v>
      </c>
      <c r="K8381" s="2" t="s">
        <v>1889</v>
      </c>
      <c r="L8381" s="2" t="s">
        <v>157</v>
      </c>
      <c r="M8381" s="2">
        <v>80127.0</v>
      </c>
      <c r="N8381" s="2" t="s">
        <v>21</v>
      </c>
    </row>
    <row r="8382" ht="15.75" customHeight="1">
      <c r="A8382" s="2">
        <v>2017.0</v>
      </c>
      <c r="B8382" s="2" t="s">
        <v>34839</v>
      </c>
      <c r="C8382" s="2" t="s">
        <v>34840</v>
      </c>
      <c r="D8382" s="2" t="str">
        <f>"5304175524"</f>
        <v>5304175524</v>
      </c>
      <c r="E8382" s="2" t="s">
        <v>3434</v>
      </c>
      <c r="F8382" s="2" t="s">
        <v>984</v>
      </c>
      <c r="G8382" s="2" t="str">
        <f>"SR-11105"</f>
        <v>SR-11105</v>
      </c>
      <c r="H8382" s="2" t="s">
        <v>34841</v>
      </c>
      <c r="I8382" s="2" t="s">
        <v>34842</v>
      </c>
      <c r="K8382" s="2" t="s">
        <v>34843</v>
      </c>
      <c r="L8382" s="2" t="s">
        <v>222</v>
      </c>
      <c r="M8382" s="2">
        <v>95682.0</v>
      </c>
      <c r="N8382" s="2" t="s">
        <v>21</v>
      </c>
    </row>
    <row r="8383" ht="15.75" customHeight="1">
      <c r="A8383" s="2">
        <v>2017.0</v>
      </c>
      <c r="B8383" s="2" t="s">
        <v>34844</v>
      </c>
      <c r="C8383" s="2" t="s">
        <v>34844</v>
      </c>
      <c r="D8383" s="2" t="str">
        <f>"479-530-2756"</f>
        <v>479-530-2756</v>
      </c>
      <c r="E8383" s="2" t="s">
        <v>167</v>
      </c>
      <c r="F8383" s="2" t="s">
        <v>34845</v>
      </c>
      <c r="G8383" s="2" t="str">
        <f>"SR-11247"</f>
        <v>SR-11247</v>
      </c>
      <c r="H8383" s="2" t="s">
        <v>34846</v>
      </c>
      <c r="I8383" s="2" t="s">
        <v>34847</v>
      </c>
      <c r="J8383" s="2" t="s">
        <v>34848</v>
      </c>
      <c r="K8383" s="2" t="s">
        <v>3212</v>
      </c>
      <c r="L8383" s="2" t="s">
        <v>272</v>
      </c>
      <c r="M8383" s="2">
        <v>67114.0</v>
      </c>
      <c r="N8383" s="2" t="s">
        <v>21</v>
      </c>
    </row>
    <row r="8384" ht="15.75" customHeight="1">
      <c r="A8384" s="2">
        <v>2017.0</v>
      </c>
      <c r="B8384" s="2" t="s">
        <v>34849</v>
      </c>
      <c r="C8384" s="2" t="s">
        <v>34850</v>
      </c>
      <c r="D8384" s="2" t="str">
        <f>"970-510-0923"</f>
        <v>970-510-0923</v>
      </c>
      <c r="E8384" s="2" t="s">
        <v>24</v>
      </c>
      <c r="F8384" s="2" t="s">
        <v>17913</v>
      </c>
      <c r="G8384" s="2" t="str">
        <f>"SR-11242"</f>
        <v>SR-11242</v>
      </c>
      <c r="H8384" s="2" t="s">
        <v>34851</v>
      </c>
      <c r="I8384" s="2" t="s">
        <v>34852</v>
      </c>
      <c r="K8384" s="2" t="s">
        <v>7578</v>
      </c>
      <c r="L8384" s="2" t="s">
        <v>157</v>
      </c>
      <c r="M8384" s="2">
        <v>80118.0</v>
      </c>
      <c r="N8384" s="2" t="s">
        <v>21</v>
      </c>
    </row>
    <row r="8385" ht="15.75" customHeight="1">
      <c r="A8385" s="2">
        <v>2017.0</v>
      </c>
      <c r="B8385" s="2" t="s">
        <v>34853</v>
      </c>
      <c r="C8385" s="2" t="s">
        <v>34854</v>
      </c>
      <c r="D8385" s="2" t="str">
        <f>"301-717-3669"</f>
        <v>301-717-3669</v>
      </c>
      <c r="E8385" s="2" t="s">
        <v>34855</v>
      </c>
      <c r="F8385" s="2" t="s">
        <v>2972</v>
      </c>
      <c r="G8385" s="2" t="str">
        <f>"SR-11236"</f>
        <v>SR-11236</v>
      </c>
      <c r="H8385" s="2" t="s">
        <v>34856</v>
      </c>
      <c r="I8385" s="2" t="s">
        <v>34857</v>
      </c>
      <c r="K8385" s="2" t="s">
        <v>9323</v>
      </c>
      <c r="L8385" s="2" t="s">
        <v>1868</v>
      </c>
      <c r="M8385" s="2">
        <v>20879.0</v>
      </c>
      <c r="N8385" s="2" t="s">
        <v>21</v>
      </c>
    </row>
    <row r="8386" ht="15.75" customHeight="1">
      <c r="A8386" s="2">
        <v>2017.0</v>
      </c>
      <c r="B8386" s="2" t="s">
        <v>28654</v>
      </c>
      <c r="C8386" s="2" t="s">
        <v>34858</v>
      </c>
      <c r="D8386" s="2" t="str">
        <f>"317-997-4898"</f>
        <v>317-997-4898</v>
      </c>
      <c r="E8386" s="2" t="s">
        <v>34859</v>
      </c>
      <c r="F8386" s="2" t="s">
        <v>14694</v>
      </c>
      <c r="G8386" s="2" t="str">
        <f>"SR-11259"</f>
        <v>SR-11259</v>
      </c>
      <c r="H8386" s="2" t="s">
        <v>34860</v>
      </c>
      <c r="I8386" s="2" t="s">
        <v>34861</v>
      </c>
      <c r="K8386" s="2" t="s">
        <v>3118</v>
      </c>
      <c r="L8386" s="2" t="s">
        <v>86</v>
      </c>
      <c r="M8386" s="2">
        <v>98125.0</v>
      </c>
      <c r="N8386" s="2" t="s">
        <v>21</v>
      </c>
    </row>
    <row r="8387" ht="15.75" customHeight="1">
      <c r="A8387" s="2">
        <v>2017.0</v>
      </c>
      <c r="B8387" s="2" t="s">
        <v>34862</v>
      </c>
      <c r="C8387" s="2" t="s">
        <v>34862</v>
      </c>
      <c r="D8387" s="2" t="str">
        <f>"828-248-3694"</f>
        <v>828-248-3694</v>
      </c>
      <c r="E8387" s="2" t="s">
        <v>18964</v>
      </c>
      <c r="F8387" s="2" t="s">
        <v>1778</v>
      </c>
      <c r="G8387" s="2" t="str">
        <f>"SR-11264"</f>
        <v>SR-11264</v>
      </c>
      <c r="H8387" s="2" t="s">
        <v>34863</v>
      </c>
      <c r="I8387" s="2" t="s">
        <v>34827</v>
      </c>
      <c r="K8387" s="2" t="s">
        <v>34828</v>
      </c>
      <c r="L8387" s="2" t="s">
        <v>20</v>
      </c>
      <c r="M8387" s="2">
        <v>28043.0</v>
      </c>
      <c r="N8387" s="2" t="s">
        <v>21</v>
      </c>
    </row>
    <row r="8388" ht="15.75" customHeight="1">
      <c r="A8388" s="2">
        <v>2017.0</v>
      </c>
      <c r="B8388" s="2" t="s">
        <v>34864</v>
      </c>
      <c r="C8388" s="2" t="s">
        <v>34864</v>
      </c>
      <c r="D8388" s="2" t="str">
        <f>"810-962-6063"</f>
        <v>810-962-6063</v>
      </c>
      <c r="E8388" s="2" t="s">
        <v>239</v>
      </c>
      <c r="F8388" s="2" t="s">
        <v>283</v>
      </c>
      <c r="G8388" s="2" t="str">
        <f>"SR-11263"</f>
        <v>SR-11263</v>
      </c>
      <c r="H8388" s="2" t="s">
        <v>34865</v>
      </c>
      <c r="I8388" s="2" t="s">
        <v>34866</v>
      </c>
      <c r="K8388" s="2" t="s">
        <v>34867</v>
      </c>
      <c r="L8388" s="2" t="s">
        <v>29</v>
      </c>
      <c r="M8388" s="2">
        <v>48439.0</v>
      </c>
      <c r="N8388" s="2" t="s">
        <v>21</v>
      </c>
    </row>
    <row r="8389" ht="15.75" customHeight="1">
      <c r="A8389" s="2">
        <v>2017.0</v>
      </c>
      <c r="B8389" s="2" t="s">
        <v>34868</v>
      </c>
      <c r="C8389" s="2" t="s">
        <v>34868</v>
      </c>
      <c r="D8389" s="2" t="str">
        <f>"2078444919"</f>
        <v>2078444919</v>
      </c>
      <c r="E8389" s="2" t="s">
        <v>8210</v>
      </c>
      <c r="F8389" s="2" t="s">
        <v>1756</v>
      </c>
      <c r="G8389" s="2" t="str">
        <f>"SR-11262"</f>
        <v>SR-11262</v>
      </c>
      <c r="H8389" s="2" t="s">
        <v>34869</v>
      </c>
      <c r="I8389" s="2" t="s">
        <v>34870</v>
      </c>
      <c r="K8389" s="2" t="s">
        <v>21677</v>
      </c>
      <c r="L8389" s="2" t="s">
        <v>3737</v>
      </c>
      <c r="M8389" s="2">
        <v>4079.0</v>
      </c>
      <c r="N8389" s="2" t="s">
        <v>21</v>
      </c>
    </row>
    <row r="8390" ht="15.75" customHeight="1">
      <c r="A8390" s="2">
        <v>2017.0</v>
      </c>
      <c r="B8390" s="2" t="s">
        <v>34871</v>
      </c>
      <c r="C8390" s="2" t="s">
        <v>34872</v>
      </c>
      <c r="D8390" s="2" t="str">
        <f>"6617139760"</f>
        <v>6617139760</v>
      </c>
      <c r="E8390" s="2" t="s">
        <v>3693</v>
      </c>
      <c r="F8390" s="2" t="s">
        <v>34873</v>
      </c>
      <c r="G8390" s="2" t="str">
        <f>"SR-11252"</f>
        <v>SR-11252</v>
      </c>
      <c r="H8390" s="2" t="s">
        <v>34874</v>
      </c>
      <c r="I8390" s="2" t="s">
        <v>34875</v>
      </c>
      <c r="K8390" s="2" t="s">
        <v>13472</v>
      </c>
      <c r="L8390" s="2" t="s">
        <v>222</v>
      </c>
      <c r="M8390" s="2">
        <v>91354.0</v>
      </c>
      <c r="N8390" s="2" t="s">
        <v>21</v>
      </c>
    </row>
    <row r="8391" ht="15.75" customHeight="1">
      <c r="A8391" s="2">
        <v>2017.0</v>
      </c>
      <c r="B8391" s="2" t="s">
        <v>34876</v>
      </c>
      <c r="C8391" s="2" t="s">
        <v>34877</v>
      </c>
      <c r="D8391" s="2" t="str">
        <f>"8016440437"</f>
        <v>8016440437</v>
      </c>
      <c r="E8391" s="2" t="s">
        <v>7145</v>
      </c>
      <c r="F8391" s="2" t="s">
        <v>29312</v>
      </c>
      <c r="G8391" s="2" t="str">
        <f>"SR-11245"</f>
        <v>SR-11245</v>
      </c>
      <c r="H8391" s="2" t="s">
        <v>34878</v>
      </c>
      <c r="I8391" s="2" t="s">
        <v>34879</v>
      </c>
      <c r="K8391" s="2" t="s">
        <v>34880</v>
      </c>
      <c r="L8391" s="2" t="s">
        <v>763</v>
      </c>
      <c r="M8391" s="2">
        <v>84404.0</v>
      </c>
      <c r="N8391" s="2" t="s">
        <v>21</v>
      </c>
    </row>
    <row r="8392" ht="15.75" customHeight="1">
      <c r="A8392" s="2">
        <v>2017.0</v>
      </c>
      <c r="B8392" s="2" t="s">
        <v>34864</v>
      </c>
      <c r="C8392" s="2" t="s">
        <v>34881</v>
      </c>
      <c r="D8392" s="2" t="str">
        <f>"810-882-9977"</f>
        <v>810-882-9977</v>
      </c>
      <c r="E8392" s="2" t="s">
        <v>659</v>
      </c>
      <c r="F8392" s="2" t="s">
        <v>283</v>
      </c>
      <c r="G8392" s="2" t="str">
        <f>"SR-11248"</f>
        <v>SR-11248</v>
      </c>
      <c r="H8392" s="2" t="s">
        <v>34882</v>
      </c>
      <c r="I8392" s="2" t="s">
        <v>34866</v>
      </c>
      <c r="K8392" s="2" t="s">
        <v>34867</v>
      </c>
      <c r="L8392" s="2" t="s">
        <v>29</v>
      </c>
      <c r="M8392" s="2">
        <v>48439.0</v>
      </c>
      <c r="N8392" s="2" t="s">
        <v>21</v>
      </c>
    </row>
    <row r="8393" ht="15.75" customHeight="1">
      <c r="A8393" s="2">
        <v>2017.0</v>
      </c>
      <c r="B8393" s="2" t="s">
        <v>34883</v>
      </c>
      <c r="C8393" s="2" t="s">
        <v>34884</v>
      </c>
      <c r="D8393" s="2" t="str">
        <f>"8582620274"</f>
        <v>8582620274</v>
      </c>
      <c r="E8393" s="2" t="s">
        <v>2752</v>
      </c>
      <c r="F8393" s="2" t="s">
        <v>108</v>
      </c>
      <c r="G8393" s="2" t="str">
        <f>"SR-11254"</f>
        <v>SR-11254</v>
      </c>
      <c r="H8393" s="2" t="s">
        <v>34885</v>
      </c>
      <c r="I8393" s="2" t="s">
        <v>34886</v>
      </c>
      <c r="K8393" s="2" t="s">
        <v>8250</v>
      </c>
      <c r="L8393" s="2" t="s">
        <v>222</v>
      </c>
      <c r="M8393" s="2">
        <v>92130.0</v>
      </c>
      <c r="N8393" s="2" t="s">
        <v>21</v>
      </c>
    </row>
    <row r="8394" ht="15.75" customHeight="1">
      <c r="A8394" s="2">
        <v>2017.0</v>
      </c>
      <c r="B8394" s="2" t="s">
        <v>34887</v>
      </c>
      <c r="C8394" s="2" t="s">
        <v>34887</v>
      </c>
      <c r="D8394" s="2" t="str">
        <f>"3155862378"</f>
        <v>3155862378</v>
      </c>
      <c r="E8394" s="2" t="s">
        <v>4111</v>
      </c>
      <c r="F8394" s="2" t="s">
        <v>645</v>
      </c>
      <c r="G8394" s="2" t="str">
        <f>"SR-11229"</f>
        <v>SR-11229</v>
      </c>
      <c r="H8394" s="2" t="s">
        <v>34888</v>
      </c>
      <c r="I8394" s="2" t="s">
        <v>34889</v>
      </c>
      <c r="K8394" s="2" t="s">
        <v>34890</v>
      </c>
      <c r="L8394" s="2" t="s">
        <v>142</v>
      </c>
      <c r="M8394" s="2">
        <v>13473.0</v>
      </c>
      <c r="N8394" s="2" t="s">
        <v>21</v>
      </c>
    </row>
    <row r="8395" ht="15.75" customHeight="1">
      <c r="A8395" s="2">
        <v>2017.0</v>
      </c>
      <c r="B8395" s="2" t="s">
        <v>34891</v>
      </c>
      <c r="D8395" s="2" t="str">
        <f>""</f>
        <v/>
      </c>
      <c r="E8395" s="2" t="s">
        <v>167</v>
      </c>
      <c r="F8395" s="2" t="s">
        <v>34892</v>
      </c>
      <c r="G8395" s="2" t="str">
        <f>"SR-11183"</f>
        <v>SR-11183</v>
      </c>
      <c r="H8395" s="2" t="s">
        <v>34893</v>
      </c>
    </row>
    <row r="8396" ht="15.75" customHeight="1">
      <c r="A8396" s="2">
        <v>2017.0</v>
      </c>
      <c r="B8396" s="2" t="s">
        <v>34894</v>
      </c>
      <c r="C8396" s="2" t="s">
        <v>34895</v>
      </c>
      <c r="D8396" s="2" t="str">
        <f>"5404571533"</f>
        <v>5404571533</v>
      </c>
      <c r="E8396" s="2" t="s">
        <v>282</v>
      </c>
      <c r="F8396" s="2" t="s">
        <v>34896</v>
      </c>
      <c r="G8396" s="2" t="str">
        <f>"SR-11205"</f>
        <v>SR-11205</v>
      </c>
      <c r="H8396" s="2" t="s">
        <v>34897</v>
      </c>
      <c r="I8396" s="2" t="s">
        <v>34898</v>
      </c>
      <c r="K8396" s="2" t="s">
        <v>54</v>
      </c>
      <c r="L8396" s="2" t="s">
        <v>165</v>
      </c>
      <c r="M8396" s="2">
        <v>24440.0</v>
      </c>
      <c r="N8396" s="2" t="s">
        <v>21</v>
      </c>
    </row>
    <row r="8397" ht="15.75" customHeight="1">
      <c r="A8397" s="2">
        <v>2017.0</v>
      </c>
      <c r="B8397" s="2" t="s">
        <v>16330</v>
      </c>
      <c r="C8397" s="2" t="s">
        <v>16330</v>
      </c>
      <c r="D8397" s="2" t="str">
        <f>"501 288 2171"</f>
        <v>501 288 2171</v>
      </c>
      <c r="E8397" s="2" t="s">
        <v>34899</v>
      </c>
      <c r="F8397" s="2" t="s">
        <v>16332</v>
      </c>
      <c r="G8397" s="2" t="str">
        <f>"SR-9995"</f>
        <v>SR-9995</v>
      </c>
      <c r="H8397" s="2" t="s">
        <v>34900</v>
      </c>
      <c r="I8397" s="2" t="s">
        <v>34901</v>
      </c>
      <c r="K8397" s="2" t="s">
        <v>11976</v>
      </c>
      <c r="L8397" s="2" t="s">
        <v>1012</v>
      </c>
      <c r="M8397" s="2">
        <v>72012.0</v>
      </c>
      <c r="N8397" s="2" t="s">
        <v>21</v>
      </c>
    </row>
    <row r="8398" ht="15.75" customHeight="1">
      <c r="A8398" s="2">
        <v>2017.0</v>
      </c>
      <c r="B8398" s="2" t="s">
        <v>34902</v>
      </c>
      <c r="C8398" s="2" t="s">
        <v>34902</v>
      </c>
      <c r="D8398" s="2" t="str">
        <f>"4239878925"</f>
        <v>4239878925</v>
      </c>
      <c r="E8398" s="2" t="s">
        <v>447</v>
      </c>
      <c r="F8398" s="2" t="s">
        <v>3283</v>
      </c>
      <c r="G8398" s="2" t="str">
        <f>"SR-8766"</f>
        <v>SR-8766</v>
      </c>
      <c r="H8398" s="2" t="s">
        <v>28676</v>
      </c>
      <c r="I8398" s="2" t="s">
        <v>34903</v>
      </c>
      <c r="K8398" s="2" t="s">
        <v>23449</v>
      </c>
      <c r="L8398" s="2" t="s">
        <v>279</v>
      </c>
      <c r="M8398" s="2">
        <v>37343.0</v>
      </c>
      <c r="N8398" s="2" t="s">
        <v>21</v>
      </c>
    </row>
    <row r="8399" ht="15.75" customHeight="1">
      <c r="A8399" s="2">
        <v>2017.0</v>
      </c>
      <c r="B8399" s="2" t="s">
        <v>34904</v>
      </c>
      <c r="C8399" s="2" t="s">
        <v>34904</v>
      </c>
      <c r="D8399" s="2" t="str">
        <f>"605-280-7812"</f>
        <v>605-280-7812</v>
      </c>
      <c r="E8399" s="2" t="s">
        <v>167</v>
      </c>
      <c r="F8399" s="2" t="s">
        <v>11171</v>
      </c>
      <c r="G8399" s="2" t="str">
        <f>"SR-10957"</f>
        <v>SR-10957</v>
      </c>
      <c r="H8399" s="2" t="s">
        <v>34905</v>
      </c>
      <c r="I8399" s="2" t="s">
        <v>34906</v>
      </c>
      <c r="K8399" s="2" t="s">
        <v>18694</v>
      </c>
      <c r="L8399" s="2" t="s">
        <v>920</v>
      </c>
      <c r="M8399" s="2">
        <v>57501.0</v>
      </c>
      <c r="N8399" s="2" t="s">
        <v>21</v>
      </c>
    </row>
    <row r="8400" ht="15.75" customHeight="1">
      <c r="A8400" s="2">
        <v>2017.0</v>
      </c>
      <c r="B8400" s="2" t="s">
        <v>34907</v>
      </c>
      <c r="C8400" s="2" t="s">
        <v>34908</v>
      </c>
      <c r="D8400" s="2" t="str">
        <f>"5096998768"</f>
        <v>5096998768</v>
      </c>
      <c r="E8400" s="2" t="s">
        <v>14788</v>
      </c>
      <c r="F8400" s="2" t="s">
        <v>34909</v>
      </c>
      <c r="G8400" s="2" t="str">
        <f>"SR-11275"</f>
        <v>SR-11275</v>
      </c>
      <c r="H8400" s="2" t="s">
        <v>34910</v>
      </c>
      <c r="I8400" s="2">
        <v>2451.0</v>
      </c>
      <c r="J8400" s="2" t="s">
        <v>34911</v>
      </c>
      <c r="K8400" s="2" t="s">
        <v>5288</v>
      </c>
      <c r="L8400" s="2" t="s">
        <v>1236</v>
      </c>
      <c r="M8400" s="2">
        <v>40206.0</v>
      </c>
      <c r="N8400" s="2" t="s">
        <v>21</v>
      </c>
    </row>
    <row r="8401" ht="15.75" customHeight="1">
      <c r="A8401" s="2">
        <v>2017.0</v>
      </c>
      <c r="B8401" s="2" t="s">
        <v>34912</v>
      </c>
      <c r="C8401" s="2" t="s">
        <v>34912</v>
      </c>
      <c r="D8401" s="2" t="str">
        <f>"8472756582"</f>
        <v>8472756582</v>
      </c>
      <c r="E8401" s="2" t="s">
        <v>9047</v>
      </c>
      <c r="F8401" s="2" t="s">
        <v>6351</v>
      </c>
      <c r="G8401" s="2" t="str">
        <f>"SR-11260"</f>
        <v>SR-11260</v>
      </c>
      <c r="H8401" s="2" t="s">
        <v>34913</v>
      </c>
      <c r="I8401" s="2" t="s">
        <v>34914</v>
      </c>
      <c r="K8401" s="2" t="s">
        <v>34915</v>
      </c>
      <c r="L8401" s="2" t="s">
        <v>105</v>
      </c>
      <c r="M8401" s="2">
        <v>60067.0</v>
      </c>
      <c r="N8401" s="2" t="s">
        <v>21</v>
      </c>
    </row>
    <row r="8402" ht="15.75" customHeight="1">
      <c r="A8402" s="2">
        <v>2017.0</v>
      </c>
      <c r="B8402" s="2" t="s">
        <v>34916</v>
      </c>
      <c r="C8402" s="2" t="s">
        <v>34916</v>
      </c>
      <c r="D8402" s="2" t="str">
        <f>"9526077844"</f>
        <v>9526077844</v>
      </c>
      <c r="E8402" s="2" t="s">
        <v>21985</v>
      </c>
      <c r="F8402" s="2" t="s">
        <v>14349</v>
      </c>
      <c r="G8402" s="2" t="str">
        <f>"SR-11030"</f>
        <v>SR-11030</v>
      </c>
      <c r="H8402" s="2" t="s">
        <v>34917</v>
      </c>
      <c r="I8402" s="2" t="s">
        <v>34918</v>
      </c>
      <c r="J8402" s="2" t="s">
        <v>34919</v>
      </c>
      <c r="K8402" s="2" t="s">
        <v>28820</v>
      </c>
      <c r="L8402" s="2" t="s">
        <v>62</v>
      </c>
      <c r="M8402" s="2">
        <v>55349.0</v>
      </c>
      <c r="N8402" s="2" t="s">
        <v>21</v>
      </c>
    </row>
    <row r="8403" ht="15.75" customHeight="1">
      <c r="A8403" s="2">
        <v>2017.0</v>
      </c>
      <c r="B8403" s="2" t="s">
        <v>34920</v>
      </c>
      <c r="C8403" s="2" t="s">
        <v>25485</v>
      </c>
      <c r="D8403" s="2" t="str">
        <f>"6152432315"</f>
        <v>6152432315</v>
      </c>
      <c r="E8403" s="2" t="s">
        <v>562</v>
      </c>
      <c r="F8403" s="2" t="s">
        <v>2863</v>
      </c>
      <c r="G8403" s="2" t="str">
        <f>"SR-6713"</f>
        <v>SR-6713</v>
      </c>
      <c r="H8403" s="2" t="s">
        <v>34921</v>
      </c>
      <c r="I8403" s="2" t="s">
        <v>34922</v>
      </c>
      <c r="K8403" s="2" t="s">
        <v>278</v>
      </c>
      <c r="L8403" s="2" t="s">
        <v>279</v>
      </c>
      <c r="M8403" s="2">
        <v>37064.0</v>
      </c>
      <c r="N8403" s="2" t="s">
        <v>21</v>
      </c>
    </row>
    <row r="8404" ht="15.75" customHeight="1">
      <c r="A8404" s="2">
        <v>2017.0</v>
      </c>
      <c r="B8404" s="2" t="s">
        <v>34923</v>
      </c>
      <c r="C8404" s="2" t="s">
        <v>34924</v>
      </c>
      <c r="D8404" s="2" t="str">
        <f>"(620) 234-6190"</f>
        <v>(620) 234-6190</v>
      </c>
      <c r="E8404" s="2" t="s">
        <v>267</v>
      </c>
      <c r="F8404" s="2" t="s">
        <v>13256</v>
      </c>
      <c r="G8404" s="2" t="str">
        <f>"SR-11108"</f>
        <v>SR-11108</v>
      </c>
      <c r="H8404" s="2" t="s">
        <v>28525</v>
      </c>
      <c r="I8404" s="2" t="s">
        <v>34925</v>
      </c>
      <c r="K8404" s="2" t="s">
        <v>5675</v>
      </c>
      <c r="L8404" s="2" t="s">
        <v>272</v>
      </c>
      <c r="M8404" s="2">
        <v>67578.0</v>
      </c>
      <c r="N8404" s="2" t="s">
        <v>21</v>
      </c>
    </row>
    <row r="8405" ht="15.75" customHeight="1">
      <c r="A8405" s="2">
        <v>2017.0</v>
      </c>
      <c r="B8405" s="2" t="s">
        <v>34926</v>
      </c>
      <c r="C8405" s="2" t="s">
        <v>34927</v>
      </c>
      <c r="D8405" s="2" t="str">
        <f>"8083411328"</f>
        <v>8083411328</v>
      </c>
      <c r="E8405" s="2" t="s">
        <v>34928</v>
      </c>
      <c r="F8405" s="2" t="s">
        <v>34929</v>
      </c>
      <c r="G8405" s="2" t="str">
        <f>"SR-11267"</f>
        <v>SR-11267</v>
      </c>
      <c r="H8405" s="2" t="s">
        <v>34930</v>
      </c>
      <c r="I8405" s="2" t="s">
        <v>34931</v>
      </c>
      <c r="K8405" s="2" t="s">
        <v>34932</v>
      </c>
      <c r="L8405" s="2" t="s">
        <v>770</v>
      </c>
      <c r="M8405" s="2">
        <v>96707.0</v>
      </c>
      <c r="N8405" s="2" t="s">
        <v>21</v>
      </c>
    </row>
    <row r="8406" ht="15.75" customHeight="1">
      <c r="A8406" s="2">
        <v>2017.0</v>
      </c>
      <c r="B8406" s="2" t="s">
        <v>34933</v>
      </c>
      <c r="C8406" s="2" t="s">
        <v>34933</v>
      </c>
      <c r="D8406" s="2" t="str">
        <f>"3166168387"</f>
        <v>3166168387</v>
      </c>
      <c r="E8406" s="2" t="s">
        <v>1208</v>
      </c>
      <c r="F8406" s="2" t="s">
        <v>11108</v>
      </c>
      <c r="G8406" s="2" t="str">
        <f>"SR-10441"</f>
        <v>SR-10441</v>
      </c>
      <c r="H8406" s="2" t="s">
        <v>34934</v>
      </c>
      <c r="I8406" s="2" t="s">
        <v>34935</v>
      </c>
      <c r="K8406" s="2" t="s">
        <v>1104</v>
      </c>
      <c r="L8406" s="2" t="s">
        <v>214</v>
      </c>
      <c r="M8406" s="2">
        <v>63383.0</v>
      </c>
      <c r="N8406" s="2" t="s">
        <v>21</v>
      </c>
    </row>
    <row r="8407" ht="15.75" customHeight="1">
      <c r="A8407" s="2">
        <v>2017.0</v>
      </c>
      <c r="B8407" s="2" t="s">
        <v>10549</v>
      </c>
      <c r="C8407" s="2" t="s">
        <v>34936</v>
      </c>
      <c r="D8407" s="2" t="str">
        <f>"9064830916"</f>
        <v>9064830916</v>
      </c>
      <c r="E8407" s="2" t="s">
        <v>160</v>
      </c>
      <c r="F8407" s="2" t="s">
        <v>3320</v>
      </c>
      <c r="G8407" s="2" t="str">
        <f>"SR-10570"</f>
        <v>SR-10570</v>
      </c>
      <c r="H8407" s="2" t="s">
        <v>34937</v>
      </c>
      <c r="I8407" s="2" t="s">
        <v>34938</v>
      </c>
      <c r="K8407" s="2" t="s">
        <v>10066</v>
      </c>
      <c r="L8407" s="2" t="s">
        <v>29</v>
      </c>
      <c r="M8407" s="2">
        <v>49931.0</v>
      </c>
      <c r="N8407" s="2" t="s">
        <v>21</v>
      </c>
    </row>
    <row r="8408" ht="15.75" customHeight="1">
      <c r="A8408" s="2">
        <v>2017.0</v>
      </c>
      <c r="B8408" s="2" t="s">
        <v>34939</v>
      </c>
      <c r="C8408" s="2" t="s">
        <v>34940</v>
      </c>
      <c r="D8408" s="2" t="str">
        <f>"912-429-3544"</f>
        <v>912-429-3544</v>
      </c>
      <c r="E8408" s="2" t="s">
        <v>11423</v>
      </c>
      <c r="F8408" s="2" t="s">
        <v>18291</v>
      </c>
      <c r="G8408" s="2" t="str">
        <f>"SR-11107"</f>
        <v>SR-11107</v>
      </c>
      <c r="H8408" s="2" t="s">
        <v>34941</v>
      </c>
      <c r="I8408" s="2" t="s">
        <v>34942</v>
      </c>
      <c r="K8408" s="2" t="s">
        <v>1239</v>
      </c>
      <c r="L8408" s="2" t="s">
        <v>200</v>
      </c>
      <c r="M8408" s="2">
        <v>31406.0</v>
      </c>
      <c r="N8408" s="2" t="s">
        <v>21</v>
      </c>
    </row>
    <row r="8409" ht="15.75" customHeight="1">
      <c r="A8409" s="2">
        <v>2017.0</v>
      </c>
      <c r="B8409" s="2" t="s">
        <v>34943</v>
      </c>
      <c r="C8409" s="2" t="s">
        <v>34943</v>
      </c>
      <c r="D8409" s="2" t="str">
        <f>"(815) 521-0579"</f>
        <v>(815) 521-0579</v>
      </c>
      <c r="E8409" s="2" t="s">
        <v>3555</v>
      </c>
      <c r="F8409" s="2" t="s">
        <v>8310</v>
      </c>
      <c r="G8409" s="2" t="str">
        <f>"SR-11271"</f>
        <v>SR-11271</v>
      </c>
      <c r="H8409" s="2" t="s">
        <v>34944</v>
      </c>
      <c r="I8409" s="2" t="s">
        <v>34945</v>
      </c>
      <c r="K8409" s="2" t="s">
        <v>15120</v>
      </c>
      <c r="L8409" s="2" t="s">
        <v>105</v>
      </c>
      <c r="M8409" s="2">
        <v>60410.0</v>
      </c>
      <c r="N8409" s="2" t="s">
        <v>21</v>
      </c>
    </row>
    <row r="8410" ht="15.75" customHeight="1">
      <c r="A8410" s="2">
        <v>2017.0</v>
      </c>
      <c r="B8410" s="2" t="s">
        <v>34946</v>
      </c>
      <c r="C8410" s="2" t="s">
        <v>34946</v>
      </c>
      <c r="D8410" s="2" t="str">
        <f>"7203394050"</f>
        <v>7203394050</v>
      </c>
      <c r="E8410" s="2" t="s">
        <v>2361</v>
      </c>
      <c r="F8410" s="2" t="s">
        <v>32351</v>
      </c>
      <c r="G8410" s="2" t="str">
        <f>"SR-11269"</f>
        <v>SR-11269</v>
      </c>
      <c r="H8410" s="2" t="s">
        <v>34947</v>
      </c>
      <c r="I8410" s="2" t="s">
        <v>34948</v>
      </c>
      <c r="K8410" s="2" t="s">
        <v>1548</v>
      </c>
      <c r="L8410" s="2" t="s">
        <v>157</v>
      </c>
      <c r="M8410" s="2">
        <v>80107.0</v>
      </c>
      <c r="N8410" s="2" t="s">
        <v>21</v>
      </c>
    </row>
    <row r="8411" ht="15.75" customHeight="1">
      <c r="A8411" s="2">
        <v>2017.0</v>
      </c>
      <c r="B8411" s="2" t="s">
        <v>34949</v>
      </c>
      <c r="C8411" s="2" t="s">
        <v>34949</v>
      </c>
      <c r="D8411" s="2" t="str">
        <f>"8327541187"</f>
        <v>8327541187</v>
      </c>
      <c r="E8411" s="2" t="s">
        <v>1548</v>
      </c>
      <c r="F8411" s="2" t="s">
        <v>1799</v>
      </c>
      <c r="G8411" s="2" t="str">
        <f>"SR-11255"</f>
        <v>SR-11255</v>
      </c>
      <c r="H8411" s="2" t="s">
        <v>32768</v>
      </c>
      <c r="I8411" s="2" t="s">
        <v>34950</v>
      </c>
      <c r="K8411" s="2" t="s">
        <v>6499</v>
      </c>
      <c r="L8411" s="2" t="s">
        <v>172</v>
      </c>
      <c r="M8411" s="2">
        <v>77450.0</v>
      </c>
      <c r="N8411" s="2" t="s">
        <v>21</v>
      </c>
    </row>
    <row r="8412" ht="15.75" customHeight="1">
      <c r="A8412" s="2">
        <v>2017.0</v>
      </c>
      <c r="B8412" s="2" t="s">
        <v>34951</v>
      </c>
      <c r="C8412" s="2" t="s">
        <v>34951</v>
      </c>
      <c r="D8412" s="2" t="str">
        <f>"312-967-9509"</f>
        <v>312-967-9509</v>
      </c>
      <c r="E8412" s="2" t="s">
        <v>14150</v>
      </c>
      <c r="F8412" s="2" t="s">
        <v>8310</v>
      </c>
      <c r="G8412" s="2" t="str">
        <f>"SR-11274"</f>
        <v>SR-11274</v>
      </c>
      <c r="H8412" s="2" t="s">
        <v>34952</v>
      </c>
      <c r="I8412" s="2" t="s">
        <v>34953</v>
      </c>
      <c r="K8412" s="2" t="s">
        <v>15120</v>
      </c>
      <c r="L8412" s="2" t="s">
        <v>105</v>
      </c>
      <c r="M8412" s="2">
        <v>60410.0</v>
      </c>
      <c r="N8412" s="2" t="s">
        <v>21</v>
      </c>
    </row>
    <row r="8413" ht="15.75" customHeight="1">
      <c r="A8413" s="2">
        <v>2017.0</v>
      </c>
      <c r="B8413" s="2" t="s">
        <v>34954</v>
      </c>
      <c r="C8413" s="2" t="s">
        <v>34955</v>
      </c>
      <c r="D8413" s="2" t="str">
        <f>"317-383-6231"</f>
        <v>317-383-6231</v>
      </c>
      <c r="E8413" s="2" t="s">
        <v>72</v>
      </c>
      <c r="F8413" s="2" t="s">
        <v>34956</v>
      </c>
      <c r="G8413" s="2" t="str">
        <f>"SR-11216"</f>
        <v>SR-11216</v>
      </c>
      <c r="H8413" s="2" t="s">
        <v>34957</v>
      </c>
      <c r="I8413" s="2" t="s">
        <v>34958</v>
      </c>
      <c r="K8413" s="2" t="s">
        <v>389</v>
      </c>
      <c r="L8413" s="2" t="s">
        <v>149</v>
      </c>
      <c r="M8413" s="2">
        <v>46112.0</v>
      </c>
      <c r="N8413" s="2" t="s">
        <v>21</v>
      </c>
    </row>
    <row r="8414" ht="15.75" customHeight="1">
      <c r="A8414" s="2">
        <v>2017.0</v>
      </c>
      <c r="B8414" s="2" t="s">
        <v>26803</v>
      </c>
      <c r="C8414" s="2" t="s">
        <v>26803</v>
      </c>
      <c r="D8414" s="2" t="str">
        <f>"5803778709"</f>
        <v>5803778709</v>
      </c>
      <c r="E8414" s="2" t="s">
        <v>1129</v>
      </c>
      <c r="F8414" s="2" t="s">
        <v>10561</v>
      </c>
      <c r="G8414" s="2" t="str">
        <f>"SR-8481"</f>
        <v>SR-8481</v>
      </c>
      <c r="H8414" s="2" t="s">
        <v>26804</v>
      </c>
      <c r="I8414" s="2" t="s">
        <v>26805</v>
      </c>
      <c r="K8414" s="2" t="s">
        <v>3220</v>
      </c>
      <c r="L8414" s="2" t="s">
        <v>840</v>
      </c>
      <c r="M8414" s="2">
        <v>73801.0</v>
      </c>
      <c r="N8414" s="2" t="s">
        <v>21</v>
      </c>
    </row>
    <row r="8415" ht="15.75" customHeight="1">
      <c r="A8415" s="2">
        <v>2017.0</v>
      </c>
      <c r="B8415" s="2" t="s">
        <v>34959</v>
      </c>
      <c r="C8415" s="2" t="s">
        <v>34959</v>
      </c>
      <c r="D8415" s="2" t="str">
        <f>"515-954-9901"</f>
        <v>515-954-9901</v>
      </c>
      <c r="E8415" s="2" t="s">
        <v>34960</v>
      </c>
      <c r="F8415" s="2" t="s">
        <v>34961</v>
      </c>
      <c r="G8415" s="2" t="str">
        <f>"SR-11270"</f>
        <v>SR-11270</v>
      </c>
      <c r="H8415" s="2" t="s">
        <v>34962</v>
      </c>
      <c r="I8415" s="2" t="s">
        <v>34963</v>
      </c>
      <c r="K8415" s="2" t="s">
        <v>3493</v>
      </c>
      <c r="L8415" s="2" t="s">
        <v>560</v>
      </c>
      <c r="M8415" s="2">
        <v>52302.0</v>
      </c>
      <c r="N8415" s="2" t="s">
        <v>21</v>
      </c>
    </row>
    <row r="8416" ht="15.75" customHeight="1">
      <c r="A8416" s="2">
        <v>2017.0</v>
      </c>
      <c r="B8416" s="2" t="s">
        <v>34964</v>
      </c>
      <c r="C8416" s="2" t="s">
        <v>34965</v>
      </c>
      <c r="D8416" s="2" t="str">
        <f>"513-309-3269"</f>
        <v>513-309-3269</v>
      </c>
      <c r="E8416" s="2" t="s">
        <v>282</v>
      </c>
      <c r="F8416" s="2" t="s">
        <v>34966</v>
      </c>
      <c r="G8416" s="2" t="str">
        <f>"SR-11178"</f>
        <v>SR-11178</v>
      </c>
      <c r="H8416" s="2" t="s">
        <v>34967</v>
      </c>
      <c r="I8416" s="2" t="s">
        <v>34968</v>
      </c>
      <c r="K8416" s="2" t="s">
        <v>23384</v>
      </c>
      <c r="L8416" s="2" t="s">
        <v>272</v>
      </c>
      <c r="M8416" s="2">
        <v>66013.0</v>
      </c>
      <c r="N8416" s="2" t="s">
        <v>21</v>
      </c>
    </row>
    <row r="8417" ht="15.75" customHeight="1">
      <c r="A8417" s="2">
        <v>2017.0</v>
      </c>
      <c r="B8417" s="2" t="s">
        <v>34969</v>
      </c>
      <c r="C8417" s="2" t="s">
        <v>34970</v>
      </c>
      <c r="D8417" s="2" t="str">
        <f>"704-209-5507"</f>
        <v>704-209-5507</v>
      </c>
      <c r="E8417" s="2" t="s">
        <v>453</v>
      </c>
      <c r="F8417" s="2" t="s">
        <v>639</v>
      </c>
      <c r="G8417" s="2" t="str">
        <f>"SR-11186"</f>
        <v>SR-11186</v>
      </c>
      <c r="H8417" s="2" t="s">
        <v>34971</v>
      </c>
      <c r="I8417" s="2" t="s">
        <v>34972</v>
      </c>
      <c r="K8417" s="2" t="s">
        <v>28879</v>
      </c>
      <c r="L8417" s="2" t="s">
        <v>20</v>
      </c>
      <c r="M8417" s="2">
        <v>28146.0</v>
      </c>
      <c r="N8417" s="2" t="s">
        <v>21</v>
      </c>
    </row>
    <row r="8418" ht="15.75" customHeight="1">
      <c r="A8418" s="2">
        <v>2017.0</v>
      </c>
      <c r="B8418" s="2" t="s">
        <v>34973</v>
      </c>
      <c r="C8418" s="2" t="s">
        <v>34973</v>
      </c>
      <c r="D8418" s="2" t="str">
        <f>"7855610611"</f>
        <v>7855610611</v>
      </c>
      <c r="E8418" s="2" t="s">
        <v>718</v>
      </c>
      <c r="F8418" s="2" t="s">
        <v>34974</v>
      </c>
      <c r="G8418" s="2" t="str">
        <f>"SR-11218"</f>
        <v>SR-11218</v>
      </c>
      <c r="H8418" s="2" t="s">
        <v>34975</v>
      </c>
      <c r="I8418" s="2" t="s">
        <v>34976</v>
      </c>
      <c r="K8418" s="2" t="s">
        <v>34977</v>
      </c>
      <c r="L8418" s="2" t="s">
        <v>272</v>
      </c>
      <c r="M8418" s="2">
        <v>66872.0</v>
      </c>
      <c r="N8418" s="2" t="s">
        <v>21</v>
      </c>
    </row>
    <row r="8419" ht="15.75" customHeight="1">
      <c r="A8419" s="2">
        <v>2017.0</v>
      </c>
      <c r="B8419" s="2" t="s">
        <v>34978</v>
      </c>
      <c r="C8419" s="2" t="s">
        <v>34979</v>
      </c>
      <c r="D8419" s="2" t="str">
        <f>"903-293-6038"</f>
        <v>903-293-6038</v>
      </c>
      <c r="E8419" s="2" t="s">
        <v>261</v>
      </c>
      <c r="F8419" s="2" t="s">
        <v>5632</v>
      </c>
      <c r="G8419" s="2" t="str">
        <f>"SR-11168"</f>
        <v>SR-11168</v>
      </c>
      <c r="H8419" s="2" t="s">
        <v>34980</v>
      </c>
      <c r="I8419" s="2" t="s">
        <v>34981</v>
      </c>
      <c r="K8419" s="2" t="s">
        <v>5578</v>
      </c>
      <c r="L8419" s="2" t="s">
        <v>172</v>
      </c>
      <c r="M8419" s="2">
        <v>75503.0</v>
      </c>
      <c r="N8419" s="2" t="s">
        <v>21</v>
      </c>
    </row>
    <row r="8420" ht="15.75" customHeight="1">
      <c r="A8420" s="2">
        <v>2017.0</v>
      </c>
      <c r="B8420" s="2" t="s">
        <v>34969</v>
      </c>
      <c r="C8420" s="2" t="s">
        <v>34982</v>
      </c>
      <c r="D8420" s="2" t="str">
        <f>"704-209-5507"</f>
        <v>704-209-5507</v>
      </c>
      <c r="E8420" s="2" t="s">
        <v>15</v>
      </c>
      <c r="F8420" s="2" t="s">
        <v>639</v>
      </c>
      <c r="G8420" s="2" t="str">
        <f>"SR-11187"</f>
        <v>SR-11187</v>
      </c>
      <c r="H8420" s="2" t="s">
        <v>34983</v>
      </c>
      <c r="I8420" s="2" t="s">
        <v>34972</v>
      </c>
      <c r="K8420" s="2" t="s">
        <v>28879</v>
      </c>
      <c r="L8420" s="2" t="s">
        <v>20</v>
      </c>
      <c r="M8420" s="2">
        <v>28146.0</v>
      </c>
      <c r="N8420" s="2" t="s">
        <v>21</v>
      </c>
    </row>
    <row r="8421" ht="15.75" customHeight="1">
      <c r="A8421" s="2">
        <v>2017.0</v>
      </c>
      <c r="B8421" s="2" t="s">
        <v>5540</v>
      </c>
      <c r="C8421" s="2" t="s">
        <v>34984</v>
      </c>
      <c r="D8421" s="2" t="str">
        <f>"678-364-1650"</f>
        <v>678-364-1650</v>
      </c>
      <c r="E8421" s="2" t="s">
        <v>938</v>
      </c>
      <c r="F8421" s="2" t="s">
        <v>1101</v>
      </c>
      <c r="G8421" s="2" t="str">
        <f>"SR-11231"</f>
        <v>SR-11231</v>
      </c>
      <c r="H8421" s="2" t="s">
        <v>34985</v>
      </c>
      <c r="I8421" s="2" t="s">
        <v>34986</v>
      </c>
      <c r="K8421" s="2" t="s">
        <v>2192</v>
      </c>
      <c r="L8421" s="2" t="s">
        <v>200</v>
      </c>
      <c r="M8421" s="2">
        <v>30269.0</v>
      </c>
      <c r="N8421" s="2" t="s">
        <v>21</v>
      </c>
    </row>
    <row r="8422" ht="15.75" customHeight="1">
      <c r="A8422" s="2">
        <v>2017.0</v>
      </c>
      <c r="B8422" s="2" t="s">
        <v>34987</v>
      </c>
      <c r="C8422" s="2" t="s">
        <v>34988</v>
      </c>
      <c r="D8422" s="2" t="str">
        <f>"6238784967"</f>
        <v>6238784967</v>
      </c>
      <c r="E8422" s="2" t="s">
        <v>1585</v>
      </c>
      <c r="F8422" s="2" t="s">
        <v>12891</v>
      </c>
      <c r="G8422" s="2" t="str">
        <f>"SR-9806"</f>
        <v>SR-9806</v>
      </c>
      <c r="H8422" s="2" t="s">
        <v>34989</v>
      </c>
      <c r="I8422" s="2" t="s">
        <v>34990</v>
      </c>
      <c r="K8422" s="2" t="s">
        <v>1133</v>
      </c>
      <c r="L8422" s="2" t="s">
        <v>422</v>
      </c>
      <c r="M8422" s="2">
        <v>85302.0</v>
      </c>
      <c r="N8422" s="2" t="s">
        <v>21</v>
      </c>
    </row>
    <row r="8423" ht="15.75" customHeight="1">
      <c r="A8423" s="2">
        <v>2017.0</v>
      </c>
      <c r="B8423" s="2" t="s">
        <v>34991</v>
      </c>
      <c r="C8423" s="2" t="s">
        <v>34991</v>
      </c>
      <c r="D8423" s="2" t="str">
        <f>"5074274227"</f>
        <v>5074274227</v>
      </c>
      <c r="E8423" s="2" t="s">
        <v>282</v>
      </c>
      <c r="F8423" s="2" t="s">
        <v>34992</v>
      </c>
      <c r="G8423" s="2" t="str">
        <f>"SR-10959"</f>
        <v>SR-10959</v>
      </c>
      <c r="H8423" s="2" t="s">
        <v>34993</v>
      </c>
      <c r="I8423" s="2" t="s">
        <v>34994</v>
      </c>
      <c r="K8423" s="2" t="s">
        <v>10380</v>
      </c>
      <c r="L8423" s="2" t="s">
        <v>62</v>
      </c>
      <c r="M8423" s="2">
        <v>56159.0</v>
      </c>
      <c r="N8423" s="2" t="s">
        <v>21</v>
      </c>
    </row>
    <row r="8424" ht="15.75" customHeight="1">
      <c r="A8424" s="2">
        <v>2017.0</v>
      </c>
      <c r="B8424" s="2" t="s">
        <v>26351</v>
      </c>
      <c r="C8424" s="2" t="s">
        <v>26351</v>
      </c>
      <c r="D8424" s="2" t="str">
        <f>"202-525-0892"</f>
        <v>202-525-0892</v>
      </c>
      <c r="E8424" s="2" t="s">
        <v>167</v>
      </c>
      <c r="F8424" s="2" t="s">
        <v>26352</v>
      </c>
      <c r="G8424" s="2" t="str">
        <f>"SR-8148"</f>
        <v>SR-8148</v>
      </c>
      <c r="H8424" s="2" t="s">
        <v>26353</v>
      </c>
      <c r="I8424" s="2" t="s">
        <v>26354</v>
      </c>
      <c r="K8424" s="2" t="s">
        <v>26355</v>
      </c>
      <c r="L8424" s="2" t="s">
        <v>165</v>
      </c>
      <c r="M8424" s="2">
        <v>22060.0</v>
      </c>
      <c r="N8424" s="2" t="s">
        <v>21</v>
      </c>
    </row>
    <row r="8425" ht="15.75" customHeight="1">
      <c r="A8425" s="2">
        <v>2017.0</v>
      </c>
      <c r="B8425" s="2" t="s">
        <v>34995</v>
      </c>
      <c r="C8425" s="2" t="s">
        <v>34996</v>
      </c>
      <c r="D8425" s="2" t="str">
        <f>"714-604-7579"</f>
        <v>714-604-7579</v>
      </c>
      <c r="E8425" s="2" t="s">
        <v>34997</v>
      </c>
      <c r="F8425" s="2" t="s">
        <v>6966</v>
      </c>
      <c r="G8425" s="2" t="str">
        <f>"SR-11276"</f>
        <v>SR-11276</v>
      </c>
      <c r="H8425" s="2" t="s">
        <v>34998</v>
      </c>
      <c r="I8425" s="2" t="s">
        <v>34999</v>
      </c>
      <c r="K8425" s="2" t="s">
        <v>642</v>
      </c>
      <c r="L8425" s="2" t="s">
        <v>222</v>
      </c>
      <c r="M8425" s="2">
        <v>92869.0</v>
      </c>
      <c r="N8425" s="2" t="s">
        <v>21</v>
      </c>
    </row>
    <row r="8426" ht="15.75" customHeight="1">
      <c r="A8426" s="2">
        <v>2017.0</v>
      </c>
      <c r="B8426" s="2" t="s">
        <v>15855</v>
      </c>
      <c r="C8426" s="2" t="s">
        <v>35000</v>
      </c>
      <c r="D8426" s="2" t="str">
        <f>"8037821776"</f>
        <v>8037821776</v>
      </c>
      <c r="E8426" s="2" t="s">
        <v>843</v>
      </c>
      <c r="F8426" s="2" t="s">
        <v>14694</v>
      </c>
      <c r="G8426" s="2" t="str">
        <f>"SR-11082"</f>
        <v>SR-11082</v>
      </c>
      <c r="H8426" s="2" t="s">
        <v>35001</v>
      </c>
      <c r="I8426" s="2" t="s">
        <v>15858</v>
      </c>
      <c r="K8426" s="2" t="s">
        <v>2750</v>
      </c>
      <c r="L8426" s="2" t="s">
        <v>55</v>
      </c>
      <c r="M8426" s="2">
        <v>29204.0</v>
      </c>
      <c r="N8426" s="2" t="s">
        <v>21</v>
      </c>
    </row>
    <row r="8427" ht="15.75" customHeight="1">
      <c r="A8427" s="2">
        <v>2017.0</v>
      </c>
      <c r="B8427" s="2" t="s">
        <v>35002</v>
      </c>
      <c r="C8427" s="2" t="s">
        <v>35002</v>
      </c>
      <c r="D8427" s="2" t="str">
        <f>"2147140999"</f>
        <v>2147140999</v>
      </c>
      <c r="E8427" s="2" t="s">
        <v>2912</v>
      </c>
      <c r="F8427" s="2" t="s">
        <v>35003</v>
      </c>
      <c r="G8427" s="2" t="str">
        <f>"SR-11261"</f>
        <v>SR-11261</v>
      </c>
      <c r="H8427" s="2" t="s">
        <v>35004</v>
      </c>
      <c r="I8427" s="2" t="s">
        <v>35005</v>
      </c>
      <c r="K8427" s="2" t="s">
        <v>35006</v>
      </c>
      <c r="L8427" s="2" t="s">
        <v>172</v>
      </c>
      <c r="M8427" s="2">
        <v>75038.0</v>
      </c>
      <c r="N8427" s="2" t="s">
        <v>21</v>
      </c>
    </row>
    <row r="8428" ht="15.75" customHeight="1">
      <c r="A8428" s="2">
        <v>2017.0</v>
      </c>
      <c r="B8428" s="2" t="s">
        <v>29089</v>
      </c>
      <c r="C8428" s="2" t="s">
        <v>29093</v>
      </c>
      <c r="D8428" s="2" t="str">
        <f>"6233776943"</f>
        <v>6233776943</v>
      </c>
      <c r="E8428" s="2" t="s">
        <v>2243</v>
      </c>
      <c r="F8428" s="2" t="s">
        <v>17150</v>
      </c>
      <c r="G8428" s="2" t="str">
        <f>"SR-9078"</f>
        <v>SR-9078</v>
      </c>
      <c r="H8428" s="2" t="s">
        <v>29094</v>
      </c>
      <c r="I8428" s="2" t="s">
        <v>29092</v>
      </c>
      <c r="K8428" s="2" t="s">
        <v>29095</v>
      </c>
      <c r="L8428" s="2" t="s">
        <v>422</v>
      </c>
      <c r="M8428" s="2">
        <v>85340.0</v>
      </c>
      <c r="N8428" s="2" t="s">
        <v>21</v>
      </c>
    </row>
    <row r="8429" ht="15.75" customHeight="1">
      <c r="A8429" s="2">
        <v>2017.0</v>
      </c>
      <c r="B8429" s="2" t="s">
        <v>35007</v>
      </c>
      <c r="C8429" s="2" t="s">
        <v>35007</v>
      </c>
      <c r="D8429" s="2" t="str">
        <f>"4(23)619-8080"</f>
        <v>4(23)619-8080</v>
      </c>
      <c r="E8429" s="2" t="s">
        <v>2885</v>
      </c>
      <c r="F8429" s="2" t="s">
        <v>863</v>
      </c>
      <c r="G8429" s="2" t="str">
        <f>"SR-11280"</f>
        <v>SR-11280</v>
      </c>
      <c r="H8429" s="2" t="s">
        <v>35008</v>
      </c>
      <c r="I8429" s="2" t="s">
        <v>35009</v>
      </c>
      <c r="K8429" s="2" t="s">
        <v>7750</v>
      </c>
      <c r="L8429" s="2" t="s">
        <v>200</v>
      </c>
      <c r="M8429" s="2">
        <v>30707.0</v>
      </c>
      <c r="N8429" s="2" t="s">
        <v>21</v>
      </c>
    </row>
    <row r="8430" ht="15.75" customHeight="1">
      <c r="A8430" s="2">
        <v>2017.0</v>
      </c>
      <c r="B8430" s="2" t="s">
        <v>29089</v>
      </c>
      <c r="C8430" s="2" t="s">
        <v>29090</v>
      </c>
      <c r="D8430" s="2" t="str">
        <f>"6233778377"</f>
        <v>6233778377</v>
      </c>
      <c r="E8430" s="2" t="s">
        <v>2361</v>
      </c>
      <c r="F8430" s="2" t="s">
        <v>17150</v>
      </c>
      <c r="G8430" s="2" t="str">
        <f>"SR-9053"</f>
        <v>SR-9053</v>
      </c>
      <c r="H8430" s="2" t="s">
        <v>29091</v>
      </c>
      <c r="I8430" s="2" t="s">
        <v>29092</v>
      </c>
      <c r="L8430" s="2" t="s">
        <v>422</v>
      </c>
      <c r="M8430" s="2">
        <v>85340.0</v>
      </c>
      <c r="N8430" s="2" t="s">
        <v>21</v>
      </c>
    </row>
    <row r="8431" ht="15.75" customHeight="1">
      <c r="A8431" s="2">
        <v>2017.0</v>
      </c>
      <c r="B8431" s="2" t="s">
        <v>12747</v>
      </c>
      <c r="C8431" s="2" t="s">
        <v>35010</v>
      </c>
      <c r="D8431" s="2" t="str">
        <f>"765-717-5039"</f>
        <v>765-717-5039</v>
      </c>
      <c r="E8431" s="2" t="s">
        <v>1088</v>
      </c>
      <c r="F8431" s="2" t="s">
        <v>12749</v>
      </c>
      <c r="G8431" s="2" t="str">
        <f>"SR-8161"</f>
        <v>SR-8161</v>
      </c>
      <c r="H8431" s="2" t="s">
        <v>35011</v>
      </c>
      <c r="I8431" s="2" t="s">
        <v>35012</v>
      </c>
      <c r="K8431" s="2" t="s">
        <v>35013</v>
      </c>
      <c r="L8431" s="2" t="s">
        <v>149</v>
      </c>
      <c r="M8431" s="2">
        <v>46062.0</v>
      </c>
      <c r="N8431" s="2" t="s">
        <v>21</v>
      </c>
    </row>
    <row r="8432" ht="15.75" customHeight="1">
      <c r="A8432" s="2">
        <v>2017.0</v>
      </c>
      <c r="B8432" s="2" t="s">
        <v>35014</v>
      </c>
      <c r="C8432" s="2" t="s">
        <v>35015</v>
      </c>
      <c r="D8432" s="2" t="str">
        <f>"6027965218"</f>
        <v>6027965218</v>
      </c>
      <c r="E8432" s="2" t="s">
        <v>10372</v>
      </c>
      <c r="F8432" s="2" t="s">
        <v>6718</v>
      </c>
      <c r="G8432" s="2" t="str">
        <f>"SR-11273"</f>
        <v>SR-11273</v>
      </c>
      <c r="H8432" s="2" t="s">
        <v>35016</v>
      </c>
      <c r="I8432" s="2" t="s">
        <v>35017</v>
      </c>
      <c r="K8432" s="2" t="s">
        <v>1133</v>
      </c>
      <c r="L8432" s="2" t="s">
        <v>422</v>
      </c>
      <c r="M8432" s="2">
        <v>85308.0</v>
      </c>
      <c r="N8432" s="2" t="s">
        <v>21</v>
      </c>
    </row>
    <row r="8433" ht="15.75" customHeight="1">
      <c r="A8433" s="2">
        <v>2017.0</v>
      </c>
      <c r="B8433" s="2" t="s">
        <v>35018</v>
      </c>
      <c r="C8433" s="2" t="s">
        <v>35018</v>
      </c>
      <c r="D8433" s="2" t="str">
        <f>"817-300-6570"</f>
        <v>817-300-6570</v>
      </c>
      <c r="E8433" s="2" t="s">
        <v>1032</v>
      </c>
      <c r="F8433" s="2" t="s">
        <v>8255</v>
      </c>
      <c r="G8433" s="2" t="str">
        <f>"SR-11279"</f>
        <v>SR-11279</v>
      </c>
      <c r="H8433" s="2" t="s">
        <v>35019</v>
      </c>
      <c r="I8433" s="2">
        <v>1406.0</v>
      </c>
      <c r="J8433" s="2" t="s">
        <v>35020</v>
      </c>
      <c r="K8433" s="2" t="s">
        <v>15291</v>
      </c>
      <c r="L8433" s="2" t="s">
        <v>172</v>
      </c>
      <c r="M8433" s="2">
        <v>76040.0</v>
      </c>
      <c r="N8433" s="2" t="s">
        <v>21</v>
      </c>
    </row>
    <row r="8434" ht="15.75" customHeight="1">
      <c r="A8434" s="2">
        <v>2017.0</v>
      </c>
      <c r="B8434" s="2" t="s">
        <v>35021</v>
      </c>
      <c r="C8434" s="2" t="s">
        <v>35021</v>
      </c>
      <c r="D8434" s="2" t="str">
        <f>"(904) 614-1130"</f>
        <v>(904) 614-1130</v>
      </c>
      <c r="E8434" s="2" t="s">
        <v>35022</v>
      </c>
      <c r="F8434" s="2" t="s">
        <v>35023</v>
      </c>
      <c r="G8434" s="2" t="str">
        <f>"SR-10275"</f>
        <v>SR-10275</v>
      </c>
      <c r="H8434" s="2" t="s">
        <v>35024</v>
      </c>
      <c r="I8434" s="2" t="s">
        <v>35025</v>
      </c>
      <c r="K8434" s="2" t="s">
        <v>451</v>
      </c>
      <c r="L8434" s="2" t="s">
        <v>208</v>
      </c>
      <c r="M8434" s="2">
        <v>32223.0</v>
      </c>
      <c r="N8434" s="2" t="s">
        <v>21</v>
      </c>
    </row>
    <row r="8435" ht="15.75" customHeight="1">
      <c r="A8435" s="2">
        <v>2017.0</v>
      </c>
      <c r="B8435" s="2" t="s">
        <v>35026</v>
      </c>
      <c r="C8435" s="2" t="s">
        <v>35027</v>
      </c>
      <c r="D8435" s="2" t="str">
        <f>"(319) 540-4022"</f>
        <v>(319) 540-4022</v>
      </c>
      <c r="E8435" s="2" t="s">
        <v>718</v>
      </c>
      <c r="F8435" s="2" t="s">
        <v>3570</v>
      </c>
      <c r="G8435" s="2" t="str">
        <f>"SR-11139"</f>
        <v>SR-11139</v>
      </c>
      <c r="H8435" s="2" t="s">
        <v>35028</v>
      </c>
      <c r="I8435" s="2" t="s">
        <v>35029</v>
      </c>
      <c r="K8435" s="2" t="s">
        <v>25784</v>
      </c>
      <c r="L8435" s="2" t="s">
        <v>560</v>
      </c>
      <c r="M8435" s="2">
        <v>52328.0</v>
      </c>
      <c r="N8435" s="2" t="s">
        <v>21</v>
      </c>
    </row>
    <row r="8436" ht="15.75" customHeight="1">
      <c r="A8436" s="2">
        <v>2017.0</v>
      </c>
      <c r="B8436" s="2" t="s">
        <v>35030</v>
      </c>
      <c r="C8436" s="2" t="s">
        <v>35031</v>
      </c>
      <c r="D8436" s="2" t="str">
        <f>"9708171455"</f>
        <v>9708171455</v>
      </c>
      <c r="E8436" s="2" t="s">
        <v>926</v>
      </c>
      <c r="F8436" s="2" t="s">
        <v>35032</v>
      </c>
      <c r="G8436" s="2" t="str">
        <f>"SR-10887"</f>
        <v>SR-10887</v>
      </c>
      <c r="H8436" s="2" t="s">
        <v>35033</v>
      </c>
      <c r="I8436" s="2" t="s">
        <v>35034</v>
      </c>
      <c r="K8436" s="2" t="s">
        <v>656</v>
      </c>
      <c r="L8436" s="2" t="s">
        <v>157</v>
      </c>
      <c r="M8436" s="2">
        <v>80524.0</v>
      </c>
      <c r="N8436" s="2" t="s">
        <v>21</v>
      </c>
    </row>
    <row r="8437" ht="15.75" customHeight="1">
      <c r="A8437" s="2">
        <v>2017.0</v>
      </c>
      <c r="B8437" s="2" t="s">
        <v>35035</v>
      </c>
      <c r="C8437" s="2" t="s">
        <v>35035</v>
      </c>
      <c r="D8437" s="2" t="str">
        <f>"7194842110"</f>
        <v>7194842110</v>
      </c>
      <c r="E8437" s="2" t="s">
        <v>2851</v>
      </c>
      <c r="F8437" s="2" t="s">
        <v>35036</v>
      </c>
      <c r="G8437" s="2" t="str">
        <f>"SR-11283"</f>
        <v>SR-11283</v>
      </c>
      <c r="H8437" s="2" t="s">
        <v>35037</v>
      </c>
      <c r="I8437" s="2" t="s">
        <v>35038</v>
      </c>
      <c r="K8437" s="2" t="s">
        <v>507</v>
      </c>
      <c r="L8437" s="2" t="s">
        <v>157</v>
      </c>
      <c r="M8437" s="2">
        <v>80132.0</v>
      </c>
      <c r="N8437" s="2" t="s">
        <v>21</v>
      </c>
    </row>
    <row r="8438" ht="15.75" customHeight="1">
      <c r="A8438" s="2">
        <v>2017.0</v>
      </c>
      <c r="B8438" s="2" t="s">
        <v>5068</v>
      </c>
      <c r="C8438" s="2" t="s">
        <v>35039</v>
      </c>
      <c r="D8438" s="2" t="str">
        <f>"(717)375-9925"</f>
        <v>(717)375-9925</v>
      </c>
      <c r="E8438" s="2" t="s">
        <v>5548</v>
      </c>
      <c r="F8438" s="2" t="s">
        <v>5070</v>
      </c>
      <c r="G8438" s="2" t="str">
        <f>"SR-6027"</f>
        <v>SR-6027</v>
      </c>
      <c r="H8438" s="2" t="s">
        <v>35040</v>
      </c>
      <c r="I8438" s="2" t="s">
        <v>35041</v>
      </c>
      <c r="K8438" s="2" t="s">
        <v>5073</v>
      </c>
      <c r="L8438" s="2" t="s">
        <v>179</v>
      </c>
      <c r="M8438" s="2">
        <v>17202.0</v>
      </c>
      <c r="N8438" s="2" t="s">
        <v>21</v>
      </c>
    </row>
    <row r="8439" ht="15.75" customHeight="1">
      <c r="A8439" s="2">
        <v>2017.0</v>
      </c>
      <c r="B8439" s="2" t="s">
        <v>35042</v>
      </c>
      <c r="C8439" s="2" t="s">
        <v>35043</v>
      </c>
      <c r="D8439" s="2" t="str">
        <f>"(319) 350-9566"</f>
        <v>(319) 350-9566</v>
      </c>
      <c r="E8439" s="2" t="s">
        <v>21409</v>
      </c>
      <c r="F8439" s="2" t="s">
        <v>8569</v>
      </c>
      <c r="G8439" s="2" t="str">
        <f>"SR-11282"</f>
        <v>SR-11282</v>
      </c>
      <c r="H8439" s="2" t="s">
        <v>35044</v>
      </c>
      <c r="I8439" s="2" t="s">
        <v>35045</v>
      </c>
      <c r="K8439" s="2" t="s">
        <v>3273</v>
      </c>
      <c r="L8439" s="2" t="s">
        <v>560</v>
      </c>
      <c r="M8439" s="2">
        <v>52404.0</v>
      </c>
      <c r="N8439" s="2" t="s">
        <v>21</v>
      </c>
    </row>
    <row r="8440" ht="15.75" customHeight="1">
      <c r="A8440" s="2">
        <v>2017.0</v>
      </c>
      <c r="B8440" s="2" t="s">
        <v>35030</v>
      </c>
      <c r="C8440" s="2" t="s">
        <v>35046</v>
      </c>
      <c r="D8440" s="2" t="str">
        <f>"9702213628"</f>
        <v>9702213628</v>
      </c>
      <c r="E8440" s="2" t="s">
        <v>3342</v>
      </c>
      <c r="F8440" s="2" t="s">
        <v>283</v>
      </c>
      <c r="G8440" s="2" t="str">
        <f>"SR-11181"</f>
        <v>SR-11181</v>
      </c>
      <c r="H8440" s="2" t="s">
        <v>35047</v>
      </c>
      <c r="I8440" s="2" t="s">
        <v>35048</v>
      </c>
      <c r="K8440" s="2" t="s">
        <v>656</v>
      </c>
      <c r="L8440" s="2" t="s">
        <v>157</v>
      </c>
      <c r="M8440" s="2">
        <v>80521.0</v>
      </c>
      <c r="N8440" s="2" t="s">
        <v>21</v>
      </c>
    </row>
    <row r="8441" ht="15.75" customHeight="1">
      <c r="A8441" s="2">
        <v>2017.0</v>
      </c>
      <c r="B8441" s="2" t="s">
        <v>35049</v>
      </c>
      <c r="C8441" s="2" t="s">
        <v>35049</v>
      </c>
      <c r="D8441" s="2" t="str">
        <f>"763-416-1775"</f>
        <v>763-416-1775</v>
      </c>
      <c r="E8441" s="2" t="s">
        <v>2309</v>
      </c>
      <c r="F8441" s="2" t="s">
        <v>35050</v>
      </c>
      <c r="G8441" s="2" t="str">
        <f>"SR-11284"</f>
        <v>SR-11284</v>
      </c>
      <c r="H8441" s="2" t="s">
        <v>35051</v>
      </c>
      <c r="I8441" s="2" t="s">
        <v>35052</v>
      </c>
      <c r="K8441" s="2" t="s">
        <v>35053</v>
      </c>
      <c r="L8441" s="2" t="s">
        <v>62</v>
      </c>
      <c r="M8441" s="2">
        <v>55340.0</v>
      </c>
      <c r="N8441" s="2" t="s">
        <v>21</v>
      </c>
    </row>
    <row r="8442" ht="15.75" customHeight="1">
      <c r="A8442" s="2">
        <v>2017.0</v>
      </c>
      <c r="B8442" s="2" t="s">
        <v>35054</v>
      </c>
      <c r="C8442" s="2" t="s">
        <v>35055</v>
      </c>
      <c r="D8442" s="2" t="str">
        <f>"520-678-6146"</f>
        <v>520-678-6146</v>
      </c>
      <c r="E8442" s="2" t="s">
        <v>5976</v>
      </c>
      <c r="F8442" s="2" t="s">
        <v>645</v>
      </c>
      <c r="G8442" s="2" t="str">
        <f>"SR-11281"</f>
        <v>SR-11281</v>
      </c>
      <c r="H8442" s="2" t="s">
        <v>35056</v>
      </c>
      <c r="I8442" s="2" t="s">
        <v>35057</v>
      </c>
      <c r="K8442" s="2" t="s">
        <v>18852</v>
      </c>
      <c r="L8442" s="2" t="s">
        <v>422</v>
      </c>
      <c r="M8442" s="2">
        <v>85617.0</v>
      </c>
      <c r="N8442" s="2" t="s">
        <v>21</v>
      </c>
    </row>
    <row r="8443" ht="15.75" customHeight="1">
      <c r="A8443" s="2">
        <v>2017.0</v>
      </c>
      <c r="B8443" s="2" t="s">
        <v>35058</v>
      </c>
      <c r="C8443" s="2" t="s">
        <v>35059</v>
      </c>
      <c r="D8443" s="2" t="str">
        <f>"3194600395"</f>
        <v>3194600395</v>
      </c>
      <c r="E8443" s="2" t="s">
        <v>2800</v>
      </c>
      <c r="F8443" s="2" t="s">
        <v>35060</v>
      </c>
      <c r="G8443" s="2" t="str">
        <f>"SR-11240"</f>
        <v>SR-11240</v>
      </c>
      <c r="H8443" s="2" t="s">
        <v>35061</v>
      </c>
      <c r="I8443" s="2" t="s">
        <v>35062</v>
      </c>
      <c r="K8443" s="2" t="s">
        <v>35063</v>
      </c>
      <c r="L8443" s="2" t="s">
        <v>208</v>
      </c>
      <c r="M8443" s="2">
        <v>33983.0</v>
      </c>
      <c r="N8443" s="2" t="s">
        <v>21</v>
      </c>
    </row>
    <row r="8444" ht="15.75" customHeight="1">
      <c r="A8444" s="2">
        <v>2017.0</v>
      </c>
      <c r="B8444" s="2" t="s">
        <v>35064</v>
      </c>
      <c r="C8444" s="2" t="s">
        <v>35065</v>
      </c>
      <c r="D8444" s="2" t="str">
        <f>"203-816-5115"</f>
        <v>203-816-5115</v>
      </c>
      <c r="E8444" s="2" t="s">
        <v>4501</v>
      </c>
      <c r="F8444" s="2" t="s">
        <v>35066</v>
      </c>
      <c r="G8444" s="2" t="str">
        <f>"SR-11272"</f>
        <v>SR-11272</v>
      </c>
      <c r="H8444" s="2" t="s">
        <v>35067</v>
      </c>
      <c r="I8444" s="2" t="s">
        <v>35068</v>
      </c>
      <c r="J8444" s="2" t="s">
        <v>35069</v>
      </c>
      <c r="K8444" s="2" t="s">
        <v>35070</v>
      </c>
      <c r="L8444" s="2" t="s">
        <v>62</v>
      </c>
      <c r="M8444" s="2">
        <v>55129.0</v>
      </c>
      <c r="N8444" s="2" t="s">
        <v>21</v>
      </c>
    </row>
    <row r="8445" ht="15.75" customHeight="1">
      <c r="A8445" s="2">
        <v>2017.0</v>
      </c>
      <c r="B8445" s="2" t="s">
        <v>13053</v>
      </c>
      <c r="C8445" s="2" t="s">
        <v>35071</v>
      </c>
      <c r="D8445" s="2" t="str">
        <f>"208-507-2733"</f>
        <v>208-507-2733</v>
      </c>
      <c r="E8445" s="2" t="s">
        <v>1039</v>
      </c>
      <c r="F8445" s="2" t="s">
        <v>6760</v>
      </c>
      <c r="G8445" s="2" t="str">
        <f>"SR-11290"</f>
        <v>SR-11290</v>
      </c>
      <c r="H8445" s="2" t="s">
        <v>35072</v>
      </c>
      <c r="I8445" s="2" t="s">
        <v>13056</v>
      </c>
      <c r="K8445" s="2" t="s">
        <v>13057</v>
      </c>
      <c r="L8445" s="2" t="s">
        <v>2613</v>
      </c>
      <c r="M8445" s="2">
        <v>83530.0</v>
      </c>
      <c r="N8445" s="2" t="s">
        <v>21</v>
      </c>
    </row>
    <row r="8446" ht="15.75" customHeight="1">
      <c r="A8446" s="2">
        <v>2017.0</v>
      </c>
      <c r="B8446" s="2" t="s">
        <v>35073</v>
      </c>
      <c r="C8446" s="2" t="s">
        <v>35073</v>
      </c>
      <c r="D8446" s="2" t="str">
        <f>"9088427741"</f>
        <v>9088427741</v>
      </c>
      <c r="E8446" s="2" t="s">
        <v>1288</v>
      </c>
      <c r="F8446" s="2" t="s">
        <v>34196</v>
      </c>
      <c r="G8446" s="2" t="str">
        <f>"SR-11144"</f>
        <v>SR-11144</v>
      </c>
      <c r="H8446" s="2" t="s">
        <v>35074</v>
      </c>
      <c r="I8446" s="2" t="s">
        <v>34198</v>
      </c>
      <c r="K8446" s="2" t="s">
        <v>1285</v>
      </c>
      <c r="L8446" s="2" t="s">
        <v>3618</v>
      </c>
      <c r="M8446" s="2">
        <v>8844.0</v>
      </c>
      <c r="N8446" s="2" t="s">
        <v>21</v>
      </c>
    </row>
    <row r="8447" ht="15.75" customHeight="1">
      <c r="A8447" s="2">
        <v>2017.0</v>
      </c>
      <c r="B8447" s="2" t="s">
        <v>26822</v>
      </c>
      <c r="C8447" s="2" t="s">
        <v>26902</v>
      </c>
      <c r="D8447" s="2" t="str">
        <f>"9039755990"</f>
        <v>9039755990</v>
      </c>
      <c r="E8447" s="2" t="s">
        <v>26903</v>
      </c>
      <c r="F8447" s="2" t="s">
        <v>2598</v>
      </c>
      <c r="G8447" s="2" t="str">
        <f>"SR-8397"</f>
        <v>SR-8397</v>
      </c>
      <c r="H8447" s="2" t="s">
        <v>26904</v>
      </c>
      <c r="I8447" s="2" t="s">
        <v>26905</v>
      </c>
      <c r="K8447" s="2" t="s">
        <v>16052</v>
      </c>
      <c r="L8447" s="2" t="s">
        <v>172</v>
      </c>
      <c r="M8447" s="2">
        <v>75494.0</v>
      </c>
      <c r="N8447" s="2" t="s">
        <v>21</v>
      </c>
    </row>
    <row r="8448" ht="15.75" customHeight="1">
      <c r="A8448" s="2">
        <v>2017.0</v>
      </c>
      <c r="B8448" s="2" t="s">
        <v>6790</v>
      </c>
      <c r="C8448" s="2" t="s">
        <v>35075</v>
      </c>
      <c r="D8448" s="2" t="str">
        <f>"207-852-4370"</f>
        <v>207-852-4370</v>
      </c>
      <c r="E8448" s="2" t="s">
        <v>428</v>
      </c>
      <c r="F8448" s="2" t="s">
        <v>6793</v>
      </c>
      <c r="G8448" s="2" t="str">
        <f>"SR-11250"</f>
        <v>SR-11250</v>
      </c>
      <c r="H8448" s="2" t="s">
        <v>35076</v>
      </c>
      <c r="I8448" s="2" t="s">
        <v>6795</v>
      </c>
      <c r="K8448" s="2" t="s">
        <v>6796</v>
      </c>
      <c r="L8448" s="2" t="s">
        <v>3737</v>
      </c>
      <c r="M8448" s="2">
        <v>4474.0</v>
      </c>
      <c r="N8448" s="2" t="s">
        <v>21</v>
      </c>
    </row>
    <row r="8449" ht="15.75" customHeight="1">
      <c r="A8449" s="2">
        <v>2017.0</v>
      </c>
      <c r="B8449" s="2" t="s">
        <v>35077</v>
      </c>
      <c r="C8449" s="2" t="s">
        <v>35078</v>
      </c>
      <c r="D8449" s="2" t="str">
        <f>"757-272-8015"</f>
        <v>757-272-8015</v>
      </c>
      <c r="E8449" s="2" t="s">
        <v>35079</v>
      </c>
      <c r="F8449" s="2" t="s">
        <v>1744</v>
      </c>
      <c r="G8449" s="2" t="str">
        <f>"SR-11289"</f>
        <v>SR-11289</v>
      </c>
      <c r="H8449" s="2" t="s">
        <v>35080</v>
      </c>
      <c r="I8449" s="2" t="s">
        <v>35081</v>
      </c>
      <c r="K8449" s="2" t="s">
        <v>1632</v>
      </c>
      <c r="L8449" s="2" t="s">
        <v>165</v>
      </c>
      <c r="M8449" s="2">
        <v>23487.0</v>
      </c>
      <c r="N8449" s="2" t="s">
        <v>21</v>
      </c>
    </row>
    <row r="8450" ht="15.75" customHeight="1">
      <c r="A8450" s="2">
        <v>2017.0</v>
      </c>
      <c r="B8450" s="2" t="s">
        <v>35082</v>
      </c>
      <c r="C8450" s="2" t="s">
        <v>35083</v>
      </c>
      <c r="D8450" s="2" t="str">
        <f>"3193641680"</f>
        <v>3193641680</v>
      </c>
      <c r="E8450" s="2" t="s">
        <v>2259</v>
      </c>
      <c r="F8450" s="2" t="s">
        <v>8901</v>
      </c>
      <c r="G8450" s="2" t="str">
        <f>"SR-11300"</f>
        <v>SR-11300</v>
      </c>
      <c r="H8450" s="2" t="s">
        <v>35084</v>
      </c>
      <c r="I8450" s="2" t="s">
        <v>35085</v>
      </c>
      <c r="K8450" s="2" t="s">
        <v>35086</v>
      </c>
      <c r="L8450" s="2" t="s">
        <v>560</v>
      </c>
      <c r="M8450" s="2">
        <v>52403.0</v>
      </c>
      <c r="N8450" s="2" t="s">
        <v>21</v>
      </c>
    </row>
    <row r="8451" ht="15.75" customHeight="1">
      <c r="A8451" s="2">
        <v>2017.0</v>
      </c>
      <c r="B8451" s="2" t="s">
        <v>35087</v>
      </c>
      <c r="C8451" s="2" t="s">
        <v>35088</v>
      </c>
      <c r="D8451" s="2" t="str">
        <f>"204-586-6923"</f>
        <v>204-586-6923</v>
      </c>
      <c r="E8451" s="2" t="s">
        <v>1141</v>
      </c>
      <c r="F8451" s="2" t="s">
        <v>35089</v>
      </c>
      <c r="G8451" s="2" t="str">
        <f>"SR-11294"</f>
        <v>SR-11294</v>
      </c>
      <c r="H8451" s="2" t="s">
        <v>35090</v>
      </c>
      <c r="I8451" s="2" t="s">
        <v>35091</v>
      </c>
      <c r="K8451" s="2" t="s">
        <v>7681</v>
      </c>
      <c r="L8451" s="2" t="s">
        <v>1600</v>
      </c>
      <c r="M8451" s="2" t="s">
        <v>35092</v>
      </c>
      <c r="N8451" s="2" t="s">
        <v>1602</v>
      </c>
    </row>
    <row r="8452" ht="15.75" customHeight="1">
      <c r="A8452" s="2">
        <v>2017.0</v>
      </c>
      <c r="B8452" s="2" t="s">
        <v>35093</v>
      </c>
      <c r="C8452" s="2" t="s">
        <v>35094</v>
      </c>
      <c r="D8452" s="2" t="str">
        <f>"7178678311"</f>
        <v>7178678311</v>
      </c>
      <c r="E8452" s="2" t="s">
        <v>12507</v>
      </c>
      <c r="F8452" s="2" t="s">
        <v>19752</v>
      </c>
      <c r="G8452" s="2" t="str">
        <f>"SR-11097"</f>
        <v>SR-11097</v>
      </c>
      <c r="H8452" s="2" t="s">
        <v>35095</v>
      </c>
      <c r="I8452" s="2" t="s">
        <v>35096</v>
      </c>
      <c r="K8452" s="2" t="s">
        <v>3229</v>
      </c>
      <c r="L8452" s="2" t="s">
        <v>179</v>
      </c>
      <c r="M8452" s="2">
        <v>17042.0</v>
      </c>
      <c r="N8452" s="2" t="s">
        <v>21</v>
      </c>
    </row>
    <row r="8453" ht="15.75" customHeight="1">
      <c r="A8453" s="2">
        <v>2017.0</v>
      </c>
      <c r="B8453" s="2" t="s">
        <v>35097</v>
      </c>
      <c r="C8453" s="2" t="s">
        <v>35098</v>
      </c>
      <c r="D8453" s="2" t="str">
        <f>"501.765.8458"</f>
        <v>501.765.8458</v>
      </c>
      <c r="E8453" s="2" t="s">
        <v>733</v>
      </c>
      <c r="F8453" s="2" t="s">
        <v>35099</v>
      </c>
      <c r="G8453" s="2" t="str">
        <f>"SR-10417"</f>
        <v>SR-10417</v>
      </c>
      <c r="H8453" s="2" t="s">
        <v>35100</v>
      </c>
      <c r="I8453" s="2" t="s">
        <v>35101</v>
      </c>
      <c r="K8453" s="2" t="s">
        <v>1759</v>
      </c>
      <c r="L8453" s="2" t="s">
        <v>1012</v>
      </c>
      <c r="M8453" s="2">
        <v>72206.0</v>
      </c>
      <c r="N8453" s="2" t="s">
        <v>21</v>
      </c>
    </row>
    <row r="8454" ht="15.75" customHeight="1">
      <c r="A8454" s="2">
        <v>2017.0</v>
      </c>
      <c r="B8454" s="2" t="s">
        <v>35102</v>
      </c>
      <c r="C8454" s="2" t="s">
        <v>35103</v>
      </c>
      <c r="D8454" s="2" t="str">
        <f>"9312238394"</f>
        <v>9312238394</v>
      </c>
      <c r="E8454" s="2" t="s">
        <v>15</v>
      </c>
      <c r="F8454" s="2" t="s">
        <v>7940</v>
      </c>
      <c r="G8454" s="2" t="str">
        <f>"SR-10635"</f>
        <v>SR-10635</v>
      </c>
      <c r="H8454" s="2" t="s">
        <v>35104</v>
      </c>
      <c r="I8454" s="2" t="s">
        <v>35105</v>
      </c>
      <c r="K8454" s="2" t="s">
        <v>2750</v>
      </c>
      <c r="L8454" s="2" t="s">
        <v>279</v>
      </c>
      <c r="M8454" s="2">
        <v>38401.0</v>
      </c>
      <c r="N8454" s="2" t="s">
        <v>21</v>
      </c>
    </row>
    <row r="8455" ht="15.75" customHeight="1">
      <c r="A8455" s="2">
        <v>2017.0</v>
      </c>
      <c r="B8455" s="2" t="s">
        <v>35106</v>
      </c>
      <c r="C8455" s="2" t="s">
        <v>35107</v>
      </c>
      <c r="D8455" s="2" t="str">
        <f>"719-999-5082"</f>
        <v>719-999-5082</v>
      </c>
      <c r="E8455" s="2" t="s">
        <v>9197</v>
      </c>
      <c r="F8455" s="2" t="s">
        <v>35108</v>
      </c>
      <c r="G8455" s="2" t="str">
        <f>"SR-11304"</f>
        <v>SR-11304</v>
      </c>
      <c r="H8455" s="2" t="s">
        <v>35109</v>
      </c>
      <c r="I8455" s="2" t="s">
        <v>35110</v>
      </c>
      <c r="K8455" s="2" t="s">
        <v>507</v>
      </c>
      <c r="L8455" s="2" t="s">
        <v>157</v>
      </c>
      <c r="M8455" s="2">
        <v>80132.0</v>
      </c>
      <c r="N8455" s="2" t="s">
        <v>21</v>
      </c>
    </row>
    <row r="8456" ht="15.75" customHeight="1">
      <c r="A8456" s="2">
        <v>2017.0</v>
      </c>
      <c r="B8456" s="2" t="s">
        <v>35097</v>
      </c>
      <c r="C8456" s="2" t="s">
        <v>35111</v>
      </c>
      <c r="D8456" s="2" t="str">
        <f>"501.765.8459"</f>
        <v>501.765.8459</v>
      </c>
      <c r="E8456" s="2" t="s">
        <v>23106</v>
      </c>
      <c r="F8456" s="2" t="s">
        <v>35099</v>
      </c>
      <c r="G8456" s="2" t="str">
        <f>"SR-10422"</f>
        <v>SR-10422</v>
      </c>
      <c r="H8456" s="2" t="s">
        <v>35112</v>
      </c>
      <c r="I8456" s="2" t="s">
        <v>35113</v>
      </c>
      <c r="K8456" s="2" t="s">
        <v>1759</v>
      </c>
      <c r="L8456" s="2" t="s">
        <v>1012</v>
      </c>
      <c r="M8456" s="2">
        <v>72206.0</v>
      </c>
      <c r="N8456" s="2" t="s">
        <v>21</v>
      </c>
    </row>
    <row r="8457" ht="15.75" customHeight="1">
      <c r="A8457" s="2">
        <v>2017.0</v>
      </c>
      <c r="B8457" s="2" t="s">
        <v>35114</v>
      </c>
      <c r="C8457" s="2" t="s">
        <v>24097</v>
      </c>
      <c r="D8457" s="2" t="str">
        <f>"4077442414"</f>
        <v>4077442414</v>
      </c>
      <c r="E8457" s="2" t="s">
        <v>203</v>
      </c>
      <c r="F8457" s="2" t="s">
        <v>14639</v>
      </c>
      <c r="G8457" s="2" t="str">
        <f>"SR-11307"</f>
        <v>SR-11307</v>
      </c>
      <c r="H8457" s="2" t="s">
        <v>24098</v>
      </c>
      <c r="I8457" s="2" t="s">
        <v>35115</v>
      </c>
      <c r="K8457" s="2" t="s">
        <v>11526</v>
      </c>
      <c r="L8457" s="2" t="s">
        <v>208</v>
      </c>
      <c r="M8457" s="2">
        <v>34772.0</v>
      </c>
      <c r="N8457" s="2" t="s">
        <v>21</v>
      </c>
    </row>
    <row r="8458" ht="15.75" customHeight="1">
      <c r="A8458" s="2">
        <v>2017.0</v>
      </c>
      <c r="B8458" s="2" t="s">
        <v>35116</v>
      </c>
      <c r="C8458" s="2" t="s">
        <v>35116</v>
      </c>
      <c r="D8458" s="2" t="str">
        <f>"8322475756"</f>
        <v>8322475756</v>
      </c>
      <c r="E8458" s="2" t="s">
        <v>17513</v>
      </c>
      <c r="F8458" s="2" t="s">
        <v>5105</v>
      </c>
      <c r="G8458" s="2" t="str">
        <f>"SR-11265"</f>
        <v>SR-11265</v>
      </c>
      <c r="H8458" s="2" t="s">
        <v>35117</v>
      </c>
      <c r="I8458" s="2" t="s">
        <v>35118</v>
      </c>
      <c r="K8458" s="2" t="s">
        <v>5683</v>
      </c>
      <c r="L8458" s="2" t="s">
        <v>208</v>
      </c>
      <c r="M8458" s="2">
        <v>33596.0</v>
      </c>
      <c r="N8458" s="2" t="s">
        <v>21</v>
      </c>
    </row>
    <row r="8459" ht="15.75" customHeight="1">
      <c r="A8459" s="2">
        <v>2017.0</v>
      </c>
      <c r="B8459" s="2" t="s">
        <v>35119</v>
      </c>
      <c r="C8459" s="2" t="s">
        <v>35120</v>
      </c>
      <c r="D8459" s="2" t="str">
        <f>"6266166111"</f>
        <v>6266166111</v>
      </c>
      <c r="E8459" s="2" t="s">
        <v>35121</v>
      </c>
      <c r="F8459" s="2" t="s">
        <v>14417</v>
      </c>
      <c r="G8459" s="2" t="str">
        <f>"SR-11004"</f>
        <v>SR-11004</v>
      </c>
      <c r="H8459" s="2" t="s">
        <v>35122</v>
      </c>
      <c r="I8459" s="2" t="s">
        <v>35123</v>
      </c>
      <c r="K8459" s="2" t="s">
        <v>13889</v>
      </c>
      <c r="L8459" s="2" t="s">
        <v>222</v>
      </c>
      <c r="M8459" s="2">
        <v>92373.0</v>
      </c>
      <c r="N8459" s="2" t="s">
        <v>21</v>
      </c>
    </row>
    <row r="8460" ht="15.75" customHeight="1">
      <c r="A8460" s="2">
        <v>2017.0</v>
      </c>
      <c r="B8460" s="2" t="s">
        <v>35124</v>
      </c>
      <c r="C8460" s="2" t="s">
        <v>35125</v>
      </c>
      <c r="D8460" s="2" t="str">
        <f>"8032975011"</f>
        <v>8032975011</v>
      </c>
      <c r="E8460" s="2" t="s">
        <v>72</v>
      </c>
      <c r="F8460" s="2" t="s">
        <v>35126</v>
      </c>
      <c r="G8460" s="2" t="str">
        <f>"SR-11196"</f>
        <v>SR-11196</v>
      </c>
      <c r="H8460" s="2" t="s">
        <v>35127</v>
      </c>
      <c r="I8460" s="2" t="s">
        <v>35128</v>
      </c>
      <c r="K8460" s="2" t="s">
        <v>2750</v>
      </c>
      <c r="L8460" s="2" t="s">
        <v>55</v>
      </c>
      <c r="M8460" s="2">
        <v>29210.0</v>
      </c>
      <c r="N8460" s="2" t="s">
        <v>21</v>
      </c>
    </row>
    <row r="8461" ht="15.75" customHeight="1">
      <c r="A8461" s="2">
        <v>2017.0</v>
      </c>
      <c r="B8461" s="2" t="s">
        <v>35129</v>
      </c>
      <c r="C8461" s="2" t="s">
        <v>35130</v>
      </c>
      <c r="D8461" s="2" t="str">
        <f>"240-538-1288"</f>
        <v>240-538-1288</v>
      </c>
      <c r="E8461" s="2" t="s">
        <v>160</v>
      </c>
      <c r="F8461" s="2" t="s">
        <v>1034</v>
      </c>
      <c r="G8461" s="2" t="str">
        <f>"SR-11266"</f>
        <v>SR-11266</v>
      </c>
      <c r="H8461" s="2" t="s">
        <v>35131</v>
      </c>
      <c r="I8461" s="2" t="s">
        <v>35132</v>
      </c>
      <c r="K8461" s="2" t="s">
        <v>27885</v>
      </c>
      <c r="L8461" s="2" t="s">
        <v>1868</v>
      </c>
      <c r="M8461" s="2">
        <v>20650.0</v>
      </c>
      <c r="N8461" s="2" t="s">
        <v>21</v>
      </c>
    </row>
    <row r="8462" ht="15.75" customHeight="1">
      <c r="A8462" s="2">
        <v>2017.0</v>
      </c>
      <c r="B8462" s="2" t="s">
        <v>35124</v>
      </c>
      <c r="C8462" s="2" t="s">
        <v>35133</v>
      </c>
      <c r="D8462" s="2" t="str">
        <f>"8032975011"</f>
        <v>8032975011</v>
      </c>
      <c r="E8462" s="2" t="s">
        <v>50</v>
      </c>
      <c r="F8462" s="2" t="s">
        <v>35126</v>
      </c>
      <c r="G8462" s="2" t="str">
        <f>"SR-11314"</f>
        <v>SR-11314</v>
      </c>
      <c r="H8462" s="2" t="s">
        <v>35134</v>
      </c>
      <c r="I8462" s="2" t="s">
        <v>35128</v>
      </c>
      <c r="K8462" s="2" t="s">
        <v>2750</v>
      </c>
      <c r="L8462" s="2" t="s">
        <v>55</v>
      </c>
      <c r="M8462" s="2">
        <v>29210.0</v>
      </c>
      <c r="N8462" s="2" t="s">
        <v>21</v>
      </c>
    </row>
    <row r="8463" ht="15.75" customHeight="1">
      <c r="A8463" s="2">
        <v>2017.0</v>
      </c>
      <c r="B8463" s="2" t="s">
        <v>4945</v>
      </c>
      <c r="C8463" s="2" t="s">
        <v>4945</v>
      </c>
      <c r="D8463" s="2" t="str">
        <f>"406-252-1877"</f>
        <v>406-252-1877</v>
      </c>
      <c r="E8463" s="2" t="s">
        <v>3555</v>
      </c>
      <c r="F8463" s="2" t="s">
        <v>4947</v>
      </c>
      <c r="G8463" s="2" t="str">
        <f>"SR-11299"</f>
        <v>SR-11299</v>
      </c>
      <c r="H8463" s="2" t="s">
        <v>35135</v>
      </c>
      <c r="I8463" s="2" t="s">
        <v>4949</v>
      </c>
      <c r="K8463" s="2" t="s">
        <v>3548</v>
      </c>
      <c r="L8463" s="2" t="s">
        <v>2696</v>
      </c>
      <c r="M8463" s="2">
        <v>59102.0</v>
      </c>
      <c r="N8463" s="2" t="s">
        <v>21</v>
      </c>
    </row>
    <row r="8464" ht="15.75" customHeight="1">
      <c r="A8464" s="2">
        <v>2017.0</v>
      </c>
      <c r="B8464" s="2" t="s">
        <v>35136</v>
      </c>
      <c r="C8464" s="2" t="s">
        <v>35136</v>
      </c>
      <c r="D8464" s="2" t="str">
        <f>"8652784961"</f>
        <v>8652784961</v>
      </c>
      <c r="E8464" s="2" t="s">
        <v>261</v>
      </c>
      <c r="F8464" s="2" t="s">
        <v>12676</v>
      </c>
      <c r="G8464" s="2" t="str">
        <f>"SR-11194"</f>
        <v>SR-11194</v>
      </c>
      <c r="H8464" s="2" t="s">
        <v>35137</v>
      </c>
      <c r="I8464" s="2" t="s">
        <v>35138</v>
      </c>
      <c r="K8464" s="2" t="s">
        <v>6168</v>
      </c>
      <c r="L8464" s="2" t="s">
        <v>279</v>
      </c>
      <c r="M8464" s="2">
        <v>37922.0</v>
      </c>
      <c r="N8464" s="2" t="s">
        <v>21</v>
      </c>
    </row>
    <row r="8465" ht="15.75" customHeight="1">
      <c r="A8465" s="2">
        <v>2017.0</v>
      </c>
      <c r="B8465" s="2" t="s">
        <v>35139</v>
      </c>
      <c r="C8465" s="2" t="s">
        <v>35139</v>
      </c>
      <c r="D8465" s="2" t="str">
        <f>"612-356-8815"</f>
        <v>612-356-8815</v>
      </c>
      <c r="E8465" s="2" t="s">
        <v>1529</v>
      </c>
      <c r="F8465" s="2" t="s">
        <v>35140</v>
      </c>
      <c r="G8465" s="2" t="str">
        <f>"SR-11191"</f>
        <v>SR-11191</v>
      </c>
      <c r="H8465" s="2" t="s">
        <v>35141</v>
      </c>
      <c r="I8465" s="2" t="s">
        <v>35142</v>
      </c>
      <c r="K8465" s="2" t="s">
        <v>1073</v>
      </c>
      <c r="L8465" s="2" t="s">
        <v>62</v>
      </c>
      <c r="M8465" s="2">
        <v>55417.0</v>
      </c>
      <c r="N8465" s="2" t="s">
        <v>21</v>
      </c>
    </row>
    <row r="8466" ht="15.75" customHeight="1">
      <c r="A8466" s="2">
        <v>2017.0</v>
      </c>
      <c r="B8466" s="2" t="s">
        <v>35143</v>
      </c>
      <c r="C8466" s="2" t="s">
        <v>35144</v>
      </c>
      <c r="D8466" s="2" t="str">
        <f>"9053301879"</f>
        <v>9053301879</v>
      </c>
      <c r="E8466" s="2" t="s">
        <v>32820</v>
      </c>
      <c r="F8466" s="2" t="s">
        <v>35145</v>
      </c>
      <c r="G8466" s="2" t="str">
        <f>"SR-11318"</f>
        <v>SR-11318</v>
      </c>
      <c r="H8466" s="2" t="s">
        <v>35146</v>
      </c>
      <c r="I8466" s="2" t="s">
        <v>35147</v>
      </c>
      <c r="K8466" s="2" t="s">
        <v>6075</v>
      </c>
      <c r="L8466" s="2" t="s">
        <v>2015</v>
      </c>
      <c r="M8466" s="2" t="s">
        <v>35148</v>
      </c>
      <c r="N8466" s="2" t="s">
        <v>1602</v>
      </c>
    </row>
    <row r="8467" ht="15.75" customHeight="1">
      <c r="A8467" s="2">
        <v>2017.0</v>
      </c>
      <c r="B8467" s="2" t="s">
        <v>6031</v>
      </c>
      <c r="C8467" s="2" t="s">
        <v>35149</v>
      </c>
      <c r="D8467" s="2" t="str">
        <f>"317-603-1236"</f>
        <v>317-603-1236</v>
      </c>
      <c r="E8467" s="2" t="s">
        <v>705</v>
      </c>
      <c r="F8467" s="2" t="s">
        <v>6032</v>
      </c>
      <c r="G8467" s="2" t="str">
        <f>"SR-11316"</f>
        <v>SR-11316</v>
      </c>
      <c r="H8467" s="2" t="s">
        <v>35150</v>
      </c>
      <c r="I8467" s="2" t="s">
        <v>6034</v>
      </c>
      <c r="K8467" s="2" t="s">
        <v>5258</v>
      </c>
      <c r="L8467" s="2" t="s">
        <v>149</v>
      </c>
      <c r="M8467" s="2">
        <v>46034.0</v>
      </c>
      <c r="N8467" s="2" t="s">
        <v>21</v>
      </c>
    </row>
    <row r="8468" ht="15.75" customHeight="1">
      <c r="A8468" s="2">
        <v>2017.0</v>
      </c>
      <c r="B8468" s="2" t="s">
        <v>26890</v>
      </c>
      <c r="C8468" s="2" t="s">
        <v>26891</v>
      </c>
      <c r="D8468" s="2" t="str">
        <f>"4074096820"</f>
        <v>4074096820</v>
      </c>
      <c r="E8468" s="2" t="s">
        <v>1088</v>
      </c>
      <c r="F8468" s="2" t="s">
        <v>14639</v>
      </c>
      <c r="G8468" s="2" t="str">
        <f>"SR-7458"</f>
        <v>SR-7458</v>
      </c>
      <c r="H8468" s="2" t="s">
        <v>26892</v>
      </c>
      <c r="I8468" s="2" t="s">
        <v>26893</v>
      </c>
      <c r="K8468" s="2" t="s">
        <v>26894</v>
      </c>
      <c r="L8468" s="2" t="s">
        <v>179</v>
      </c>
      <c r="M8468" s="2">
        <v>19460.0</v>
      </c>
      <c r="N8468" s="2" t="s">
        <v>21</v>
      </c>
    </row>
    <row r="8469" ht="15.75" customHeight="1">
      <c r="A8469" s="2">
        <v>2017.0</v>
      </c>
      <c r="B8469" s="2" t="s">
        <v>35151</v>
      </c>
      <c r="C8469" s="2" t="s">
        <v>35152</v>
      </c>
      <c r="D8469" s="2" t="str">
        <f>"423-276-3597"</f>
        <v>423-276-3597</v>
      </c>
      <c r="E8469" s="2" t="s">
        <v>938</v>
      </c>
      <c r="F8469" s="2" t="s">
        <v>35153</v>
      </c>
      <c r="G8469" s="2" t="str">
        <f>"SR-11295"</f>
        <v>SR-11295</v>
      </c>
      <c r="H8469" s="2" t="s">
        <v>35154</v>
      </c>
      <c r="I8469" s="2" t="s">
        <v>35155</v>
      </c>
      <c r="K8469" s="2" t="s">
        <v>35156</v>
      </c>
      <c r="L8469" s="2" t="s">
        <v>279</v>
      </c>
      <c r="M8469" s="2">
        <v>37664.0</v>
      </c>
      <c r="N8469" s="2" t="s">
        <v>21</v>
      </c>
    </row>
    <row r="8470" ht="15.75" customHeight="1">
      <c r="A8470" s="2">
        <v>2017.0</v>
      </c>
      <c r="B8470" s="2" t="s">
        <v>35157</v>
      </c>
      <c r="C8470" s="2" t="s">
        <v>35158</v>
      </c>
      <c r="D8470" s="2" t="str">
        <f>"2107890985"</f>
        <v>2107890985</v>
      </c>
      <c r="E8470" s="2" t="s">
        <v>2361</v>
      </c>
      <c r="F8470" s="2" t="s">
        <v>3499</v>
      </c>
      <c r="G8470" s="2" t="str">
        <f>"SR-10903"</f>
        <v>SR-10903</v>
      </c>
      <c r="H8470" s="2" t="s">
        <v>35159</v>
      </c>
      <c r="I8470" s="2" t="s">
        <v>35160</v>
      </c>
      <c r="K8470" s="2" t="s">
        <v>632</v>
      </c>
      <c r="L8470" s="2" t="s">
        <v>172</v>
      </c>
      <c r="M8470" s="2">
        <v>78255.0</v>
      </c>
      <c r="N8470" s="2" t="s">
        <v>21</v>
      </c>
    </row>
    <row r="8471" ht="15.75" customHeight="1">
      <c r="A8471" s="2">
        <v>2017.0</v>
      </c>
      <c r="B8471" s="2" t="s">
        <v>35161</v>
      </c>
      <c r="C8471" s="2" t="s">
        <v>35161</v>
      </c>
      <c r="D8471" s="2" t="str">
        <f>"5017868822"</f>
        <v>5017868822</v>
      </c>
      <c r="E8471" s="2" t="s">
        <v>4136</v>
      </c>
      <c r="F8471" s="2" t="s">
        <v>457</v>
      </c>
      <c r="G8471" s="2" t="str">
        <f>"SR-10888"</f>
        <v>SR-10888</v>
      </c>
      <c r="H8471" s="2" t="s">
        <v>35162</v>
      </c>
      <c r="I8471" s="2" t="s">
        <v>35163</v>
      </c>
      <c r="K8471" s="2" t="s">
        <v>8005</v>
      </c>
      <c r="L8471" s="2" t="s">
        <v>840</v>
      </c>
      <c r="M8471" s="2">
        <v>73086.0</v>
      </c>
      <c r="N8471" s="2" t="s">
        <v>21</v>
      </c>
    </row>
    <row r="8472" ht="15.75" customHeight="1">
      <c r="A8472" s="2">
        <v>2017.0</v>
      </c>
      <c r="B8472" s="2" t="s">
        <v>21851</v>
      </c>
      <c r="C8472" s="2" t="s">
        <v>21852</v>
      </c>
      <c r="D8472" s="2" t="str">
        <f>"8083511787"</f>
        <v>8083511787</v>
      </c>
      <c r="E8472" s="2" t="s">
        <v>678</v>
      </c>
      <c r="F8472" s="2" t="s">
        <v>5632</v>
      </c>
      <c r="G8472" s="2" t="str">
        <f>"SR-6681"</f>
        <v>SR-6681</v>
      </c>
      <c r="H8472" s="2" t="s">
        <v>21853</v>
      </c>
      <c r="I8472" s="2" t="s">
        <v>21854</v>
      </c>
      <c r="K8472" s="2" t="s">
        <v>975</v>
      </c>
      <c r="L8472" s="2" t="s">
        <v>157</v>
      </c>
      <c r="M8472" s="2">
        <v>80831.0</v>
      </c>
      <c r="N8472" s="2" t="s">
        <v>21</v>
      </c>
    </row>
    <row r="8473" ht="15.75" customHeight="1">
      <c r="A8473" s="2">
        <v>2017.0</v>
      </c>
      <c r="B8473" s="2" t="s">
        <v>35164</v>
      </c>
      <c r="C8473" s="2" t="s">
        <v>35165</v>
      </c>
      <c r="D8473" s="2" t="str">
        <f>"3307631620"</f>
        <v>3307631620</v>
      </c>
      <c r="E8473" s="2" t="s">
        <v>590</v>
      </c>
      <c r="F8473" s="2" t="s">
        <v>33968</v>
      </c>
      <c r="G8473" s="2" t="str">
        <f>"SR-11315"</f>
        <v>SR-11315</v>
      </c>
      <c r="H8473" s="2" t="s">
        <v>35166</v>
      </c>
      <c r="I8473" s="2" t="s">
        <v>35167</v>
      </c>
      <c r="K8473" s="2" t="s">
        <v>35168</v>
      </c>
      <c r="L8473" s="2" t="s">
        <v>344</v>
      </c>
      <c r="M8473" s="2">
        <v>44654.0</v>
      </c>
      <c r="N8473" s="2" t="s">
        <v>21</v>
      </c>
    </row>
    <row r="8474" ht="15.75" customHeight="1">
      <c r="A8474" s="2">
        <v>2017.0</v>
      </c>
      <c r="B8474" s="2" t="s">
        <v>35169</v>
      </c>
      <c r="C8474" s="2" t="s">
        <v>35169</v>
      </c>
      <c r="D8474" s="2" t="str">
        <f>"406-839-6716"</f>
        <v>406-839-6716</v>
      </c>
      <c r="E8474" s="2" t="s">
        <v>1015</v>
      </c>
      <c r="F8474" s="2" t="s">
        <v>11406</v>
      </c>
      <c r="G8474" s="2" t="str">
        <f>"SR-10632"</f>
        <v>SR-10632</v>
      </c>
      <c r="H8474" s="2" t="s">
        <v>19707</v>
      </c>
      <c r="I8474" s="2" t="s">
        <v>35170</v>
      </c>
      <c r="K8474" s="2" t="s">
        <v>3548</v>
      </c>
      <c r="L8474" s="2" t="s">
        <v>2696</v>
      </c>
      <c r="M8474" s="2">
        <v>59102.0</v>
      </c>
      <c r="N8474" s="2" t="s">
        <v>21</v>
      </c>
    </row>
    <row r="8475" ht="15.75" customHeight="1">
      <c r="A8475" s="2">
        <v>2017.0</v>
      </c>
      <c r="B8475" s="2" t="s">
        <v>25478</v>
      </c>
      <c r="C8475" s="2" t="s">
        <v>25479</v>
      </c>
      <c r="D8475" s="2" t="str">
        <f>"3204921206"</f>
        <v>3204921206</v>
      </c>
      <c r="E8475" s="2" t="s">
        <v>4604</v>
      </c>
      <c r="F8475" s="2" t="s">
        <v>25480</v>
      </c>
      <c r="G8475" s="2" t="str">
        <f>"SR-7803"</f>
        <v>SR-7803</v>
      </c>
      <c r="H8475" s="2" t="s">
        <v>25481</v>
      </c>
      <c r="I8475" s="2" t="s">
        <v>25482</v>
      </c>
      <c r="K8475" s="2" t="s">
        <v>25483</v>
      </c>
      <c r="L8475" s="2" t="s">
        <v>62</v>
      </c>
      <c r="M8475" s="2">
        <v>55382.0</v>
      </c>
      <c r="N8475" s="2" t="s">
        <v>21</v>
      </c>
    </row>
    <row r="8476" ht="15.75" customHeight="1">
      <c r="A8476" s="2">
        <v>2017.0</v>
      </c>
      <c r="B8476" s="2" t="s">
        <v>35171</v>
      </c>
      <c r="D8476" s="2" t="str">
        <f>""</f>
        <v/>
      </c>
      <c r="E8476" s="2" t="s">
        <v>35172</v>
      </c>
      <c r="F8476" s="2" t="s">
        <v>256</v>
      </c>
      <c r="G8476" s="2" t="str">
        <f>"SR-11313"</f>
        <v>SR-11313</v>
      </c>
      <c r="H8476" s="2" t="s">
        <v>35173</v>
      </c>
      <c r="N8476" s="2" t="s">
        <v>21</v>
      </c>
    </row>
    <row r="8477" ht="15.75" customHeight="1">
      <c r="A8477" s="2">
        <v>2017.0</v>
      </c>
      <c r="B8477" s="2" t="s">
        <v>35174</v>
      </c>
      <c r="C8477" s="2" t="s">
        <v>35175</v>
      </c>
      <c r="D8477" s="2" t="str">
        <f>"704-395-2643"</f>
        <v>704-395-2643</v>
      </c>
      <c r="E8477" s="2" t="s">
        <v>453</v>
      </c>
      <c r="F8477" s="2" t="s">
        <v>519</v>
      </c>
      <c r="G8477" s="2" t="str">
        <f>"SR-11288"</f>
        <v>SR-11288</v>
      </c>
      <c r="H8477" s="2" t="s">
        <v>35176</v>
      </c>
      <c r="I8477" s="2" t="s">
        <v>35177</v>
      </c>
      <c r="K8477" s="2" t="s">
        <v>19</v>
      </c>
      <c r="L8477" s="2" t="s">
        <v>20</v>
      </c>
      <c r="M8477" s="2">
        <v>28214.0</v>
      </c>
      <c r="N8477" s="2" t="s">
        <v>21</v>
      </c>
    </row>
    <row r="8478" ht="15.75" customHeight="1">
      <c r="A8478" s="2">
        <v>2017.0</v>
      </c>
      <c r="B8478" s="2" t="s">
        <v>35178</v>
      </c>
      <c r="C8478" s="2" t="s">
        <v>35179</v>
      </c>
      <c r="D8478" s="2" t="str">
        <f>"6037500183"</f>
        <v>6037500183</v>
      </c>
      <c r="E8478" s="2" t="s">
        <v>100</v>
      </c>
      <c r="F8478" s="2" t="s">
        <v>35180</v>
      </c>
      <c r="G8478" s="2" t="str">
        <f>"SR-10777"</f>
        <v>SR-10777</v>
      </c>
      <c r="H8478" s="2" t="s">
        <v>35181</v>
      </c>
      <c r="I8478" s="2" t="s">
        <v>35182</v>
      </c>
      <c r="K8478" s="2" t="s">
        <v>10322</v>
      </c>
      <c r="L8478" s="2" t="s">
        <v>19930</v>
      </c>
      <c r="M8478" s="2">
        <v>3820.0</v>
      </c>
      <c r="N8478" s="2" t="s">
        <v>21</v>
      </c>
    </row>
    <row r="8479" ht="15.75" customHeight="1">
      <c r="A8479" s="2">
        <v>2017.0</v>
      </c>
      <c r="B8479" s="2" t="s">
        <v>35183</v>
      </c>
      <c r="C8479" s="2" t="s">
        <v>35184</v>
      </c>
      <c r="D8479" s="2" t="str">
        <f>"402-505-0601"</f>
        <v>402-505-0601</v>
      </c>
      <c r="E8479" s="2" t="s">
        <v>1108</v>
      </c>
      <c r="F8479" s="2" t="s">
        <v>35185</v>
      </c>
      <c r="G8479" s="2" t="str">
        <f>"SR-11220"</f>
        <v>SR-11220</v>
      </c>
      <c r="H8479" s="2" t="s">
        <v>35186</v>
      </c>
      <c r="I8479" s="2" t="s">
        <v>35187</v>
      </c>
      <c r="K8479" s="2" t="s">
        <v>13967</v>
      </c>
      <c r="L8479" s="2" t="s">
        <v>757</v>
      </c>
      <c r="M8479" s="2">
        <v>68069.0</v>
      </c>
      <c r="N8479" s="2" t="s">
        <v>21</v>
      </c>
    </row>
    <row r="8480" ht="15.75" customHeight="1">
      <c r="A8480" s="2">
        <v>2017.0</v>
      </c>
      <c r="B8480" s="2" t="s">
        <v>35188</v>
      </c>
      <c r="D8480" s="2" t="str">
        <f>""</f>
        <v/>
      </c>
      <c r="E8480" s="2" t="s">
        <v>5858</v>
      </c>
      <c r="F8480" s="2" t="s">
        <v>1702</v>
      </c>
      <c r="G8480" s="2" t="str">
        <f>"SR-11323"</f>
        <v>SR-11323</v>
      </c>
      <c r="H8480" s="2" t="s">
        <v>35189</v>
      </c>
      <c r="N8480" s="2" t="s">
        <v>21</v>
      </c>
    </row>
    <row r="8481" ht="15.75" customHeight="1">
      <c r="A8481" s="2">
        <v>2017.0</v>
      </c>
      <c r="B8481" s="2" t="s">
        <v>35190</v>
      </c>
      <c r="C8481" s="2" t="s">
        <v>35191</v>
      </c>
      <c r="D8481" s="2" t="str">
        <f>"2568087049"</f>
        <v>2568087049</v>
      </c>
      <c r="E8481" s="2" t="s">
        <v>1548</v>
      </c>
      <c r="F8481" s="2" t="s">
        <v>6113</v>
      </c>
      <c r="G8481" s="2" t="str">
        <f>"SR-11285"</f>
        <v>SR-11285</v>
      </c>
      <c r="H8481" s="2" t="s">
        <v>35192</v>
      </c>
      <c r="I8481" s="2" t="s">
        <v>35193</v>
      </c>
      <c r="K8481" s="2" t="s">
        <v>5108</v>
      </c>
      <c r="L8481" s="2" t="s">
        <v>539</v>
      </c>
      <c r="M8481" s="2">
        <v>35614.0</v>
      </c>
      <c r="N8481" s="2" t="s">
        <v>21</v>
      </c>
    </row>
    <row r="8482" ht="15.75" customHeight="1">
      <c r="A8482" s="2">
        <v>2017.0</v>
      </c>
      <c r="B8482" s="2" t="s">
        <v>35194</v>
      </c>
      <c r="C8482" s="2" t="s">
        <v>35195</v>
      </c>
      <c r="D8482" s="2" t="str">
        <f>"951-972-7539"</f>
        <v>951-972-7539</v>
      </c>
      <c r="E8482" s="2" t="s">
        <v>4749</v>
      </c>
      <c r="F8482" s="2" t="s">
        <v>26794</v>
      </c>
      <c r="G8482" s="2" t="str">
        <f>"SR-11145"</f>
        <v>SR-11145</v>
      </c>
      <c r="H8482" s="2" t="s">
        <v>35196</v>
      </c>
      <c r="I8482" s="2" t="s">
        <v>35197</v>
      </c>
      <c r="K8482" s="2" t="s">
        <v>35198</v>
      </c>
      <c r="L8482" s="2" t="s">
        <v>222</v>
      </c>
      <c r="M8482" s="2">
        <v>92592.0</v>
      </c>
      <c r="N8482" s="2" t="s">
        <v>21</v>
      </c>
    </row>
    <row r="8483" ht="15.75" customHeight="1">
      <c r="A8483" s="2">
        <v>2017.0</v>
      </c>
      <c r="B8483" s="2" t="s">
        <v>35199</v>
      </c>
      <c r="C8483" s="2" t="s">
        <v>35199</v>
      </c>
      <c r="D8483" s="2" t="str">
        <f>"6788987741"</f>
        <v>6788987741</v>
      </c>
      <c r="E8483" s="2" t="s">
        <v>124</v>
      </c>
      <c r="F8483" s="2" t="s">
        <v>1151</v>
      </c>
      <c r="G8483" s="2" t="str">
        <f>"SR-11327"</f>
        <v>SR-11327</v>
      </c>
      <c r="H8483" s="2" t="s">
        <v>35200</v>
      </c>
      <c r="I8483" s="2" t="s">
        <v>35201</v>
      </c>
      <c r="K8483" s="2" t="s">
        <v>17339</v>
      </c>
      <c r="L8483" s="2" t="s">
        <v>200</v>
      </c>
      <c r="M8483" s="2">
        <v>30179.0</v>
      </c>
      <c r="N8483" s="2" t="s">
        <v>21</v>
      </c>
    </row>
    <row r="8484" ht="15.75" customHeight="1">
      <c r="A8484" s="2">
        <v>2017.0</v>
      </c>
      <c r="B8484" s="2" t="s">
        <v>30014</v>
      </c>
      <c r="D8484" s="2" t="str">
        <f>""</f>
        <v/>
      </c>
      <c r="E8484" s="2" t="s">
        <v>72</v>
      </c>
      <c r="F8484" s="2" t="s">
        <v>30015</v>
      </c>
      <c r="G8484" s="2" t="str">
        <f>"SR-9080"</f>
        <v>SR-9080</v>
      </c>
      <c r="H8484" s="2" t="s">
        <v>30016</v>
      </c>
      <c r="N8484" s="2" t="s">
        <v>21</v>
      </c>
    </row>
    <row r="8485" ht="15.75" customHeight="1">
      <c r="A8485" s="2">
        <v>2017.0</v>
      </c>
      <c r="B8485" s="2" t="s">
        <v>17397</v>
      </c>
      <c r="C8485" s="2" t="s">
        <v>35202</v>
      </c>
      <c r="D8485" s="2" t="str">
        <f>"4233232113"</f>
        <v>4233232113</v>
      </c>
      <c r="E8485" s="2" t="s">
        <v>1239</v>
      </c>
      <c r="F8485" s="2" t="s">
        <v>15783</v>
      </c>
      <c r="G8485" s="2" t="str">
        <f>"SR-11329"</f>
        <v>SR-11329</v>
      </c>
      <c r="H8485" s="2" t="s">
        <v>35203</v>
      </c>
      <c r="I8485" s="2" t="s">
        <v>35204</v>
      </c>
      <c r="K8485" s="2" t="s">
        <v>35205</v>
      </c>
      <c r="L8485" s="2" t="s">
        <v>279</v>
      </c>
      <c r="M8485" s="2">
        <v>37617.0</v>
      </c>
      <c r="N8485" s="2" t="s">
        <v>21</v>
      </c>
    </row>
    <row r="8486" ht="15.75" customHeight="1">
      <c r="A8486" s="2">
        <v>2017.0</v>
      </c>
      <c r="B8486" s="2" t="s">
        <v>35206</v>
      </c>
      <c r="C8486" s="2" t="s">
        <v>35207</v>
      </c>
      <c r="D8486" s="2" t="str">
        <f>"778 987 9874"</f>
        <v>778 987 9874</v>
      </c>
      <c r="E8486" s="2" t="s">
        <v>35208</v>
      </c>
      <c r="F8486" s="2" t="s">
        <v>35209</v>
      </c>
      <c r="G8486" s="2" t="str">
        <f>"SR-10513"</f>
        <v>SR-10513</v>
      </c>
      <c r="H8486" s="2" t="s">
        <v>35210</v>
      </c>
      <c r="I8486" s="2" t="s">
        <v>35211</v>
      </c>
      <c r="K8486" s="2" t="s">
        <v>35212</v>
      </c>
      <c r="L8486" s="2" t="s">
        <v>35213</v>
      </c>
      <c r="M8486" s="2" t="s">
        <v>35214</v>
      </c>
      <c r="N8486" s="2" t="s">
        <v>1602</v>
      </c>
    </row>
    <row r="8487" ht="15.75" customHeight="1">
      <c r="A8487" s="2">
        <v>2017.0</v>
      </c>
      <c r="B8487" s="2" t="s">
        <v>35215</v>
      </c>
      <c r="C8487" s="2" t="s">
        <v>35216</v>
      </c>
      <c r="D8487" s="2" t="str">
        <f>"931-954-5456"</f>
        <v>931-954-5456</v>
      </c>
      <c r="E8487" s="2" t="s">
        <v>453</v>
      </c>
      <c r="F8487" s="2" t="s">
        <v>3683</v>
      </c>
      <c r="G8487" s="2" t="str">
        <f>"SR-11322"</f>
        <v>SR-11322</v>
      </c>
      <c r="H8487" s="2" t="s">
        <v>35217</v>
      </c>
      <c r="I8487" s="2" t="s">
        <v>35218</v>
      </c>
      <c r="K8487" s="2" t="s">
        <v>11843</v>
      </c>
      <c r="L8487" s="2" t="s">
        <v>279</v>
      </c>
      <c r="M8487" s="2">
        <v>37355.0</v>
      </c>
      <c r="N8487" s="2" t="s">
        <v>21</v>
      </c>
    </row>
    <row r="8488" ht="15.75" customHeight="1">
      <c r="A8488" s="2">
        <v>2017.0</v>
      </c>
      <c r="B8488" s="2" t="s">
        <v>35219</v>
      </c>
      <c r="C8488" s="2" t="s">
        <v>35220</v>
      </c>
      <c r="D8488" s="2" t="str">
        <f>"205-616-0157"</f>
        <v>205-616-0157</v>
      </c>
      <c r="E8488" s="2" t="s">
        <v>13027</v>
      </c>
      <c r="F8488" s="2" t="s">
        <v>35221</v>
      </c>
      <c r="G8488" s="2" t="str">
        <f>"SR-11328"</f>
        <v>SR-11328</v>
      </c>
      <c r="H8488" s="2" t="s">
        <v>35222</v>
      </c>
      <c r="I8488" s="2" t="s">
        <v>35223</v>
      </c>
      <c r="K8488" s="2" t="s">
        <v>11007</v>
      </c>
      <c r="L8488" s="2" t="s">
        <v>539</v>
      </c>
      <c r="M8488" s="2">
        <v>35007.0</v>
      </c>
      <c r="N8488" s="2" t="s">
        <v>21</v>
      </c>
    </row>
    <row r="8489" ht="15.75" customHeight="1">
      <c r="A8489" s="2">
        <v>2017.0</v>
      </c>
      <c r="B8489" s="2" t="s">
        <v>33404</v>
      </c>
      <c r="C8489" s="2" t="s">
        <v>35224</v>
      </c>
      <c r="D8489" s="2" t="str">
        <f>"8592709899"</f>
        <v>8592709899</v>
      </c>
      <c r="E8489" s="2" t="s">
        <v>167</v>
      </c>
      <c r="F8489" s="2" t="s">
        <v>33406</v>
      </c>
      <c r="G8489" s="2" t="str">
        <f>"SR-11324"</f>
        <v>SR-11324</v>
      </c>
      <c r="H8489" s="2" t="s">
        <v>35225</v>
      </c>
      <c r="I8489" s="2" t="s">
        <v>35226</v>
      </c>
      <c r="K8489" s="2" t="s">
        <v>254</v>
      </c>
      <c r="L8489" s="2" t="s">
        <v>1236</v>
      </c>
      <c r="M8489" s="2">
        <v>40515.0</v>
      </c>
      <c r="N8489" s="2" t="s">
        <v>21</v>
      </c>
    </row>
    <row r="8490" ht="15.75" customHeight="1">
      <c r="A8490" s="2">
        <v>2017.0</v>
      </c>
      <c r="B8490" s="2" t="s">
        <v>35227</v>
      </c>
      <c r="C8490" s="2" t="s">
        <v>35227</v>
      </c>
      <c r="D8490" s="2" t="str">
        <f>"507-302-8067"</f>
        <v>507-302-8067</v>
      </c>
      <c r="E8490" s="2" t="s">
        <v>1928</v>
      </c>
      <c r="F8490" s="2" t="s">
        <v>35228</v>
      </c>
      <c r="G8490" s="2" t="str">
        <f>"SR-10783"</f>
        <v>SR-10783</v>
      </c>
      <c r="H8490" s="2" t="s">
        <v>35229</v>
      </c>
      <c r="I8490" s="2" t="s">
        <v>35230</v>
      </c>
      <c r="K8490" s="2" t="s">
        <v>8175</v>
      </c>
      <c r="L8490" s="2" t="s">
        <v>62</v>
      </c>
      <c r="M8490" s="2">
        <v>55033.0</v>
      </c>
      <c r="N8490" s="2" t="s">
        <v>21</v>
      </c>
    </row>
    <row r="8491" ht="15.75" customHeight="1">
      <c r="A8491" s="2">
        <v>2017.0</v>
      </c>
      <c r="B8491" s="2" t="s">
        <v>35231</v>
      </c>
      <c r="C8491" s="2" t="s">
        <v>35232</v>
      </c>
      <c r="D8491" s="2" t="str">
        <f>"(309) 408-3865"</f>
        <v>(309) 408-3865</v>
      </c>
      <c r="E8491" s="2" t="s">
        <v>2412</v>
      </c>
      <c r="F8491" s="2" t="s">
        <v>31</v>
      </c>
      <c r="G8491" s="2" t="str">
        <f>"SR-11291"</f>
        <v>SR-11291</v>
      </c>
      <c r="H8491" s="2" t="s">
        <v>35233</v>
      </c>
      <c r="I8491" s="2" t="s">
        <v>35234</v>
      </c>
      <c r="K8491" s="2" t="s">
        <v>2732</v>
      </c>
      <c r="L8491" s="2" t="s">
        <v>105</v>
      </c>
      <c r="M8491" s="2">
        <v>61568.0</v>
      </c>
      <c r="N8491" s="2" t="s">
        <v>21</v>
      </c>
    </row>
    <row r="8492" ht="15.75" customHeight="1">
      <c r="A8492" s="2">
        <v>2017.0</v>
      </c>
      <c r="B8492" s="2" t="s">
        <v>35206</v>
      </c>
      <c r="C8492" s="2" t="s">
        <v>35235</v>
      </c>
      <c r="D8492" s="2" t="str">
        <f>"778 908 6532"</f>
        <v>778 908 6532</v>
      </c>
      <c r="E8492" s="2" t="s">
        <v>2250</v>
      </c>
      <c r="F8492" s="2" t="s">
        <v>35209</v>
      </c>
      <c r="G8492" s="2" t="str">
        <f>"SR-9878"</f>
        <v>SR-9878</v>
      </c>
      <c r="H8492" s="2" t="s">
        <v>35236</v>
      </c>
      <c r="I8492" s="2" t="s">
        <v>35211</v>
      </c>
      <c r="K8492" s="2" t="s">
        <v>2214</v>
      </c>
      <c r="L8492" s="2" t="s">
        <v>35237</v>
      </c>
      <c r="M8492" s="2" t="s">
        <v>35214</v>
      </c>
      <c r="N8492" s="2" t="s">
        <v>1602</v>
      </c>
    </row>
    <row r="8493" ht="15.75" customHeight="1">
      <c r="A8493" s="2">
        <v>2017.0</v>
      </c>
      <c r="B8493" s="2" t="s">
        <v>35238</v>
      </c>
      <c r="D8493" s="2" t="str">
        <f>""</f>
        <v/>
      </c>
      <c r="E8493" s="2" t="s">
        <v>6889</v>
      </c>
      <c r="F8493" s="2" t="s">
        <v>35239</v>
      </c>
      <c r="G8493" s="2" t="str">
        <f>"SR-11287"</f>
        <v>SR-11287</v>
      </c>
      <c r="H8493" s="2" t="s">
        <v>35240</v>
      </c>
    </row>
    <row r="8494" ht="15.75" customHeight="1">
      <c r="A8494" s="2">
        <v>2017.0</v>
      </c>
      <c r="B8494" s="2" t="s">
        <v>35241</v>
      </c>
      <c r="C8494" s="2" t="s">
        <v>28346</v>
      </c>
      <c r="D8494" s="2" t="str">
        <f>"515-689-9092"</f>
        <v>515-689-9092</v>
      </c>
      <c r="E8494" s="2" t="s">
        <v>17908</v>
      </c>
      <c r="F8494" s="2" t="s">
        <v>28347</v>
      </c>
      <c r="G8494" s="2" t="str">
        <f>"SR-10152"</f>
        <v>SR-10152</v>
      </c>
      <c r="H8494" s="2" t="s">
        <v>28348</v>
      </c>
      <c r="I8494" s="2" t="s">
        <v>35242</v>
      </c>
      <c r="K8494" s="2" t="s">
        <v>3961</v>
      </c>
      <c r="L8494" s="2" t="s">
        <v>560</v>
      </c>
      <c r="M8494" s="2">
        <v>50063.0</v>
      </c>
      <c r="N8494" s="2" t="s">
        <v>21</v>
      </c>
    </row>
    <row r="8495" ht="15.75" customHeight="1">
      <c r="A8495" s="2">
        <v>2017.0</v>
      </c>
      <c r="B8495" s="2" t="s">
        <v>35243</v>
      </c>
      <c r="C8495" s="2" t="s">
        <v>35243</v>
      </c>
      <c r="D8495" s="2" t="str">
        <f>"613-848-4365"</f>
        <v>613-848-4365</v>
      </c>
      <c r="E8495" s="2" t="s">
        <v>1208</v>
      </c>
      <c r="F8495" s="2" t="s">
        <v>35244</v>
      </c>
      <c r="G8495" s="2" t="str">
        <f>"SR-11321"</f>
        <v>SR-11321</v>
      </c>
      <c r="H8495" s="2" t="s">
        <v>35245</v>
      </c>
      <c r="I8495" s="2" t="s">
        <v>35246</v>
      </c>
      <c r="K8495" s="2" t="s">
        <v>35247</v>
      </c>
      <c r="L8495" s="2" t="s">
        <v>2015</v>
      </c>
      <c r="M8495" s="2" t="s">
        <v>35248</v>
      </c>
      <c r="N8495" s="2" t="s">
        <v>1602</v>
      </c>
    </row>
    <row r="8496" ht="15.75" customHeight="1">
      <c r="A8496" s="2">
        <v>2017.0</v>
      </c>
      <c r="B8496" s="2" t="s">
        <v>35249</v>
      </c>
      <c r="C8496" s="2" t="s">
        <v>35250</v>
      </c>
      <c r="D8496" s="2" t="str">
        <f>"9122718358"</f>
        <v>9122718358</v>
      </c>
      <c r="E8496" s="2" t="s">
        <v>843</v>
      </c>
      <c r="F8496" s="2" t="s">
        <v>25821</v>
      </c>
      <c r="G8496" s="2" t="str">
        <f>"SR-11115"</f>
        <v>SR-11115</v>
      </c>
      <c r="H8496" s="2" t="s">
        <v>35251</v>
      </c>
      <c r="I8496" s="2" t="s">
        <v>35252</v>
      </c>
      <c r="K8496" s="2" t="s">
        <v>1239</v>
      </c>
      <c r="L8496" s="2" t="s">
        <v>200</v>
      </c>
      <c r="M8496" s="2">
        <v>31406.0</v>
      </c>
      <c r="N8496" s="2" t="s">
        <v>21</v>
      </c>
    </row>
    <row r="8497" ht="15.75" customHeight="1">
      <c r="A8497" s="2">
        <v>2017.0</v>
      </c>
      <c r="B8497" s="2" t="s">
        <v>35253</v>
      </c>
      <c r="C8497" s="2" t="s">
        <v>35254</v>
      </c>
      <c r="D8497" s="2" t="str">
        <f>"8133776957"</f>
        <v>8133776957</v>
      </c>
      <c r="E8497" s="2" t="s">
        <v>72</v>
      </c>
      <c r="F8497" s="2" t="s">
        <v>1859</v>
      </c>
      <c r="G8497" s="2" t="str">
        <f>"SR-10501"</f>
        <v>SR-10501</v>
      </c>
      <c r="H8497" s="2" t="s">
        <v>35255</v>
      </c>
      <c r="I8497" s="2" t="s">
        <v>35256</v>
      </c>
      <c r="K8497" s="2" t="s">
        <v>3431</v>
      </c>
      <c r="L8497" s="2" t="s">
        <v>208</v>
      </c>
      <c r="M8497" s="2">
        <v>33619.0</v>
      </c>
      <c r="N8497" s="2" t="s">
        <v>21</v>
      </c>
    </row>
    <row r="8498" ht="15.75" customHeight="1">
      <c r="A8498" s="2">
        <v>2017.0</v>
      </c>
      <c r="B8498" s="2" t="s">
        <v>35257</v>
      </c>
      <c r="C8498" s="2" t="s">
        <v>35258</v>
      </c>
      <c r="D8498" s="2" t="str">
        <f>"207-232-4753"</f>
        <v>207-232-4753</v>
      </c>
      <c r="E8498" s="2" t="s">
        <v>1782</v>
      </c>
      <c r="F8498" s="2" t="s">
        <v>35259</v>
      </c>
      <c r="G8498" s="2" t="str">
        <f>"SR-11341"</f>
        <v>SR-11341</v>
      </c>
      <c r="H8498" s="2" t="s">
        <v>35260</v>
      </c>
      <c r="I8498" s="2" t="s">
        <v>35261</v>
      </c>
      <c r="K8498" s="2" t="s">
        <v>5248</v>
      </c>
      <c r="L8498" s="2" t="s">
        <v>3737</v>
      </c>
      <c r="M8498" s="2">
        <v>4071.0</v>
      </c>
      <c r="N8498" s="2" t="s">
        <v>21</v>
      </c>
    </row>
    <row r="8499" ht="15.75" customHeight="1">
      <c r="A8499" s="2">
        <v>2017.0</v>
      </c>
      <c r="B8499" s="2" t="s">
        <v>35262</v>
      </c>
      <c r="C8499" s="2" t="s">
        <v>35263</v>
      </c>
      <c r="D8499" s="2" t="str">
        <f>"740-707-6260"</f>
        <v>740-707-6260</v>
      </c>
      <c r="E8499" s="2" t="s">
        <v>2572</v>
      </c>
      <c r="F8499" s="2" t="s">
        <v>35264</v>
      </c>
      <c r="G8499" s="2" t="str">
        <f>"SR-11339"</f>
        <v>SR-11339</v>
      </c>
      <c r="H8499" s="2" t="s">
        <v>35265</v>
      </c>
      <c r="I8499" s="2" t="s">
        <v>35266</v>
      </c>
      <c r="K8499" s="2" t="s">
        <v>5108</v>
      </c>
      <c r="L8499" s="2" t="s">
        <v>344</v>
      </c>
      <c r="M8499" s="2">
        <v>45701.0</v>
      </c>
      <c r="N8499" s="2" t="s">
        <v>21</v>
      </c>
    </row>
    <row r="8500" ht="15.75" customHeight="1">
      <c r="A8500" s="2">
        <v>2017.0</v>
      </c>
      <c r="B8500" s="2" t="s">
        <v>13193</v>
      </c>
      <c r="C8500" s="2" t="s">
        <v>13194</v>
      </c>
      <c r="D8500" s="2" t="str">
        <f>"5126892419"</f>
        <v>5126892419</v>
      </c>
      <c r="E8500" s="2" t="s">
        <v>1306</v>
      </c>
      <c r="F8500" s="2" t="s">
        <v>13195</v>
      </c>
      <c r="G8500" s="2" t="str">
        <f>"SR-3367"</f>
        <v>SR-3367</v>
      </c>
      <c r="H8500" s="2" t="s">
        <v>13196</v>
      </c>
      <c r="I8500" s="2" t="s">
        <v>13197</v>
      </c>
      <c r="K8500" s="2" t="s">
        <v>1141</v>
      </c>
      <c r="L8500" s="2" t="s">
        <v>172</v>
      </c>
      <c r="M8500" s="2">
        <v>78716.0</v>
      </c>
      <c r="N8500" s="2" t="s">
        <v>21</v>
      </c>
    </row>
    <row r="8501" ht="15.75" customHeight="1">
      <c r="A8501" s="2">
        <v>2017.0</v>
      </c>
      <c r="B8501" s="2" t="s">
        <v>35267</v>
      </c>
      <c r="C8501" s="2" t="s">
        <v>35268</v>
      </c>
      <c r="D8501" s="2" t="str">
        <f>"2542205532"</f>
        <v>2542205532</v>
      </c>
      <c r="E8501" s="2" t="s">
        <v>1088</v>
      </c>
      <c r="F8501" s="2" t="s">
        <v>19319</v>
      </c>
      <c r="G8501" s="2" t="str">
        <f>"SR-11345"</f>
        <v>SR-11345</v>
      </c>
      <c r="H8501" s="2" t="s">
        <v>35269</v>
      </c>
      <c r="I8501" s="2" t="s">
        <v>35270</v>
      </c>
      <c r="K8501" s="2" t="s">
        <v>21247</v>
      </c>
      <c r="L8501" s="2" t="s">
        <v>172</v>
      </c>
      <c r="M8501" s="2">
        <v>79924.0</v>
      </c>
      <c r="N8501" s="2" t="s">
        <v>21</v>
      </c>
    </row>
    <row r="8502" ht="15.75" customHeight="1">
      <c r="A8502" s="2">
        <v>2017.0</v>
      </c>
      <c r="B8502" s="2" t="s">
        <v>30364</v>
      </c>
      <c r="C8502" s="2" t="s">
        <v>35271</v>
      </c>
      <c r="D8502" s="2" t="str">
        <f t="shared" ref="D8502:D8503" si="131">"940-735-1963"</f>
        <v>940-735-1963</v>
      </c>
      <c r="E8502" s="2" t="s">
        <v>1529</v>
      </c>
      <c r="F8502" s="2" t="s">
        <v>962</v>
      </c>
      <c r="G8502" s="2" t="str">
        <f>"SR-9430"</f>
        <v>SR-9430</v>
      </c>
      <c r="H8502" s="2" t="s">
        <v>17803</v>
      </c>
      <c r="I8502" s="2" t="s">
        <v>35272</v>
      </c>
      <c r="K8502" s="2" t="s">
        <v>29982</v>
      </c>
      <c r="L8502" s="2" t="s">
        <v>172</v>
      </c>
      <c r="M8502" s="2">
        <v>76233.0</v>
      </c>
      <c r="N8502" s="2" t="s">
        <v>21</v>
      </c>
    </row>
    <row r="8503" ht="15.75" customHeight="1">
      <c r="A8503" s="2">
        <v>2017.0</v>
      </c>
      <c r="B8503" s="2" t="s">
        <v>30364</v>
      </c>
      <c r="C8503" s="2" t="s">
        <v>35273</v>
      </c>
      <c r="D8503" s="2" t="str">
        <f t="shared" si="131"/>
        <v>940-735-1963</v>
      </c>
      <c r="E8503" s="2" t="s">
        <v>2851</v>
      </c>
      <c r="F8503" s="2" t="s">
        <v>962</v>
      </c>
      <c r="G8503" s="2" t="str">
        <f>"SR-11349"</f>
        <v>SR-11349</v>
      </c>
      <c r="H8503" s="2" t="s">
        <v>35274</v>
      </c>
      <c r="I8503" s="2" t="s">
        <v>30380</v>
      </c>
      <c r="K8503" s="2" t="s">
        <v>29982</v>
      </c>
      <c r="L8503" s="2" t="s">
        <v>172</v>
      </c>
      <c r="M8503" s="2">
        <v>76233.0</v>
      </c>
      <c r="N8503" s="2" t="s">
        <v>21</v>
      </c>
    </row>
    <row r="8504" ht="15.75" customHeight="1">
      <c r="A8504" s="2">
        <v>2017.0</v>
      </c>
      <c r="B8504" s="2" t="s">
        <v>7208</v>
      </c>
      <c r="C8504" s="2" t="s">
        <v>35275</v>
      </c>
      <c r="D8504" s="2" t="str">
        <f>"720-271-7989"</f>
        <v>720-271-7989</v>
      </c>
      <c r="E8504" s="2" t="s">
        <v>35276</v>
      </c>
      <c r="F8504" s="2" t="s">
        <v>7211</v>
      </c>
      <c r="G8504" s="2" t="str">
        <f>"SR-11350"</f>
        <v>SR-11350</v>
      </c>
      <c r="H8504" s="2" t="s">
        <v>35277</v>
      </c>
      <c r="I8504" s="2" t="s">
        <v>35278</v>
      </c>
      <c r="K8504" s="2" t="s">
        <v>1223</v>
      </c>
      <c r="L8504" s="2" t="s">
        <v>157</v>
      </c>
      <c r="M8504" s="2">
        <v>80433.0</v>
      </c>
      <c r="N8504" s="2" t="s">
        <v>21</v>
      </c>
    </row>
    <row r="8505" ht="15.75" customHeight="1">
      <c r="A8505" s="2">
        <v>2017.0</v>
      </c>
      <c r="B8505" s="2" t="s">
        <v>35279</v>
      </c>
      <c r="C8505" s="2" t="s">
        <v>35280</v>
      </c>
      <c r="D8505" s="2" t="str">
        <f>"9413480578"</f>
        <v>9413480578</v>
      </c>
      <c r="E8505" s="2" t="s">
        <v>862</v>
      </c>
      <c r="F8505" s="2" t="s">
        <v>35281</v>
      </c>
      <c r="G8505" s="2" t="str">
        <f>"SR-9899"</f>
        <v>SR-9899</v>
      </c>
      <c r="H8505" s="2" t="s">
        <v>35282</v>
      </c>
      <c r="I8505" s="2" t="s">
        <v>35283</v>
      </c>
      <c r="K8505" s="2" t="s">
        <v>35284</v>
      </c>
      <c r="L8505" s="2" t="s">
        <v>208</v>
      </c>
      <c r="M8505" s="2">
        <v>34207.0</v>
      </c>
      <c r="N8505" s="2" t="s">
        <v>21</v>
      </c>
    </row>
    <row r="8506" ht="15.75" customHeight="1">
      <c r="A8506" s="2">
        <v>2017.0</v>
      </c>
      <c r="B8506" s="2" t="s">
        <v>35285</v>
      </c>
      <c r="C8506" s="2" t="s">
        <v>35285</v>
      </c>
      <c r="D8506" s="2" t="str">
        <f>"(405)618-7695"</f>
        <v>(405)618-7695</v>
      </c>
      <c r="E8506" s="2" t="s">
        <v>261</v>
      </c>
      <c r="F8506" s="2" t="s">
        <v>1040</v>
      </c>
      <c r="G8506" s="2" t="str">
        <f>"SR-9964"</f>
        <v>SR-9964</v>
      </c>
      <c r="H8506" s="2" t="s">
        <v>9654</v>
      </c>
      <c r="I8506" s="2" t="s">
        <v>3741</v>
      </c>
      <c r="K8506" s="2" t="s">
        <v>2870</v>
      </c>
      <c r="L8506" s="2" t="s">
        <v>840</v>
      </c>
      <c r="M8506" s="2">
        <v>73072.0</v>
      </c>
      <c r="N8506" s="2" t="s">
        <v>21</v>
      </c>
    </row>
    <row r="8507" ht="15.75" customHeight="1">
      <c r="A8507" s="2">
        <v>2017.0</v>
      </c>
      <c r="B8507" s="2" t="s">
        <v>35286</v>
      </c>
      <c r="C8507" s="2" t="s">
        <v>35287</v>
      </c>
      <c r="D8507" s="2" t="str">
        <f>"6302046059"</f>
        <v>6302046059</v>
      </c>
      <c r="E8507" s="2" t="s">
        <v>35288</v>
      </c>
      <c r="F8507" s="2" t="s">
        <v>35289</v>
      </c>
      <c r="G8507" s="2" t="str">
        <f>"SR-11223"</f>
        <v>SR-11223</v>
      </c>
      <c r="H8507" s="2" t="s">
        <v>35290</v>
      </c>
      <c r="I8507" s="2" t="s">
        <v>35291</v>
      </c>
      <c r="K8507" s="2" t="s">
        <v>27510</v>
      </c>
      <c r="L8507" s="2" t="s">
        <v>105</v>
      </c>
      <c r="M8507" s="2">
        <v>60175.0</v>
      </c>
      <c r="N8507" s="2" t="s">
        <v>21</v>
      </c>
    </row>
    <row r="8508" ht="15.75" customHeight="1">
      <c r="A8508" s="2">
        <v>2017.0</v>
      </c>
      <c r="B8508" s="2" t="s">
        <v>18280</v>
      </c>
      <c r="C8508" s="2" t="s">
        <v>35292</v>
      </c>
      <c r="D8508" s="2" t="str">
        <f>"864-978-4141"</f>
        <v>864-978-4141</v>
      </c>
      <c r="E8508" s="2" t="s">
        <v>1015</v>
      </c>
      <c r="F8508" s="2" t="s">
        <v>847</v>
      </c>
      <c r="G8508" s="2" t="str">
        <f>"SR-10178"</f>
        <v>SR-10178</v>
      </c>
      <c r="H8508" s="2" t="s">
        <v>35293</v>
      </c>
      <c r="I8508" s="2" t="s">
        <v>18283</v>
      </c>
      <c r="K8508" s="2" t="s">
        <v>18284</v>
      </c>
      <c r="L8508" s="2" t="s">
        <v>55</v>
      </c>
      <c r="M8508" s="2">
        <v>29303.0</v>
      </c>
      <c r="N8508" s="2" t="s">
        <v>21</v>
      </c>
    </row>
    <row r="8509" ht="15.75" customHeight="1">
      <c r="A8509" s="2">
        <v>2017.0</v>
      </c>
      <c r="B8509" s="2" t="s">
        <v>26822</v>
      </c>
      <c r="C8509" s="2" t="s">
        <v>35294</v>
      </c>
      <c r="D8509" s="2" t="str">
        <f>"(707)2186596"</f>
        <v>(707)2186596</v>
      </c>
      <c r="E8509" s="2" t="s">
        <v>35295</v>
      </c>
      <c r="F8509" s="2" t="s">
        <v>2598</v>
      </c>
      <c r="G8509" s="2" t="str">
        <f>"SR-11086"</f>
        <v>SR-11086</v>
      </c>
      <c r="H8509" s="2" t="s">
        <v>35296</v>
      </c>
      <c r="I8509" s="2" t="s">
        <v>26905</v>
      </c>
      <c r="K8509" s="2" t="s">
        <v>16052</v>
      </c>
      <c r="L8509" s="2" t="s">
        <v>172</v>
      </c>
      <c r="M8509" s="2">
        <v>75494.0</v>
      </c>
      <c r="N8509" s="2" t="s">
        <v>21</v>
      </c>
    </row>
    <row r="8510" ht="15.75" customHeight="1">
      <c r="A8510" s="2">
        <v>2017.0</v>
      </c>
      <c r="B8510" s="2" t="s">
        <v>28497</v>
      </c>
      <c r="C8510" s="2" t="s">
        <v>28498</v>
      </c>
      <c r="D8510" s="2" t="str">
        <f>"603-498-4754"</f>
        <v>603-498-4754</v>
      </c>
      <c r="E8510" s="2" t="s">
        <v>28499</v>
      </c>
      <c r="F8510" s="2" t="s">
        <v>13490</v>
      </c>
      <c r="G8510" s="2" t="str">
        <f>"SR-7748"</f>
        <v>SR-7748</v>
      </c>
      <c r="H8510" s="2" t="s">
        <v>28500</v>
      </c>
      <c r="I8510" s="2" t="s">
        <v>28501</v>
      </c>
      <c r="K8510" s="2" t="s">
        <v>28502</v>
      </c>
      <c r="L8510" s="2" t="s">
        <v>19930</v>
      </c>
      <c r="M8510" s="2">
        <v>3801.0</v>
      </c>
      <c r="N8510" s="2" t="s">
        <v>21</v>
      </c>
    </row>
    <row r="8511" ht="15.75" customHeight="1">
      <c r="A8511" s="2">
        <v>2017.0</v>
      </c>
      <c r="B8511" s="2" t="s">
        <v>35297</v>
      </c>
      <c r="C8511" s="2" t="s">
        <v>35298</v>
      </c>
      <c r="D8511" s="2" t="str">
        <f>"515-745-6064"</f>
        <v>515-745-6064</v>
      </c>
      <c r="E8511" s="2" t="s">
        <v>926</v>
      </c>
      <c r="F8511" s="2" t="s">
        <v>15545</v>
      </c>
      <c r="G8511" s="2" t="str">
        <f>"SR-10951"</f>
        <v>SR-10951</v>
      </c>
      <c r="H8511" s="2" t="s">
        <v>35299</v>
      </c>
      <c r="I8511" s="2" t="s">
        <v>35300</v>
      </c>
      <c r="K8511" s="2" t="s">
        <v>3984</v>
      </c>
      <c r="L8511" s="2" t="s">
        <v>560</v>
      </c>
      <c r="M8511" s="2">
        <v>50131.0</v>
      </c>
      <c r="N8511" s="2" t="s">
        <v>21</v>
      </c>
    </row>
    <row r="8512" ht="15.75" customHeight="1">
      <c r="A8512" s="2">
        <v>2017.0</v>
      </c>
      <c r="B8512" s="2" t="s">
        <v>28964</v>
      </c>
      <c r="C8512" s="2" t="s">
        <v>28965</v>
      </c>
      <c r="D8512" s="2" t="str">
        <f>"4075082752"</f>
        <v>4075082752</v>
      </c>
      <c r="E8512" s="2" t="s">
        <v>1974</v>
      </c>
      <c r="F8512" s="2" t="s">
        <v>14432</v>
      </c>
      <c r="G8512" s="2" t="str">
        <f>"SR-9018"</f>
        <v>SR-9018</v>
      </c>
      <c r="H8512" s="2" t="s">
        <v>28966</v>
      </c>
      <c r="I8512" s="2" t="s">
        <v>28967</v>
      </c>
      <c r="K8512" s="2" t="s">
        <v>4724</v>
      </c>
      <c r="L8512" s="2" t="s">
        <v>208</v>
      </c>
      <c r="M8512" s="2">
        <v>32837.0</v>
      </c>
      <c r="N8512" s="2" t="s">
        <v>21</v>
      </c>
    </row>
    <row r="8513" ht="15.75" customHeight="1">
      <c r="A8513" s="2">
        <v>2017.0</v>
      </c>
      <c r="B8513" s="2" t="s">
        <v>35301</v>
      </c>
      <c r="C8513" s="2" t="s">
        <v>35301</v>
      </c>
      <c r="D8513" s="2" t="str">
        <f>"575-626-2900"</f>
        <v>575-626-2900</v>
      </c>
      <c r="E8513" s="2" t="s">
        <v>35302</v>
      </c>
      <c r="F8513" s="2" t="s">
        <v>35303</v>
      </c>
      <c r="G8513" s="2" t="str">
        <f>"SR-11356"</f>
        <v>SR-11356</v>
      </c>
      <c r="H8513" s="2" t="s">
        <v>35304</v>
      </c>
      <c r="I8513" s="2" t="s">
        <v>35305</v>
      </c>
      <c r="K8513" s="2" t="s">
        <v>7218</v>
      </c>
      <c r="L8513" s="2" t="s">
        <v>789</v>
      </c>
      <c r="M8513" s="2">
        <v>88203.0</v>
      </c>
      <c r="N8513" s="2" t="s">
        <v>21</v>
      </c>
    </row>
    <row r="8514" ht="15.75" customHeight="1">
      <c r="A8514" s="2">
        <v>2017.0</v>
      </c>
      <c r="B8514" s="2" t="s">
        <v>35306</v>
      </c>
      <c r="C8514" s="2" t="s">
        <v>35306</v>
      </c>
      <c r="D8514" s="2" t="str">
        <f>"954-494-5998"</f>
        <v>954-494-5998</v>
      </c>
      <c r="E8514" s="2" t="s">
        <v>24169</v>
      </c>
      <c r="F8514" s="2" t="s">
        <v>35307</v>
      </c>
      <c r="G8514" s="2" t="str">
        <f>"SR-10774"</f>
        <v>SR-10774</v>
      </c>
      <c r="H8514" s="2" t="s">
        <v>35308</v>
      </c>
      <c r="I8514" s="2" t="s">
        <v>35309</v>
      </c>
      <c r="K8514" s="2" t="s">
        <v>10022</v>
      </c>
      <c r="L8514" s="2" t="s">
        <v>208</v>
      </c>
      <c r="M8514" s="2">
        <v>33314.0</v>
      </c>
      <c r="N8514" s="2" t="s">
        <v>21</v>
      </c>
    </row>
    <row r="8515" ht="15.75" customHeight="1">
      <c r="A8515" s="2">
        <v>2017.0</v>
      </c>
      <c r="B8515" s="2" t="s">
        <v>35310</v>
      </c>
      <c r="C8515" s="2" t="s">
        <v>35311</v>
      </c>
      <c r="D8515" s="2" t="str">
        <f>"651-492-3398"</f>
        <v>651-492-3398</v>
      </c>
      <c r="E8515" s="2" t="s">
        <v>1094</v>
      </c>
      <c r="F8515" s="2" t="s">
        <v>472</v>
      </c>
      <c r="G8515" s="2" t="str">
        <f>"SR-11361"</f>
        <v>SR-11361</v>
      </c>
      <c r="H8515" s="2" t="s">
        <v>35312</v>
      </c>
      <c r="I8515" s="2" t="s">
        <v>35313</v>
      </c>
      <c r="K8515" s="2" t="s">
        <v>856</v>
      </c>
      <c r="L8515" s="2" t="s">
        <v>62</v>
      </c>
      <c r="M8515" s="2">
        <v>55045.0</v>
      </c>
      <c r="N8515" s="2" t="s">
        <v>21</v>
      </c>
    </row>
    <row r="8516" ht="15.75" customHeight="1">
      <c r="A8516" s="2">
        <v>2017.0</v>
      </c>
      <c r="B8516" s="2" t="s">
        <v>35314</v>
      </c>
      <c r="C8516" s="2" t="s">
        <v>35315</v>
      </c>
      <c r="D8516" s="2" t="str">
        <f>"7192051985"</f>
        <v>7192051985</v>
      </c>
      <c r="E8516" s="2" t="s">
        <v>843</v>
      </c>
      <c r="F8516" s="2" t="s">
        <v>2038</v>
      </c>
      <c r="G8516" s="2" t="str">
        <f>"SR-11362"</f>
        <v>SR-11362</v>
      </c>
      <c r="H8516" s="2" t="s">
        <v>35316</v>
      </c>
      <c r="I8516" s="2" t="s">
        <v>35317</v>
      </c>
      <c r="K8516" s="2" t="s">
        <v>809</v>
      </c>
      <c r="L8516" s="2" t="s">
        <v>157</v>
      </c>
      <c r="M8516" s="2">
        <v>80920.0</v>
      </c>
      <c r="N8516" s="2" t="s">
        <v>21</v>
      </c>
    </row>
    <row r="8517" ht="15.75" customHeight="1">
      <c r="A8517" s="2">
        <v>2017.0</v>
      </c>
      <c r="B8517" s="2" t="s">
        <v>35318</v>
      </c>
      <c r="C8517" s="2" t="s">
        <v>25485</v>
      </c>
      <c r="D8517" s="2" t="str">
        <f>"4042004189"</f>
        <v>4042004189</v>
      </c>
      <c r="E8517" s="2" t="s">
        <v>35319</v>
      </c>
      <c r="F8517" s="2" t="s">
        <v>3212</v>
      </c>
      <c r="G8517" s="2" t="str">
        <f>"SR-11373"</f>
        <v>SR-11373</v>
      </c>
      <c r="H8517" s="2" t="s">
        <v>35320</v>
      </c>
      <c r="I8517" s="2" t="s">
        <v>35321</v>
      </c>
      <c r="K8517" s="2" t="s">
        <v>35322</v>
      </c>
      <c r="L8517" s="2" t="s">
        <v>200</v>
      </c>
      <c r="M8517" s="2">
        <v>30622.0</v>
      </c>
      <c r="N8517" s="2" t="s">
        <v>21</v>
      </c>
    </row>
    <row r="8518" ht="15.75" customHeight="1">
      <c r="A8518" s="2">
        <v>2017.0</v>
      </c>
      <c r="B8518" s="2" t="s">
        <v>35323</v>
      </c>
      <c r="C8518" s="2" t="s">
        <v>35324</v>
      </c>
      <c r="D8518" s="2" t="str">
        <f>"6168811762"</f>
        <v>6168811762</v>
      </c>
      <c r="E8518" s="2" t="s">
        <v>1233</v>
      </c>
      <c r="F8518" s="2" t="s">
        <v>35325</v>
      </c>
      <c r="G8518" s="2" t="str">
        <f>"SR-11363"</f>
        <v>SR-11363</v>
      </c>
      <c r="H8518" s="2" t="s">
        <v>35326</v>
      </c>
      <c r="I8518" s="2" t="s">
        <v>35327</v>
      </c>
      <c r="K8518" s="2" t="s">
        <v>40</v>
      </c>
      <c r="L8518" s="2" t="s">
        <v>29</v>
      </c>
      <c r="M8518" s="2">
        <v>49546.0</v>
      </c>
      <c r="N8518" s="2" t="s">
        <v>21</v>
      </c>
    </row>
    <row r="8519" ht="15.75" customHeight="1">
      <c r="A8519" s="2">
        <v>2017.0</v>
      </c>
      <c r="B8519" s="2" t="s">
        <v>35328</v>
      </c>
      <c r="C8519" s="2" t="s">
        <v>35329</v>
      </c>
      <c r="D8519" s="2" t="str">
        <f>"7203088808"</f>
        <v>7203088808</v>
      </c>
      <c r="E8519" s="2" t="s">
        <v>4604</v>
      </c>
      <c r="F8519" s="2" t="s">
        <v>3984</v>
      </c>
      <c r="G8519" s="2" t="str">
        <f>"SR-11203"</f>
        <v>SR-11203</v>
      </c>
      <c r="H8519" s="2" t="s">
        <v>35330</v>
      </c>
      <c r="I8519" s="2" t="s">
        <v>35331</v>
      </c>
      <c r="K8519" s="2" t="s">
        <v>1889</v>
      </c>
      <c r="L8519" s="2" t="s">
        <v>157</v>
      </c>
      <c r="M8519" s="2">
        <v>80122.0</v>
      </c>
      <c r="N8519" s="2" t="s">
        <v>21</v>
      </c>
    </row>
    <row r="8520" ht="15.75" customHeight="1">
      <c r="A8520" s="2">
        <v>2017.0</v>
      </c>
      <c r="B8520" s="2" t="s">
        <v>35332</v>
      </c>
      <c r="C8520" s="2" t="s">
        <v>35333</v>
      </c>
      <c r="D8520" s="2" t="str">
        <f>"949-235-8423"</f>
        <v>949-235-8423</v>
      </c>
      <c r="E8520" s="2" t="s">
        <v>7695</v>
      </c>
      <c r="F8520" s="2" t="s">
        <v>21737</v>
      </c>
      <c r="G8520" s="2" t="str">
        <f>"SR-11277"</f>
        <v>SR-11277</v>
      </c>
      <c r="H8520" s="2" t="s">
        <v>35334</v>
      </c>
      <c r="I8520" s="2" t="s">
        <v>35335</v>
      </c>
      <c r="K8520" s="2" t="s">
        <v>35336</v>
      </c>
      <c r="L8520" s="2" t="s">
        <v>222</v>
      </c>
      <c r="M8520" s="2">
        <v>92656.0</v>
      </c>
      <c r="N8520" s="2" t="s">
        <v>21</v>
      </c>
    </row>
    <row r="8521" ht="15.75" customHeight="1">
      <c r="A8521" s="2">
        <v>2017.0</v>
      </c>
      <c r="B8521" s="2" t="s">
        <v>35332</v>
      </c>
      <c r="C8521" s="2" t="s">
        <v>35337</v>
      </c>
      <c r="D8521" s="2" t="str">
        <f>"949-389-0118"</f>
        <v>949-389-0118</v>
      </c>
      <c r="E8521" s="2" t="s">
        <v>4750</v>
      </c>
      <c r="F8521" s="2" t="s">
        <v>21737</v>
      </c>
      <c r="G8521" s="2" t="str">
        <f>"SR-11376"</f>
        <v>SR-11376</v>
      </c>
      <c r="H8521" s="2" t="s">
        <v>35338</v>
      </c>
      <c r="I8521" s="2" t="s">
        <v>35335</v>
      </c>
      <c r="K8521" s="2" t="s">
        <v>35336</v>
      </c>
      <c r="L8521" s="2" t="s">
        <v>222</v>
      </c>
      <c r="M8521" s="2">
        <v>92656.0</v>
      </c>
      <c r="N8521" s="2" t="s">
        <v>21</v>
      </c>
    </row>
    <row r="8522" ht="15.75" customHeight="1">
      <c r="A8522" s="2">
        <v>2017.0</v>
      </c>
      <c r="B8522" s="2" t="s">
        <v>35339</v>
      </c>
      <c r="C8522" s="2" t="s">
        <v>35340</v>
      </c>
      <c r="D8522" s="2" t="str">
        <f>"+6 012 2061101"</f>
        <v>+6 012 2061101</v>
      </c>
      <c r="E8522" s="2" t="s">
        <v>949</v>
      </c>
      <c r="F8522" s="2" t="s">
        <v>35341</v>
      </c>
      <c r="G8522" s="2" t="str">
        <f>"SR-9857"</f>
        <v>SR-9857</v>
      </c>
      <c r="H8522" s="2" t="s">
        <v>35342</v>
      </c>
      <c r="I8522" s="2" t="s">
        <v>35343</v>
      </c>
      <c r="K8522" s="2" t="s">
        <v>24118</v>
      </c>
      <c r="L8522" s="2" t="s">
        <v>840</v>
      </c>
      <c r="M8522" s="2">
        <v>73099.0</v>
      </c>
      <c r="N8522" s="2" t="s">
        <v>21</v>
      </c>
    </row>
    <row r="8523" ht="15.75" customHeight="1">
      <c r="A8523" s="2">
        <v>2017.0</v>
      </c>
      <c r="B8523" s="2" t="s">
        <v>35344</v>
      </c>
      <c r="C8523" s="2" t="s">
        <v>35345</v>
      </c>
      <c r="D8523" s="2" t="str">
        <f>"575-590-4406"</f>
        <v>575-590-4406</v>
      </c>
      <c r="E8523" s="2" t="s">
        <v>456</v>
      </c>
      <c r="F8523" s="2" t="s">
        <v>51</v>
      </c>
      <c r="G8523" s="2" t="str">
        <f>"SR-11380"</f>
        <v>SR-11380</v>
      </c>
      <c r="H8523" s="2" t="s">
        <v>35346</v>
      </c>
      <c r="I8523" s="2" t="s">
        <v>35347</v>
      </c>
      <c r="K8523" s="2" t="s">
        <v>19375</v>
      </c>
      <c r="L8523" s="2" t="s">
        <v>789</v>
      </c>
      <c r="M8523" s="2">
        <v>88061.0</v>
      </c>
      <c r="N8523" s="2" t="s">
        <v>21</v>
      </c>
    </row>
    <row r="8524" ht="15.75" customHeight="1">
      <c r="A8524" s="2">
        <v>2017.0</v>
      </c>
      <c r="B8524" s="2" t="s">
        <v>35348</v>
      </c>
      <c r="C8524" s="2" t="s">
        <v>35349</v>
      </c>
      <c r="D8524" s="2" t="str">
        <f>"540-635-6386"</f>
        <v>540-635-6386</v>
      </c>
      <c r="E8524" s="2" t="s">
        <v>1088</v>
      </c>
      <c r="F8524" s="2" t="s">
        <v>35350</v>
      </c>
      <c r="G8524" s="2" t="str">
        <f>"SR-11371"</f>
        <v>SR-11371</v>
      </c>
      <c r="H8524" s="2" t="s">
        <v>35351</v>
      </c>
      <c r="I8524" s="2" t="s">
        <v>35352</v>
      </c>
      <c r="K8524" s="2" t="s">
        <v>14516</v>
      </c>
      <c r="L8524" s="2" t="s">
        <v>165</v>
      </c>
      <c r="M8524" s="2">
        <v>22610.0</v>
      </c>
      <c r="N8524" s="2" t="s">
        <v>21</v>
      </c>
    </row>
    <row r="8525" ht="15.75" customHeight="1">
      <c r="A8525" s="2">
        <v>2017.0</v>
      </c>
      <c r="B8525" s="2" t="s">
        <v>35353</v>
      </c>
      <c r="C8525" s="2" t="s">
        <v>35354</v>
      </c>
      <c r="D8525" s="2" t="str">
        <f>"719-468-8405"</f>
        <v>719-468-8405</v>
      </c>
      <c r="E8525" s="2" t="s">
        <v>1461</v>
      </c>
      <c r="F8525" s="2" t="s">
        <v>12250</v>
      </c>
      <c r="G8525" s="2" t="str">
        <f>"SR-11384"</f>
        <v>SR-11384</v>
      </c>
      <c r="H8525" s="2" t="s">
        <v>35355</v>
      </c>
      <c r="I8525" s="2" t="s">
        <v>35356</v>
      </c>
      <c r="K8525" s="2" t="s">
        <v>35357</v>
      </c>
      <c r="L8525" s="2" t="s">
        <v>157</v>
      </c>
      <c r="M8525" s="2">
        <v>81063.0</v>
      </c>
      <c r="N8525" s="2" t="s">
        <v>21</v>
      </c>
    </row>
    <row r="8526" ht="15.75" customHeight="1">
      <c r="A8526" s="2">
        <v>2017.0</v>
      </c>
      <c r="B8526" s="2" t="s">
        <v>35358</v>
      </c>
      <c r="C8526" s="2" t="s">
        <v>35359</v>
      </c>
      <c r="D8526" s="2" t="str">
        <f>"587.700.2873"</f>
        <v>587.700.2873</v>
      </c>
      <c r="E8526" s="2" t="s">
        <v>1039</v>
      </c>
      <c r="F8526" s="2" t="s">
        <v>35360</v>
      </c>
      <c r="G8526" s="2" t="str">
        <f>"SR-11342"</f>
        <v>SR-11342</v>
      </c>
      <c r="H8526" s="2" t="s">
        <v>35361</v>
      </c>
      <c r="I8526" s="2" t="s">
        <v>35362</v>
      </c>
      <c r="K8526" s="2" t="s">
        <v>6725</v>
      </c>
      <c r="L8526" s="2" t="s">
        <v>6726</v>
      </c>
      <c r="M8526" s="2" t="s">
        <v>35363</v>
      </c>
      <c r="N8526" s="2" t="s">
        <v>1602</v>
      </c>
    </row>
    <row r="8527" ht="15.75" customHeight="1">
      <c r="A8527" s="2">
        <v>2017.0</v>
      </c>
      <c r="B8527" s="2" t="s">
        <v>35364</v>
      </c>
      <c r="C8527" s="2" t="s">
        <v>35364</v>
      </c>
      <c r="D8527" s="2" t="str">
        <f>"541 408 7300"</f>
        <v>541 408 7300</v>
      </c>
      <c r="E8527" s="2" t="s">
        <v>35365</v>
      </c>
      <c r="F8527" s="2" t="s">
        <v>35366</v>
      </c>
      <c r="G8527" s="2" t="str">
        <f>"SR-11386"</f>
        <v>SR-11386</v>
      </c>
      <c r="H8527" s="2" t="s">
        <v>35367</v>
      </c>
      <c r="I8527" s="2">
        <v>1142.0</v>
      </c>
      <c r="K8527" s="2" t="s">
        <v>35368</v>
      </c>
      <c r="L8527" s="2" t="s">
        <v>2389</v>
      </c>
      <c r="M8527" s="2">
        <v>97703.0</v>
      </c>
      <c r="N8527" s="2" t="s">
        <v>21</v>
      </c>
    </row>
    <row r="8528" ht="15.75" customHeight="1">
      <c r="A8528" s="2">
        <v>2017.0</v>
      </c>
      <c r="B8528" s="2" t="s">
        <v>35369</v>
      </c>
      <c r="C8528" s="2" t="s">
        <v>35369</v>
      </c>
      <c r="D8528" s="2" t="str">
        <f>"3176274528"</f>
        <v>3176274528</v>
      </c>
      <c r="E8528" s="2" t="s">
        <v>2988</v>
      </c>
      <c r="F8528" s="2" t="s">
        <v>7724</v>
      </c>
      <c r="G8528" s="2" t="str">
        <f>"SR-11306"</f>
        <v>SR-11306</v>
      </c>
      <c r="H8528" s="2" t="s">
        <v>35370</v>
      </c>
      <c r="I8528" s="2" t="s">
        <v>35371</v>
      </c>
      <c r="K8528" s="2" t="s">
        <v>35372</v>
      </c>
      <c r="L8528" s="2" t="s">
        <v>149</v>
      </c>
      <c r="M8528" s="2">
        <v>46123.0</v>
      </c>
      <c r="N8528" s="2" t="s">
        <v>21</v>
      </c>
    </row>
    <row r="8529" ht="15.75" customHeight="1">
      <c r="A8529" s="2">
        <v>2017.0</v>
      </c>
      <c r="B8529" s="2" t="s">
        <v>31273</v>
      </c>
      <c r="C8529" s="2" t="s">
        <v>35373</v>
      </c>
      <c r="D8529" s="2" t="str">
        <f>"901-451-4743"</f>
        <v>901-451-4743</v>
      </c>
      <c r="E8529" s="2" t="s">
        <v>35374</v>
      </c>
      <c r="F8529" s="2" t="s">
        <v>31275</v>
      </c>
      <c r="G8529" s="2" t="str">
        <f>"SR-11389"</f>
        <v>SR-11389</v>
      </c>
      <c r="H8529" s="2" t="s">
        <v>35375</v>
      </c>
      <c r="I8529" s="2" t="s">
        <v>31277</v>
      </c>
      <c r="K8529" s="2" t="s">
        <v>882</v>
      </c>
      <c r="L8529" s="2" t="s">
        <v>279</v>
      </c>
      <c r="M8529" s="2">
        <v>38002.0</v>
      </c>
      <c r="N8529" s="2" t="s">
        <v>21</v>
      </c>
    </row>
    <row r="8530" ht="15.75" customHeight="1">
      <c r="A8530" s="2">
        <v>2017.0</v>
      </c>
      <c r="B8530" s="2" t="s">
        <v>35376</v>
      </c>
      <c r="C8530" s="2" t="s">
        <v>35377</v>
      </c>
      <c r="D8530" s="2" t="str">
        <f>"9014097095"</f>
        <v>9014097095</v>
      </c>
      <c r="E8530" s="2" t="s">
        <v>1263</v>
      </c>
      <c r="F8530" s="2" t="s">
        <v>21891</v>
      </c>
      <c r="G8530" s="2" t="str">
        <f>"SR-11390"</f>
        <v>SR-11390</v>
      </c>
      <c r="H8530" s="2" t="s">
        <v>35378</v>
      </c>
      <c r="I8530" s="2" t="s">
        <v>35379</v>
      </c>
      <c r="K8530" s="2" t="s">
        <v>882</v>
      </c>
      <c r="L8530" s="2" t="s">
        <v>279</v>
      </c>
      <c r="M8530" s="2">
        <v>38002.0</v>
      </c>
      <c r="N8530" s="2" t="s">
        <v>21</v>
      </c>
    </row>
    <row r="8531" ht="15.75" customHeight="1">
      <c r="A8531" s="2">
        <v>2017.0</v>
      </c>
      <c r="B8531" s="2" t="s">
        <v>35380</v>
      </c>
      <c r="C8531" s="2" t="s">
        <v>35380</v>
      </c>
      <c r="D8531" s="2" t="str">
        <f>"13207618783"</f>
        <v>13207618783</v>
      </c>
      <c r="E8531" s="2" t="s">
        <v>29070</v>
      </c>
      <c r="F8531" s="2" t="s">
        <v>35381</v>
      </c>
      <c r="G8531" s="2" t="str">
        <f>"SR-11392"</f>
        <v>SR-11392</v>
      </c>
      <c r="H8531" s="2" t="s">
        <v>35382</v>
      </c>
      <c r="I8531" s="2" t="s">
        <v>35383</v>
      </c>
      <c r="K8531" s="2" t="s">
        <v>35384</v>
      </c>
      <c r="L8531" s="2" t="s">
        <v>62</v>
      </c>
      <c r="M8531" s="2">
        <v>55382.0</v>
      </c>
      <c r="N8531" s="2" t="s">
        <v>21</v>
      </c>
    </row>
    <row r="8532" ht="15.75" customHeight="1">
      <c r="A8532" s="2">
        <v>2017.0</v>
      </c>
      <c r="B8532" s="2" t="s">
        <v>35385</v>
      </c>
      <c r="C8532" s="2" t="s">
        <v>20102</v>
      </c>
      <c r="D8532" s="2" t="str">
        <f>"7038654825"</f>
        <v>7038654825</v>
      </c>
      <c r="E8532" s="2" t="s">
        <v>1980</v>
      </c>
      <c r="F8532" s="2" t="s">
        <v>20104</v>
      </c>
      <c r="G8532" s="2" t="str">
        <f>"SR-11396"</f>
        <v>SR-11396</v>
      </c>
      <c r="H8532" s="2" t="s">
        <v>35386</v>
      </c>
      <c r="I8532" s="2" t="s">
        <v>20106</v>
      </c>
      <c r="K8532" s="2" t="s">
        <v>9334</v>
      </c>
      <c r="L8532" s="2" t="s">
        <v>165</v>
      </c>
      <c r="M8532" s="2">
        <v>22030.0</v>
      </c>
      <c r="N8532" s="2" t="s">
        <v>21</v>
      </c>
    </row>
    <row r="8533" ht="15.75" customHeight="1">
      <c r="A8533" s="2">
        <v>2017.0</v>
      </c>
      <c r="B8533" s="2" t="s">
        <v>35387</v>
      </c>
      <c r="C8533" s="2" t="s">
        <v>35388</v>
      </c>
      <c r="D8533" s="2" t="str">
        <f>"8053549800"</f>
        <v>8053549800</v>
      </c>
      <c r="E8533" s="2" t="s">
        <v>35389</v>
      </c>
      <c r="F8533" s="2" t="s">
        <v>12724</v>
      </c>
      <c r="G8533" s="2" t="str">
        <f>"SR-11369"</f>
        <v>SR-11369</v>
      </c>
      <c r="H8533" s="2" t="s">
        <v>35390</v>
      </c>
      <c r="I8533" s="2" t="s">
        <v>35391</v>
      </c>
      <c r="K8533" s="2" t="s">
        <v>35392</v>
      </c>
      <c r="L8533" s="2" t="s">
        <v>222</v>
      </c>
      <c r="M8533" s="2">
        <v>91335.0</v>
      </c>
      <c r="N8533" s="2" t="s">
        <v>21</v>
      </c>
    </row>
    <row r="8534" ht="15.75" customHeight="1">
      <c r="A8534" s="2">
        <v>2017.0</v>
      </c>
      <c r="B8534" s="2" t="s">
        <v>35393</v>
      </c>
      <c r="C8534" s="2" t="s">
        <v>35394</v>
      </c>
      <c r="D8534" s="2" t="str">
        <f>"5094756296"</f>
        <v>5094756296</v>
      </c>
      <c r="E8534" s="2" t="s">
        <v>453</v>
      </c>
      <c r="F8534" s="2" t="s">
        <v>27770</v>
      </c>
      <c r="G8534" s="2" t="str">
        <f>"SR-10804"</f>
        <v>SR-10804</v>
      </c>
      <c r="H8534" s="2" t="s">
        <v>35395</v>
      </c>
      <c r="I8534" s="2" t="s">
        <v>35396</v>
      </c>
      <c r="K8534" s="2" t="s">
        <v>1413</v>
      </c>
      <c r="L8534" s="2" t="s">
        <v>86</v>
      </c>
      <c r="M8534" s="2">
        <v>99206.0</v>
      </c>
      <c r="N8534" s="2" t="s">
        <v>21</v>
      </c>
    </row>
    <row r="8535" ht="15.75" customHeight="1">
      <c r="A8535" s="2">
        <v>2017.0</v>
      </c>
      <c r="B8535" s="2" t="s">
        <v>35397</v>
      </c>
      <c r="C8535" s="2" t="s">
        <v>35398</v>
      </c>
      <c r="D8535" s="2" t="str">
        <f>"6613042089"</f>
        <v>6613042089</v>
      </c>
      <c r="E8535" s="2" t="s">
        <v>908</v>
      </c>
      <c r="F8535" s="2" t="s">
        <v>26598</v>
      </c>
      <c r="G8535" s="2" t="str">
        <f>"SR-10696"</f>
        <v>SR-10696</v>
      </c>
      <c r="H8535" s="2" t="s">
        <v>35399</v>
      </c>
      <c r="I8535" s="2" t="s">
        <v>35400</v>
      </c>
      <c r="K8535" s="2" t="s">
        <v>11198</v>
      </c>
      <c r="L8535" s="2" t="s">
        <v>222</v>
      </c>
      <c r="M8535" s="2">
        <v>93308.0</v>
      </c>
      <c r="N8535" s="2" t="s">
        <v>21</v>
      </c>
    </row>
    <row r="8536" ht="15.75" customHeight="1">
      <c r="A8536" s="2">
        <v>2017.0</v>
      </c>
      <c r="B8536" s="2" t="s">
        <v>35401</v>
      </c>
      <c r="C8536" s="2" t="s">
        <v>35401</v>
      </c>
      <c r="D8536" s="2" t="str">
        <f>"404-921-4729"</f>
        <v>404-921-4729</v>
      </c>
      <c r="E8536" s="2" t="s">
        <v>7537</v>
      </c>
      <c r="F8536" s="2" t="s">
        <v>15449</v>
      </c>
      <c r="G8536" s="2" t="str">
        <f>"SR-11402"</f>
        <v>SR-11402</v>
      </c>
      <c r="H8536" s="2" t="s">
        <v>35402</v>
      </c>
      <c r="I8536" s="2" t="s">
        <v>35403</v>
      </c>
      <c r="K8536" s="2" t="s">
        <v>4862</v>
      </c>
      <c r="L8536" s="2" t="s">
        <v>200</v>
      </c>
      <c r="M8536" s="2">
        <v>30066.0</v>
      </c>
      <c r="N8536" s="2" t="s">
        <v>21</v>
      </c>
    </row>
    <row r="8537" ht="15.75" customHeight="1">
      <c r="A8537" s="2">
        <v>2017.0</v>
      </c>
      <c r="B8537" s="2" t="s">
        <v>35404</v>
      </c>
      <c r="C8537" s="2" t="s">
        <v>35405</v>
      </c>
      <c r="D8537" s="2" t="str">
        <f t="shared" ref="D8537:D8538" si="132">"601-879-3854"</f>
        <v>601-879-3854</v>
      </c>
      <c r="E8537" s="2" t="s">
        <v>35406</v>
      </c>
      <c r="F8537" s="2" t="s">
        <v>35407</v>
      </c>
      <c r="G8537" s="2" t="str">
        <f>"SR-10689"</f>
        <v>SR-10689</v>
      </c>
      <c r="H8537" s="2" t="s">
        <v>35408</v>
      </c>
      <c r="I8537" s="2" t="s">
        <v>35409</v>
      </c>
      <c r="K8537" s="2" t="s">
        <v>11219</v>
      </c>
      <c r="L8537" s="2" t="s">
        <v>1722</v>
      </c>
      <c r="M8537" s="2">
        <v>39071.0</v>
      </c>
      <c r="N8537" s="2" t="s">
        <v>21</v>
      </c>
    </row>
    <row r="8538" ht="15.75" customHeight="1">
      <c r="A8538" s="2">
        <v>2017.0</v>
      </c>
      <c r="B8538" s="2" t="s">
        <v>35404</v>
      </c>
      <c r="C8538" s="2" t="s">
        <v>35410</v>
      </c>
      <c r="D8538" s="2" t="str">
        <f t="shared" si="132"/>
        <v>601-879-3854</v>
      </c>
      <c r="E8538" s="2" t="s">
        <v>3305</v>
      </c>
      <c r="F8538" s="2" t="s">
        <v>35407</v>
      </c>
      <c r="G8538" s="2" t="str">
        <f>"SR-11404"</f>
        <v>SR-11404</v>
      </c>
      <c r="H8538" s="2" t="s">
        <v>35411</v>
      </c>
      <c r="I8538" s="2" t="s">
        <v>35409</v>
      </c>
      <c r="K8538" s="2" t="s">
        <v>11219</v>
      </c>
      <c r="L8538" s="2" t="s">
        <v>1722</v>
      </c>
      <c r="M8538" s="2">
        <v>39071.0</v>
      </c>
      <c r="N8538" s="2" t="s">
        <v>21</v>
      </c>
    </row>
    <row r="8539" ht="15.75" customHeight="1">
      <c r="A8539" s="2">
        <v>2017.0</v>
      </c>
      <c r="B8539" s="2" t="s">
        <v>13032</v>
      </c>
      <c r="C8539" s="2" t="s">
        <v>13032</v>
      </c>
      <c r="D8539" s="2" t="str">
        <f>"5804500986"</f>
        <v>5804500986</v>
      </c>
      <c r="E8539" s="2" t="s">
        <v>553</v>
      </c>
      <c r="F8539" s="2" t="s">
        <v>35412</v>
      </c>
      <c r="G8539" s="2" t="str">
        <f>"SR-8495"</f>
        <v>SR-8495</v>
      </c>
      <c r="H8539" s="2" t="s">
        <v>35413</v>
      </c>
      <c r="I8539" s="2" t="s">
        <v>35414</v>
      </c>
      <c r="K8539" s="2" t="s">
        <v>13036</v>
      </c>
      <c r="L8539" s="2" t="s">
        <v>840</v>
      </c>
      <c r="M8539" s="2">
        <v>73801.0</v>
      </c>
      <c r="N8539" s="2" t="s">
        <v>21</v>
      </c>
    </row>
    <row r="8540" ht="15.75" customHeight="1">
      <c r="A8540" s="2">
        <v>2017.0</v>
      </c>
      <c r="B8540" s="2" t="s">
        <v>35415</v>
      </c>
      <c r="C8540" s="2" t="s">
        <v>35415</v>
      </c>
      <c r="D8540" s="2" t="str">
        <f>"307-620-2053"</f>
        <v>307-620-2053</v>
      </c>
      <c r="E8540" s="2" t="s">
        <v>36</v>
      </c>
      <c r="F8540" s="2" t="s">
        <v>24150</v>
      </c>
      <c r="G8540" s="2" t="str">
        <f>"SR-11401"</f>
        <v>SR-11401</v>
      </c>
      <c r="H8540" s="2" t="s">
        <v>35416</v>
      </c>
      <c r="I8540" s="2" t="s">
        <v>35417</v>
      </c>
      <c r="K8540" s="2" t="s">
        <v>10904</v>
      </c>
      <c r="L8540" s="2" t="s">
        <v>1540</v>
      </c>
      <c r="M8540" s="2">
        <v>82834.0</v>
      </c>
      <c r="N8540" s="2" t="s">
        <v>21</v>
      </c>
    </row>
    <row r="8541" ht="15.75" customHeight="1">
      <c r="A8541" s="2">
        <v>2017.0</v>
      </c>
      <c r="B8541" s="2" t="s">
        <v>35418</v>
      </c>
      <c r="C8541" s="2" t="s">
        <v>35418</v>
      </c>
      <c r="D8541" s="2" t="str">
        <f>"4695001869"</f>
        <v>4695001869</v>
      </c>
      <c r="E8541" s="2" t="s">
        <v>35419</v>
      </c>
      <c r="F8541" s="2" t="s">
        <v>11822</v>
      </c>
      <c r="G8541" s="2" t="str">
        <f>"SR-11364"</f>
        <v>SR-11364</v>
      </c>
      <c r="H8541" s="2" t="s">
        <v>35420</v>
      </c>
      <c r="I8541" s="2" t="s">
        <v>35421</v>
      </c>
      <c r="K8541" s="2" t="s">
        <v>1162</v>
      </c>
      <c r="L8541" s="2" t="s">
        <v>172</v>
      </c>
      <c r="M8541" s="2">
        <v>75098.0</v>
      </c>
      <c r="N8541" s="2" t="s">
        <v>21</v>
      </c>
    </row>
    <row r="8542" ht="15.75" customHeight="1">
      <c r="A8542" s="2">
        <v>2017.0</v>
      </c>
      <c r="B8542" s="2" t="s">
        <v>35422</v>
      </c>
      <c r="C8542" s="2" t="s">
        <v>35422</v>
      </c>
      <c r="D8542" s="2" t="str">
        <f>"6624184217"</f>
        <v>6624184217</v>
      </c>
      <c r="E8542" s="2" t="s">
        <v>6244</v>
      </c>
      <c r="F8542" s="2" t="s">
        <v>10024</v>
      </c>
      <c r="G8542" s="2" t="str">
        <f>"SR-10938"</f>
        <v>SR-10938</v>
      </c>
      <c r="H8542" s="2" t="s">
        <v>35423</v>
      </c>
      <c r="I8542" s="2" t="s">
        <v>35424</v>
      </c>
      <c r="K8542" s="2" t="s">
        <v>1901</v>
      </c>
      <c r="L8542" s="2" t="s">
        <v>1722</v>
      </c>
      <c r="M8542" s="2">
        <v>39759.0</v>
      </c>
      <c r="N8542" s="2" t="s">
        <v>21</v>
      </c>
    </row>
    <row r="8543" ht="15.75" customHeight="1">
      <c r="A8543" s="2">
        <v>2017.0</v>
      </c>
      <c r="B8543" s="2" t="s">
        <v>35425</v>
      </c>
      <c r="C8543" s="2" t="s">
        <v>35426</v>
      </c>
      <c r="D8543" s="2" t="str">
        <f>"7192318298"</f>
        <v>7192318298</v>
      </c>
      <c r="E8543" s="2" t="s">
        <v>890</v>
      </c>
      <c r="F8543" s="2" t="s">
        <v>35427</v>
      </c>
      <c r="G8543" s="2" t="str">
        <f>"SR-875"</f>
        <v>SR-875</v>
      </c>
      <c r="H8543" s="2" t="s">
        <v>35428</v>
      </c>
      <c r="I8543" s="2" t="s">
        <v>35429</v>
      </c>
      <c r="K8543" s="2" t="s">
        <v>15818</v>
      </c>
      <c r="L8543" s="2" t="s">
        <v>157</v>
      </c>
      <c r="M8543" s="2">
        <v>80808.0</v>
      </c>
      <c r="N8543" s="2" t="s">
        <v>21</v>
      </c>
    </row>
    <row r="8544" ht="15.75" customHeight="1">
      <c r="A8544" s="2">
        <v>2017.0</v>
      </c>
      <c r="B8544" s="2" t="s">
        <v>35430</v>
      </c>
      <c r="C8544" s="2" t="s">
        <v>35431</v>
      </c>
      <c r="D8544" s="2" t="str">
        <f>"434-987-2213"</f>
        <v>434-987-2213</v>
      </c>
      <c r="E8544" s="2" t="s">
        <v>217</v>
      </c>
      <c r="F8544" s="2" t="s">
        <v>35432</v>
      </c>
      <c r="G8544" s="2" t="str">
        <f>"SR-11197"</f>
        <v>SR-11197</v>
      </c>
      <c r="H8544" s="2" t="s">
        <v>35433</v>
      </c>
      <c r="I8544" s="2" t="s">
        <v>35434</v>
      </c>
      <c r="K8544" s="2" t="s">
        <v>11041</v>
      </c>
      <c r="L8544" s="2" t="s">
        <v>165</v>
      </c>
      <c r="M8544" s="2">
        <v>22901.0</v>
      </c>
      <c r="N8544" s="2" t="s">
        <v>21</v>
      </c>
    </row>
    <row r="8545" ht="15.75" customHeight="1">
      <c r="A8545" s="2">
        <v>2017.0</v>
      </c>
      <c r="B8545" s="2" t="s">
        <v>8715</v>
      </c>
      <c r="C8545" s="2" t="s">
        <v>8715</v>
      </c>
      <c r="D8545" s="2" t="str">
        <f>"(309) 339-5318"</f>
        <v>(309) 339-5318</v>
      </c>
      <c r="E8545" s="2" t="s">
        <v>1440</v>
      </c>
      <c r="F8545" s="2" t="s">
        <v>8716</v>
      </c>
      <c r="G8545" s="2" t="str">
        <f>"SR-2523"</f>
        <v>SR-2523</v>
      </c>
      <c r="H8545" s="2" t="s">
        <v>8717</v>
      </c>
      <c r="I8545" s="2" t="s">
        <v>8718</v>
      </c>
      <c r="K8545" s="2" t="s">
        <v>104</v>
      </c>
      <c r="L8545" s="2" t="s">
        <v>105</v>
      </c>
      <c r="M8545" s="2">
        <v>61615.0</v>
      </c>
      <c r="N8545" s="2" t="s">
        <v>21</v>
      </c>
    </row>
    <row r="8546" ht="15.75" customHeight="1">
      <c r="A8546" s="2">
        <v>2017.0</v>
      </c>
      <c r="B8546" s="2" t="s">
        <v>35435</v>
      </c>
      <c r="C8546" s="2" t="s">
        <v>35436</v>
      </c>
      <c r="D8546" s="2" t="str">
        <f>"507-461-0673"</f>
        <v>507-461-0673</v>
      </c>
      <c r="E8546" s="2" t="s">
        <v>492</v>
      </c>
      <c r="F8546" s="2" t="s">
        <v>35437</v>
      </c>
      <c r="G8546" s="2" t="str">
        <f>"SR-11423"</f>
        <v>SR-11423</v>
      </c>
      <c r="H8546" s="2" t="s">
        <v>35438</v>
      </c>
      <c r="I8546" s="2" t="s">
        <v>35439</v>
      </c>
      <c r="K8546" s="2" t="s">
        <v>32091</v>
      </c>
      <c r="L8546" s="2" t="s">
        <v>62</v>
      </c>
      <c r="M8546" s="2">
        <v>56096.0</v>
      </c>
      <c r="N8546" s="2" t="s">
        <v>21</v>
      </c>
    </row>
    <row r="8547" ht="15.75" customHeight="1">
      <c r="A8547" s="2">
        <v>2017.0</v>
      </c>
      <c r="B8547" s="2" t="s">
        <v>35440</v>
      </c>
      <c r="C8547" s="2" t="s">
        <v>35441</v>
      </c>
      <c r="D8547" s="2" t="str">
        <f>"817-733-3455"</f>
        <v>817-733-3455</v>
      </c>
      <c r="E8547" s="2" t="s">
        <v>15579</v>
      </c>
      <c r="F8547" s="2" t="s">
        <v>275</v>
      </c>
      <c r="G8547" s="2" t="str">
        <f>"SR-10946"</f>
        <v>SR-10946</v>
      </c>
      <c r="H8547" s="2" t="s">
        <v>35442</v>
      </c>
      <c r="I8547" s="2" t="s">
        <v>35443</v>
      </c>
      <c r="K8547" s="2" t="s">
        <v>6017</v>
      </c>
      <c r="L8547" s="2" t="s">
        <v>172</v>
      </c>
      <c r="M8547" s="2">
        <v>76008.0</v>
      </c>
      <c r="N8547" s="2" t="s">
        <v>21</v>
      </c>
    </row>
    <row r="8548" ht="15.75" customHeight="1">
      <c r="A8548" s="2">
        <v>2017.0</v>
      </c>
      <c r="B8548" s="2" t="s">
        <v>895</v>
      </c>
      <c r="C8548" s="2" t="s">
        <v>35444</v>
      </c>
      <c r="D8548" s="2" t="str">
        <f>"5078280776"</f>
        <v>5078280776</v>
      </c>
      <c r="E8548" s="2" t="s">
        <v>35445</v>
      </c>
      <c r="F8548" s="2" t="s">
        <v>898</v>
      </c>
      <c r="G8548" s="2" t="str">
        <f>"SR-5987"</f>
        <v>SR-5987</v>
      </c>
      <c r="H8548" s="2" t="s">
        <v>35446</v>
      </c>
      <c r="I8548" s="2" t="s">
        <v>35447</v>
      </c>
      <c r="K8548" s="2" t="s">
        <v>133</v>
      </c>
      <c r="L8548" s="2" t="s">
        <v>62</v>
      </c>
      <c r="M8548" s="2">
        <v>56175.0</v>
      </c>
      <c r="N8548" s="2" t="s">
        <v>21</v>
      </c>
    </row>
    <row r="8549" ht="15.75" customHeight="1">
      <c r="A8549" s="2">
        <v>2017.0</v>
      </c>
      <c r="B8549" s="2" t="s">
        <v>35448</v>
      </c>
      <c r="C8549" s="2" t="s">
        <v>35449</v>
      </c>
      <c r="D8549" s="2" t="str">
        <f>"(214) 707-9047"</f>
        <v>(214) 707-9047</v>
      </c>
      <c r="E8549" s="2" t="s">
        <v>4865</v>
      </c>
      <c r="F8549" s="2" t="s">
        <v>26297</v>
      </c>
      <c r="G8549" s="2" t="str">
        <f>"SR-11258"</f>
        <v>SR-11258</v>
      </c>
      <c r="H8549" s="2" t="s">
        <v>35450</v>
      </c>
      <c r="I8549" s="2" t="s">
        <v>35451</v>
      </c>
      <c r="K8549" s="2" t="s">
        <v>1260</v>
      </c>
      <c r="L8549" s="2" t="s">
        <v>172</v>
      </c>
      <c r="M8549" s="2">
        <v>76107.0</v>
      </c>
      <c r="N8549" s="2" t="s">
        <v>21</v>
      </c>
    </row>
    <row r="8550" ht="15.75" customHeight="1">
      <c r="A8550" s="2">
        <v>2017.0</v>
      </c>
      <c r="B8550" s="2" t="s">
        <v>8719</v>
      </c>
      <c r="C8550" s="2" t="s">
        <v>35452</v>
      </c>
      <c r="D8550" s="2" t="str">
        <f>"231-301-5786"</f>
        <v>231-301-5786</v>
      </c>
      <c r="E8550" s="2" t="s">
        <v>24039</v>
      </c>
      <c r="F8550" s="2" t="s">
        <v>8721</v>
      </c>
      <c r="G8550" s="2" t="str">
        <f>"SR-10873"</f>
        <v>SR-10873</v>
      </c>
      <c r="H8550" s="2" t="s">
        <v>35453</v>
      </c>
      <c r="I8550" s="2" t="s">
        <v>35454</v>
      </c>
      <c r="K8550" s="2" t="s">
        <v>809</v>
      </c>
      <c r="L8550" s="2" t="s">
        <v>157</v>
      </c>
      <c r="M8550" s="2">
        <v>80918.0</v>
      </c>
      <c r="N8550" s="2" t="s">
        <v>21</v>
      </c>
    </row>
    <row r="8551" ht="15.75" customHeight="1">
      <c r="A8551" s="2">
        <v>2017.0</v>
      </c>
      <c r="B8551" s="2" t="s">
        <v>35448</v>
      </c>
      <c r="C8551" s="2" t="s">
        <v>35455</v>
      </c>
      <c r="D8551" s="2" t="str">
        <f>"(817) 475-4557"</f>
        <v>(817) 475-4557</v>
      </c>
      <c r="E8551" s="2" t="s">
        <v>9496</v>
      </c>
      <c r="F8551" s="2" t="s">
        <v>35456</v>
      </c>
      <c r="G8551" s="2" t="str">
        <f>"SR-11253"</f>
        <v>SR-11253</v>
      </c>
      <c r="H8551" s="2" t="s">
        <v>35457</v>
      </c>
      <c r="I8551" s="2" t="s">
        <v>35458</v>
      </c>
      <c r="K8551" s="2" t="s">
        <v>1260</v>
      </c>
      <c r="L8551" s="2" t="s">
        <v>172</v>
      </c>
      <c r="M8551" s="2">
        <v>76107.0</v>
      </c>
      <c r="N8551" s="2" t="s">
        <v>21</v>
      </c>
    </row>
    <row r="8552" ht="15.75" customHeight="1">
      <c r="A8552" s="2">
        <v>2017.0</v>
      </c>
      <c r="B8552" s="2" t="s">
        <v>35448</v>
      </c>
      <c r="C8552" s="2" t="s">
        <v>35459</v>
      </c>
      <c r="D8552" s="2" t="str">
        <f>"(682) 229-1577"</f>
        <v>(682) 229-1577</v>
      </c>
      <c r="E8552" s="2" t="s">
        <v>167</v>
      </c>
      <c r="F8552" s="2" t="s">
        <v>35460</v>
      </c>
      <c r="G8552" s="2" t="str">
        <f>"SR-11309"</f>
        <v>SR-11309</v>
      </c>
      <c r="H8552" s="2" t="s">
        <v>35461</v>
      </c>
      <c r="I8552" s="2" t="s">
        <v>35462</v>
      </c>
      <c r="K8552" s="2" t="s">
        <v>6017</v>
      </c>
      <c r="L8552" s="2" t="s">
        <v>172</v>
      </c>
      <c r="M8552" s="2">
        <v>76008.0</v>
      </c>
      <c r="N8552" s="2" t="s">
        <v>21</v>
      </c>
    </row>
    <row r="8553" ht="15.75" customHeight="1">
      <c r="A8553" s="2">
        <v>2017.0</v>
      </c>
      <c r="B8553" s="2" t="s">
        <v>35448</v>
      </c>
      <c r="C8553" s="2" t="s">
        <v>35463</v>
      </c>
      <c r="D8553" s="2" t="str">
        <f>"(817) 897-0275"</f>
        <v>(817) 897-0275</v>
      </c>
      <c r="E8553" s="2" t="s">
        <v>705</v>
      </c>
      <c r="F8553" s="2" t="s">
        <v>35464</v>
      </c>
      <c r="G8553" s="2" t="str">
        <f>"SR-11302"</f>
        <v>SR-11302</v>
      </c>
      <c r="H8553" s="2" t="s">
        <v>35465</v>
      </c>
      <c r="I8553" s="2" t="s">
        <v>35466</v>
      </c>
      <c r="K8553" s="2" t="s">
        <v>1260</v>
      </c>
      <c r="L8553" s="2" t="s">
        <v>172</v>
      </c>
      <c r="M8553" s="2">
        <v>76109.0</v>
      </c>
      <c r="N8553" s="2" t="s">
        <v>21</v>
      </c>
    </row>
    <row r="8554" ht="15.75" customHeight="1">
      <c r="A8554" s="2">
        <v>2017.0</v>
      </c>
      <c r="B8554" s="2" t="s">
        <v>35448</v>
      </c>
      <c r="C8554" s="2" t="s">
        <v>35467</v>
      </c>
      <c r="D8554" s="2" t="str">
        <f>"(817) 709-9403"</f>
        <v>(817) 709-9403</v>
      </c>
      <c r="E8554" s="2" t="s">
        <v>167</v>
      </c>
      <c r="F8554" s="2" t="s">
        <v>35464</v>
      </c>
      <c r="G8554" s="2" t="str">
        <f>"SR-11305"</f>
        <v>SR-11305</v>
      </c>
      <c r="H8554" s="2" t="s">
        <v>35468</v>
      </c>
      <c r="I8554" s="2" t="s">
        <v>35466</v>
      </c>
      <c r="K8554" s="2" t="s">
        <v>1260</v>
      </c>
      <c r="L8554" s="2" t="s">
        <v>172</v>
      </c>
      <c r="M8554" s="2">
        <v>76109.0</v>
      </c>
      <c r="N8554" s="2" t="s">
        <v>21</v>
      </c>
    </row>
    <row r="8555" ht="15.75" customHeight="1">
      <c r="A8555" s="2">
        <v>2017.0</v>
      </c>
      <c r="B8555" s="2" t="s">
        <v>35448</v>
      </c>
      <c r="C8555" s="2" t="s">
        <v>35469</v>
      </c>
      <c r="D8555" s="2" t="str">
        <f>"(682) 559-2986"</f>
        <v>(682) 559-2986</v>
      </c>
      <c r="E8555" s="2" t="s">
        <v>8649</v>
      </c>
      <c r="F8555" s="2" t="s">
        <v>23486</v>
      </c>
      <c r="G8555" s="2" t="str">
        <f>"SR-11312"</f>
        <v>SR-11312</v>
      </c>
      <c r="H8555" s="2" t="s">
        <v>35470</v>
      </c>
      <c r="I8555" s="2" t="s">
        <v>35471</v>
      </c>
      <c r="K8555" s="2" t="s">
        <v>1260</v>
      </c>
      <c r="L8555" s="2" t="s">
        <v>172</v>
      </c>
      <c r="M8555" s="2">
        <v>76123.0</v>
      </c>
      <c r="N8555" s="2" t="s">
        <v>21</v>
      </c>
    </row>
    <row r="8556" ht="15.75" customHeight="1">
      <c r="A8556" s="2">
        <v>2017.0</v>
      </c>
      <c r="B8556" s="2" t="s">
        <v>35448</v>
      </c>
      <c r="C8556" s="2" t="s">
        <v>35472</v>
      </c>
      <c r="D8556" s="2" t="str">
        <f>"(817) 927-7610"</f>
        <v>(817) 927-7610</v>
      </c>
      <c r="E8556" s="2" t="s">
        <v>890</v>
      </c>
      <c r="F8556" s="2" t="s">
        <v>5281</v>
      </c>
      <c r="G8556" s="2" t="str">
        <f>"SR-11310"</f>
        <v>SR-11310</v>
      </c>
      <c r="H8556" s="2" t="s">
        <v>35473</v>
      </c>
      <c r="I8556" s="2" t="s">
        <v>35474</v>
      </c>
      <c r="K8556" s="2" t="s">
        <v>1260</v>
      </c>
      <c r="L8556" s="2" t="s">
        <v>172</v>
      </c>
      <c r="M8556" s="2">
        <v>76109.0</v>
      </c>
      <c r="N8556" s="2" t="s">
        <v>21</v>
      </c>
    </row>
    <row r="8557" ht="15.75" customHeight="1">
      <c r="A8557" s="2">
        <v>2017.0</v>
      </c>
      <c r="B8557" s="2" t="s">
        <v>35448</v>
      </c>
      <c r="C8557" s="2" t="s">
        <v>35475</v>
      </c>
      <c r="D8557" s="2" t="str">
        <f>"(817) 333-3366"</f>
        <v>(817) 333-3366</v>
      </c>
      <c r="E8557" s="2" t="s">
        <v>417</v>
      </c>
      <c r="F8557" s="2" t="s">
        <v>35476</v>
      </c>
      <c r="G8557" s="2" t="str">
        <f>"SR-11120"</f>
        <v>SR-11120</v>
      </c>
      <c r="H8557" s="2" t="s">
        <v>35477</v>
      </c>
      <c r="I8557" s="2" t="s">
        <v>35478</v>
      </c>
      <c r="K8557" s="2" t="s">
        <v>4681</v>
      </c>
      <c r="L8557" s="2" t="s">
        <v>172</v>
      </c>
      <c r="M8557" s="2">
        <v>76126.0</v>
      </c>
      <c r="N8557" s="2" t="s">
        <v>21</v>
      </c>
    </row>
    <row r="8558" ht="15.75" customHeight="1">
      <c r="A8558" s="2">
        <v>2017.0</v>
      </c>
      <c r="B8558" s="2" t="s">
        <v>35448</v>
      </c>
      <c r="C8558" s="2" t="s">
        <v>35479</v>
      </c>
      <c r="D8558" s="2" t="str">
        <f>"(817) 773-7476"</f>
        <v>(817) 773-7476</v>
      </c>
      <c r="E8558" s="2" t="s">
        <v>1782</v>
      </c>
      <c r="F8558" s="2" t="s">
        <v>24310</v>
      </c>
      <c r="G8558" s="2" t="str">
        <f>"SR-11298"</f>
        <v>SR-11298</v>
      </c>
      <c r="H8558" s="2" t="s">
        <v>35480</v>
      </c>
      <c r="I8558" s="2" t="s">
        <v>35481</v>
      </c>
      <c r="K8558" s="2" t="s">
        <v>6017</v>
      </c>
      <c r="L8558" s="2" t="s">
        <v>172</v>
      </c>
      <c r="M8558" s="2">
        <v>76008.0</v>
      </c>
      <c r="N8558" s="2" t="s">
        <v>21</v>
      </c>
    </row>
    <row r="8559" ht="15.75" customHeight="1">
      <c r="A8559" s="2">
        <v>2017.0</v>
      </c>
      <c r="B8559" s="2" t="s">
        <v>5068</v>
      </c>
      <c r="C8559" s="2" t="s">
        <v>35482</v>
      </c>
      <c r="D8559" s="2" t="str">
        <f>"(610)301-2698"</f>
        <v>(610)301-2698</v>
      </c>
      <c r="E8559" s="2" t="s">
        <v>35483</v>
      </c>
      <c r="F8559" s="2" t="s">
        <v>35484</v>
      </c>
      <c r="G8559" s="2" t="str">
        <f>"SR-11293"</f>
        <v>SR-11293</v>
      </c>
      <c r="H8559" s="2" t="s">
        <v>35485</v>
      </c>
      <c r="I8559" s="2" t="s">
        <v>35486</v>
      </c>
      <c r="K8559" s="2" t="s">
        <v>3164</v>
      </c>
      <c r="L8559" s="2" t="s">
        <v>179</v>
      </c>
      <c r="M8559" s="2">
        <v>17222.0</v>
      </c>
      <c r="N8559" s="2" t="s">
        <v>21</v>
      </c>
    </row>
    <row r="8560" ht="15.75" customHeight="1">
      <c r="A8560" s="2">
        <v>2017.0</v>
      </c>
      <c r="B8560" s="2" t="s">
        <v>35448</v>
      </c>
      <c r="C8560" s="2" t="s">
        <v>35487</v>
      </c>
      <c r="D8560" s="2" t="str">
        <f>"(817) 319-2952"</f>
        <v>(817) 319-2952</v>
      </c>
      <c r="E8560" s="2" t="s">
        <v>696</v>
      </c>
      <c r="F8560" s="2" t="s">
        <v>35036</v>
      </c>
      <c r="G8560" s="2" t="str">
        <f>"SR-11353"</f>
        <v>SR-11353</v>
      </c>
      <c r="H8560" s="2" t="s">
        <v>35488</v>
      </c>
      <c r="I8560" s="2" t="s">
        <v>35489</v>
      </c>
      <c r="K8560" s="2" t="s">
        <v>1260</v>
      </c>
      <c r="L8560" s="2" t="s">
        <v>172</v>
      </c>
      <c r="M8560" s="2">
        <v>76108.0</v>
      </c>
      <c r="N8560" s="2" t="s">
        <v>21</v>
      </c>
    </row>
    <row r="8561" ht="15.75" customHeight="1">
      <c r="A8561" s="2">
        <v>2017.0</v>
      </c>
      <c r="B8561" s="2" t="s">
        <v>35448</v>
      </c>
      <c r="C8561" s="2" t="s">
        <v>35490</v>
      </c>
      <c r="D8561" s="2" t="str">
        <f>"(817) 240-3978"</f>
        <v>(817) 240-3978</v>
      </c>
      <c r="E8561" s="2" t="s">
        <v>339</v>
      </c>
      <c r="F8561" s="2" t="s">
        <v>35491</v>
      </c>
      <c r="G8561" s="2" t="str">
        <f>"SR-11232"</f>
        <v>SR-11232</v>
      </c>
      <c r="H8561" s="2" t="s">
        <v>35492</v>
      </c>
      <c r="I8561" s="2" t="s">
        <v>35493</v>
      </c>
      <c r="K8561" s="2" t="s">
        <v>4681</v>
      </c>
      <c r="L8561" s="2" t="s">
        <v>172</v>
      </c>
      <c r="M8561" s="2">
        <v>76126.0</v>
      </c>
      <c r="N8561" s="2" t="s">
        <v>21</v>
      </c>
    </row>
    <row r="8562" ht="15.75" customHeight="1">
      <c r="A8562" s="2">
        <v>2017.0</v>
      </c>
      <c r="B8562" s="2" t="s">
        <v>35494</v>
      </c>
      <c r="C8562" s="2" t="s">
        <v>35495</v>
      </c>
      <c r="D8562" s="2" t="str">
        <f>"5126995572"</f>
        <v>5126995572</v>
      </c>
      <c r="E8562" s="2" t="s">
        <v>12507</v>
      </c>
      <c r="F8562" s="2" t="s">
        <v>8612</v>
      </c>
      <c r="G8562" s="2" t="str">
        <f>"SR-11165"</f>
        <v>SR-11165</v>
      </c>
      <c r="H8562" s="2" t="s">
        <v>35496</v>
      </c>
      <c r="I8562" s="2" t="s">
        <v>35497</v>
      </c>
      <c r="K8562" s="2" t="s">
        <v>1249</v>
      </c>
      <c r="L8562" s="2" t="s">
        <v>172</v>
      </c>
      <c r="M8562" s="2">
        <v>78613.0</v>
      </c>
      <c r="N8562" s="2" t="s">
        <v>21</v>
      </c>
    </row>
    <row r="8563" ht="15.75" customHeight="1">
      <c r="A8563" s="2">
        <v>2017.0</v>
      </c>
      <c r="B8563" s="2" t="s">
        <v>35498</v>
      </c>
      <c r="C8563" s="2" t="s">
        <v>35499</v>
      </c>
      <c r="D8563" s="2" t="str">
        <f>"571-643-2378"</f>
        <v>571-643-2378</v>
      </c>
      <c r="E8563" s="2" t="s">
        <v>3305</v>
      </c>
      <c r="F8563" s="2" t="s">
        <v>35500</v>
      </c>
      <c r="G8563" s="2" t="str">
        <f>"SR-11415"</f>
        <v>SR-11415</v>
      </c>
      <c r="H8563" s="2" t="s">
        <v>35501</v>
      </c>
      <c r="I8563" s="2" t="s">
        <v>35502</v>
      </c>
      <c r="K8563" s="2" t="s">
        <v>594</v>
      </c>
      <c r="L8563" s="2" t="s">
        <v>165</v>
      </c>
      <c r="M8563" s="2">
        <v>22602.0</v>
      </c>
      <c r="N8563" s="2" t="s">
        <v>21</v>
      </c>
    </row>
    <row r="8564" ht="15.75" customHeight="1">
      <c r="A8564" s="2">
        <v>2017.0</v>
      </c>
      <c r="B8564" s="2" t="s">
        <v>35503</v>
      </c>
      <c r="C8564" s="2" t="s">
        <v>35504</v>
      </c>
      <c r="D8564" s="2" t="str">
        <f>"7197617345"</f>
        <v>7197617345</v>
      </c>
      <c r="E8564" s="2" t="s">
        <v>2309</v>
      </c>
      <c r="F8564" s="2" t="s">
        <v>10706</v>
      </c>
      <c r="G8564" s="2" t="str">
        <f>"SR-11432"</f>
        <v>SR-11432</v>
      </c>
      <c r="H8564" s="2" t="s">
        <v>35505</v>
      </c>
      <c r="I8564" s="2" t="s">
        <v>35506</v>
      </c>
      <c r="K8564" s="2" t="s">
        <v>35507</v>
      </c>
      <c r="L8564" s="2" t="s">
        <v>172</v>
      </c>
      <c r="M8564" s="2">
        <v>76544.0</v>
      </c>
      <c r="N8564" s="2" t="s">
        <v>21</v>
      </c>
    </row>
    <row r="8565" ht="15.75" customHeight="1">
      <c r="A8565" s="2">
        <v>2017.0</v>
      </c>
      <c r="B8565" s="2" t="s">
        <v>35508</v>
      </c>
      <c r="C8565" s="2" t="s">
        <v>35509</v>
      </c>
      <c r="D8565" s="2" t="str">
        <f>"8177761118"</f>
        <v>8177761118</v>
      </c>
      <c r="E8565" s="2" t="s">
        <v>3173</v>
      </c>
      <c r="F8565" s="2" t="s">
        <v>2043</v>
      </c>
      <c r="G8565" s="2" t="str">
        <f>"SR-10651"</f>
        <v>SR-10651</v>
      </c>
      <c r="H8565" s="2" t="s">
        <v>35510</v>
      </c>
      <c r="I8565" s="2" t="s">
        <v>2045</v>
      </c>
      <c r="K8565" s="2" t="s">
        <v>2046</v>
      </c>
      <c r="L8565" s="2" t="s">
        <v>172</v>
      </c>
      <c r="M8565" s="2">
        <v>76049.0</v>
      </c>
      <c r="N8565" s="2" t="s">
        <v>21</v>
      </c>
    </row>
    <row r="8566" ht="15.75" customHeight="1">
      <c r="A8566" s="2">
        <v>2017.0</v>
      </c>
      <c r="B8566" s="2" t="s">
        <v>16442</v>
      </c>
      <c r="C8566" s="2" t="s">
        <v>16443</v>
      </c>
      <c r="D8566" s="2" t="str">
        <f>"352-473-7495"</f>
        <v>352-473-7495</v>
      </c>
      <c r="E8566" s="2" t="s">
        <v>2814</v>
      </c>
      <c r="F8566" s="2" t="s">
        <v>327</v>
      </c>
      <c r="G8566" s="2" t="str">
        <f>"SR-4915"</f>
        <v>SR-4915</v>
      </c>
      <c r="H8566" s="2" t="s">
        <v>16444</v>
      </c>
      <c r="I8566" s="2" t="s">
        <v>16445</v>
      </c>
      <c r="K8566" s="2" t="s">
        <v>16446</v>
      </c>
      <c r="L8566" s="2" t="s">
        <v>208</v>
      </c>
      <c r="M8566" s="2">
        <v>32666.0</v>
      </c>
      <c r="N8566" s="2" t="s">
        <v>21</v>
      </c>
    </row>
    <row r="8567" ht="15.75" customHeight="1">
      <c r="A8567" s="2">
        <v>2017.0</v>
      </c>
      <c r="B8567" s="2" t="s">
        <v>35448</v>
      </c>
      <c r="C8567" s="2" t="s">
        <v>35511</v>
      </c>
      <c r="D8567" s="2" t="str">
        <f>"(972) 983-2575"</f>
        <v>(972) 983-2575</v>
      </c>
      <c r="E8567" s="2" t="s">
        <v>1243</v>
      </c>
      <c r="F8567" s="2" t="s">
        <v>35512</v>
      </c>
      <c r="G8567" s="2" t="str">
        <f>"SR-11224"</f>
        <v>SR-11224</v>
      </c>
      <c r="H8567" s="2" t="s">
        <v>35513</v>
      </c>
      <c r="I8567" s="2" t="s">
        <v>35514</v>
      </c>
      <c r="K8567" s="2" t="s">
        <v>1260</v>
      </c>
      <c r="L8567" s="2" t="s">
        <v>172</v>
      </c>
      <c r="M8567" s="2">
        <v>76107.0</v>
      </c>
      <c r="N8567" s="2" t="s">
        <v>21</v>
      </c>
    </row>
    <row r="8568" ht="15.75" customHeight="1">
      <c r="A8568" s="2">
        <v>2017.0</v>
      </c>
      <c r="B8568" s="2" t="s">
        <v>35515</v>
      </c>
      <c r="C8568" s="2" t="s">
        <v>35516</v>
      </c>
      <c r="D8568" s="2" t="str">
        <f>"704-564-1185"</f>
        <v>704-564-1185</v>
      </c>
      <c r="E8568" s="2" t="s">
        <v>4010</v>
      </c>
      <c r="F8568" s="2" t="s">
        <v>29796</v>
      </c>
      <c r="G8568" s="2" t="str">
        <f>"SR-11439"</f>
        <v>SR-11439</v>
      </c>
      <c r="H8568" s="2" t="s">
        <v>35517</v>
      </c>
      <c r="I8568" s="2" t="s">
        <v>35518</v>
      </c>
      <c r="K8568" s="2" t="s">
        <v>3464</v>
      </c>
      <c r="L8568" s="2" t="s">
        <v>20</v>
      </c>
      <c r="M8568" s="2">
        <v>28117.0</v>
      </c>
      <c r="N8568" s="2" t="s">
        <v>21</v>
      </c>
    </row>
    <row r="8569" ht="15.75" customHeight="1">
      <c r="A8569" s="2">
        <v>2017.0</v>
      </c>
      <c r="B8569" s="2" t="s">
        <v>35519</v>
      </c>
      <c r="C8569" s="2" t="s">
        <v>35520</v>
      </c>
      <c r="D8569" s="2" t="str">
        <f>"817-253-6138"</f>
        <v>817-253-6138</v>
      </c>
      <c r="E8569" s="2" t="s">
        <v>15</v>
      </c>
      <c r="F8569" s="2" t="s">
        <v>35521</v>
      </c>
      <c r="G8569" s="2" t="str">
        <f>"SR-11435"</f>
        <v>SR-11435</v>
      </c>
      <c r="H8569" s="2" t="s">
        <v>35522</v>
      </c>
      <c r="I8569" s="2" t="s">
        <v>35523</v>
      </c>
      <c r="K8569" s="2" t="s">
        <v>1260</v>
      </c>
      <c r="L8569" s="2" t="s">
        <v>172</v>
      </c>
      <c r="M8569" s="2">
        <v>76110.0</v>
      </c>
      <c r="N8569" s="2" t="s">
        <v>21</v>
      </c>
    </row>
    <row r="8570" ht="15.75" customHeight="1">
      <c r="A8570" s="2">
        <v>2017.0</v>
      </c>
      <c r="B8570" s="2" t="s">
        <v>35524</v>
      </c>
      <c r="C8570" s="2" t="s">
        <v>35525</v>
      </c>
      <c r="D8570" s="2" t="str">
        <f>"6688-267-1425"</f>
        <v>6688-267-1425</v>
      </c>
      <c r="E8570" s="2" t="s">
        <v>10825</v>
      </c>
      <c r="F8570" s="2" t="s">
        <v>35526</v>
      </c>
      <c r="G8570" s="2" t="str">
        <f>"SR-11340"</f>
        <v>SR-11340</v>
      </c>
      <c r="H8570" s="2" t="s">
        <v>35527</v>
      </c>
      <c r="I8570" s="2" t="s">
        <v>35528</v>
      </c>
      <c r="J8570" s="2" t="s">
        <v>35529</v>
      </c>
      <c r="K8570" s="2" t="s">
        <v>35530</v>
      </c>
      <c r="M8570" s="2">
        <v>50230.0</v>
      </c>
      <c r="N8570" s="2" t="s">
        <v>35531</v>
      </c>
    </row>
    <row r="8571" ht="15.75" customHeight="1">
      <c r="A8571" s="2">
        <v>2017.0</v>
      </c>
      <c r="B8571" s="2" t="s">
        <v>35532</v>
      </c>
      <c r="C8571" s="2" t="s">
        <v>35532</v>
      </c>
      <c r="D8571" s="2" t="str">
        <f>"901-299-9401"</f>
        <v>901-299-9401</v>
      </c>
      <c r="E8571" s="2" t="s">
        <v>8887</v>
      </c>
      <c r="F8571" s="2" t="s">
        <v>35533</v>
      </c>
      <c r="G8571" s="2" t="str">
        <f>"SR-11020"</f>
        <v>SR-11020</v>
      </c>
      <c r="H8571" s="2" t="s">
        <v>35534</v>
      </c>
      <c r="I8571" s="2" t="s">
        <v>35535</v>
      </c>
      <c r="K8571" s="2" t="s">
        <v>9257</v>
      </c>
      <c r="L8571" s="2" t="s">
        <v>279</v>
      </c>
      <c r="M8571" s="2">
        <v>38139.0</v>
      </c>
      <c r="N8571" s="2" t="s">
        <v>21</v>
      </c>
    </row>
    <row r="8572" ht="15.75" customHeight="1">
      <c r="A8572" s="2">
        <v>2017.0</v>
      </c>
      <c r="B8572" s="2" t="s">
        <v>35536</v>
      </c>
      <c r="C8572" s="2" t="s">
        <v>35537</v>
      </c>
      <c r="D8572" s="2" t="str">
        <f>"7133673673"</f>
        <v>7133673673</v>
      </c>
      <c r="E8572" s="2" t="s">
        <v>21409</v>
      </c>
      <c r="F8572" s="2" t="s">
        <v>472</v>
      </c>
      <c r="G8572" s="2" t="str">
        <f>"SR-11437"</f>
        <v>SR-11437</v>
      </c>
      <c r="H8572" s="2" t="s">
        <v>35538</v>
      </c>
      <c r="I8572" s="2" t="s">
        <v>35539</v>
      </c>
      <c r="K8572" s="2" t="s">
        <v>35540</v>
      </c>
      <c r="N8572" s="2" t="s">
        <v>35541</v>
      </c>
    </row>
    <row r="8573" ht="15.75" customHeight="1">
      <c r="A8573" s="2">
        <v>2017.0</v>
      </c>
      <c r="B8573" s="2" t="s">
        <v>35542</v>
      </c>
      <c r="C8573" s="2" t="s">
        <v>35542</v>
      </c>
      <c r="D8573" s="2" t="str">
        <f>"6016954998"</f>
        <v>6016954998</v>
      </c>
      <c r="E8573" s="2" t="s">
        <v>1548</v>
      </c>
      <c r="F8573" s="2" t="s">
        <v>35543</v>
      </c>
      <c r="G8573" s="2" t="str">
        <f>"SR-11228"</f>
        <v>SR-11228</v>
      </c>
      <c r="H8573" s="2" t="s">
        <v>35544</v>
      </c>
      <c r="I8573" s="2" t="s">
        <v>35545</v>
      </c>
      <c r="K8573" s="2" t="s">
        <v>35546</v>
      </c>
      <c r="L8573" s="2" t="s">
        <v>1722</v>
      </c>
      <c r="M8573" s="2">
        <v>39601.0</v>
      </c>
      <c r="N8573" s="2" t="s">
        <v>21</v>
      </c>
    </row>
    <row r="8574" ht="15.75" customHeight="1">
      <c r="A8574" s="2">
        <v>2017.0</v>
      </c>
      <c r="B8574" s="2" t="s">
        <v>8560</v>
      </c>
      <c r="C8574" s="2" t="s">
        <v>35547</v>
      </c>
      <c r="D8574" s="2" t="str">
        <f>"863-398-9142"</f>
        <v>863-398-9142</v>
      </c>
      <c r="E8574" s="2" t="s">
        <v>1000</v>
      </c>
      <c r="F8574" s="2" t="s">
        <v>275</v>
      </c>
      <c r="G8574" s="2" t="str">
        <f>"SR-11400"</f>
        <v>SR-11400</v>
      </c>
      <c r="H8574" s="2" t="s">
        <v>35548</v>
      </c>
      <c r="I8574" s="2" t="s">
        <v>35549</v>
      </c>
      <c r="K8574" s="2" t="s">
        <v>1570</v>
      </c>
      <c r="L8574" s="2" t="s">
        <v>208</v>
      </c>
      <c r="M8574" s="2">
        <v>33813.0</v>
      </c>
      <c r="N8574" s="2" t="s">
        <v>21</v>
      </c>
    </row>
    <row r="8575" ht="15.75" customHeight="1">
      <c r="A8575" s="2">
        <v>2017.0</v>
      </c>
      <c r="B8575" s="2" t="s">
        <v>22678</v>
      </c>
      <c r="C8575" s="2" t="s">
        <v>35550</v>
      </c>
      <c r="D8575" s="2" t="str">
        <f>"3304977839"</f>
        <v>3304977839</v>
      </c>
      <c r="E8575" s="2" t="s">
        <v>24</v>
      </c>
      <c r="F8575" s="2" t="s">
        <v>22680</v>
      </c>
      <c r="G8575" s="2" t="str">
        <f>"SR-9866"</f>
        <v>SR-9866</v>
      </c>
      <c r="H8575" s="2" t="s">
        <v>35551</v>
      </c>
      <c r="I8575" s="2" t="s">
        <v>22682</v>
      </c>
      <c r="K8575" s="2" t="s">
        <v>11068</v>
      </c>
      <c r="L8575" s="2" t="s">
        <v>344</v>
      </c>
      <c r="M8575" s="2">
        <v>44720.0</v>
      </c>
      <c r="N8575" s="2" t="s">
        <v>21</v>
      </c>
    </row>
    <row r="8576" ht="15.75" customHeight="1">
      <c r="A8576" s="2">
        <v>2017.0</v>
      </c>
      <c r="B8576" s="2" t="s">
        <v>35552</v>
      </c>
      <c r="C8576" s="2" t="s">
        <v>35553</v>
      </c>
      <c r="D8576" s="2" t="str">
        <f>"7133673763"</f>
        <v>7133673763</v>
      </c>
      <c r="E8576" s="2" t="s">
        <v>367</v>
      </c>
      <c r="F8576" s="2" t="s">
        <v>472</v>
      </c>
      <c r="G8576" s="2" t="str">
        <f>"SR-11438"</f>
        <v>SR-11438</v>
      </c>
      <c r="H8576" s="2" t="s">
        <v>35554</v>
      </c>
      <c r="I8576" s="2" t="s">
        <v>35539</v>
      </c>
      <c r="K8576" s="2" t="s">
        <v>35540</v>
      </c>
      <c r="N8576" s="2" t="s">
        <v>35541</v>
      </c>
    </row>
    <row r="8577" ht="15.75" customHeight="1">
      <c r="A8577" s="2">
        <v>2017.0</v>
      </c>
      <c r="B8577" s="2" t="s">
        <v>35555</v>
      </c>
      <c r="C8577" s="2" t="s">
        <v>35556</v>
      </c>
      <c r="D8577" s="2" t="str">
        <f>"817-907-0811"</f>
        <v>817-907-0811</v>
      </c>
      <c r="E8577" s="2" t="s">
        <v>638</v>
      </c>
      <c r="F8577" s="2" t="s">
        <v>35557</v>
      </c>
      <c r="G8577" s="2" t="str">
        <f>"SR-10801"</f>
        <v>SR-10801</v>
      </c>
      <c r="H8577" s="2" t="s">
        <v>35558</v>
      </c>
      <c r="I8577" s="2" t="s">
        <v>35559</v>
      </c>
      <c r="K8577" s="2" t="s">
        <v>1260</v>
      </c>
      <c r="L8577" s="2" t="s">
        <v>172</v>
      </c>
      <c r="M8577" s="2">
        <v>76109.0</v>
      </c>
      <c r="N8577" s="2" t="s">
        <v>21</v>
      </c>
    </row>
    <row r="8578" ht="15.75" customHeight="1">
      <c r="A8578" s="2">
        <v>2017.0</v>
      </c>
      <c r="B8578" s="2" t="s">
        <v>35560</v>
      </c>
      <c r="C8578" s="2" t="s">
        <v>35561</v>
      </c>
      <c r="D8578" s="2" t="str">
        <f>"806-570-1850"</f>
        <v>806-570-1850</v>
      </c>
      <c r="E8578" s="2" t="s">
        <v>6618</v>
      </c>
      <c r="F8578" s="2" t="s">
        <v>13036</v>
      </c>
      <c r="G8578" s="2" t="str">
        <f>"SR-11448"</f>
        <v>SR-11448</v>
      </c>
      <c r="H8578" s="2" t="s">
        <v>35562</v>
      </c>
      <c r="I8578" s="2" t="s">
        <v>35563</v>
      </c>
      <c r="K8578" s="2" t="s">
        <v>6017</v>
      </c>
      <c r="L8578" s="2" t="s">
        <v>172</v>
      </c>
      <c r="M8578" s="2">
        <v>76008.0</v>
      </c>
      <c r="N8578" s="2" t="s">
        <v>21</v>
      </c>
    </row>
    <row r="8579" ht="15.75" customHeight="1">
      <c r="A8579" s="2">
        <v>2017.0</v>
      </c>
      <c r="B8579" s="2" t="s">
        <v>35564</v>
      </c>
      <c r="C8579" s="2" t="s">
        <v>35565</v>
      </c>
      <c r="D8579" s="2" t="str">
        <f>"9033287898"</f>
        <v>9033287898</v>
      </c>
      <c r="E8579" s="2" t="s">
        <v>651</v>
      </c>
      <c r="F8579" s="2" t="s">
        <v>17378</v>
      </c>
      <c r="G8579" s="2" t="str">
        <f>"SR-11450"</f>
        <v>SR-11450</v>
      </c>
      <c r="H8579" s="2" t="s">
        <v>35566</v>
      </c>
      <c r="I8579" s="2" t="s">
        <v>35567</v>
      </c>
      <c r="K8579" s="2" t="s">
        <v>23544</v>
      </c>
      <c r="L8579" s="2" t="s">
        <v>172</v>
      </c>
      <c r="M8579" s="2">
        <v>75460.0</v>
      </c>
      <c r="N8579" s="2" t="s">
        <v>21</v>
      </c>
    </row>
    <row r="8580" ht="15.75" customHeight="1">
      <c r="A8580" s="2">
        <v>2017.0</v>
      </c>
      <c r="B8580" s="2" t="s">
        <v>35568</v>
      </c>
      <c r="C8580" s="2" t="s">
        <v>35568</v>
      </c>
      <c r="D8580" s="2" t="str">
        <f>"3097560895"</f>
        <v>3097560895</v>
      </c>
      <c r="E8580" s="2" t="s">
        <v>35569</v>
      </c>
      <c r="F8580" s="2" t="s">
        <v>3144</v>
      </c>
      <c r="G8580" s="2" t="str">
        <f>"SR-10927"</f>
        <v>SR-10927</v>
      </c>
      <c r="H8580" s="2" t="s">
        <v>35570</v>
      </c>
      <c r="I8580" s="2" t="s">
        <v>35571</v>
      </c>
      <c r="K8580" s="2" t="s">
        <v>13779</v>
      </c>
      <c r="L8580" s="2" t="s">
        <v>105</v>
      </c>
      <c r="M8580" s="2">
        <v>61264.0</v>
      </c>
      <c r="N8580" s="2" t="s">
        <v>21</v>
      </c>
    </row>
    <row r="8581" ht="15.75" customHeight="1">
      <c r="A8581" s="2">
        <v>2017.0</v>
      </c>
      <c r="B8581" s="2" t="s">
        <v>35572</v>
      </c>
      <c r="C8581" s="2" t="s">
        <v>35573</v>
      </c>
      <c r="D8581" s="2" t="str">
        <f>"8309009440"</f>
        <v>8309009440</v>
      </c>
      <c r="E8581" s="2" t="s">
        <v>417</v>
      </c>
      <c r="F8581" s="2" t="s">
        <v>13200</v>
      </c>
      <c r="G8581" s="2" t="str">
        <f>"SR-11454"</f>
        <v>SR-11454</v>
      </c>
      <c r="H8581" s="2" t="s">
        <v>35574</v>
      </c>
      <c r="I8581" s="2" t="s">
        <v>35575</v>
      </c>
      <c r="K8581" s="2" t="s">
        <v>10933</v>
      </c>
      <c r="L8581" s="2" t="s">
        <v>172</v>
      </c>
      <c r="M8581" s="2">
        <v>78801.0</v>
      </c>
      <c r="N8581" s="2" t="s">
        <v>21</v>
      </c>
    </row>
    <row r="8582" ht="15.75" customHeight="1">
      <c r="A8582" s="2">
        <v>2017.0</v>
      </c>
      <c r="B8582" s="2" t="s">
        <v>35576</v>
      </c>
      <c r="C8582" s="2" t="s">
        <v>35576</v>
      </c>
      <c r="D8582" s="2" t="str">
        <f>"(217)521-1160"</f>
        <v>(217)521-1160</v>
      </c>
      <c r="E8582" s="2" t="s">
        <v>282</v>
      </c>
      <c r="F8582" s="2" t="s">
        <v>283</v>
      </c>
      <c r="G8582" s="2" t="str">
        <f>"SR-11103"</f>
        <v>SR-11103</v>
      </c>
      <c r="H8582" s="2" t="s">
        <v>284</v>
      </c>
      <c r="I8582" s="2" t="s">
        <v>35577</v>
      </c>
      <c r="K8582" s="2" t="s">
        <v>8231</v>
      </c>
      <c r="L8582" s="2" t="s">
        <v>105</v>
      </c>
      <c r="M8582" s="2">
        <v>62521.0</v>
      </c>
      <c r="N8582" s="2" t="s">
        <v>21</v>
      </c>
    </row>
    <row r="8583" ht="15.75" customHeight="1">
      <c r="A8583" s="2">
        <v>2017.0</v>
      </c>
      <c r="B8583" s="2" t="s">
        <v>25015</v>
      </c>
      <c r="C8583" s="2" t="s">
        <v>25015</v>
      </c>
      <c r="D8583" s="2" t="str">
        <f>"7164902860"</f>
        <v>7164902860</v>
      </c>
      <c r="E8583" s="2" t="s">
        <v>10949</v>
      </c>
      <c r="F8583" s="2" t="s">
        <v>25016</v>
      </c>
      <c r="G8583" s="2" t="str">
        <f>"SR-7910"</f>
        <v>SR-7910</v>
      </c>
      <c r="H8583" s="2" t="s">
        <v>25017</v>
      </c>
      <c r="I8583" s="2" t="s">
        <v>25018</v>
      </c>
      <c r="K8583" s="2" t="s">
        <v>25019</v>
      </c>
      <c r="L8583" s="2" t="s">
        <v>142</v>
      </c>
      <c r="M8583" s="2">
        <v>14724.0</v>
      </c>
      <c r="N8583" s="2" t="s">
        <v>21</v>
      </c>
    </row>
    <row r="8584" ht="15.75" customHeight="1">
      <c r="A8584" s="2">
        <v>2017.0</v>
      </c>
      <c r="B8584" s="2" t="s">
        <v>35578</v>
      </c>
      <c r="C8584" s="2" t="s">
        <v>35579</v>
      </c>
      <c r="D8584" s="2" t="str">
        <f>"6264299085"</f>
        <v>6264299085</v>
      </c>
      <c r="E8584" s="2" t="s">
        <v>35580</v>
      </c>
      <c r="F8584" s="2" t="s">
        <v>35581</v>
      </c>
      <c r="G8584" s="2" t="str">
        <f>"SR-9082"</f>
        <v>SR-9082</v>
      </c>
      <c r="H8584" s="2" t="s">
        <v>35582</v>
      </c>
      <c r="I8584" s="2" t="s">
        <v>35583</v>
      </c>
      <c r="K8584" s="2" t="s">
        <v>2015</v>
      </c>
      <c r="L8584" s="2" t="s">
        <v>222</v>
      </c>
      <c r="M8584" s="2">
        <v>91761.0</v>
      </c>
      <c r="N8584" s="2" t="s">
        <v>21</v>
      </c>
    </row>
    <row r="8585" ht="15.75" customHeight="1">
      <c r="A8585" s="2">
        <v>2017.0</v>
      </c>
      <c r="B8585" s="2" t="s">
        <v>35584</v>
      </c>
      <c r="C8585" s="2" t="s">
        <v>35585</v>
      </c>
      <c r="D8585" s="2" t="str">
        <f>"2672278161"</f>
        <v>2672278161</v>
      </c>
      <c r="E8585" s="2" t="s">
        <v>16129</v>
      </c>
      <c r="F8585" s="2" t="s">
        <v>35586</v>
      </c>
      <c r="G8585" s="2" t="str">
        <f>"SR-11460"</f>
        <v>SR-11460</v>
      </c>
      <c r="H8585" s="2" t="s">
        <v>35587</v>
      </c>
      <c r="I8585" s="2" t="s">
        <v>35588</v>
      </c>
      <c r="K8585" s="2" t="s">
        <v>35589</v>
      </c>
      <c r="L8585" s="2" t="s">
        <v>279</v>
      </c>
      <c r="M8585" s="2">
        <v>38462.0</v>
      </c>
      <c r="N8585" s="2" t="s">
        <v>21</v>
      </c>
    </row>
    <row r="8586" ht="15.75" customHeight="1">
      <c r="A8586" s="2">
        <v>2017.0</v>
      </c>
      <c r="B8586" s="2" t="s">
        <v>35590</v>
      </c>
      <c r="C8586" s="2" t="s">
        <v>35590</v>
      </c>
      <c r="D8586" s="2" t="str">
        <f>"+86 18116420272"</f>
        <v>+86 18116420272</v>
      </c>
      <c r="E8586" s="2" t="s">
        <v>7210</v>
      </c>
      <c r="F8586" s="2" t="s">
        <v>1756</v>
      </c>
      <c r="G8586" s="2" t="str">
        <f>"SR-11458"</f>
        <v>SR-11458</v>
      </c>
      <c r="H8586" s="2" t="s">
        <v>35591</v>
      </c>
      <c r="I8586" s="2" t="s">
        <v>35592</v>
      </c>
      <c r="J8586" s="2" t="s">
        <v>35593</v>
      </c>
      <c r="K8586" s="2" t="s">
        <v>20820</v>
      </c>
      <c r="L8586" s="2" t="s">
        <v>20820</v>
      </c>
      <c r="M8586" s="2">
        <v>201107.0</v>
      </c>
      <c r="N8586" s="2" t="s">
        <v>20821</v>
      </c>
    </row>
    <row r="8587" ht="15.75" customHeight="1">
      <c r="A8587" s="2">
        <v>2017.0</v>
      </c>
      <c r="B8587" s="2" t="s">
        <v>35594</v>
      </c>
      <c r="C8587" s="2" t="s">
        <v>35595</v>
      </c>
      <c r="D8587" s="2" t="str">
        <f>"13165360862"</f>
        <v>13165360862</v>
      </c>
      <c r="E8587" s="2" t="s">
        <v>2800</v>
      </c>
      <c r="F8587" s="2" t="s">
        <v>320</v>
      </c>
      <c r="G8587" s="2" t="str">
        <f>"SR-10731"</f>
        <v>SR-10731</v>
      </c>
      <c r="H8587" s="2" t="s">
        <v>35596</v>
      </c>
      <c r="I8587" s="2" t="s">
        <v>28672</v>
      </c>
      <c r="J8587" s="2" t="s">
        <v>22914</v>
      </c>
      <c r="K8587" s="2" t="s">
        <v>28673</v>
      </c>
      <c r="L8587" s="2" t="s">
        <v>272</v>
      </c>
      <c r="M8587" s="2">
        <v>66512.0</v>
      </c>
      <c r="N8587" s="2" t="s">
        <v>21</v>
      </c>
    </row>
    <row r="8588" ht="15.75" customHeight="1">
      <c r="A8588" s="2">
        <v>2017.0</v>
      </c>
      <c r="B8588" s="2" t="s">
        <v>35597</v>
      </c>
      <c r="C8588" s="2" t="s">
        <v>35598</v>
      </c>
      <c r="D8588" s="2" t="str">
        <f>"6412042528"</f>
        <v>6412042528</v>
      </c>
      <c r="E8588" s="2" t="s">
        <v>651</v>
      </c>
      <c r="F8588" s="2" t="s">
        <v>2402</v>
      </c>
      <c r="G8588" s="2" t="str">
        <f>"SR-11474"</f>
        <v>SR-11474</v>
      </c>
      <c r="H8588" s="2" t="s">
        <v>35599</v>
      </c>
      <c r="I8588" s="2" t="s">
        <v>35600</v>
      </c>
      <c r="K8588" s="2" t="s">
        <v>18536</v>
      </c>
      <c r="L8588" s="2" t="s">
        <v>560</v>
      </c>
      <c r="M8588" s="2">
        <v>50219.0</v>
      </c>
      <c r="N8588" s="2" t="s">
        <v>21</v>
      </c>
    </row>
    <row r="8589" ht="15.75" customHeight="1">
      <c r="A8589" s="2">
        <v>2017.0</v>
      </c>
      <c r="B8589" s="2" t="s">
        <v>35601</v>
      </c>
      <c r="C8589" s="2" t="s">
        <v>25485</v>
      </c>
      <c r="D8589" s="2" t="str">
        <f>"(937) 705-5301"</f>
        <v>(937) 705-5301</v>
      </c>
      <c r="E8589" s="2" t="s">
        <v>456</v>
      </c>
      <c r="F8589" s="2" t="s">
        <v>1648</v>
      </c>
      <c r="G8589" s="2" t="str">
        <f>"SR-11370"</f>
        <v>SR-11370</v>
      </c>
      <c r="H8589" s="2" t="s">
        <v>35602</v>
      </c>
      <c r="I8589" s="2" t="s">
        <v>35603</v>
      </c>
      <c r="K8589" s="2" t="s">
        <v>3229</v>
      </c>
      <c r="L8589" s="2" t="s">
        <v>344</v>
      </c>
      <c r="M8589" s="2">
        <v>45036.0</v>
      </c>
      <c r="N8589" s="2" t="s">
        <v>21</v>
      </c>
    </row>
    <row r="8590" ht="15.75" customHeight="1">
      <c r="A8590" s="2">
        <v>2017.0</v>
      </c>
      <c r="B8590" s="2" t="s">
        <v>35604</v>
      </c>
      <c r="C8590" s="2" t="s">
        <v>35605</v>
      </c>
      <c r="D8590" s="2" t="str">
        <f>"8305914457"</f>
        <v>8305914457</v>
      </c>
      <c r="E8590" s="2" t="s">
        <v>868</v>
      </c>
      <c r="F8590" s="2" t="s">
        <v>1387</v>
      </c>
      <c r="G8590" s="2" t="str">
        <f>"SR-10464"</f>
        <v>SR-10464</v>
      </c>
      <c r="H8590" s="2" t="s">
        <v>35606</v>
      </c>
      <c r="I8590" s="2" t="s">
        <v>35607</v>
      </c>
      <c r="K8590" s="2" t="s">
        <v>10933</v>
      </c>
      <c r="L8590" s="2" t="s">
        <v>172</v>
      </c>
      <c r="M8590" s="2">
        <v>78801.0</v>
      </c>
      <c r="N8590" s="2" t="s">
        <v>21</v>
      </c>
    </row>
    <row r="8591" ht="15.75" customHeight="1">
      <c r="A8591" s="2">
        <v>2017.0</v>
      </c>
      <c r="B8591" s="2" t="s">
        <v>35608</v>
      </c>
      <c r="C8591" s="2" t="s">
        <v>35609</v>
      </c>
      <c r="D8591" s="2" t="str">
        <f>"865-966-3554"</f>
        <v>865-966-3554</v>
      </c>
      <c r="E8591" s="2" t="s">
        <v>590</v>
      </c>
      <c r="F8591" s="2" t="s">
        <v>35610</v>
      </c>
      <c r="G8591" s="2" t="str">
        <f>"SR-11394"</f>
        <v>SR-11394</v>
      </c>
      <c r="H8591" s="2" t="s">
        <v>35611</v>
      </c>
      <c r="I8591" s="2" t="s">
        <v>35612</v>
      </c>
      <c r="K8591" s="2" t="s">
        <v>6168</v>
      </c>
      <c r="L8591" s="2" t="s">
        <v>279</v>
      </c>
      <c r="M8591" s="2">
        <v>37932.0</v>
      </c>
      <c r="N8591" s="2" t="s">
        <v>21</v>
      </c>
    </row>
    <row r="8592" ht="15.75" customHeight="1">
      <c r="A8592" s="2">
        <v>2017.0</v>
      </c>
      <c r="B8592" s="2" t="s">
        <v>28640</v>
      </c>
      <c r="C8592" s="2" t="s">
        <v>35613</v>
      </c>
      <c r="D8592" s="2" t="str">
        <f>"907-745-5148"</f>
        <v>907-745-5148</v>
      </c>
      <c r="E8592" s="2" t="s">
        <v>1115</v>
      </c>
      <c r="F8592" s="2" t="s">
        <v>28208</v>
      </c>
      <c r="G8592" s="2" t="str">
        <f>"SR-11278"</f>
        <v>SR-11278</v>
      </c>
      <c r="H8592" s="2" t="s">
        <v>35614</v>
      </c>
      <c r="I8592" s="2" t="s">
        <v>28210</v>
      </c>
      <c r="K8592" s="2" t="s">
        <v>24289</v>
      </c>
      <c r="L8592" s="2" t="s">
        <v>70</v>
      </c>
      <c r="M8592" s="2">
        <v>99645.0</v>
      </c>
      <c r="N8592" s="2" t="s">
        <v>21</v>
      </c>
    </row>
    <row r="8593" ht="15.75" customHeight="1">
      <c r="A8593" s="2">
        <v>2017.0</v>
      </c>
      <c r="B8593" s="2" t="s">
        <v>35615</v>
      </c>
      <c r="C8593" s="2" t="s">
        <v>35616</v>
      </c>
      <c r="D8593" s="2" t="str">
        <f>"2138070882"</f>
        <v>2138070882</v>
      </c>
      <c r="E8593" s="2" t="s">
        <v>35617</v>
      </c>
      <c r="F8593" s="2" t="s">
        <v>35618</v>
      </c>
      <c r="G8593" s="2" t="str">
        <f>"SR-11482"</f>
        <v>SR-11482</v>
      </c>
      <c r="H8593" s="2" t="s">
        <v>35619</v>
      </c>
      <c r="I8593" s="2" t="s">
        <v>35620</v>
      </c>
      <c r="K8593" s="2" t="s">
        <v>809</v>
      </c>
      <c r="L8593" s="2" t="s">
        <v>157</v>
      </c>
      <c r="M8593" s="2">
        <v>80918.0</v>
      </c>
      <c r="N8593" s="2" t="s">
        <v>21</v>
      </c>
    </row>
    <row r="8594" ht="15.75" customHeight="1">
      <c r="A8594" s="2">
        <v>2017.0</v>
      </c>
      <c r="B8594" s="2" t="s">
        <v>35621</v>
      </c>
      <c r="C8594" s="2" t="s">
        <v>35622</v>
      </c>
      <c r="D8594" s="2" t="str">
        <f>"4032561501"</f>
        <v>4032561501</v>
      </c>
      <c r="E8594" s="2" t="s">
        <v>843</v>
      </c>
      <c r="F8594" s="2" t="s">
        <v>3320</v>
      </c>
      <c r="G8594" s="2" t="str">
        <f>"SR-11326"</f>
        <v>SR-11326</v>
      </c>
      <c r="H8594" s="2" t="s">
        <v>35623</v>
      </c>
      <c r="I8594" s="2" t="s">
        <v>35624</v>
      </c>
      <c r="K8594" s="2" t="s">
        <v>6725</v>
      </c>
      <c r="L8594" s="2" t="s">
        <v>2397</v>
      </c>
      <c r="N8594" s="2" t="s">
        <v>1602</v>
      </c>
    </row>
    <row r="8595" ht="15.75" customHeight="1">
      <c r="A8595" s="2">
        <v>2017.0</v>
      </c>
      <c r="B8595" s="2" t="s">
        <v>35625</v>
      </c>
      <c r="C8595" s="2" t="s">
        <v>35625</v>
      </c>
      <c r="D8595" s="2" t="str">
        <f>"004916099776492"</f>
        <v>004916099776492</v>
      </c>
      <c r="E8595" s="2" t="s">
        <v>23106</v>
      </c>
      <c r="F8595" s="2" t="s">
        <v>320</v>
      </c>
      <c r="G8595" s="2" t="str">
        <f>"SR-11434"</f>
        <v>SR-11434</v>
      </c>
      <c r="H8595" s="2" t="s">
        <v>35626</v>
      </c>
      <c r="I8595" s="2" t="s">
        <v>35627</v>
      </c>
      <c r="K8595" s="2" t="s">
        <v>35628</v>
      </c>
      <c r="N8595" s="2" t="s">
        <v>30008</v>
      </c>
    </row>
    <row r="8596" ht="15.75" customHeight="1">
      <c r="A8596" s="2">
        <v>2017.0</v>
      </c>
      <c r="B8596" s="2" t="s">
        <v>35629</v>
      </c>
      <c r="C8596" s="2" t="s">
        <v>35630</v>
      </c>
      <c r="D8596" s="2" t="str">
        <f>"4329671598"</f>
        <v>4329671598</v>
      </c>
      <c r="E8596" s="2" t="s">
        <v>35631</v>
      </c>
      <c r="F8596" s="2" t="s">
        <v>35632</v>
      </c>
      <c r="G8596" s="2" t="str">
        <f>"SR-11491"</f>
        <v>SR-11491</v>
      </c>
      <c r="H8596" s="2" t="s">
        <v>35633</v>
      </c>
      <c r="I8596" s="2" t="s">
        <v>35634</v>
      </c>
      <c r="K8596" s="2" t="s">
        <v>286</v>
      </c>
      <c r="L8596" s="2" t="s">
        <v>172</v>
      </c>
      <c r="M8596" s="2">
        <v>79706.0</v>
      </c>
      <c r="N8596" s="2" t="s">
        <v>21</v>
      </c>
    </row>
    <row r="8597" ht="15.75" customHeight="1">
      <c r="A8597" s="2">
        <v>2017.0</v>
      </c>
      <c r="B8597" s="2" t="s">
        <v>35448</v>
      </c>
      <c r="C8597" s="2" t="s">
        <v>35635</v>
      </c>
      <c r="D8597" s="2" t="str">
        <f>"8175656509"</f>
        <v>8175656509</v>
      </c>
      <c r="E8597" s="2" t="s">
        <v>1141</v>
      </c>
      <c r="F8597" s="2" t="s">
        <v>8649</v>
      </c>
      <c r="G8597" s="2" t="str">
        <f>"SR-11489"</f>
        <v>SR-11489</v>
      </c>
      <c r="H8597" s="2" t="s">
        <v>35636</v>
      </c>
      <c r="I8597" s="2" t="s">
        <v>35637</v>
      </c>
      <c r="K8597" s="2" t="s">
        <v>6017</v>
      </c>
      <c r="L8597" s="2" t="s">
        <v>172</v>
      </c>
      <c r="M8597" s="2">
        <v>76008.0</v>
      </c>
      <c r="N8597" s="2" t="s">
        <v>21</v>
      </c>
    </row>
    <row r="8598" ht="15.75" customHeight="1">
      <c r="A8598" s="2">
        <v>2017.0</v>
      </c>
      <c r="B8598" s="2" t="s">
        <v>24586</v>
      </c>
      <c r="C8598" s="2" t="s">
        <v>24586</v>
      </c>
      <c r="D8598" s="2" t="str">
        <f t="shared" ref="D8598:D8599" si="133">"505-281-1766"</f>
        <v>505-281-1766</v>
      </c>
      <c r="E8598" s="2" t="s">
        <v>1180</v>
      </c>
      <c r="F8598" s="2" t="s">
        <v>24587</v>
      </c>
      <c r="G8598" s="2" t="str">
        <f>"SR-7756"</f>
        <v>SR-7756</v>
      </c>
      <c r="H8598" s="2" t="s">
        <v>24588</v>
      </c>
      <c r="I8598" s="2" t="s">
        <v>24589</v>
      </c>
      <c r="K8598" s="2" t="s">
        <v>24590</v>
      </c>
      <c r="L8598" s="2" t="s">
        <v>789</v>
      </c>
      <c r="M8598" s="2">
        <v>87059.0</v>
      </c>
      <c r="N8598" s="2" t="s">
        <v>21</v>
      </c>
    </row>
    <row r="8599" ht="15.75" customHeight="1">
      <c r="A8599" s="2">
        <v>2017.0</v>
      </c>
      <c r="B8599" s="2" t="s">
        <v>24586</v>
      </c>
      <c r="C8599" s="2" t="s">
        <v>24586</v>
      </c>
      <c r="D8599" s="2" t="str">
        <f t="shared" si="133"/>
        <v>505-281-1766</v>
      </c>
      <c r="E8599" s="2" t="s">
        <v>580</v>
      </c>
      <c r="F8599" s="2" t="s">
        <v>24587</v>
      </c>
      <c r="G8599" s="2" t="str">
        <f>"SR-7758"</f>
        <v>SR-7758</v>
      </c>
      <c r="H8599" s="2" t="s">
        <v>24591</v>
      </c>
      <c r="I8599" s="2" t="s">
        <v>24589</v>
      </c>
      <c r="K8599" s="2" t="s">
        <v>24590</v>
      </c>
      <c r="L8599" s="2" t="s">
        <v>789</v>
      </c>
      <c r="M8599" s="2">
        <v>87059.0</v>
      </c>
      <c r="N8599" s="2" t="s">
        <v>21</v>
      </c>
    </row>
    <row r="8600" ht="15.75" customHeight="1">
      <c r="A8600" s="2">
        <v>2017.0</v>
      </c>
      <c r="B8600" s="2" t="s">
        <v>35638</v>
      </c>
      <c r="C8600" s="2" t="s">
        <v>35639</v>
      </c>
      <c r="D8600" s="2" t="str">
        <f>"915-346-8532"</f>
        <v>915-346-8532</v>
      </c>
      <c r="E8600" s="2" t="s">
        <v>35640</v>
      </c>
      <c r="F8600" s="2" t="s">
        <v>12784</v>
      </c>
      <c r="G8600" s="2" t="str">
        <f>"SR-11476"</f>
        <v>SR-11476</v>
      </c>
      <c r="H8600" s="2" t="s">
        <v>35641</v>
      </c>
      <c r="I8600" s="2" t="s">
        <v>35642</v>
      </c>
      <c r="J8600" s="2" t="s">
        <v>12787</v>
      </c>
      <c r="K8600" s="2" t="s">
        <v>12788</v>
      </c>
      <c r="L8600" s="2" t="s">
        <v>172</v>
      </c>
      <c r="M8600" s="2">
        <v>79853.0</v>
      </c>
      <c r="N8600" s="2" t="s">
        <v>21</v>
      </c>
    </row>
    <row r="8601" ht="15.75" customHeight="1">
      <c r="A8601" s="2">
        <v>2017.0</v>
      </c>
      <c r="B8601" s="2" t="s">
        <v>12041</v>
      </c>
      <c r="C8601" s="2" t="s">
        <v>35643</v>
      </c>
      <c r="D8601" s="2" t="str">
        <f>"9157909690"</f>
        <v>9157909690</v>
      </c>
      <c r="E8601" s="2" t="s">
        <v>13731</v>
      </c>
      <c r="F8601" s="2" t="s">
        <v>35644</v>
      </c>
      <c r="G8601" s="2" t="str">
        <f>"SR-11483"</f>
        <v>SR-11483</v>
      </c>
      <c r="H8601" s="2" t="s">
        <v>35645</v>
      </c>
      <c r="I8601" s="2" t="s">
        <v>35646</v>
      </c>
      <c r="J8601" s="2" t="s">
        <v>12046</v>
      </c>
      <c r="K8601" s="2" t="s">
        <v>12047</v>
      </c>
      <c r="L8601" s="2" t="s">
        <v>172</v>
      </c>
      <c r="M8601" s="2">
        <v>79838.0</v>
      </c>
      <c r="N8601" s="2" t="s">
        <v>21</v>
      </c>
    </row>
    <row r="8602" ht="15.75" customHeight="1">
      <c r="A8602" s="2">
        <v>2017.0</v>
      </c>
      <c r="B8602" s="2" t="s">
        <v>35448</v>
      </c>
      <c r="C8602" s="2" t="s">
        <v>35647</v>
      </c>
      <c r="D8602" s="2" t="str">
        <f>"8176919423"</f>
        <v>8176919423</v>
      </c>
      <c r="E8602" s="2" t="s">
        <v>35648</v>
      </c>
      <c r="F8602" s="2" t="s">
        <v>29470</v>
      </c>
      <c r="G8602" s="2" t="str">
        <f>"SR-11430"</f>
        <v>SR-11430</v>
      </c>
      <c r="H8602" s="2" t="s">
        <v>35649</v>
      </c>
      <c r="I8602" s="2" t="s">
        <v>35650</v>
      </c>
      <c r="K8602" s="2" t="s">
        <v>6017</v>
      </c>
      <c r="L8602" s="2" t="s">
        <v>172</v>
      </c>
      <c r="M8602" s="2">
        <v>76008.0</v>
      </c>
      <c r="N8602" s="2" t="s">
        <v>21</v>
      </c>
    </row>
    <row r="8603" ht="15.75" customHeight="1">
      <c r="A8603" s="2">
        <v>2017.0</v>
      </c>
      <c r="B8603" s="2" t="s">
        <v>35448</v>
      </c>
      <c r="C8603" s="2" t="s">
        <v>35651</v>
      </c>
      <c r="D8603" s="2" t="str">
        <f>"(817) 291-7644"</f>
        <v>(817) 291-7644</v>
      </c>
      <c r="E8603" s="2" t="s">
        <v>580</v>
      </c>
      <c r="F8603" s="2" t="s">
        <v>35652</v>
      </c>
      <c r="G8603" s="2" t="str">
        <f>"SR-11500"</f>
        <v>SR-11500</v>
      </c>
      <c r="H8603" s="2" t="s">
        <v>35653</v>
      </c>
      <c r="I8603" s="2" t="s">
        <v>35654</v>
      </c>
      <c r="K8603" s="2" t="s">
        <v>1260</v>
      </c>
      <c r="L8603" s="2" t="s">
        <v>172</v>
      </c>
      <c r="M8603" s="2">
        <v>76116.0</v>
      </c>
      <c r="N8603" s="2" t="s">
        <v>21</v>
      </c>
    </row>
    <row r="8604" ht="15.75" customHeight="1">
      <c r="A8604" s="2">
        <v>2017.0</v>
      </c>
      <c r="B8604" s="2" t="s">
        <v>35655</v>
      </c>
      <c r="C8604" s="2" t="s">
        <v>35656</v>
      </c>
      <c r="D8604" s="2" t="str">
        <f>"303-642-0831"</f>
        <v>303-642-0831</v>
      </c>
      <c r="E8604" s="2" t="s">
        <v>1799</v>
      </c>
      <c r="F8604" s="2" t="s">
        <v>2465</v>
      </c>
      <c r="G8604" s="2" t="str">
        <f>"SR-11499"</f>
        <v>SR-11499</v>
      </c>
      <c r="H8604" s="2" t="s">
        <v>35657</v>
      </c>
      <c r="I8604" s="2" t="s">
        <v>35658</v>
      </c>
      <c r="K8604" s="2" t="s">
        <v>35659</v>
      </c>
      <c r="L8604" s="2" t="s">
        <v>157</v>
      </c>
      <c r="M8604" s="2">
        <v>80022.0</v>
      </c>
      <c r="N8604" s="2" t="s">
        <v>21</v>
      </c>
    </row>
    <row r="8605" ht="15.75" customHeight="1">
      <c r="A8605" s="2">
        <v>2017.0</v>
      </c>
      <c r="B8605" s="2" t="s">
        <v>35660</v>
      </c>
      <c r="C8605" s="2" t="s">
        <v>35660</v>
      </c>
      <c r="D8605" s="2" t="str">
        <f>"4322968587"</f>
        <v>4322968587</v>
      </c>
      <c r="E8605" s="2" t="s">
        <v>4097</v>
      </c>
      <c r="F8605" s="2" t="s">
        <v>5808</v>
      </c>
      <c r="G8605" s="2" t="str">
        <f>"SR-11427"</f>
        <v>SR-11427</v>
      </c>
      <c r="H8605" s="2" t="s">
        <v>35661</v>
      </c>
      <c r="I8605" s="2" t="s">
        <v>35662</v>
      </c>
      <c r="K8605" s="2" t="s">
        <v>286</v>
      </c>
      <c r="L8605" s="2" t="s">
        <v>172</v>
      </c>
      <c r="M8605" s="2">
        <v>79703.0</v>
      </c>
      <c r="N8605" s="2" t="s">
        <v>21</v>
      </c>
    </row>
    <row r="8606" ht="15.75" customHeight="1">
      <c r="A8606" s="2">
        <v>2017.0</v>
      </c>
      <c r="B8606" s="2" t="s">
        <v>35663</v>
      </c>
      <c r="C8606" s="2" t="s">
        <v>35664</v>
      </c>
      <c r="D8606" s="2" t="str">
        <f>"209-612-8312"</f>
        <v>209-612-8312</v>
      </c>
      <c r="E8606" s="2" t="s">
        <v>14431</v>
      </c>
      <c r="F8606" s="2" t="s">
        <v>35665</v>
      </c>
      <c r="G8606" s="2" t="str">
        <f>"SR-11365"</f>
        <v>SR-11365</v>
      </c>
      <c r="H8606" s="2" t="s">
        <v>35666</v>
      </c>
      <c r="I8606" s="2" t="s">
        <v>35667</v>
      </c>
      <c r="K8606" s="2" t="s">
        <v>35668</v>
      </c>
      <c r="L8606" s="2" t="s">
        <v>222</v>
      </c>
      <c r="M8606" s="2">
        <v>95206.0</v>
      </c>
      <c r="N8606" s="2" t="s">
        <v>21</v>
      </c>
    </row>
    <row r="8607" ht="15.75" customHeight="1">
      <c r="A8607" s="2">
        <v>2017.0</v>
      </c>
      <c r="B8607" s="2" t="s">
        <v>35669</v>
      </c>
      <c r="C8607" s="2" t="s">
        <v>35669</v>
      </c>
      <c r="D8607" s="2" t="str">
        <f>"(210) 465-5787"</f>
        <v>(210) 465-5787</v>
      </c>
      <c r="E8607" s="2" t="s">
        <v>678</v>
      </c>
      <c r="F8607" s="2" t="s">
        <v>711</v>
      </c>
      <c r="G8607" s="2" t="str">
        <f>"SR-11475"</f>
        <v>SR-11475</v>
      </c>
      <c r="H8607" s="2" t="s">
        <v>35670</v>
      </c>
      <c r="I8607" s="2" t="s">
        <v>35671</v>
      </c>
      <c r="K8607" s="2" t="s">
        <v>286</v>
      </c>
      <c r="L8607" s="2" t="s">
        <v>172</v>
      </c>
      <c r="M8607" s="2">
        <v>79705.0</v>
      </c>
      <c r="N8607" s="2" t="s">
        <v>21</v>
      </c>
    </row>
    <row r="8608" ht="15.75" customHeight="1">
      <c r="A8608" s="2">
        <v>2017.0</v>
      </c>
      <c r="B8608" s="2" t="s">
        <v>35672</v>
      </c>
      <c r="C8608" s="2" t="s">
        <v>35672</v>
      </c>
      <c r="D8608" s="2" t="str">
        <f>"4234838128"</f>
        <v>4234838128</v>
      </c>
      <c r="E8608" s="2" t="s">
        <v>3888</v>
      </c>
      <c r="F8608" s="2" t="s">
        <v>7953</v>
      </c>
      <c r="G8608" s="2" t="str">
        <f>"SR-11502"</f>
        <v>SR-11502</v>
      </c>
      <c r="H8608" s="2" t="s">
        <v>35673</v>
      </c>
      <c r="I8608" s="2" t="s">
        <v>35674</v>
      </c>
      <c r="K8608" s="2" t="s">
        <v>29965</v>
      </c>
      <c r="L8608" s="2" t="s">
        <v>279</v>
      </c>
      <c r="M8608" s="2">
        <v>37604.0</v>
      </c>
      <c r="N8608" s="2" t="s">
        <v>21</v>
      </c>
    </row>
    <row r="8609" ht="15.75" customHeight="1">
      <c r="A8609" s="2">
        <v>2017.0</v>
      </c>
      <c r="B8609" s="2" t="s">
        <v>35448</v>
      </c>
      <c r="C8609" s="2" t="s">
        <v>35675</v>
      </c>
      <c r="D8609" s="2" t="str">
        <f>"8176578501"</f>
        <v>8176578501</v>
      </c>
      <c r="E8609" s="2" t="s">
        <v>890</v>
      </c>
      <c r="F8609" s="2" t="s">
        <v>27115</v>
      </c>
      <c r="G8609" s="2" t="str">
        <f>"SR-11488"</f>
        <v>SR-11488</v>
      </c>
      <c r="H8609" s="2" t="s">
        <v>35676</v>
      </c>
      <c r="I8609" s="2" t="s">
        <v>35677</v>
      </c>
      <c r="K8609" s="2" t="s">
        <v>35678</v>
      </c>
      <c r="L8609" s="2" t="s">
        <v>172</v>
      </c>
      <c r="M8609" s="2">
        <v>76137.0</v>
      </c>
      <c r="N8609" s="2" t="s">
        <v>21</v>
      </c>
    </row>
    <row r="8610" ht="15.75" customHeight="1">
      <c r="A8610" s="2">
        <v>2017.0</v>
      </c>
      <c r="B8610" s="2" t="s">
        <v>35679</v>
      </c>
      <c r="C8610" s="2" t="s">
        <v>35680</v>
      </c>
      <c r="D8610" s="2" t="str">
        <f>"334-514-5958"</f>
        <v>334-514-5958</v>
      </c>
      <c r="E8610" s="2" t="s">
        <v>1782</v>
      </c>
      <c r="F8610" s="2" t="s">
        <v>7480</v>
      </c>
      <c r="G8610" s="2" t="str">
        <f>"SR-11513"</f>
        <v>SR-11513</v>
      </c>
      <c r="H8610" s="2" t="s">
        <v>35681</v>
      </c>
      <c r="I8610" s="2" t="s">
        <v>35682</v>
      </c>
      <c r="K8610" s="2" t="s">
        <v>35683</v>
      </c>
      <c r="L8610" s="2" t="s">
        <v>539</v>
      </c>
      <c r="M8610" s="2">
        <v>36093.0</v>
      </c>
      <c r="N8610" s="2" t="s">
        <v>21</v>
      </c>
    </row>
    <row r="8611" ht="15.75" customHeight="1">
      <c r="A8611" s="2">
        <v>2017.0</v>
      </c>
      <c r="B8611" s="2" t="s">
        <v>35684</v>
      </c>
      <c r="C8611" s="2" t="s">
        <v>35684</v>
      </c>
      <c r="D8611" s="2" t="str">
        <f>"3187290357"</f>
        <v>3187290357</v>
      </c>
      <c r="E8611" s="2" t="s">
        <v>4111</v>
      </c>
      <c r="F8611" s="2" t="s">
        <v>35685</v>
      </c>
      <c r="G8611" s="2" t="str">
        <f>"SR-10909"</f>
        <v>SR-10909</v>
      </c>
      <c r="H8611" s="2" t="s">
        <v>35686</v>
      </c>
      <c r="I8611" s="2" t="s">
        <v>35687</v>
      </c>
      <c r="K8611" s="2" t="s">
        <v>35688</v>
      </c>
      <c r="L8611" s="2" t="s">
        <v>715</v>
      </c>
      <c r="M8611" s="2">
        <v>70662.0</v>
      </c>
      <c r="N8611" s="2" t="s">
        <v>21</v>
      </c>
    </row>
    <row r="8612" ht="15.75" customHeight="1">
      <c r="A8612" s="2">
        <v>2017.0</v>
      </c>
      <c r="B8612" s="2" t="s">
        <v>35689</v>
      </c>
      <c r="C8612" s="2" t="s">
        <v>35689</v>
      </c>
      <c r="D8612" s="2" t="str">
        <f>"2056214482"</f>
        <v>2056214482</v>
      </c>
      <c r="E8612" s="2" t="s">
        <v>926</v>
      </c>
      <c r="F8612" s="2" t="s">
        <v>1151</v>
      </c>
      <c r="G8612" s="2" t="str">
        <f>"SR-11419"</f>
        <v>SR-11419</v>
      </c>
      <c r="H8612" s="2" t="s">
        <v>35690</v>
      </c>
      <c r="I8612" s="2" t="s">
        <v>35691</v>
      </c>
      <c r="K8612" s="2" t="s">
        <v>11007</v>
      </c>
      <c r="L8612" s="2" t="s">
        <v>539</v>
      </c>
      <c r="M8612" s="2">
        <v>35007.0</v>
      </c>
      <c r="N8612" s="2" t="s">
        <v>21</v>
      </c>
    </row>
    <row r="8613" ht="15.75" customHeight="1">
      <c r="A8613" s="2">
        <v>2017.0</v>
      </c>
      <c r="B8613" s="2" t="s">
        <v>35692</v>
      </c>
      <c r="C8613" s="2" t="s">
        <v>35692</v>
      </c>
      <c r="D8613" s="2" t="str">
        <f>"6033596874"</f>
        <v>6033596874</v>
      </c>
      <c r="E8613" s="2" t="s">
        <v>8039</v>
      </c>
      <c r="F8613" s="2" t="s">
        <v>35693</v>
      </c>
      <c r="G8613" s="2" t="str">
        <f>"SR-11512"</f>
        <v>SR-11512</v>
      </c>
      <c r="H8613" s="2" t="s">
        <v>35694</v>
      </c>
      <c r="I8613" s="2" t="s">
        <v>35695</v>
      </c>
      <c r="K8613" s="2" t="s">
        <v>330</v>
      </c>
      <c r="L8613" s="2" t="s">
        <v>208</v>
      </c>
      <c r="M8613" s="2">
        <v>34293.0</v>
      </c>
      <c r="N8613" s="2" t="s">
        <v>21</v>
      </c>
    </row>
    <row r="8614" ht="15.75" customHeight="1">
      <c r="A8614" s="2">
        <v>2017.0</v>
      </c>
      <c r="B8614" s="2" t="s">
        <v>35696</v>
      </c>
      <c r="C8614" s="2" t="s">
        <v>35697</v>
      </c>
      <c r="D8614" s="2" t="str">
        <f>"(915) 822-1417"</f>
        <v>(915) 822-1417</v>
      </c>
      <c r="E8614" s="2" t="s">
        <v>3173</v>
      </c>
      <c r="F8614" s="2" t="s">
        <v>35698</v>
      </c>
      <c r="G8614" s="2" t="str">
        <f>"SR-11413"</f>
        <v>SR-11413</v>
      </c>
      <c r="H8614" s="2" t="s">
        <v>35699</v>
      </c>
      <c r="I8614" s="2" t="s">
        <v>35700</v>
      </c>
      <c r="K8614" s="2" t="s">
        <v>21247</v>
      </c>
      <c r="L8614" s="2" t="s">
        <v>172</v>
      </c>
      <c r="M8614" s="2">
        <v>79934.0</v>
      </c>
      <c r="N8614" s="2" t="s">
        <v>21</v>
      </c>
    </row>
    <row r="8615" ht="15.75" customHeight="1">
      <c r="A8615" s="2">
        <v>2017.0</v>
      </c>
      <c r="B8615" s="2" t="s">
        <v>35448</v>
      </c>
      <c r="C8615" s="2" t="s">
        <v>35701</v>
      </c>
      <c r="D8615" s="2" t="str">
        <f>"(817) 888-1301"</f>
        <v>(817) 888-1301</v>
      </c>
      <c r="E8615" s="2" t="s">
        <v>6606</v>
      </c>
      <c r="F8615" s="2" t="s">
        <v>3603</v>
      </c>
      <c r="G8615" s="2" t="str">
        <f>"SR-11311"</f>
        <v>SR-11311</v>
      </c>
      <c r="H8615" s="2" t="s">
        <v>35702</v>
      </c>
      <c r="I8615" s="2" t="s">
        <v>35703</v>
      </c>
      <c r="K8615" s="2" t="s">
        <v>6017</v>
      </c>
      <c r="L8615" s="2" t="s">
        <v>172</v>
      </c>
      <c r="M8615" s="2">
        <v>76008.0</v>
      </c>
      <c r="N8615" s="2" t="s">
        <v>21</v>
      </c>
    </row>
    <row r="8616" ht="15.75" customHeight="1">
      <c r="A8616" s="2">
        <v>2017.0</v>
      </c>
      <c r="B8616" s="2" t="s">
        <v>35704</v>
      </c>
      <c r="C8616" s="2" t="s">
        <v>35705</v>
      </c>
      <c r="D8616" s="2" t="str">
        <f>"408-530-1934"</f>
        <v>408-530-1934</v>
      </c>
      <c r="E8616" s="2" t="s">
        <v>3434</v>
      </c>
      <c r="F8616" s="2" t="s">
        <v>4507</v>
      </c>
      <c r="G8616" s="2" t="str">
        <f>"SR-11484"</f>
        <v>SR-11484</v>
      </c>
      <c r="H8616" s="2" t="s">
        <v>35706</v>
      </c>
      <c r="I8616" s="2" t="s">
        <v>35707</v>
      </c>
      <c r="K8616" s="2" t="s">
        <v>7555</v>
      </c>
      <c r="L8616" s="2" t="s">
        <v>222</v>
      </c>
      <c r="M8616" s="2">
        <v>94087.0</v>
      </c>
      <c r="N8616" s="2" t="s">
        <v>21</v>
      </c>
    </row>
    <row r="8617" ht="15.75" customHeight="1">
      <c r="A8617" s="2">
        <v>2017.0</v>
      </c>
      <c r="B8617" s="2" t="s">
        <v>35708</v>
      </c>
      <c r="C8617" s="2" t="s">
        <v>35709</v>
      </c>
      <c r="D8617" s="2" t="str">
        <f>"3032102568"</f>
        <v>3032102568</v>
      </c>
      <c r="E8617" s="2" t="s">
        <v>35710</v>
      </c>
      <c r="F8617" s="2" t="s">
        <v>2841</v>
      </c>
      <c r="G8617" s="2" t="str">
        <f>"SR-10990"</f>
        <v>SR-10990</v>
      </c>
      <c r="H8617" s="2" t="s">
        <v>35711</v>
      </c>
      <c r="I8617" s="2" t="s">
        <v>35712</v>
      </c>
      <c r="K8617" s="2" t="s">
        <v>1520</v>
      </c>
      <c r="L8617" s="2" t="s">
        <v>157</v>
      </c>
      <c r="M8617" s="2">
        <v>80016.0</v>
      </c>
      <c r="N8617" s="2" t="s">
        <v>21</v>
      </c>
    </row>
    <row r="8618" ht="15.75" customHeight="1">
      <c r="A8618" s="2">
        <v>2017.0</v>
      </c>
      <c r="B8618" s="2" t="s">
        <v>35713</v>
      </c>
      <c r="C8618" s="2" t="s">
        <v>35713</v>
      </c>
      <c r="D8618" s="2" t="str">
        <f>"714-665-0904"</f>
        <v>714-665-0904</v>
      </c>
      <c r="E8618" s="2" t="s">
        <v>282</v>
      </c>
      <c r="F8618" s="2" t="s">
        <v>28440</v>
      </c>
      <c r="G8618" s="2" t="str">
        <f>"SR-11301"</f>
        <v>SR-11301</v>
      </c>
      <c r="H8618" s="2" t="s">
        <v>28441</v>
      </c>
      <c r="I8618" s="2" t="s">
        <v>28442</v>
      </c>
      <c r="K8618" s="2" t="s">
        <v>22290</v>
      </c>
      <c r="L8618" s="2" t="s">
        <v>222</v>
      </c>
      <c r="M8618" s="2">
        <v>92782.0</v>
      </c>
      <c r="N8618" s="2" t="s">
        <v>21</v>
      </c>
    </row>
    <row r="8619" ht="15.75" customHeight="1">
      <c r="A8619" s="2">
        <v>2017.0</v>
      </c>
      <c r="B8619" s="2" t="s">
        <v>35679</v>
      </c>
      <c r="C8619" s="2" t="s">
        <v>35714</v>
      </c>
      <c r="D8619" s="2" t="str">
        <f>"334-322-8054"</f>
        <v>334-322-8054</v>
      </c>
      <c r="E8619" s="2" t="s">
        <v>385</v>
      </c>
      <c r="F8619" s="2" t="s">
        <v>35715</v>
      </c>
      <c r="G8619" s="2" t="str">
        <f>"SR-11522"</f>
        <v>SR-11522</v>
      </c>
      <c r="H8619" s="2" t="s">
        <v>35716</v>
      </c>
      <c r="I8619" s="2" t="s">
        <v>35717</v>
      </c>
      <c r="K8619" s="2" t="s">
        <v>35683</v>
      </c>
      <c r="L8619" s="2" t="s">
        <v>539</v>
      </c>
      <c r="M8619" s="2">
        <v>36093.0</v>
      </c>
      <c r="N8619" s="2" t="s">
        <v>21</v>
      </c>
    </row>
    <row r="8620" ht="15.75" customHeight="1">
      <c r="A8620" s="2">
        <v>2017.0</v>
      </c>
      <c r="B8620" s="2" t="s">
        <v>35448</v>
      </c>
      <c r="C8620" s="2" t="s">
        <v>22079</v>
      </c>
      <c r="D8620" s="2" t="str">
        <f>"8179460691"</f>
        <v>8179460691</v>
      </c>
      <c r="E8620" s="2" t="s">
        <v>638</v>
      </c>
      <c r="F8620" s="2" t="s">
        <v>14146</v>
      </c>
      <c r="G8620" s="2" t="str">
        <f>"SR-11498"</f>
        <v>SR-11498</v>
      </c>
      <c r="H8620" s="2" t="s">
        <v>35718</v>
      </c>
      <c r="I8620" s="2" t="s">
        <v>35719</v>
      </c>
      <c r="K8620" s="2" t="s">
        <v>6017</v>
      </c>
      <c r="L8620" s="2" t="s">
        <v>172</v>
      </c>
      <c r="M8620" s="2">
        <v>76008.0</v>
      </c>
      <c r="N8620" s="2" t="s">
        <v>21</v>
      </c>
    </row>
    <row r="8621" ht="15.75" customHeight="1">
      <c r="A8621" s="2">
        <v>2017.0</v>
      </c>
      <c r="B8621" s="2" t="s">
        <v>35720</v>
      </c>
      <c r="C8621" s="2" t="s">
        <v>35720</v>
      </c>
      <c r="D8621" s="2" t="str">
        <f>"308-233-2113"</f>
        <v>308-233-2113</v>
      </c>
      <c r="E8621" s="2" t="s">
        <v>11107</v>
      </c>
      <c r="F8621" s="2" t="s">
        <v>320</v>
      </c>
      <c r="G8621" s="2" t="str">
        <f>"SR-11436"</f>
        <v>SR-11436</v>
      </c>
      <c r="H8621" s="2" t="s">
        <v>35721</v>
      </c>
      <c r="I8621" s="2" t="s">
        <v>35722</v>
      </c>
      <c r="J8621" s="2" t="s">
        <v>35723</v>
      </c>
      <c r="K8621" s="2" t="s">
        <v>35724</v>
      </c>
      <c r="L8621" s="2" t="s">
        <v>757</v>
      </c>
      <c r="M8621" s="2">
        <v>68876.0</v>
      </c>
      <c r="N8621" s="2" t="s">
        <v>21</v>
      </c>
    </row>
    <row r="8622" ht="15.75" customHeight="1">
      <c r="A8622" s="2">
        <v>2017.0</v>
      </c>
      <c r="B8622" s="2" t="s">
        <v>35725</v>
      </c>
      <c r="C8622" s="2" t="s">
        <v>35726</v>
      </c>
      <c r="D8622" s="2" t="str">
        <f>"2165716981"</f>
        <v>2165716981</v>
      </c>
      <c r="E8622" s="2" t="s">
        <v>3305</v>
      </c>
      <c r="F8622" s="2" t="s">
        <v>35727</v>
      </c>
      <c r="G8622" s="2" t="str">
        <f>"SR-11507"</f>
        <v>SR-11507</v>
      </c>
      <c r="H8622" s="2" t="s">
        <v>35728</v>
      </c>
      <c r="I8622" s="2" t="s">
        <v>35729</v>
      </c>
      <c r="K8622" s="2" t="s">
        <v>30588</v>
      </c>
      <c r="L8622" s="2" t="s">
        <v>344</v>
      </c>
      <c r="M8622" s="2">
        <v>45066.0</v>
      </c>
      <c r="N8622" s="2" t="s">
        <v>21</v>
      </c>
    </row>
    <row r="8623" ht="15.75" customHeight="1">
      <c r="A8623" s="2">
        <v>2017.0</v>
      </c>
      <c r="B8623" s="2" t="s">
        <v>35730</v>
      </c>
      <c r="C8623" s="2" t="s">
        <v>35731</v>
      </c>
      <c r="D8623" s="2" t="str">
        <f>"972-867-6171"</f>
        <v>972-867-6171</v>
      </c>
      <c r="E8623" s="2" t="s">
        <v>456</v>
      </c>
      <c r="F8623" s="2" t="s">
        <v>35732</v>
      </c>
      <c r="G8623" s="2" t="str">
        <f>"SR-11214"</f>
        <v>SR-11214</v>
      </c>
      <c r="H8623" s="2" t="s">
        <v>35733</v>
      </c>
      <c r="I8623" s="2" t="s">
        <v>35734</v>
      </c>
      <c r="K8623" s="2" t="s">
        <v>1255</v>
      </c>
      <c r="L8623" s="2" t="s">
        <v>172</v>
      </c>
      <c r="M8623" s="2">
        <v>75252.0</v>
      </c>
      <c r="N8623" s="2" t="s">
        <v>21</v>
      </c>
    </row>
    <row r="8624" ht="15.75" customHeight="1">
      <c r="A8624" s="2">
        <v>2017.0</v>
      </c>
      <c r="B8624" s="2" t="s">
        <v>35735</v>
      </c>
      <c r="C8624" s="2" t="s">
        <v>35736</v>
      </c>
      <c r="D8624" s="2" t="str">
        <f>"307-431-5167"</f>
        <v>307-431-5167</v>
      </c>
      <c r="E8624" s="2" t="s">
        <v>4749</v>
      </c>
      <c r="F8624" s="2" t="s">
        <v>962</v>
      </c>
      <c r="G8624" s="2" t="str">
        <f>"SR-11138"</f>
        <v>SR-11138</v>
      </c>
      <c r="H8624" s="2" t="s">
        <v>31115</v>
      </c>
      <c r="I8624" s="2" t="s">
        <v>35737</v>
      </c>
      <c r="K8624" s="2" t="s">
        <v>11259</v>
      </c>
      <c r="L8624" s="2" t="s">
        <v>1540</v>
      </c>
      <c r="M8624" s="2">
        <v>82420.0</v>
      </c>
      <c r="N8624" s="2" t="s">
        <v>21</v>
      </c>
    </row>
    <row r="8625" ht="15.75" customHeight="1">
      <c r="A8625" s="2">
        <v>2017.0</v>
      </c>
      <c r="B8625" s="2" t="s">
        <v>35738</v>
      </c>
      <c r="C8625" s="2" t="s">
        <v>35739</v>
      </c>
      <c r="D8625" s="2" t="str">
        <f>"912-286-3465"</f>
        <v>912-286-3465</v>
      </c>
      <c r="E8625" s="2" t="s">
        <v>1702</v>
      </c>
      <c r="F8625" s="2" t="s">
        <v>1773</v>
      </c>
      <c r="G8625" s="2" t="str">
        <f>"SR-11473"</f>
        <v>SR-11473</v>
      </c>
      <c r="H8625" s="2" t="s">
        <v>35740</v>
      </c>
      <c r="I8625" s="2">
        <v>310.0</v>
      </c>
      <c r="J8625" s="2" t="s">
        <v>35741</v>
      </c>
      <c r="K8625" s="2" t="s">
        <v>3754</v>
      </c>
      <c r="L8625" s="2" t="s">
        <v>200</v>
      </c>
      <c r="M8625" s="2">
        <v>31510.0</v>
      </c>
      <c r="N8625" s="2" t="s">
        <v>21</v>
      </c>
    </row>
    <row r="8626" ht="15.75" customHeight="1">
      <c r="A8626" s="2">
        <v>2017.0</v>
      </c>
      <c r="B8626" s="2" t="s">
        <v>35742</v>
      </c>
      <c r="C8626" s="2" t="s">
        <v>35743</v>
      </c>
      <c r="D8626" s="2" t="str">
        <f>"3076731565"</f>
        <v>3076731565</v>
      </c>
      <c r="E8626" s="2" t="s">
        <v>843</v>
      </c>
      <c r="F8626" s="2" t="s">
        <v>35744</v>
      </c>
      <c r="G8626" s="2" t="str">
        <f>"SR-10062"</f>
        <v>SR-10062</v>
      </c>
      <c r="H8626" s="2" t="s">
        <v>35745</v>
      </c>
      <c r="I8626" s="2" t="s">
        <v>35746</v>
      </c>
      <c r="K8626" s="2" t="s">
        <v>2695</v>
      </c>
      <c r="L8626" s="2" t="s">
        <v>1540</v>
      </c>
      <c r="M8626" s="2">
        <v>82801.0</v>
      </c>
      <c r="N8626" s="2" t="s">
        <v>21</v>
      </c>
    </row>
    <row r="8627" ht="15.75" customHeight="1">
      <c r="A8627" s="2">
        <v>2017.0</v>
      </c>
      <c r="B8627" s="2" t="s">
        <v>35747</v>
      </c>
      <c r="C8627" s="2" t="s">
        <v>35748</v>
      </c>
      <c r="D8627" s="2" t="str">
        <f>"9316283177"</f>
        <v>9316283177</v>
      </c>
      <c r="E8627" s="2" t="s">
        <v>4406</v>
      </c>
      <c r="F8627" s="2" t="s">
        <v>19878</v>
      </c>
      <c r="G8627" s="2" t="str">
        <f>"SR-11523"</f>
        <v>SR-11523</v>
      </c>
      <c r="H8627" s="2" t="s">
        <v>35749</v>
      </c>
      <c r="I8627" s="2" t="s">
        <v>35750</v>
      </c>
      <c r="K8627" s="2" t="s">
        <v>35751</v>
      </c>
      <c r="L8627" s="2" t="s">
        <v>279</v>
      </c>
      <c r="M8627" s="2">
        <v>38462.0</v>
      </c>
      <c r="N8627" s="2" t="s">
        <v>21</v>
      </c>
    </row>
    <row r="8628" ht="15.75" customHeight="1">
      <c r="A8628" s="2">
        <v>2017.0</v>
      </c>
      <c r="B8628" s="2" t="s">
        <v>35169</v>
      </c>
      <c r="C8628" s="2" t="s">
        <v>35752</v>
      </c>
      <c r="D8628" s="2" t="str">
        <f>"4066330360"</f>
        <v>4066330360</v>
      </c>
      <c r="E8628" s="2" t="s">
        <v>3888</v>
      </c>
      <c r="F8628" s="2" t="s">
        <v>666</v>
      </c>
      <c r="G8628" s="2" t="str">
        <f>"SR-11319"</f>
        <v>SR-11319</v>
      </c>
      <c r="H8628" s="2" t="s">
        <v>35753</v>
      </c>
      <c r="I8628" s="2" t="s">
        <v>35754</v>
      </c>
      <c r="K8628" s="2" t="s">
        <v>3548</v>
      </c>
      <c r="L8628" s="2" t="s">
        <v>2696</v>
      </c>
      <c r="M8628" s="2">
        <v>59106.0</v>
      </c>
      <c r="N8628" s="2" t="s">
        <v>21</v>
      </c>
    </row>
    <row r="8629" ht="15.75" customHeight="1">
      <c r="A8629" s="2">
        <v>2017.0</v>
      </c>
      <c r="B8629" s="2" t="s">
        <v>35755</v>
      </c>
      <c r="C8629" s="2" t="s">
        <v>35756</v>
      </c>
      <c r="D8629" s="2" t="str">
        <f>"9283999445"</f>
        <v>9283999445</v>
      </c>
      <c r="E8629" s="2" t="s">
        <v>1208</v>
      </c>
      <c r="F8629" s="2" t="s">
        <v>35757</v>
      </c>
      <c r="G8629" s="2" t="str">
        <f>"SR-11518"</f>
        <v>SR-11518</v>
      </c>
      <c r="H8629" s="2" t="s">
        <v>35758</v>
      </c>
      <c r="I8629" s="2" t="s">
        <v>35759</v>
      </c>
      <c r="K8629" s="2" t="s">
        <v>8673</v>
      </c>
      <c r="L8629" s="2" t="s">
        <v>422</v>
      </c>
      <c r="M8629" s="2">
        <v>85929.0</v>
      </c>
      <c r="N8629" s="2" t="s">
        <v>21</v>
      </c>
    </row>
    <row r="8630" ht="15.75" customHeight="1">
      <c r="A8630" s="2">
        <v>2017.0</v>
      </c>
      <c r="B8630" s="2" t="s">
        <v>35755</v>
      </c>
      <c r="C8630" s="2" t="s">
        <v>35760</v>
      </c>
      <c r="D8630" s="2" t="str">
        <f>"9282996126"</f>
        <v>9282996126</v>
      </c>
      <c r="E8630" s="2" t="s">
        <v>5858</v>
      </c>
      <c r="F8630" s="2" t="s">
        <v>35757</v>
      </c>
      <c r="G8630" s="2" t="str">
        <f>"SR-11519"</f>
        <v>SR-11519</v>
      </c>
      <c r="H8630" s="2" t="s">
        <v>35761</v>
      </c>
      <c r="I8630" s="2" t="s">
        <v>35759</v>
      </c>
      <c r="K8630" s="2" t="s">
        <v>8673</v>
      </c>
      <c r="L8630" s="2" t="s">
        <v>422</v>
      </c>
      <c r="M8630" s="2">
        <v>85929.0</v>
      </c>
      <c r="N8630" s="2" t="s">
        <v>21</v>
      </c>
    </row>
    <row r="8631" ht="15.75" customHeight="1">
      <c r="A8631" s="2">
        <v>2017.0</v>
      </c>
      <c r="B8631" s="2" t="s">
        <v>35762</v>
      </c>
      <c r="C8631" s="2" t="s">
        <v>35762</v>
      </c>
      <c r="D8631" s="2" t="str">
        <f>"765-474-7719"</f>
        <v>765-474-7719</v>
      </c>
      <c r="E8631" s="2" t="s">
        <v>6019</v>
      </c>
      <c r="F8631" s="2" t="s">
        <v>14999</v>
      </c>
      <c r="G8631" s="2" t="str">
        <f>"SR-11537"</f>
        <v>SR-11537</v>
      </c>
      <c r="H8631" s="2" t="s">
        <v>35763</v>
      </c>
      <c r="I8631" s="2" t="s">
        <v>35764</v>
      </c>
      <c r="K8631" s="2" t="s">
        <v>1178</v>
      </c>
      <c r="L8631" s="2" t="s">
        <v>149</v>
      </c>
      <c r="M8631" s="2">
        <v>47905.0</v>
      </c>
      <c r="N8631" s="2" t="s">
        <v>21</v>
      </c>
    </row>
    <row r="8632" ht="15.75" customHeight="1">
      <c r="A8632" s="2">
        <v>2017.0</v>
      </c>
      <c r="B8632" s="2" t="s">
        <v>35765</v>
      </c>
      <c r="C8632" s="2" t="s">
        <v>35766</v>
      </c>
      <c r="D8632" s="2" t="str">
        <f>"6067590067"</f>
        <v>6067590067</v>
      </c>
      <c r="E8632" s="2" t="s">
        <v>5583</v>
      </c>
      <c r="F8632" s="2" t="s">
        <v>5632</v>
      </c>
      <c r="G8632" s="2" t="str">
        <f>"SR-11451"</f>
        <v>SR-11451</v>
      </c>
      <c r="H8632" s="2" t="s">
        <v>35767</v>
      </c>
      <c r="I8632" s="2" t="s">
        <v>35768</v>
      </c>
      <c r="K8632" s="2" t="s">
        <v>9257</v>
      </c>
      <c r="L8632" s="2" t="s">
        <v>1236</v>
      </c>
      <c r="M8632" s="2">
        <v>41044.0</v>
      </c>
      <c r="N8632" s="2" t="s">
        <v>21</v>
      </c>
    </row>
    <row r="8633" ht="15.75" customHeight="1">
      <c r="A8633" s="2">
        <v>2017.0</v>
      </c>
      <c r="B8633" s="2" t="s">
        <v>35769</v>
      </c>
      <c r="C8633" s="2" t="s">
        <v>35769</v>
      </c>
      <c r="D8633" s="2" t="str">
        <f>"215-313-0896"</f>
        <v>215-313-0896</v>
      </c>
      <c r="E8633" s="2" t="s">
        <v>217</v>
      </c>
      <c r="F8633" s="2" t="s">
        <v>283</v>
      </c>
      <c r="G8633" s="2" t="str">
        <f>"SR-11540"</f>
        <v>SR-11540</v>
      </c>
      <c r="H8633" s="2" t="s">
        <v>35770</v>
      </c>
      <c r="I8633" s="2" t="s">
        <v>35771</v>
      </c>
      <c r="K8633" s="2" t="s">
        <v>35772</v>
      </c>
      <c r="L8633" s="2" t="s">
        <v>179</v>
      </c>
      <c r="M8633" s="2">
        <v>19040.0</v>
      </c>
      <c r="N8633" s="2" t="s">
        <v>21</v>
      </c>
    </row>
    <row r="8634" ht="15.75" customHeight="1">
      <c r="A8634" s="2">
        <v>2017.0</v>
      </c>
      <c r="B8634" s="2" t="s">
        <v>35773</v>
      </c>
      <c r="C8634" s="2" t="s">
        <v>35774</v>
      </c>
      <c r="D8634" s="2" t="str">
        <f>"405 3264680"</f>
        <v>405 3264680</v>
      </c>
      <c r="E8634" s="2" t="s">
        <v>6081</v>
      </c>
      <c r="F8634" s="2" t="s">
        <v>35775</v>
      </c>
      <c r="G8634" s="2" t="str">
        <f>"SR-11541"</f>
        <v>SR-11541</v>
      </c>
      <c r="H8634" s="2" t="s">
        <v>35776</v>
      </c>
      <c r="I8634" s="2" t="s">
        <v>35777</v>
      </c>
      <c r="K8634" s="2" t="s">
        <v>1546</v>
      </c>
      <c r="L8634" s="2" t="s">
        <v>840</v>
      </c>
      <c r="M8634" s="2">
        <v>73013.0</v>
      </c>
      <c r="N8634" s="2" t="s">
        <v>21</v>
      </c>
    </row>
    <row r="8635" ht="15.75" customHeight="1">
      <c r="A8635" s="2">
        <v>2017.0</v>
      </c>
      <c r="B8635" s="2" t="s">
        <v>35778</v>
      </c>
      <c r="C8635" s="2" t="s">
        <v>35779</v>
      </c>
      <c r="D8635" s="2" t="str">
        <f>"337-660-5298"</f>
        <v>337-660-5298</v>
      </c>
      <c r="E8635" s="2" t="s">
        <v>1689</v>
      </c>
      <c r="F8635" s="2" t="s">
        <v>428</v>
      </c>
      <c r="G8635" s="2" t="str">
        <f>"SR-11517"</f>
        <v>SR-11517</v>
      </c>
      <c r="H8635" s="2" t="s">
        <v>35780</v>
      </c>
      <c r="I8635" s="2" t="s">
        <v>35781</v>
      </c>
      <c r="K8635" s="2" t="s">
        <v>7740</v>
      </c>
      <c r="L8635" s="2" t="s">
        <v>715</v>
      </c>
      <c r="M8635" s="2">
        <v>70660.0</v>
      </c>
      <c r="N8635" s="2" t="s">
        <v>21</v>
      </c>
    </row>
    <row r="8636" ht="15.75" customHeight="1">
      <c r="A8636" s="2">
        <v>2017.0</v>
      </c>
      <c r="B8636" s="2" t="s">
        <v>35782</v>
      </c>
      <c r="C8636" s="2" t="s">
        <v>35783</v>
      </c>
      <c r="D8636" s="2" t="str">
        <f>"239-219-7585"</f>
        <v>239-219-7585</v>
      </c>
      <c r="E8636" s="2" t="s">
        <v>701</v>
      </c>
      <c r="F8636" s="2" t="s">
        <v>8787</v>
      </c>
      <c r="G8636" s="2" t="str">
        <f>"SR-11539"</f>
        <v>SR-11539</v>
      </c>
      <c r="H8636" s="2" t="s">
        <v>35784</v>
      </c>
      <c r="I8636" s="2" t="s">
        <v>35785</v>
      </c>
      <c r="K8636" s="2" t="s">
        <v>20285</v>
      </c>
      <c r="L8636" s="2" t="s">
        <v>208</v>
      </c>
      <c r="M8636" s="2">
        <v>33901.0</v>
      </c>
      <c r="N8636" s="2" t="s">
        <v>21</v>
      </c>
    </row>
    <row r="8637" ht="15.75" customHeight="1">
      <c r="A8637" s="2">
        <v>2017.0</v>
      </c>
      <c r="B8637" s="2" t="s">
        <v>35786</v>
      </c>
      <c r="C8637" s="2" t="s">
        <v>35787</v>
      </c>
      <c r="D8637" s="2" t="str">
        <f>"+65-91124291"</f>
        <v>+65-91124291</v>
      </c>
      <c r="E8637" s="2" t="s">
        <v>35788</v>
      </c>
      <c r="F8637" s="2" t="s">
        <v>35789</v>
      </c>
      <c r="G8637" s="2" t="str">
        <f>"SR-11542"</f>
        <v>SR-11542</v>
      </c>
      <c r="H8637" s="2" t="s">
        <v>35790</v>
      </c>
      <c r="I8637" s="2" t="s">
        <v>35791</v>
      </c>
      <c r="K8637" s="2" t="s">
        <v>35792</v>
      </c>
      <c r="M8637" s="2">
        <v>680457.0</v>
      </c>
      <c r="N8637" s="2" t="s">
        <v>8433</v>
      </c>
    </row>
    <row r="8638" ht="15.75" customHeight="1">
      <c r="A8638" s="2">
        <v>2017.0</v>
      </c>
      <c r="B8638" s="2" t="s">
        <v>35793</v>
      </c>
      <c r="C8638" s="2" t="s">
        <v>35794</v>
      </c>
      <c r="D8638" s="2" t="str">
        <f>"7575049077"</f>
        <v>7575049077</v>
      </c>
      <c r="E8638" s="2" t="s">
        <v>1257</v>
      </c>
      <c r="F8638" s="2" t="s">
        <v>1151</v>
      </c>
      <c r="G8638" s="2" t="str">
        <f>"SR-11548"</f>
        <v>SR-11548</v>
      </c>
      <c r="H8638" s="2" t="s">
        <v>35795</v>
      </c>
      <c r="I8638" s="2" t="s">
        <v>35796</v>
      </c>
      <c r="K8638" s="2" t="s">
        <v>35797</v>
      </c>
      <c r="L8638" s="2" t="s">
        <v>763</v>
      </c>
      <c r="M8638" s="2">
        <v>84414.0</v>
      </c>
      <c r="N8638" s="2" t="s">
        <v>21</v>
      </c>
    </row>
    <row r="8639" ht="15.75" customHeight="1">
      <c r="A8639" s="2">
        <v>2017.0</v>
      </c>
      <c r="B8639" s="2" t="s">
        <v>35798</v>
      </c>
      <c r="C8639" s="2" t="s">
        <v>35799</v>
      </c>
      <c r="D8639" s="2" t="str">
        <f>"864-903-4930"</f>
        <v>864-903-4930</v>
      </c>
      <c r="E8639" s="2" t="s">
        <v>35800</v>
      </c>
      <c r="F8639" s="2" t="s">
        <v>26681</v>
      </c>
      <c r="G8639" s="2" t="str">
        <f>"SR-11550"</f>
        <v>SR-11550</v>
      </c>
      <c r="H8639" s="2" t="s">
        <v>35801</v>
      </c>
      <c r="I8639" s="2" t="s">
        <v>35802</v>
      </c>
      <c r="K8639" s="2" t="s">
        <v>27562</v>
      </c>
      <c r="L8639" s="2" t="s">
        <v>55</v>
      </c>
      <c r="M8639" s="2">
        <v>29691.0</v>
      </c>
      <c r="N8639" s="2" t="s">
        <v>21</v>
      </c>
    </row>
    <row r="8640" ht="15.75" customHeight="1">
      <c r="A8640" s="2">
        <v>2017.0</v>
      </c>
      <c r="B8640" s="2" t="s">
        <v>35803</v>
      </c>
      <c r="C8640" s="2" t="s">
        <v>35804</v>
      </c>
      <c r="D8640" s="2" t="str">
        <f t="shared" ref="D8640:D8641" si="134">"3167061408"</f>
        <v>3167061408</v>
      </c>
      <c r="E8640" s="2" t="s">
        <v>35805</v>
      </c>
      <c r="F8640" s="2" t="s">
        <v>14639</v>
      </c>
      <c r="G8640" s="2" t="str">
        <f>"SR-11455"</f>
        <v>SR-11455</v>
      </c>
      <c r="H8640" s="2" t="s">
        <v>35806</v>
      </c>
      <c r="I8640" s="2" t="s">
        <v>35807</v>
      </c>
      <c r="K8640" s="2" t="s">
        <v>35808</v>
      </c>
      <c r="L8640" s="2" t="s">
        <v>272</v>
      </c>
      <c r="M8640" s="2">
        <v>67030.0</v>
      </c>
      <c r="N8640" s="2" t="s">
        <v>21</v>
      </c>
    </row>
    <row r="8641" ht="15.75" customHeight="1">
      <c r="A8641" s="2">
        <v>2017.0</v>
      </c>
      <c r="B8641" s="2" t="s">
        <v>35803</v>
      </c>
      <c r="C8641" s="2" t="s">
        <v>35804</v>
      </c>
      <c r="D8641" s="2" t="str">
        <f t="shared" si="134"/>
        <v>3167061408</v>
      </c>
      <c r="E8641" s="2" t="s">
        <v>35809</v>
      </c>
      <c r="F8641" s="2" t="s">
        <v>14639</v>
      </c>
      <c r="G8641" s="2" t="str">
        <f>"SR-11554"</f>
        <v>SR-11554</v>
      </c>
      <c r="H8641" s="2" t="s">
        <v>35810</v>
      </c>
      <c r="I8641" s="2" t="s">
        <v>35807</v>
      </c>
      <c r="K8641" s="2" t="s">
        <v>35808</v>
      </c>
      <c r="L8641" s="2" t="s">
        <v>272</v>
      </c>
      <c r="M8641" s="2">
        <v>67030.0</v>
      </c>
      <c r="N8641" s="2" t="s">
        <v>21</v>
      </c>
    </row>
    <row r="8642" ht="15.75" customHeight="1">
      <c r="A8642" s="2">
        <v>2017.0</v>
      </c>
      <c r="B8642" s="2" t="s">
        <v>27889</v>
      </c>
      <c r="D8642" s="2" t="str">
        <f>""</f>
        <v/>
      </c>
      <c r="E8642" s="2" t="s">
        <v>22056</v>
      </c>
      <c r="F8642" s="2" t="s">
        <v>6655</v>
      </c>
      <c r="G8642" s="2" t="str">
        <f>"SR-8211"</f>
        <v>SR-8211</v>
      </c>
      <c r="H8642" s="2" t="s">
        <v>27890</v>
      </c>
    </row>
    <row r="8643" ht="15.75" customHeight="1">
      <c r="A8643" s="2">
        <v>2017.0</v>
      </c>
      <c r="B8643" s="2" t="s">
        <v>35803</v>
      </c>
      <c r="C8643" s="2" t="s">
        <v>35804</v>
      </c>
      <c r="D8643" s="2" t="str">
        <f>"3167061408"</f>
        <v>3167061408</v>
      </c>
      <c r="E8643" s="2" t="s">
        <v>35811</v>
      </c>
      <c r="F8643" s="2" t="s">
        <v>14639</v>
      </c>
      <c r="G8643" s="2" t="str">
        <f>"SR-11555"</f>
        <v>SR-11555</v>
      </c>
      <c r="H8643" s="2" t="s">
        <v>35812</v>
      </c>
      <c r="I8643" s="2" t="s">
        <v>35813</v>
      </c>
      <c r="K8643" s="2" t="s">
        <v>35808</v>
      </c>
      <c r="L8643" s="2" t="s">
        <v>272</v>
      </c>
      <c r="M8643" s="2">
        <v>67030.0</v>
      </c>
      <c r="N8643" s="2" t="s">
        <v>21</v>
      </c>
    </row>
    <row r="8644" ht="15.75" customHeight="1">
      <c r="A8644" s="2">
        <v>2017.0</v>
      </c>
      <c r="B8644" s="2" t="s">
        <v>35814</v>
      </c>
      <c r="C8644" s="2" t="s">
        <v>35814</v>
      </c>
      <c r="D8644" s="2" t="str">
        <f>"773-850-9684"</f>
        <v>773-850-9684</v>
      </c>
      <c r="E8644" s="2" t="s">
        <v>4300</v>
      </c>
      <c r="F8644" s="2" t="s">
        <v>529</v>
      </c>
      <c r="G8644" s="2" t="str">
        <f>"SR-11533"</f>
        <v>SR-11533</v>
      </c>
      <c r="H8644" s="2" t="s">
        <v>35815</v>
      </c>
      <c r="I8644" s="2" t="s">
        <v>35816</v>
      </c>
      <c r="K8644" s="2" t="s">
        <v>18221</v>
      </c>
      <c r="L8644" s="2" t="s">
        <v>105</v>
      </c>
      <c r="M8644" s="2">
        <v>60645.0</v>
      </c>
      <c r="N8644" s="2" t="s">
        <v>21</v>
      </c>
    </row>
    <row r="8645" ht="15.75" customHeight="1">
      <c r="A8645" s="2">
        <v>2017.0</v>
      </c>
      <c r="B8645" s="2" t="s">
        <v>35817</v>
      </c>
      <c r="C8645" s="2" t="s">
        <v>35818</v>
      </c>
      <c r="D8645" s="2" t="str">
        <f>"7792129512"</f>
        <v>7792129512</v>
      </c>
      <c r="E8645" s="2" t="s">
        <v>1548</v>
      </c>
      <c r="F8645" s="2" t="s">
        <v>275</v>
      </c>
      <c r="G8645" s="2" t="str">
        <f>"SR-10799"</f>
        <v>SR-10799</v>
      </c>
      <c r="H8645" s="2" t="s">
        <v>35819</v>
      </c>
      <c r="I8645" s="2" t="s">
        <v>35820</v>
      </c>
      <c r="K8645" s="2" t="s">
        <v>970</v>
      </c>
      <c r="L8645" s="2" t="s">
        <v>105</v>
      </c>
      <c r="M8645" s="2">
        <v>60556.0</v>
      </c>
      <c r="N8645" s="2" t="s">
        <v>21</v>
      </c>
    </row>
    <row r="8646" ht="15.75" customHeight="1">
      <c r="A8646" s="2">
        <v>2017.0</v>
      </c>
      <c r="B8646" s="2" t="s">
        <v>35821</v>
      </c>
      <c r="C8646" s="2" t="s">
        <v>35822</v>
      </c>
      <c r="D8646" s="2" t="str">
        <f>"530-878-8950"</f>
        <v>530-878-8950</v>
      </c>
      <c r="E8646" s="2" t="s">
        <v>5760</v>
      </c>
      <c r="F8646" s="2" t="s">
        <v>12683</v>
      </c>
      <c r="G8646" s="2" t="str">
        <f>"SR-11546"</f>
        <v>SR-11546</v>
      </c>
      <c r="H8646" s="2" t="s">
        <v>35823</v>
      </c>
      <c r="I8646" s="2" t="s">
        <v>29594</v>
      </c>
      <c r="K8646" s="2" t="s">
        <v>15823</v>
      </c>
      <c r="L8646" s="2" t="s">
        <v>222</v>
      </c>
      <c r="M8646" s="2">
        <v>95722.0</v>
      </c>
      <c r="N8646" s="2" t="s">
        <v>21</v>
      </c>
    </row>
    <row r="8647" ht="15.75" customHeight="1">
      <c r="A8647" s="2">
        <v>2017.0</v>
      </c>
      <c r="B8647" s="2" t="s">
        <v>35824</v>
      </c>
      <c r="C8647" s="2" t="s">
        <v>35824</v>
      </c>
      <c r="D8647" s="2" t="str">
        <f>"303-410-1925"</f>
        <v>303-410-1925</v>
      </c>
      <c r="E8647" s="2" t="s">
        <v>9924</v>
      </c>
      <c r="F8647" s="2" t="s">
        <v>35825</v>
      </c>
      <c r="G8647" s="2" t="str">
        <f>"SR-11561"</f>
        <v>SR-11561</v>
      </c>
      <c r="H8647" s="2" t="s">
        <v>35826</v>
      </c>
      <c r="I8647" s="2" t="s">
        <v>35827</v>
      </c>
      <c r="K8647" s="2" t="s">
        <v>1502</v>
      </c>
      <c r="L8647" s="2" t="s">
        <v>157</v>
      </c>
      <c r="M8647" s="2">
        <v>80007.0</v>
      </c>
      <c r="N8647" s="2" t="s">
        <v>21</v>
      </c>
    </row>
    <row r="8648" ht="15.75" customHeight="1">
      <c r="A8648" s="2">
        <v>2017.0</v>
      </c>
      <c r="B8648" s="2" t="s">
        <v>17107</v>
      </c>
      <c r="C8648" s="2" t="s">
        <v>35828</v>
      </c>
      <c r="D8648" s="2" t="str">
        <f>"7204545043"</f>
        <v>7204545043</v>
      </c>
      <c r="E8648" s="2" t="s">
        <v>225</v>
      </c>
      <c r="F8648" s="2" t="s">
        <v>17109</v>
      </c>
      <c r="G8648" s="2" t="str">
        <f>"SR-10762"</f>
        <v>SR-10762</v>
      </c>
      <c r="H8648" s="2" t="s">
        <v>35829</v>
      </c>
      <c r="I8648" s="2" t="s">
        <v>35830</v>
      </c>
      <c r="K8648" s="2" t="s">
        <v>17112</v>
      </c>
      <c r="L8648" s="2" t="s">
        <v>157</v>
      </c>
      <c r="M8648" s="2">
        <v>80130.0</v>
      </c>
      <c r="N8648" s="2" t="s">
        <v>21</v>
      </c>
    </row>
    <row r="8649" ht="15.75" customHeight="1">
      <c r="A8649" s="2">
        <v>2017.0</v>
      </c>
      <c r="B8649" s="2" t="s">
        <v>35831</v>
      </c>
      <c r="C8649" s="2" t="s">
        <v>35832</v>
      </c>
      <c r="D8649" s="2" t="str">
        <f>"915-202-4646"</f>
        <v>915-202-4646</v>
      </c>
      <c r="E8649" s="2" t="s">
        <v>339</v>
      </c>
      <c r="F8649" s="2" t="s">
        <v>16181</v>
      </c>
      <c r="G8649" s="2" t="str">
        <f>"SR-11557"</f>
        <v>SR-11557</v>
      </c>
      <c r="H8649" s="2" t="s">
        <v>35833</v>
      </c>
      <c r="I8649" s="2" t="s">
        <v>35834</v>
      </c>
      <c r="K8649" s="2" t="s">
        <v>21247</v>
      </c>
      <c r="L8649" s="2" t="s">
        <v>172</v>
      </c>
      <c r="M8649" s="2">
        <v>79924.0</v>
      </c>
      <c r="N8649" s="2" t="s">
        <v>21</v>
      </c>
    </row>
    <row r="8650" ht="15.75" customHeight="1">
      <c r="A8650" s="2">
        <v>2017.0</v>
      </c>
      <c r="B8650" s="2" t="s">
        <v>35835</v>
      </c>
      <c r="C8650" s="2" t="s">
        <v>35836</v>
      </c>
      <c r="D8650" s="2" t="str">
        <f>"571-379-2344"</f>
        <v>571-379-2344</v>
      </c>
      <c r="E8650" s="2" t="s">
        <v>1257</v>
      </c>
      <c r="F8650" s="2" t="s">
        <v>89</v>
      </c>
      <c r="G8650" s="2" t="str">
        <f>"SR-11495"</f>
        <v>SR-11495</v>
      </c>
      <c r="H8650" s="2" t="s">
        <v>35837</v>
      </c>
      <c r="I8650" s="2" t="s">
        <v>35838</v>
      </c>
      <c r="K8650" s="2" t="s">
        <v>11820</v>
      </c>
      <c r="L8650" s="2" t="s">
        <v>165</v>
      </c>
      <c r="M8650" s="2">
        <v>22003.0</v>
      </c>
      <c r="N8650" s="2" t="s">
        <v>21</v>
      </c>
    </row>
    <row r="8651" ht="15.75" customHeight="1">
      <c r="A8651" s="2">
        <v>2017.0</v>
      </c>
      <c r="B8651" s="2" t="s">
        <v>35839</v>
      </c>
      <c r="C8651" s="2" t="s">
        <v>35840</v>
      </c>
      <c r="D8651" s="2" t="str">
        <f>"9705848121"</f>
        <v>9705848121</v>
      </c>
      <c r="E8651" s="2" t="s">
        <v>1208</v>
      </c>
      <c r="F8651" s="2" t="s">
        <v>21049</v>
      </c>
      <c r="G8651" s="2" t="str">
        <f>"SR-11506"</f>
        <v>SR-11506</v>
      </c>
      <c r="H8651" s="2" t="s">
        <v>35841</v>
      </c>
      <c r="I8651" s="2" t="s">
        <v>35842</v>
      </c>
      <c r="K8651" s="2" t="s">
        <v>1558</v>
      </c>
      <c r="L8651" s="2" t="s">
        <v>157</v>
      </c>
      <c r="M8651" s="2">
        <v>80634.0</v>
      </c>
      <c r="N8651" s="2" t="s">
        <v>21</v>
      </c>
    </row>
    <row r="8652" ht="15.75" customHeight="1">
      <c r="A8652" s="2">
        <v>2017.0</v>
      </c>
      <c r="B8652" s="2" t="s">
        <v>35843</v>
      </c>
      <c r="C8652" s="2" t="s">
        <v>35843</v>
      </c>
      <c r="D8652" s="2" t="str">
        <f>"3604776340"</f>
        <v>3604776340</v>
      </c>
      <c r="E8652" s="2" t="s">
        <v>261</v>
      </c>
      <c r="F8652" s="2" t="s">
        <v>35844</v>
      </c>
      <c r="G8652" s="2" t="str">
        <f>"SR-11560"</f>
        <v>SR-11560</v>
      </c>
      <c r="H8652" s="2" t="s">
        <v>35845</v>
      </c>
      <c r="I8652" s="2" t="s">
        <v>35846</v>
      </c>
      <c r="K8652" s="2" t="s">
        <v>10994</v>
      </c>
      <c r="L8652" s="2" t="s">
        <v>86</v>
      </c>
      <c r="M8652" s="2">
        <v>98362.0</v>
      </c>
      <c r="N8652" s="2" t="s">
        <v>21</v>
      </c>
    </row>
    <row r="8653" ht="15.75" customHeight="1">
      <c r="A8653" s="2">
        <v>2017.0</v>
      </c>
      <c r="B8653" s="2" t="s">
        <v>35847</v>
      </c>
      <c r="C8653" s="2" t="s">
        <v>35848</v>
      </c>
      <c r="D8653" s="2" t="str">
        <f>"606-336-1830"</f>
        <v>606-336-1830</v>
      </c>
      <c r="E8653" s="2" t="s">
        <v>1251</v>
      </c>
      <c r="F8653" s="2" t="s">
        <v>35849</v>
      </c>
      <c r="G8653" s="2" t="str">
        <f>"SR-11227"</f>
        <v>SR-11227</v>
      </c>
      <c r="H8653" s="2" t="s">
        <v>35850</v>
      </c>
      <c r="I8653" s="2" t="s">
        <v>35851</v>
      </c>
      <c r="K8653" s="2" t="s">
        <v>5092</v>
      </c>
      <c r="L8653" s="2" t="s">
        <v>208</v>
      </c>
      <c r="M8653" s="2">
        <v>32176.0</v>
      </c>
      <c r="N8653" s="2" t="s">
        <v>21</v>
      </c>
    </row>
    <row r="8654" ht="15.75" customHeight="1">
      <c r="A8654" s="2">
        <v>2017.0</v>
      </c>
      <c r="B8654" s="2" t="s">
        <v>35448</v>
      </c>
      <c r="C8654" s="2" t="s">
        <v>35852</v>
      </c>
      <c r="D8654" s="2" t="str">
        <f>"(703) 899-9846"</f>
        <v>(703) 899-9846</v>
      </c>
      <c r="E8654" s="2" t="s">
        <v>843</v>
      </c>
      <c r="F8654" s="2" t="s">
        <v>16125</v>
      </c>
      <c r="G8654" s="2" t="str">
        <f>"SR-11573"</f>
        <v>SR-11573</v>
      </c>
      <c r="H8654" s="2" t="s">
        <v>35853</v>
      </c>
      <c r="I8654" s="2" t="s">
        <v>35854</v>
      </c>
      <c r="K8654" s="2" t="s">
        <v>1260</v>
      </c>
      <c r="L8654" s="2" t="s">
        <v>172</v>
      </c>
      <c r="M8654" s="2">
        <v>76179.0</v>
      </c>
      <c r="N8654" s="2" t="s">
        <v>21</v>
      </c>
    </row>
    <row r="8655" ht="15.75" customHeight="1">
      <c r="A8655" s="2">
        <v>2017.0</v>
      </c>
      <c r="B8655" s="2" t="s">
        <v>35855</v>
      </c>
      <c r="C8655" s="2" t="s">
        <v>35856</v>
      </c>
      <c r="D8655" s="2" t="str">
        <f>"540 591 9066"</f>
        <v>540 591 9066</v>
      </c>
      <c r="E8655" s="2" t="s">
        <v>12973</v>
      </c>
      <c r="F8655" s="2" t="s">
        <v>984</v>
      </c>
      <c r="G8655" s="2" t="str">
        <f>"SR-11446"</f>
        <v>SR-11446</v>
      </c>
      <c r="H8655" s="2" t="s">
        <v>35857</v>
      </c>
      <c r="I8655" s="2" t="s">
        <v>20915</v>
      </c>
      <c r="K8655" s="2" t="s">
        <v>20916</v>
      </c>
      <c r="L8655" s="2" t="s">
        <v>165</v>
      </c>
      <c r="M8655" s="2">
        <v>24090.0</v>
      </c>
      <c r="N8655" s="2" t="s">
        <v>21</v>
      </c>
    </row>
    <row r="8656" ht="15.75" customHeight="1">
      <c r="A8656" s="2">
        <v>2017.0</v>
      </c>
      <c r="B8656" s="2" t="s">
        <v>35448</v>
      </c>
      <c r="C8656" s="2" t="s">
        <v>35858</v>
      </c>
      <c r="D8656" s="2" t="str">
        <f>"8179299423"</f>
        <v>8179299423</v>
      </c>
      <c r="E8656" s="2" t="s">
        <v>4322</v>
      </c>
      <c r="F8656" s="2" t="s">
        <v>3656</v>
      </c>
      <c r="G8656" s="2" t="str">
        <f>"SR-11494"</f>
        <v>SR-11494</v>
      </c>
      <c r="H8656" s="2" t="s">
        <v>35859</v>
      </c>
      <c r="I8656" s="2" t="s">
        <v>35860</v>
      </c>
      <c r="K8656" s="2" t="s">
        <v>1260</v>
      </c>
      <c r="L8656" s="2" t="s">
        <v>172</v>
      </c>
      <c r="M8656" s="2">
        <v>76109.0</v>
      </c>
      <c r="N8656" s="2" t="s">
        <v>21</v>
      </c>
    </row>
    <row r="8657" ht="15.75" customHeight="1">
      <c r="A8657" s="2">
        <v>2017.0</v>
      </c>
      <c r="B8657" s="2" t="s">
        <v>35448</v>
      </c>
      <c r="C8657" s="2" t="s">
        <v>35861</v>
      </c>
      <c r="D8657" s="2" t="str">
        <f>"(817) 908-1763"</f>
        <v>(817) 908-1763</v>
      </c>
      <c r="E8657" s="2" t="s">
        <v>301</v>
      </c>
      <c r="F8657" s="2" t="s">
        <v>17571</v>
      </c>
      <c r="G8657" s="2" t="str">
        <f>"SR-11501"</f>
        <v>SR-11501</v>
      </c>
      <c r="H8657" s="2" t="s">
        <v>35862</v>
      </c>
      <c r="I8657" s="2" t="s">
        <v>35863</v>
      </c>
      <c r="K8657" s="2" t="s">
        <v>28931</v>
      </c>
      <c r="L8657" s="2" t="s">
        <v>172</v>
      </c>
      <c r="M8657" s="2">
        <v>76087.0</v>
      </c>
      <c r="N8657" s="2" t="s">
        <v>21</v>
      </c>
    </row>
    <row r="8658" ht="15.75" customHeight="1">
      <c r="A8658" s="2">
        <v>2017.0</v>
      </c>
      <c r="B8658" s="2" t="s">
        <v>35448</v>
      </c>
      <c r="C8658" s="2" t="s">
        <v>35864</v>
      </c>
      <c r="D8658" s="2" t="str">
        <f>"6822495009"</f>
        <v>6822495009</v>
      </c>
      <c r="E8658" s="2" t="s">
        <v>8649</v>
      </c>
      <c r="F8658" s="2" t="s">
        <v>35865</v>
      </c>
      <c r="G8658" s="2" t="str">
        <f>"SR-11497"</f>
        <v>SR-11497</v>
      </c>
      <c r="H8658" s="2" t="s">
        <v>35866</v>
      </c>
      <c r="I8658" s="2" t="s">
        <v>35867</v>
      </c>
      <c r="K8658" s="2" t="s">
        <v>6017</v>
      </c>
      <c r="L8658" s="2" t="s">
        <v>172</v>
      </c>
      <c r="M8658" s="2">
        <v>76008.0</v>
      </c>
      <c r="N8658" s="2" t="s">
        <v>21</v>
      </c>
    </row>
    <row r="8659" ht="15.75" customHeight="1">
      <c r="A8659" s="2">
        <v>2017.0</v>
      </c>
      <c r="B8659" s="2" t="s">
        <v>35448</v>
      </c>
      <c r="C8659" s="2" t="s">
        <v>35868</v>
      </c>
      <c r="D8659" s="2" t="str">
        <f>"8173363591"</f>
        <v>8173363591</v>
      </c>
      <c r="E8659" s="2" t="s">
        <v>35869</v>
      </c>
      <c r="F8659" s="2" t="s">
        <v>35870</v>
      </c>
      <c r="G8659" s="2" t="str">
        <f>"SR-11496"</f>
        <v>SR-11496</v>
      </c>
      <c r="H8659" s="2" t="s">
        <v>35871</v>
      </c>
      <c r="I8659" s="2" t="s">
        <v>35872</v>
      </c>
      <c r="K8659" s="2" t="s">
        <v>1260</v>
      </c>
      <c r="L8659" s="2" t="s">
        <v>172</v>
      </c>
      <c r="M8659" s="2">
        <v>76126.0</v>
      </c>
      <c r="N8659" s="2" t="s">
        <v>21</v>
      </c>
    </row>
    <row r="8660" ht="15.75" customHeight="1">
      <c r="A8660" s="2">
        <v>2017.0</v>
      </c>
      <c r="B8660" s="2" t="s">
        <v>35448</v>
      </c>
      <c r="C8660" s="2" t="s">
        <v>35873</v>
      </c>
      <c r="D8660" s="2" t="str">
        <f>"(817) 565-2345"</f>
        <v>(817) 565-2345</v>
      </c>
      <c r="E8660" s="2" t="s">
        <v>2158</v>
      </c>
      <c r="F8660" s="2" t="s">
        <v>35874</v>
      </c>
      <c r="G8660" s="2" t="str">
        <f>"SR-11429"</f>
        <v>SR-11429</v>
      </c>
      <c r="H8660" s="2" t="s">
        <v>35875</v>
      </c>
      <c r="I8660" s="2" t="s">
        <v>35876</v>
      </c>
      <c r="K8660" s="2" t="s">
        <v>1260</v>
      </c>
      <c r="L8660" s="2" t="s">
        <v>172</v>
      </c>
      <c r="M8660" s="2">
        <v>76109.0</v>
      </c>
      <c r="N8660" s="2" t="s">
        <v>21</v>
      </c>
    </row>
    <row r="8661" ht="15.75" customHeight="1">
      <c r="A8661" s="2">
        <v>2017.0</v>
      </c>
      <c r="B8661" s="2" t="s">
        <v>35440</v>
      </c>
      <c r="C8661" s="2" t="s">
        <v>35877</v>
      </c>
      <c r="D8661" s="2" t="str">
        <f>"817-995-6577"</f>
        <v>817-995-6577</v>
      </c>
      <c r="E8661" s="2" t="s">
        <v>15</v>
      </c>
      <c r="F8661" s="2" t="s">
        <v>275</v>
      </c>
      <c r="G8661" s="2" t="str">
        <f>"SR-11558"</f>
        <v>SR-11558</v>
      </c>
      <c r="H8661" s="2" t="s">
        <v>35878</v>
      </c>
      <c r="I8661" s="2" t="s">
        <v>35443</v>
      </c>
      <c r="K8661" s="2" t="s">
        <v>6017</v>
      </c>
      <c r="L8661" s="2" t="s">
        <v>172</v>
      </c>
      <c r="M8661" s="2">
        <v>76008.0</v>
      </c>
      <c r="N8661" s="2" t="s">
        <v>21</v>
      </c>
    </row>
    <row r="8662" ht="15.75" customHeight="1">
      <c r="A8662" s="2">
        <v>2017.0</v>
      </c>
      <c r="B8662" s="2" t="s">
        <v>35879</v>
      </c>
      <c r="C8662" s="2" t="s">
        <v>35880</v>
      </c>
      <c r="D8662" s="2" t="str">
        <f>"503-329-1917"</f>
        <v>503-329-1917</v>
      </c>
      <c r="E8662" s="2" t="s">
        <v>4275</v>
      </c>
      <c r="F8662" s="2" t="s">
        <v>35881</v>
      </c>
      <c r="G8662" s="2" t="str">
        <f>"SR-11418"</f>
        <v>SR-11418</v>
      </c>
      <c r="H8662" s="2" t="s">
        <v>35882</v>
      </c>
      <c r="I8662" s="2" t="s">
        <v>35883</v>
      </c>
      <c r="K8662" s="2" t="s">
        <v>21625</v>
      </c>
      <c r="L8662" s="2" t="s">
        <v>2389</v>
      </c>
      <c r="M8662" s="2">
        <v>97055.0</v>
      </c>
      <c r="N8662" s="2" t="s">
        <v>21</v>
      </c>
    </row>
    <row r="8663" ht="15.75" customHeight="1">
      <c r="A8663" s="2">
        <v>2017.0</v>
      </c>
      <c r="B8663" s="2" t="s">
        <v>35884</v>
      </c>
      <c r="C8663" s="2" t="s">
        <v>35885</v>
      </c>
      <c r="D8663" s="2" t="str">
        <f>"480-634-6955"</f>
        <v>480-634-6955</v>
      </c>
      <c r="E8663" s="2" t="s">
        <v>35886</v>
      </c>
      <c r="F8663" s="2" t="s">
        <v>35887</v>
      </c>
      <c r="G8663" s="2" t="str">
        <f>"SR-11569"</f>
        <v>SR-11569</v>
      </c>
      <c r="H8663" s="2" t="s">
        <v>35888</v>
      </c>
      <c r="I8663" s="2" t="s">
        <v>35889</v>
      </c>
      <c r="K8663" s="2" t="s">
        <v>35890</v>
      </c>
      <c r="L8663" s="2" t="s">
        <v>422</v>
      </c>
      <c r="M8663" s="2">
        <v>85140.0</v>
      </c>
      <c r="N8663" s="2" t="s">
        <v>21</v>
      </c>
    </row>
    <row r="8664" ht="15.75" customHeight="1">
      <c r="A8664" s="2">
        <v>2017.0</v>
      </c>
      <c r="B8664" s="2" t="s">
        <v>35891</v>
      </c>
      <c r="C8664" s="2" t="s">
        <v>35892</v>
      </c>
      <c r="D8664" s="2" t="str">
        <f>"559-676-6776"</f>
        <v>559-676-6776</v>
      </c>
      <c r="E8664" s="2" t="s">
        <v>11657</v>
      </c>
      <c r="F8664" s="2" t="s">
        <v>35893</v>
      </c>
      <c r="G8664" s="2" t="str">
        <f>"SR-11549"</f>
        <v>SR-11549</v>
      </c>
      <c r="H8664" s="2" t="s">
        <v>35894</v>
      </c>
      <c r="I8664" s="2" t="s">
        <v>35895</v>
      </c>
      <c r="K8664" s="2" t="s">
        <v>35896</v>
      </c>
      <c r="L8664" s="2" t="s">
        <v>222</v>
      </c>
      <c r="M8664" s="2">
        <v>93614.0</v>
      </c>
      <c r="N8664" s="2" t="s">
        <v>21</v>
      </c>
    </row>
    <row r="8665" ht="15.75" customHeight="1">
      <c r="A8665" s="2">
        <v>2017.0</v>
      </c>
      <c r="B8665" s="2" t="s">
        <v>35897</v>
      </c>
      <c r="C8665" s="2" t="s">
        <v>35898</v>
      </c>
      <c r="D8665" s="2" t="str">
        <f>"8036915220"</f>
        <v>8036915220</v>
      </c>
      <c r="E8665" s="2" t="s">
        <v>908</v>
      </c>
      <c r="F8665" s="2" t="s">
        <v>962</v>
      </c>
      <c r="G8665" s="2" t="str">
        <f>"SR-11447"</f>
        <v>SR-11447</v>
      </c>
      <c r="H8665" s="2" t="s">
        <v>35899</v>
      </c>
      <c r="I8665" s="2" t="s">
        <v>35900</v>
      </c>
      <c r="K8665" s="2" t="s">
        <v>8479</v>
      </c>
      <c r="L8665" s="2" t="s">
        <v>55</v>
      </c>
      <c r="M8665" s="2">
        <v>29016.0</v>
      </c>
      <c r="N8665" s="2" t="s">
        <v>21</v>
      </c>
    </row>
    <row r="8666" ht="15.75" customHeight="1">
      <c r="A8666" s="2">
        <v>2017.0</v>
      </c>
      <c r="B8666" s="2" t="s">
        <v>35901</v>
      </c>
      <c r="C8666" s="2" t="s">
        <v>35902</v>
      </c>
      <c r="D8666" s="2" t="str">
        <f>"319-213-6886"</f>
        <v>319-213-6886</v>
      </c>
      <c r="E8666" s="2" t="s">
        <v>752</v>
      </c>
      <c r="F8666" s="2" t="s">
        <v>218</v>
      </c>
      <c r="G8666" s="2" t="str">
        <f>"SR-11577"</f>
        <v>SR-11577</v>
      </c>
      <c r="H8666" s="2" t="s">
        <v>35903</v>
      </c>
      <c r="I8666" s="2" t="s">
        <v>35904</v>
      </c>
      <c r="K8666" s="2" t="s">
        <v>35905</v>
      </c>
      <c r="L8666" s="2" t="s">
        <v>560</v>
      </c>
      <c r="M8666" s="2">
        <v>52305.0</v>
      </c>
      <c r="N8666" s="2" t="s">
        <v>21</v>
      </c>
    </row>
    <row r="8667" ht="15.75" customHeight="1">
      <c r="A8667" s="2">
        <v>2017.0</v>
      </c>
      <c r="B8667" s="2" t="s">
        <v>35906</v>
      </c>
      <c r="C8667" s="2" t="s">
        <v>35907</v>
      </c>
      <c r="D8667" s="2" t="str">
        <f>"218-766-6300"</f>
        <v>218-766-6300</v>
      </c>
      <c r="E8667" s="2" t="s">
        <v>6897</v>
      </c>
      <c r="F8667" s="2" t="s">
        <v>35908</v>
      </c>
      <c r="G8667" s="2" t="str">
        <f>"SR-10907"</f>
        <v>SR-10907</v>
      </c>
      <c r="H8667" s="2" t="s">
        <v>35909</v>
      </c>
      <c r="I8667" s="2" t="s">
        <v>35910</v>
      </c>
      <c r="K8667" s="2" t="s">
        <v>35911</v>
      </c>
      <c r="L8667" s="2" t="s">
        <v>62</v>
      </c>
      <c r="M8667" s="2">
        <v>56461.0</v>
      </c>
      <c r="N8667" s="2" t="s">
        <v>21</v>
      </c>
    </row>
    <row r="8668" ht="15.75" customHeight="1">
      <c r="A8668" s="2">
        <v>2017.0</v>
      </c>
      <c r="B8668" s="2" t="s">
        <v>35912</v>
      </c>
      <c r="C8668" s="2" t="s">
        <v>35912</v>
      </c>
      <c r="D8668" s="2" t="str">
        <f>"4053882483"</f>
        <v>4053882483</v>
      </c>
      <c r="E8668" s="2" t="s">
        <v>20163</v>
      </c>
      <c r="F8668" s="2" t="s">
        <v>35913</v>
      </c>
      <c r="G8668" s="2" t="str">
        <f>"SR-4873"</f>
        <v>SR-4873</v>
      </c>
      <c r="H8668" s="2" t="s">
        <v>35914</v>
      </c>
      <c r="I8668" s="2" t="s">
        <v>35915</v>
      </c>
      <c r="K8668" s="2" t="s">
        <v>28319</v>
      </c>
      <c r="L8668" s="2" t="s">
        <v>840</v>
      </c>
      <c r="M8668" s="2">
        <v>74873.0</v>
      </c>
      <c r="N8668" s="2" t="s">
        <v>21</v>
      </c>
    </row>
    <row r="8669" ht="15.75" customHeight="1">
      <c r="A8669" s="2">
        <v>2017.0</v>
      </c>
      <c r="B8669" s="2" t="s">
        <v>35916</v>
      </c>
      <c r="C8669" s="2" t="s">
        <v>35917</v>
      </c>
      <c r="D8669" s="2" t="str">
        <f>"319-360-9981"</f>
        <v>319-360-9981</v>
      </c>
      <c r="E8669" s="2" t="s">
        <v>33186</v>
      </c>
      <c r="F8669" s="2" t="s">
        <v>6430</v>
      </c>
      <c r="G8669" s="2" t="str">
        <f>"SR-11575"</f>
        <v>SR-11575</v>
      </c>
      <c r="H8669" s="2" t="s">
        <v>35918</v>
      </c>
      <c r="I8669" s="2" t="s">
        <v>35919</v>
      </c>
      <c r="K8669" s="2" t="s">
        <v>3273</v>
      </c>
      <c r="L8669" s="2" t="s">
        <v>560</v>
      </c>
      <c r="M8669" s="2">
        <v>52402.0</v>
      </c>
      <c r="N8669" s="2" t="s">
        <v>21</v>
      </c>
    </row>
    <row r="8670" ht="15.75" customHeight="1">
      <c r="A8670" s="2">
        <v>2017.0</v>
      </c>
      <c r="B8670" s="2" t="s">
        <v>35638</v>
      </c>
      <c r="C8670" s="2" t="s">
        <v>35920</v>
      </c>
      <c r="D8670" s="2" t="str">
        <f>"915 356 9774"</f>
        <v>915 356 9774</v>
      </c>
      <c r="E8670" s="2" t="s">
        <v>35921</v>
      </c>
      <c r="F8670" s="2" t="s">
        <v>35922</v>
      </c>
      <c r="G8670" s="2" t="str">
        <f>"SR-11536"</f>
        <v>SR-11536</v>
      </c>
      <c r="H8670" s="2" t="s">
        <v>35923</v>
      </c>
      <c r="I8670" s="2" t="s">
        <v>35924</v>
      </c>
      <c r="J8670" s="2" t="s">
        <v>35925</v>
      </c>
      <c r="K8670" s="2" t="s">
        <v>35926</v>
      </c>
      <c r="L8670" s="2" t="s">
        <v>172</v>
      </c>
      <c r="M8670" s="2">
        <v>79838.0</v>
      </c>
      <c r="N8670" s="2" t="s">
        <v>21</v>
      </c>
    </row>
    <row r="8671" ht="15.75" customHeight="1">
      <c r="A8671" s="2">
        <v>2017.0</v>
      </c>
      <c r="B8671" s="2" t="s">
        <v>35927</v>
      </c>
      <c r="C8671" s="2" t="s">
        <v>35928</v>
      </c>
      <c r="D8671" s="2" t="str">
        <f>"7193673415"</f>
        <v>7193673415</v>
      </c>
      <c r="E8671" s="2" t="s">
        <v>35929</v>
      </c>
      <c r="F8671" s="2" t="s">
        <v>35930</v>
      </c>
      <c r="G8671" s="2" t="str">
        <f>"SR-11582"</f>
        <v>SR-11582</v>
      </c>
      <c r="H8671" s="2" t="s">
        <v>35931</v>
      </c>
      <c r="I8671" s="2" t="s">
        <v>35932</v>
      </c>
      <c r="K8671" s="2" t="s">
        <v>8308</v>
      </c>
      <c r="L8671" s="2" t="s">
        <v>157</v>
      </c>
      <c r="M8671" s="2">
        <v>81007.0</v>
      </c>
      <c r="N8671" s="2" t="s">
        <v>21</v>
      </c>
    </row>
    <row r="8672" ht="15.75" customHeight="1">
      <c r="A8672" s="2">
        <v>2017.0</v>
      </c>
      <c r="B8672" s="2" t="s">
        <v>35933</v>
      </c>
      <c r="C8672" s="2" t="s">
        <v>35934</v>
      </c>
      <c r="D8672" s="2" t="str">
        <f>"9166126950"</f>
        <v>9166126950</v>
      </c>
      <c r="E8672" s="2" t="s">
        <v>651</v>
      </c>
      <c r="F8672" s="2" t="s">
        <v>1141</v>
      </c>
      <c r="G8672" s="2" t="str">
        <f>"SR-11570"</f>
        <v>SR-11570</v>
      </c>
      <c r="H8672" s="2" t="s">
        <v>35935</v>
      </c>
      <c r="I8672" s="2" t="s">
        <v>35936</v>
      </c>
      <c r="K8672" s="2" t="s">
        <v>35937</v>
      </c>
      <c r="L8672" s="2" t="s">
        <v>222</v>
      </c>
      <c r="M8672" s="2">
        <v>95662.0</v>
      </c>
      <c r="N8672" s="2" t="s">
        <v>21</v>
      </c>
    </row>
    <row r="8673" ht="15.75" customHeight="1">
      <c r="A8673" s="2">
        <v>2017.0</v>
      </c>
      <c r="B8673" s="2" t="s">
        <v>35938</v>
      </c>
      <c r="C8673" s="2" t="s">
        <v>35939</v>
      </c>
      <c r="D8673" s="2" t="str">
        <f>"9164128680"</f>
        <v>9164128680</v>
      </c>
      <c r="E8673" s="2" t="s">
        <v>705</v>
      </c>
      <c r="F8673" s="2" t="s">
        <v>35940</v>
      </c>
      <c r="G8673" s="2" t="str">
        <f>"SR-11564"</f>
        <v>SR-11564</v>
      </c>
      <c r="H8673" s="2" t="s">
        <v>35941</v>
      </c>
      <c r="I8673" s="2" t="s">
        <v>35942</v>
      </c>
      <c r="K8673" s="2" t="s">
        <v>863</v>
      </c>
      <c r="L8673" s="2" t="s">
        <v>157</v>
      </c>
      <c r="M8673" s="2">
        <v>80650.0</v>
      </c>
      <c r="N8673" s="2" t="s">
        <v>21</v>
      </c>
    </row>
    <row r="8674" ht="15.75" customHeight="1">
      <c r="A8674" s="2">
        <v>2017.0</v>
      </c>
      <c r="B8674" s="2" t="s">
        <v>35943</v>
      </c>
      <c r="C8674" s="2" t="s">
        <v>35944</v>
      </c>
      <c r="D8674" s="2" t="str">
        <f>"407 379-2254"</f>
        <v>407 379-2254</v>
      </c>
      <c r="E8674" s="2" t="s">
        <v>35945</v>
      </c>
      <c r="F8674" s="2" t="s">
        <v>31</v>
      </c>
      <c r="G8674" s="2" t="str">
        <f>"SR-11514"</f>
        <v>SR-11514</v>
      </c>
      <c r="H8674" s="2" t="s">
        <v>35946</v>
      </c>
      <c r="I8674" s="2" t="s">
        <v>35947</v>
      </c>
      <c r="K8674" s="2" t="s">
        <v>525</v>
      </c>
      <c r="L8674" s="2" t="s">
        <v>208</v>
      </c>
      <c r="M8674" s="2">
        <v>32750.0</v>
      </c>
      <c r="N8674" s="2" t="s">
        <v>21</v>
      </c>
    </row>
    <row r="8675" ht="15.75" customHeight="1">
      <c r="A8675" s="2">
        <v>2017.0</v>
      </c>
      <c r="B8675" s="2" t="s">
        <v>35948</v>
      </c>
      <c r="C8675" s="2" t="s">
        <v>35949</v>
      </c>
      <c r="D8675" s="2" t="str">
        <f>"720-454-4457"</f>
        <v>720-454-4457</v>
      </c>
      <c r="E8675" s="2" t="s">
        <v>32674</v>
      </c>
      <c r="F8675" s="2" t="s">
        <v>22526</v>
      </c>
      <c r="G8675" s="2" t="str">
        <f>"SR-11588"</f>
        <v>SR-11588</v>
      </c>
      <c r="H8675" s="2" t="s">
        <v>35950</v>
      </c>
      <c r="I8675" s="2" t="s">
        <v>35951</v>
      </c>
      <c r="K8675" s="2" t="s">
        <v>1520</v>
      </c>
      <c r="L8675" s="2" t="s">
        <v>157</v>
      </c>
      <c r="M8675" s="2">
        <v>80015.0</v>
      </c>
      <c r="N8675" s="2" t="s">
        <v>21</v>
      </c>
    </row>
    <row r="8676" ht="15.75" customHeight="1">
      <c r="A8676" s="2">
        <v>2017.0</v>
      </c>
      <c r="B8676" s="2" t="s">
        <v>24811</v>
      </c>
      <c r="C8676" s="2" t="s">
        <v>24811</v>
      </c>
      <c r="D8676" s="2" t="str">
        <f>"9162131210"</f>
        <v>9162131210</v>
      </c>
      <c r="E8676" s="2" t="s">
        <v>24812</v>
      </c>
      <c r="F8676" s="2" t="s">
        <v>24813</v>
      </c>
      <c r="G8676" s="2" t="str">
        <f>"SR-7843"</f>
        <v>SR-7843</v>
      </c>
      <c r="H8676" s="2" t="s">
        <v>24814</v>
      </c>
      <c r="I8676" s="2" t="s">
        <v>24815</v>
      </c>
      <c r="K8676" s="2" t="s">
        <v>24816</v>
      </c>
      <c r="L8676" s="2" t="s">
        <v>222</v>
      </c>
      <c r="M8676" s="2">
        <v>95605.0</v>
      </c>
      <c r="N8676" s="2" t="s">
        <v>21</v>
      </c>
    </row>
    <row r="8677" ht="15.75" customHeight="1">
      <c r="A8677" s="2">
        <v>2017.0</v>
      </c>
      <c r="B8677" s="2" t="s">
        <v>24811</v>
      </c>
      <c r="C8677" s="2" t="s">
        <v>35952</v>
      </c>
      <c r="D8677" s="2" t="str">
        <f>"9163467818"</f>
        <v>9163467818</v>
      </c>
      <c r="E8677" s="2" t="s">
        <v>27752</v>
      </c>
      <c r="F8677" s="2" t="s">
        <v>24813</v>
      </c>
      <c r="G8677" s="2" t="str">
        <f>"SR-11592"</f>
        <v>SR-11592</v>
      </c>
      <c r="H8677" s="2" t="s">
        <v>35953</v>
      </c>
      <c r="I8677" s="2" t="s">
        <v>35954</v>
      </c>
      <c r="K8677" s="2" t="s">
        <v>24816</v>
      </c>
      <c r="L8677" s="2" t="s">
        <v>222</v>
      </c>
      <c r="M8677" s="2">
        <v>95605.0</v>
      </c>
      <c r="N8677" s="2" t="s">
        <v>21</v>
      </c>
    </row>
    <row r="8678" ht="15.75" customHeight="1">
      <c r="A8678" s="2">
        <v>2017.0</v>
      </c>
      <c r="B8678" s="2" t="s">
        <v>35955</v>
      </c>
      <c r="C8678" s="2" t="s">
        <v>35956</v>
      </c>
      <c r="D8678" s="2" t="str">
        <f>"6783019910"</f>
        <v>6783019910</v>
      </c>
      <c r="E8678" s="2" t="s">
        <v>1088</v>
      </c>
      <c r="F8678" s="2" t="s">
        <v>13964</v>
      </c>
      <c r="G8678" s="2" t="str">
        <f>"SR-11505"</f>
        <v>SR-11505</v>
      </c>
      <c r="H8678" s="2" t="s">
        <v>35957</v>
      </c>
      <c r="I8678" s="2" t="s">
        <v>35958</v>
      </c>
      <c r="K8678" s="2" t="s">
        <v>35959</v>
      </c>
      <c r="L8678" s="2" t="s">
        <v>560</v>
      </c>
      <c r="M8678" s="2">
        <v>50271.0</v>
      </c>
      <c r="N8678" s="2" t="s">
        <v>21</v>
      </c>
    </row>
    <row r="8679" ht="15.75" customHeight="1">
      <c r="A8679" s="2">
        <v>2017.0</v>
      </c>
      <c r="B8679" s="2" t="s">
        <v>35960</v>
      </c>
      <c r="C8679" s="2" t="s">
        <v>35961</v>
      </c>
      <c r="D8679" s="2" t="str">
        <f>"4236533337"</f>
        <v>4236533337</v>
      </c>
      <c r="E8679" s="2" t="s">
        <v>35962</v>
      </c>
      <c r="F8679" s="2" t="s">
        <v>16193</v>
      </c>
      <c r="G8679" s="2" t="str">
        <f>"SR-11591"</f>
        <v>SR-11591</v>
      </c>
      <c r="H8679" s="2" t="s">
        <v>35963</v>
      </c>
      <c r="I8679" s="2" t="s">
        <v>35964</v>
      </c>
      <c r="K8679" s="2" t="s">
        <v>3975</v>
      </c>
      <c r="L8679" s="2" t="s">
        <v>279</v>
      </c>
      <c r="M8679" s="2">
        <v>37415.0</v>
      </c>
      <c r="N8679" s="2" t="s">
        <v>21</v>
      </c>
    </row>
    <row r="8680" ht="15.75" customHeight="1">
      <c r="A8680" s="2">
        <v>2017.0</v>
      </c>
      <c r="B8680" s="2" t="s">
        <v>35448</v>
      </c>
      <c r="C8680" s="2" t="s">
        <v>35965</v>
      </c>
      <c r="D8680" s="2" t="str">
        <f>"(817) 563-7563"</f>
        <v>(817) 563-7563</v>
      </c>
      <c r="E8680" s="2" t="s">
        <v>1554</v>
      </c>
      <c r="F8680" s="2" t="s">
        <v>35966</v>
      </c>
      <c r="G8680" s="2" t="str">
        <f>"SR-11572"</f>
        <v>SR-11572</v>
      </c>
      <c r="H8680" s="2" t="s">
        <v>35967</v>
      </c>
      <c r="I8680" s="2" t="s">
        <v>35968</v>
      </c>
      <c r="K8680" s="2" t="s">
        <v>882</v>
      </c>
      <c r="L8680" s="2" t="s">
        <v>172</v>
      </c>
      <c r="M8680" s="2">
        <v>76017.0</v>
      </c>
      <c r="N8680" s="2" t="s">
        <v>21</v>
      </c>
    </row>
    <row r="8681" ht="15.75" customHeight="1">
      <c r="A8681" s="2">
        <v>2017.0</v>
      </c>
      <c r="B8681" s="2" t="s">
        <v>35448</v>
      </c>
      <c r="C8681" s="2" t="s">
        <v>35969</v>
      </c>
      <c r="D8681" s="2" t="str">
        <f>"8175965019"</f>
        <v>8175965019</v>
      </c>
      <c r="E8681" s="2" t="s">
        <v>31388</v>
      </c>
      <c r="F8681" s="2" t="s">
        <v>35970</v>
      </c>
      <c r="G8681" s="2" t="str">
        <f>"SR-11492"</f>
        <v>SR-11492</v>
      </c>
      <c r="H8681" s="2" t="s">
        <v>35971</v>
      </c>
      <c r="I8681" s="2" t="s">
        <v>35972</v>
      </c>
      <c r="K8681" s="2" t="s">
        <v>5729</v>
      </c>
      <c r="L8681" s="2" t="s">
        <v>172</v>
      </c>
      <c r="M8681" s="2">
        <v>76087.0</v>
      </c>
      <c r="N8681" s="2" t="s">
        <v>21</v>
      </c>
    </row>
    <row r="8682" ht="15.75" customHeight="1">
      <c r="A8682" s="2">
        <v>2017.0</v>
      </c>
      <c r="B8682" s="2" t="s">
        <v>35448</v>
      </c>
      <c r="C8682" s="2" t="s">
        <v>35973</v>
      </c>
      <c r="D8682" s="2" t="str">
        <f>"(817) 819-1092"</f>
        <v>(817) 819-1092</v>
      </c>
      <c r="E8682" s="2" t="s">
        <v>239</v>
      </c>
      <c r="F8682" s="2" t="s">
        <v>35974</v>
      </c>
      <c r="G8682" s="2" t="str">
        <f>"SR-11571"</f>
        <v>SR-11571</v>
      </c>
      <c r="H8682" s="2" t="s">
        <v>35975</v>
      </c>
      <c r="I8682" s="2" t="s">
        <v>35976</v>
      </c>
      <c r="K8682" s="2" t="s">
        <v>1260</v>
      </c>
      <c r="L8682" s="2" t="s">
        <v>172</v>
      </c>
      <c r="M8682" s="2">
        <v>76118.0</v>
      </c>
      <c r="N8682" s="2" t="s">
        <v>21</v>
      </c>
    </row>
    <row r="8683" ht="15.75" customHeight="1">
      <c r="A8683" s="2">
        <v>2017.0</v>
      </c>
      <c r="B8683" s="2" t="s">
        <v>16800</v>
      </c>
      <c r="C8683" s="2" t="s">
        <v>35977</v>
      </c>
      <c r="D8683" s="2" t="str">
        <f>"828-788-4856"</f>
        <v>828-788-4856</v>
      </c>
      <c r="E8683" s="2" t="s">
        <v>50</v>
      </c>
      <c r="F8683" s="2" t="s">
        <v>35978</v>
      </c>
      <c r="G8683" s="2" t="str">
        <f>"SR-11553"</f>
        <v>SR-11553</v>
      </c>
      <c r="H8683" s="2" t="s">
        <v>35979</v>
      </c>
      <c r="I8683" s="2" t="s">
        <v>16803</v>
      </c>
      <c r="K8683" s="2" t="s">
        <v>16804</v>
      </c>
      <c r="L8683" s="2" t="s">
        <v>20</v>
      </c>
      <c r="M8683" s="2">
        <v>28723.0</v>
      </c>
      <c r="N8683" s="2" t="s">
        <v>21</v>
      </c>
    </row>
    <row r="8684" ht="15.75" customHeight="1">
      <c r="A8684" s="2">
        <v>2017.0</v>
      </c>
      <c r="B8684" s="2" t="s">
        <v>35980</v>
      </c>
      <c r="C8684" s="2" t="s">
        <v>35981</v>
      </c>
      <c r="D8684" s="2" t="str">
        <f>"719-264-0248"</f>
        <v>719-264-0248</v>
      </c>
      <c r="E8684" s="2" t="s">
        <v>2031</v>
      </c>
      <c r="F8684" s="2" t="s">
        <v>4011</v>
      </c>
      <c r="G8684" s="2" t="str">
        <f>"SR-11566"</f>
        <v>SR-11566</v>
      </c>
      <c r="H8684" s="2" t="s">
        <v>35982</v>
      </c>
      <c r="I8684" s="2" t="s">
        <v>35983</v>
      </c>
      <c r="K8684" s="2" t="s">
        <v>809</v>
      </c>
      <c r="L8684" s="2" t="s">
        <v>157</v>
      </c>
      <c r="M8684" s="2">
        <v>80920.0</v>
      </c>
      <c r="N8684" s="2" t="s">
        <v>21</v>
      </c>
    </row>
    <row r="8685" ht="15.75" customHeight="1">
      <c r="A8685" s="2">
        <v>2017.0</v>
      </c>
      <c r="B8685" s="2" t="s">
        <v>16800</v>
      </c>
      <c r="C8685" s="2" t="s">
        <v>16801</v>
      </c>
      <c r="D8685" s="2" t="str">
        <f>"828-736-5120"</f>
        <v>828-736-5120</v>
      </c>
      <c r="E8685" s="2" t="s">
        <v>2314</v>
      </c>
      <c r="F8685" s="2" t="s">
        <v>2101</v>
      </c>
      <c r="G8685" s="2" t="str">
        <f>"SR-5123"</f>
        <v>SR-5123</v>
      </c>
      <c r="H8685" s="2" t="s">
        <v>16802</v>
      </c>
      <c r="I8685" s="2" t="s">
        <v>16803</v>
      </c>
      <c r="K8685" s="2" t="s">
        <v>16804</v>
      </c>
      <c r="L8685" s="2" t="s">
        <v>20</v>
      </c>
      <c r="M8685" s="2">
        <v>28723.0</v>
      </c>
      <c r="N8685" s="2" t="s">
        <v>21</v>
      </c>
    </row>
    <row r="8686" ht="15.75" customHeight="1">
      <c r="A8686" s="2">
        <v>2017.0</v>
      </c>
      <c r="B8686" s="2" t="s">
        <v>35984</v>
      </c>
      <c r="C8686" s="2" t="s">
        <v>35985</v>
      </c>
      <c r="D8686" s="2" t="str">
        <f>"91572415621"</f>
        <v>91572415621</v>
      </c>
      <c r="E8686" s="2" t="s">
        <v>8605</v>
      </c>
      <c r="F8686" s="2" t="s">
        <v>35986</v>
      </c>
      <c r="G8686" s="2" t="str">
        <f>"SR-11594"</f>
        <v>SR-11594</v>
      </c>
      <c r="H8686" s="2" t="s">
        <v>35987</v>
      </c>
      <c r="I8686" s="2" t="s">
        <v>35988</v>
      </c>
      <c r="K8686" s="2" t="s">
        <v>21247</v>
      </c>
      <c r="L8686" s="2" t="s">
        <v>172</v>
      </c>
      <c r="M8686" s="2">
        <v>79936.0</v>
      </c>
      <c r="N8686" s="2" t="s">
        <v>21</v>
      </c>
    </row>
    <row r="8687" ht="15.75" customHeight="1">
      <c r="A8687" s="2">
        <v>2017.0</v>
      </c>
      <c r="B8687" s="2" t="s">
        <v>35955</v>
      </c>
      <c r="C8687" s="2" t="s">
        <v>35989</v>
      </c>
      <c r="D8687" s="2" t="str">
        <f>"7195290644"</f>
        <v>7195290644</v>
      </c>
      <c r="E8687" s="2" t="s">
        <v>35990</v>
      </c>
      <c r="F8687" s="2" t="s">
        <v>4417</v>
      </c>
      <c r="G8687" s="2" t="str">
        <f>"SR-11515"</f>
        <v>SR-11515</v>
      </c>
      <c r="H8687" s="2" t="s">
        <v>35991</v>
      </c>
      <c r="I8687" s="2" t="s">
        <v>35992</v>
      </c>
      <c r="K8687" s="2" t="s">
        <v>35959</v>
      </c>
      <c r="L8687" s="2" t="s">
        <v>560</v>
      </c>
      <c r="M8687" s="2">
        <v>50271.0</v>
      </c>
      <c r="N8687" s="2" t="s">
        <v>35993</v>
      </c>
    </row>
    <row r="8688" ht="15.75" customHeight="1">
      <c r="A8688" s="2">
        <v>2017.0</v>
      </c>
      <c r="B8688" s="2" t="s">
        <v>35994</v>
      </c>
      <c r="C8688" s="2" t="s">
        <v>35994</v>
      </c>
      <c r="D8688" s="2" t="str">
        <f>"+504 9789 2037"</f>
        <v>+504 9789 2037</v>
      </c>
      <c r="E8688" s="2" t="s">
        <v>261</v>
      </c>
      <c r="F8688" s="2" t="s">
        <v>3144</v>
      </c>
      <c r="G8688" s="2" t="str">
        <f>"SR-11589"</f>
        <v>SR-11589</v>
      </c>
      <c r="H8688" s="2" t="s">
        <v>12733</v>
      </c>
      <c r="I8688" s="2" t="s">
        <v>35995</v>
      </c>
      <c r="K8688" s="2" t="s">
        <v>2449</v>
      </c>
      <c r="L8688" s="2" t="s">
        <v>344</v>
      </c>
      <c r="M8688" s="2">
        <v>43130.0</v>
      </c>
      <c r="N8688" s="2" t="s">
        <v>21</v>
      </c>
    </row>
    <row r="8689" ht="15.75" customHeight="1">
      <c r="A8689" s="2">
        <v>2017.0</v>
      </c>
      <c r="B8689" s="2" t="s">
        <v>35996</v>
      </c>
      <c r="C8689" s="2" t="s">
        <v>35997</v>
      </c>
      <c r="D8689" s="2" t="str">
        <f>"815-356-9300"</f>
        <v>815-356-9300</v>
      </c>
      <c r="E8689" s="2" t="s">
        <v>167</v>
      </c>
      <c r="F8689" s="2" t="s">
        <v>35998</v>
      </c>
      <c r="G8689" s="2" t="str">
        <f>"SR-11584"</f>
        <v>SR-11584</v>
      </c>
      <c r="H8689" s="2" t="s">
        <v>35999</v>
      </c>
      <c r="I8689" s="2" t="s">
        <v>36000</v>
      </c>
      <c r="K8689" s="2" t="s">
        <v>5208</v>
      </c>
      <c r="L8689" s="2" t="s">
        <v>105</v>
      </c>
      <c r="M8689" s="2">
        <v>60014.0</v>
      </c>
      <c r="N8689" s="2" t="s">
        <v>21</v>
      </c>
    </row>
    <row r="8690" ht="15.75" customHeight="1">
      <c r="A8690" s="2">
        <v>2017.0</v>
      </c>
      <c r="B8690" s="2" t="s">
        <v>36001</v>
      </c>
      <c r="C8690" s="2" t="s">
        <v>36002</v>
      </c>
      <c r="D8690" s="2" t="str">
        <f>"205-422-3547"</f>
        <v>205-422-3547</v>
      </c>
      <c r="E8690" s="2" t="s">
        <v>3305</v>
      </c>
      <c r="F8690" s="2" t="s">
        <v>639</v>
      </c>
      <c r="G8690" s="2" t="str">
        <f>"SR-11509"</f>
        <v>SR-11509</v>
      </c>
      <c r="H8690" s="2" t="s">
        <v>23694</v>
      </c>
      <c r="I8690" s="2" t="s">
        <v>36003</v>
      </c>
      <c r="K8690" s="2" t="s">
        <v>22576</v>
      </c>
      <c r="L8690" s="2" t="s">
        <v>539</v>
      </c>
      <c r="M8690" s="2">
        <v>35186.0</v>
      </c>
      <c r="N8690" s="2" t="s">
        <v>21</v>
      </c>
    </row>
    <row r="8691" ht="15.75" customHeight="1">
      <c r="A8691" s="2">
        <v>2017.0</v>
      </c>
      <c r="B8691" s="2" t="s">
        <v>36001</v>
      </c>
      <c r="C8691" s="2" t="s">
        <v>36004</v>
      </c>
      <c r="D8691" s="2" t="str">
        <f>"2054223547"</f>
        <v>2054223547</v>
      </c>
      <c r="E8691" s="2" t="s">
        <v>137</v>
      </c>
      <c r="F8691" s="2" t="s">
        <v>639</v>
      </c>
      <c r="G8691" s="2" t="str">
        <f>"SR-11590"</f>
        <v>SR-11590</v>
      </c>
      <c r="H8691" s="2" t="s">
        <v>36005</v>
      </c>
      <c r="I8691" s="2" t="s">
        <v>36006</v>
      </c>
      <c r="K8691" s="2" t="s">
        <v>22576</v>
      </c>
      <c r="L8691" s="2" t="s">
        <v>539</v>
      </c>
      <c r="M8691" s="2">
        <v>35186.0</v>
      </c>
      <c r="N8691" s="2" t="s">
        <v>21</v>
      </c>
    </row>
    <row r="8692" ht="15.75" customHeight="1">
      <c r="A8692" s="2">
        <v>2017.0</v>
      </c>
      <c r="B8692" s="2" t="s">
        <v>36007</v>
      </c>
      <c r="D8692" s="2" t="str">
        <f>"901-267-2552"</f>
        <v>901-267-2552</v>
      </c>
      <c r="E8692" s="2" t="s">
        <v>36008</v>
      </c>
      <c r="F8692" s="2" t="s">
        <v>15519</v>
      </c>
      <c r="G8692" s="2" t="str">
        <f>"SR-11604"</f>
        <v>SR-11604</v>
      </c>
      <c r="H8692" s="2" t="s">
        <v>36009</v>
      </c>
      <c r="I8692" s="2" t="s">
        <v>36010</v>
      </c>
      <c r="K8692" s="2" t="s">
        <v>5437</v>
      </c>
      <c r="L8692" s="2" t="s">
        <v>279</v>
      </c>
      <c r="M8692" s="2">
        <v>38135.0</v>
      </c>
      <c r="N8692" s="2" t="s">
        <v>21</v>
      </c>
    </row>
    <row r="8693" ht="15.75" customHeight="1">
      <c r="A8693" s="2">
        <v>2017.0</v>
      </c>
      <c r="B8693" s="2" t="s">
        <v>36011</v>
      </c>
      <c r="C8693" s="2" t="s">
        <v>36011</v>
      </c>
      <c r="D8693" s="2" t="str">
        <f>"5625874245"</f>
        <v>5625874245</v>
      </c>
      <c r="E8693" s="2" t="s">
        <v>11423</v>
      </c>
      <c r="F8693" s="2" t="s">
        <v>36012</v>
      </c>
      <c r="G8693" s="2" t="str">
        <f>"SR-11405"</f>
        <v>SR-11405</v>
      </c>
      <c r="H8693" s="2" t="s">
        <v>36013</v>
      </c>
      <c r="I8693" s="2" t="s">
        <v>36014</v>
      </c>
      <c r="K8693" s="2" t="s">
        <v>6915</v>
      </c>
      <c r="L8693" s="2" t="s">
        <v>222</v>
      </c>
      <c r="M8693" s="2">
        <v>92683.0</v>
      </c>
      <c r="N8693" s="2" t="s">
        <v>21</v>
      </c>
    </row>
    <row r="8694" ht="15.75" customHeight="1">
      <c r="A8694" s="2">
        <v>2017.0</v>
      </c>
      <c r="B8694" s="2" t="s">
        <v>36015</v>
      </c>
      <c r="C8694" s="2" t="s">
        <v>36016</v>
      </c>
      <c r="D8694" s="2" t="str">
        <f>"609-500-8886"</f>
        <v>609-500-8886</v>
      </c>
      <c r="E8694" s="2" t="s">
        <v>584</v>
      </c>
      <c r="F8694" s="2" t="s">
        <v>12167</v>
      </c>
      <c r="G8694" s="2" t="str">
        <f>"SR-11586"</f>
        <v>SR-11586</v>
      </c>
      <c r="H8694" s="2" t="s">
        <v>36017</v>
      </c>
      <c r="I8694" s="2" t="s">
        <v>36018</v>
      </c>
      <c r="K8694" s="2" t="s">
        <v>7727</v>
      </c>
      <c r="L8694" s="2" t="s">
        <v>3618</v>
      </c>
      <c r="M8694" s="2">
        <v>8048.0</v>
      </c>
      <c r="N8694" s="2" t="s">
        <v>21</v>
      </c>
    </row>
    <row r="8695" ht="15.75" customHeight="1">
      <c r="A8695" s="2">
        <v>2017.0</v>
      </c>
      <c r="B8695" s="2" t="s">
        <v>36019</v>
      </c>
      <c r="C8695" s="2" t="s">
        <v>36020</v>
      </c>
      <c r="D8695" s="2" t="str">
        <f>"805-469-4647"</f>
        <v>805-469-4647</v>
      </c>
      <c r="E8695" s="2" t="s">
        <v>14000</v>
      </c>
      <c r="F8695" s="2" t="s">
        <v>10775</v>
      </c>
      <c r="G8695" s="2" t="str">
        <f>"SR-11524"</f>
        <v>SR-11524</v>
      </c>
      <c r="H8695" s="2" t="s">
        <v>36021</v>
      </c>
      <c r="I8695" s="2" t="s">
        <v>36022</v>
      </c>
      <c r="K8695" s="2" t="s">
        <v>10778</v>
      </c>
      <c r="L8695" s="2" t="s">
        <v>222</v>
      </c>
      <c r="M8695" s="2">
        <v>93023.0</v>
      </c>
      <c r="N8695" s="2" t="s">
        <v>21</v>
      </c>
    </row>
    <row r="8696" ht="15.75" customHeight="1">
      <c r="A8696" s="2">
        <v>2017.0</v>
      </c>
      <c r="B8696" s="2" t="s">
        <v>36023</v>
      </c>
      <c r="C8696" s="2" t="s">
        <v>36024</v>
      </c>
      <c r="D8696" s="2" t="str">
        <f>"805-659-3343"</f>
        <v>805-659-3343</v>
      </c>
      <c r="E8696" s="2" t="s">
        <v>705</v>
      </c>
      <c r="F8696" s="2" t="s">
        <v>36025</v>
      </c>
      <c r="G8696" s="2" t="str">
        <f>"SR-11602"</f>
        <v>SR-11602</v>
      </c>
      <c r="H8696" s="2" t="s">
        <v>36026</v>
      </c>
      <c r="I8696" s="2" t="s">
        <v>36027</v>
      </c>
      <c r="K8696" s="2" t="s">
        <v>36028</v>
      </c>
      <c r="L8696" s="2" t="s">
        <v>222</v>
      </c>
      <c r="M8696" s="2">
        <v>93004.0</v>
      </c>
      <c r="N8696" s="2" t="s">
        <v>21</v>
      </c>
    </row>
    <row r="8697" ht="15.75" customHeight="1">
      <c r="A8697" s="2">
        <v>2017.0</v>
      </c>
      <c r="B8697" s="2" t="s">
        <v>36029</v>
      </c>
      <c r="C8697" s="2" t="s">
        <v>36029</v>
      </c>
      <c r="D8697" s="2" t="str">
        <f>"4037002412"</f>
        <v>4037002412</v>
      </c>
      <c r="E8697" s="2" t="s">
        <v>2857</v>
      </c>
      <c r="F8697" s="2" t="s">
        <v>36030</v>
      </c>
      <c r="G8697" s="2" t="str">
        <f>"SR-11609"</f>
        <v>SR-11609</v>
      </c>
      <c r="H8697" s="2" t="s">
        <v>36031</v>
      </c>
      <c r="I8697" s="2" t="s">
        <v>36032</v>
      </c>
      <c r="K8697" s="2" t="s">
        <v>36033</v>
      </c>
      <c r="L8697" s="2" t="s">
        <v>6726</v>
      </c>
      <c r="M8697" s="2" t="s">
        <v>36034</v>
      </c>
      <c r="N8697" s="2" t="s">
        <v>1602</v>
      </c>
    </row>
    <row r="8698" ht="15.75" customHeight="1">
      <c r="A8698" s="2">
        <v>2017.0</v>
      </c>
      <c r="B8698" s="2" t="s">
        <v>36035</v>
      </c>
      <c r="C8698" s="2" t="s">
        <v>36035</v>
      </c>
      <c r="D8698" s="2" t="str">
        <f>"8168764438"</f>
        <v>8168764438</v>
      </c>
      <c r="E8698" s="2" t="s">
        <v>36036</v>
      </c>
      <c r="F8698" s="2" t="s">
        <v>4164</v>
      </c>
      <c r="G8698" s="2" t="str">
        <f>"SR-10411"</f>
        <v>SR-10411</v>
      </c>
      <c r="H8698" s="2" t="s">
        <v>36037</v>
      </c>
      <c r="I8698" s="2" t="s">
        <v>36038</v>
      </c>
      <c r="K8698" s="2" t="s">
        <v>30245</v>
      </c>
      <c r="L8698" s="2" t="s">
        <v>214</v>
      </c>
      <c r="M8698" s="2">
        <v>64082.0</v>
      </c>
      <c r="N8698" s="2" t="s">
        <v>21</v>
      </c>
    </row>
    <row r="8699" ht="15.75" customHeight="1">
      <c r="A8699" s="2">
        <v>2017.0</v>
      </c>
      <c r="B8699" s="2" t="s">
        <v>36039</v>
      </c>
      <c r="C8699" s="2" t="s">
        <v>36040</v>
      </c>
      <c r="D8699" s="2" t="str">
        <f>"612-636-9039"</f>
        <v>612-636-9039</v>
      </c>
      <c r="E8699" s="2" t="s">
        <v>5667</v>
      </c>
      <c r="F8699" s="2" t="s">
        <v>36041</v>
      </c>
      <c r="G8699" s="2" t="str">
        <f>"SR-11610"</f>
        <v>SR-11610</v>
      </c>
      <c r="H8699" s="2" t="s">
        <v>36042</v>
      </c>
      <c r="I8699" s="2" t="s">
        <v>36043</v>
      </c>
      <c r="K8699" s="2" t="s">
        <v>36044</v>
      </c>
      <c r="L8699" s="2" t="s">
        <v>62</v>
      </c>
      <c r="M8699" s="2">
        <v>55418.0</v>
      </c>
      <c r="N8699" s="2" t="s">
        <v>21</v>
      </c>
    </row>
    <row r="8700" ht="15.75" customHeight="1">
      <c r="A8700" s="2">
        <v>2017.0</v>
      </c>
      <c r="B8700" s="2" t="s">
        <v>36045</v>
      </c>
      <c r="C8700" s="2" t="s">
        <v>36045</v>
      </c>
      <c r="D8700" s="2" t="str">
        <f>"423-453-0037"</f>
        <v>423-453-0037</v>
      </c>
      <c r="E8700" s="2" t="s">
        <v>36046</v>
      </c>
      <c r="F8700" s="2" t="s">
        <v>8945</v>
      </c>
      <c r="G8700" s="2" t="str">
        <f>"SR-11452"</f>
        <v>SR-11452</v>
      </c>
      <c r="H8700" s="2" t="s">
        <v>36047</v>
      </c>
      <c r="I8700" s="2" t="s">
        <v>36048</v>
      </c>
      <c r="K8700" s="2" t="s">
        <v>36049</v>
      </c>
      <c r="L8700" s="2" t="s">
        <v>279</v>
      </c>
      <c r="M8700" s="2">
        <v>37303.0</v>
      </c>
      <c r="N8700" s="2" t="s">
        <v>21</v>
      </c>
    </row>
    <row r="8701" ht="15.75" customHeight="1">
      <c r="A8701" s="2">
        <v>2017.0</v>
      </c>
      <c r="B8701" s="2" t="s">
        <v>36050</v>
      </c>
      <c r="C8701" s="2" t="s">
        <v>36051</v>
      </c>
      <c r="D8701" s="2" t="str">
        <f>"972-765-3173"</f>
        <v>972-765-3173</v>
      </c>
      <c r="E8701" s="2" t="s">
        <v>2243</v>
      </c>
      <c r="F8701" s="2" t="s">
        <v>30324</v>
      </c>
      <c r="G8701" s="2" t="str">
        <f>"SR-11617"</f>
        <v>SR-11617</v>
      </c>
      <c r="H8701" s="2" t="s">
        <v>36052</v>
      </c>
      <c r="I8701" s="2" t="s">
        <v>36053</v>
      </c>
      <c r="K8701" s="2" t="s">
        <v>36054</v>
      </c>
      <c r="L8701" s="2" t="s">
        <v>715</v>
      </c>
      <c r="M8701" s="2">
        <v>70361.0</v>
      </c>
      <c r="N8701" s="2" t="s">
        <v>21</v>
      </c>
    </row>
    <row r="8702" ht="15.75" customHeight="1">
      <c r="A8702" s="2">
        <v>2017.0</v>
      </c>
      <c r="B8702" s="2" t="s">
        <v>36055</v>
      </c>
      <c r="C8702" s="2" t="s">
        <v>36056</v>
      </c>
      <c r="D8702" s="2" t="str">
        <f>"8438460401"</f>
        <v>8438460401</v>
      </c>
      <c r="E8702" s="2" t="s">
        <v>4968</v>
      </c>
      <c r="F8702" s="2" t="s">
        <v>3576</v>
      </c>
      <c r="G8702" s="2" t="str">
        <f>"SR-11551"</f>
        <v>SR-11551</v>
      </c>
      <c r="H8702" s="2" t="s">
        <v>36057</v>
      </c>
      <c r="I8702" s="2" t="s">
        <v>36058</v>
      </c>
      <c r="K8702" s="2" t="s">
        <v>26737</v>
      </c>
      <c r="L8702" s="2" t="s">
        <v>55</v>
      </c>
      <c r="M8702" s="2">
        <v>29906.0</v>
      </c>
      <c r="N8702" s="2" t="s">
        <v>21</v>
      </c>
    </row>
    <row r="8703" ht="15.75" customHeight="1">
      <c r="A8703" s="2">
        <v>2017.0</v>
      </c>
      <c r="B8703" s="2" t="s">
        <v>36059</v>
      </c>
      <c r="C8703" s="2" t="s">
        <v>36059</v>
      </c>
      <c r="D8703" s="2" t="str">
        <f t="shared" ref="D8703:D8704" si="135">"9413785923"</f>
        <v>9413785923</v>
      </c>
      <c r="E8703" s="2" t="s">
        <v>6202</v>
      </c>
      <c r="F8703" s="2" t="s">
        <v>36060</v>
      </c>
      <c r="G8703" s="2" t="str">
        <f>"SR-11620"</f>
        <v>SR-11620</v>
      </c>
      <c r="H8703" s="2" t="s">
        <v>36061</v>
      </c>
      <c r="I8703" s="2" t="s">
        <v>36062</v>
      </c>
      <c r="K8703" s="2" t="s">
        <v>207</v>
      </c>
      <c r="L8703" s="2" t="s">
        <v>208</v>
      </c>
      <c r="M8703" s="2">
        <v>34232.0</v>
      </c>
      <c r="N8703" s="2" t="s">
        <v>21</v>
      </c>
    </row>
    <row r="8704" ht="15.75" customHeight="1">
      <c r="A8704" s="2">
        <v>2017.0</v>
      </c>
      <c r="B8704" s="2" t="s">
        <v>36059</v>
      </c>
      <c r="C8704" s="2" t="s">
        <v>36063</v>
      </c>
      <c r="D8704" s="2" t="str">
        <f t="shared" si="135"/>
        <v>9413785923</v>
      </c>
      <c r="E8704" s="2" t="s">
        <v>3305</v>
      </c>
      <c r="F8704" s="2" t="s">
        <v>36060</v>
      </c>
      <c r="G8704" s="2" t="str">
        <f>"SR-11622"</f>
        <v>SR-11622</v>
      </c>
      <c r="H8704" s="2" t="s">
        <v>36064</v>
      </c>
      <c r="I8704" s="2" t="s">
        <v>36062</v>
      </c>
      <c r="K8704" s="2" t="s">
        <v>207</v>
      </c>
      <c r="L8704" s="2" t="s">
        <v>208</v>
      </c>
      <c r="M8704" s="2">
        <v>34232.0</v>
      </c>
      <c r="N8704" s="2" t="s">
        <v>21</v>
      </c>
    </row>
    <row r="8705" ht="15.75" customHeight="1">
      <c r="A8705" s="2">
        <v>2017.0</v>
      </c>
      <c r="B8705" s="2" t="s">
        <v>36065</v>
      </c>
      <c r="C8705" s="2" t="s">
        <v>36066</v>
      </c>
      <c r="D8705" s="2" t="str">
        <f>"509-312-0737"</f>
        <v>509-312-0737</v>
      </c>
      <c r="E8705" s="2" t="s">
        <v>50</v>
      </c>
      <c r="F8705" s="2" t="s">
        <v>36067</v>
      </c>
      <c r="G8705" s="2" t="str">
        <f>"SR-11625"</f>
        <v>SR-11625</v>
      </c>
      <c r="H8705" s="2" t="s">
        <v>36068</v>
      </c>
      <c r="I8705" s="2" t="s">
        <v>36069</v>
      </c>
      <c r="K8705" s="2" t="s">
        <v>85</v>
      </c>
      <c r="L8705" s="2" t="s">
        <v>86</v>
      </c>
      <c r="M8705" s="2">
        <v>98926.0</v>
      </c>
      <c r="N8705" s="2" t="s">
        <v>21</v>
      </c>
    </row>
    <row r="8706" ht="15.75" customHeight="1">
      <c r="A8706" s="2">
        <v>2017.0</v>
      </c>
      <c r="B8706" s="2" t="s">
        <v>36070</v>
      </c>
      <c r="C8706" s="2" t="s">
        <v>36071</v>
      </c>
      <c r="D8706" s="2" t="str">
        <f>"210-831-2138"</f>
        <v>210-831-2138</v>
      </c>
      <c r="E8706" s="2" t="s">
        <v>5760</v>
      </c>
      <c r="F8706" s="2" t="s">
        <v>250</v>
      </c>
      <c r="G8706" s="2" t="str">
        <f>"SR-11213"</f>
        <v>SR-11213</v>
      </c>
      <c r="H8706" s="2" t="s">
        <v>36072</v>
      </c>
      <c r="I8706" s="2" t="s">
        <v>36073</v>
      </c>
      <c r="K8706" s="2" t="s">
        <v>29864</v>
      </c>
      <c r="L8706" s="2" t="s">
        <v>172</v>
      </c>
      <c r="M8706" s="2">
        <v>78070.0</v>
      </c>
      <c r="N8706" s="2" t="s">
        <v>21</v>
      </c>
    </row>
    <row r="8707" ht="15.75" customHeight="1">
      <c r="A8707" s="2">
        <v>2017.0</v>
      </c>
      <c r="B8707" s="2" t="s">
        <v>8948</v>
      </c>
      <c r="C8707" s="2" t="s">
        <v>8948</v>
      </c>
      <c r="D8707" s="2" t="str">
        <f>"72724497815"</f>
        <v>72724497815</v>
      </c>
      <c r="E8707" s="2" t="s">
        <v>8386</v>
      </c>
      <c r="F8707" s="2" t="s">
        <v>8949</v>
      </c>
      <c r="G8707" s="2" t="str">
        <f>"SR-2637"</f>
        <v>SR-2637</v>
      </c>
      <c r="H8707" s="2" t="s">
        <v>8950</v>
      </c>
      <c r="I8707" s="2" t="s">
        <v>8951</v>
      </c>
      <c r="K8707" s="2" t="s">
        <v>414</v>
      </c>
      <c r="L8707" s="2" t="s">
        <v>208</v>
      </c>
      <c r="M8707" s="2">
        <v>33777.0</v>
      </c>
      <c r="N8707" s="2" t="s">
        <v>21</v>
      </c>
    </row>
    <row r="8708" ht="15.75" customHeight="1">
      <c r="A8708" s="2">
        <v>2017.0</v>
      </c>
      <c r="B8708" s="2" t="s">
        <v>35725</v>
      </c>
      <c r="C8708" s="2" t="s">
        <v>36074</v>
      </c>
      <c r="D8708" s="2" t="str">
        <f>"2162726581"</f>
        <v>2162726581</v>
      </c>
      <c r="E8708" s="2" t="s">
        <v>29606</v>
      </c>
      <c r="F8708" s="2" t="s">
        <v>35727</v>
      </c>
      <c r="G8708" s="2" t="str">
        <f>"SR-11628"</f>
        <v>SR-11628</v>
      </c>
      <c r="H8708" s="2" t="s">
        <v>36075</v>
      </c>
      <c r="I8708" s="2" t="s">
        <v>35729</v>
      </c>
      <c r="K8708" s="2" t="s">
        <v>30588</v>
      </c>
      <c r="L8708" s="2" t="s">
        <v>344</v>
      </c>
      <c r="M8708" s="2">
        <v>45066.0</v>
      </c>
      <c r="N8708" s="2" t="s">
        <v>21</v>
      </c>
    </row>
    <row r="8709" ht="15.75" customHeight="1">
      <c r="A8709" s="2">
        <v>2017.0</v>
      </c>
      <c r="B8709" s="2" t="s">
        <v>36076</v>
      </c>
      <c r="C8709" s="2" t="s">
        <v>36077</v>
      </c>
      <c r="D8709" s="2" t="str">
        <f>"417-437-8400"</f>
        <v>417-437-8400</v>
      </c>
      <c r="E8709" s="2" t="s">
        <v>1141</v>
      </c>
      <c r="F8709" s="2" t="s">
        <v>645</v>
      </c>
      <c r="G8709" s="2" t="str">
        <f>"SR-11623"</f>
        <v>SR-11623</v>
      </c>
      <c r="H8709" s="2" t="s">
        <v>36078</v>
      </c>
      <c r="I8709" s="2" t="s">
        <v>36079</v>
      </c>
      <c r="K8709" s="2" t="s">
        <v>36080</v>
      </c>
      <c r="L8709" s="2" t="s">
        <v>840</v>
      </c>
      <c r="M8709" s="2">
        <v>74363.0</v>
      </c>
      <c r="N8709" s="2" t="s">
        <v>21</v>
      </c>
    </row>
    <row r="8710" ht="15.75" customHeight="1">
      <c r="A8710" s="2">
        <v>2017.0</v>
      </c>
      <c r="B8710" s="2" t="s">
        <v>36081</v>
      </c>
      <c r="C8710" s="2" t="s">
        <v>36081</v>
      </c>
      <c r="D8710" s="2" t="str">
        <f>"4046456248"</f>
        <v>4046456248</v>
      </c>
      <c r="E8710" s="2" t="s">
        <v>5991</v>
      </c>
      <c r="F8710" s="2" t="s">
        <v>36082</v>
      </c>
      <c r="G8710" s="2" t="str">
        <f>"SR-11627"</f>
        <v>SR-11627</v>
      </c>
      <c r="H8710" s="2" t="s">
        <v>36083</v>
      </c>
      <c r="I8710" s="2" t="s">
        <v>36084</v>
      </c>
      <c r="K8710" s="2" t="s">
        <v>7218</v>
      </c>
      <c r="L8710" s="2" t="s">
        <v>200</v>
      </c>
      <c r="M8710" s="2">
        <v>30075.0</v>
      </c>
      <c r="N8710" s="2" t="s">
        <v>21</v>
      </c>
    </row>
    <row r="8711" ht="15.75" customHeight="1">
      <c r="A8711" s="2">
        <v>2017.0</v>
      </c>
      <c r="B8711" s="2" t="s">
        <v>36085</v>
      </c>
      <c r="C8711" s="2" t="s">
        <v>36086</v>
      </c>
      <c r="D8711" s="2" t="str">
        <f>"4077573210"</f>
        <v>4077573210</v>
      </c>
      <c r="E8711" s="2" t="s">
        <v>1197</v>
      </c>
      <c r="F8711" s="2" t="s">
        <v>868</v>
      </c>
      <c r="G8711" s="2" t="str">
        <f>"SR-11544"</f>
        <v>SR-11544</v>
      </c>
      <c r="H8711" s="2" t="s">
        <v>36087</v>
      </c>
      <c r="I8711" s="2" t="s">
        <v>36088</v>
      </c>
      <c r="K8711" s="2" t="s">
        <v>4773</v>
      </c>
      <c r="L8711" s="2" t="s">
        <v>208</v>
      </c>
      <c r="M8711" s="2">
        <v>32771.0</v>
      </c>
      <c r="N8711" s="2" t="s">
        <v>21</v>
      </c>
    </row>
    <row r="8712" ht="15.75" customHeight="1">
      <c r="A8712" s="2">
        <v>2017.0</v>
      </c>
      <c r="B8712" s="2" t="s">
        <v>36089</v>
      </c>
      <c r="C8712" s="2" t="s">
        <v>36090</v>
      </c>
      <c r="D8712" s="2" t="str">
        <f>"970-622-9552"</f>
        <v>970-622-9552</v>
      </c>
      <c r="E8712" s="2" t="s">
        <v>659</v>
      </c>
      <c r="F8712" s="2" t="s">
        <v>36091</v>
      </c>
      <c r="G8712" s="2" t="str">
        <f>"SR-11634"</f>
        <v>SR-11634</v>
      </c>
      <c r="H8712" s="2" t="s">
        <v>36092</v>
      </c>
      <c r="I8712" s="2" t="s">
        <v>36093</v>
      </c>
      <c r="K8712" s="2" t="s">
        <v>36094</v>
      </c>
      <c r="L8712" s="2" t="s">
        <v>344</v>
      </c>
      <c r="M8712" s="2">
        <v>44130.0</v>
      </c>
      <c r="N8712" s="2" t="s">
        <v>21</v>
      </c>
    </row>
    <row r="8713" ht="15.75" customHeight="1">
      <c r="A8713" s="2">
        <v>2017.0</v>
      </c>
      <c r="B8713" s="2" t="s">
        <v>36095</v>
      </c>
      <c r="C8713" s="2" t="s">
        <v>36095</v>
      </c>
      <c r="D8713" s="2" t="str">
        <f>"5039390892"</f>
        <v>5039390892</v>
      </c>
      <c r="E8713" s="2" t="s">
        <v>15428</v>
      </c>
      <c r="F8713" s="2" t="s">
        <v>36096</v>
      </c>
      <c r="G8713" s="2" t="str">
        <f>"SR-11358"</f>
        <v>SR-11358</v>
      </c>
      <c r="H8713" s="2" t="s">
        <v>36097</v>
      </c>
      <c r="I8713" s="2" t="s">
        <v>36098</v>
      </c>
      <c r="K8713" s="2" t="s">
        <v>19112</v>
      </c>
      <c r="L8713" s="2" t="s">
        <v>2389</v>
      </c>
      <c r="M8713" s="2">
        <v>97078.0</v>
      </c>
      <c r="N8713" s="2" t="s">
        <v>21</v>
      </c>
    </row>
    <row r="8714" ht="15.75" customHeight="1">
      <c r="A8714" s="2">
        <v>2017.0</v>
      </c>
      <c r="B8714" s="2" t="s">
        <v>35448</v>
      </c>
      <c r="C8714" s="2" t="s">
        <v>36099</v>
      </c>
      <c r="D8714" s="2" t="str">
        <f>"(817) 377-1199"</f>
        <v>(817) 377-1199</v>
      </c>
      <c r="E8714" s="2" t="s">
        <v>36100</v>
      </c>
      <c r="F8714" s="2" t="s">
        <v>36101</v>
      </c>
      <c r="G8714" s="2" t="str">
        <f>"SR-11374"</f>
        <v>SR-11374</v>
      </c>
      <c r="H8714" s="2" t="s">
        <v>36102</v>
      </c>
      <c r="I8714" s="2" t="s">
        <v>36103</v>
      </c>
      <c r="K8714" s="2" t="s">
        <v>1260</v>
      </c>
      <c r="L8714" s="2" t="s">
        <v>172</v>
      </c>
      <c r="M8714" s="2">
        <v>76116.0</v>
      </c>
      <c r="N8714" s="2" t="s">
        <v>21</v>
      </c>
    </row>
    <row r="8715" ht="15.75" customHeight="1">
      <c r="A8715" s="2">
        <v>2017.0</v>
      </c>
      <c r="B8715" s="2" t="s">
        <v>36104</v>
      </c>
      <c r="C8715" s="2" t="s">
        <v>36105</v>
      </c>
      <c r="D8715" s="2" t="str">
        <f>"505-313-5774"</f>
        <v>505-313-5774</v>
      </c>
      <c r="E8715" s="2" t="s">
        <v>2314</v>
      </c>
      <c r="F8715" s="2" t="s">
        <v>3212</v>
      </c>
      <c r="G8715" s="2" t="str">
        <f>"SR-11640"</f>
        <v>SR-11640</v>
      </c>
      <c r="H8715" s="2" t="s">
        <v>36106</v>
      </c>
      <c r="I8715" s="2" t="s">
        <v>36107</v>
      </c>
      <c r="K8715" s="2" t="s">
        <v>1127</v>
      </c>
      <c r="L8715" s="2" t="s">
        <v>157</v>
      </c>
      <c r="M8715" s="2">
        <v>80814.0</v>
      </c>
      <c r="N8715" s="2" t="s">
        <v>21</v>
      </c>
    </row>
    <row r="8716" ht="15.75" customHeight="1">
      <c r="A8716" s="2">
        <v>2017.0</v>
      </c>
      <c r="B8716" s="2" t="s">
        <v>36108</v>
      </c>
      <c r="C8716" s="2" t="s">
        <v>36108</v>
      </c>
      <c r="D8716" s="2" t="str">
        <f>"903-423-1081"</f>
        <v>903-423-1081</v>
      </c>
      <c r="E8716" s="2" t="s">
        <v>217</v>
      </c>
      <c r="F8716" s="2" t="s">
        <v>36109</v>
      </c>
      <c r="G8716" s="2" t="str">
        <f>"SR-11632"</f>
        <v>SR-11632</v>
      </c>
      <c r="H8716" s="2" t="s">
        <v>36110</v>
      </c>
      <c r="I8716" s="2" t="s">
        <v>36111</v>
      </c>
      <c r="K8716" s="2" t="s">
        <v>36112</v>
      </c>
      <c r="L8716" s="2" t="s">
        <v>172</v>
      </c>
      <c r="M8716" s="2">
        <v>75789.0</v>
      </c>
      <c r="N8716" s="2" t="s">
        <v>21</v>
      </c>
    </row>
    <row r="8717" ht="15.75" customHeight="1">
      <c r="A8717" s="2">
        <v>2017.0</v>
      </c>
      <c r="B8717" s="2" t="s">
        <v>36113</v>
      </c>
      <c r="C8717" s="2" t="s">
        <v>36114</v>
      </c>
      <c r="D8717" s="2" t="str">
        <f>"2148644105"</f>
        <v>2148644105</v>
      </c>
      <c r="E8717" s="2" t="s">
        <v>20352</v>
      </c>
      <c r="F8717" s="2" t="s">
        <v>8782</v>
      </c>
      <c r="G8717" s="2" t="str">
        <f>"SR-11626"</f>
        <v>SR-11626</v>
      </c>
      <c r="H8717" s="2" t="s">
        <v>36115</v>
      </c>
      <c r="I8717" s="2" t="s">
        <v>36116</v>
      </c>
      <c r="K8717" s="2" t="s">
        <v>3576</v>
      </c>
      <c r="L8717" s="2" t="s">
        <v>172</v>
      </c>
      <c r="M8717" s="2">
        <v>75082.0</v>
      </c>
      <c r="N8717" s="2" t="s">
        <v>21</v>
      </c>
    </row>
    <row r="8718" ht="15.75" customHeight="1">
      <c r="A8718" s="2">
        <v>2017.0</v>
      </c>
      <c r="B8718" s="2" t="s">
        <v>36117</v>
      </c>
      <c r="C8718" s="2" t="s">
        <v>36118</v>
      </c>
      <c r="D8718" s="2" t="str">
        <f>"3035232036"</f>
        <v>3035232036</v>
      </c>
      <c r="E8718" s="2" t="s">
        <v>4300</v>
      </c>
      <c r="F8718" s="2" t="s">
        <v>1151</v>
      </c>
      <c r="G8718" s="2" t="str">
        <f>"SR-11156"</f>
        <v>SR-11156</v>
      </c>
      <c r="H8718" s="2" t="s">
        <v>36119</v>
      </c>
      <c r="I8718" s="2" t="s">
        <v>36120</v>
      </c>
      <c r="K8718" s="2" t="s">
        <v>1502</v>
      </c>
      <c r="L8718" s="2" t="s">
        <v>157</v>
      </c>
      <c r="M8718" s="2">
        <v>80004.0</v>
      </c>
      <c r="N8718" s="2" t="s">
        <v>21</v>
      </c>
    </row>
    <row r="8719" ht="15.75" customHeight="1">
      <c r="A8719" s="2">
        <v>2017.0</v>
      </c>
      <c r="B8719" s="2" t="s">
        <v>36121</v>
      </c>
      <c r="C8719" s="2" t="s">
        <v>36121</v>
      </c>
      <c r="D8719" s="2" t="str">
        <f>"336-314-9264"</f>
        <v>336-314-9264</v>
      </c>
      <c r="E8719" s="2" t="s">
        <v>36122</v>
      </c>
      <c r="F8719" s="2" t="s">
        <v>9392</v>
      </c>
      <c r="G8719" s="2" t="str">
        <f>"SR-11631"</f>
        <v>SR-11631</v>
      </c>
      <c r="H8719" s="2" t="s">
        <v>36123</v>
      </c>
      <c r="I8719" s="2" t="s">
        <v>36124</v>
      </c>
      <c r="K8719" s="2" t="s">
        <v>5837</v>
      </c>
      <c r="L8719" s="2" t="s">
        <v>20</v>
      </c>
      <c r="M8719" s="2">
        <v>27407.0</v>
      </c>
      <c r="N8719" s="2" t="s">
        <v>21</v>
      </c>
    </row>
    <row r="8720" ht="15.75" customHeight="1">
      <c r="A8720" s="2">
        <v>2017.0</v>
      </c>
      <c r="B8720" s="2" t="s">
        <v>36125</v>
      </c>
      <c r="C8720" s="2" t="s">
        <v>36125</v>
      </c>
      <c r="D8720" s="2" t="str">
        <f>"6058772342"</f>
        <v>6058772342</v>
      </c>
      <c r="E8720" s="2" t="s">
        <v>2635</v>
      </c>
      <c r="F8720" s="2" t="s">
        <v>6655</v>
      </c>
      <c r="G8720" s="2" t="str">
        <f>"SR-11652"</f>
        <v>SR-11652</v>
      </c>
      <c r="H8720" s="2" t="s">
        <v>36126</v>
      </c>
      <c r="I8720" s="2" t="s">
        <v>36127</v>
      </c>
      <c r="K8720" s="2" t="s">
        <v>11510</v>
      </c>
      <c r="L8720" s="2" t="s">
        <v>920</v>
      </c>
      <c r="M8720" s="2">
        <v>57702.0</v>
      </c>
      <c r="N8720" s="2" t="s">
        <v>21</v>
      </c>
    </row>
    <row r="8721" ht="15.75" customHeight="1">
      <c r="A8721" s="2">
        <v>2017.0</v>
      </c>
      <c r="B8721" s="2" t="s">
        <v>36128</v>
      </c>
      <c r="C8721" s="2" t="s">
        <v>36129</v>
      </c>
      <c r="D8721" s="2" t="str">
        <f>"443-745-9265"</f>
        <v>443-745-9265</v>
      </c>
      <c r="E8721" s="2" t="s">
        <v>2083</v>
      </c>
      <c r="F8721" s="2" t="s">
        <v>36130</v>
      </c>
      <c r="G8721" s="2" t="str">
        <f>"SR-11644"</f>
        <v>SR-11644</v>
      </c>
      <c r="H8721" s="2" t="s">
        <v>36131</v>
      </c>
      <c r="I8721" s="2" t="s">
        <v>36132</v>
      </c>
      <c r="K8721" s="2" t="s">
        <v>36133</v>
      </c>
      <c r="L8721" s="2" t="s">
        <v>179</v>
      </c>
      <c r="M8721" s="2">
        <v>19335.0</v>
      </c>
      <c r="N8721" s="2" t="s">
        <v>21</v>
      </c>
    </row>
    <row r="8722" ht="15.75" customHeight="1">
      <c r="A8722" s="2">
        <v>2017.0</v>
      </c>
      <c r="B8722" s="2" t="s">
        <v>24811</v>
      </c>
      <c r="C8722" s="2" t="s">
        <v>24811</v>
      </c>
      <c r="D8722" s="2" t="str">
        <f>"9162131210"</f>
        <v>9162131210</v>
      </c>
      <c r="E8722" s="2" t="s">
        <v>24812</v>
      </c>
      <c r="F8722" s="2" t="s">
        <v>24813</v>
      </c>
      <c r="G8722" s="2" t="str">
        <f>"SR-11654"</f>
        <v>SR-11654</v>
      </c>
      <c r="H8722" s="2" t="s">
        <v>24814</v>
      </c>
      <c r="I8722" s="2" t="s">
        <v>35954</v>
      </c>
      <c r="K8722" s="2" t="s">
        <v>24816</v>
      </c>
      <c r="L8722" s="2" t="s">
        <v>222</v>
      </c>
      <c r="M8722" s="2">
        <v>95605.0</v>
      </c>
      <c r="N8722" s="2" t="s">
        <v>21</v>
      </c>
    </row>
    <row r="8723" ht="15.75" customHeight="1">
      <c r="A8723" s="2">
        <v>2017.0</v>
      </c>
      <c r="B8723" s="2" t="s">
        <v>24811</v>
      </c>
      <c r="C8723" s="2" t="s">
        <v>35952</v>
      </c>
      <c r="D8723" s="2" t="str">
        <f>"9163467818"</f>
        <v>9163467818</v>
      </c>
      <c r="E8723" s="2" t="s">
        <v>27752</v>
      </c>
      <c r="F8723" s="2" t="s">
        <v>24813</v>
      </c>
      <c r="G8723" s="2" t="str">
        <f>"SR-11655"</f>
        <v>SR-11655</v>
      </c>
      <c r="H8723" s="2" t="s">
        <v>35953</v>
      </c>
      <c r="I8723" s="2" t="s">
        <v>35954</v>
      </c>
      <c r="K8723" s="2" t="s">
        <v>24816</v>
      </c>
      <c r="L8723" s="2" t="s">
        <v>222</v>
      </c>
      <c r="M8723" s="2">
        <v>95605.0</v>
      </c>
      <c r="N8723" s="2" t="s">
        <v>21</v>
      </c>
    </row>
    <row r="8724" ht="15.75" customHeight="1">
      <c r="A8724" s="2">
        <v>2017.0</v>
      </c>
      <c r="B8724" s="2" t="s">
        <v>36134</v>
      </c>
      <c r="C8724" s="2" t="s">
        <v>36134</v>
      </c>
      <c r="D8724" s="2" t="str">
        <f>"931-332-3692"</f>
        <v>931-332-3692</v>
      </c>
      <c r="E8724" s="2" t="s">
        <v>6937</v>
      </c>
      <c r="F8724" s="2" t="s">
        <v>28906</v>
      </c>
      <c r="G8724" s="2" t="str">
        <f>"SR-11467"</f>
        <v>SR-11467</v>
      </c>
      <c r="H8724" s="2" t="s">
        <v>36135</v>
      </c>
      <c r="I8724" s="2" t="s">
        <v>36136</v>
      </c>
      <c r="K8724" s="2" t="s">
        <v>29129</v>
      </c>
      <c r="L8724" s="2" t="s">
        <v>279</v>
      </c>
      <c r="M8724" s="2">
        <v>38485.0</v>
      </c>
      <c r="N8724" s="2" t="s">
        <v>21</v>
      </c>
    </row>
    <row r="8725" ht="15.75" customHeight="1">
      <c r="A8725" s="2">
        <v>2017.0</v>
      </c>
      <c r="B8725" s="2" t="s">
        <v>36137</v>
      </c>
      <c r="D8725" s="2" t="str">
        <f>""</f>
        <v/>
      </c>
      <c r="E8725" s="2" t="s">
        <v>485</v>
      </c>
      <c r="F8725" s="2" t="s">
        <v>2429</v>
      </c>
      <c r="G8725" s="2" t="str">
        <f>"SR-11657"</f>
        <v>SR-11657</v>
      </c>
      <c r="H8725" s="2" t="s">
        <v>36138</v>
      </c>
    </row>
    <row r="8726" ht="15.75" customHeight="1">
      <c r="A8726" s="2">
        <v>2017.0</v>
      </c>
      <c r="B8726" s="2" t="s">
        <v>36139</v>
      </c>
      <c r="C8726" s="2" t="s">
        <v>36140</v>
      </c>
      <c r="D8726" s="2" t="str">
        <f>"952-649-8810"</f>
        <v>952-649-8810</v>
      </c>
      <c r="E8726" s="2" t="s">
        <v>3888</v>
      </c>
      <c r="F8726" s="2" t="s">
        <v>36141</v>
      </c>
      <c r="G8726" s="2" t="str">
        <f>"SR-11660"</f>
        <v>SR-11660</v>
      </c>
      <c r="H8726" s="2" t="s">
        <v>36142</v>
      </c>
      <c r="I8726" s="2" t="s">
        <v>36143</v>
      </c>
      <c r="K8726" s="2" t="s">
        <v>1019</v>
      </c>
      <c r="L8726" s="2" t="s">
        <v>62</v>
      </c>
      <c r="M8726" s="2">
        <v>55437.0</v>
      </c>
      <c r="N8726" s="2" t="s">
        <v>21</v>
      </c>
    </row>
    <row r="8727" ht="15.75" customHeight="1">
      <c r="A8727" s="2">
        <v>2017.0</v>
      </c>
      <c r="B8727" s="2" t="s">
        <v>36144</v>
      </c>
      <c r="C8727" s="2" t="s">
        <v>36145</v>
      </c>
      <c r="D8727" s="2" t="str">
        <f>"8325767003"</f>
        <v>8325767003</v>
      </c>
      <c r="E8727" s="2" t="s">
        <v>580</v>
      </c>
      <c r="F8727" s="2" t="s">
        <v>36146</v>
      </c>
      <c r="G8727" s="2" t="str">
        <f>"SR-11583"</f>
        <v>SR-11583</v>
      </c>
      <c r="H8727" s="2" t="s">
        <v>36147</v>
      </c>
      <c r="I8727" s="2" t="s">
        <v>36148</v>
      </c>
      <c r="K8727" s="2" t="s">
        <v>809</v>
      </c>
      <c r="L8727" s="2" t="s">
        <v>157</v>
      </c>
      <c r="M8727" s="2">
        <v>80921.0</v>
      </c>
      <c r="N8727" s="2" t="s">
        <v>21</v>
      </c>
    </row>
    <row r="8728" ht="15.75" customHeight="1">
      <c r="A8728" s="2">
        <v>2017.0</v>
      </c>
      <c r="B8728" s="2" t="s">
        <v>36149</v>
      </c>
      <c r="C8728" s="2" t="s">
        <v>36150</v>
      </c>
      <c r="D8728" s="2" t="str">
        <f>"479-595-3759"</f>
        <v>479-595-3759</v>
      </c>
      <c r="E8728" s="2" t="s">
        <v>2243</v>
      </c>
      <c r="F8728" s="2" t="s">
        <v>21658</v>
      </c>
      <c r="G8728" s="2" t="str">
        <f>"SR-11443"</f>
        <v>SR-11443</v>
      </c>
      <c r="H8728" s="2" t="s">
        <v>21683</v>
      </c>
      <c r="I8728" s="2" t="s">
        <v>36151</v>
      </c>
      <c r="K8728" s="2" t="s">
        <v>3164</v>
      </c>
      <c r="L8728" s="2" t="s">
        <v>1012</v>
      </c>
      <c r="M8728" s="2">
        <v>72704.0</v>
      </c>
      <c r="N8728" s="2" t="s">
        <v>21</v>
      </c>
    </row>
    <row r="8729" ht="15.75" customHeight="1">
      <c r="A8729" s="2">
        <v>2017.0</v>
      </c>
      <c r="B8729" s="2" t="s">
        <v>36152</v>
      </c>
      <c r="C8729" s="2" t="s">
        <v>36153</v>
      </c>
      <c r="D8729" s="2" t="str">
        <f>"908-608-7430"</f>
        <v>908-608-7430</v>
      </c>
      <c r="E8729" s="2" t="s">
        <v>908</v>
      </c>
      <c r="F8729" s="2" t="s">
        <v>36154</v>
      </c>
      <c r="G8729" s="2" t="str">
        <f>"SR-11493"</f>
        <v>SR-11493</v>
      </c>
      <c r="H8729" s="2" t="s">
        <v>36155</v>
      </c>
      <c r="I8729" s="2" t="s">
        <v>36156</v>
      </c>
      <c r="K8729" s="2" t="s">
        <v>36157</v>
      </c>
      <c r="L8729" s="2" t="s">
        <v>3618</v>
      </c>
      <c r="M8729" s="2">
        <v>8807.0</v>
      </c>
      <c r="N8729" s="2" t="s">
        <v>21</v>
      </c>
    </row>
    <row r="8730" ht="15.75" customHeight="1">
      <c r="A8730" s="2">
        <v>2017.0</v>
      </c>
      <c r="B8730" s="2" t="s">
        <v>36158</v>
      </c>
      <c r="C8730" s="2" t="s">
        <v>36158</v>
      </c>
      <c r="D8730" s="2" t="str">
        <f>"7193830267"</f>
        <v>7193830267</v>
      </c>
      <c r="E8730" s="2" t="s">
        <v>580</v>
      </c>
      <c r="F8730" s="2" t="s">
        <v>24289</v>
      </c>
      <c r="G8730" s="2" t="str">
        <f>"SR-5203"</f>
        <v>SR-5203</v>
      </c>
      <c r="H8730" s="2" t="s">
        <v>36159</v>
      </c>
      <c r="I8730" s="2" t="s">
        <v>36160</v>
      </c>
      <c r="K8730" s="2" t="s">
        <v>36161</v>
      </c>
      <c r="L8730" s="2" t="s">
        <v>157</v>
      </c>
      <c r="M8730" s="2">
        <v>81050.0</v>
      </c>
      <c r="N8730" s="2" t="s">
        <v>21</v>
      </c>
    </row>
    <row r="8731" ht="15.75" customHeight="1">
      <c r="A8731" s="2">
        <v>2017.0</v>
      </c>
      <c r="B8731" s="2" t="s">
        <v>36162</v>
      </c>
      <c r="C8731" s="2" t="s">
        <v>36163</v>
      </c>
      <c r="D8731" s="2" t="str">
        <f>"5617563237"</f>
        <v>5617563237</v>
      </c>
      <c r="E8731" s="2" t="s">
        <v>36164</v>
      </c>
      <c r="F8731" s="2" t="s">
        <v>36165</v>
      </c>
      <c r="G8731" s="2" t="str">
        <f>"SR-7294"</f>
        <v>SR-7294</v>
      </c>
      <c r="H8731" s="2" t="s">
        <v>36166</v>
      </c>
      <c r="I8731" s="2" t="s">
        <v>36167</v>
      </c>
      <c r="K8731" s="2" t="s">
        <v>36168</v>
      </c>
      <c r="L8731" s="2" t="s">
        <v>208</v>
      </c>
      <c r="M8731" s="2">
        <v>33444.0</v>
      </c>
      <c r="N8731" s="2" t="s">
        <v>21</v>
      </c>
    </row>
    <row r="8732" ht="15.75" customHeight="1">
      <c r="A8732" s="2">
        <v>2017.0</v>
      </c>
      <c r="B8732" s="2" t="s">
        <v>36169</v>
      </c>
      <c r="C8732" s="2" t="s">
        <v>36169</v>
      </c>
      <c r="D8732" s="2" t="str">
        <f>"(561)-451-7538"</f>
        <v>(561)-451-7538</v>
      </c>
      <c r="E8732" s="2" t="s">
        <v>36170</v>
      </c>
      <c r="F8732" s="2" t="s">
        <v>36171</v>
      </c>
      <c r="G8732" s="2" t="str">
        <f>"SR-11431"</f>
        <v>SR-11431</v>
      </c>
      <c r="H8732" s="2" t="s">
        <v>36172</v>
      </c>
      <c r="I8732" s="2" t="s">
        <v>36173</v>
      </c>
      <c r="K8732" s="2" t="s">
        <v>2273</v>
      </c>
      <c r="L8732" s="2" t="s">
        <v>208</v>
      </c>
      <c r="M8732" s="2">
        <v>33487.0</v>
      </c>
      <c r="N8732" s="2" t="s">
        <v>21</v>
      </c>
    </row>
    <row r="8733" ht="15.75" customHeight="1">
      <c r="A8733" s="2">
        <v>2017.0</v>
      </c>
      <c r="B8733" s="2" t="s">
        <v>36174</v>
      </c>
      <c r="C8733" s="2" t="s">
        <v>36174</v>
      </c>
      <c r="D8733" s="2" t="str">
        <f>"(512) 968-5718"</f>
        <v>(512) 968-5718</v>
      </c>
      <c r="E8733" s="2" t="s">
        <v>2947</v>
      </c>
      <c r="F8733" s="2" t="s">
        <v>22542</v>
      </c>
      <c r="G8733" s="2" t="str">
        <f>"SR-11453"</f>
        <v>SR-11453</v>
      </c>
      <c r="H8733" s="2" t="s">
        <v>36175</v>
      </c>
      <c r="I8733" s="2" t="s">
        <v>36176</v>
      </c>
      <c r="K8733" s="2" t="s">
        <v>4687</v>
      </c>
      <c r="L8733" s="2" t="s">
        <v>172</v>
      </c>
      <c r="M8733" s="2">
        <v>78665.0</v>
      </c>
      <c r="N8733" s="2" t="s">
        <v>21</v>
      </c>
    </row>
    <row r="8734" ht="15.75" customHeight="1">
      <c r="A8734" s="2">
        <v>2017.0</v>
      </c>
      <c r="B8734" s="2" t="s">
        <v>36177</v>
      </c>
      <c r="C8734" s="2" t="s">
        <v>36178</v>
      </c>
      <c r="D8734" s="2" t="str">
        <f>"4074082106"</f>
        <v>4074082106</v>
      </c>
      <c r="E8734" s="2" t="s">
        <v>1263</v>
      </c>
      <c r="F8734" s="2" t="s">
        <v>353</v>
      </c>
      <c r="G8734" s="2" t="str">
        <f>"SR-11665"</f>
        <v>SR-11665</v>
      </c>
      <c r="H8734" s="2" t="s">
        <v>36179</v>
      </c>
      <c r="I8734" s="2" t="s">
        <v>36180</v>
      </c>
      <c r="K8734" s="2" t="s">
        <v>6349</v>
      </c>
      <c r="L8734" s="2" t="s">
        <v>208</v>
      </c>
      <c r="M8734" s="2">
        <v>32725.0</v>
      </c>
      <c r="N8734" s="2" t="s">
        <v>21</v>
      </c>
    </row>
    <row r="8735" ht="15.75" customHeight="1">
      <c r="A8735" s="2">
        <v>2017.0</v>
      </c>
      <c r="B8735" s="2" t="s">
        <v>36181</v>
      </c>
      <c r="C8735" s="2" t="s">
        <v>36182</v>
      </c>
      <c r="D8735" s="2" t="str">
        <f>"8706239482"</f>
        <v>8706239482</v>
      </c>
      <c r="E8735" s="2" t="s">
        <v>36183</v>
      </c>
      <c r="F8735" s="2" t="s">
        <v>14532</v>
      </c>
      <c r="G8735" s="2" t="str">
        <f>"SR-11666"</f>
        <v>SR-11666</v>
      </c>
      <c r="H8735" s="2" t="s">
        <v>36184</v>
      </c>
      <c r="I8735" s="2" t="s">
        <v>36185</v>
      </c>
      <c r="K8735" s="2" t="s">
        <v>26737</v>
      </c>
      <c r="L8735" s="2" t="s">
        <v>55</v>
      </c>
      <c r="M8735" s="2">
        <v>29902.0</v>
      </c>
      <c r="N8735" s="2" t="s">
        <v>21</v>
      </c>
    </row>
    <row r="8736" ht="15.75" customHeight="1">
      <c r="A8736" s="2">
        <v>2017.0</v>
      </c>
      <c r="B8736" s="2" t="s">
        <v>36186</v>
      </c>
      <c r="C8736" s="2" t="s">
        <v>36187</v>
      </c>
      <c r="D8736" s="2" t="str">
        <f>"4233126215"</f>
        <v>4233126215</v>
      </c>
      <c r="E8736" s="2" t="s">
        <v>3191</v>
      </c>
      <c r="F8736" s="2" t="s">
        <v>28513</v>
      </c>
      <c r="G8736" s="2" t="str">
        <f>"SR-11615"</f>
        <v>SR-11615</v>
      </c>
      <c r="H8736" s="2" t="s">
        <v>36188</v>
      </c>
      <c r="I8736" s="2" t="s">
        <v>36189</v>
      </c>
      <c r="K8736" s="2" t="s">
        <v>21028</v>
      </c>
      <c r="L8736" s="2" t="s">
        <v>279</v>
      </c>
      <c r="M8736" s="2">
        <v>37877.0</v>
      </c>
      <c r="N8736" s="2" t="s">
        <v>21</v>
      </c>
    </row>
    <row r="8737" ht="15.75" customHeight="1">
      <c r="A8737" s="2">
        <v>2017.0</v>
      </c>
      <c r="B8737" s="2" t="s">
        <v>36190</v>
      </c>
      <c r="C8737" s="2" t="s">
        <v>36190</v>
      </c>
      <c r="D8737" s="2" t="str">
        <f>"7035958808"</f>
        <v>7035958808</v>
      </c>
      <c r="E8737" s="2" t="s">
        <v>250</v>
      </c>
      <c r="F8737" s="2" t="s">
        <v>7165</v>
      </c>
      <c r="G8737" s="2" t="str">
        <f>"SR-11667"</f>
        <v>SR-11667</v>
      </c>
      <c r="H8737" s="2" t="s">
        <v>36191</v>
      </c>
      <c r="I8737" s="2" t="s">
        <v>36192</v>
      </c>
      <c r="K8737" s="2" t="s">
        <v>1154</v>
      </c>
      <c r="L8737" s="2" t="s">
        <v>1236</v>
      </c>
      <c r="M8737" s="2">
        <v>41102.0</v>
      </c>
      <c r="N8737" s="2" t="s">
        <v>21</v>
      </c>
    </row>
    <row r="8738" ht="15.75" customHeight="1">
      <c r="A8738" s="2">
        <v>2017.0</v>
      </c>
      <c r="B8738" s="2" t="s">
        <v>36193</v>
      </c>
      <c r="C8738" s="2" t="s">
        <v>36194</v>
      </c>
      <c r="D8738" s="2" t="str">
        <f>"785-423-4716"</f>
        <v>785-423-4716</v>
      </c>
      <c r="E8738" s="2" t="s">
        <v>36195</v>
      </c>
      <c r="F8738" s="2" t="s">
        <v>36196</v>
      </c>
      <c r="G8738" s="2" t="str">
        <f>"SR-11674"</f>
        <v>SR-11674</v>
      </c>
      <c r="H8738" s="2" t="s">
        <v>36197</v>
      </c>
      <c r="I8738" s="2" t="s">
        <v>36198</v>
      </c>
      <c r="K8738" s="2" t="s">
        <v>4216</v>
      </c>
      <c r="L8738" s="2" t="s">
        <v>172</v>
      </c>
      <c r="M8738" s="2">
        <v>77406.0</v>
      </c>
      <c r="N8738" s="2" t="s">
        <v>21</v>
      </c>
    </row>
    <row r="8739" ht="15.75" customHeight="1">
      <c r="A8739" s="2">
        <v>2017.0</v>
      </c>
      <c r="B8739" s="2" t="s">
        <v>36199</v>
      </c>
      <c r="C8739" s="2" t="s">
        <v>36200</v>
      </c>
      <c r="D8739" s="2" t="str">
        <f>"4256435998"</f>
        <v>4256435998</v>
      </c>
      <c r="E8739" s="2" t="s">
        <v>2309</v>
      </c>
      <c r="F8739" s="2" t="s">
        <v>10492</v>
      </c>
      <c r="G8739" s="2" t="str">
        <f>"SR-11611"</f>
        <v>SR-11611</v>
      </c>
      <c r="H8739" s="2" t="s">
        <v>36201</v>
      </c>
      <c r="I8739" s="2" t="s">
        <v>36202</v>
      </c>
      <c r="K8739" s="2" t="s">
        <v>7873</v>
      </c>
      <c r="L8739" s="2" t="s">
        <v>86</v>
      </c>
      <c r="M8739" s="2">
        <v>98006.0</v>
      </c>
      <c r="N8739" s="2" t="s">
        <v>21</v>
      </c>
    </row>
    <row r="8740" ht="15.75" customHeight="1">
      <c r="A8740" s="2">
        <v>2017.0</v>
      </c>
      <c r="B8740" s="2" t="s">
        <v>36203</v>
      </c>
      <c r="C8740" s="2" t="s">
        <v>36204</v>
      </c>
      <c r="D8740" s="2" t="str">
        <f>"918-815-1525"</f>
        <v>918-815-1525</v>
      </c>
      <c r="E8740" s="2" t="s">
        <v>301</v>
      </c>
      <c r="F8740" s="2" t="s">
        <v>320</v>
      </c>
      <c r="G8740" s="2" t="str">
        <f>"SR-11616"</f>
        <v>SR-11616</v>
      </c>
      <c r="H8740" s="2" t="s">
        <v>28822</v>
      </c>
      <c r="I8740" s="2" t="s">
        <v>36205</v>
      </c>
      <c r="K8740" s="2" t="s">
        <v>20517</v>
      </c>
      <c r="L8740" s="2" t="s">
        <v>840</v>
      </c>
      <c r="M8740" s="2">
        <v>74136.0</v>
      </c>
      <c r="N8740" s="2" t="s">
        <v>21</v>
      </c>
    </row>
    <row r="8741" ht="15.75" customHeight="1">
      <c r="A8741" s="2">
        <v>2017.0</v>
      </c>
      <c r="B8741" s="2" t="s">
        <v>36206</v>
      </c>
      <c r="C8741" s="2" t="s">
        <v>36206</v>
      </c>
      <c r="D8741" s="2" t="str">
        <f>"(207) 400-2278"</f>
        <v>(207) 400-2278</v>
      </c>
      <c r="E8741" s="2" t="s">
        <v>250</v>
      </c>
      <c r="F8741" s="2" t="s">
        <v>36207</v>
      </c>
      <c r="G8741" s="2" t="str">
        <f>"SR-11672"</f>
        <v>SR-11672</v>
      </c>
      <c r="H8741" s="2" t="s">
        <v>36208</v>
      </c>
      <c r="I8741" s="2" t="s">
        <v>36209</v>
      </c>
      <c r="K8741" s="2" t="s">
        <v>25208</v>
      </c>
      <c r="L8741" s="2" t="s">
        <v>3737</v>
      </c>
      <c r="M8741" s="2">
        <v>4096.0</v>
      </c>
      <c r="N8741" s="2" t="s">
        <v>21</v>
      </c>
    </row>
    <row r="8742" ht="15.75" customHeight="1">
      <c r="A8742" s="2">
        <v>2017.0</v>
      </c>
      <c r="B8742" s="2" t="s">
        <v>36210</v>
      </c>
      <c r="C8742" s="2" t="s">
        <v>36210</v>
      </c>
      <c r="D8742" s="2" t="str">
        <f>"2146621292"</f>
        <v>2146621292</v>
      </c>
      <c r="E8742" s="2" t="s">
        <v>1306</v>
      </c>
      <c r="F8742" s="2" t="s">
        <v>20114</v>
      </c>
      <c r="G8742" s="2" t="str">
        <f>"SR-10659"</f>
        <v>SR-10659</v>
      </c>
      <c r="H8742" s="2" t="s">
        <v>36211</v>
      </c>
      <c r="I8742" s="2" t="s">
        <v>36212</v>
      </c>
      <c r="K8742" s="2" t="s">
        <v>2643</v>
      </c>
      <c r="L8742" s="2" t="s">
        <v>172</v>
      </c>
      <c r="M8742" s="2">
        <v>75028.0</v>
      </c>
      <c r="N8742" s="2" t="s">
        <v>21</v>
      </c>
    </row>
    <row r="8743" ht="15.75" customHeight="1">
      <c r="A8743" s="2">
        <v>2017.0</v>
      </c>
      <c r="B8743" s="2" t="s">
        <v>29768</v>
      </c>
      <c r="D8743" s="2" t="str">
        <f>""</f>
        <v/>
      </c>
      <c r="E8743" s="2" t="s">
        <v>13609</v>
      </c>
      <c r="F8743" s="2" t="s">
        <v>2875</v>
      </c>
      <c r="G8743" s="2" t="str">
        <f>"SR-8375"</f>
        <v>SR-8375</v>
      </c>
      <c r="H8743" s="2" t="s">
        <v>29769</v>
      </c>
      <c r="N8743" s="2" t="s">
        <v>21</v>
      </c>
    </row>
    <row r="8744" ht="15.75" customHeight="1">
      <c r="A8744" s="2">
        <v>2017.0</v>
      </c>
      <c r="B8744" s="2" t="s">
        <v>36213</v>
      </c>
      <c r="C8744" s="2" t="s">
        <v>36214</v>
      </c>
      <c r="D8744" s="2" t="str">
        <f>"6786199185"</f>
        <v>6786199185</v>
      </c>
      <c r="E8744" s="2" t="s">
        <v>50</v>
      </c>
      <c r="F8744" s="2" t="s">
        <v>36215</v>
      </c>
      <c r="G8744" s="2" t="str">
        <f>"SR-11630"</f>
        <v>SR-11630</v>
      </c>
      <c r="H8744" s="2" t="s">
        <v>36216</v>
      </c>
      <c r="I8744" s="2" t="s">
        <v>36217</v>
      </c>
      <c r="K8744" s="2" t="s">
        <v>8128</v>
      </c>
      <c r="L8744" s="2" t="s">
        <v>200</v>
      </c>
      <c r="M8744" s="2">
        <v>30022.0</v>
      </c>
      <c r="N8744" s="2" t="s">
        <v>21</v>
      </c>
    </row>
    <row r="8745" ht="15.75" customHeight="1">
      <c r="A8745" s="2">
        <v>2017.0</v>
      </c>
      <c r="B8745" s="2" t="s">
        <v>36218</v>
      </c>
      <c r="C8745" s="2" t="s">
        <v>36218</v>
      </c>
      <c r="D8745" s="2" t="str">
        <f>"913-749-6484"</f>
        <v>913-749-6484</v>
      </c>
      <c r="E8745" s="2" t="s">
        <v>1257</v>
      </c>
      <c r="F8745" s="2" t="s">
        <v>10530</v>
      </c>
      <c r="G8745" s="2" t="str">
        <f>"SR-11681"</f>
        <v>SR-11681</v>
      </c>
      <c r="H8745" s="2" t="s">
        <v>36219</v>
      </c>
      <c r="I8745" s="2" t="s">
        <v>36220</v>
      </c>
      <c r="K8745" s="2" t="s">
        <v>3588</v>
      </c>
      <c r="L8745" s="2" t="s">
        <v>272</v>
      </c>
      <c r="M8745" s="2">
        <v>66226.0</v>
      </c>
      <c r="N8745" s="2" t="s">
        <v>21</v>
      </c>
    </row>
    <row r="8746" ht="15.75" customHeight="1">
      <c r="A8746" s="2">
        <v>2017.0</v>
      </c>
      <c r="B8746" s="2" t="s">
        <v>36221</v>
      </c>
      <c r="C8746" s="2" t="s">
        <v>36222</v>
      </c>
      <c r="D8746" s="2" t="str">
        <f>"501-889-4960"</f>
        <v>501-889-4960</v>
      </c>
      <c r="E8746" s="2" t="s">
        <v>2851</v>
      </c>
      <c r="F8746" s="2" t="s">
        <v>457</v>
      </c>
      <c r="G8746" s="2" t="str">
        <f>"SR-11689"</f>
        <v>SR-11689</v>
      </c>
      <c r="H8746" s="2" t="s">
        <v>36223</v>
      </c>
      <c r="I8746" s="2" t="s">
        <v>36224</v>
      </c>
      <c r="K8746" s="2" t="s">
        <v>444</v>
      </c>
      <c r="L8746" s="2" t="s">
        <v>1012</v>
      </c>
      <c r="M8746" s="2">
        <v>72070.0</v>
      </c>
      <c r="N8746" s="2" t="s">
        <v>21</v>
      </c>
    </row>
    <row r="8747" ht="15.75" customHeight="1">
      <c r="A8747" s="2">
        <v>2017.0</v>
      </c>
      <c r="B8747" s="2" t="s">
        <v>36225</v>
      </c>
      <c r="C8747" s="2" t="s">
        <v>36226</v>
      </c>
      <c r="D8747" s="2" t="str">
        <f>"9792195720"</f>
        <v>9792195720</v>
      </c>
      <c r="E8747" s="2" t="s">
        <v>1094</v>
      </c>
      <c r="F8747" s="2" t="s">
        <v>1765</v>
      </c>
      <c r="G8747" s="2" t="str">
        <f>"SR-11673"</f>
        <v>SR-11673</v>
      </c>
      <c r="H8747" s="2" t="s">
        <v>36227</v>
      </c>
      <c r="I8747" s="2" t="s">
        <v>36228</v>
      </c>
      <c r="K8747" s="2" t="s">
        <v>36229</v>
      </c>
      <c r="L8747" s="2" t="s">
        <v>172</v>
      </c>
      <c r="M8747" s="2">
        <v>77845.0</v>
      </c>
      <c r="N8747" s="2" t="s">
        <v>21</v>
      </c>
    </row>
    <row r="8748" ht="15.75" customHeight="1">
      <c r="A8748" s="2">
        <v>2017.0</v>
      </c>
      <c r="B8748" s="2" t="s">
        <v>36230</v>
      </c>
      <c r="C8748" s="2" t="s">
        <v>36231</v>
      </c>
      <c r="D8748" s="2" t="str">
        <f>"3188054693"</f>
        <v>3188054693</v>
      </c>
      <c r="E8748" s="2" t="s">
        <v>34353</v>
      </c>
      <c r="F8748" s="2" t="s">
        <v>21153</v>
      </c>
      <c r="G8748" s="2" t="str">
        <f>"SR-10626"</f>
        <v>SR-10626</v>
      </c>
      <c r="H8748" s="2" t="s">
        <v>36232</v>
      </c>
      <c r="I8748" s="2" t="s">
        <v>36233</v>
      </c>
      <c r="K8748" s="2" t="s">
        <v>4519</v>
      </c>
      <c r="L8748" s="2" t="s">
        <v>715</v>
      </c>
      <c r="M8748" s="2">
        <v>71203.0</v>
      </c>
      <c r="N8748" s="2" t="s">
        <v>21</v>
      </c>
    </row>
    <row r="8749" ht="15.75" customHeight="1">
      <c r="A8749" s="2">
        <v>2017.0</v>
      </c>
      <c r="B8749" s="2" t="s">
        <v>36234</v>
      </c>
      <c r="C8749" s="2" t="s">
        <v>36235</v>
      </c>
      <c r="D8749" s="2" t="str">
        <f>"4235862447"</f>
        <v>4235862447</v>
      </c>
      <c r="E8749" s="2" t="s">
        <v>4322</v>
      </c>
      <c r="F8749" s="2" t="s">
        <v>7087</v>
      </c>
      <c r="G8749" s="2" t="str">
        <f>"SR-11695"</f>
        <v>SR-11695</v>
      </c>
      <c r="H8749" s="2" t="s">
        <v>36236</v>
      </c>
      <c r="I8749" s="2" t="s">
        <v>36237</v>
      </c>
      <c r="K8749" s="2" t="s">
        <v>26664</v>
      </c>
      <c r="L8749" s="2" t="s">
        <v>279</v>
      </c>
      <c r="M8749" s="2">
        <v>37891.0</v>
      </c>
      <c r="N8749" s="2" t="s">
        <v>21</v>
      </c>
    </row>
    <row r="8750" ht="15.75" customHeight="1">
      <c r="A8750" s="2">
        <v>2017.0</v>
      </c>
      <c r="B8750" s="2" t="s">
        <v>36238</v>
      </c>
      <c r="C8750" s="2" t="s">
        <v>36238</v>
      </c>
      <c r="D8750" s="2" t="str">
        <f>"817-694-3815"</f>
        <v>817-694-3815</v>
      </c>
      <c r="E8750" s="2" t="s">
        <v>2598</v>
      </c>
      <c r="F8750" s="2" t="s">
        <v>36239</v>
      </c>
      <c r="G8750" s="2" t="str">
        <f>"SR-11688"</f>
        <v>SR-11688</v>
      </c>
      <c r="H8750" s="2" t="s">
        <v>36240</v>
      </c>
      <c r="I8750" s="2" t="s">
        <v>36241</v>
      </c>
      <c r="K8750" s="2" t="s">
        <v>5729</v>
      </c>
      <c r="L8750" s="2" t="s">
        <v>172</v>
      </c>
      <c r="M8750" s="2">
        <v>76087.0</v>
      </c>
      <c r="N8750" s="2" t="s">
        <v>21</v>
      </c>
    </row>
    <row r="8751" ht="15.75" customHeight="1">
      <c r="A8751" s="2">
        <v>2017.0</v>
      </c>
      <c r="B8751" s="2" t="s">
        <v>36242</v>
      </c>
      <c r="C8751" s="2" t="s">
        <v>36243</v>
      </c>
      <c r="D8751" s="2" t="str">
        <f>"903-714-0816"</f>
        <v>903-714-0816</v>
      </c>
      <c r="E8751" s="2" t="s">
        <v>1548</v>
      </c>
      <c r="F8751" s="2" t="s">
        <v>36244</v>
      </c>
      <c r="G8751" s="2" t="str">
        <f>"SR-11662"</f>
        <v>SR-11662</v>
      </c>
      <c r="H8751" s="2" t="s">
        <v>36245</v>
      </c>
      <c r="I8751" s="2" t="s">
        <v>36246</v>
      </c>
      <c r="K8751" s="2" t="s">
        <v>465</v>
      </c>
      <c r="L8751" s="2" t="s">
        <v>172</v>
      </c>
      <c r="M8751" s="2">
        <v>75707.0</v>
      </c>
      <c r="N8751" s="2" t="s">
        <v>21</v>
      </c>
    </row>
    <row r="8752" ht="15.75" customHeight="1">
      <c r="A8752" s="2">
        <v>2017.0</v>
      </c>
      <c r="B8752" s="2" t="s">
        <v>36247</v>
      </c>
      <c r="C8752" s="2" t="s">
        <v>36247</v>
      </c>
      <c r="D8752" s="2" t="str">
        <f>"4239874094"</f>
        <v>4239874094</v>
      </c>
      <c r="E8752" s="2" t="s">
        <v>261</v>
      </c>
      <c r="F8752" s="2" t="s">
        <v>36248</v>
      </c>
      <c r="G8752" s="2" t="str">
        <f>"SR-11685"</f>
        <v>SR-11685</v>
      </c>
      <c r="H8752" s="2" t="s">
        <v>36249</v>
      </c>
      <c r="I8752" s="2" t="s">
        <v>36250</v>
      </c>
      <c r="K8752" s="2" t="s">
        <v>23449</v>
      </c>
      <c r="L8752" s="2" t="s">
        <v>279</v>
      </c>
      <c r="M8752" s="2">
        <v>37343.0</v>
      </c>
      <c r="N8752" s="2" t="s">
        <v>21</v>
      </c>
    </row>
    <row r="8753" ht="15.75" customHeight="1">
      <c r="A8753" s="2">
        <v>2017.0</v>
      </c>
      <c r="B8753" s="2" t="s">
        <v>36251</v>
      </c>
      <c r="C8753" s="2" t="s">
        <v>36252</v>
      </c>
      <c r="D8753" s="2" t="str">
        <f>"8656805585"</f>
        <v>8656805585</v>
      </c>
      <c r="E8753" s="2" t="s">
        <v>19353</v>
      </c>
      <c r="F8753" s="2" t="s">
        <v>13200</v>
      </c>
      <c r="G8753" s="2" t="str">
        <f>"SR-11694"</f>
        <v>SR-11694</v>
      </c>
      <c r="H8753" s="2" t="s">
        <v>36253</v>
      </c>
      <c r="I8753" s="2" t="s">
        <v>36254</v>
      </c>
      <c r="K8753" s="2" t="s">
        <v>25436</v>
      </c>
      <c r="L8753" s="2" t="s">
        <v>279</v>
      </c>
      <c r="M8753" s="2">
        <v>37760.0</v>
      </c>
      <c r="N8753" s="2" t="s">
        <v>21</v>
      </c>
    </row>
    <row r="8754" ht="15.75" customHeight="1">
      <c r="A8754" s="2">
        <v>2017.0</v>
      </c>
      <c r="B8754" s="2" t="s">
        <v>36255</v>
      </c>
      <c r="C8754" s="2" t="s">
        <v>36256</v>
      </c>
      <c r="D8754" s="2" t="str">
        <f>"17405915001"</f>
        <v>17405915001</v>
      </c>
      <c r="E8754" s="2" t="s">
        <v>167</v>
      </c>
      <c r="F8754" s="2" t="s">
        <v>36257</v>
      </c>
      <c r="G8754" s="2" t="str">
        <f>"SR-11687"</f>
        <v>SR-11687</v>
      </c>
      <c r="H8754" s="2" t="s">
        <v>36258</v>
      </c>
      <c r="I8754" s="2" t="s">
        <v>36259</v>
      </c>
      <c r="K8754" s="2" t="s">
        <v>5108</v>
      </c>
      <c r="L8754" s="2" t="s">
        <v>344</v>
      </c>
      <c r="M8754" s="2">
        <v>45701.0</v>
      </c>
      <c r="N8754" s="2" t="s">
        <v>21</v>
      </c>
    </row>
    <row r="8755" ht="15.75" customHeight="1">
      <c r="A8755" s="2">
        <v>2017.0</v>
      </c>
      <c r="B8755" s="2" t="s">
        <v>36260</v>
      </c>
      <c r="C8755" s="2" t="s">
        <v>36261</v>
      </c>
      <c r="D8755" s="2" t="str">
        <f>"7194255885"</f>
        <v>7194255885</v>
      </c>
      <c r="E8755" s="2" t="s">
        <v>9496</v>
      </c>
      <c r="F8755" s="2" t="s">
        <v>36262</v>
      </c>
      <c r="G8755" s="2" t="str">
        <f>"SR-11676"</f>
        <v>SR-11676</v>
      </c>
      <c r="H8755" s="2" t="s">
        <v>36263</v>
      </c>
      <c r="I8755" s="2" t="s">
        <v>36264</v>
      </c>
      <c r="K8755" s="2" t="s">
        <v>809</v>
      </c>
      <c r="L8755" s="2" t="s">
        <v>157</v>
      </c>
      <c r="M8755" s="2">
        <v>80921.0</v>
      </c>
      <c r="N8755" s="2" t="s">
        <v>21</v>
      </c>
    </row>
    <row r="8756" ht="15.75" customHeight="1">
      <c r="A8756" s="2">
        <v>2017.0</v>
      </c>
      <c r="B8756" s="2" t="s">
        <v>36265</v>
      </c>
      <c r="C8756" s="2" t="s">
        <v>36266</v>
      </c>
      <c r="D8756" s="2" t="str">
        <f>"2709258987"</f>
        <v>2709258987</v>
      </c>
      <c r="E8756" s="2" t="s">
        <v>6381</v>
      </c>
      <c r="F8756" s="2" t="s">
        <v>36267</v>
      </c>
      <c r="G8756" s="2" t="str">
        <f>"SR-10617"</f>
        <v>SR-10617</v>
      </c>
      <c r="H8756" s="2" t="s">
        <v>36268</v>
      </c>
      <c r="I8756" s="2" t="s">
        <v>36269</v>
      </c>
      <c r="K8756" s="2" t="s">
        <v>3671</v>
      </c>
      <c r="L8756" s="2" t="s">
        <v>279</v>
      </c>
      <c r="M8756" s="2">
        <v>37040.0</v>
      </c>
      <c r="N8756" s="2" t="s">
        <v>21</v>
      </c>
    </row>
    <row r="8757" ht="15.75" customHeight="1">
      <c r="A8757" s="2">
        <v>2017.0</v>
      </c>
      <c r="B8757" s="2" t="s">
        <v>36270</v>
      </c>
      <c r="C8757" s="2" t="s">
        <v>36270</v>
      </c>
      <c r="D8757" s="2" t="str">
        <f>"818-383-4985"</f>
        <v>818-383-4985</v>
      </c>
      <c r="E8757" s="2" t="s">
        <v>2243</v>
      </c>
      <c r="F8757" s="2" t="s">
        <v>108</v>
      </c>
      <c r="G8757" s="2" t="str">
        <f>"SR-11335"</f>
        <v>SR-11335</v>
      </c>
      <c r="H8757" s="2" t="s">
        <v>27477</v>
      </c>
      <c r="I8757" s="2" t="s">
        <v>36271</v>
      </c>
      <c r="K8757" s="2" t="s">
        <v>13125</v>
      </c>
      <c r="L8757" s="2" t="s">
        <v>222</v>
      </c>
      <c r="M8757" s="2">
        <v>91304.0</v>
      </c>
      <c r="N8757" s="2" t="s">
        <v>21</v>
      </c>
    </row>
    <row r="8758" ht="15.75" customHeight="1">
      <c r="A8758" s="2">
        <v>2017.0</v>
      </c>
      <c r="B8758" s="2" t="s">
        <v>35679</v>
      </c>
      <c r="C8758" s="2" t="s">
        <v>36272</v>
      </c>
      <c r="D8758" s="2" t="str">
        <f>"334-399-8011"</f>
        <v>334-399-8011</v>
      </c>
      <c r="E8758" s="2" t="s">
        <v>36273</v>
      </c>
      <c r="F8758" s="2" t="s">
        <v>36274</v>
      </c>
      <c r="G8758" s="2" t="str">
        <f>"SR-11520"</f>
        <v>SR-11520</v>
      </c>
      <c r="H8758" s="2" t="s">
        <v>36275</v>
      </c>
      <c r="I8758" s="2" t="s">
        <v>36276</v>
      </c>
      <c r="K8758" s="2" t="s">
        <v>35683</v>
      </c>
      <c r="L8758" s="2" t="s">
        <v>539</v>
      </c>
      <c r="M8758" s="2">
        <v>36092.0</v>
      </c>
      <c r="N8758" s="2" t="s">
        <v>21</v>
      </c>
    </row>
    <row r="8759" ht="15.75" customHeight="1">
      <c r="A8759" s="2">
        <v>2017.0</v>
      </c>
      <c r="B8759" s="2" t="s">
        <v>36277</v>
      </c>
      <c r="C8759" s="2" t="s">
        <v>36277</v>
      </c>
      <c r="D8759" s="2" t="str">
        <f>"(225) 788-2500"</f>
        <v>(225) 788-2500</v>
      </c>
      <c r="E8759" s="2" t="s">
        <v>36278</v>
      </c>
      <c r="F8759" s="2" t="s">
        <v>3590</v>
      </c>
      <c r="G8759" s="2" t="str">
        <f>"SR-11643"</f>
        <v>SR-11643</v>
      </c>
      <c r="H8759" s="2" t="s">
        <v>36279</v>
      </c>
      <c r="I8759" s="2" t="s">
        <v>36280</v>
      </c>
      <c r="K8759" s="2" t="s">
        <v>3654</v>
      </c>
      <c r="L8759" s="2" t="s">
        <v>715</v>
      </c>
      <c r="M8759" s="2">
        <v>70814.0</v>
      </c>
      <c r="N8759" s="2" t="s">
        <v>21</v>
      </c>
    </row>
    <row r="8760" ht="15.75" customHeight="1">
      <c r="A8760" s="2">
        <v>2017.0</v>
      </c>
      <c r="B8760" s="2" t="s">
        <v>36281</v>
      </c>
      <c r="C8760" s="2" t="s">
        <v>36282</v>
      </c>
      <c r="D8760" s="2" t="str">
        <f>"480-717-1817"</f>
        <v>480-717-1817</v>
      </c>
      <c r="E8760" s="2" t="s">
        <v>282</v>
      </c>
      <c r="F8760" s="2" t="s">
        <v>36283</v>
      </c>
      <c r="G8760" s="2" t="str">
        <f>"SR-11359"</f>
        <v>SR-11359</v>
      </c>
      <c r="H8760" s="2" t="s">
        <v>36284</v>
      </c>
      <c r="I8760" s="2" t="s">
        <v>36285</v>
      </c>
      <c r="K8760" s="2" t="s">
        <v>5531</v>
      </c>
      <c r="L8760" s="2" t="s">
        <v>422</v>
      </c>
      <c r="M8760" s="2">
        <v>85212.0</v>
      </c>
      <c r="N8760" s="2" t="s">
        <v>21</v>
      </c>
    </row>
    <row r="8761" ht="15.75" customHeight="1">
      <c r="A8761" s="2">
        <v>2017.0</v>
      </c>
      <c r="B8761" s="2" t="s">
        <v>36286</v>
      </c>
      <c r="D8761" s="2" t="str">
        <f>""</f>
        <v/>
      </c>
      <c r="E8761" s="2" t="s">
        <v>1548</v>
      </c>
      <c r="F8761" s="2" t="s">
        <v>36287</v>
      </c>
      <c r="G8761" s="2" t="str">
        <f>"SR-11465"</f>
        <v>SR-11465</v>
      </c>
      <c r="H8761" s="2" t="s">
        <v>36288</v>
      </c>
      <c r="N8761" s="2" t="s">
        <v>21</v>
      </c>
    </row>
    <row r="8762" ht="15.75" customHeight="1">
      <c r="A8762" s="2">
        <v>2017.0</v>
      </c>
      <c r="B8762" s="2" t="s">
        <v>36289</v>
      </c>
      <c r="C8762" s="2" t="s">
        <v>36289</v>
      </c>
      <c r="D8762" s="2" t="str">
        <f>"712-899-2142"</f>
        <v>712-899-2142</v>
      </c>
      <c r="E8762" s="2" t="s">
        <v>301</v>
      </c>
      <c r="F8762" s="2" t="s">
        <v>32502</v>
      </c>
      <c r="G8762" s="2" t="str">
        <f>"SR-11387"</f>
        <v>SR-11387</v>
      </c>
      <c r="H8762" s="2" t="s">
        <v>36290</v>
      </c>
      <c r="I8762" s="2" t="s">
        <v>36291</v>
      </c>
      <c r="K8762" s="2" t="s">
        <v>36292</v>
      </c>
      <c r="L8762" s="2" t="s">
        <v>560</v>
      </c>
      <c r="M8762" s="2">
        <v>51028.0</v>
      </c>
      <c r="N8762" s="2" t="s">
        <v>21</v>
      </c>
    </row>
    <row r="8763" ht="15.75" customHeight="1">
      <c r="A8763" s="2">
        <v>2017.0</v>
      </c>
      <c r="B8763" s="2" t="s">
        <v>36293</v>
      </c>
      <c r="C8763" s="2" t="s">
        <v>36294</v>
      </c>
      <c r="D8763" s="2" t="str">
        <f>"407-879-3803"</f>
        <v>407-879-3803</v>
      </c>
      <c r="E8763" s="2" t="s">
        <v>36295</v>
      </c>
      <c r="F8763" s="2" t="s">
        <v>36296</v>
      </c>
      <c r="G8763" s="2" t="str">
        <f>"SR-11696"</f>
        <v>SR-11696</v>
      </c>
      <c r="H8763" s="2" t="s">
        <v>36297</v>
      </c>
      <c r="I8763" s="2" t="s">
        <v>36298</v>
      </c>
      <c r="K8763" s="2" t="s">
        <v>34032</v>
      </c>
      <c r="L8763" s="2" t="s">
        <v>208</v>
      </c>
      <c r="M8763" s="2">
        <v>32701.0</v>
      </c>
      <c r="N8763" s="2" t="s">
        <v>21</v>
      </c>
    </row>
    <row r="8764" ht="15.75" customHeight="1">
      <c r="A8764" s="2">
        <v>2017.0</v>
      </c>
      <c r="B8764" s="2" t="s">
        <v>36299</v>
      </c>
      <c r="C8764" s="2" t="s">
        <v>36300</v>
      </c>
      <c r="D8764" s="2" t="str">
        <f>"325-248-3648"</f>
        <v>325-248-3648</v>
      </c>
      <c r="E8764" s="2" t="s">
        <v>10735</v>
      </c>
      <c r="F8764" s="2" t="s">
        <v>36301</v>
      </c>
      <c r="G8764" s="2" t="str">
        <f>"SR-11565"</f>
        <v>SR-11565</v>
      </c>
      <c r="H8764" s="2" t="s">
        <v>36302</v>
      </c>
      <c r="I8764" s="2" t="s">
        <v>36303</v>
      </c>
      <c r="K8764" s="2" t="s">
        <v>36304</v>
      </c>
      <c r="L8764" s="2" t="s">
        <v>172</v>
      </c>
      <c r="M8764" s="2">
        <v>78643.0</v>
      </c>
      <c r="N8764" s="2" t="s">
        <v>21</v>
      </c>
    </row>
    <row r="8765" ht="15.75" customHeight="1">
      <c r="A8765" s="2">
        <v>2017.0</v>
      </c>
      <c r="B8765" s="2" t="s">
        <v>29333</v>
      </c>
      <c r="D8765" s="2" t="str">
        <f>""</f>
        <v/>
      </c>
      <c r="E8765" s="2" t="s">
        <v>4097</v>
      </c>
      <c r="F8765" s="2" t="s">
        <v>1325</v>
      </c>
      <c r="G8765" s="2" t="str">
        <f>"SR-8297"</f>
        <v>SR-8297</v>
      </c>
      <c r="H8765" s="2" t="s">
        <v>29334</v>
      </c>
      <c r="N8765" s="2" t="s">
        <v>21</v>
      </c>
    </row>
    <row r="8766" ht="15.75" customHeight="1">
      <c r="A8766" s="2">
        <v>2017.0</v>
      </c>
      <c r="B8766" s="2" t="s">
        <v>21955</v>
      </c>
      <c r="C8766" s="2" t="s">
        <v>21955</v>
      </c>
      <c r="D8766" s="2" t="str">
        <f>"614-949-9717"</f>
        <v>614-949-9717</v>
      </c>
      <c r="E8766" s="2" t="s">
        <v>72</v>
      </c>
      <c r="F8766" s="2" t="s">
        <v>21956</v>
      </c>
      <c r="G8766" s="2" t="str">
        <f>"SR-6719"</f>
        <v>SR-6719</v>
      </c>
      <c r="H8766" s="2" t="s">
        <v>21957</v>
      </c>
      <c r="I8766" s="2" t="s">
        <v>21958</v>
      </c>
      <c r="K8766" s="2" t="s">
        <v>20729</v>
      </c>
      <c r="L8766" s="2" t="s">
        <v>344</v>
      </c>
      <c r="M8766" s="2">
        <v>43221.0</v>
      </c>
      <c r="N8766" s="2" t="s">
        <v>21</v>
      </c>
    </row>
    <row r="8767" ht="15.75" customHeight="1">
      <c r="A8767" s="2">
        <v>2017.0</v>
      </c>
      <c r="B8767" s="2" t="s">
        <v>36305</v>
      </c>
      <c r="C8767" s="2" t="s">
        <v>36306</v>
      </c>
      <c r="D8767" s="2" t="str">
        <f>"3106255704"</f>
        <v>3106255704</v>
      </c>
      <c r="E8767" s="2" t="s">
        <v>2760</v>
      </c>
      <c r="F8767" s="2" t="s">
        <v>36307</v>
      </c>
      <c r="G8767" s="2" t="str">
        <f>"SR-11618"</f>
        <v>SR-11618</v>
      </c>
      <c r="H8767" s="2" t="s">
        <v>36308</v>
      </c>
      <c r="I8767" s="2" t="s">
        <v>36309</v>
      </c>
      <c r="K8767" s="2" t="s">
        <v>4298</v>
      </c>
      <c r="L8767" s="2" t="s">
        <v>149</v>
      </c>
      <c r="M8767" s="2">
        <v>46814.0</v>
      </c>
      <c r="N8767" s="2" t="s">
        <v>21</v>
      </c>
    </row>
    <row r="8768" ht="15.75" customHeight="1">
      <c r="A8768" s="2">
        <v>2017.0</v>
      </c>
      <c r="B8768" s="2" t="s">
        <v>36310</v>
      </c>
      <c r="C8768" s="2" t="s">
        <v>36311</v>
      </c>
      <c r="D8768" s="2" t="str">
        <f>"9133963693"</f>
        <v>9133963693</v>
      </c>
      <c r="E8768" s="2" t="s">
        <v>36312</v>
      </c>
      <c r="F8768" s="2" t="s">
        <v>36313</v>
      </c>
      <c r="G8768" s="2" t="str">
        <f>"SR-11444"</f>
        <v>SR-11444</v>
      </c>
      <c r="H8768" s="2" t="s">
        <v>36314</v>
      </c>
      <c r="I8768" s="2" t="s">
        <v>36315</v>
      </c>
      <c r="K8768" s="2" t="s">
        <v>36316</v>
      </c>
      <c r="L8768" s="2" t="s">
        <v>157</v>
      </c>
      <c r="M8768" s="2">
        <v>80132.0</v>
      </c>
      <c r="N8768" s="2" t="s">
        <v>21</v>
      </c>
    </row>
    <row r="8769" ht="15.75" customHeight="1">
      <c r="A8769" s="2">
        <v>2017.0</v>
      </c>
      <c r="B8769" s="2" t="s">
        <v>36310</v>
      </c>
      <c r="C8769" s="2" t="s">
        <v>36317</v>
      </c>
      <c r="D8769" s="2" t="str">
        <f>"9136268912"</f>
        <v>9136268912</v>
      </c>
      <c r="E8769" s="2" t="s">
        <v>843</v>
      </c>
      <c r="F8769" s="2" t="s">
        <v>36318</v>
      </c>
      <c r="G8769" s="2" t="str">
        <f>"SR-9449"</f>
        <v>SR-9449</v>
      </c>
      <c r="H8769" s="2" t="s">
        <v>36319</v>
      </c>
      <c r="I8769" s="2" t="s">
        <v>36315</v>
      </c>
      <c r="K8769" s="2" t="s">
        <v>36316</v>
      </c>
      <c r="L8769" s="2" t="s">
        <v>157</v>
      </c>
      <c r="M8769" s="2">
        <v>80132.0</v>
      </c>
      <c r="N8769" s="2" t="s">
        <v>21</v>
      </c>
    </row>
    <row r="8770" ht="15.75" customHeight="1">
      <c r="A8770" s="2">
        <v>2017.0</v>
      </c>
      <c r="B8770" s="2" t="s">
        <v>36320</v>
      </c>
      <c r="C8770" s="2" t="s">
        <v>36321</v>
      </c>
      <c r="D8770" s="2" t="str">
        <f>"205-987-5160"</f>
        <v>205-987-5160</v>
      </c>
      <c r="E8770" s="2" t="s">
        <v>908</v>
      </c>
      <c r="F8770" s="2" t="s">
        <v>36322</v>
      </c>
      <c r="G8770" s="2" t="str">
        <f>"SR-11708"</f>
        <v>SR-11708</v>
      </c>
      <c r="H8770" s="2" t="s">
        <v>36323</v>
      </c>
      <c r="I8770" s="2" t="s">
        <v>36324</v>
      </c>
      <c r="K8770" s="2" t="s">
        <v>1173</v>
      </c>
      <c r="L8770" s="2" t="s">
        <v>539</v>
      </c>
      <c r="M8770" s="2">
        <v>35244.0</v>
      </c>
      <c r="N8770" s="2" t="s">
        <v>21</v>
      </c>
    </row>
    <row r="8771" ht="15.75" customHeight="1">
      <c r="A8771" s="2">
        <v>2017.0</v>
      </c>
      <c r="B8771" s="2" t="s">
        <v>36325</v>
      </c>
      <c r="C8771" s="2" t="s">
        <v>36325</v>
      </c>
      <c r="D8771" s="2" t="str">
        <f>"214-762-7273"</f>
        <v>214-762-7273</v>
      </c>
      <c r="E8771" s="2" t="s">
        <v>27658</v>
      </c>
      <c r="F8771" s="2" t="s">
        <v>36326</v>
      </c>
      <c r="G8771" s="2" t="str">
        <f>"SR-11711"</f>
        <v>SR-11711</v>
      </c>
      <c r="H8771" s="2" t="s">
        <v>36327</v>
      </c>
      <c r="I8771" s="2" t="s">
        <v>36328</v>
      </c>
      <c r="K8771" s="2" t="s">
        <v>1255</v>
      </c>
      <c r="L8771" s="2" t="s">
        <v>172</v>
      </c>
      <c r="M8771" s="2">
        <v>75238.0</v>
      </c>
      <c r="N8771" s="2" t="s">
        <v>21</v>
      </c>
    </row>
    <row r="8772" ht="15.75" customHeight="1">
      <c r="A8772" s="2">
        <v>2017.0</v>
      </c>
      <c r="B8772" s="2" t="s">
        <v>36329</v>
      </c>
      <c r="C8772" s="2" t="s">
        <v>36330</v>
      </c>
      <c r="D8772" s="2" t="str">
        <f>"7204566938"</f>
        <v>7204566938</v>
      </c>
      <c r="E8772" s="2" t="s">
        <v>36331</v>
      </c>
      <c r="F8772" s="2" t="s">
        <v>36332</v>
      </c>
      <c r="G8772" s="2" t="str">
        <f>"SR-11658"</f>
        <v>SR-11658</v>
      </c>
      <c r="H8772" s="2" t="s">
        <v>36333</v>
      </c>
      <c r="I8772" s="2" t="s">
        <v>36334</v>
      </c>
      <c r="K8772" s="2" t="s">
        <v>26614</v>
      </c>
      <c r="L8772" s="2" t="s">
        <v>157</v>
      </c>
      <c r="M8772" s="2">
        <v>80401.0</v>
      </c>
      <c r="N8772" s="2" t="s">
        <v>21</v>
      </c>
    </row>
    <row r="8773" ht="15.75" customHeight="1">
      <c r="A8773" s="2">
        <v>2017.0</v>
      </c>
      <c r="B8773" s="2" t="s">
        <v>36335</v>
      </c>
      <c r="C8773" s="2" t="s">
        <v>36336</v>
      </c>
      <c r="D8773" s="2" t="str">
        <f>"8067736360"</f>
        <v>8067736360</v>
      </c>
      <c r="E8773" s="2" t="s">
        <v>1094</v>
      </c>
      <c r="F8773" s="2" t="s">
        <v>36337</v>
      </c>
      <c r="G8773" s="2" t="str">
        <f>"SR-11717"</f>
        <v>SR-11717</v>
      </c>
      <c r="H8773" s="2" t="s">
        <v>36338</v>
      </c>
      <c r="I8773" s="2" t="s">
        <v>36339</v>
      </c>
      <c r="K8773" s="2" t="s">
        <v>1121</v>
      </c>
      <c r="L8773" s="2" t="s">
        <v>172</v>
      </c>
      <c r="M8773" s="2">
        <v>79412.0</v>
      </c>
      <c r="N8773" s="2" t="s">
        <v>21</v>
      </c>
    </row>
    <row r="8774" ht="15.75" customHeight="1">
      <c r="A8774" s="2">
        <v>2017.0</v>
      </c>
      <c r="B8774" s="2" t="s">
        <v>36340</v>
      </c>
      <c r="C8774" s="2" t="s">
        <v>36341</v>
      </c>
      <c r="D8774" s="2" t="str">
        <f>"6266641955"</f>
        <v>6266641955</v>
      </c>
      <c r="E8774" s="2" t="s">
        <v>1094</v>
      </c>
      <c r="F8774" s="2" t="s">
        <v>35775</v>
      </c>
      <c r="G8774" s="2" t="str">
        <f>"SR-11691"</f>
        <v>SR-11691</v>
      </c>
      <c r="H8774" s="2" t="s">
        <v>36342</v>
      </c>
      <c r="I8774" s="2" t="s">
        <v>36343</v>
      </c>
      <c r="K8774" s="2" t="s">
        <v>11105</v>
      </c>
      <c r="L8774" s="2" t="s">
        <v>222</v>
      </c>
      <c r="M8774" s="2">
        <v>91745.0</v>
      </c>
      <c r="N8774" s="2" t="s">
        <v>21</v>
      </c>
    </row>
    <row r="8775" ht="15.75" customHeight="1">
      <c r="A8775" s="2">
        <v>2017.0</v>
      </c>
      <c r="B8775" s="2" t="s">
        <v>25160</v>
      </c>
      <c r="C8775" s="2" t="s">
        <v>25160</v>
      </c>
      <c r="D8775" s="2" t="str">
        <f>"507-6587-7137"</f>
        <v>507-6587-7137</v>
      </c>
      <c r="E8775" s="2" t="s">
        <v>1088</v>
      </c>
      <c r="F8775" s="2" t="s">
        <v>2154</v>
      </c>
      <c r="G8775" s="2" t="str">
        <f>"SR-10443"</f>
        <v>SR-10443</v>
      </c>
      <c r="H8775" s="2" t="s">
        <v>25161</v>
      </c>
      <c r="I8775" s="2" t="s">
        <v>36344</v>
      </c>
      <c r="K8775" s="2" t="s">
        <v>36345</v>
      </c>
      <c r="L8775" s="2" t="s">
        <v>36346</v>
      </c>
      <c r="M8775" s="2">
        <v>413.0</v>
      </c>
      <c r="N8775" s="2" t="s">
        <v>36347</v>
      </c>
    </row>
    <row r="8776" ht="15.75" customHeight="1">
      <c r="A8776" s="2">
        <v>2017.0</v>
      </c>
      <c r="B8776" s="2" t="s">
        <v>36348</v>
      </c>
      <c r="C8776" s="2" t="s">
        <v>36349</v>
      </c>
      <c r="D8776" s="2" t="str">
        <f>"3092420448"</f>
        <v>3092420448</v>
      </c>
      <c r="E8776" s="2" t="s">
        <v>88</v>
      </c>
      <c r="F8776" s="2" t="s">
        <v>16867</v>
      </c>
      <c r="G8776" s="2" t="str">
        <f>"SR-11716"</f>
        <v>SR-11716</v>
      </c>
      <c r="H8776" s="2" t="s">
        <v>36350</v>
      </c>
      <c r="I8776" s="2" t="s">
        <v>36351</v>
      </c>
      <c r="K8776" s="2" t="s">
        <v>1019</v>
      </c>
      <c r="L8776" s="2" t="s">
        <v>105</v>
      </c>
      <c r="M8776" s="2">
        <v>61704.0</v>
      </c>
      <c r="N8776" s="2" t="s">
        <v>21</v>
      </c>
    </row>
    <row r="8777" ht="15.75" customHeight="1">
      <c r="A8777" s="2">
        <v>2017.0</v>
      </c>
      <c r="B8777" s="2" t="s">
        <v>36352</v>
      </c>
      <c r="C8777" s="2" t="s">
        <v>36352</v>
      </c>
      <c r="D8777" s="2" t="str">
        <f>"8082003591"</f>
        <v>8082003591</v>
      </c>
      <c r="E8777" s="2" t="s">
        <v>2598</v>
      </c>
      <c r="F8777" s="2" t="s">
        <v>21177</v>
      </c>
      <c r="G8777" s="2" t="str">
        <f>"SR-11705"</f>
        <v>SR-11705</v>
      </c>
      <c r="H8777" s="2" t="s">
        <v>36353</v>
      </c>
      <c r="I8777" s="2" t="s">
        <v>36354</v>
      </c>
      <c r="K8777" s="2" t="s">
        <v>36355</v>
      </c>
      <c r="L8777" s="2" t="s">
        <v>770</v>
      </c>
      <c r="M8777" s="2">
        <v>96786.0</v>
      </c>
      <c r="N8777" s="2" t="s">
        <v>21</v>
      </c>
    </row>
    <row r="8778" ht="15.75" customHeight="1">
      <c r="A8778" s="2">
        <v>2017.0</v>
      </c>
      <c r="B8778" s="2" t="s">
        <v>36356</v>
      </c>
      <c r="C8778" s="2" t="s">
        <v>36357</v>
      </c>
      <c r="D8778" s="2" t="str">
        <f>"3157660750"</f>
        <v>3157660750</v>
      </c>
      <c r="E8778" s="2" t="s">
        <v>36358</v>
      </c>
      <c r="F8778" s="2" t="s">
        <v>36359</v>
      </c>
      <c r="G8778" s="2" t="str">
        <f>"SR-11721"</f>
        <v>SR-11721</v>
      </c>
      <c r="H8778" s="2" t="s">
        <v>36360</v>
      </c>
      <c r="I8778" s="2" t="s">
        <v>36361</v>
      </c>
      <c r="K8778" s="2" t="s">
        <v>36362</v>
      </c>
      <c r="L8778" s="2" t="s">
        <v>142</v>
      </c>
      <c r="M8778" s="2">
        <v>13084.0</v>
      </c>
      <c r="N8778" s="2" t="s">
        <v>21</v>
      </c>
    </row>
    <row r="8779" ht="15.75" customHeight="1">
      <c r="A8779" s="2">
        <v>2017.0</v>
      </c>
      <c r="B8779" s="2" t="s">
        <v>36363</v>
      </c>
      <c r="C8779" s="2" t="s">
        <v>36363</v>
      </c>
      <c r="D8779" s="2" t="str">
        <f>"913-314-1962"</f>
        <v>913-314-1962</v>
      </c>
      <c r="E8779" s="2" t="s">
        <v>1799</v>
      </c>
      <c r="F8779" s="2" t="s">
        <v>36364</v>
      </c>
      <c r="G8779" s="2" t="str">
        <f>"SR-10003"</f>
        <v>SR-10003</v>
      </c>
      <c r="H8779" s="2" t="s">
        <v>36365</v>
      </c>
      <c r="I8779" s="2" t="s">
        <v>36366</v>
      </c>
      <c r="K8779" s="2" t="s">
        <v>271</v>
      </c>
      <c r="L8779" s="2" t="s">
        <v>272</v>
      </c>
      <c r="M8779" s="2">
        <v>66614.0</v>
      </c>
      <c r="N8779" s="2" t="s">
        <v>21</v>
      </c>
    </row>
    <row r="8780" ht="15.75" customHeight="1">
      <c r="A8780" s="2">
        <v>2017.0</v>
      </c>
      <c r="B8780" s="2" t="s">
        <v>36367</v>
      </c>
      <c r="C8780" s="2" t="s">
        <v>36368</v>
      </c>
      <c r="D8780" s="2" t="str">
        <f>"5203498276"</f>
        <v>5203498276</v>
      </c>
      <c r="E8780" s="2" t="s">
        <v>261</v>
      </c>
      <c r="F8780" s="2" t="s">
        <v>25386</v>
      </c>
      <c r="G8780" s="2" t="str">
        <f>"SR-11726"</f>
        <v>SR-11726</v>
      </c>
      <c r="H8780" s="2" t="s">
        <v>25387</v>
      </c>
      <c r="I8780" s="2" t="s">
        <v>36369</v>
      </c>
      <c r="K8780" s="2" t="s">
        <v>5946</v>
      </c>
      <c r="L8780" s="2" t="s">
        <v>422</v>
      </c>
      <c r="M8780" s="2">
        <v>85750.0</v>
      </c>
      <c r="N8780" s="2" t="s">
        <v>21</v>
      </c>
    </row>
    <row r="8781" ht="15.75" customHeight="1">
      <c r="A8781" s="2">
        <v>2017.0</v>
      </c>
      <c r="B8781" s="2" t="s">
        <v>36370</v>
      </c>
      <c r="C8781" s="2" t="s">
        <v>36371</v>
      </c>
      <c r="D8781" s="2" t="str">
        <f>"970-245-5486"</f>
        <v>970-245-5486</v>
      </c>
      <c r="E8781" s="2" t="s">
        <v>5583</v>
      </c>
      <c r="F8781" s="2" t="s">
        <v>7421</v>
      </c>
      <c r="G8781" s="2" t="str">
        <f>"SR-11678"</f>
        <v>SR-11678</v>
      </c>
      <c r="H8781" s="2" t="s">
        <v>36372</v>
      </c>
      <c r="I8781" s="2" t="s">
        <v>36373</v>
      </c>
      <c r="J8781" s="2" t="s">
        <v>36374</v>
      </c>
      <c r="K8781" s="2" t="s">
        <v>36375</v>
      </c>
      <c r="L8781" s="2" t="s">
        <v>157</v>
      </c>
      <c r="M8781" s="2">
        <v>81523.0</v>
      </c>
      <c r="N8781" s="2" t="s">
        <v>21</v>
      </c>
    </row>
    <row r="8782" ht="15.75" customHeight="1">
      <c r="A8782" s="2">
        <v>2017.0</v>
      </c>
      <c r="B8782" s="2" t="s">
        <v>36376</v>
      </c>
      <c r="C8782" s="2" t="s">
        <v>36377</v>
      </c>
      <c r="D8782" s="2" t="str">
        <f>"7055291900"</f>
        <v>7055291900</v>
      </c>
      <c r="E8782" s="2" t="s">
        <v>493</v>
      </c>
      <c r="F8782" s="2" t="s">
        <v>36378</v>
      </c>
      <c r="G8782" s="2" t="str">
        <f>"SR-11727"</f>
        <v>SR-11727</v>
      </c>
      <c r="H8782" s="2" t="s">
        <v>36379</v>
      </c>
      <c r="I8782" s="2" t="s">
        <v>36380</v>
      </c>
      <c r="K8782" s="2" t="s">
        <v>286</v>
      </c>
      <c r="L8782" s="2" t="s">
        <v>2022</v>
      </c>
      <c r="M8782" s="2" t="s">
        <v>36381</v>
      </c>
      <c r="N8782" s="2" t="s">
        <v>1602</v>
      </c>
    </row>
    <row r="8783" ht="15.75" customHeight="1">
      <c r="A8783" s="2">
        <v>2017.0</v>
      </c>
      <c r="B8783" s="2" t="s">
        <v>36382</v>
      </c>
      <c r="C8783" s="2" t="s">
        <v>36383</v>
      </c>
      <c r="D8783" s="2" t="str">
        <f>"7192356407"</f>
        <v>7192356407</v>
      </c>
      <c r="E8783" s="2" t="s">
        <v>3196</v>
      </c>
      <c r="F8783" s="2" t="s">
        <v>2548</v>
      </c>
      <c r="G8783" s="2" t="str">
        <f>"SR-11728"</f>
        <v>SR-11728</v>
      </c>
      <c r="H8783" s="2" t="s">
        <v>36384</v>
      </c>
      <c r="I8783" s="2" t="s">
        <v>36385</v>
      </c>
      <c r="K8783" s="2" t="s">
        <v>809</v>
      </c>
      <c r="L8783" s="2" t="s">
        <v>157</v>
      </c>
      <c r="M8783" s="2">
        <v>80907.0</v>
      </c>
      <c r="N8783" s="2" t="s">
        <v>21</v>
      </c>
    </row>
    <row r="8784" ht="15.75" customHeight="1">
      <c r="A8784" s="2">
        <v>2017.0</v>
      </c>
      <c r="B8784" s="2" t="s">
        <v>36386</v>
      </c>
      <c r="C8784" s="2" t="s">
        <v>36387</v>
      </c>
      <c r="D8784" s="2" t="str">
        <f>"843-592-1904"</f>
        <v>843-592-1904</v>
      </c>
      <c r="E8784" s="2" t="s">
        <v>167</v>
      </c>
      <c r="F8784" s="2" t="s">
        <v>3879</v>
      </c>
      <c r="G8784" s="2" t="str">
        <f>"SR-11707"</f>
        <v>SR-11707</v>
      </c>
      <c r="H8784" s="2" t="s">
        <v>36388</v>
      </c>
      <c r="I8784" s="2" t="s">
        <v>36389</v>
      </c>
      <c r="K8784" s="2" t="s">
        <v>8284</v>
      </c>
      <c r="L8784" s="2" t="s">
        <v>55</v>
      </c>
      <c r="M8784" s="2">
        <v>29940.0</v>
      </c>
      <c r="N8784" s="2" t="s">
        <v>21</v>
      </c>
    </row>
    <row r="8785" ht="15.75" customHeight="1">
      <c r="A8785" s="2">
        <v>2017.0</v>
      </c>
      <c r="B8785" s="2" t="s">
        <v>36390</v>
      </c>
      <c r="C8785" s="2" t="s">
        <v>36391</v>
      </c>
      <c r="D8785" s="2" t="str">
        <f>"316-494-0092"</f>
        <v>316-494-0092</v>
      </c>
      <c r="E8785" s="2" t="s">
        <v>1015</v>
      </c>
      <c r="F8785" s="2" t="s">
        <v>36392</v>
      </c>
      <c r="G8785" s="2" t="str">
        <f>"SR-11730"</f>
        <v>SR-11730</v>
      </c>
      <c r="H8785" s="2" t="s">
        <v>36393</v>
      </c>
      <c r="I8785" s="2" t="s">
        <v>36394</v>
      </c>
      <c r="K8785" s="2" t="s">
        <v>606</v>
      </c>
      <c r="L8785" s="2" t="s">
        <v>272</v>
      </c>
      <c r="M8785" s="2">
        <v>67205.0</v>
      </c>
      <c r="N8785" s="2" t="s">
        <v>21</v>
      </c>
    </row>
    <row r="8786" ht="15.75" customHeight="1">
      <c r="A8786" s="2">
        <v>2017.0</v>
      </c>
      <c r="B8786" s="2" t="s">
        <v>36395</v>
      </c>
      <c r="C8786" s="2" t="s">
        <v>36396</v>
      </c>
      <c r="D8786" s="2" t="str">
        <f>"2546817955"</f>
        <v>2546817955</v>
      </c>
      <c r="E8786" s="2" t="s">
        <v>1288</v>
      </c>
      <c r="F8786" s="2" t="s">
        <v>36397</v>
      </c>
      <c r="G8786" s="2" t="str">
        <f>"SR-11742"</f>
        <v>SR-11742</v>
      </c>
      <c r="H8786" s="2" t="s">
        <v>36398</v>
      </c>
      <c r="I8786" s="2" t="s">
        <v>36399</v>
      </c>
      <c r="K8786" s="2" t="s">
        <v>659</v>
      </c>
      <c r="L8786" s="2" t="s">
        <v>539</v>
      </c>
      <c r="M8786" s="2">
        <v>35756.0</v>
      </c>
      <c r="N8786" s="2" t="s">
        <v>21</v>
      </c>
    </row>
    <row r="8787" ht="15.75" customHeight="1">
      <c r="A8787" s="2">
        <v>2017.0</v>
      </c>
      <c r="B8787" s="2" t="s">
        <v>36400</v>
      </c>
      <c r="C8787" s="2" t="s">
        <v>36401</v>
      </c>
      <c r="D8787" s="2" t="str">
        <f>"316-305-8026"</f>
        <v>316-305-8026</v>
      </c>
      <c r="E8787" s="2" t="s">
        <v>922</v>
      </c>
      <c r="F8787" s="2" t="s">
        <v>36402</v>
      </c>
      <c r="G8787" s="2" t="str">
        <f>"SR-11743"</f>
        <v>SR-11743</v>
      </c>
      <c r="H8787" s="2" t="s">
        <v>36403</v>
      </c>
      <c r="I8787" s="2" t="s">
        <v>36404</v>
      </c>
      <c r="K8787" s="2" t="s">
        <v>606</v>
      </c>
      <c r="L8787" s="2" t="s">
        <v>272</v>
      </c>
      <c r="M8787" s="2">
        <v>67223.0</v>
      </c>
      <c r="N8787" s="2" t="s">
        <v>21</v>
      </c>
    </row>
    <row r="8788" ht="15.75" customHeight="1">
      <c r="A8788" s="2">
        <v>2017.0</v>
      </c>
      <c r="B8788" s="2" t="s">
        <v>36405</v>
      </c>
      <c r="C8788" s="2" t="s">
        <v>36406</v>
      </c>
      <c r="D8788" s="2" t="str">
        <f>"469 955-3131"</f>
        <v>469 955-3131</v>
      </c>
      <c r="E8788" s="2" t="s">
        <v>9010</v>
      </c>
      <c r="F8788" s="2" t="s">
        <v>10775</v>
      </c>
      <c r="G8788" s="2" t="str">
        <f>"SR-7068"</f>
        <v>SR-7068</v>
      </c>
      <c r="H8788" s="2" t="s">
        <v>36407</v>
      </c>
      <c r="I8788" s="2" t="s">
        <v>36408</v>
      </c>
      <c r="K8788" s="2" t="s">
        <v>19366</v>
      </c>
      <c r="L8788" s="2" t="s">
        <v>172</v>
      </c>
      <c r="M8788" s="2">
        <v>75087.0</v>
      </c>
      <c r="N8788" s="2" t="s">
        <v>21</v>
      </c>
    </row>
    <row r="8789" ht="15.75" customHeight="1">
      <c r="A8789" s="2">
        <v>2017.0</v>
      </c>
      <c r="B8789" s="2" t="s">
        <v>36409</v>
      </c>
      <c r="C8789" s="2" t="s">
        <v>36409</v>
      </c>
      <c r="D8789" s="2" t="str">
        <f>"8054532339"</f>
        <v>8054532339</v>
      </c>
      <c r="E8789" s="2" t="s">
        <v>2306</v>
      </c>
      <c r="F8789" s="2" t="s">
        <v>36410</v>
      </c>
      <c r="G8789" s="2" t="str">
        <f>"SR-11747"</f>
        <v>SR-11747</v>
      </c>
      <c r="H8789" s="2" t="s">
        <v>36411</v>
      </c>
      <c r="I8789" s="2" t="s">
        <v>36412</v>
      </c>
      <c r="K8789" s="2" t="s">
        <v>36413</v>
      </c>
      <c r="L8789" s="2" t="s">
        <v>222</v>
      </c>
      <c r="M8789" s="2">
        <v>93460.0</v>
      </c>
      <c r="N8789" s="2" t="s">
        <v>21</v>
      </c>
    </row>
    <row r="8790" ht="15.75" customHeight="1">
      <c r="A8790" s="2">
        <v>2017.0</v>
      </c>
      <c r="B8790" s="2" t="s">
        <v>36414</v>
      </c>
      <c r="C8790" s="2" t="s">
        <v>36414</v>
      </c>
      <c r="D8790" s="2" t="str">
        <f>"2705595998"</f>
        <v>2705595998</v>
      </c>
      <c r="E8790" s="2" t="s">
        <v>11107</v>
      </c>
      <c r="F8790" s="2" t="s">
        <v>36415</v>
      </c>
      <c r="G8790" s="2" t="str">
        <f>"SR-11709"</f>
        <v>SR-11709</v>
      </c>
      <c r="H8790" s="2" t="s">
        <v>36416</v>
      </c>
      <c r="I8790" s="2" t="s">
        <v>36417</v>
      </c>
      <c r="K8790" s="2" t="s">
        <v>36418</v>
      </c>
      <c r="L8790" s="2" t="s">
        <v>1236</v>
      </c>
      <c r="M8790" s="2">
        <v>42001.0</v>
      </c>
      <c r="N8790" s="2" t="s">
        <v>21</v>
      </c>
    </row>
    <row r="8791" ht="15.75" customHeight="1">
      <c r="A8791" s="2">
        <v>2017.0</v>
      </c>
      <c r="B8791" s="2" t="s">
        <v>36419</v>
      </c>
      <c r="C8791" s="2" t="s">
        <v>36419</v>
      </c>
      <c r="D8791" s="2" t="str">
        <f>"5013668588"</f>
        <v>5013668588</v>
      </c>
      <c r="E8791" s="2" t="s">
        <v>1725</v>
      </c>
      <c r="F8791" s="2" t="s">
        <v>10393</v>
      </c>
      <c r="G8791" s="2" t="str">
        <f>"SR-11750"</f>
        <v>SR-11750</v>
      </c>
      <c r="H8791" s="2" t="s">
        <v>36420</v>
      </c>
      <c r="I8791" s="2" t="s">
        <v>14437</v>
      </c>
      <c r="K8791" s="2" t="s">
        <v>14438</v>
      </c>
      <c r="L8791" s="2" t="s">
        <v>1012</v>
      </c>
      <c r="M8791" s="2">
        <v>72016.0</v>
      </c>
      <c r="N8791" s="2" t="s">
        <v>21</v>
      </c>
    </row>
    <row r="8792" ht="15.75" customHeight="1">
      <c r="A8792" s="2">
        <v>2017.0</v>
      </c>
      <c r="B8792" s="2" t="s">
        <v>36421</v>
      </c>
      <c r="C8792" s="2" t="s">
        <v>36422</v>
      </c>
      <c r="D8792" s="2" t="str">
        <f>"2183981985"</f>
        <v>2183981985</v>
      </c>
      <c r="E8792" s="2" t="s">
        <v>288</v>
      </c>
      <c r="F8792" s="2" t="s">
        <v>36423</v>
      </c>
      <c r="G8792" s="2" t="str">
        <f>"SR-11735"</f>
        <v>SR-11735</v>
      </c>
      <c r="H8792" s="2" t="s">
        <v>36424</v>
      </c>
      <c r="I8792" s="2" t="s">
        <v>36425</v>
      </c>
      <c r="K8792" s="2" t="s">
        <v>36426</v>
      </c>
      <c r="L8792" s="2" t="s">
        <v>62</v>
      </c>
      <c r="M8792" s="2">
        <v>55744.0</v>
      </c>
      <c r="N8792" s="2" t="s">
        <v>21</v>
      </c>
    </row>
    <row r="8793" ht="15.75" customHeight="1">
      <c r="A8793" s="2">
        <v>2017.0</v>
      </c>
      <c r="B8793" s="2" t="s">
        <v>36427</v>
      </c>
      <c r="C8793" s="2" t="s">
        <v>36427</v>
      </c>
      <c r="D8793" s="2" t="str">
        <f>"(805) 294-0966"</f>
        <v>(805) 294-0966</v>
      </c>
      <c r="E8793" s="2" t="s">
        <v>3173</v>
      </c>
      <c r="F8793" s="2" t="s">
        <v>3394</v>
      </c>
      <c r="G8793" s="2" t="str">
        <f>"SR-11751"</f>
        <v>SR-11751</v>
      </c>
      <c r="H8793" s="2" t="s">
        <v>36428</v>
      </c>
      <c r="I8793" s="2" t="s">
        <v>36429</v>
      </c>
      <c r="K8793" s="2" t="s">
        <v>36430</v>
      </c>
      <c r="L8793" s="2" t="s">
        <v>222</v>
      </c>
      <c r="M8793" s="2">
        <v>93436.0</v>
      </c>
      <c r="N8793" s="2" t="s">
        <v>21</v>
      </c>
    </row>
    <row r="8794" ht="15.75" customHeight="1">
      <c r="A8794" s="2">
        <v>2017.0</v>
      </c>
      <c r="B8794" s="2" t="s">
        <v>36305</v>
      </c>
      <c r="C8794" s="2" t="s">
        <v>36431</v>
      </c>
      <c r="D8794" s="2" t="str">
        <f>"310.625.5704"</f>
        <v>310.625.5704</v>
      </c>
      <c r="E8794" s="2" t="s">
        <v>1400</v>
      </c>
      <c r="F8794" s="2" t="s">
        <v>36307</v>
      </c>
      <c r="G8794" s="2" t="str">
        <f>"SR-11699"</f>
        <v>SR-11699</v>
      </c>
      <c r="H8794" s="2" t="s">
        <v>36432</v>
      </c>
      <c r="I8794" s="2" t="s">
        <v>36309</v>
      </c>
      <c r="K8794" s="2" t="s">
        <v>4298</v>
      </c>
      <c r="L8794" s="2" t="s">
        <v>149</v>
      </c>
      <c r="M8794" s="2">
        <v>46814.0</v>
      </c>
      <c r="N8794" s="2" t="s">
        <v>21</v>
      </c>
    </row>
    <row r="8795" ht="15.75" customHeight="1">
      <c r="A8795" s="2">
        <v>2017.0</v>
      </c>
      <c r="B8795" s="2" t="s">
        <v>36433</v>
      </c>
      <c r="C8795" s="2" t="s">
        <v>36434</v>
      </c>
      <c r="D8795" s="2" t="str">
        <f>"806-340-3184"</f>
        <v>806-340-3184</v>
      </c>
      <c r="E8795" s="2" t="s">
        <v>36435</v>
      </c>
      <c r="F8795" s="2" t="s">
        <v>16668</v>
      </c>
      <c r="G8795" s="2" t="str">
        <f>"SR-10553"</f>
        <v>SR-10553</v>
      </c>
      <c r="H8795" s="2" t="s">
        <v>36436</v>
      </c>
      <c r="I8795" s="2" t="s">
        <v>36437</v>
      </c>
      <c r="K8795" s="2" t="s">
        <v>36438</v>
      </c>
      <c r="L8795" s="2" t="s">
        <v>172</v>
      </c>
      <c r="M8795" s="2">
        <v>79068.0</v>
      </c>
      <c r="N8795" s="2" t="s">
        <v>21</v>
      </c>
    </row>
    <row r="8796" ht="15.75" customHeight="1">
      <c r="A8796" s="2">
        <v>2017.0</v>
      </c>
      <c r="B8796" s="2" t="s">
        <v>36439</v>
      </c>
      <c r="C8796" s="2" t="s">
        <v>36440</v>
      </c>
      <c r="D8796" s="2" t="str">
        <f>"405-371-3095"</f>
        <v>405-371-3095</v>
      </c>
      <c r="E8796" s="2" t="s">
        <v>3037</v>
      </c>
      <c r="F8796" s="2" t="s">
        <v>962</v>
      </c>
      <c r="G8796" s="2" t="str">
        <f>"SR-11762"</f>
        <v>SR-11762</v>
      </c>
      <c r="H8796" s="2" t="s">
        <v>36441</v>
      </c>
      <c r="I8796" s="2" t="s">
        <v>36442</v>
      </c>
      <c r="K8796" s="2" t="s">
        <v>10102</v>
      </c>
      <c r="L8796" s="2" t="s">
        <v>840</v>
      </c>
      <c r="M8796" s="2">
        <v>73078.0</v>
      </c>
      <c r="N8796" s="2" t="s">
        <v>21</v>
      </c>
    </row>
    <row r="8797" ht="15.75" customHeight="1">
      <c r="A8797" s="2">
        <v>2017.0</v>
      </c>
      <c r="B8797" s="2" t="s">
        <v>36443</v>
      </c>
      <c r="C8797" s="2" t="s">
        <v>36444</v>
      </c>
      <c r="D8797" s="2" t="str">
        <f>"9037719046"</f>
        <v>9037719046</v>
      </c>
      <c r="E8797" s="2" t="s">
        <v>3342</v>
      </c>
      <c r="F8797" s="2" t="s">
        <v>36445</v>
      </c>
      <c r="G8797" s="2" t="str">
        <f>"SR-11763"</f>
        <v>SR-11763</v>
      </c>
      <c r="H8797" s="2" t="s">
        <v>36446</v>
      </c>
      <c r="I8797" s="2" t="s">
        <v>36447</v>
      </c>
      <c r="K8797" s="2" t="s">
        <v>23449</v>
      </c>
      <c r="L8797" s="2" t="s">
        <v>279</v>
      </c>
      <c r="M8797" s="2">
        <v>37343.0</v>
      </c>
      <c r="N8797" s="2" t="s">
        <v>21</v>
      </c>
    </row>
    <row r="8798" ht="15.75" customHeight="1">
      <c r="A8798" s="2">
        <v>2017.0</v>
      </c>
      <c r="B8798" s="2" t="s">
        <v>36448</v>
      </c>
      <c r="C8798" s="2" t="s">
        <v>36449</v>
      </c>
      <c r="D8798" s="2" t="str">
        <f>"470-265-8554"</f>
        <v>470-265-8554</v>
      </c>
      <c r="E8798" s="2" t="s">
        <v>26172</v>
      </c>
      <c r="F8798" s="2" t="s">
        <v>15631</v>
      </c>
      <c r="G8798" s="2" t="str">
        <f>"SR-11732"</f>
        <v>SR-11732</v>
      </c>
      <c r="H8798" s="2" t="s">
        <v>36450</v>
      </c>
      <c r="I8798" s="2" t="s">
        <v>36451</v>
      </c>
      <c r="K8798" s="2" t="s">
        <v>11963</v>
      </c>
      <c r="L8798" s="2" t="s">
        <v>200</v>
      </c>
      <c r="M8798" s="2">
        <v>30114.0</v>
      </c>
      <c r="N8798" s="2" t="s">
        <v>21</v>
      </c>
    </row>
    <row r="8799" ht="15.75" customHeight="1">
      <c r="A8799" s="2">
        <v>2017.0</v>
      </c>
      <c r="B8799" s="2" t="s">
        <v>36448</v>
      </c>
      <c r="C8799" s="2" t="s">
        <v>36452</v>
      </c>
      <c r="D8799" s="2" t="str">
        <f>"678-687-3107"</f>
        <v>678-687-3107</v>
      </c>
      <c r="E8799" s="2" t="s">
        <v>36453</v>
      </c>
      <c r="F8799" s="2" t="s">
        <v>15631</v>
      </c>
      <c r="G8799" s="2" t="str">
        <f>"SR-11731"</f>
        <v>SR-11731</v>
      </c>
      <c r="H8799" s="2" t="s">
        <v>36454</v>
      </c>
      <c r="I8799" s="2" t="s">
        <v>36451</v>
      </c>
      <c r="K8799" s="2" t="s">
        <v>11963</v>
      </c>
      <c r="L8799" s="2" t="s">
        <v>200</v>
      </c>
      <c r="M8799" s="2">
        <v>30114.0</v>
      </c>
      <c r="N8799" s="2" t="s">
        <v>21</v>
      </c>
    </row>
    <row r="8800" ht="15.75" customHeight="1">
      <c r="A8800" s="2">
        <v>2017.0</v>
      </c>
      <c r="B8800" s="2" t="s">
        <v>36455</v>
      </c>
      <c r="C8800" s="2" t="s">
        <v>36456</v>
      </c>
      <c r="D8800" s="2" t="str">
        <f>"954-405-0380"</f>
        <v>954-405-0380</v>
      </c>
      <c r="E8800" s="2" t="s">
        <v>1257</v>
      </c>
      <c r="F8800" s="2" t="s">
        <v>36457</v>
      </c>
      <c r="G8800" s="2" t="str">
        <f>"SR-11556"</f>
        <v>SR-11556</v>
      </c>
      <c r="H8800" s="2" t="s">
        <v>36458</v>
      </c>
      <c r="I8800" s="2" t="s">
        <v>36459</v>
      </c>
      <c r="K8800" s="2" t="s">
        <v>7313</v>
      </c>
      <c r="L8800" s="2" t="s">
        <v>208</v>
      </c>
      <c r="M8800" s="2">
        <v>33021.0</v>
      </c>
      <c r="N8800" s="2" t="s">
        <v>21</v>
      </c>
    </row>
    <row r="8801" ht="15.75" customHeight="1">
      <c r="A8801" s="2">
        <v>2017.0</v>
      </c>
      <c r="B8801" s="2" t="s">
        <v>36460</v>
      </c>
      <c r="C8801" s="2" t="s">
        <v>36461</v>
      </c>
      <c r="D8801" s="2" t="str">
        <f>"206-228-9411"</f>
        <v>206-228-9411</v>
      </c>
      <c r="E8801" s="2" t="s">
        <v>36462</v>
      </c>
      <c r="F8801" s="2" t="s">
        <v>17556</v>
      </c>
      <c r="G8801" s="2" t="str">
        <f>"SR-11757"</f>
        <v>SR-11757</v>
      </c>
      <c r="H8801" s="2" t="s">
        <v>36463</v>
      </c>
      <c r="I8801" s="2" t="s">
        <v>36464</v>
      </c>
      <c r="K8801" s="2" t="s">
        <v>21419</v>
      </c>
      <c r="L8801" s="2" t="s">
        <v>86</v>
      </c>
      <c r="M8801" s="2">
        <v>98058.0</v>
      </c>
      <c r="N8801" s="2" t="s">
        <v>21</v>
      </c>
    </row>
    <row r="8802" ht="15.75" customHeight="1">
      <c r="A8802" s="2">
        <v>2017.0</v>
      </c>
      <c r="B8802" s="2" t="s">
        <v>36465</v>
      </c>
      <c r="C8802" s="2" t="s">
        <v>36466</v>
      </c>
      <c r="D8802" s="2" t="str">
        <f>"505-261-8592"</f>
        <v>505-261-8592</v>
      </c>
      <c r="E8802" s="2" t="s">
        <v>2243</v>
      </c>
      <c r="F8802" s="2" t="s">
        <v>36467</v>
      </c>
      <c r="G8802" s="2" t="str">
        <f>"SR-11770"</f>
        <v>SR-11770</v>
      </c>
      <c r="H8802" s="2" t="s">
        <v>36468</v>
      </c>
      <c r="I8802" s="2" t="s">
        <v>36469</v>
      </c>
      <c r="K8802" s="2" t="s">
        <v>5341</v>
      </c>
      <c r="L8802" s="2" t="s">
        <v>789</v>
      </c>
      <c r="M8802" s="2">
        <v>87047.0</v>
      </c>
      <c r="N8802" s="2" t="s">
        <v>21</v>
      </c>
    </row>
    <row r="8803" ht="15.75" customHeight="1">
      <c r="A8803" s="2">
        <v>2017.0</v>
      </c>
      <c r="B8803" s="2" t="s">
        <v>22598</v>
      </c>
      <c r="C8803" s="2" t="s">
        <v>26497</v>
      </c>
      <c r="D8803" s="2" t="str">
        <f>"678-628-5717"</f>
        <v>678-628-5717</v>
      </c>
      <c r="E8803" s="2" t="s">
        <v>15</v>
      </c>
      <c r="F8803" s="2" t="s">
        <v>1101</v>
      </c>
      <c r="G8803" s="2" t="str">
        <f>"SR-11768"</f>
        <v>SR-11768</v>
      </c>
      <c r="H8803" s="2" t="s">
        <v>36470</v>
      </c>
      <c r="I8803" s="2" t="s">
        <v>22748</v>
      </c>
      <c r="K8803" s="2" t="s">
        <v>11963</v>
      </c>
      <c r="L8803" s="2" t="s">
        <v>200</v>
      </c>
      <c r="M8803" s="2">
        <v>30114.0</v>
      </c>
      <c r="N8803" s="2" t="s">
        <v>21</v>
      </c>
    </row>
    <row r="8804" ht="15.75" customHeight="1">
      <c r="A8804" s="2">
        <v>2017.0</v>
      </c>
      <c r="B8804" s="2" t="s">
        <v>36471</v>
      </c>
      <c r="C8804" s="2" t="s">
        <v>36471</v>
      </c>
      <c r="D8804" s="2" t="str">
        <f>"971-275-7114"</f>
        <v>971-275-7114</v>
      </c>
      <c r="E8804" s="2" t="s">
        <v>10949</v>
      </c>
      <c r="F8804" s="2" t="s">
        <v>10845</v>
      </c>
      <c r="G8804" s="2" t="str">
        <f>"SR-11690"</f>
        <v>SR-11690</v>
      </c>
      <c r="H8804" s="2" t="s">
        <v>36472</v>
      </c>
      <c r="I8804" s="2" t="s">
        <v>36473</v>
      </c>
      <c r="K8804" s="2" t="s">
        <v>20891</v>
      </c>
      <c r="L8804" s="2" t="s">
        <v>2389</v>
      </c>
      <c r="M8804" s="2">
        <v>97140.0</v>
      </c>
      <c r="N8804" s="2" t="s">
        <v>21</v>
      </c>
    </row>
    <row r="8805" ht="15.75" customHeight="1">
      <c r="A8805" s="2">
        <v>2017.0</v>
      </c>
      <c r="B8805" s="2" t="s">
        <v>22316</v>
      </c>
      <c r="C8805" s="2" t="s">
        <v>22317</v>
      </c>
      <c r="D8805" s="2" t="str">
        <f>"9496106344"</f>
        <v>9496106344</v>
      </c>
      <c r="E8805" s="2" t="s">
        <v>428</v>
      </c>
      <c r="F8805" s="2" t="s">
        <v>22318</v>
      </c>
      <c r="G8805" s="2" t="str">
        <f>"SR-6665"</f>
        <v>SR-6665</v>
      </c>
      <c r="H8805" s="2" t="s">
        <v>22319</v>
      </c>
      <c r="I8805" s="2" t="s">
        <v>22320</v>
      </c>
      <c r="K8805" s="2" t="s">
        <v>16116</v>
      </c>
      <c r="L8805" s="2" t="s">
        <v>222</v>
      </c>
      <c r="M8805" s="2">
        <v>92630.0</v>
      </c>
      <c r="N8805" s="2" t="s">
        <v>21</v>
      </c>
    </row>
    <row r="8806" ht="15.75" customHeight="1">
      <c r="A8806" s="2">
        <v>2017.0</v>
      </c>
      <c r="B8806" s="2" t="s">
        <v>36474</v>
      </c>
      <c r="C8806" s="2" t="s">
        <v>36475</v>
      </c>
      <c r="D8806" s="2" t="str">
        <f>"3045418427"</f>
        <v>3045418427</v>
      </c>
      <c r="E8806" s="2" t="s">
        <v>36476</v>
      </c>
      <c r="F8806" s="2" t="s">
        <v>36477</v>
      </c>
      <c r="G8806" s="2" t="str">
        <f>"SR-11734"</f>
        <v>SR-11734</v>
      </c>
      <c r="H8806" s="2" t="s">
        <v>36478</v>
      </c>
      <c r="I8806" s="2" t="s">
        <v>36479</v>
      </c>
      <c r="K8806" s="2" t="s">
        <v>36480</v>
      </c>
      <c r="L8806" s="2" t="s">
        <v>6449</v>
      </c>
      <c r="M8806" s="2">
        <v>25003.0</v>
      </c>
      <c r="N8806" s="2" t="s">
        <v>21</v>
      </c>
    </row>
    <row r="8807" ht="15.75" customHeight="1">
      <c r="A8807" s="2">
        <v>2017.0</v>
      </c>
      <c r="B8807" s="2" t="s">
        <v>36481</v>
      </c>
      <c r="C8807" s="2" t="s">
        <v>36481</v>
      </c>
      <c r="D8807" s="2" t="str">
        <f>"806-679-8204"</f>
        <v>806-679-8204</v>
      </c>
      <c r="E8807" s="2" t="s">
        <v>2941</v>
      </c>
      <c r="F8807" s="2" t="s">
        <v>36482</v>
      </c>
      <c r="G8807" s="2" t="str">
        <f>"SR-11759"</f>
        <v>SR-11759</v>
      </c>
      <c r="H8807" s="2" t="s">
        <v>36483</v>
      </c>
      <c r="I8807" s="2" t="s">
        <v>36484</v>
      </c>
      <c r="K8807" s="2" t="s">
        <v>1558</v>
      </c>
      <c r="L8807" s="2" t="s">
        <v>157</v>
      </c>
      <c r="M8807" s="2">
        <v>80631.0</v>
      </c>
      <c r="N8807" s="2" t="s">
        <v>21</v>
      </c>
    </row>
    <row r="8808" ht="15.75" customHeight="1">
      <c r="A8808" s="2">
        <v>2017.0</v>
      </c>
      <c r="B8808" s="2" t="s">
        <v>36485</v>
      </c>
      <c r="C8808" s="2" t="s">
        <v>36485</v>
      </c>
      <c r="D8808" s="2" t="str">
        <f>"8304462296"</f>
        <v>8304462296</v>
      </c>
      <c r="E8808" s="2" t="s">
        <v>705</v>
      </c>
      <c r="F8808" s="2" t="s">
        <v>36486</v>
      </c>
      <c r="G8808" s="2" t="str">
        <f>"SR-11777"</f>
        <v>SR-11777</v>
      </c>
      <c r="H8808" s="2" t="s">
        <v>36487</v>
      </c>
      <c r="I8808" s="2" t="s">
        <v>36488</v>
      </c>
      <c r="K8808" s="2" t="s">
        <v>1292</v>
      </c>
      <c r="L8808" s="2" t="s">
        <v>172</v>
      </c>
      <c r="M8808" s="2">
        <v>78006.0</v>
      </c>
      <c r="N8808" s="2" t="s">
        <v>21</v>
      </c>
    </row>
    <row r="8809" ht="15.75" customHeight="1">
      <c r="A8809" s="2">
        <v>2017.0</v>
      </c>
      <c r="B8809" s="2" t="s">
        <v>36489</v>
      </c>
      <c r="C8809" s="2" t="s">
        <v>36489</v>
      </c>
      <c r="D8809" s="2" t="str">
        <f>"605-945-4245"</f>
        <v>605-945-4245</v>
      </c>
      <c r="E8809" s="2" t="s">
        <v>36490</v>
      </c>
      <c r="F8809" s="2" t="s">
        <v>1849</v>
      </c>
      <c r="G8809" s="2" t="str">
        <f>"SR-11531"</f>
        <v>SR-11531</v>
      </c>
      <c r="H8809" s="2" t="s">
        <v>36491</v>
      </c>
      <c r="I8809" s="2" t="s">
        <v>36492</v>
      </c>
      <c r="K8809" s="2" t="s">
        <v>4355</v>
      </c>
      <c r="L8809" s="2" t="s">
        <v>920</v>
      </c>
      <c r="M8809" s="2">
        <v>57501.0</v>
      </c>
      <c r="N8809" s="2" t="s">
        <v>21</v>
      </c>
    </row>
    <row r="8810" ht="15.75" customHeight="1">
      <c r="A8810" s="2">
        <v>2017.0</v>
      </c>
      <c r="B8810" s="2" t="s">
        <v>36493</v>
      </c>
      <c r="C8810" s="2" t="s">
        <v>36493</v>
      </c>
      <c r="D8810" s="2" t="str">
        <f>"8183834921"</f>
        <v>8183834921</v>
      </c>
      <c r="E8810" s="2" t="s">
        <v>24063</v>
      </c>
      <c r="F8810" s="2" t="s">
        <v>108</v>
      </c>
      <c r="G8810" s="2" t="str">
        <f>"SR-11336"</f>
        <v>SR-11336</v>
      </c>
      <c r="H8810" s="2" t="s">
        <v>36494</v>
      </c>
      <c r="I8810" s="2" t="s">
        <v>36271</v>
      </c>
      <c r="K8810" s="2" t="s">
        <v>13125</v>
      </c>
      <c r="L8810" s="2" t="s">
        <v>222</v>
      </c>
      <c r="M8810" s="2">
        <v>91304.0</v>
      </c>
      <c r="N8810" s="2" t="s">
        <v>21</v>
      </c>
    </row>
    <row r="8811" ht="15.75" customHeight="1">
      <c r="A8811" s="2">
        <v>2017.0</v>
      </c>
      <c r="B8811" s="2" t="s">
        <v>36495</v>
      </c>
      <c r="C8811" s="2" t="s">
        <v>36495</v>
      </c>
      <c r="D8811" s="2" t="str">
        <f>"4056934284"</f>
        <v>4056934284</v>
      </c>
      <c r="E8811" s="2" t="s">
        <v>261</v>
      </c>
      <c r="F8811" s="2" t="s">
        <v>2336</v>
      </c>
      <c r="G8811" s="2" t="str">
        <f>"SR-11779"</f>
        <v>SR-11779</v>
      </c>
      <c r="H8811" s="2" t="s">
        <v>36496</v>
      </c>
      <c r="I8811" s="2" t="s">
        <v>36497</v>
      </c>
      <c r="K8811" s="2" t="s">
        <v>6622</v>
      </c>
      <c r="L8811" s="2" t="s">
        <v>840</v>
      </c>
      <c r="M8811" s="2">
        <v>73151.0</v>
      </c>
      <c r="N8811" s="2" t="s">
        <v>21</v>
      </c>
    </row>
    <row r="8812" ht="15.75" customHeight="1">
      <c r="A8812" s="2">
        <v>2017.0</v>
      </c>
      <c r="B8812" s="2" t="s">
        <v>36498</v>
      </c>
      <c r="C8812" s="2" t="s">
        <v>36499</v>
      </c>
      <c r="D8812" s="2" t="str">
        <f>"719-291-8472"</f>
        <v>719-291-8472</v>
      </c>
      <c r="E8812" s="2" t="s">
        <v>1094</v>
      </c>
      <c r="F8812" s="2" t="s">
        <v>36500</v>
      </c>
      <c r="G8812" s="2" t="str">
        <f>"SR-9817"</f>
        <v>SR-9817</v>
      </c>
      <c r="H8812" s="2" t="s">
        <v>36501</v>
      </c>
      <c r="I8812" s="2" t="s">
        <v>36502</v>
      </c>
      <c r="K8812" s="2" t="s">
        <v>809</v>
      </c>
      <c r="L8812" s="2" t="s">
        <v>157</v>
      </c>
      <c r="M8812" s="2">
        <v>80919.0</v>
      </c>
      <c r="N8812" s="2" t="s">
        <v>21</v>
      </c>
    </row>
    <row r="8813" ht="15.75" customHeight="1">
      <c r="A8813" s="2">
        <v>2017.0</v>
      </c>
      <c r="B8813" s="2" t="s">
        <v>26010</v>
      </c>
      <c r="C8813" s="2" t="s">
        <v>26011</v>
      </c>
      <c r="D8813" s="2" t="str">
        <f>"401-5363408"</f>
        <v>401-5363408</v>
      </c>
      <c r="E8813" s="2" t="s">
        <v>1015</v>
      </c>
      <c r="F8813" s="2" t="s">
        <v>26012</v>
      </c>
      <c r="G8813" s="2" t="str">
        <f>"SR-8189"</f>
        <v>SR-8189</v>
      </c>
      <c r="H8813" s="2" t="s">
        <v>26013</v>
      </c>
      <c r="I8813" s="2" t="s">
        <v>26014</v>
      </c>
      <c r="K8813" s="2" t="s">
        <v>26015</v>
      </c>
      <c r="L8813" s="2" t="s">
        <v>26016</v>
      </c>
      <c r="M8813" s="2">
        <v>2860.0</v>
      </c>
      <c r="N8813" s="2" t="s">
        <v>21</v>
      </c>
    </row>
    <row r="8814" ht="15.75" customHeight="1">
      <c r="A8814" s="2">
        <v>2017.0</v>
      </c>
      <c r="B8814" s="2" t="s">
        <v>36503</v>
      </c>
      <c r="C8814" s="2" t="s">
        <v>36504</v>
      </c>
      <c r="D8814" s="2" t="str">
        <f>"540-533-1034"</f>
        <v>540-533-1034</v>
      </c>
      <c r="E8814" s="2" t="s">
        <v>8887</v>
      </c>
      <c r="F8814" s="2" t="s">
        <v>36505</v>
      </c>
      <c r="G8814" s="2" t="str">
        <f>"SR-11772"</f>
        <v>SR-11772</v>
      </c>
      <c r="H8814" s="2" t="s">
        <v>36506</v>
      </c>
      <c r="I8814" s="2" t="s">
        <v>36507</v>
      </c>
      <c r="K8814" s="2" t="s">
        <v>36508</v>
      </c>
      <c r="L8814" s="2" t="s">
        <v>165</v>
      </c>
      <c r="M8814" s="2">
        <v>22645.0</v>
      </c>
      <c r="N8814" s="2" t="s">
        <v>21</v>
      </c>
    </row>
    <row r="8815" ht="15.75" customHeight="1">
      <c r="A8815" s="2">
        <v>2017.0</v>
      </c>
      <c r="B8815" s="2" t="s">
        <v>36509</v>
      </c>
      <c r="C8815" s="2" t="s">
        <v>36510</v>
      </c>
      <c r="D8815" s="2" t="str">
        <f>"8658502930"</f>
        <v>8658502930</v>
      </c>
      <c r="E8815" s="2" t="s">
        <v>3196</v>
      </c>
      <c r="F8815" s="2" t="s">
        <v>2474</v>
      </c>
      <c r="G8815" s="2" t="str">
        <f>"SR-11193"</f>
        <v>SR-11193</v>
      </c>
      <c r="H8815" s="2" t="s">
        <v>36511</v>
      </c>
      <c r="I8815" s="2" t="s">
        <v>36512</v>
      </c>
      <c r="K8815" s="2" t="s">
        <v>6168</v>
      </c>
      <c r="L8815" s="2" t="s">
        <v>279</v>
      </c>
      <c r="M8815" s="2">
        <v>37912.0</v>
      </c>
      <c r="N8815" s="2" t="s">
        <v>21</v>
      </c>
    </row>
    <row r="8816" ht="15.75" customHeight="1">
      <c r="A8816" s="2">
        <v>2017.0</v>
      </c>
      <c r="B8816" s="2" t="s">
        <v>36509</v>
      </c>
      <c r="C8816" s="2" t="s">
        <v>25485</v>
      </c>
      <c r="D8816" s="2" t="str">
        <f>"8655676839"</f>
        <v>8655676839</v>
      </c>
      <c r="E8816" s="2" t="s">
        <v>239</v>
      </c>
      <c r="F8816" s="2" t="s">
        <v>2474</v>
      </c>
      <c r="G8816" s="2" t="str">
        <f>"SR-11781"</f>
        <v>SR-11781</v>
      </c>
      <c r="H8816" s="2" t="s">
        <v>36513</v>
      </c>
      <c r="I8816" s="2" t="s">
        <v>36512</v>
      </c>
      <c r="K8816" s="2" t="s">
        <v>6168</v>
      </c>
      <c r="L8816" s="2" t="s">
        <v>279</v>
      </c>
      <c r="M8816" s="2">
        <v>37912.0</v>
      </c>
      <c r="N8816" s="2" t="s">
        <v>21</v>
      </c>
    </row>
    <row r="8817" ht="15.75" customHeight="1">
      <c r="A8817" s="2">
        <v>2017.0</v>
      </c>
      <c r="B8817" s="2" t="s">
        <v>782</v>
      </c>
      <c r="C8817" s="2" t="s">
        <v>36514</v>
      </c>
      <c r="D8817" s="2" t="str">
        <f>"619-971-9203"</f>
        <v>619-971-9203</v>
      </c>
      <c r="E8817" s="2" t="s">
        <v>160</v>
      </c>
      <c r="F8817" s="2" t="s">
        <v>784</v>
      </c>
      <c r="G8817" s="2" t="str">
        <f>"SR-11783"</f>
        <v>SR-11783</v>
      </c>
      <c r="H8817" s="2" t="s">
        <v>36515</v>
      </c>
      <c r="I8817" s="2" t="s">
        <v>36516</v>
      </c>
      <c r="K8817" s="2" t="s">
        <v>8250</v>
      </c>
      <c r="L8817" s="2" t="s">
        <v>222</v>
      </c>
      <c r="M8817" s="2">
        <v>92119.0</v>
      </c>
      <c r="N8817" s="2" t="s">
        <v>21</v>
      </c>
    </row>
    <row r="8818" ht="15.75" customHeight="1">
      <c r="A8818" s="2">
        <v>2017.0</v>
      </c>
      <c r="B8818" s="2" t="s">
        <v>36517</v>
      </c>
      <c r="C8818" s="2" t="s">
        <v>36518</v>
      </c>
      <c r="D8818" s="2" t="str">
        <f>"812-550-5255"</f>
        <v>812-550-5255</v>
      </c>
      <c r="E8818" s="2" t="s">
        <v>1529</v>
      </c>
      <c r="F8818" s="2" t="s">
        <v>9464</v>
      </c>
      <c r="G8818" s="2" t="str">
        <f>"SR-9814"</f>
        <v>SR-9814</v>
      </c>
      <c r="H8818" s="2" t="s">
        <v>36519</v>
      </c>
      <c r="I8818" s="2" t="s">
        <v>36520</v>
      </c>
      <c r="K8818" s="2" t="s">
        <v>148</v>
      </c>
      <c r="L8818" s="2" t="s">
        <v>149</v>
      </c>
      <c r="M8818" s="2">
        <v>47714.0</v>
      </c>
      <c r="N8818" s="2" t="s">
        <v>21</v>
      </c>
    </row>
    <row r="8819" ht="15.75" customHeight="1">
      <c r="A8819" s="2">
        <v>2017.0</v>
      </c>
      <c r="B8819" s="2" t="s">
        <v>36521</v>
      </c>
      <c r="C8819" s="2" t="s">
        <v>36522</v>
      </c>
      <c r="D8819" s="2" t="str">
        <f>"6788991864"</f>
        <v>6788991864</v>
      </c>
      <c r="E8819" s="2" t="s">
        <v>386</v>
      </c>
      <c r="F8819" s="2" t="s">
        <v>4422</v>
      </c>
      <c r="G8819" s="2" t="str">
        <f>"SR-11758"</f>
        <v>SR-11758</v>
      </c>
      <c r="H8819" s="2" t="s">
        <v>36523</v>
      </c>
      <c r="I8819" s="2" t="s">
        <v>36524</v>
      </c>
      <c r="K8819" s="2" t="s">
        <v>11963</v>
      </c>
      <c r="L8819" s="2" t="s">
        <v>200</v>
      </c>
      <c r="M8819" s="2">
        <v>30114.0</v>
      </c>
      <c r="N8819" s="2" t="s">
        <v>21</v>
      </c>
    </row>
    <row r="8820" ht="15.75" customHeight="1">
      <c r="A8820" s="2">
        <v>2017.0</v>
      </c>
      <c r="B8820" s="2" t="s">
        <v>36525</v>
      </c>
      <c r="C8820" s="2" t="s">
        <v>36526</v>
      </c>
      <c r="D8820" s="2" t="str">
        <f>"602-616-2769"</f>
        <v>602-616-2769</v>
      </c>
      <c r="E8820" s="2" t="s">
        <v>6202</v>
      </c>
      <c r="F8820" s="2" t="s">
        <v>24530</v>
      </c>
      <c r="G8820" s="2" t="str">
        <f>"SR-11784"</f>
        <v>SR-11784</v>
      </c>
      <c r="H8820" s="2" t="s">
        <v>36527</v>
      </c>
      <c r="I8820" s="2" t="s">
        <v>36528</v>
      </c>
      <c r="K8820" s="2" t="s">
        <v>421</v>
      </c>
      <c r="L8820" s="2" t="s">
        <v>422</v>
      </c>
      <c r="M8820" s="2">
        <v>85032.0</v>
      </c>
      <c r="N8820" s="2" t="s">
        <v>21</v>
      </c>
    </row>
    <row r="8821" ht="15.75" customHeight="1">
      <c r="A8821" s="2">
        <v>2017.0</v>
      </c>
      <c r="B8821" s="2" t="s">
        <v>36529</v>
      </c>
      <c r="C8821" s="2" t="s">
        <v>36529</v>
      </c>
      <c r="D8821" s="2" t="str">
        <f>"8176583561"</f>
        <v>8176583561</v>
      </c>
      <c r="E8821" s="2" t="s">
        <v>2851</v>
      </c>
      <c r="F8821" s="2" t="s">
        <v>36530</v>
      </c>
      <c r="G8821" s="2" t="str">
        <f>"SR-11416"</f>
        <v>SR-11416</v>
      </c>
      <c r="H8821" s="2" t="s">
        <v>36531</v>
      </c>
      <c r="I8821" s="2" t="s">
        <v>36532</v>
      </c>
      <c r="K8821" s="2" t="s">
        <v>1260</v>
      </c>
      <c r="L8821" s="2" t="s">
        <v>172</v>
      </c>
      <c r="M8821" s="2">
        <v>76109.0</v>
      </c>
      <c r="N8821" s="2" t="s">
        <v>21</v>
      </c>
    </row>
    <row r="8822" ht="15.75" customHeight="1">
      <c r="A8822" s="2">
        <v>2017.0</v>
      </c>
      <c r="B8822" s="2" t="s">
        <v>36533</v>
      </c>
      <c r="C8822" s="2" t="s">
        <v>36534</v>
      </c>
      <c r="D8822" s="2" t="str">
        <f>"5412617761"</f>
        <v>5412617761</v>
      </c>
      <c r="E8822" s="2" t="s">
        <v>5976</v>
      </c>
      <c r="F8822" s="2" t="s">
        <v>36535</v>
      </c>
      <c r="G8822" s="2" t="str">
        <f>"SR-11785"</f>
        <v>SR-11785</v>
      </c>
      <c r="H8822" s="2" t="s">
        <v>36536</v>
      </c>
      <c r="I8822" s="2" t="s">
        <v>36537</v>
      </c>
      <c r="K8822" s="2" t="s">
        <v>2388</v>
      </c>
      <c r="L8822" s="2" t="s">
        <v>2389</v>
      </c>
      <c r="M8822" s="2">
        <v>97502.0</v>
      </c>
      <c r="N8822" s="2" t="s">
        <v>21</v>
      </c>
    </row>
    <row r="8823" ht="15.75" customHeight="1">
      <c r="A8823" s="2">
        <v>2017.0</v>
      </c>
      <c r="B8823" s="2" t="s">
        <v>36538</v>
      </c>
      <c r="C8823" s="2" t="s">
        <v>36539</v>
      </c>
      <c r="D8823" s="2" t="str">
        <f>"720-251-9152"</f>
        <v>720-251-9152</v>
      </c>
      <c r="E8823" s="2" t="s">
        <v>2243</v>
      </c>
      <c r="F8823" s="2" t="s">
        <v>3276</v>
      </c>
      <c r="G8823" s="2" t="str">
        <f>"SR-11579"</f>
        <v>SR-11579</v>
      </c>
      <c r="H8823" s="2" t="s">
        <v>36540</v>
      </c>
      <c r="I8823" s="2" t="s">
        <v>36541</v>
      </c>
      <c r="K8823" s="2" t="s">
        <v>1398</v>
      </c>
      <c r="L8823" s="2" t="s">
        <v>157</v>
      </c>
      <c r="M8823" s="2">
        <v>80109.0</v>
      </c>
      <c r="N8823" s="2" t="s">
        <v>21</v>
      </c>
    </row>
    <row r="8824" ht="15.75" customHeight="1">
      <c r="A8824" s="2">
        <v>2017.0</v>
      </c>
      <c r="B8824" s="2" t="s">
        <v>36542</v>
      </c>
      <c r="C8824" s="2" t="s">
        <v>36543</v>
      </c>
      <c r="D8824" s="2" t="str">
        <f>"5072810321"</f>
        <v>5072810321</v>
      </c>
      <c r="E8824" s="2" t="s">
        <v>2800</v>
      </c>
      <c r="F8824" s="2" t="s">
        <v>10871</v>
      </c>
      <c r="G8824" s="2" t="str">
        <f>"SR-11786"</f>
        <v>SR-11786</v>
      </c>
      <c r="H8824" s="2" t="s">
        <v>36544</v>
      </c>
      <c r="I8824" s="2" t="s">
        <v>36545</v>
      </c>
      <c r="K8824" s="2" t="s">
        <v>2804</v>
      </c>
      <c r="L8824" s="2" t="s">
        <v>62</v>
      </c>
      <c r="M8824" s="2">
        <v>55906.0</v>
      </c>
      <c r="N8824" s="2" t="s">
        <v>21</v>
      </c>
    </row>
    <row r="8825" ht="15.75" customHeight="1">
      <c r="A8825" s="2">
        <v>2017.0</v>
      </c>
      <c r="B8825" s="2" t="s">
        <v>36546</v>
      </c>
      <c r="C8825" s="2" t="s">
        <v>36546</v>
      </c>
      <c r="D8825" s="2" t="str">
        <f>"5862129488"</f>
        <v>5862129488</v>
      </c>
      <c r="E8825" s="2" t="s">
        <v>1263</v>
      </c>
      <c r="F8825" s="2" t="s">
        <v>36547</v>
      </c>
      <c r="G8825" s="2" t="str">
        <f>"SR-11788"</f>
        <v>SR-11788</v>
      </c>
      <c r="H8825" s="2" t="s">
        <v>36548</v>
      </c>
      <c r="I8825" s="2" t="s">
        <v>36549</v>
      </c>
      <c r="K8825" s="2" t="s">
        <v>36550</v>
      </c>
      <c r="L8825" s="2" t="s">
        <v>29</v>
      </c>
      <c r="M8825" s="2">
        <v>48038.0</v>
      </c>
      <c r="N8825" s="2" t="s">
        <v>21</v>
      </c>
    </row>
    <row r="8826" ht="15.75" customHeight="1">
      <c r="A8826" s="2">
        <v>2017.0</v>
      </c>
      <c r="B8826" s="2" t="s">
        <v>36551</v>
      </c>
      <c r="C8826" s="2" t="s">
        <v>25485</v>
      </c>
      <c r="D8826" s="2" t="str">
        <f>"865-850-0713"</f>
        <v>865-850-0713</v>
      </c>
      <c r="E8826" s="2" t="s">
        <v>611</v>
      </c>
      <c r="F8826" s="2" t="s">
        <v>36552</v>
      </c>
      <c r="G8826" s="2" t="str">
        <f>"SR-11790"</f>
        <v>SR-11790</v>
      </c>
      <c r="H8826" s="2" t="s">
        <v>36553</v>
      </c>
      <c r="I8826" s="2" t="s">
        <v>36554</v>
      </c>
      <c r="K8826" s="2" t="s">
        <v>6168</v>
      </c>
      <c r="L8826" s="2" t="s">
        <v>279</v>
      </c>
      <c r="M8826" s="2">
        <v>37909.0</v>
      </c>
      <c r="N8826" s="2" t="s">
        <v>21</v>
      </c>
    </row>
    <row r="8827" ht="15.75" customHeight="1">
      <c r="A8827" s="2">
        <v>2017.0</v>
      </c>
      <c r="B8827" s="2" t="s">
        <v>36555</v>
      </c>
      <c r="C8827" s="2" t="s">
        <v>36555</v>
      </c>
      <c r="D8827" s="2" t="str">
        <f>"423.476.5520"</f>
        <v>423.476.5520</v>
      </c>
      <c r="E8827" s="2" t="s">
        <v>1243</v>
      </c>
      <c r="F8827" s="2" t="s">
        <v>950</v>
      </c>
      <c r="G8827" s="2" t="str">
        <f>"SR-11764"</f>
        <v>SR-11764</v>
      </c>
      <c r="H8827" s="2" t="s">
        <v>36556</v>
      </c>
      <c r="I8827" s="2" t="s">
        <v>36557</v>
      </c>
      <c r="K8827" s="2" t="s">
        <v>1408</v>
      </c>
      <c r="L8827" s="2" t="s">
        <v>279</v>
      </c>
      <c r="M8827" s="2">
        <v>37312.0</v>
      </c>
      <c r="N8827" s="2" t="s">
        <v>21</v>
      </c>
    </row>
    <row r="8828" ht="15.75" customHeight="1">
      <c r="A8828" s="2">
        <v>2017.0</v>
      </c>
      <c r="B8828" s="2" t="s">
        <v>36558</v>
      </c>
      <c r="C8828" s="2" t="s">
        <v>25485</v>
      </c>
      <c r="D8828" s="2" t="str">
        <f>"7069692925"</f>
        <v>7069692925</v>
      </c>
      <c r="E8828" s="2" t="s">
        <v>36559</v>
      </c>
      <c r="F8828" s="2" t="s">
        <v>36560</v>
      </c>
      <c r="G8828" s="2" t="str">
        <f>"SR-11796"</f>
        <v>SR-11796</v>
      </c>
      <c r="H8828" s="2" t="s">
        <v>36561</v>
      </c>
      <c r="I8828" s="2" t="s">
        <v>36562</v>
      </c>
      <c r="K8828" s="2" t="s">
        <v>36563</v>
      </c>
      <c r="L8828" s="2" t="s">
        <v>200</v>
      </c>
      <c r="M8828" s="2">
        <v>30755.0</v>
      </c>
      <c r="N8828" s="2" t="s">
        <v>21</v>
      </c>
    </row>
    <row r="8829" ht="15.75" customHeight="1">
      <c r="A8829" s="2">
        <v>2017.0</v>
      </c>
      <c r="B8829" s="2" t="s">
        <v>36564</v>
      </c>
      <c r="C8829" s="2" t="s">
        <v>36564</v>
      </c>
      <c r="D8829" s="2" t="str">
        <f>"8159014385"</f>
        <v>8159014385</v>
      </c>
      <c r="E8829" s="2" t="s">
        <v>100</v>
      </c>
      <c r="F8829" s="2" t="s">
        <v>690</v>
      </c>
      <c r="G8829" s="2" t="str">
        <f>"SR-11794"</f>
        <v>SR-11794</v>
      </c>
      <c r="H8829" s="2" t="s">
        <v>36565</v>
      </c>
      <c r="I8829" s="2" t="s">
        <v>36566</v>
      </c>
      <c r="K8829" s="2" t="s">
        <v>36567</v>
      </c>
      <c r="L8829" s="2" t="s">
        <v>105</v>
      </c>
      <c r="M8829" s="2">
        <v>60115.0</v>
      </c>
      <c r="N8829" s="2" t="s">
        <v>21</v>
      </c>
    </row>
    <row r="8830" ht="15.75" customHeight="1">
      <c r="A8830" s="2">
        <v>2017.0</v>
      </c>
      <c r="B8830" s="2" t="s">
        <v>36568</v>
      </c>
      <c r="C8830" s="2" t="s">
        <v>36569</v>
      </c>
      <c r="D8830" s="2" t="str">
        <f>"931-461-5673"</f>
        <v>931-461-5673</v>
      </c>
      <c r="E8830" s="2" t="s">
        <v>678</v>
      </c>
      <c r="F8830" s="2" t="s">
        <v>36570</v>
      </c>
      <c r="G8830" s="2" t="str">
        <f>"SR-11803"</f>
        <v>SR-11803</v>
      </c>
      <c r="H8830" s="2" t="s">
        <v>36571</v>
      </c>
      <c r="I8830" s="2" t="s">
        <v>36572</v>
      </c>
      <c r="K8830" s="2" t="s">
        <v>8351</v>
      </c>
      <c r="L8830" s="2" t="s">
        <v>279</v>
      </c>
      <c r="M8830" s="2">
        <v>37388.0</v>
      </c>
      <c r="N8830" s="2" t="s">
        <v>21</v>
      </c>
    </row>
    <row r="8831" ht="15.75" customHeight="1">
      <c r="A8831" s="2">
        <v>2017.0</v>
      </c>
      <c r="B8831" s="2" t="s">
        <v>36573</v>
      </c>
      <c r="C8831" s="2" t="s">
        <v>25485</v>
      </c>
      <c r="D8831" s="2" t="str">
        <f>"239 691 9392"</f>
        <v>239 691 9392</v>
      </c>
      <c r="E8831" s="2" t="s">
        <v>843</v>
      </c>
      <c r="F8831" s="2" t="s">
        <v>6030</v>
      </c>
      <c r="G8831" s="2" t="str">
        <f>"SR-11799"</f>
        <v>SR-11799</v>
      </c>
      <c r="H8831" s="2" t="s">
        <v>36574</v>
      </c>
      <c r="I8831" s="2" t="s">
        <v>36575</v>
      </c>
      <c r="K8831" s="2" t="s">
        <v>36576</v>
      </c>
      <c r="L8831" s="2" t="s">
        <v>279</v>
      </c>
      <c r="M8831" s="2">
        <v>37772.0</v>
      </c>
      <c r="N8831" s="2" t="s">
        <v>21</v>
      </c>
    </row>
    <row r="8832" ht="15.75" customHeight="1">
      <c r="A8832" s="2">
        <v>2017.0</v>
      </c>
      <c r="B8832" s="2" t="s">
        <v>36577</v>
      </c>
      <c r="C8832" s="2" t="s">
        <v>36578</v>
      </c>
      <c r="D8832" s="2" t="str">
        <f>"909-319-6811"</f>
        <v>909-319-6811</v>
      </c>
      <c r="E8832" s="2" t="s">
        <v>36579</v>
      </c>
      <c r="F8832" s="2" t="s">
        <v>36580</v>
      </c>
      <c r="G8832" s="2" t="str">
        <f>"SR-11769"</f>
        <v>SR-11769</v>
      </c>
      <c r="H8832" s="2" t="s">
        <v>36581</v>
      </c>
      <c r="I8832" s="2" t="s">
        <v>36582</v>
      </c>
      <c r="K8832" s="2" t="s">
        <v>36583</v>
      </c>
      <c r="L8832" s="2" t="s">
        <v>222</v>
      </c>
      <c r="M8832" s="2">
        <v>92377.0</v>
      </c>
      <c r="N8832" s="2" t="s">
        <v>21</v>
      </c>
    </row>
    <row r="8833" ht="15.75" customHeight="1">
      <c r="A8833" s="2">
        <v>2017.0</v>
      </c>
      <c r="B8833" s="2" t="s">
        <v>36584</v>
      </c>
      <c r="C8833" s="2" t="s">
        <v>36584</v>
      </c>
      <c r="D8833" s="2" t="str">
        <f>"6263736483"</f>
        <v>6263736483</v>
      </c>
      <c r="E8833" s="2" t="s">
        <v>3668</v>
      </c>
      <c r="F8833" s="2" t="s">
        <v>2753</v>
      </c>
      <c r="G8833" s="2" t="str">
        <f>"SR-11752"</f>
        <v>SR-11752</v>
      </c>
      <c r="H8833" s="2" t="s">
        <v>36585</v>
      </c>
      <c r="I8833" s="2" t="s">
        <v>36586</v>
      </c>
      <c r="K8833" s="2" t="s">
        <v>29941</v>
      </c>
      <c r="L8833" s="2" t="s">
        <v>222</v>
      </c>
      <c r="M8833" s="2">
        <v>91711.0</v>
      </c>
      <c r="N8833" s="2" t="s">
        <v>21</v>
      </c>
    </row>
    <row r="8834" ht="15.75" customHeight="1">
      <c r="A8834" s="2">
        <v>2017.0</v>
      </c>
      <c r="B8834" s="2" t="s">
        <v>36587</v>
      </c>
      <c r="C8834" s="2" t="s">
        <v>36587</v>
      </c>
      <c r="D8834" s="2" t="str">
        <f>"931-743-3281"</f>
        <v>931-743-3281</v>
      </c>
      <c r="E8834" s="2" t="s">
        <v>167</v>
      </c>
      <c r="F8834" s="2" t="s">
        <v>511</v>
      </c>
      <c r="G8834" s="2" t="str">
        <f>"SR-11170"</f>
        <v>SR-11170</v>
      </c>
      <c r="H8834" s="2" t="s">
        <v>36588</v>
      </c>
      <c r="I8834" s="2" t="s">
        <v>36589</v>
      </c>
      <c r="K8834" s="2" t="s">
        <v>519</v>
      </c>
      <c r="L8834" s="2" t="s">
        <v>279</v>
      </c>
      <c r="M8834" s="2">
        <v>37357.0</v>
      </c>
      <c r="N8834" s="2" t="s">
        <v>21</v>
      </c>
    </row>
    <row r="8835" ht="15.75" customHeight="1">
      <c r="A8835" s="2">
        <v>2017.0</v>
      </c>
      <c r="B8835" s="2" t="s">
        <v>36590</v>
      </c>
      <c r="C8835" s="2" t="s">
        <v>36591</v>
      </c>
      <c r="D8835" s="2" t="str">
        <f>"7634898258"</f>
        <v>7634898258</v>
      </c>
      <c r="E8835" s="2" t="s">
        <v>36592</v>
      </c>
      <c r="F8835" s="2" t="s">
        <v>36593</v>
      </c>
      <c r="G8835" s="2" t="str">
        <f>"SR-11800"</f>
        <v>SR-11800</v>
      </c>
      <c r="H8835" s="2" t="s">
        <v>36594</v>
      </c>
      <c r="I8835" s="2" t="s">
        <v>36595</v>
      </c>
      <c r="K8835" s="2" t="s">
        <v>36596</v>
      </c>
      <c r="L8835" s="2" t="s">
        <v>62</v>
      </c>
      <c r="M8835" s="2">
        <v>55011.0</v>
      </c>
      <c r="N8835" s="2" t="s">
        <v>21</v>
      </c>
    </row>
    <row r="8836" ht="15.75" customHeight="1">
      <c r="A8836" s="2">
        <v>2017.0</v>
      </c>
      <c r="B8836" s="2" t="s">
        <v>36584</v>
      </c>
      <c r="C8836" s="2" t="s">
        <v>36597</v>
      </c>
      <c r="D8836" s="2" t="str">
        <f>"9095380477"</f>
        <v>9095380477</v>
      </c>
      <c r="E8836" s="2" t="s">
        <v>6087</v>
      </c>
      <c r="F8836" s="2" t="s">
        <v>2753</v>
      </c>
      <c r="G8836" s="2" t="str">
        <f>"SR-11753"</f>
        <v>SR-11753</v>
      </c>
      <c r="H8836" s="2" t="s">
        <v>36598</v>
      </c>
      <c r="I8836" s="2" t="s">
        <v>36586</v>
      </c>
      <c r="K8836" s="2" t="s">
        <v>29941</v>
      </c>
      <c r="L8836" s="2" t="s">
        <v>222</v>
      </c>
      <c r="M8836" s="2">
        <v>91711.0</v>
      </c>
      <c r="N8836" s="2" t="s">
        <v>21</v>
      </c>
    </row>
    <row r="8837" ht="15.75" customHeight="1">
      <c r="A8837" s="2">
        <v>2017.0</v>
      </c>
      <c r="B8837" s="2" t="s">
        <v>36599</v>
      </c>
      <c r="C8837" s="2" t="s">
        <v>36599</v>
      </c>
      <c r="D8837" s="2" t="str">
        <f>"909-261-4987"</f>
        <v>909-261-4987</v>
      </c>
      <c r="E8837" s="2" t="s">
        <v>453</v>
      </c>
      <c r="F8837" s="2" t="s">
        <v>36600</v>
      </c>
      <c r="G8837" s="2" t="str">
        <f>"SR-11760"</f>
        <v>SR-11760</v>
      </c>
      <c r="H8837" s="2" t="s">
        <v>36601</v>
      </c>
      <c r="I8837" s="2" t="s">
        <v>36602</v>
      </c>
      <c r="K8837" s="2" t="s">
        <v>15522</v>
      </c>
      <c r="L8837" s="2" t="s">
        <v>222</v>
      </c>
      <c r="M8837" s="2">
        <v>91710.0</v>
      </c>
      <c r="N8837" s="2" t="s">
        <v>21</v>
      </c>
    </row>
    <row r="8838" ht="15.75" customHeight="1">
      <c r="A8838" s="2">
        <v>2017.0</v>
      </c>
      <c r="B8838" s="2" t="s">
        <v>36603</v>
      </c>
      <c r="C8838" s="2" t="s">
        <v>36604</v>
      </c>
      <c r="D8838" s="2" t="str">
        <f>"9093483830"</f>
        <v>9093483830</v>
      </c>
      <c r="E8838" s="2" t="s">
        <v>11088</v>
      </c>
      <c r="F8838" s="2" t="s">
        <v>36605</v>
      </c>
      <c r="G8838" s="2" t="str">
        <f>"SR-11812"</f>
        <v>SR-11812</v>
      </c>
      <c r="H8838" s="2" t="s">
        <v>36606</v>
      </c>
      <c r="I8838" s="2" t="s">
        <v>36607</v>
      </c>
      <c r="K8838" s="2" t="s">
        <v>36608</v>
      </c>
      <c r="L8838" s="2" t="s">
        <v>222</v>
      </c>
      <c r="M8838" s="2">
        <v>91709.0</v>
      </c>
      <c r="N8838" s="2" t="s">
        <v>21</v>
      </c>
    </row>
    <row r="8839" ht="15.75" customHeight="1">
      <c r="A8839" s="2">
        <v>2017.0</v>
      </c>
      <c r="B8839" s="2" t="s">
        <v>36609</v>
      </c>
      <c r="C8839" s="2" t="s">
        <v>36609</v>
      </c>
      <c r="D8839" s="2" t="str">
        <f>"9096053082"</f>
        <v>9096053082</v>
      </c>
      <c r="E8839" s="2" t="s">
        <v>36610</v>
      </c>
      <c r="F8839" s="2" t="s">
        <v>36611</v>
      </c>
      <c r="G8839" s="2" t="str">
        <f>"SR-11816"</f>
        <v>SR-11816</v>
      </c>
      <c r="H8839" s="2" t="s">
        <v>36612</v>
      </c>
      <c r="I8839" s="2" t="s">
        <v>36613</v>
      </c>
      <c r="K8839" s="2" t="s">
        <v>10340</v>
      </c>
      <c r="L8839" s="2" t="s">
        <v>222</v>
      </c>
      <c r="M8839" s="2">
        <v>91709.0</v>
      </c>
      <c r="N8839" s="2" t="s">
        <v>21</v>
      </c>
    </row>
    <row r="8840" ht="15.75" customHeight="1">
      <c r="A8840" s="2">
        <v>2017.0</v>
      </c>
      <c r="B8840" s="2" t="s">
        <v>36614</v>
      </c>
      <c r="C8840" s="2" t="s">
        <v>36614</v>
      </c>
      <c r="D8840" s="2" t="str">
        <f>"2059026800"</f>
        <v>2059026800</v>
      </c>
      <c r="E8840" s="2" t="s">
        <v>24</v>
      </c>
      <c r="F8840" s="2" t="s">
        <v>5281</v>
      </c>
      <c r="G8840" s="2" t="str">
        <f>"SR-11817"</f>
        <v>SR-11817</v>
      </c>
      <c r="H8840" s="2" t="s">
        <v>36615</v>
      </c>
      <c r="I8840" s="2" t="s">
        <v>36616</v>
      </c>
      <c r="K8840" s="2" t="s">
        <v>5513</v>
      </c>
      <c r="L8840" s="2" t="s">
        <v>539</v>
      </c>
      <c r="M8840" s="2">
        <v>35173.0</v>
      </c>
      <c r="N8840" s="2" t="s">
        <v>21</v>
      </c>
    </row>
    <row r="8841" ht="15.75" customHeight="1">
      <c r="A8841" s="2">
        <v>2017.0</v>
      </c>
      <c r="B8841" s="2" t="s">
        <v>248</v>
      </c>
      <c r="C8841" s="2" t="s">
        <v>36617</v>
      </c>
      <c r="D8841" s="2" t="str">
        <f>"803-397-5455"</f>
        <v>803-397-5455</v>
      </c>
      <c r="E8841" s="2" t="s">
        <v>36618</v>
      </c>
      <c r="F8841" s="2" t="s">
        <v>251</v>
      </c>
      <c r="G8841" s="2" t="str">
        <f>"SR-11819"</f>
        <v>SR-11819</v>
      </c>
      <c r="H8841" s="2" t="s">
        <v>36619</v>
      </c>
      <c r="I8841" s="2" t="s">
        <v>253</v>
      </c>
      <c r="K8841" s="2" t="s">
        <v>254</v>
      </c>
      <c r="L8841" s="2" t="s">
        <v>55</v>
      </c>
      <c r="M8841" s="2">
        <v>29072.0</v>
      </c>
      <c r="N8841" s="2" t="s">
        <v>21</v>
      </c>
    </row>
    <row r="8842" ht="15.75" customHeight="1">
      <c r="A8842" s="2">
        <v>2017.0</v>
      </c>
      <c r="B8842" s="2" t="s">
        <v>36620</v>
      </c>
      <c r="C8842" s="2" t="s">
        <v>36620</v>
      </c>
      <c r="D8842" s="2" t="str">
        <f>"7199648659"</f>
        <v>7199648659</v>
      </c>
      <c r="E8842" s="2" t="s">
        <v>678</v>
      </c>
      <c r="F8842" s="2" t="s">
        <v>36621</v>
      </c>
      <c r="G8842" s="2" t="str">
        <f>"SR-11814"</f>
        <v>SR-11814</v>
      </c>
      <c r="H8842" s="2" t="s">
        <v>36622</v>
      </c>
      <c r="I8842" s="2" t="s">
        <v>36623</v>
      </c>
      <c r="K8842" s="2" t="s">
        <v>809</v>
      </c>
      <c r="L8842" s="2" t="s">
        <v>157</v>
      </c>
      <c r="M8842" s="2">
        <v>80919.0</v>
      </c>
      <c r="N8842" s="2" t="s">
        <v>21</v>
      </c>
    </row>
    <row r="8843" ht="15.75" customHeight="1">
      <c r="A8843" s="2">
        <v>2017.0</v>
      </c>
      <c r="B8843" s="2" t="s">
        <v>36624</v>
      </c>
      <c r="C8843" s="2" t="s">
        <v>36624</v>
      </c>
      <c r="D8843" s="2" t="str">
        <f>"15405337994"</f>
        <v>15405337994</v>
      </c>
      <c r="E8843" s="2" t="s">
        <v>36625</v>
      </c>
      <c r="F8843" s="2" t="s">
        <v>36626</v>
      </c>
      <c r="G8843" s="2" t="str">
        <f>"SR-11684"</f>
        <v>SR-11684</v>
      </c>
      <c r="H8843" s="2" t="s">
        <v>36627</v>
      </c>
      <c r="I8843" s="2" t="s">
        <v>36628</v>
      </c>
      <c r="K8843" s="2" t="s">
        <v>594</v>
      </c>
      <c r="L8843" s="2" t="s">
        <v>165</v>
      </c>
      <c r="M8843" s="2">
        <v>22602.0</v>
      </c>
      <c r="N8843" s="2" t="s">
        <v>21</v>
      </c>
    </row>
    <row r="8844" ht="15.75" customHeight="1">
      <c r="A8844" s="2">
        <v>2017.0</v>
      </c>
      <c r="B8844" s="2" t="s">
        <v>36629</v>
      </c>
      <c r="C8844" s="2" t="s">
        <v>36629</v>
      </c>
      <c r="D8844" s="2" t="str">
        <f>"402-450-4994"</f>
        <v>402-450-4994</v>
      </c>
      <c r="E8844" s="2" t="s">
        <v>36630</v>
      </c>
      <c r="F8844" s="2" t="s">
        <v>36631</v>
      </c>
      <c r="G8844" s="2" t="str">
        <f>"SR-11813"</f>
        <v>SR-11813</v>
      </c>
      <c r="H8844" s="2" t="s">
        <v>36632</v>
      </c>
      <c r="I8844" s="2" t="s">
        <v>36633</v>
      </c>
      <c r="K8844" s="2" t="s">
        <v>572</v>
      </c>
      <c r="L8844" s="2" t="s">
        <v>757</v>
      </c>
      <c r="M8844" s="2">
        <v>68506.0</v>
      </c>
      <c r="N8844" s="2" t="s">
        <v>21</v>
      </c>
    </row>
    <row r="8845" ht="15.75" customHeight="1">
      <c r="A8845" s="2">
        <v>2017.0</v>
      </c>
      <c r="B8845" s="2" t="s">
        <v>36634</v>
      </c>
      <c r="C8845" s="2" t="s">
        <v>36635</v>
      </c>
      <c r="D8845" s="2" t="str">
        <f>"606-308-2390"</f>
        <v>606-308-2390</v>
      </c>
      <c r="E8845" s="2" t="s">
        <v>1094</v>
      </c>
      <c r="F8845" s="2" t="s">
        <v>94</v>
      </c>
      <c r="G8845" s="2" t="str">
        <f>"SR-11808"</f>
        <v>SR-11808</v>
      </c>
      <c r="H8845" s="2" t="s">
        <v>9875</v>
      </c>
      <c r="I8845" s="2" t="s">
        <v>36636</v>
      </c>
      <c r="K8845" s="2" t="s">
        <v>6615</v>
      </c>
      <c r="L8845" s="2" t="s">
        <v>1236</v>
      </c>
      <c r="M8845" s="2">
        <v>40456.0</v>
      </c>
      <c r="N8845" s="2" t="s">
        <v>21</v>
      </c>
    </row>
    <row r="8846" ht="15.75" customHeight="1">
      <c r="A8846" s="2">
        <v>2017.0</v>
      </c>
      <c r="B8846" s="2" t="s">
        <v>36637</v>
      </c>
      <c r="D8846" s="2" t="str">
        <f>""</f>
        <v/>
      </c>
      <c r="E8846" s="2" t="s">
        <v>580</v>
      </c>
      <c r="F8846" s="2" t="s">
        <v>36638</v>
      </c>
      <c r="G8846" s="2" t="str">
        <f>"SR-11738"</f>
        <v>SR-11738</v>
      </c>
      <c r="H8846" s="2" t="s">
        <v>36639</v>
      </c>
      <c r="N8846" s="2" t="s">
        <v>21</v>
      </c>
    </row>
    <row r="8847" ht="15.75" customHeight="1">
      <c r="A8847" s="2">
        <v>2017.0</v>
      </c>
      <c r="B8847" s="2" t="s">
        <v>14695</v>
      </c>
      <c r="C8847" s="2" t="s">
        <v>36640</v>
      </c>
      <c r="D8847" s="2" t="str">
        <f>"2562499533"</f>
        <v>2562499533</v>
      </c>
      <c r="E8847" s="2" t="s">
        <v>6273</v>
      </c>
      <c r="F8847" s="2" t="s">
        <v>2648</v>
      </c>
      <c r="G8847" s="2" t="str">
        <f>"SR-11822"</f>
        <v>SR-11822</v>
      </c>
      <c r="H8847" s="2" t="s">
        <v>36641</v>
      </c>
      <c r="I8847" s="2" t="s">
        <v>36642</v>
      </c>
      <c r="K8847" s="2" t="s">
        <v>14699</v>
      </c>
      <c r="L8847" s="2" t="s">
        <v>539</v>
      </c>
      <c r="M8847" s="2">
        <v>35151.0</v>
      </c>
      <c r="N8847" s="2" t="s">
        <v>21</v>
      </c>
    </row>
    <row r="8848" ht="15.75" customHeight="1">
      <c r="A8848" s="2">
        <v>2017.0</v>
      </c>
      <c r="B8848" s="2" t="s">
        <v>18970</v>
      </c>
      <c r="C8848" s="2" t="s">
        <v>25798</v>
      </c>
      <c r="D8848" s="2" t="str">
        <f>"316-249-2224"</f>
        <v>316-249-2224</v>
      </c>
      <c r="E8848" s="2" t="s">
        <v>250</v>
      </c>
      <c r="F8848" s="2" t="s">
        <v>25799</v>
      </c>
      <c r="G8848" s="2" t="str">
        <f>"SR-8176"</f>
        <v>SR-8176</v>
      </c>
      <c r="H8848" s="2" t="s">
        <v>25800</v>
      </c>
      <c r="I8848" s="2" t="s">
        <v>18974</v>
      </c>
      <c r="K8848" s="2" t="s">
        <v>18975</v>
      </c>
      <c r="L8848" s="2" t="s">
        <v>272</v>
      </c>
      <c r="M8848" s="2">
        <v>67101.0</v>
      </c>
      <c r="N8848" s="2" t="s">
        <v>21</v>
      </c>
    </row>
    <row r="8849" ht="15.75" customHeight="1">
      <c r="A8849" s="2">
        <v>2017.0</v>
      </c>
      <c r="B8849" s="2" t="s">
        <v>36643</v>
      </c>
      <c r="C8849" s="2" t="s">
        <v>36643</v>
      </c>
      <c r="D8849" s="2" t="str">
        <f>"626-329-2567"</f>
        <v>626-329-2567</v>
      </c>
      <c r="E8849" s="2" t="s">
        <v>7417</v>
      </c>
      <c r="F8849" s="2" t="s">
        <v>2753</v>
      </c>
      <c r="G8849" s="2" t="str">
        <f>"SR-11795"</f>
        <v>SR-11795</v>
      </c>
      <c r="H8849" s="2" t="s">
        <v>36644</v>
      </c>
      <c r="I8849" s="2" t="s">
        <v>36645</v>
      </c>
      <c r="K8849" s="2" t="s">
        <v>36646</v>
      </c>
      <c r="L8849" s="2" t="s">
        <v>222</v>
      </c>
      <c r="M8849" s="2">
        <v>91748.0</v>
      </c>
      <c r="N8849" s="2" t="s">
        <v>21</v>
      </c>
    </row>
    <row r="8850" ht="15.75" customHeight="1">
      <c r="A8850" s="2">
        <v>2017.0</v>
      </c>
      <c r="B8850" s="2" t="s">
        <v>36647</v>
      </c>
      <c r="C8850" s="2" t="s">
        <v>36648</v>
      </c>
      <c r="D8850" s="2" t="str">
        <f>"7639134145"</f>
        <v>7639134145</v>
      </c>
      <c r="E8850" s="2" t="s">
        <v>1642</v>
      </c>
      <c r="F8850" s="2" t="s">
        <v>9563</v>
      </c>
      <c r="G8850" s="2" t="str">
        <f>"SR-11825"</f>
        <v>SR-11825</v>
      </c>
      <c r="H8850" s="2" t="s">
        <v>36649</v>
      </c>
      <c r="I8850" s="2" t="s">
        <v>9565</v>
      </c>
      <c r="K8850" s="2" t="s">
        <v>2909</v>
      </c>
      <c r="L8850" s="2" t="s">
        <v>62</v>
      </c>
      <c r="M8850" s="2">
        <v>55441.0</v>
      </c>
      <c r="N8850" s="2" t="s">
        <v>21</v>
      </c>
    </row>
    <row r="8851" ht="15.75" customHeight="1">
      <c r="A8851" s="2">
        <v>2017.0</v>
      </c>
      <c r="B8851" s="2" t="s">
        <v>36650</v>
      </c>
      <c r="C8851" s="2" t="s">
        <v>36651</v>
      </c>
      <c r="D8851" s="2" t="str">
        <f>"504-909-7838"</f>
        <v>504-909-7838</v>
      </c>
      <c r="E8851" s="2" t="s">
        <v>36652</v>
      </c>
      <c r="F8851" s="2" t="s">
        <v>1451</v>
      </c>
      <c r="G8851" s="2" t="str">
        <f>"SR-11826"</f>
        <v>SR-11826</v>
      </c>
      <c r="H8851" s="2" t="s">
        <v>36653</v>
      </c>
      <c r="I8851" s="2" t="s">
        <v>36654</v>
      </c>
      <c r="K8851" s="2" t="s">
        <v>12047</v>
      </c>
      <c r="L8851" s="2" t="s">
        <v>172</v>
      </c>
      <c r="M8851" s="2">
        <v>79838.0</v>
      </c>
      <c r="N8851" s="2" t="s">
        <v>21</v>
      </c>
    </row>
    <row r="8852" ht="15.75" customHeight="1">
      <c r="A8852" s="2">
        <v>2017.0</v>
      </c>
      <c r="B8852" s="2" t="s">
        <v>36655</v>
      </c>
      <c r="C8852" s="2" t="s">
        <v>36656</v>
      </c>
      <c r="D8852" s="2" t="str">
        <f>"7134295914"</f>
        <v>7134295914</v>
      </c>
      <c r="E8852" s="2" t="s">
        <v>1999</v>
      </c>
      <c r="F8852" s="2" t="s">
        <v>4978</v>
      </c>
      <c r="G8852" s="2" t="str">
        <f>"SR-11292"</f>
        <v>SR-11292</v>
      </c>
      <c r="H8852" s="2" t="s">
        <v>36657</v>
      </c>
      <c r="I8852" s="2" t="s">
        <v>36658</v>
      </c>
      <c r="J8852" s="2" t="s">
        <v>36659</v>
      </c>
      <c r="K8852" s="2" t="s">
        <v>4174</v>
      </c>
      <c r="L8852" s="2" t="s">
        <v>172</v>
      </c>
      <c r="M8852" s="2">
        <v>75067.0</v>
      </c>
      <c r="N8852" s="2" t="s">
        <v>21</v>
      </c>
    </row>
    <row r="8853" ht="15.75" customHeight="1">
      <c r="A8853" s="2">
        <v>2017.0</v>
      </c>
      <c r="B8853" s="2" t="s">
        <v>36660</v>
      </c>
      <c r="C8853" s="2" t="s">
        <v>36660</v>
      </c>
      <c r="D8853" s="2" t="str">
        <f>"3187730789"</f>
        <v>3187730789</v>
      </c>
      <c r="E8853" s="2" t="s">
        <v>843</v>
      </c>
      <c r="F8853" s="2" t="s">
        <v>4358</v>
      </c>
      <c r="G8853" s="2" t="str">
        <f>"SR-11827"</f>
        <v>SR-11827</v>
      </c>
      <c r="H8853" s="2" t="s">
        <v>36661</v>
      </c>
      <c r="I8853" s="2" t="s">
        <v>36662</v>
      </c>
      <c r="K8853" s="2" t="s">
        <v>36663</v>
      </c>
      <c r="L8853" s="2" t="s">
        <v>1012</v>
      </c>
      <c r="M8853" s="2">
        <v>71742.0</v>
      </c>
      <c r="N8853" s="2" t="s">
        <v>21</v>
      </c>
    </row>
    <row r="8854" ht="15.75" customHeight="1">
      <c r="A8854" s="2">
        <v>2017.0</v>
      </c>
      <c r="B8854" s="2" t="s">
        <v>36664</v>
      </c>
      <c r="C8854" s="2" t="s">
        <v>36664</v>
      </c>
      <c r="D8854" s="2" t="str">
        <f>"6157961402"</f>
        <v>6157961402</v>
      </c>
      <c r="E8854" s="2" t="s">
        <v>1980</v>
      </c>
      <c r="F8854" s="2" t="s">
        <v>36665</v>
      </c>
      <c r="G8854" s="2" t="str">
        <f>"SR-11823"</f>
        <v>SR-11823</v>
      </c>
      <c r="H8854" s="2" t="s">
        <v>36666</v>
      </c>
      <c r="I8854" s="2" t="s">
        <v>36667</v>
      </c>
      <c r="K8854" s="2" t="s">
        <v>12405</v>
      </c>
      <c r="L8854" s="2" t="s">
        <v>279</v>
      </c>
      <c r="M8854" s="2">
        <v>37130.0</v>
      </c>
      <c r="N8854" s="2" t="s">
        <v>21</v>
      </c>
    </row>
    <row r="8855" ht="15.75" customHeight="1">
      <c r="A8855" s="2">
        <v>2017.0</v>
      </c>
      <c r="B8855" s="2" t="s">
        <v>36668</v>
      </c>
      <c r="C8855" s="2" t="s">
        <v>36668</v>
      </c>
      <c r="D8855" s="2" t="str">
        <f>"205-274-8872"</f>
        <v>205-274-8872</v>
      </c>
      <c r="E8855" s="2" t="s">
        <v>282</v>
      </c>
      <c r="F8855" s="2" t="s">
        <v>1151</v>
      </c>
      <c r="G8855" s="2" t="str">
        <f>"SR-11820"</f>
        <v>SR-11820</v>
      </c>
      <c r="H8855" s="2" t="s">
        <v>4044</v>
      </c>
      <c r="I8855" s="2" t="s">
        <v>11485</v>
      </c>
      <c r="K8855" s="2" t="s">
        <v>11486</v>
      </c>
      <c r="L8855" s="2" t="s">
        <v>539</v>
      </c>
      <c r="M8855" s="2">
        <v>35121.0</v>
      </c>
      <c r="N8855" s="2" t="s">
        <v>21</v>
      </c>
    </row>
    <row r="8856" ht="15.75" customHeight="1">
      <c r="A8856" s="2">
        <v>2017.0</v>
      </c>
      <c r="B8856" s="2" t="s">
        <v>36669</v>
      </c>
      <c r="C8856" s="2" t="s">
        <v>36669</v>
      </c>
      <c r="D8856" s="2" t="str">
        <f>"9088925570"</f>
        <v>9088925570</v>
      </c>
      <c r="E8856" s="2" t="s">
        <v>50</v>
      </c>
      <c r="F8856" s="2" t="s">
        <v>36670</v>
      </c>
      <c r="G8856" s="2" t="str">
        <f>"SR-11832"</f>
        <v>SR-11832</v>
      </c>
      <c r="H8856" s="2" t="s">
        <v>36671</v>
      </c>
      <c r="I8856" s="2" t="s">
        <v>36672</v>
      </c>
      <c r="K8856" s="2" t="s">
        <v>11820</v>
      </c>
      <c r="L8856" s="2" t="s">
        <v>3618</v>
      </c>
      <c r="M8856" s="2">
        <v>8801.0</v>
      </c>
      <c r="N8856" s="2" t="s">
        <v>21</v>
      </c>
    </row>
    <row r="8857" ht="15.75" customHeight="1">
      <c r="A8857" s="2">
        <v>2017.0</v>
      </c>
      <c r="B8857" s="2" t="s">
        <v>36673</v>
      </c>
      <c r="C8857" s="2" t="s">
        <v>36674</v>
      </c>
      <c r="D8857" s="2" t="str">
        <f>"7203550531"</f>
        <v>7203550531</v>
      </c>
      <c r="E8857" s="2" t="s">
        <v>1239</v>
      </c>
      <c r="F8857" s="2" t="s">
        <v>33328</v>
      </c>
      <c r="G8857" s="2" t="str">
        <f>"SR-11830"</f>
        <v>SR-11830</v>
      </c>
      <c r="H8857" s="2" t="s">
        <v>36675</v>
      </c>
      <c r="I8857" s="2" t="s">
        <v>36676</v>
      </c>
      <c r="K8857" s="2" t="s">
        <v>1548</v>
      </c>
      <c r="L8857" s="2" t="s">
        <v>157</v>
      </c>
      <c r="M8857" s="2">
        <v>80107.0</v>
      </c>
      <c r="N8857" s="2" t="s">
        <v>21</v>
      </c>
    </row>
    <row r="8858" ht="15.75" customHeight="1">
      <c r="A8858" s="2">
        <v>2017.0</v>
      </c>
      <c r="B8858" s="2" t="s">
        <v>36673</v>
      </c>
      <c r="C8858" s="2" t="s">
        <v>36677</v>
      </c>
      <c r="D8858" s="2" t="str">
        <f>"720-333-0121"</f>
        <v>720-333-0121</v>
      </c>
      <c r="E8858" s="2" t="s">
        <v>580</v>
      </c>
      <c r="F8858" s="2" t="s">
        <v>33328</v>
      </c>
      <c r="G8858" s="2" t="str">
        <f>"SR-11804"</f>
        <v>SR-11804</v>
      </c>
      <c r="H8858" s="2" t="s">
        <v>36678</v>
      </c>
      <c r="I8858" s="2" t="s">
        <v>36676</v>
      </c>
      <c r="K8858" s="2" t="s">
        <v>1548</v>
      </c>
      <c r="L8858" s="2" t="s">
        <v>157</v>
      </c>
      <c r="M8858" s="2">
        <v>80107.0</v>
      </c>
      <c r="N8858" s="2" t="s">
        <v>21</v>
      </c>
    </row>
    <row r="8859" ht="15.75" customHeight="1">
      <c r="A8859" s="2">
        <v>2017.0</v>
      </c>
      <c r="B8859" s="2" t="s">
        <v>36679</v>
      </c>
      <c r="C8859" s="2" t="s">
        <v>36680</v>
      </c>
      <c r="D8859" s="2" t="str">
        <f>"303 274 0485"</f>
        <v>303 274 0485</v>
      </c>
      <c r="E8859" s="2" t="s">
        <v>167</v>
      </c>
      <c r="F8859" s="2" t="s">
        <v>36681</v>
      </c>
      <c r="G8859" s="2" t="str">
        <f>"SR-11829"</f>
        <v>SR-11829</v>
      </c>
      <c r="H8859" s="2" t="s">
        <v>36682</v>
      </c>
      <c r="I8859" s="2" t="s">
        <v>36683</v>
      </c>
      <c r="K8859" s="2" t="s">
        <v>6514</v>
      </c>
      <c r="L8859" s="2" t="s">
        <v>157</v>
      </c>
      <c r="M8859" s="2">
        <v>80226.0</v>
      </c>
      <c r="N8859" s="2" t="s">
        <v>21</v>
      </c>
    </row>
    <row r="8860" ht="15.75" customHeight="1">
      <c r="A8860" s="2">
        <v>2017.0</v>
      </c>
      <c r="B8860" s="2" t="s">
        <v>36684</v>
      </c>
      <c r="C8860" s="2" t="s">
        <v>36685</v>
      </c>
      <c r="D8860" s="2" t="str">
        <f>"720 938 4505"</f>
        <v>720 938 4505</v>
      </c>
      <c r="E8860" s="2" t="s">
        <v>705</v>
      </c>
      <c r="F8860" s="2" t="s">
        <v>36686</v>
      </c>
      <c r="G8860" s="2" t="str">
        <f>"SR-11833"</f>
        <v>SR-11833</v>
      </c>
      <c r="H8860" s="2" t="s">
        <v>36687</v>
      </c>
      <c r="I8860" s="2" t="s">
        <v>36688</v>
      </c>
      <c r="K8860" s="2" t="s">
        <v>1889</v>
      </c>
      <c r="L8860" s="2" t="s">
        <v>157</v>
      </c>
      <c r="M8860" s="2">
        <v>80127.0</v>
      </c>
      <c r="N8860" s="2" t="s">
        <v>21</v>
      </c>
    </row>
    <row r="8861" ht="15.75" customHeight="1">
      <c r="A8861" s="2">
        <v>2017.0</v>
      </c>
      <c r="B8861" s="2" t="s">
        <v>36689</v>
      </c>
      <c r="C8861" s="2" t="s">
        <v>36689</v>
      </c>
      <c r="D8861" s="2" t="str">
        <f>"5714193532"</f>
        <v>5714193532</v>
      </c>
      <c r="E8861" s="2" t="s">
        <v>1156</v>
      </c>
      <c r="F8861" s="2" t="s">
        <v>8953</v>
      </c>
      <c r="G8861" s="2" t="str">
        <f>"SR-11653"</f>
        <v>SR-11653</v>
      </c>
      <c r="H8861" s="2" t="s">
        <v>36690</v>
      </c>
      <c r="I8861" s="2" t="s">
        <v>36691</v>
      </c>
      <c r="K8861" s="2" t="s">
        <v>809</v>
      </c>
      <c r="L8861" s="2" t="s">
        <v>157</v>
      </c>
      <c r="M8861" s="2">
        <v>80919.0</v>
      </c>
      <c r="N8861" s="2" t="s">
        <v>21</v>
      </c>
    </row>
    <row r="8862" ht="15.75" customHeight="1">
      <c r="A8862" s="2">
        <v>2017.0</v>
      </c>
      <c r="B8862" s="2" t="s">
        <v>36692</v>
      </c>
      <c r="C8862" s="2" t="s">
        <v>25485</v>
      </c>
      <c r="D8862" s="2" t="str">
        <f>"615 533-6874"</f>
        <v>615 533-6874</v>
      </c>
      <c r="E8862" s="2" t="s">
        <v>7758</v>
      </c>
      <c r="F8862" s="2" t="s">
        <v>36693</v>
      </c>
      <c r="G8862" s="2" t="str">
        <f>"SR-10093"</f>
        <v>SR-10093</v>
      </c>
      <c r="H8862" s="2" t="s">
        <v>36694</v>
      </c>
      <c r="I8862" s="2" t="s">
        <v>36695</v>
      </c>
      <c r="K8862" s="2" t="s">
        <v>731</v>
      </c>
      <c r="L8862" s="2" t="s">
        <v>279</v>
      </c>
      <c r="M8862" s="2">
        <v>37220.0</v>
      </c>
      <c r="N8862" s="2" t="s">
        <v>21</v>
      </c>
    </row>
    <row r="8863" ht="15.75" customHeight="1">
      <c r="A8863" s="2">
        <v>2017.0</v>
      </c>
      <c r="B8863" s="2" t="s">
        <v>36696</v>
      </c>
      <c r="C8863" s="2" t="s">
        <v>36697</v>
      </c>
      <c r="D8863" s="2" t="str">
        <f>"+65 96862482"</f>
        <v>+65 96862482</v>
      </c>
      <c r="E8863" s="2" t="s">
        <v>50</v>
      </c>
      <c r="F8863" s="2" t="s">
        <v>31564</v>
      </c>
      <c r="G8863" s="2" t="str">
        <f>"SR-11675"</f>
        <v>SR-11675</v>
      </c>
      <c r="H8863" s="2" t="s">
        <v>36698</v>
      </c>
      <c r="I8863" s="2" t="s">
        <v>36699</v>
      </c>
      <c r="K8863" s="2" t="s">
        <v>8433</v>
      </c>
      <c r="N8863" s="2" t="s">
        <v>8433</v>
      </c>
    </row>
    <row r="8864" ht="15.75" customHeight="1">
      <c r="A8864" s="2">
        <v>2017.0</v>
      </c>
      <c r="B8864" s="2" t="s">
        <v>36700</v>
      </c>
      <c r="C8864" s="2" t="s">
        <v>36701</v>
      </c>
      <c r="D8864" s="2" t="str">
        <f>"2532035306"</f>
        <v>2532035306</v>
      </c>
      <c r="E8864" s="2" t="s">
        <v>4750</v>
      </c>
      <c r="F8864" s="2" t="s">
        <v>36702</v>
      </c>
      <c r="G8864" s="2" t="str">
        <f>"SR-11821"</f>
        <v>SR-11821</v>
      </c>
      <c r="H8864" s="2" t="s">
        <v>36703</v>
      </c>
      <c r="I8864" s="2" t="s">
        <v>36704</v>
      </c>
      <c r="K8864" s="2" t="s">
        <v>36705</v>
      </c>
      <c r="L8864" s="2" t="s">
        <v>86</v>
      </c>
      <c r="M8864" s="2">
        <v>98323.0</v>
      </c>
      <c r="N8864" s="2" t="s">
        <v>21</v>
      </c>
    </row>
    <row r="8865" ht="15.75" customHeight="1">
      <c r="A8865" s="2">
        <v>2017.0</v>
      </c>
      <c r="B8865" s="2" t="s">
        <v>36706</v>
      </c>
      <c r="C8865" s="2" t="s">
        <v>36707</v>
      </c>
      <c r="D8865" s="2" t="str">
        <f>"513-697-0763"</f>
        <v>513-697-0763</v>
      </c>
      <c r="E8865" s="2" t="s">
        <v>36708</v>
      </c>
      <c r="F8865" s="2" t="s">
        <v>31051</v>
      </c>
      <c r="G8865" s="2" t="str">
        <f>"SR-11846"</f>
        <v>SR-11846</v>
      </c>
      <c r="H8865" s="2" t="s">
        <v>36709</v>
      </c>
      <c r="I8865" s="2" t="s">
        <v>36710</v>
      </c>
      <c r="K8865" s="2" t="s">
        <v>1048</v>
      </c>
      <c r="L8865" s="2" t="s">
        <v>344</v>
      </c>
      <c r="M8865" s="2">
        <v>45140.0</v>
      </c>
      <c r="N8865" s="2" t="s">
        <v>21</v>
      </c>
    </row>
    <row r="8866" ht="15.75" customHeight="1">
      <c r="A8866" s="2">
        <v>2017.0</v>
      </c>
      <c r="B8866" s="2" t="s">
        <v>36711</v>
      </c>
      <c r="C8866" s="2" t="s">
        <v>36712</v>
      </c>
      <c r="D8866" s="2" t="str">
        <f>"9137493146"</f>
        <v>9137493146</v>
      </c>
      <c r="E8866" s="2" t="s">
        <v>36</v>
      </c>
      <c r="F8866" s="2" t="s">
        <v>36713</v>
      </c>
      <c r="G8866" s="2" t="str">
        <f>"SR-11477"</f>
        <v>SR-11477</v>
      </c>
      <c r="H8866" s="2" t="s">
        <v>36714</v>
      </c>
      <c r="I8866" s="2" t="s">
        <v>36715</v>
      </c>
      <c r="K8866" s="2" t="s">
        <v>3588</v>
      </c>
      <c r="L8866" s="2" t="s">
        <v>272</v>
      </c>
      <c r="M8866" s="2">
        <v>66218.0</v>
      </c>
      <c r="N8866" s="2" t="s">
        <v>21</v>
      </c>
    </row>
    <row r="8867" ht="15.75" customHeight="1">
      <c r="A8867" s="2">
        <v>2017.0</v>
      </c>
      <c r="B8867" s="2" t="s">
        <v>36716</v>
      </c>
      <c r="C8867" s="2" t="s">
        <v>36717</v>
      </c>
      <c r="D8867" s="2" t="str">
        <f>"260-358-0262"</f>
        <v>260-358-0262</v>
      </c>
      <c r="E8867" s="2" t="s">
        <v>36718</v>
      </c>
      <c r="F8867" s="2" t="s">
        <v>36719</v>
      </c>
      <c r="G8867" s="2" t="str">
        <f>"SR-11852"</f>
        <v>SR-11852</v>
      </c>
      <c r="H8867" s="2" t="s">
        <v>36720</v>
      </c>
      <c r="I8867" s="2" t="s">
        <v>36721</v>
      </c>
      <c r="K8867" s="2" t="s">
        <v>2226</v>
      </c>
      <c r="L8867" s="2" t="s">
        <v>149</v>
      </c>
      <c r="M8867" s="2">
        <v>46750.0</v>
      </c>
      <c r="N8867" s="2" t="s">
        <v>21</v>
      </c>
    </row>
    <row r="8868" ht="15.75" customHeight="1">
      <c r="A8868" s="2">
        <v>2017.0</v>
      </c>
      <c r="B8868" s="2" t="s">
        <v>16000</v>
      </c>
      <c r="C8868" s="2" t="s">
        <v>36722</v>
      </c>
      <c r="D8868" s="2" t="str">
        <f>"3036189386"</f>
        <v>3036189386</v>
      </c>
      <c r="E8868" s="2" t="s">
        <v>11455</v>
      </c>
      <c r="F8868" s="2" t="s">
        <v>16002</v>
      </c>
      <c r="G8868" s="2" t="str">
        <f>"SR-10406"</f>
        <v>SR-10406</v>
      </c>
      <c r="H8868" s="2" t="s">
        <v>36723</v>
      </c>
      <c r="I8868" s="2" t="s">
        <v>16004</v>
      </c>
      <c r="K8868" s="2" t="s">
        <v>1398</v>
      </c>
      <c r="L8868" s="2" t="s">
        <v>157</v>
      </c>
      <c r="M8868" s="2">
        <v>80109.0</v>
      </c>
      <c r="N8868" s="2" t="s">
        <v>21</v>
      </c>
    </row>
    <row r="8869" ht="15.75" customHeight="1">
      <c r="A8869" s="2">
        <v>2017.0</v>
      </c>
      <c r="B8869" s="2" t="s">
        <v>16000</v>
      </c>
      <c r="C8869" s="2" t="s">
        <v>36724</v>
      </c>
      <c r="D8869" s="2" t="str">
        <f>"303-720-1961"</f>
        <v>303-720-1961</v>
      </c>
      <c r="E8869" s="2" t="s">
        <v>36725</v>
      </c>
      <c r="F8869" s="2" t="s">
        <v>16002</v>
      </c>
      <c r="G8869" s="2" t="str">
        <f>"SR-11050"</f>
        <v>SR-11050</v>
      </c>
      <c r="H8869" s="2" t="s">
        <v>36726</v>
      </c>
      <c r="I8869" s="2" t="s">
        <v>16004</v>
      </c>
      <c r="K8869" s="2" t="s">
        <v>1398</v>
      </c>
      <c r="L8869" s="2" t="s">
        <v>157</v>
      </c>
      <c r="M8869" s="2">
        <v>80109.0</v>
      </c>
      <c r="N8869" s="2" t="s">
        <v>21</v>
      </c>
    </row>
    <row r="8870" ht="15.75" customHeight="1">
      <c r="A8870" s="2">
        <v>2017.0</v>
      </c>
      <c r="B8870" s="2" t="s">
        <v>36727</v>
      </c>
      <c r="C8870" s="2" t="s">
        <v>36728</v>
      </c>
      <c r="D8870" s="2" t="str">
        <f>"4697449154"</f>
        <v>4697449154</v>
      </c>
      <c r="E8870" s="2" t="s">
        <v>3196</v>
      </c>
      <c r="F8870" s="2" t="s">
        <v>36729</v>
      </c>
      <c r="G8870" s="2" t="str">
        <f>"SR-11797"</f>
        <v>SR-11797</v>
      </c>
      <c r="H8870" s="2" t="s">
        <v>36730</v>
      </c>
      <c r="I8870" s="2" t="s">
        <v>36731</v>
      </c>
      <c r="K8870" s="2" t="s">
        <v>2643</v>
      </c>
      <c r="L8870" s="2" t="s">
        <v>172</v>
      </c>
      <c r="M8870" s="2">
        <v>75022.0</v>
      </c>
      <c r="N8870" s="2" t="s">
        <v>21</v>
      </c>
    </row>
    <row r="8871" ht="15.75" customHeight="1">
      <c r="A8871" s="2">
        <v>2017.0</v>
      </c>
      <c r="B8871" s="2" t="s">
        <v>36732</v>
      </c>
      <c r="C8871" s="2" t="s">
        <v>36733</v>
      </c>
      <c r="D8871" s="2" t="str">
        <f>"(260) 224-0494"</f>
        <v>(260) 224-0494</v>
      </c>
      <c r="E8871" s="2" t="s">
        <v>908</v>
      </c>
      <c r="F8871" s="2" t="s">
        <v>36734</v>
      </c>
      <c r="G8871" s="2" t="str">
        <f>"SR-11854"</f>
        <v>SR-11854</v>
      </c>
      <c r="H8871" s="2" t="s">
        <v>36735</v>
      </c>
      <c r="I8871" s="2" t="s">
        <v>36736</v>
      </c>
      <c r="K8871" s="2" t="s">
        <v>2226</v>
      </c>
      <c r="L8871" s="2" t="s">
        <v>149</v>
      </c>
      <c r="M8871" s="2">
        <v>46750.0</v>
      </c>
      <c r="N8871" s="2" t="s">
        <v>21</v>
      </c>
    </row>
    <row r="8872" ht="15.75" customHeight="1">
      <c r="A8872" s="2">
        <v>2017.0</v>
      </c>
      <c r="B8872" s="2" t="s">
        <v>36737</v>
      </c>
      <c r="C8872" s="2" t="s">
        <v>36737</v>
      </c>
      <c r="D8872" s="2" t="str">
        <f>"8155202197"</f>
        <v>8155202197</v>
      </c>
      <c r="E8872" s="2" t="s">
        <v>4300</v>
      </c>
      <c r="F8872" s="2" t="s">
        <v>36738</v>
      </c>
      <c r="G8872" s="2" t="str">
        <f>"SR-11849"</f>
        <v>SR-11849</v>
      </c>
      <c r="H8872" s="2" t="s">
        <v>36739</v>
      </c>
      <c r="I8872" s="2" t="s">
        <v>36740</v>
      </c>
      <c r="K8872" s="2" t="s">
        <v>382</v>
      </c>
      <c r="L8872" s="2" t="s">
        <v>105</v>
      </c>
      <c r="M8872" s="2">
        <v>61102.0</v>
      </c>
      <c r="N8872" s="2" t="s">
        <v>21</v>
      </c>
    </row>
    <row r="8873" ht="15.75" customHeight="1">
      <c r="A8873" s="2">
        <v>2017.0</v>
      </c>
      <c r="B8873" s="2" t="s">
        <v>36741</v>
      </c>
      <c r="C8873" s="2" t="s">
        <v>36741</v>
      </c>
      <c r="D8873" s="2" t="str">
        <f>"8159972915"</f>
        <v>8159972915</v>
      </c>
      <c r="E8873" s="2" t="s">
        <v>2800</v>
      </c>
      <c r="F8873" s="2" t="s">
        <v>10513</v>
      </c>
      <c r="G8873" s="2" t="str">
        <f>"SR-11850"</f>
        <v>SR-11850</v>
      </c>
      <c r="H8873" s="2" t="s">
        <v>36742</v>
      </c>
      <c r="I8873" s="2" t="s">
        <v>36743</v>
      </c>
      <c r="K8873" s="2" t="s">
        <v>382</v>
      </c>
      <c r="L8873" s="2" t="s">
        <v>105</v>
      </c>
      <c r="M8873" s="2">
        <v>61101.0</v>
      </c>
      <c r="N8873" s="2" t="s">
        <v>21</v>
      </c>
    </row>
    <row r="8874" ht="15.75" customHeight="1">
      <c r="A8874" s="2">
        <v>2017.0</v>
      </c>
      <c r="B8874" s="2" t="s">
        <v>36744</v>
      </c>
      <c r="C8874" s="2" t="s">
        <v>36745</v>
      </c>
      <c r="D8874" s="2" t="str">
        <f>"803-649-4489"</f>
        <v>803-649-4489</v>
      </c>
      <c r="E8874" s="2" t="s">
        <v>453</v>
      </c>
      <c r="F8874" s="2" t="s">
        <v>2063</v>
      </c>
      <c r="G8874" s="2" t="str">
        <f>"SR-11855"</f>
        <v>SR-11855</v>
      </c>
      <c r="H8874" s="2" t="s">
        <v>36746</v>
      </c>
      <c r="I8874" s="2" t="s">
        <v>36747</v>
      </c>
      <c r="K8874" s="2" t="s">
        <v>36748</v>
      </c>
      <c r="L8874" s="2" t="s">
        <v>55</v>
      </c>
      <c r="M8874" s="2">
        <v>29809.0</v>
      </c>
      <c r="N8874" s="2" t="s">
        <v>21</v>
      </c>
    </row>
    <row r="8875" ht="15.75" customHeight="1">
      <c r="A8875" s="2">
        <v>2017.0</v>
      </c>
      <c r="B8875" s="2" t="s">
        <v>36749</v>
      </c>
      <c r="C8875" s="2" t="s">
        <v>36749</v>
      </c>
      <c r="D8875" s="2" t="str">
        <f>"(916)715-5147"</f>
        <v>(916)715-5147</v>
      </c>
      <c r="E8875" s="2" t="s">
        <v>843</v>
      </c>
      <c r="F8875" s="2" t="s">
        <v>9976</v>
      </c>
      <c r="G8875" s="2" t="str">
        <f>"SR-11847"</f>
        <v>SR-11847</v>
      </c>
      <c r="H8875" s="2" t="s">
        <v>36750</v>
      </c>
      <c r="I8875" s="2" t="s">
        <v>36751</v>
      </c>
      <c r="K8875" s="2" t="s">
        <v>809</v>
      </c>
      <c r="L8875" s="2" t="s">
        <v>157</v>
      </c>
      <c r="M8875" s="2">
        <v>80921.0</v>
      </c>
      <c r="N8875" s="2" t="s">
        <v>21</v>
      </c>
    </row>
    <row r="8876" ht="15.75" customHeight="1">
      <c r="A8876" s="2">
        <v>2017.0</v>
      </c>
      <c r="B8876" s="2" t="s">
        <v>36752</v>
      </c>
      <c r="C8876" s="2" t="s">
        <v>36752</v>
      </c>
      <c r="D8876" s="2" t="str">
        <f>"8177393665"</f>
        <v>8177393665</v>
      </c>
      <c r="E8876" s="2" t="s">
        <v>15579</v>
      </c>
      <c r="F8876" s="2" t="s">
        <v>486</v>
      </c>
      <c r="G8876" s="2" t="str">
        <f>"SR-11811"</f>
        <v>SR-11811</v>
      </c>
      <c r="H8876" s="2" t="s">
        <v>36753</v>
      </c>
      <c r="I8876" s="2" t="s">
        <v>36754</v>
      </c>
      <c r="K8876" s="2" t="s">
        <v>11179</v>
      </c>
      <c r="L8876" s="2" t="s">
        <v>172</v>
      </c>
      <c r="M8876" s="2">
        <v>76065.0</v>
      </c>
      <c r="N8876" s="2" t="s">
        <v>21</v>
      </c>
    </row>
    <row r="8877" ht="15.75" customHeight="1">
      <c r="A8877" s="2">
        <v>2017.0</v>
      </c>
      <c r="B8877" s="2" t="s">
        <v>36755</v>
      </c>
      <c r="C8877" s="2" t="s">
        <v>36756</v>
      </c>
      <c r="D8877" s="2" t="str">
        <f>"815-242-1987"</f>
        <v>815-242-1987</v>
      </c>
      <c r="E8877" s="2" t="s">
        <v>36757</v>
      </c>
      <c r="F8877" s="2" t="s">
        <v>1859</v>
      </c>
      <c r="G8877" s="2" t="str">
        <f>"SR-11780"</f>
        <v>SR-11780</v>
      </c>
      <c r="H8877" s="2" t="s">
        <v>36758</v>
      </c>
      <c r="I8877" s="2" t="s">
        <v>36759</v>
      </c>
      <c r="K8877" s="2" t="s">
        <v>36760</v>
      </c>
      <c r="L8877" s="2" t="s">
        <v>105</v>
      </c>
      <c r="M8877" s="2">
        <v>60150.0</v>
      </c>
      <c r="N8877" s="2" t="s">
        <v>21</v>
      </c>
    </row>
    <row r="8878" ht="15.75" customHeight="1">
      <c r="A8878" s="2">
        <v>2017.0</v>
      </c>
      <c r="B8878" s="2" t="s">
        <v>14091</v>
      </c>
      <c r="C8878" s="2" t="s">
        <v>36761</v>
      </c>
      <c r="D8878" s="2" t="str">
        <f>"712-372-4224"</f>
        <v>712-372-4224</v>
      </c>
      <c r="E8878" s="2" t="s">
        <v>36762</v>
      </c>
      <c r="F8878" s="2" t="s">
        <v>14094</v>
      </c>
      <c r="G8878" s="2" t="str">
        <f>"SR-11861"</f>
        <v>SR-11861</v>
      </c>
      <c r="H8878" s="2" t="s">
        <v>36763</v>
      </c>
      <c r="I8878" s="2" t="s">
        <v>14096</v>
      </c>
      <c r="K8878" s="2" t="s">
        <v>14097</v>
      </c>
      <c r="L8878" s="2" t="s">
        <v>560</v>
      </c>
      <c r="M8878" s="2">
        <v>51039.0</v>
      </c>
      <c r="N8878" s="2" t="s">
        <v>21</v>
      </c>
    </row>
    <row r="8879" ht="15.75" customHeight="1">
      <c r="A8879" s="2">
        <v>2017.0</v>
      </c>
      <c r="B8879" s="2" t="s">
        <v>36764</v>
      </c>
      <c r="C8879" s="2" t="s">
        <v>36764</v>
      </c>
      <c r="D8879" s="2" t="str">
        <f>"6823045660"</f>
        <v>6823045660</v>
      </c>
      <c r="E8879" s="2" t="s">
        <v>453</v>
      </c>
      <c r="F8879" s="2" t="s">
        <v>26029</v>
      </c>
      <c r="G8879" s="2" t="str">
        <f>"SR-11862"</f>
        <v>SR-11862</v>
      </c>
      <c r="H8879" s="2" t="s">
        <v>36765</v>
      </c>
      <c r="I8879" s="2" t="s">
        <v>36766</v>
      </c>
      <c r="K8879" s="2" t="s">
        <v>2421</v>
      </c>
      <c r="L8879" s="2" t="s">
        <v>3618</v>
      </c>
      <c r="M8879" s="2">
        <v>8022.0</v>
      </c>
      <c r="N8879" s="2" t="s">
        <v>21</v>
      </c>
    </row>
    <row r="8880" ht="15.75" customHeight="1">
      <c r="A8880" s="2">
        <v>2017.0</v>
      </c>
      <c r="B8880" s="2" t="s">
        <v>36767</v>
      </c>
      <c r="C8880" s="2" t="s">
        <v>36768</v>
      </c>
      <c r="D8880" s="2" t="str">
        <f>"678 762 0001"</f>
        <v>678 762 0001</v>
      </c>
      <c r="E8880" s="2" t="s">
        <v>1015</v>
      </c>
      <c r="F8880" s="2" t="s">
        <v>36769</v>
      </c>
      <c r="G8880" s="2" t="str">
        <f>"SR-11824"</f>
        <v>SR-11824</v>
      </c>
      <c r="H8880" s="2" t="s">
        <v>36770</v>
      </c>
      <c r="I8880" s="2" t="s">
        <v>36771</v>
      </c>
      <c r="K8880" s="2" t="s">
        <v>11963</v>
      </c>
      <c r="L8880" s="2" t="s">
        <v>200</v>
      </c>
      <c r="M8880" s="2">
        <v>30115.0</v>
      </c>
      <c r="N8880" s="2" t="s">
        <v>21</v>
      </c>
    </row>
    <row r="8881" ht="15.75" customHeight="1">
      <c r="A8881" s="2">
        <v>2017.0</v>
      </c>
      <c r="B8881" s="2" t="s">
        <v>36772</v>
      </c>
      <c r="C8881" s="2" t="s">
        <v>36773</v>
      </c>
      <c r="D8881" s="2" t="str">
        <f>"7036383327"</f>
        <v>7036383327</v>
      </c>
      <c r="E8881" s="2" t="s">
        <v>385</v>
      </c>
      <c r="F8881" s="2" t="s">
        <v>36774</v>
      </c>
      <c r="G8881" s="2" t="str">
        <f>"SR-11856"</f>
        <v>SR-11856</v>
      </c>
      <c r="H8881" s="2" t="s">
        <v>36775</v>
      </c>
      <c r="I8881" s="2" t="s">
        <v>36776</v>
      </c>
      <c r="K8881" s="2" t="s">
        <v>2461</v>
      </c>
      <c r="L8881" s="2" t="s">
        <v>165</v>
      </c>
      <c r="M8881" s="2">
        <v>22611.0</v>
      </c>
      <c r="N8881" s="2" t="s">
        <v>21</v>
      </c>
    </row>
    <row r="8882" ht="15.75" customHeight="1">
      <c r="A8882" s="2">
        <v>2017.0</v>
      </c>
      <c r="B8882" s="2" t="s">
        <v>36777</v>
      </c>
      <c r="C8882" s="2" t="s">
        <v>36778</v>
      </c>
      <c r="D8882" s="2" t="str">
        <f>"864-486-9000"</f>
        <v>864-486-9000</v>
      </c>
      <c r="E8882" s="2" t="s">
        <v>11003</v>
      </c>
      <c r="F8882" s="2" t="s">
        <v>10019</v>
      </c>
      <c r="G8882" s="2" t="str">
        <f>"SR-11866"</f>
        <v>SR-11866</v>
      </c>
      <c r="H8882" s="2" t="s">
        <v>36779</v>
      </c>
      <c r="I8882" s="2" t="s">
        <v>36780</v>
      </c>
      <c r="K8882" s="2" t="s">
        <v>2474</v>
      </c>
      <c r="L8882" s="2" t="s">
        <v>55</v>
      </c>
      <c r="M8882" s="2">
        <v>29334.0</v>
      </c>
      <c r="N8882" s="2" t="s">
        <v>21</v>
      </c>
    </row>
    <row r="8883" ht="15.75" customHeight="1">
      <c r="A8883" s="2">
        <v>2017.0</v>
      </c>
      <c r="B8883" s="2" t="s">
        <v>36781</v>
      </c>
      <c r="C8883" s="2" t="s">
        <v>36781</v>
      </c>
      <c r="D8883" s="2" t="str">
        <f>"4234941145"</f>
        <v>4234941145</v>
      </c>
      <c r="E8883" s="2" t="s">
        <v>4406</v>
      </c>
      <c r="F8883" s="2" t="s">
        <v>36782</v>
      </c>
      <c r="G8883" s="2" t="str">
        <f>"SR-11835"</f>
        <v>SR-11835</v>
      </c>
      <c r="H8883" s="2" t="s">
        <v>36783</v>
      </c>
      <c r="I8883" s="2" t="s">
        <v>36784</v>
      </c>
      <c r="K8883" s="2" t="s">
        <v>36785</v>
      </c>
      <c r="L8883" s="2" t="s">
        <v>279</v>
      </c>
      <c r="M8883" s="2">
        <v>37766.0</v>
      </c>
      <c r="N8883" s="2" t="s">
        <v>21</v>
      </c>
    </row>
    <row r="8884" ht="15.75" customHeight="1">
      <c r="A8884" s="2">
        <v>2017.0</v>
      </c>
      <c r="B8884" s="2" t="s">
        <v>36786</v>
      </c>
      <c r="C8884" s="2" t="s">
        <v>36786</v>
      </c>
      <c r="D8884" s="2" t="str">
        <f>"601-669-6325"</f>
        <v>601-669-6325</v>
      </c>
      <c r="E8884" s="2" t="s">
        <v>261</v>
      </c>
      <c r="F8884" s="2" t="s">
        <v>35543</v>
      </c>
      <c r="G8884" s="2" t="str">
        <f>"SR-11574"</f>
        <v>SR-11574</v>
      </c>
      <c r="H8884" s="2" t="s">
        <v>36787</v>
      </c>
      <c r="I8884" s="2" t="s">
        <v>35545</v>
      </c>
      <c r="K8884" s="2" t="s">
        <v>35546</v>
      </c>
      <c r="L8884" s="2" t="s">
        <v>1722</v>
      </c>
      <c r="M8884" s="2">
        <v>39601.0</v>
      </c>
      <c r="N8884" s="2" t="s">
        <v>21</v>
      </c>
    </row>
    <row r="8885" ht="15.75" customHeight="1">
      <c r="A8885" s="2">
        <v>2017.0</v>
      </c>
      <c r="B8885" s="2" t="s">
        <v>36788</v>
      </c>
      <c r="C8885" s="2" t="s">
        <v>36789</v>
      </c>
      <c r="D8885" s="2" t="str">
        <f>"404-858-8582"</f>
        <v>404-858-8582</v>
      </c>
      <c r="E8885" s="2" t="s">
        <v>33578</v>
      </c>
      <c r="F8885" s="2" t="s">
        <v>36790</v>
      </c>
      <c r="G8885" s="2" t="str">
        <f>"SR-11871"</f>
        <v>SR-11871</v>
      </c>
      <c r="H8885" s="2" t="s">
        <v>36791</v>
      </c>
      <c r="I8885" s="2" t="s">
        <v>36792</v>
      </c>
      <c r="K8885" s="2" t="s">
        <v>7218</v>
      </c>
      <c r="L8885" s="2" t="s">
        <v>200</v>
      </c>
      <c r="M8885" s="2">
        <v>30075.0</v>
      </c>
      <c r="N8885" s="2" t="s">
        <v>21</v>
      </c>
    </row>
    <row r="8886" ht="15.75" customHeight="1">
      <c r="A8886" s="2">
        <v>2017.0</v>
      </c>
      <c r="B8886" s="2" t="s">
        <v>36793</v>
      </c>
      <c r="C8886" s="2" t="s">
        <v>36793</v>
      </c>
      <c r="D8886" s="2" t="str">
        <f>"(901) 494-9854"</f>
        <v>(901) 494-9854</v>
      </c>
      <c r="E8886" s="2" t="s">
        <v>3305</v>
      </c>
      <c r="F8886" s="2" t="s">
        <v>36794</v>
      </c>
      <c r="G8886" s="2" t="str">
        <f>"SR-11860"</f>
        <v>SR-11860</v>
      </c>
      <c r="H8886" s="2" t="s">
        <v>36795</v>
      </c>
      <c r="I8886" s="2" t="s">
        <v>36796</v>
      </c>
      <c r="K8886" s="2" t="s">
        <v>36797</v>
      </c>
      <c r="M8886" s="2">
        <v>72810.0</v>
      </c>
      <c r="N8886" s="2" t="s">
        <v>30008</v>
      </c>
    </row>
    <row r="8887" ht="15.75" customHeight="1">
      <c r="A8887" s="2">
        <v>2017.0</v>
      </c>
      <c r="B8887" s="2" t="s">
        <v>36798</v>
      </c>
      <c r="C8887" s="2" t="s">
        <v>36799</v>
      </c>
      <c r="D8887" s="2" t="str">
        <f>"3183761788"</f>
        <v>3183761788</v>
      </c>
      <c r="E8887" s="2" t="s">
        <v>1810</v>
      </c>
      <c r="F8887" s="2" t="s">
        <v>36800</v>
      </c>
      <c r="G8887" s="2" t="str">
        <f>"SR-11874"</f>
        <v>SR-11874</v>
      </c>
      <c r="H8887" s="2" t="s">
        <v>36801</v>
      </c>
      <c r="I8887" s="2" t="s">
        <v>36802</v>
      </c>
      <c r="K8887" s="2" t="s">
        <v>4519</v>
      </c>
      <c r="L8887" s="2" t="s">
        <v>715</v>
      </c>
      <c r="M8887" s="2">
        <v>71203.0</v>
      </c>
      <c r="N8887" s="2" t="s">
        <v>21</v>
      </c>
    </row>
    <row r="8888" ht="15.75" customHeight="1">
      <c r="A8888" s="2">
        <v>2017.0</v>
      </c>
      <c r="B8888" s="2" t="s">
        <v>36798</v>
      </c>
      <c r="C8888" s="2" t="s">
        <v>36803</v>
      </c>
      <c r="D8888" s="2" t="str">
        <f>"318-376-1788"</f>
        <v>318-376-1788</v>
      </c>
      <c r="E8888" s="2" t="s">
        <v>36804</v>
      </c>
      <c r="F8888" s="2" t="s">
        <v>36800</v>
      </c>
      <c r="G8888" s="2" t="str">
        <f>"SR-11875"</f>
        <v>SR-11875</v>
      </c>
      <c r="H8888" s="2" t="s">
        <v>36805</v>
      </c>
      <c r="I8888" s="2" t="s">
        <v>36806</v>
      </c>
      <c r="K8888" s="2" t="s">
        <v>4519</v>
      </c>
      <c r="L8888" s="2" t="s">
        <v>715</v>
      </c>
      <c r="M8888" s="2">
        <v>71203.0</v>
      </c>
      <c r="N8888" s="2" t="s">
        <v>21</v>
      </c>
    </row>
    <row r="8889" ht="15.75" customHeight="1">
      <c r="A8889" s="2">
        <v>2017.0</v>
      </c>
      <c r="B8889" s="2" t="s">
        <v>36807</v>
      </c>
      <c r="C8889" s="2" t="s">
        <v>36808</v>
      </c>
      <c r="D8889" s="2" t="str">
        <f>"918-630-2162"</f>
        <v>918-630-2162</v>
      </c>
      <c r="E8889" s="2" t="s">
        <v>144</v>
      </c>
      <c r="F8889" s="2" t="s">
        <v>36809</v>
      </c>
      <c r="G8889" s="2" t="str">
        <f>"SR-11511"</f>
        <v>SR-11511</v>
      </c>
      <c r="H8889" s="2" t="s">
        <v>36810</v>
      </c>
      <c r="I8889" s="2" t="s">
        <v>36811</v>
      </c>
      <c r="K8889" s="2" t="s">
        <v>20517</v>
      </c>
      <c r="L8889" s="2" t="s">
        <v>840</v>
      </c>
      <c r="M8889" s="2">
        <v>74137.0</v>
      </c>
      <c r="N8889" s="2" t="s">
        <v>21</v>
      </c>
    </row>
    <row r="8890" ht="15.75" customHeight="1">
      <c r="A8890" s="2">
        <v>2017.0</v>
      </c>
      <c r="B8890" s="2" t="s">
        <v>36812</v>
      </c>
      <c r="C8890" s="2" t="s">
        <v>36813</v>
      </c>
      <c r="D8890" s="2" t="str">
        <f>"626-234-1746"</f>
        <v>626-234-1746</v>
      </c>
      <c r="E8890" s="2" t="s">
        <v>4787</v>
      </c>
      <c r="F8890" s="2" t="s">
        <v>1151</v>
      </c>
      <c r="G8890" s="2" t="str">
        <f>"SR-11876"</f>
        <v>SR-11876</v>
      </c>
      <c r="H8890" s="2" t="s">
        <v>36814</v>
      </c>
      <c r="I8890" s="2">
        <v>716.0</v>
      </c>
      <c r="J8890" s="2" t="s">
        <v>36815</v>
      </c>
      <c r="K8890" s="2" t="s">
        <v>24742</v>
      </c>
      <c r="L8890" s="2" t="s">
        <v>222</v>
      </c>
      <c r="M8890" s="2">
        <v>91724.0</v>
      </c>
      <c r="N8890" s="2" t="s">
        <v>21</v>
      </c>
    </row>
    <row r="8891" ht="15.75" customHeight="1">
      <c r="A8891" s="2">
        <v>2017.0</v>
      </c>
      <c r="B8891" s="2" t="s">
        <v>36816</v>
      </c>
      <c r="C8891" s="2" t="s">
        <v>36817</v>
      </c>
      <c r="D8891" s="2" t="str">
        <f>"505.977.0583"</f>
        <v>505.977.0583</v>
      </c>
      <c r="E8891" s="2" t="s">
        <v>20352</v>
      </c>
      <c r="F8891" s="2" t="s">
        <v>36818</v>
      </c>
      <c r="G8891" s="2" t="str">
        <f>"SR-11842"</f>
        <v>SR-11842</v>
      </c>
      <c r="H8891" s="2" t="s">
        <v>36819</v>
      </c>
      <c r="I8891" s="2" t="s">
        <v>36820</v>
      </c>
      <c r="K8891" s="2" t="s">
        <v>3705</v>
      </c>
      <c r="L8891" s="2" t="s">
        <v>789</v>
      </c>
      <c r="M8891" s="2">
        <v>87120.0</v>
      </c>
      <c r="N8891" s="2" t="s">
        <v>21</v>
      </c>
    </row>
    <row r="8892" ht="15.75" customHeight="1">
      <c r="A8892" s="2">
        <v>2017.0</v>
      </c>
      <c r="B8892" s="2" t="s">
        <v>36821</v>
      </c>
      <c r="C8892" s="2" t="s">
        <v>36822</v>
      </c>
      <c r="D8892" s="2" t="str">
        <f>"720-642-0397"</f>
        <v>720-642-0397</v>
      </c>
      <c r="E8892" s="2" t="s">
        <v>1725</v>
      </c>
      <c r="F8892" s="2" t="s">
        <v>1810</v>
      </c>
      <c r="G8892" s="2" t="str">
        <f>"SR-11701"</f>
        <v>SR-11701</v>
      </c>
      <c r="H8892" s="2" t="s">
        <v>36823</v>
      </c>
      <c r="I8892" s="2" t="s">
        <v>36824</v>
      </c>
      <c r="K8892" s="2" t="s">
        <v>36825</v>
      </c>
      <c r="L8892" s="2" t="s">
        <v>157</v>
      </c>
      <c r="M8892" s="2">
        <v>80236.0</v>
      </c>
      <c r="N8892" s="2" t="s">
        <v>21</v>
      </c>
    </row>
    <row r="8893" ht="15.75" customHeight="1">
      <c r="A8893" s="2">
        <v>2017.0</v>
      </c>
      <c r="B8893" s="2" t="s">
        <v>36826</v>
      </c>
      <c r="D8893" s="2" t="str">
        <f>""</f>
        <v/>
      </c>
      <c r="E8893" s="2" t="s">
        <v>11200</v>
      </c>
      <c r="F8893" s="2" t="s">
        <v>36827</v>
      </c>
      <c r="G8893" s="2" t="str">
        <f>"SR-11647"</f>
        <v>SR-11647</v>
      </c>
      <c r="H8893" s="2" t="s">
        <v>36828</v>
      </c>
    </row>
    <row r="8894" ht="15.75" customHeight="1">
      <c r="A8894" s="2">
        <v>2017.0</v>
      </c>
      <c r="B8894" s="2" t="s">
        <v>36829</v>
      </c>
      <c r="C8894" s="2" t="s">
        <v>36830</v>
      </c>
      <c r="D8894" s="2" t="str">
        <f>"403 966 6645"</f>
        <v>403 966 6645</v>
      </c>
      <c r="E8894" s="2" t="s">
        <v>36831</v>
      </c>
      <c r="F8894" s="2" t="s">
        <v>89</v>
      </c>
      <c r="G8894" s="2" t="str">
        <f>"SR-11733"</f>
        <v>SR-11733</v>
      </c>
      <c r="H8894" s="2" t="s">
        <v>36832</v>
      </c>
      <c r="I8894" s="2" t="s">
        <v>36833</v>
      </c>
      <c r="J8894" s="2" t="s">
        <v>36834</v>
      </c>
      <c r="K8894" s="2" t="s">
        <v>6725</v>
      </c>
      <c r="L8894" s="2" t="s">
        <v>2397</v>
      </c>
      <c r="M8894" s="2" t="s">
        <v>36835</v>
      </c>
      <c r="N8894" s="2" t="s">
        <v>1602</v>
      </c>
    </row>
    <row r="8895" ht="15.75" customHeight="1">
      <c r="A8895" s="2">
        <v>2017.0</v>
      </c>
      <c r="B8895" s="2" t="s">
        <v>36836</v>
      </c>
      <c r="C8895" s="2" t="s">
        <v>36836</v>
      </c>
      <c r="D8895" s="2" t="str">
        <f>"3194502557"</f>
        <v>3194502557</v>
      </c>
      <c r="E8895" s="2" t="s">
        <v>1440</v>
      </c>
      <c r="F8895" s="2" t="s">
        <v>36837</v>
      </c>
      <c r="G8895" s="2" t="str">
        <f>"SR-11880"</f>
        <v>SR-11880</v>
      </c>
      <c r="H8895" s="2" t="s">
        <v>36838</v>
      </c>
      <c r="I8895" s="2" t="s">
        <v>36839</v>
      </c>
      <c r="K8895" s="2" t="s">
        <v>3493</v>
      </c>
      <c r="L8895" s="2" t="s">
        <v>560</v>
      </c>
      <c r="M8895" s="2">
        <v>52302.0</v>
      </c>
      <c r="N8895" s="2" t="s">
        <v>21</v>
      </c>
    </row>
    <row r="8896" ht="15.75" customHeight="1">
      <c r="A8896" s="2">
        <v>2017.0</v>
      </c>
      <c r="B8896" s="2" t="s">
        <v>36840</v>
      </c>
      <c r="C8896" s="2" t="s">
        <v>36840</v>
      </c>
      <c r="D8896" s="2" t="str">
        <f>"954-865-5288"</f>
        <v>954-865-5288</v>
      </c>
      <c r="E8896" s="2" t="s">
        <v>9599</v>
      </c>
      <c r="F8896" s="2" t="s">
        <v>36841</v>
      </c>
      <c r="G8896" s="2" t="str">
        <f>"SR-11867"</f>
        <v>SR-11867</v>
      </c>
      <c r="H8896" s="2" t="s">
        <v>36842</v>
      </c>
      <c r="I8896" s="2" t="s">
        <v>36843</v>
      </c>
      <c r="K8896" s="2" t="s">
        <v>19644</v>
      </c>
      <c r="L8896" s="2" t="s">
        <v>208</v>
      </c>
      <c r="M8896" s="2">
        <v>33313.0</v>
      </c>
      <c r="N8896" s="2" t="s">
        <v>21</v>
      </c>
    </row>
    <row r="8897" ht="15.75" customHeight="1">
      <c r="A8897" s="2">
        <v>2017.0</v>
      </c>
      <c r="B8897" s="2" t="s">
        <v>36844</v>
      </c>
      <c r="C8897" s="2" t="s">
        <v>36844</v>
      </c>
      <c r="D8897" s="2" t="str">
        <f>"5875860548"</f>
        <v>5875860548</v>
      </c>
      <c r="E8897" s="2" t="s">
        <v>36845</v>
      </c>
      <c r="F8897" s="2" t="s">
        <v>36846</v>
      </c>
      <c r="G8897" s="2" t="str">
        <f>"SR-11810"</f>
        <v>SR-11810</v>
      </c>
      <c r="H8897" s="2" t="s">
        <v>36847</v>
      </c>
      <c r="I8897" s="2" t="s">
        <v>36848</v>
      </c>
      <c r="K8897" s="2" t="s">
        <v>6725</v>
      </c>
      <c r="L8897" s="2" t="s">
        <v>2397</v>
      </c>
      <c r="M8897" s="2" t="s">
        <v>36849</v>
      </c>
      <c r="N8897" s="2" t="s">
        <v>1602</v>
      </c>
    </row>
    <row r="8898" ht="15.75" customHeight="1">
      <c r="A8898" s="2">
        <v>2017.0</v>
      </c>
      <c r="B8898" s="2" t="s">
        <v>36850</v>
      </c>
      <c r="C8898" s="2" t="s">
        <v>36851</v>
      </c>
      <c r="D8898" s="2" t="str">
        <f>"505-401-3857"</f>
        <v>505-401-3857</v>
      </c>
      <c r="E8898" s="2" t="s">
        <v>15626</v>
      </c>
      <c r="F8898" s="2" t="s">
        <v>36852</v>
      </c>
      <c r="G8898" s="2" t="str">
        <f>"SR-11881"</f>
        <v>SR-11881</v>
      </c>
      <c r="H8898" s="2" t="s">
        <v>36853</v>
      </c>
      <c r="I8898" s="2" t="s">
        <v>36854</v>
      </c>
      <c r="K8898" s="2" t="s">
        <v>3803</v>
      </c>
      <c r="L8898" s="2" t="s">
        <v>789</v>
      </c>
      <c r="M8898" s="2">
        <v>87124.0</v>
      </c>
      <c r="N8898" s="2" t="s">
        <v>21</v>
      </c>
    </row>
    <row r="8899" ht="15.75" customHeight="1">
      <c r="A8899" s="2">
        <v>2017.0</v>
      </c>
      <c r="B8899" s="2" t="s">
        <v>36855</v>
      </c>
      <c r="C8899" s="2" t="s">
        <v>36855</v>
      </c>
      <c r="D8899" s="2" t="str">
        <f>"6012122623"</f>
        <v>6012122623</v>
      </c>
      <c r="E8899" s="2" t="s">
        <v>36856</v>
      </c>
      <c r="F8899" s="2" t="s">
        <v>962</v>
      </c>
      <c r="G8899" s="2" t="str">
        <f>"SR-10854"</f>
        <v>SR-10854</v>
      </c>
      <c r="H8899" s="2" t="s">
        <v>36857</v>
      </c>
      <c r="I8899" s="2" t="s">
        <v>36858</v>
      </c>
      <c r="K8899" s="2" t="s">
        <v>36859</v>
      </c>
      <c r="L8899" s="2" t="s">
        <v>1722</v>
      </c>
      <c r="M8899" s="2">
        <v>39157.0</v>
      </c>
      <c r="N8899" s="2" t="s">
        <v>21</v>
      </c>
    </row>
    <row r="8900" ht="15.75" customHeight="1">
      <c r="A8900" s="2">
        <v>2017.0</v>
      </c>
      <c r="B8900" s="2" t="s">
        <v>36860</v>
      </c>
      <c r="C8900" s="2" t="s">
        <v>36861</v>
      </c>
      <c r="D8900" s="2" t="str">
        <f>"720 498 9511"</f>
        <v>720 498 9511</v>
      </c>
      <c r="E8900" s="2" t="s">
        <v>217</v>
      </c>
      <c r="F8900" s="2" t="s">
        <v>36862</v>
      </c>
      <c r="G8900" s="2" t="str">
        <f>"SR-11882"</f>
        <v>SR-11882</v>
      </c>
      <c r="H8900" s="2" t="s">
        <v>36863</v>
      </c>
      <c r="I8900" s="2" t="s">
        <v>36864</v>
      </c>
      <c r="K8900" s="2" t="s">
        <v>682</v>
      </c>
      <c r="L8900" s="2" t="s">
        <v>157</v>
      </c>
      <c r="M8900" s="2">
        <v>80129.0</v>
      </c>
      <c r="N8900" s="2" t="s">
        <v>21</v>
      </c>
    </row>
    <row r="8901" ht="15.75" customHeight="1">
      <c r="A8901" s="2">
        <v>2017.0</v>
      </c>
      <c r="B8901" s="2" t="s">
        <v>36865</v>
      </c>
      <c r="C8901" s="2" t="s">
        <v>36866</v>
      </c>
      <c r="D8901" s="2" t="str">
        <f>"407-865-3462"</f>
        <v>407-865-3462</v>
      </c>
      <c r="E8901" s="2" t="s">
        <v>4935</v>
      </c>
      <c r="F8901" s="2" t="s">
        <v>36867</v>
      </c>
      <c r="G8901" s="2" t="str">
        <f>"SR-8228"</f>
        <v>SR-8228</v>
      </c>
      <c r="H8901" s="2" t="s">
        <v>36868</v>
      </c>
      <c r="I8901" s="2" t="s">
        <v>36869</v>
      </c>
      <c r="K8901" s="2" t="s">
        <v>525</v>
      </c>
      <c r="L8901" s="2" t="s">
        <v>208</v>
      </c>
      <c r="M8901" s="2">
        <v>32750.0</v>
      </c>
      <c r="N8901" s="2" t="s">
        <v>21</v>
      </c>
    </row>
    <row r="8902" ht="15.75" customHeight="1">
      <c r="A8902" s="2">
        <v>2017.0</v>
      </c>
      <c r="B8902" s="2" t="s">
        <v>36870</v>
      </c>
      <c r="C8902" s="2" t="s">
        <v>36871</v>
      </c>
      <c r="D8902" s="2" t="str">
        <f>"7134295914"</f>
        <v>7134295914</v>
      </c>
      <c r="E8902" s="2" t="s">
        <v>261</v>
      </c>
      <c r="F8902" s="2" t="s">
        <v>4978</v>
      </c>
      <c r="G8902" s="2" t="str">
        <f>"SR-8068"</f>
        <v>SR-8068</v>
      </c>
      <c r="H8902" s="2" t="s">
        <v>36872</v>
      </c>
      <c r="I8902" s="2" t="s">
        <v>36873</v>
      </c>
      <c r="K8902" s="2" t="s">
        <v>1255</v>
      </c>
      <c r="L8902" s="2" t="s">
        <v>172</v>
      </c>
      <c r="M8902" s="2">
        <v>75204.0</v>
      </c>
      <c r="N8902" s="2" t="s">
        <v>21</v>
      </c>
    </row>
    <row r="8903" ht="15.75" customHeight="1">
      <c r="A8903" s="2">
        <v>2017.0</v>
      </c>
      <c r="B8903" s="2" t="s">
        <v>36874</v>
      </c>
      <c r="C8903" s="2" t="s">
        <v>36874</v>
      </c>
      <c r="D8903" s="2" t="str">
        <f>"313 580 7022"</f>
        <v>313 580 7022</v>
      </c>
      <c r="E8903" s="2" t="s">
        <v>12075</v>
      </c>
      <c r="F8903" s="2" t="s">
        <v>2063</v>
      </c>
      <c r="G8903" s="2" t="str">
        <f>"SR-9756"</f>
        <v>SR-9756</v>
      </c>
      <c r="H8903" s="2" t="s">
        <v>22998</v>
      </c>
      <c r="I8903" s="2" t="s">
        <v>36875</v>
      </c>
      <c r="K8903" s="2" t="s">
        <v>8156</v>
      </c>
      <c r="L8903" s="2" t="s">
        <v>29</v>
      </c>
      <c r="M8903" s="2">
        <v>48033.0</v>
      </c>
      <c r="N8903" s="2" t="s">
        <v>21</v>
      </c>
    </row>
    <row r="8904" ht="15.75" customHeight="1">
      <c r="A8904" s="2">
        <v>2017.0</v>
      </c>
      <c r="B8904" s="2" t="s">
        <v>36876</v>
      </c>
      <c r="C8904" s="2" t="s">
        <v>36877</v>
      </c>
      <c r="D8904" s="2" t="str">
        <f>"678-404-5635"</f>
        <v>678-404-5635</v>
      </c>
      <c r="E8904" s="2" t="s">
        <v>580</v>
      </c>
      <c r="F8904" s="2" t="s">
        <v>4514</v>
      </c>
      <c r="G8904" s="2" t="str">
        <f>"SR-11508"</f>
        <v>SR-11508</v>
      </c>
      <c r="H8904" s="2" t="s">
        <v>36878</v>
      </c>
      <c r="I8904" s="2" t="s">
        <v>36879</v>
      </c>
      <c r="K8904" s="2" t="s">
        <v>36880</v>
      </c>
      <c r="L8904" s="2" t="s">
        <v>200</v>
      </c>
      <c r="M8904" s="2">
        <v>30096.0</v>
      </c>
      <c r="N8904" s="2" t="s">
        <v>21</v>
      </c>
    </row>
    <row r="8905" ht="15.75" customHeight="1">
      <c r="A8905" s="2">
        <v>2017.0</v>
      </c>
      <c r="B8905" s="2" t="s">
        <v>8152</v>
      </c>
      <c r="C8905" s="2" t="s">
        <v>36881</v>
      </c>
      <c r="D8905" s="2" t="str">
        <f>"313 580-2276"</f>
        <v>313 580-2276</v>
      </c>
      <c r="E8905" s="2" t="s">
        <v>1450</v>
      </c>
      <c r="F8905" s="2" t="s">
        <v>2063</v>
      </c>
      <c r="G8905" s="2" t="str">
        <f>"SR-11877"</f>
        <v>SR-11877</v>
      </c>
      <c r="H8905" s="2" t="s">
        <v>36882</v>
      </c>
      <c r="I8905" s="2" t="s">
        <v>8155</v>
      </c>
      <c r="K8905" s="2" t="s">
        <v>8156</v>
      </c>
      <c r="L8905" s="2" t="s">
        <v>29</v>
      </c>
      <c r="M8905" s="2">
        <v>48033.0</v>
      </c>
      <c r="N8905" s="2" t="s">
        <v>21</v>
      </c>
    </row>
    <row r="8906" ht="15.75" customHeight="1">
      <c r="A8906" s="2">
        <v>2017.0</v>
      </c>
      <c r="B8906" s="2" t="s">
        <v>36883</v>
      </c>
      <c r="C8906" s="2" t="s">
        <v>36884</v>
      </c>
      <c r="D8906" s="2" t="str">
        <f>"8176475448"</f>
        <v>8176475448</v>
      </c>
      <c r="E8906" s="2" t="s">
        <v>2243</v>
      </c>
      <c r="F8906" s="2" t="s">
        <v>36885</v>
      </c>
      <c r="G8906" s="2" t="str">
        <f>"SR-11869"</f>
        <v>SR-11869</v>
      </c>
      <c r="H8906" s="2" t="s">
        <v>36886</v>
      </c>
      <c r="I8906" s="2" t="s">
        <v>36887</v>
      </c>
      <c r="K8906" s="2" t="s">
        <v>5729</v>
      </c>
      <c r="L8906" s="2" t="s">
        <v>172</v>
      </c>
      <c r="M8906" s="2">
        <v>76087.0</v>
      </c>
      <c r="N8906" s="2" t="s">
        <v>21</v>
      </c>
    </row>
    <row r="8907" ht="15.75" customHeight="1">
      <c r="A8907" s="2">
        <v>2017.0</v>
      </c>
      <c r="B8907" s="2" t="s">
        <v>36888</v>
      </c>
      <c r="C8907" s="2" t="s">
        <v>36888</v>
      </c>
      <c r="D8907" s="2" t="str">
        <f>"2196889455"</f>
        <v>2196889455</v>
      </c>
      <c r="E8907" s="2" t="s">
        <v>1713</v>
      </c>
      <c r="F8907" s="2" t="s">
        <v>23018</v>
      </c>
      <c r="G8907" s="2" t="str">
        <f>"SR-11888"</f>
        <v>SR-11888</v>
      </c>
      <c r="H8907" s="2" t="s">
        <v>36889</v>
      </c>
      <c r="I8907" s="2" t="s">
        <v>36890</v>
      </c>
      <c r="K8907" s="2" t="s">
        <v>36891</v>
      </c>
      <c r="L8907" s="2" t="s">
        <v>149</v>
      </c>
      <c r="M8907" s="2">
        <v>46307.0</v>
      </c>
      <c r="N8907" s="2" t="s">
        <v>21</v>
      </c>
    </row>
    <row r="8908" ht="15.75" customHeight="1">
      <c r="A8908" s="2">
        <v>2017.0</v>
      </c>
      <c r="B8908" s="2" t="s">
        <v>36892</v>
      </c>
      <c r="C8908" s="2" t="s">
        <v>36893</v>
      </c>
      <c r="D8908" s="2" t="str">
        <f t="shared" ref="D8908:D8909" si="136">"7346253051"</f>
        <v>7346253051</v>
      </c>
      <c r="E8908" s="2" t="s">
        <v>225</v>
      </c>
      <c r="F8908" s="2" t="s">
        <v>5326</v>
      </c>
      <c r="G8908" s="2" t="str">
        <f>"SR-11891"</f>
        <v>SR-11891</v>
      </c>
      <c r="H8908" s="2" t="s">
        <v>36894</v>
      </c>
      <c r="I8908" s="2" t="s">
        <v>36895</v>
      </c>
      <c r="K8908" s="2" t="s">
        <v>3707</v>
      </c>
      <c r="L8908" s="2" t="s">
        <v>29</v>
      </c>
      <c r="M8908" s="2">
        <v>48117.0</v>
      </c>
      <c r="N8908" s="2" t="s">
        <v>21</v>
      </c>
    </row>
    <row r="8909" ht="15.75" customHeight="1">
      <c r="A8909" s="2">
        <v>2017.0</v>
      </c>
      <c r="B8909" s="2" t="s">
        <v>36892</v>
      </c>
      <c r="C8909" s="2" t="s">
        <v>19965</v>
      </c>
      <c r="D8909" s="2" t="str">
        <f t="shared" si="136"/>
        <v>7346253051</v>
      </c>
      <c r="E8909" s="2" t="s">
        <v>167</v>
      </c>
      <c r="F8909" s="2" t="s">
        <v>5326</v>
      </c>
      <c r="G8909" s="2" t="str">
        <f>"SR-11893"</f>
        <v>SR-11893</v>
      </c>
      <c r="H8909" s="2" t="s">
        <v>36896</v>
      </c>
      <c r="I8909" s="2" t="s">
        <v>36895</v>
      </c>
      <c r="K8909" s="2" t="s">
        <v>3707</v>
      </c>
      <c r="L8909" s="2" t="s">
        <v>29</v>
      </c>
      <c r="M8909" s="2">
        <v>48117.0</v>
      </c>
      <c r="N8909" s="2" t="s">
        <v>21</v>
      </c>
    </row>
    <row r="8910" ht="15.75" customHeight="1">
      <c r="A8910" s="2">
        <v>2017.0</v>
      </c>
      <c r="B8910" s="2" t="s">
        <v>36897</v>
      </c>
      <c r="C8910" s="2" t="s">
        <v>25485</v>
      </c>
      <c r="D8910" s="2" t="str">
        <f>"5713448956"</f>
        <v>5713448956</v>
      </c>
      <c r="E8910" s="2" t="s">
        <v>4871</v>
      </c>
      <c r="F8910" s="2" t="s">
        <v>20840</v>
      </c>
      <c r="G8910" s="2" t="str">
        <f>"SR-11892"</f>
        <v>SR-11892</v>
      </c>
      <c r="H8910" s="2" t="s">
        <v>36898</v>
      </c>
      <c r="I8910" s="2" t="s">
        <v>36899</v>
      </c>
      <c r="J8910" s="2" t="s">
        <v>36900</v>
      </c>
      <c r="K8910" s="2" t="s">
        <v>15498</v>
      </c>
      <c r="L8910" s="2" t="s">
        <v>142</v>
      </c>
      <c r="M8910" s="2">
        <v>11201.0</v>
      </c>
      <c r="N8910" s="2" t="s">
        <v>21</v>
      </c>
    </row>
    <row r="8911" ht="15.75" customHeight="1">
      <c r="A8911" s="2">
        <v>2017.0</v>
      </c>
      <c r="B8911" s="2" t="s">
        <v>36901</v>
      </c>
      <c r="C8911" s="2" t="s">
        <v>25485</v>
      </c>
      <c r="D8911" s="2" t="str">
        <f>"2053050669"</f>
        <v>2053050669</v>
      </c>
      <c r="E8911" s="2" t="s">
        <v>7543</v>
      </c>
      <c r="F8911" s="2" t="s">
        <v>3144</v>
      </c>
      <c r="G8911" s="2" t="str">
        <f>"SR-11894"</f>
        <v>SR-11894</v>
      </c>
      <c r="H8911" s="2" t="s">
        <v>36902</v>
      </c>
      <c r="I8911" s="2" t="s">
        <v>36903</v>
      </c>
      <c r="K8911" s="2" t="s">
        <v>36904</v>
      </c>
      <c r="L8911" s="2" t="s">
        <v>539</v>
      </c>
      <c r="M8911" s="2">
        <v>35213.0</v>
      </c>
      <c r="N8911" s="2" t="s">
        <v>21</v>
      </c>
    </row>
    <row r="8912" ht="15.75" customHeight="1">
      <c r="A8912" s="2">
        <v>2017.0</v>
      </c>
      <c r="B8912" s="2" t="s">
        <v>36905</v>
      </c>
      <c r="C8912" s="2" t="s">
        <v>36906</v>
      </c>
      <c r="D8912" s="2" t="str">
        <f>"3087464775"</f>
        <v>3087464775</v>
      </c>
      <c r="E8912" s="2" t="s">
        <v>36907</v>
      </c>
      <c r="F8912" s="2" t="s">
        <v>2063</v>
      </c>
      <c r="G8912" s="2" t="str">
        <f>"SR-11895"</f>
        <v>SR-11895</v>
      </c>
      <c r="H8912" s="2" t="s">
        <v>36908</v>
      </c>
      <c r="I8912" s="2" t="s">
        <v>36909</v>
      </c>
      <c r="K8912" s="2" t="s">
        <v>36910</v>
      </c>
      <c r="L8912" s="2" t="s">
        <v>757</v>
      </c>
      <c r="M8912" s="2">
        <v>68850.0</v>
      </c>
      <c r="N8912" s="2" t="s">
        <v>21</v>
      </c>
    </row>
    <row r="8913" ht="15.75" customHeight="1">
      <c r="A8913" s="2">
        <v>2017.0</v>
      </c>
      <c r="B8913" s="2" t="s">
        <v>36892</v>
      </c>
      <c r="C8913" s="2" t="s">
        <v>36911</v>
      </c>
      <c r="D8913" s="2" t="str">
        <f>"7345877129"</f>
        <v>7345877129</v>
      </c>
      <c r="E8913" s="2" t="s">
        <v>1263</v>
      </c>
      <c r="F8913" s="2" t="s">
        <v>5326</v>
      </c>
      <c r="G8913" s="2" t="str">
        <f>"SR-11897"</f>
        <v>SR-11897</v>
      </c>
      <c r="H8913" s="2" t="s">
        <v>30190</v>
      </c>
      <c r="I8913" s="2" t="s">
        <v>36895</v>
      </c>
      <c r="K8913" s="2" t="s">
        <v>3707</v>
      </c>
      <c r="L8913" s="2" t="s">
        <v>29</v>
      </c>
      <c r="M8913" s="2">
        <v>48117.0</v>
      </c>
      <c r="N8913" s="2" t="s">
        <v>21</v>
      </c>
    </row>
    <row r="8914" ht="15.75" customHeight="1">
      <c r="A8914" s="2">
        <v>2017.0</v>
      </c>
      <c r="B8914" s="2" t="s">
        <v>36912</v>
      </c>
      <c r="C8914" s="2" t="s">
        <v>36912</v>
      </c>
      <c r="D8914" s="2" t="str">
        <f>"817-941-6231"</f>
        <v>817-941-6231</v>
      </c>
      <c r="E8914" s="2" t="s">
        <v>485</v>
      </c>
      <c r="F8914" s="2" t="s">
        <v>36913</v>
      </c>
      <c r="G8914" s="2" t="str">
        <f>"SR-11802"</f>
        <v>SR-11802</v>
      </c>
      <c r="H8914" s="2" t="s">
        <v>36914</v>
      </c>
      <c r="I8914" s="2" t="s">
        <v>36915</v>
      </c>
      <c r="K8914" s="2" t="s">
        <v>15291</v>
      </c>
      <c r="L8914" s="2" t="s">
        <v>172</v>
      </c>
      <c r="M8914" s="2">
        <v>76039.0</v>
      </c>
      <c r="N8914" s="2" t="s">
        <v>21</v>
      </c>
    </row>
    <row r="8915" ht="15.75" customHeight="1">
      <c r="A8915" s="2">
        <v>2017.0</v>
      </c>
      <c r="B8915" s="2" t="s">
        <v>36916</v>
      </c>
      <c r="C8915" s="2" t="s">
        <v>36917</v>
      </c>
      <c r="D8915" s="2" t="str">
        <f>"347.653.8879"</f>
        <v>347.653.8879</v>
      </c>
      <c r="E8915" s="2" t="s">
        <v>57</v>
      </c>
      <c r="F8915" s="2" t="s">
        <v>36918</v>
      </c>
      <c r="G8915" s="2" t="str">
        <f>"SR-11900"</f>
        <v>SR-11900</v>
      </c>
      <c r="H8915" s="2" t="s">
        <v>36919</v>
      </c>
      <c r="I8915" s="2" t="s">
        <v>36920</v>
      </c>
      <c r="J8915" s="2" t="s">
        <v>36921</v>
      </c>
      <c r="K8915" s="2" t="s">
        <v>36922</v>
      </c>
      <c r="L8915" s="2" t="s">
        <v>142</v>
      </c>
      <c r="M8915" s="2">
        <v>11692.0</v>
      </c>
      <c r="N8915" s="2" t="s">
        <v>21</v>
      </c>
    </row>
    <row r="8916" ht="15.75" customHeight="1">
      <c r="A8916" s="2">
        <v>2017.0</v>
      </c>
      <c r="B8916" s="2" t="s">
        <v>36923</v>
      </c>
      <c r="C8916" s="2" t="s">
        <v>25485</v>
      </c>
      <c r="D8916" s="2" t="str">
        <f>"740-407-9255"</f>
        <v>740-407-9255</v>
      </c>
      <c r="E8916" s="2" t="s">
        <v>26324</v>
      </c>
      <c r="F8916" s="2" t="s">
        <v>36924</v>
      </c>
      <c r="G8916" s="2" t="str">
        <f>"SR-11898"</f>
        <v>SR-11898</v>
      </c>
      <c r="H8916" s="2" t="s">
        <v>36925</v>
      </c>
      <c r="I8916" s="2" t="s">
        <v>36926</v>
      </c>
      <c r="K8916" s="2" t="s">
        <v>4189</v>
      </c>
      <c r="L8916" s="2" t="s">
        <v>344</v>
      </c>
      <c r="M8916" s="2">
        <v>45011.0</v>
      </c>
      <c r="N8916" s="2" t="s">
        <v>21</v>
      </c>
    </row>
    <row r="8917" ht="15.75" customHeight="1">
      <c r="A8917" s="2">
        <v>2017.0</v>
      </c>
      <c r="B8917" s="2" t="s">
        <v>36927</v>
      </c>
      <c r="C8917" s="2" t="s">
        <v>36927</v>
      </c>
      <c r="D8917" s="2" t="str">
        <f>"6186606955"</f>
        <v>6186606955</v>
      </c>
      <c r="E8917" s="2" t="s">
        <v>3173</v>
      </c>
      <c r="F8917" s="2" t="s">
        <v>36928</v>
      </c>
      <c r="G8917" s="2" t="str">
        <f>"SR-11890"</f>
        <v>SR-11890</v>
      </c>
      <c r="H8917" s="2" t="s">
        <v>36929</v>
      </c>
      <c r="I8917" s="2" t="s">
        <v>36930</v>
      </c>
      <c r="K8917" s="2" t="s">
        <v>16777</v>
      </c>
      <c r="L8917" s="2" t="s">
        <v>105</v>
      </c>
      <c r="M8917" s="2">
        <v>62097.0</v>
      </c>
      <c r="N8917" s="2" t="s">
        <v>21</v>
      </c>
    </row>
    <row r="8918" ht="15.75" customHeight="1">
      <c r="A8918" s="2">
        <v>2017.0</v>
      </c>
      <c r="B8918" s="2" t="s">
        <v>36931</v>
      </c>
      <c r="C8918" s="2" t="s">
        <v>36931</v>
      </c>
      <c r="D8918" s="2" t="str">
        <f>"(970) 209-8112"</f>
        <v>(970) 209-8112</v>
      </c>
      <c r="E8918" s="2" t="s">
        <v>36932</v>
      </c>
      <c r="F8918" s="2" t="s">
        <v>847</v>
      </c>
      <c r="G8918" s="2" t="str">
        <f>"SR-11901"</f>
        <v>SR-11901</v>
      </c>
      <c r="H8918" s="2" t="s">
        <v>36933</v>
      </c>
      <c r="I8918" s="2" t="s">
        <v>36934</v>
      </c>
      <c r="K8918" s="2" t="s">
        <v>32284</v>
      </c>
      <c r="L8918" s="2" t="s">
        <v>157</v>
      </c>
      <c r="M8918" s="2">
        <v>81413.0</v>
      </c>
      <c r="N8918" s="2" t="s">
        <v>21</v>
      </c>
    </row>
    <row r="8919" ht="15.75" customHeight="1">
      <c r="A8919" s="2">
        <v>2017.0</v>
      </c>
      <c r="B8919" s="2" t="s">
        <v>36935</v>
      </c>
      <c r="C8919" s="2" t="s">
        <v>35585</v>
      </c>
      <c r="D8919" s="2" t="str">
        <f>"2674467788"</f>
        <v>2674467788</v>
      </c>
      <c r="E8919" s="2" t="s">
        <v>16129</v>
      </c>
      <c r="F8919" s="2" t="s">
        <v>35586</v>
      </c>
      <c r="G8919" s="2" t="str">
        <f>"SR-11908"</f>
        <v>SR-11908</v>
      </c>
      <c r="H8919" s="2" t="s">
        <v>35587</v>
      </c>
      <c r="I8919" s="2" t="s">
        <v>36936</v>
      </c>
      <c r="K8919" s="2" t="s">
        <v>35751</v>
      </c>
      <c r="L8919" s="2" t="s">
        <v>279</v>
      </c>
      <c r="M8919" s="2">
        <v>38462.0</v>
      </c>
      <c r="N8919" s="2" t="s">
        <v>21</v>
      </c>
    </row>
    <row r="8920" ht="15.75" customHeight="1">
      <c r="A8920" s="2">
        <v>2017.0</v>
      </c>
      <c r="B8920" s="2" t="s">
        <v>36937</v>
      </c>
      <c r="C8920" s="2" t="s">
        <v>36937</v>
      </c>
      <c r="D8920" s="2" t="str">
        <f>"912-537-7237"</f>
        <v>912-537-7237</v>
      </c>
      <c r="E8920" s="2" t="s">
        <v>1263</v>
      </c>
      <c r="F8920" s="2" t="s">
        <v>36938</v>
      </c>
      <c r="G8920" s="2" t="str">
        <f>"SR-11683"</f>
        <v>SR-11683</v>
      </c>
      <c r="H8920" s="2" t="s">
        <v>36939</v>
      </c>
      <c r="I8920" s="2" t="s">
        <v>29531</v>
      </c>
      <c r="K8920" s="2" t="s">
        <v>6817</v>
      </c>
      <c r="L8920" s="2" t="s">
        <v>200</v>
      </c>
      <c r="M8920" s="2">
        <v>30474.0</v>
      </c>
      <c r="N8920" s="2" t="s">
        <v>21</v>
      </c>
    </row>
    <row r="8921" ht="15.75" customHeight="1">
      <c r="A8921" s="2">
        <v>2017.0</v>
      </c>
      <c r="B8921" s="2" t="s">
        <v>36940</v>
      </c>
      <c r="C8921" s="2" t="s">
        <v>36941</v>
      </c>
      <c r="D8921" s="2" t="str">
        <f>"9729483188"</f>
        <v>9729483188</v>
      </c>
      <c r="E8921" s="2" t="s">
        <v>16988</v>
      </c>
      <c r="F8921" s="2" t="s">
        <v>36942</v>
      </c>
      <c r="G8921" s="2" t="str">
        <f>"SR-11806"</f>
        <v>SR-11806</v>
      </c>
      <c r="H8921" s="2" t="s">
        <v>36943</v>
      </c>
      <c r="I8921" s="2" t="s">
        <v>36944</v>
      </c>
      <c r="K8921" s="2" t="s">
        <v>11179</v>
      </c>
      <c r="L8921" s="2" t="s">
        <v>172</v>
      </c>
      <c r="M8921" s="2">
        <v>76065.0</v>
      </c>
      <c r="N8921" s="2" t="s">
        <v>21</v>
      </c>
    </row>
    <row r="8922" ht="15.75" customHeight="1">
      <c r="A8922" s="2">
        <v>2017.0</v>
      </c>
      <c r="B8922" s="2" t="s">
        <v>36945</v>
      </c>
      <c r="C8922" s="2" t="s">
        <v>36945</v>
      </c>
      <c r="D8922" s="2" t="str">
        <f>"8048692124"</f>
        <v>8048692124</v>
      </c>
      <c r="E8922" s="2" t="s">
        <v>908</v>
      </c>
      <c r="F8922" s="2" t="s">
        <v>36946</v>
      </c>
      <c r="G8922" s="2" t="str">
        <f>"SR-11909"</f>
        <v>SR-11909</v>
      </c>
      <c r="H8922" s="2" t="s">
        <v>36947</v>
      </c>
      <c r="I8922" s="2" t="s">
        <v>36948</v>
      </c>
      <c r="K8922" s="2" t="s">
        <v>4216</v>
      </c>
      <c r="L8922" s="2" t="s">
        <v>165</v>
      </c>
      <c r="M8922" s="2">
        <v>23225.0</v>
      </c>
      <c r="N8922" s="2" t="s">
        <v>21</v>
      </c>
    </row>
    <row r="8923" ht="15.75" customHeight="1">
      <c r="A8923" s="2">
        <v>2017.0</v>
      </c>
      <c r="B8923" s="2" t="s">
        <v>36949</v>
      </c>
      <c r="C8923" s="2" t="s">
        <v>36950</v>
      </c>
      <c r="D8923" s="2" t="str">
        <f>"7209797776"</f>
        <v>7209797776</v>
      </c>
      <c r="E8923" s="2" t="s">
        <v>250</v>
      </c>
      <c r="F8923" s="2" t="s">
        <v>36951</v>
      </c>
      <c r="G8923" s="2" t="str">
        <f>"SR-11580"</f>
        <v>SR-11580</v>
      </c>
      <c r="H8923" s="2" t="s">
        <v>36952</v>
      </c>
      <c r="I8923" s="2" t="s">
        <v>36953</v>
      </c>
      <c r="K8923" s="2" t="s">
        <v>1398</v>
      </c>
      <c r="L8923" s="2" t="s">
        <v>157</v>
      </c>
      <c r="M8923" s="2">
        <v>80104.0</v>
      </c>
      <c r="N8923" s="2" t="s">
        <v>21</v>
      </c>
    </row>
    <row r="8924" ht="15.75" customHeight="1">
      <c r="A8924" s="2">
        <v>2017.0</v>
      </c>
      <c r="B8924" s="2" t="s">
        <v>36954</v>
      </c>
      <c r="C8924" s="2" t="s">
        <v>36955</v>
      </c>
      <c r="D8924" s="2" t="str">
        <f>"9402058764"</f>
        <v>9402058764</v>
      </c>
      <c r="E8924" s="2" t="s">
        <v>2632</v>
      </c>
      <c r="F8924" s="2" t="s">
        <v>1151</v>
      </c>
      <c r="G8924" s="2" t="str">
        <f>"SR-11749"</f>
        <v>SR-11749</v>
      </c>
      <c r="H8924" s="2" t="s">
        <v>36956</v>
      </c>
      <c r="I8924" s="2" t="s">
        <v>36957</v>
      </c>
      <c r="K8924" s="2" t="s">
        <v>6539</v>
      </c>
      <c r="L8924" s="2" t="s">
        <v>172</v>
      </c>
      <c r="M8924" s="2">
        <v>76205.0</v>
      </c>
      <c r="N8924" s="2" t="s">
        <v>21</v>
      </c>
    </row>
    <row r="8925" ht="15.75" customHeight="1">
      <c r="A8925" s="2">
        <v>2017.0</v>
      </c>
      <c r="B8925" s="2" t="s">
        <v>36958</v>
      </c>
      <c r="C8925" s="2" t="s">
        <v>36959</v>
      </c>
      <c r="D8925" s="2" t="str">
        <f>"(317) 255-8378"</f>
        <v>(317) 255-8378</v>
      </c>
      <c r="E8925" s="2" t="s">
        <v>534</v>
      </c>
      <c r="F8925" s="2" t="s">
        <v>36960</v>
      </c>
      <c r="G8925" s="2" t="str">
        <f>"SR-11913"</f>
        <v>SR-11913</v>
      </c>
      <c r="H8925" s="2" t="s">
        <v>36961</v>
      </c>
      <c r="I8925" s="2">
        <v>7860.0</v>
      </c>
      <c r="J8925" s="2" t="s">
        <v>36962</v>
      </c>
      <c r="K8925" s="2" t="s">
        <v>36963</v>
      </c>
      <c r="L8925" s="2" t="s">
        <v>149</v>
      </c>
      <c r="M8925" s="2">
        <v>46240.0</v>
      </c>
      <c r="N8925" s="2" t="s">
        <v>21</v>
      </c>
    </row>
    <row r="8926" ht="15.75" customHeight="1">
      <c r="A8926" s="2">
        <v>2017.0</v>
      </c>
      <c r="B8926" s="2" t="s">
        <v>36916</v>
      </c>
      <c r="C8926" s="2" t="s">
        <v>36964</v>
      </c>
      <c r="D8926" s="2" t="str">
        <f>"347.653.8713"</f>
        <v>347.653.8713</v>
      </c>
      <c r="E8926" s="2" t="s">
        <v>36965</v>
      </c>
      <c r="F8926" s="2" t="s">
        <v>36918</v>
      </c>
      <c r="G8926" s="2" t="str">
        <f>"SR-7215"</f>
        <v>SR-7215</v>
      </c>
      <c r="H8926" s="2" t="s">
        <v>36966</v>
      </c>
      <c r="I8926" s="2" t="s">
        <v>36920</v>
      </c>
      <c r="J8926" s="2" t="s">
        <v>36921</v>
      </c>
      <c r="K8926" s="2" t="s">
        <v>36922</v>
      </c>
      <c r="L8926" s="2" t="s">
        <v>142</v>
      </c>
      <c r="M8926" s="2">
        <v>11692.0</v>
      </c>
      <c r="N8926" s="2" t="s">
        <v>21</v>
      </c>
    </row>
    <row r="8927" ht="15.75" customHeight="1">
      <c r="A8927" s="2">
        <v>2017.0</v>
      </c>
      <c r="B8927" s="2" t="s">
        <v>2024</v>
      </c>
      <c r="C8927" s="2" t="s">
        <v>16744</v>
      </c>
      <c r="D8927" s="2" t="str">
        <f>"303-656-1616"</f>
        <v>303-656-1616</v>
      </c>
      <c r="E8927" s="2" t="s">
        <v>16745</v>
      </c>
      <c r="F8927" s="2" t="s">
        <v>1965</v>
      </c>
      <c r="G8927" s="2" t="str">
        <f>"SR-11916"</f>
        <v>SR-11916</v>
      </c>
      <c r="H8927" s="2" t="s">
        <v>16746</v>
      </c>
      <c r="I8927" s="2" t="s">
        <v>36967</v>
      </c>
      <c r="K8927" s="2" t="s">
        <v>1054</v>
      </c>
      <c r="L8927" s="2" t="s">
        <v>157</v>
      </c>
      <c r="M8927" s="2">
        <v>80138.0</v>
      </c>
      <c r="N8927" s="2" t="s">
        <v>21</v>
      </c>
    </row>
    <row r="8928" ht="15.75" customHeight="1">
      <c r="A8928" s="2">
        <v>2017.0</v>
      </c>
      <c r="B8928" s="2" t="s">
        <v>36968</v>
      </c>
      <c r="C8928" s="2" t="s">
        <v>36968</v>
      </c>
      <c r="D8928" s="2" t="str">
        <f>"9403951250"</f>
        <v>9403951250</v>
      </c>
      <c r="E8928" s="2" t="s">
        <v>167</v>
      </c>
      <c r="F8928" s="2" t="s">
        <v>36969</v>
      </c>
      <c r="G8928" s="2" t="str">
        <f>"SR-11914"</f>
        <v>SR-11914</v>
      </c>
      <c r="H8928" s="2" t="s">
        <v>36970</v>
      </c>
      <c r="I8928" s="2" t="s">
        <v>36971</v>
      </c>
      <c r="K8928" s="2" t="s">
        <v>6539</v>
      </c>
      <c r="L8928" s="2" t="s">
        <v>172</v>
      </c>
      <c r="M8928" s="2">
        <v>76207.0</v>
      </c>
      <c r="N8928" s="2" t="s">
        <v>21</v>
      </c>
    </row>
    <row r="8929" ht="15.75" customHeight="1">
      <c r="A8929" s="2">
        <v>2017.0</v>
      </c>
      <c r="B8929" s="2" t="s">
        <v>29756</v>
      </c>
      <c r="C8929" s="2" t="s">
        <v>29756</v>
      </c>
      <c r="D8929" s="2" t="str">
        <f>"706 254 2621"</f>
        <v>706 254 2621</v>
      </c>
      <c r="E8929" s="2" t="s">
        <v>1946</v>
      </c>
      <c r="F8929" s="2" t="s">
        <v>8953</v>
      </c>
      <c r="G8929" s="2" t="str">
        <f>"SR-11918"</f>
        <v>SR-11918</v>
      </c>
      <c r="H8929" s="2" t="s">
        <v>29757</v>
      </c>
      <c r="I8929" s="2" t="s">
        <v>29766</v>
      </c>
      <c r="K8929" s="2" t="s">
        <v>1064</v>
      </c>
      <c r="L8929" s="2" t="s">
        <v>200</v>
      </c>
      <c r="M8929" s="2">
        <v>30646.0</v>
      </c>
      <c r="N8929" s="2" t="s">
        <v>21</v>
      </c>
    </row>
    <row r="8930" ht="15.75" customHeight="1">
      <c r="A8930" s="2">
        <v>2017.0</v>
      </c>
      <c r="B8930" s="2" t="s">
        <v>36972</v>
      </c>
      <c r="C8930" s="2" t="s">
        <v>36973</v>
      </c>
      <c r="D8930" s="2" t="str">
        <f>"662-574-3988"</f>
        <v>662-574-3988</v>
      </c>
      <c r="E8930" s="2" t="s">
        <v>1529</v>
      </c>
      <c r="F8930" s="2" t="s">
        <v>36974</v>
      </c>
      <c r="G8930" s="2" t="str">
        <f>"SR-11921"</f>
        <v>SR-11921</v>
      </c>
      <c r="H8930" s="2" t="s">
        <v>36975</v>
      </c>
      <c r="I8930" s="2" t="s">
        <v>36976</v>
      </c>
      <c r="K8930" s="2" t="s">
        <v>2421</v>
      </c>
      <c r="L8930" s="2" t="s">
        <v>1722</v>
      </c>
      <c r="M8930" s="2">
        <v>39701.0</v>
      </c>
      <c r="N8930" s="2" t="s">
        <v>21</v>
      </c>
    </row>
    <row r="8931" ht="15.75" customHeight="1">
      <c r="A8931" s="2">
        <v>2017.0</v>
      </c>
      <c r="B8931" s="2" t="s">
        <v>30278</v>
      </c>
      <c r="C8931" s="2" t="s">
        <v>30279</v>
      </c>
      <c r="D8931" s="2" t="str">
        <f>"14079204139"</f>
        <v>14079204139</v>
      </c>
      <c r="E8931" s="2" t="s">
        <v>1664</v>
      </c>
      <c r="F8931" s="2" t="s">
        <v>30280</v>
      </c>
      <c r="G8931" s="2" t="str">
        <f>"SR-9452"</f>
        <v>SR-9452</v>
      </c>
      <c r="H8931" s="2" t="s">
        <v>30281</v>
      </c>
      <c r="I8931" s="2" t="s">
        <v>30282</v>
      </c>
      <c r="K8931" s="2" t="s">
        <v>323</v>
      </c>
      <c r="L8931" s="2" t="s">
        <v>165</v>
      </c>
      <c r="M8931" s="2">
        <v>24551.0</v>
      </c>
      <c r="N8931" s="2" t="s">
        <v>21</v>
      </c>
    </row>
    <row r="8932" ht="15.75" customHeight="1">
      <c r="A8932" s="2">
        <v>2017.0</v>
      </c>
      <c r="B8932" s="2" t="s">
        <v>20035</v>
      </c>
      <c r="C8932" s="2" t="s">
        <v>36977</v>
      </c>
      <c r="D8932" s="2" t="str">
        <f>"7192353148"</f>
        <v>7192353148</v>
      </c>
      <c r="E8932" s="2" t="s">
        <v>485</v>
      </c>
      <c r="F8932" s="2" t="s">
        <v>3903</v>
      </c>
      <c r="G8932" s="2" t="str">
        <f>"SR-11915"</f>
        <v>SR-11915</v>
      </c>
      <c r="H8932" s="2" t="s">
        <v>36978</v>
      </c>
      <c r="I8932" s="2" t="s">
        <v>20038</v>
      </c>
      <c r="K8932" s="2" t="s">
        <v>1677</v>
      </c>
      <c r="L8932" s="2" t="s">
        <v>86</v>
      </c>
      <c r="M8932" s="2">
        <v>98011.0</v>
      </c>
      <c r="N8932" s="2" t="s">
        <v>21</v>
      </c>
    </row>
    <row r="8933" ht="15.75" customHeight="1">
      <c r="A8933" s="2">
        <v>2017.0</v>
      </c>
      <c r="B8933" s="2" t="s">
        <v>36979</v>
      </c>
      <c r="C8933" s="2" t="s">
        <v>36980</v>
      </c>
      <c r="D8933" s="2" t="str">
        <f>"7046782898"</f>
        <v>7046782898</v>
      </c>
      <c r="E8933" s="2" t="s">
        <v>2126</v>
      </c>
      <c r="F8933" s="2" t="s">
        <v>36981</v>
      </c>
      <c r="G8933" s="2" t="str">
        <f>"SR-11923"</f>
        <v>SR-11923</v>
      </c>
      <c r="H8933" s="2" t="s">
        <v>36982</v>
      </c>
      <c r="I8933" s="2" t="s">
        <v>36983</v>
      </c>
      <c r="K8933" s="2" t="s">
        <v>36984</v>
      </c>
      <c r="L8933" s="2" t="s">
        <v>20</v>
      </c>
      <c r="M8933" s="2">
        <v>28174.0</v>
      </c>
      <c r="N8933" s="2" t="s">
        <v>21</v>
      </c>
    </row>
    <row r="8934" ht="15.75" customHeight="1">
      <c r="A8934" s="2">
        <v>2017.0</v>
      </c>
      <c r="B8934" s="2" t="s">
        <v>8387</v>
      </c>
      <c r="C8934" s="2" t="s">
        <v>36985</v>
      </c>
      <c r="D8934" s="2" t="str">
        <f>"4056274079"</f>
        <v>4056274079</v>
      </c>
      <c r="E8934" s="2" t="s">
        <v>15048</v>
      </c>
      <c r="F8934" s="2" t="s">
        <v>8390</v>
      </c>
      <c r="G8934" s="2" t="str">
        <f>"SR-5471"</f>
        <v>SR-5471</v>
      </c>
      <c r="H8934" s="2" t="s">
        <v>36986</v>
      </c>
      <c r="I8934" s="2" t="s">
        <v>36987</v>
      </c>
      <c r="K8934" s="2" t="s">
        <v>1546</v>
      </c>
      <c r="L8934" s="2" t="s">
        <v>840</v>
      </c>
      <c r="M8934" s="2">
        <v>73025.0</v>
      </c>
      <c r="N8934" s="2" t="s">
        <v>21</v>
      </c>
    </row>
    <row r="8935" ht="15.75" customHeight="1">
      <c r="A8935" s="2">
        <v>2017.0</v>
      </c>
      <c r="B8935" s="2" t="s">
        <v>36988</v>
      </c>
      <c r="C8935" s="2" t="s">
        <v>25485</v>
      </c>
      <c r="D8935" s="2" t="str">
        <f>"9317877611"</f>
        <v>9317877611</v>
      </c>
      <c r="E8935" s="2" t="s">
        <v>6606</v>
      </c>
      <c r="F8935" s="2" t="s">
        <v>34754</v>
      </c>
      <c r="G8935" s="2" t="str">
        <f>"SR-11562"</f>
        <v>SR-11562</v>
      </c>
      <c r="H8935" s="2" t="s">
        <v>36989</v>
      </c>
      <c r="I8935" s="2" t="s">
        <v>36990</v>
      </c>
      <c r="K8935" s="2" t="s">
        <v>16670</v>
      </c>
      <c r="L8935" s="2" t="s">
        <v>279</v>
      </c>
      <c r="M8935" s="2">
        <v>38571.0</v>
      </c>
      <c r="N8935" s="2" t="s">
        <v>21</v>
      </c>
    </row>
    <row r="8936" ht="15.75" customHeight="1">
      <c r="A8936" s="2">
        <v>2017.0</v>
      </c>
      <c r="B8936" s="2" t="s">
        <v>36991</v>
      </c>
      <c r="C8936" s="2" t="s">
        <v>36992</v>
      </c>
      <c r="D8936" s="2" t="str">
        <f>"9039188593"</f>
        <v>9039188593</v>
      </c>
      <c r="E8936" s="2" t="s">
        <v>651</v>
      </c>
      <c r="F8936" s="2" t="s">
        <v>36993</v>
      </c>
      <c r="G8936" s="2" t="str">
        <f>"SR-11766"</f>
        <v>SR-11766</v>
      </c>
      <c r="H8936" s="2" t="s">
        <v>36994</v>
      </c>
      <c r="I8936" s="2" t="s">
        <v>36995</v>
      </c>
      <c r="K8936" s="2" t="s">
        <v>36996</v>
      </c>
      <c r="L8936" s="2" t="s">
        <v>172</v>
      </c>
      <c r="M8936" s="2">
        <v>75650.0</v>
      </c>
      <c r="N8936" s="2" t="s">
        <v>21</v>
      </c>
    </row>
    <row r="8937" ht="15.75" customHeight="1">
      <c r="A8937" s="2">
        <v>2017.0</v>
      </c>
      <c r="B8937" s="2" t="s">
        <v>36916</v>
      </c>
      <c r="C8937" s="2" t="s">
        <v>36997</v>
      </c>
      <c r="D8937" s="2" t="str">
        <f>"3478633203"</f>
        <v>3478633203</v>
      </c>
      <c r="E8937" s="2" t="s">
        <v>57</v>
      </c>
      <c r="F8937" s="2" t="s">
        <v>36998</v>
      </c>
      <c r="G8937" s="2" t="str">
        <f>"SR-11931"</f>
        <v>SR-11931</v>
      </c>
      <c r="H8937" s="2" t="s">
        <v>36999</v>
      </c>
      <c r="I8937" s="2" t="s">
        <v>37000</v>
      </c>
      <c r="K8937" s="2" t="s">
        <v>37001</v>
      </c>
      <c r="L8937" s="2" t="s">
        <v>142</v>
      </c>
      <c r="M8937" s="2">
        <v>11207.0</v>
      </c>
      <c r="N8937" s="2" t="s">
        <v>21</v>
      </c>
    </row>
    <row r="8938" ht="15.75" customHeight="1">
      <c r="A8938" s="2">
        <v>2017.0</v>
      </c>
      <c r="B8938" s="2" t="s">
        <v>37002</v>
      </c>
      <c r="C8938" s="2" t="s">
        <v>37003</v>
      </c>
      <c r="D8938" s="2" t="str">
        <f>"4238634524"</f>
        <v>4238634524</v>
      </c>
      <c r="E8938" s="2" t="s">
        <v>167</v>
      </c>
      <c r="F8938" s="2" t="s">
        <v>37004</v>
      </c>
      <c r="G8938" s="2" t="str">
        <f>"SR-11929"</f>
        <v>SR-11929</v>
      </c>
      <c r="H8938" s="2" t="s">
        <v>37005</v>
      </c>
      <c r="I8938" s="2" t="s">
        <v>37006</v>
      </c>
      <c r="K8938" s="2" t="s">
        <v>35205</v>
      </c>
      <c r="L8938" s="2" t="s">
        <v>279</v>
      </c>
      <c r="M8938" s="2">
        <v>37617.0</v>
      </c>
      <c r="N8938" s="2" t="s">
        <v>21</v>
      </c>
    </row>
    <row r="8939" ht="15.75" customHeight="1">
      <c r="A8939" s="2">
        <v>2017.0</v>
      </c>
      <c r="B8939" s="2" t="s">
        <v>36892</v>
      </c>
      <c r="C8939" s="2" t="s">
        <v>36893</v>
      </c>
      <c r="D8939" s="2" t="str">
        <f>"7346253851"</f>
        <v>7346253851</v>
      </c>
      <c r="E8939" s="2" t="s">
        <v>6202</v>
      </c>
      <c r="F8939" s="2" t="s">
        <v>5326</v>
      </c>
      <c r="G8939" s="2" t="str">
        <f>"SR-11932"</f>
        <v>SR-11932</v>
      </c>
      <c r="H8939" s="2" t="s">
        <v>37007</v>
      </c>
      <c r="I8939" s="2" t="s">
        <v>36895</v>
      </c>
      <c r="K8939" s="2" t="s">
        <v>3707</v>
      </c>
      <c r="L8939" s="2" t="s">
        <v>29</v>
      </c>
      <c r="M8939" s="2">
        <v>48117.0</v>
      </c>
      <c r="N8939" s="2" t="s">
        <v>21</v>
      </c>
    </row>
    <row r="8940" ht="15.75" customHeight="1">
      <c r="A8940" s="2">
        <v>2017.0</v>
      </c>
      <c r="B8940" s="2" t="s">
        <v>37008</v>
      </c>
      <c r="C8940" s="2" t="s">
        <v>37009</v>
      </c>
      <c r="D8940" s="2" t="str">
        <f>"864-200-8400"</f>
        <v>864-200-8400</v>
      </c>
      <c r="E8940" s="2" t="s">
        <v>301</v>
      </c>
      <c r="F8940" s="2" t="s">
        <v>645</v>
      </c>
      <c r="G8940" s="2" t="str">
        <f>"SR-10695"</f>
        <v>SR-10695</v>
      </c>
      <c r="H8940" s="2" t="s">
        <v>8120</v>
      </c>
      <c r="I8940" s="2" t="s">
        <v>37010</v>
      </c>
      <c r="K8940" s="2" t="s">
        <v>37011</v>
      </c>
      <c r="L8940" s="2" t="s">
        <v>55</v>
      </c>
      <c r="M8940" s="2">
        <v>29360.0</v>
      </c>
      <c r="N8940" s="2" t="s">
        <v>21</v>
      </c>
    </row>
    <row r="8941" ht="15.75" customHeight="1">
      <c r="A8941" s="2">
        <v>2017.0</v>
      </c>
      <c r="B8941" s="2" t="s">
        <v>37012</v>
      </c>
      <c r="C8941" s="2" t="s">
        <v>37012</v>
      </c>
      <c r="D8941" s="2" t="str">
        <f>"7203121327"</f>
        <v>7203121327</v>
      </c>
      <c r="E8941" s="2" t="s">
        <v>1974</v>
      </c>
      <c r="F8941" s="2" t="s">
        <v>3366</v>
      </c>
      <c r="G8941" s="2" t="str">
        <f>"SR-11873"</f>
        <v>SR-11873</v>
      </c>
      <c r="H8941" s="2" t="s">
        <v>37013</v>
      </c>
      <c r="I8941" s="2" t="s">
        <v>37014</v>
      </c>
      <c r="K8941" s="2" t="s">
        <v>1889</v>
      </c>
      <c r="L8941" s="2" t="s">
        <v>157</v>
      </c>
      <c r="M8941" s="2">
        <v>80127.0</v>
      </c>
      <c r="N8941" s="2" t="s">
        <v>21</v>
      </c>
    </row>
    <row r="8942" ht="15.75" customHeight="1">
      <c r="A8942" s="2">
        <v>2017.0</v>
      </c>
      <c r="B8942" s="2" t="s">
        <v>37015</v>
      </c>
      <c r="C8942" s="2" t="s">
        <v>37015</v>
      </c>
      <c r="D8942" s="2" t="str">
        <f>"7208082880"</f>
        <v>7208082880</v>
      </c>
      <c r="E8942" s="2" t="s">
        <v>19160</v>
      </c>
      <c r="F8942" s="2" t="s">
        <v>1352</v>
      </c>
      <c r="G8942" s="2" t="str">
        <f>"SR-11930"</f>
        <v>SR-11930</v>
      </c>
      <c r="H8942" s="2" t="s">
        <v>37016</v>
      </c>
      <c r="I8942" s="2" t="s">
        <v>37017</v>
      </c>
      <c r="K8942" s="2" t="s">
        <v>1398</v>
      </c>
      <c r="L8942" s="2" t="s">
        <v>157</v>
      </c>
      <c r="M8942" s="2">
        <v>80104.0</v>
      </c>
      <c r="N8942" s="2" t="s">
        <v>21</v>
      </c>
    </row>
    <row r="8943" ht="15.75" customHeight="1">
      <c r="A8943" s="2">
        <v>2017.0</v>
      </c>
      <c r="B8943" s="2" t="s">
        <v>37018</v>
      </c>
      <c r="C8943" s="2" t="s">
        <v>37019</v>
      </c>
      <c r="D8943" s="2" t="str">
        <f>"2567838662"</f>
        <v>2567838662</v>
      </c>
      <c r="E8943" s="2" t="s">
        <v>1523</v>
      </c>
      <c r="F8943" s="2" t="s">
        <v>2296</v>
      </c>
      <c r="G8943" s="2" t="str">
        <f>"SR-11907"</f>
        <v>SR-11907</v>
      </c>
      <c r="H8943" s="2" t="s">
        <v>37020</v>
      </c>
      <c r="I8943" s="2" t="s">
        <v>37021</v>
      </c>
      <c r="K8943" s="2" t="s">
        <v>37022</v>
      </c>
      <c r="L8943" s="2" t="s">
        <v>539</v>
      </c>
      <c r="M8943" s="2">
        <v>35673.0</v>
      </c>
      <c r="N8943" s="2" t="s">
        <v>21</v>
      </c>
    </row>
    <row r="8944" ht="15.75" customHeight="1">
      <c r="A8944" s="2">
        <v>2017.0</v>
      </c>
      <c r="B8944" s="2" t="s">
        <v>37023</v>
      </c>
      <c r="C8944" s="2" t="s">
        <v>37024</v>
      </c>
      <c r="D8944" s="2" t="str">
        <f>"(603)778-2524"</f>
        <v>(603)778-2524</v>
      </c>
      <c r="E8944" s="2" t="s">
        <v>37025</v>
      </c>
      <c r="F8944" s="2" t="s">
        <v>3320</v>
      </c>
      <c r="G8944" s="2" t="str">
        <f>"SR-11942"</f>
        <v>SR-11942</v>
      </c>
      <c r="H8944" s="2" t="s">
        <v>37026</v>
      </c>
      <c r="I8944" s="2" t="s">
        <v>20489</v>
      </c>
      <c r="K8944" s="2" t="s">
        <v>20490</v>
      </c>
      <c r="L8944" s="2" t="s">
        <v>19930</v>
      </c>
      <c r="M8944" s="2">
        <v>3833.0</v>
      </c>
      <c r="N8944" s="2" t="s">
        <v>21</v>
      </c>
    </row>
    <row r="8945" ht="15.75" customHeight="1">
      <c r="A8945" s="2">
        <v>2017.0</v>
      </c>
      <c r="B8945" s="2" t="s">
        <v>37027</v>
      </c>
      <c r="C8945" s="2" t="s">
        <v>37028</v>
      </c>
      <c r="D8945" s="2" t="str">
        <f>"2404686774"</f>
        <v>2404686774</v>
      </c>
      <c r="E8945" s="2" t="s">
        <v>2031</v>
      </c>
      <c r="F8945" s="2" t="s">
        <v>2491</v>
      </c>
      <c r="G8945" s="2" t="str">
        <f>"SR-11938"</f>
        <v>SR-11938</v>
      </c>
      <c r="H8945" s="2" t="s">
        <v>37029</v>
      </c>
      <c r="I8945" s="2" t="s">
        <v>37030</v>
      </c>
      <c r="K8945" s="2" t="s">
        <v>37031</v>
      </c>
      <c r="L8945" s="2" t="s">
        <v>1868</v>
      </c>
      <c r="M8945" s="2">
        <v>20783.0</v>
      </c>
      <c r="N8945" s="2" t="s">
        <v>21</v>
      </c>
    </row>
    <row r="8946" ht="15.75" customHeight="1">
      <c r="A8946" s="2">
        <v>2017.0</v>
      </c>
      <c r="B8946" s="2" t="s">
        <v>37027</v>
      </c>
      <c r="C8946" s="2" t="s">
        <v>37032</v>
      </c>
      <c r="D8946" s="2" t="str">
        <f>"240-424-2065"</f>
        <v>240-424-2065</v>
      </c>
      <c r="E8946" s="2" t="s">
        <v>2891</v>
      </c>
      <c r="F8946" s="2" t="s">
        <v>2491</v>
      </c>
      <c r="G8946" s="2" t="str">
        <f>"SR-11939"</f>
        <v>SR-11939</v>
      </c>
      <c r="H8946" s="2" t="s">
        <v>37033</v>
      </c>
      <c r="I8946" s="2">
        <v>6817.0</v>
      </c>
      <c r="J8946" s="2" t="s">
        <v>37034</v>
      </c>
      <c r="K8946" s="2" t="s">
        <v>8284</v>
      </c>
      <c r="L8946" s="2" t="s">
        <v>1868</v>
      </c>
      <c r="M8946" s="2">
        <v>20706.0</v>
      </c>
      <c r="N8946" s="2" t="s">
        <v>21</v>
      </c>
    </row>
    <row r="8947" ht="15.75" customHeight="1">
      <c r="A8947" s="2">
        <v>2017.0</v>
      </c>
      <c r="B8947" s="2" t="s">
        <v>37035</v>
      </c>
      <c r="C8947" s="2" t="s">
        <v>37036</v>
      </c>
      <c r="D8947" s="2" t="str">
        <f>"423137115"</f>
        <v>423137115</v>
      </c>
      <c r="E8947" s="2" t="s">
        <v>37037</v>
      </c>
      <c r="F8947" s="2" t="s">
        <v>35930</v>
      </c>
      <c r="G8947" s="2" t="str">
        <f>"SR-11859"</f>
        <v>SR-11859</v>
      </c>
      <c r="H8947" s="2" t="s">
        <v>37038</v>
      </c>
      <c r="I8947" s="2" t="s">
        <v>37039</v>
      </c>
      <c r="K8947" s="2" t="s">
        <v>1408</v>
      </c>
      <c r="L8947" s="2" t="s">
        <v>279</v>
      </c>
      <c r="M8947" s="2">
        <v>37312.0</v>
      </c>
      <c r="N8947" s="2" t="s">
        <v>21</v>
      </c>
    </row>
    <row r="8948" ht="15.75" customHeight="1">
      <c r="A8948" s="2">
        <v>2017.0</v>
      </c>
      <c r="B8948" s="2" t="s">
        <v>37040</v>
      </c>
      <c r="C8948" s="2" t="s">
        <v>37041</v>
      </c>
      <c r="D8948" s="2" t="str">
        <f>"770-945-9005"</f>
        <v>770-945-9005</v>
      </c>
      <c r="E8948" s="2" t="s">
        <v>4300</v>
      </c>
      <c r="F8948" s="2" t="s">
        <v>37042</v>
      </c>
      <c r="G8948" s="2" t="str">
        <f>"SR-11943"</f>
        <v>SR-11943</v>
      </c>
      <c r="H8948" s="2" t="s">
        <v>37043</v>
      </c>
      <c r="I8948" s="2" t="s">
        <v>37044</v>
      </c>
      <c r="K8948" s="2" t="s">
        <v>12250</v>
      </c>
      <c r="L8948" s="2" t="s">
        <v>200</v>
      </c>
      <c r="M8948" s="2">
        <v>30519.0</v>
      </c>
      <c r="N8948" s="2" t="s">
        <v>21</v>
      </c>
    </row>
    <row r="8949" ht="15.75" customHeight="1">
      <c r="A8949" s="2">
        <v>2017.0</v>
      </c>
      <c r="B8949" s="2" t="s">
        <v>37045</v>
      </c>
      <c r="C8949" s="2" t="s">
        <v>37046</v>
      </c>
      <c r="D8949" s="2" t="str">
        <f>"406-642-3015"</f>
        <v>406-642-3015</v>
      </c>
      <c r="E8949" s="2" t="s">
        <v>203</v>
      </c>
      <c r="F8949" s="2" t="s">
        <v>37047</v>
      </c>
      <c r="G8949" s="2" t="str">
        <f>"SR-11935"</f>
        <v>SR-11935</v>
      </c>
      <c r="H8949" s="2" t="s">
        <v>37048</v>
      </c>
      <c r="I8949" s="2" t="s">
        <v>37049</v>
      </c>
      <c r="K8949" s="2" t="s">
        <v>3067</v>
      </c>
      <c r="L8949" s="2" t="s">
        <v>2696</v>
      </c>
      <c r="M8949" s="2">
        <v>59875.0</v>
      </c>
      <c r="N8949" s="2" t="s">
        <v>21</v>
      </c>
    </row>
    <row r="8950" ht="15.75" customHeight="1">
      <c r="A8950" s="2">
        <v>2017.0</v>
      </c>
      <c r="B8950" s="2" t="s">
        <v>37050</v>
      </c>
      <c r="C8950" s="2" t="s">
        <v>37050</v>
      </c>
      <c r="D8950" s="2" t="str">
        <f>"(440)554-4654"</f>
        <v>(440)554-4654</v>
      </c>
      <c r="E8950" s="2" t="s">
        <v>2314</v>
      </c>
      <c r="F8950" s="2" t="s">
        <v>15674</v>
      </c>
      <c r="G8950" s="2" t="str">
        <f>"SR-10115"</f>
        <v>SR-10115</v>
      </c>
      <c r="H8950" s="2" t="s">
        <v>37051</v>
      </c>
      <c r="I8950" s="2" t="s">
        <v>37052</v>
      </c>
      <c r="K8950" s="2" t="s">
        <v>37053</v>
      </c>
      <c r="L8950" s="2" t="s">
        <v>344</v>
      </c>
      <c r="M8950" s="2">
        <v>44133.0</v>
      </c>
      <c r="N8950" s="2" t="s">
        <v>21</v>
      </c>
    </row>
    <row r="8951" ht="15.75" customHeight="1">
      <c r="A8951" s="2">
        <v>2017.0</v>
      </c>
      <c r="B8951" s="2" t="s">
        <v>37054</v>
      </c>
      <c r="C8951" s="2" t="s">
        <v>37055</v>
      </c>
      <c r="D8951" s="2" t="str">
        <f>"678-972-4477"</f>
        <v>678-972-4477</v>
      </c>
      <c r="E8951" s="2" t="s">
        <v>5248</v>
      </c>
      <c r="F8951" s="2" t="s">
        <v>14457</v>
      </c>
      <c r="G8951" s="2" t="str">
        <f>"SR-11865"</f>
        <v>SR-11865</v>
      </c>
      <c r="H8951" s="2" t="s">
        <v>37056</v>
      </c>
      <c r="I8951" s="2" t="s">
        <v>37057</v>
      </c>
      <c r="K8951" s="2" t="s">
        <v>5373</v>
      </c>
      <c r="L8951" s="2" t="s">
        <v>200</v>
      </c>
      <c r="M8951" s="2">
        <v>31064.0</v>
      </c>
      <c r="N8951" s="2" t="s">
        <v>21</v>
      </c>
    </row>
    <row r="8952" ht="15.75" customHeight="1">
      <c r="A8952" s="2">
        <v>2017.0</v>
      </c>
      <c r="B8952" s="2" t="s">
        <v>37058</v>
      </c>
      <c r="C8952" s="2" t="s">
        <v>37059</v>
      </c>
      <c r="D8952" s="2" t="str">
        <f>"7035081896"</f>
        <v>7035081896</v>
      </c>
      <c r="E8952" s="2" t="s">
        <v>15</v>
      </c>
      <c r="F8952" s="2" t="s">
        <v>17530</v>
      </c>
      <c r="G8952" s="2" t="str">
        <f>"SR-11952"</f>
        <v>SR-11952</v>
      </c>
      <c r="H8952" s="2" t="s">
        <v>37060</v>
      </c>
      <c r="I8952" s="2" t="s">
        <v>37061</v>
      </c>
      <c r="K8952" s="2" t="s">
        <v>9334</v>
      </c>
      <c r="L8952" s="2" t="s">
        <v>165</v>
      </c>
      <c r="M8952" s="2">
        <v>22030.0</v>
      </c>
      <c r="N8952" s="2" t="s">
        <v>21</v>
      </c>
    </row>
    <row r="8953" ht="15.75" customHeight="1">
      <c r="A8953" s="2">
        <v>2017.0</v>
      </c>
      <c r="B8953" s="2" t="s">
        <v>37062</v>
      </c>
      <c r="C8953" s="2" t="s">
        <v>37062</v>
      </c>
      <c r="D8953" s="2" t="str">
        <f>"9408080844"</f>
        <v>9408080844</v>
      </c>
      <c r="E8953" s="2" t="s">
        <v>37063</v>
      </c>
      <c r="F8953" s="2" t="s">
        <v>36969</v>
      </c>
      <c r="G8953" s="2" t="str">
        <f>"SR-11910"</f>
        <v>SR-11910</v>
      </c>
      <c r="H8953" s="2" t="s">
        <v>37064</v>
      </c>
      <c r="I8953" s="2" t="s">
        <v>37065</v>
      </c>
      <c r="K8953" s="2" t="s">
        <v>6539</v>
      </c>
      <c r="L8953" s="2" t="s">
        <v>172</v>
      </c>
      <c r="M8953" s="2">
        <v>76207.0</v>
      </c>
      <c r="N8953" s="2" t="s">
        <v>21</v>
      </c>
    </row>
    <row r="8954" ht="15.75" customHeight="1">
      <c r="A8954" s="2">
        <v>2017.0</v>
      </c>
      <c r="B8954" s="2" t="s">
        <v>37066</v>
      </c>
      <c r="C8954" s="2" t="s">
        <v>37066</v>
      </c>
      <c r="D8954" s="2" t="str">
        <f>"8152107761"</f>
        <v>8152107761</v>
      </c>
      <c r="E8954" s="2" t="s">
        <v>1548</v>
      </c>
      <c r="F8954" s="2" t="s">
        <v>962</v>
      </c>
      <c r="G8954" s="2" t="str">
        <f>"SR-11922"</f>
        <v>SR-11922</v>
      </c>
      <c r="H8954" s="2" t="s">
        <v>37067</v>
      </c>
      <c r="I8954" s="2" t="s">
        <v>37068</v>
      </c>
      <c r="K8954" s="2" t="s">
        <v>5988</v>
      </c>
      <c r="L8954" s="2" t="s">
        <v>279</v>
      </c>
      <c r="M8954" s="2">
        <v>37075.0</v>
      </c>
      <c r="N8954" s="2" t="s">
        <v>21</v>
      </c>
    </row>
    <row r="8955" ht="15.75" customHeight="1">
      <c r="A8955" s="2">
        <v>2017.0</v>
      </c>
      <c r="B8955" s="2" t="s">
        <v>37069</v>
      </c>
      <c r="C8955" s="2" t="s">
        <v>37070</v>
      </c>
      <c r="D8955" s="2" t="str">
        <f>"317-518-2325"</f>
        <v>317-518-2325</v>
      </c>
      <c r="E8955" s="2" t="s">
        <v>339</v>
      </c>
      <c r="F8955" s="2" t="s">
        <v>37071</v>
      </c>
      <c r="G8955" s="2" t="str">
        <f>"SR-11947"</f>
        <v>SR-11947</v>
      </c>
      <c r="H8955" s="2" t="s">
        <v>37072</v>
      </c>
      <c r="I8955" s="2" t="s">
        <v>37073</v>
      </c>
      <c r="K8955" s="2" t="s">
        <v>10407</v>
      </c>
      <c r="L8955" s="2" t="s">
        <v>149</v>
      </c>
      <c r="M8955" s="2">
        <v>46032.0</v>
      </c>
      <c r="N8955" s="2" t="s">
        <v>21</v>
      </c>
    </row>
    <row r="8956" ht="15.75" customHeight="1">
      <c r="A8956" s="2">
        <v>2017.0</v>
      </c>
      <c r="B8956" s="2" t="s">
        <v>37074</v>
      </c>
      <c r="C8956" s="2" t="s">
        <v>37075</v>
      </c>
      <c r="D8956" s="2" t="str">
        <f>"6152786004"</f>
        <v>6152786004</v>
      </c>
      <c r="E8956" s="2" t="s">
        <v>453</v>
      </c>
      <c r="F8956" s="2" t="s">
        <v>9569</v>
      </c>
      <c r="G8956" s="2" t="str">
        <f>"SR-11951"</f>
        <v>SR-11951</v>
      </c>
      <c r="H8956" s="2" t="s">
        <v>37076</v>
      </c>
      <c r="I8956" s="2" t="s">
        <v>37077</v>
      </c>
      <c r="K8956" s="2" t="s">
        <v>69</v>
      </c>
      <c r="L8956" s="2" t="s">
        <v>70</v>
      </c>
      <c r="M8956" s="2">
        <v>99508.0</v>
      </c>
      <c r="N8956" s="2" t="s">
        <v>21</v>
      </c>
    </row>
    <row r="8957" ht="15.75" customHeight="1">
      <c r="A8957" s="2">
        <v>2017.0</v>
      </c>
      <c r="B8957" s="2" t="s">
        <v>37078</v>
      </c>
      <c r="C8957" s="2" t="s">
        <v>37079</v>
      </c>
      <c r="D8957" s="2" t="str">
        <f>"8593241571"</f>
        <v>8593241571</v>
      </c>
      <c r="E8957" s="2" t="s">
        <v>37080</v>
      </c>
      <c r="F8957" s="2" t="s">
        <v>26622</v>
      </c>
      <c r="G8957" s="2" t="str">
        <f>"SR-11940"</f>
        <v>SR-11940</v>
      </c>
      <c r="H8957" s="2" t="s">
        <v>37081</v>
      </c>
      <c r="I8957" s="2" t="s">
        <v>37082</v>
      </c>
      <c r="K8957" s="2" t="s">
        <v>37083</v>
      </c>
      <c r="L8957" s="2" t="s">
        <v>1236</v>
      </c>
      <c r="M8957" s="2">
        <v>40468.0</v>
      </c>
      <c r="N8957" s="2" t="s">
        <v>21</v>
      </c>
    </row>
    <row r="8958" ht="15.75" customHeight="1">
      <c r="A8958" s="2">
        <v>2017.0</v>
      </c>
      <c r="B8958" s="2" t="s">
        <v>37084</v>
      </c>
      <c r="C8958" s="2" t="s">
        <v>37084</v>
      </c>
      <c r="D8958" s="2" t="str">
        <f>"7036094571"</f>
        <v>7036094571</v>
      </c>
      <c r="E8958" s="2" t="s">
        <v>4968</v>
      </c>
      <c r="F8958" s="2" t="s">
        <v>37085</v>
      </c>
      <c r="G8958" s="2" t="str">
        <f>"SR-11958"</f>
        <v>SR-11958</v>
      </c>
      <c r="H8958" s="2" t="s">
        <v>37086</v>
      </c>
      <c r="I8958" s="2" t="s">
        <v>37087</v>
      </c>
      <c r="K8958" s="2" t="s">
        <v>37088</v>
      </c>
      <c r="L8958" s="2" t="s">
        <v>1236</v>
      </c>
      <c r="M8958" s="2">
        <v>42223.0</v>
      </c>
      <c r="N8958" s="2" t="s">
        <v>21</v>
      </c>
    </row>
    <row r="8959" ht="15.75" customHeight="1">
      <c r="A8959" s="2">
        <v>2017.0</v>
      </c>
      <c r="B8959" s="2" t="s">
        <v>37089</v>
      </c>
      <c r="C8959" s="2" t="s">
        <v>37090</v>
      </c>
      <c r="D8959" s="2" t="str">
        <f>"719-266-0880"</f>
        <v>719-266-0880</v>
      </c>
      <c r="E8959" s="2" t="s">
        <v>955</v>
      </c>
      <c r="F8959" s="2" t="s">
        <v>37091</v>
      </c>
      <c r="G8959" s="2" t="str">
        <f>"SR-11967"</f>
        <v>SR-11967</v>
      </c>
      <c r="H8959" s="2" t="s">
        <v>37092</v>
      </c>
      <c r="I8959" s="2" t="s">
        <v>37093</v>
      </c>
      <c r="K8959" s="2" t="s">
        <v>975</v>
      </c>
      <c r="L8959" s="2" t="s">
        <v>157</v>
      </c>
      <c r="M8959" s="2">
        <v>80831.0</v>
      </c>
      <c r="N8959" s="2" t="s">
        <v>21</v>
      </c>
    </row>
    <row r="8960" ht="15.75" customHeight="1">
      <c r="A8960" s="2">
        <v>2017.0</v>
      </c>
      <c r="B8960" s="2" t="s">
        <v>37094</v>
      </c>
      <c r="C8960" s="2" t="s">
        <v>37094</v>
      </c>
      <c r="D8960" s="2" t="str">
        <f>"9032277796"</f>
        <v>9032277796</v>
      </c>
      <c r="E8960" s="2" t="s">
        <v>288</v>
      </c>
      <c r="F8960" s="2" t="s">
        <v>4941</v>
      </c>
      <c r="G8960" s="2" t="str">
        <f>"SR-9945"</f>
        <v>SR-9945</v>
      </c>
      <c r="H8960" s="2" t="s">
        <v>37095</v>
      </c>
      <c r="I8960" s="2" t="s">
        <v>37096</v>
      </c>
      <c r="K8960" s="2" t="s">
        <v>11179</v>
      </c>
      <c r="L8960" s="2" t="s">
        <v>172</v>
      </c>
      <c r="M8960" s="2">
        <v>76065.0</v>
      </c>
      <c r="N8960" s="2" t="s">
        <v>21</v>
      </c>
    </row>
    <row r="8961" ht="15.75" customHeight="1">
      <c r="A8961" s="2">
        <v>2017.0</v>
      </c>
      <c r="B8961" s="2" t="s">
        <v>37097</v>
      </c>
      <c r="D8961" s="2" t="str">
        <f t="shared" ref="D8961:D8962" si="137">""</f>
        <v/>
      </c>
      <c r="E8961" s="2" t="s">
        <v>21011</v>
      </c>
      <c r="F8961" s="2" t="s">
        <v>37098</v>
      </c>
      <c r="G8961" s="2" t="str">
        <f>"SR-11948"</f>
        <v>SR-11948</v>
      </c>
      <c r="H8961" s="2" t="s">
        <v>37099</v>
      </c>
    </row>
    <row r="8962" ht="15.75" customHeight="1">
      <c r="A8962" s="2">
        <v>2017.0</v>
      </c>
      <c r="B8962" s="2" t="s">
        <v>16013</v>
      </c>
      <c r="D8962" s="2" t="str">
        <f t="shared" si="137"/>
        <v/>
      </c>
      <c r="E8962" s="2" t="s">
        <v>1141</v>
      </c>
      <c r="F8962" s="2" t="s">
        <v>13073</v>
      </c>
      <c r="G8962" s="2" t="str">
        <f>"SR-11755"</f>
        <v>SR-11755</v>
      </c>
      <c r="H8962" s="2" t="s">
        <v>37100</v>
      </c>
    </row>
    <row r="8963" ht="15.75" customHeight="1">
      <c r="A8963" s="2">
        <v>2017.0</v>
      </c>
      <c r="B8963" s="2" t="s">
        <v>37101</v>
      </c>
      <c r="C8963" s="2" t="s">
        <v>37101</v>
      </c>
      <c r="D8963" s="2" t="str">
        <f>"5755201843"</f>
        <v>5755201843</v>
      </c>
      <c r="E8963" s="2" t="s">
        <v>3305</v>
      </c>
      <c r="F8963" s="2" t="s">
        <v>6884</v>
      </c>
      <c r="G8963" s="2" t="str">
        <f>"SR-11961"</f>
        <v>SR-11961</v>
      </c>
      <c r="H8963" s="2" t="s">
        <v>37102</v>
      </c>
      <c r="I8963" s="2" t="s">
        <v>37103</v>
      </c>
      <c r="K8963" s="2" t="s">
        <v>14131</v>
      </c>
      <c r="L8963" s="2" t="s">
        <v>789</v>
      </c>
      <c r="M8963" s="2">
        <v>88005.0</v>
      </c>
      <c r="N8963" s="2" t="s">
        <v>21</v>
      </c>
    </row>
    <row r="8964" ht="15.75" customHeight="1">
      <c r="A8964" s="2">
        <v>2017.0</v>
      </c>
      <c r="B8964" s="2" t="s">
        <v>37104</v>
      </c>
      <c r="C8964" s="2" t="s">
        <v>37105</v>
      </c>
      <c r="D8964" s="2" t="str">
        <f>"210-521-8668"</f>
        <v>210-521-8668</v>
      </c>
      <c r="E8964" s="2" t="s">
        <v>19720</v>
      </c>
      <c r="F8964" s="2" t="s">
        <v>19721</v>
      </c>
      <c r="G8964" s="2" t="str">
        <f>"SR-11778"</f>
        <v>SR-11778</v>
      </c>
      <c r="H8964" s="2" t="s">
        <v>19722</v>
      </c>
      <c r="I8964" s="2" t="s">
        <v>37106</v>
      </c>
      <c r="K8964" s="2" t="s">
        <v>632</v>
      </c>
      <c r="L8964" s="2" t="s">
        <v>172</v>
      </c>
      <c r="M8964" s="2">
        <v>78229.0</v>
      </c>
      <c r="N8964" s="2" t="s">
        <v>21</v>
      </c>
    </row>
    <row r="8965" ht="15.75" customHeight="1">
      <c r="A8965" s="2">
        <v>2017.0</v>
      </c>
      <c r="B8965" s="2" t="s">
        <v>37107</v>
      </c>
      <c r="C8965" s="2" t="s">
        <v>37108</v>
      </c>
      <c r="D8965" s="2" t="str">
        <f>"6037317241"</f>
        <v>6037317241</v>
      </c>
      <c r="E8965" s="2" t="s">
        <v>37109</v>
      </c>
      <c r="F8965" s="2" t="s">
        <v>448</v>
      </c>
      <c r="G8965" s="2" t="str">
        <f>"SR-11975"</f>
        <v>SR-11975</v>
      </c>
      <c r="H8965" s="2" t="s">
        <v>37110</v>
      </c>
      <c r="I8965" s="2" t="s">
        <v>37111</v>
      </c>
      <c r="K8965" s="2" t="s">
        <v>3975</v>
      </c>
      <c r="L8965" s="2" t="s">
        <v>279</v>
      </c>
      <c r="M8965" s="2">
        <v>37421.0</v>
      </c>
      <c r="N8965" s="2" t="s">
        <v>21</v>
      </c>
    </row>
    <row r="8966" ht="15.75" customHeight="1">
      <c r="A8966" s="2">
        <v>2017.0</v>
      </c>
      <c r="B8966" s="2" t="s">
        <v>37112</v>
      </c>
      <c r="C8966" s="2" t="s">
        <v>37112</v>
      </c>
      <c r="D8966" s="2" t="str">
        <f>"503 754 6781"</f>
        <v>503 754 6781</v>
      </c>
      <c r="E8966" s="2" t="s">
        <v>2243</v>
      </c>
      <c r="F8966" s="2" t="s">
        <v>29808</v>
      </c>
      <c r="G8966" s="2" t="str">
        <f>"SR-11624"</f>
        <v>SR-11624</v>
      </c>
      <c r="H8966" s="2" t="s">
        <v>37113</v>
      </c>
      <c r="I8966" s="2" t="s">
        <v>37114</v>
      </c>
      <c r="K8966" s="2" t="s">
        <v>37115</v>
      </c>
      <c r="L8966" s="2" t="s">
        <v>86</v>
      </c>
      <c r="M8966" s="2">
        <v>98642.0</v>
      </c>
      <c r="N8966" s="2" t="s">
        <v>21</v>
      </c>
    </row>
    <row r="8967" ht="15.75" customHeight="1">
      <c r="A8967" s="2">
        <v>2017.0</v>
      </c>
      <c r="B8967" s="2" t="s">
        <v>37116</v>
      </c>
      <c r="C8967" s="2" t="s">
        <v>37117</v>
      </c>
      <c r="D8967" s="2" t="str">
        <f>"678-340-0568"</f>
        <v>678-340-0568</v>
      </c>
      <c r="E8967" s="2" t="s">
        <v>37118</v>
      </c>
      <c r="F8967" s="2" t="s">
        <v>37119</v>
      </c>
      <c r="G8967" s="2" t="str">
        <f>"SR-11978"</f>
        <v>SR-11978</v>
      </c>
      <c r="H8967" s="2" t="s">
        <v>37120</v>
      </c>
      <c r="I8967" s="2" t="s">
        <v>37121</v>
      </c>
      <c r="K8967" s="2" t="s">
        <v>775</v>
      </c>
      <c r="L8967" s="2" t="s">
        <v>200</v>
      </c>
      <c r="M8967" s="2">
        <v>30277.0</v>
      </c>
      <c r="N8967" s="2" t="s">
        <v>21</v>
      </c>
    </row>
    <row r="8968" ht="15.75" customHeight="1">
      <c r="A8968" s="2">
        <v>2017.0</v>
      </c>
      <c r="B8968" s="2" t="s">
        <v>37122</v>
      </c>
      <c r="C8968" s="2" t="s">
        <v>37123</v>
      </c>
      <c r="D8968" s="2" t="str">
        <f>"4059190315"</f>
        <v>4059190315</v>
      </c>
      <c r="E8968" s="2" t="s">
        <v>7145</v>
      </c>
      <c r="F8968" s="2" t="s">
        <v>7537</v>
      </c>
      <c r="G8968" s="2" t="str">
        <f>"SR-11969"</f>
        <v>SR-11969</v>
      </c>
      <c r="H8968" s="2" t="s">
        <v>37124</v>
      </c>
      <c r="I8968" s="2" t="s">
        <v>37125</v>
      </c>
      <c r="K8968" s="2" t="s">
        <v>37126</v>
      </c>
      <c r="L8968" s="2" t="s">
        <v>208</v>
      </c>
      <c r="M8968" s="2">
        <v>32118.0</v>
      </c>
      <c r="N8968" s="2" t="s">
        <v>21</v>
      </c>
    </row>
    <row r="8969" ht="15.75" customHeight="1">
      <c r="A8969" s="2">
        <v>2017.0</v>
      </c>
      <c r="B8969" s="2" t="s">
        <v>37127</v>
      </c>
      <c r="C8969" s="2" t="s">
        <v>37127</v>
      </c>
      <c r="D8969" s="2" t="str">
        <f>"619-878-0131"</f>
        <v>619-878-0131</v>
      </c>
      <c r="E8969" s="2" t="s">
        <v>267</v>
      </c>
      <c r="F8969" s="2" t="s">
        <v>14519</v>
      </c>
      <c r="G8969" s="2" t="str">
        <f>"SR-11977"</f>
        <v>SR-11977</v>
      </c>
      <c r="H8969" s="2" t="s">
        <v>37128</v>
      </c>
      <c r="I8969" s="2" t="s">
        <v>14521</v>
      </c>
      <c r="K8969" s="2" t="s">
        <v>8444</v>
      </c>
      <c r="L8969" s="2" t="s">
        <v>222</v>
      </c>
      <c r="M8969" s="2">
        <v>92019.0</v>
      </c>
      <c r="N8969" s="2" t="s">
        <v>21</v>
      </c>
    </row>
    <row r="8970" ht="15.75" customHeight="1">
      <c r="A8970" s="2">
        <v>2017.0</v>
      </c>
      <c r="B8970" s="2" t="s">
        <v>37129</v>
      </c>
      <c r="C8970" s="2" t="s">
        <v>37129</v>
      </c>
      <c r="D8970" s="2" t="str">
        <f>"4079251878"</f>
        <v>4079251878</v>
      </c>
      <c r="E8970" s="2" t="s">
        <v>14110</v>
      </c>
      <c r="F8970" s="2" t="s">
        <v>37130</v>
      </c>
      <c r="G8970" s="2" t="str">
        <f>"SR-11801"</f>
        <v>SR-11801</v>
      </c>
      <c r="H8970" s="2" t="s">
        <v>37131</v>
      </c>
      <c r="I8970" s="2" t="s">
        <v>37132</v>
      </c>
      <c r="K8970" s="2" t="s">
        <v>19345</v>
      </c>
      <c r="L8970" s="2" t="s">
        <v>208</v>
      </c>
      <c r="M8970" s="2">
        <v>34714.0</v>
      </c>
      <c r="N8970" s="2" t="s">
        <v>21</v>
      </c>
    </row>
    <row r="8971" ht="15.75" customHeight="1">
      <c r="A8971" s="2">
        <v>2017.0</v>
      </c>
      <c r="B8971" s="2" t="s">
        <v>27768</v>
      </c>
      <c r="C8971" s="2" t="s">
        <v>27769</v>
      </c>
      <c r="D8971" s="2" t="str">
        <f>"319-573-4332"</f>
        <v>319-573-4332</v>
      </c>
      <c r="E8971" s="2" t="s">
        <v>14422</v>
      </c>
      <c r="F8971" s="2" t="s">
        <v>27770</v>
      </c>
      <c r="G8971" s="2" t="str">
        <f>"SR-8677"</f>
        <v>SR-8677</v>
      </c>
      <c r="H8971" s="2" t="s">
        <v>27771</v>
      </c>
      <c r="I8971" s="2" t="s">
        <v>27772</v>
      </c>
      <c r="K8971" s="2" t="s">
        <v>3273</v>
      </c>
      <c r="L8971" s="2" t="s">
        <v>560</v>
      </c>
      <c r="M8971" s="2">
        <v>52402.0</v>
      </c>
      <c r="N8971" s="2" t="s">
        <v>21</v>
      </c>
    </row>
    <row r="8972" ht="15.75" customHeight="1">
      <c r="A8972" s="2">
        <v>2017.0</v>
      </c>
      <c r="B8972" s="2" t="s">
        <v>22956</v>
      </c>
      <c r="C8972" s="2" t="s">
        <v>22957</v>
      </c>
      <c r="D8972" s="2" t="str">
        <f>"615-785-6061"</f>
        <v>615-785-6061</v>
      </c>
      <c r="E8972" s="2" t="s">
        <v>373</v>
      </c>
      <c r="F8972" s="2" t="s">
        <v>22958</v>
      </c>
      <c r="G8972" s="2" t="str">
        <f>"SR-7052"</f>
        <v>SR-7052</v>
      </c>
      <c r="H8972" s="2" t="s">
        <v>22959</v>
      </c>
      <c r="I8972" s="2" t="s">
        <v>22960</v>
      </c>
      <c r="K8972" s="2" t="s">
        <v>9868</v>
      </c>
      <c r="L8972" s="2" t="s">
        <v>279</v>
      </c>
      <c r="M8972" s="2">
        <v>37027.0</v>
      </c>
      <c r="N8972" s="2" t="s">
        <v>21</v>
      </c>
    </row>
    <row r="8973" ht="15.75" customHeight="1">
      <c r="A8973" s="2">
        <v>2017.0</v>
      </c>
      <c r="B8973" s="2" t="s">
        <v>37133</v>
      </c>
      <c r="C8973" s="2" t="s">
        <v>37133</v>
      </c>
      <c r="D8973" s="2" t="str">
        <f>"307 250 4221"</f>
        <v>307 250 4221</v>
      </c>
      <c r="E8973" s="2" t="s">
        <v>2031</v>
      </c>
      <c r="F8973" s="2" t="s">
        <v>7141</v>
      </c>
      <c r="G8973" s="2" t="str">
        <f>"SR-11990"</f>
        <v>SR-11990</v>
      </c>
      <c r="H8973" s="2" t="s">
        <v>37134</v>
      </c>
      <c r="I8973" s="2" t="s">
        <v>37135</v>
      </c>
      <c r="K8973" s="2" t="s">
        <v>88</v>
      </c>
      <c r="L8973" s="2" t="s">
        <v>1540</v>
      </c>
      <c r="M8973" s="2">
        <v>82414.0</v>
      </c>
      <c r="N8973" s="2" t="s">
        <v>21</v>
      </c>
    </row>
    <row r="8974" ht="15.75" customHeight="1">
      <c r="A8974" s="2">
        <v>2017.0</v>
      </c>
      <c r="B8974" s="2" t="s">
        <v>37136</v>
      </c>
      <c r="C8974" s="2" t="s">
        <v>37137</v>
      </c>
      <c r="D8974" s="2" t="str">
        <f>"3167086521"</f>
        <v>3167086521</v>
      </c>
      <c r="E8974" s="2" t="s">
        <v>15</v>
      </c>
      <c r="F8974" s="2" t="s">
        <v>984</v>
      </c>
      <c r="G8974" s="2" t="str">
        <f>"SR-11244"</f>
        <v>SR-11244</v>
      </c>
      <c r="H8974" s="2" t="s">
        <v>6156</v>
      </c>
      <c r="I8974" s="2" t="s">
        <v>37138</v>
      </c>
      <c r="K8974" s="2" t="s">
        <v>37139</v>
      </c>
      <c r="L8974" s="2" t="s">
        <v>272</v>
      </c>
      <c r="M8974" s="2">
        <v>67207.0</v>
      </c>
      <c r="N8974" s="2" t="s">
        <v>21</v>
      </c>
    </row>
    <row r="8975" ht="15.75" customHeight="1">
      <c r="A8975" s="2">
        <v>2017.0</v>
      </c>
      <c r="B8975" s="2" t="s">
        <v>36305</v>
      </c>
      <c r="C8975" s="2" t="s">
        <v>37140</v>
      </c>
      <c r="D8975" s="2" t="str">
        <f>"3107507552"</f>
        <v>3107507552</v>
      </c>
      <c r="E8975" s="2" t="s">
        <v>2243</v>
      </c>
      <c r="F8975" s="2" t="s">
        <v>36307</v>
      </c>
      <c r="G8975" s="2" t="str">
        <f>"SR-11989"</f>
        <v>SR-11989</v>
      </c>
      <c r="H8975" s="2" t="s">
        <v>37141</v>
      </c>
      <c r="I8975" s="2" t="s">
        <v>36309</v>
      </c>
      <c r="K8975" s="2" t="s">
        <v>4298</v>
      </c>
      <c r="L8975" s="2" t="s">
        <v>149</v>
      </c>
      <c r="M8975" s="2">
        <v>46814.0</v>
      </c>
      <c r="N8975" s="2" t="s">
        <v>21</v>
      </c>
    </row>
    <row r="8976" ht="15.75" customHeight="1">
      <c r="A8976" s="2">
        <v>2017.0</v>
      </c>
      <c r="B8976" s="2" t="s">
        <v>37142</v>
      </c>
      <c r="C8976" s="2" t="s">
        <v>37142</v>
      </c>
      <c r="D8976" s="2" t="str">
        <f>"612-910-9454"</f>
        <v>612-910-9454</v>
      </c>
      <c r="E8976" s="2" t="s">
        <v>5619</v>
      </c>
      <c r="F8976" s="2" t="s">
        <v>8766</v>
      </c>
      <c r="G8976" s="2" t="str">
        <f>"SR-11995"</f>
        <v>SR-11995</v>
      </c>
      <c r="H8976" s="2" t="s">
        <v>37143</v>
      </c>
      <c r="I8976" s="2" t="s">
        <v>37144</v>
      </c>
      <c r="K8976" s="2" t="s">
        <v>1073</v>
      </c>
      <c r="L8976" s="2" t="s">
        <v>62</v>
      </c>
      <c r="M8976" s="2">
        <v>55410.0</v>
      </c>
      <c r="N8976" s="2" t="s">
        <v>21</v>
      </c>
    </row>
    <row r="8977" ht="15.75" customHeight="1">
      <c r="A8977" s="2">
        <v>2017.0</v>
      </c>
      <c r="B8977" s="2" t="s">
        <v>37145</v>
      </c>
      <c r="C8977" s="2" t="s">
        <v>37145</v>
      </c>
      <c r="D8977" s="2" t="str">
        <f>"5403155769"</f>
        <v>5403155769</v>
      </c>
      <c r="E8977" s="2" t="s">
        <v>843</v>
      </c>
      <c r="F8977" s="2" t="s">
        <v>37146</v>
      </c>
      <c r="G8977" s="2" t="str">
        <f>"SR-11991"</f>
        <v>SR-11991</v>
      </c>
      <c r="H8977" s="2" t="s">
        <v>37147</v>
      </c>
      <c r="I8977" s="2" t="s">
        <v>37148</v>
      </c>
      <c r="K8977" s="2" t="s">
        <v>6224</v>
      </c>
      <c r="L8977" s="2" t="s">
        <v>157</v>
      </c>
      <c r="M8977" s="2">
        <v>80816.0</v>
      </c>
      <c r="N8977" s="2" t="s">
        <v>21</v>
      </c>
    </row>
    <row r="8978" ht="15.75" customHeight="1">
      <c r="A8978" s="2">
        <v>2017.0</v>
      </c>
      <c r="B8978" s="2" t="s">
        <v>37149</v>
      </c>
      <c r="C8978" s="2" t="s">
        <v>37149</v>
      </c>
      <c r="D8978" s="2" t="str">
        <f>"4097283500"</f>
        <v>4097283500</v>
      </c>
      <c r="E8978" s="2" t="s">
        <v>18430</v>
      </c>
      <c r="F8978" s="2" t="s">
        <v>4773</v>
      </c>
      <c r="G8978" s="2" t="str">
        <f>"SR-11933"</f>
        <v>SR-11933</v>
      </c>
      <c r="H8978" s="2" t="s">
        <v>37150</v>
      </c>
      <c r="I8978" s="2" t="s">
        <v>37151</v>
      </c>
      <c r="K8978" s="2" t="s">
        <v>10933</v>
      </c>
      <c r="L8978" s="2" t="s">
        <v>172</v>
      </c>
      <c r="M8978" s="2">
        <v>78801.0</v>
      </c>
      <c r="N8978" s="2" t="s">
        <v>21</v>
      </c>
    </row>
    <row r="8979" ht="15.75" customHeight="1">
      <c r="A8979" s="2">
        <v>2017.0</v>
      </c>
      <c r="B8979" s="2" t="s">
        <v>37152</v>
      </c>
      <c r="C8979" s="2" t="s">
        <v>37152</v>
      </c>
      <c r="D8979" s="2" t="str">
        <f>"337-739-6801"</f>
        <v>337-739-6801</v>
      </c>
      <c r="E8979" s="2" t="s">
        <v>1725</v>
      </c>
      <c r="F8979" s="2" t="s">
        <v>8766</v>
      </c>
      <c r="G8979" s="2" t="str">
        <f>"SR-11642"</f>
        <v>SR-11642</v>
      </c>
      <c r="H8979" s="2" t="s">
        <v>37153</v>
      </c>
      <c r="I8979" s="2" t="s">
        <v>16055</v>
      </c>
      <c r="K8979" s="2" t="s">
        <v>11600</v>
      </c>
      <c r="L8979" s="2" t="s">
        <v>715</v>
      </c>
      <c r="M8979" s="2">
        <v>70611.0</v>
      </c>
      <c r="N8979" s="2" t="s">
        <v>21</v>
      </c>
    </row>
    <row r="8980" ht="15.75" customHeight="1">
      <c r="A8980" s="2">
        <v>2017.0</v>
      </c>
      <c r="B8980" s="2" t="s">
        <v>37154</v>
      </c>
      <c r="C8980" s="2" t="s">
        <v>37155</v>
      </c>
      <c r="D8980" s="2" t="str">
        <f>"2145794004"</f>
        <v>2145794004</v>
      </c>
      <c r="E8980" s="2" t="s">
        <v>32253</v>
      </c>
      <c r="F8980" s="2" t="s">
        <v>37156</v>
      </c>
      <c r="G8980" s="2" t="str">
        <f>"SR-12002"</f>
        <v>SR-12002</v>
      </c>
      <c r="H8980" s="2" t="s">
        <v>37157</v>
      </c>
      <c r="I8980" s="2" t="s">
        <v>37158</v>
      </c>
      <c r="K8980" s="2" t="s">
        <v>1255</v>
      </c>
      <c r="L8980" s="2" t="s">
        <v>172</v>
      </c>
      <c r="M8980" s="2">
        <v>75236.0</v>
      </c>
      <c r="N8980" s="2" t="s">
        <v>21</v>
      </c>
    </row>
    <row r="8981" ht="15.75" customHeight="1">
      <c r="A8981" s="2">
        <v>2017.0</v>
      </c>
      <c r="B8981" s="2" t="s">
        <v>37159</v>
      </c>
      <c r="C8981" s="2" t="s">
        <v>37160</v>
      </c>
      <c r="D8981" s="2" t="str">
        <f>"6025494636"</f>
        <v>6025494636</v>
      </c>
      <c r="E8981" s="2" t="s">
        <v>908</v>
      </c>
      <c r="F8981" s="2" t="s">
        <v>37161</v>
      </c>
      <c r="G8981" s="2" t="str">
        <f>"SR-11971"</f>
        <v>SR-11971</v>
      </c>
      <c r="H8981" s="2" t="s">
        <v>37162</v>
      </c>
      <c r="I8981" s="2" t="s">
        <v>37163</v>
      </c>
      <c r="K8981" s="2" t="s">
        <v>104</v>
      </c>
      <c r="L8981" s="2" t="s">
        <v>422</v>
      </c>
      <c r="M8981" s="2">
        <v>85383.0</v>
      </c>
      <c r="N8981" s="2" t="s">
        <v>21</v>
      </c>
    </row>
    <row r="8982" ht="15.75" customHeight="1">
      <c r="A8982" s="2">
        <v>2017.0</v>
      </c>
      <c r="B8982" s="2" t="s">
        <v>37164</v>
      </c>
      <c r="C8982" s="2" t="s">
        <v>37165</v>
      </c>
      <c r="D8982" s="2" t="str">
        <f>"4348068618"</f>
        <v>4348068618</v>
      </c>
      <c r="E8982" s="2" t="s">
        <v>1946</v>
      </c>
      <c r="F8982" s="2" t="s">
        <v>37166</v>
      </c>
      <c r="G8982" s="2" t="str">
        <f>"SR-12000"</f>
        <v>SR-12000</v>
      </c>
      <c r="H8982" s="2" t="s">
        <v>37167</v>
      </c>
      <c r="I8982" s="2" t="s">
        <v>37168</v>
      </c>
      <c r="K8982" s="2" t="s">
        <v>809</v>
      </c>
      <c r="L8982" s="2" t="s">
        <v>157</v>
      </c>
      <c r="M8982" s="2">
        <v>80922.0</v>
      </c>
      <c r="N8982" s="2" t="s">
        <v>21</v>
      </c>
    </row>
    <row r="8983" ht="15.75" customHeight="1">
      <c r="A8983" s="2">
        <v>2017.0</v>
      </c>
      <c r="B8983" s="2" t="s">
        <v>37169</v>
      </c>
      <c r="C8983" s="2" t="s">
        <v>37170</v>
      </c>
      <c r="D8983" s="2" t="str">
        <f>"732-718-5196"</f>
        <v>732-718-5196</v>
      </c>
      <c r="E8983" s="2" t="s">
        <v>2083</v>
      </c>
      <c r="F8983" s="2" t="s">
        <v>1151</v>
      </c>
      <c r="G8983" s="2" t="str">
        <f>"SR-12007"</f>
        <v>SR-12007</v>
      </c>
      <c r="H8983" s="2" t="s">
        <v>37171</v>
      </c>
      <c r="I8983" s="2" t="s">
        <v>37172</v>
      </c>
      <c r="K8983" s="2" t="s">
        <v>2421</v>
      </c>
      <c r="L8983" s="2" t="s">
        <v>3618</v>
      </c>
      <c r="M8983" s="2">
        <v>8022.0</v>
      </c>
      <c r="N8983" s="2" t="s">
        <v>21</v>
      </c>
    </row>
    <row r="8984" ht="15.75" customHeight="1">
      <c r="A8984" s="2">
        <v>2017.0</v>
      </c>
      <c r="B8984" s="2" t="s">
        <v>37159</v>
      </c>
      <c r="C8984" s="2" t="s">
        <v>37173</v>
      </c>
      <c r="D8984" s="2" t="str">
        <f>"602-549-4636"</f>
        <v>602-549-4636</v>
      </c>
      <c r="E8984" s="2" t="s">
        <v>6244</v>
      </c>
      <c r="F8984" s="2" t="s">
        <v>37161</v>
      </c>
      <c r="G8984" s="2" t="str">
        <f>"SR-12006"</f>
        <v>SR-12006</v>
      </c>
      <c r="H8984" s="2" t="s">
        <v>37174</v>
      </c>
      <c r="I8984" s="2" t="s">
        <v>37163</v>
      </c>
      <c r="K8984" s="2" t="s">
        <v>104</v>
      </c>
      <c r="L8984" s="2" t="s">
        <v>422</v>
      </c>
      <c r="M8984" s="2">
        <v>85383.0</v>
      </c>
      <c r="N8984" s="2" t="s">
        <v>21</v>
      </c>
    </row>
    <row r="8985" ht="15.75" customHeight="1">
      <c r="A8985" s="2">
        <v>2017.0</v>
      </c>
      <c r="B8985" s="2" t="s">
        <v>37175</v>
      </c>
      <c r="C8985" s="2" t="s">
        <v>37176</v>
      </c>
      <c r="D8985" s="2" t="str">
        <f>"2815432232"</f>
        <v>2815432232</v>
      </c>
      <c r="E8985" s="2" t="s">
        <v>9924</v>
      </c>
      <c r="F8985" s="2" t="s">
        <v>37177</v>
      </c>
      <c r="G8985" s="2" t="str">
        <f>"SR-11950"</f>
        <v>SR-11950</v>
      </c>
      <c r="H8985" s="2" t="s">
        <v>37178</v>
      </c>
      <c r="I8985" s="2" t="s">
        <v>37179</v>
      </c>
      <c r="K8985" s="2" t="s">
        <v>4350</v>
      </c>
      <c r="L8985" s="2" t="s">
        <v>172</v>
      </c>
      <c r="M8985" s="2">
        <v>77375.0</v>
      </c>
      <c r="N8985" s="2" t="s">
        <v>21</v>
      </c>
    </row>
    <row r="8986" ht="15.75" customHeight="1">
      <c r="A8986" s="2">
        <v>2017.0</v>
      </c>
      <c r="B8986" s="2" t="s">
        <v>37180</v>
      </c>
      <c r="C8986" s="2" t="s">
        <v>37181</v>
      </c>
      <c r="D8986" s="2" t="str">
        <f>"830-444-7284"</f>
        <v>830-444-7284</v>
      </c>
      <c r="E8986" s="2" t="s">
        <v>250</v>
      </c>
      <c r="F8986" s="2" t="s">
        <v>37182</v>
      </c>
      <c r="G8986" s="2" t="str">
        <f>"SR-12001"</f>
        <v>SR-12001</v>
      </c>
      <c r="H8986" s="2" t="s">
        <v>37183</v>
      </c>
      <c r="I8986" s="2" t="s">
        <v>37184</v>
      </c>
      <c r="K8986" s="2" t="s">
        <v>25668</v>
      </c>
      <c r="L8986" s="2" t="s">
        <v>172</v>
      </c>
      <c r="M8986" s="2">
        <v>78059.0</v>
      </c>
      <c r="N8986" s="2" t="s">
        <v>21</v>
      </c>
    </row>
    <row r="8987" ht="15.75" customHeight="1">
      <c r="A8987" s="2">
        <v>2017.0</v>
      </c>
      <c r="B8987" s="2" t="s">
        <v>37185</v>
      </c>
      <c r="C8987" s="2" t="s">
        <v>37185</v>
      </c>
      <c r="D8987" s="2" t="str">
        <f>"919-886-1333"</f>
        <v>919-886-1333</v>
      </c>
      <c r="E8987" s="2" t="s">
        <v>2162</v>
      </c>
      <c r="F8987" s="2" t="s">
        <v>752</v>
      </c>
      <c r="G8987" s="2" t="str">
        <f>"SR-11936"</f>
        <v>SR-11936</v>
      </c>
      <c r="H8987" s="2" t="s">
        <v>37186</v>
      </c>
      <c r="I8987" s="2" t="s">
        <v>37187</v>
      </c>
      <c r="K8987" s="2" t="s">
        <v>1111</v>
      </c>
      <c r="L8987" s="2" t="s">
        <v>20</v>
      </c>
      <c r="M8987" s="2">
        <v>27713.0</v>
      </c>
      <c r="N8987" s="2" t="s">
        <v>21</v>
      </c>
    </row>
    <row r="8988" ht="15.75" customHeight="1">
      <c r="A8988" s="2">
        <v>2017.0</v>
      </c>
      <c r="B8988" s="2" t="s">
        <v>37188</v>
      </c>
      <c r="C8988" s="2" t="s">
        <v>37189</v>
      </c>
      <c r="D8988" s="2" t="str">
        <f>"7348642597"</f>
        <v>7348642597</v>
      </c>
      <c r="E8988" s="2" t="s">
        <v>132</v>
      </c>
      <c r="F8988" s="2" t="s">
        <v>37190</v>
      </c>
      <c r="G8988" s="2" t="str">
        <f>"SR-9242"</f>
        <v>SR-9242</v>
      </c>
      <c r="H8988" s="2" t="s">
        <v>37191</v>
      </c>
      <c r="I8988" s="2" t="s">
        <v>37192</v>
      </c>
      <c r="K8988" s="2" t="s">
        <v>3971</v>
      </c>
      <c r="L8988" s="2" t="s">
        <v>29</v>
      </c>
      <c r="M8988" s="2">
        <v>48189.0</v>
      </c>
      <c r="N8988" s="2" t="s">
        <v>21</v>
      </c>
    </row>
    <row r="8989" ht="15.75" customHeight="1">
      <c r="A8989" s="2">
        <v>2017.0</v>
      </c>
      <c r="B8989" s="2" t="s">
        <v>37193</v>
      </c>
      <c r="C8989" s="2" t="s">
        <v>37193</v>
      </c>
      <c r="D8989" s="2" t="str">
        <f>"9252075144"</f>
        <v>9252075144</v>
      </c>
      <c r="E8989" s="2" t="s">
        <v>2031</v>
      </c>
      <c r="F8989" s="2" t="s">
        <v>36951</v>
      </c>
      <c r="G8989" s="2" t="str">
        <f>"SR-11912"</f>
        <v>SR-11912</v>
      </c>
      <c r="H8989" s="2" t="s">
        <v>37194</v>
      </c>
      <c r="I8989" s="2" t="s">
        <v>36953</v>
      </c>
      <c r="K8989" s="2" t="s">
        <v>1398</v>
      </c>
      <c r="L8989" s="2" t="s">
        <v>157</v>
      </c>
      <c r="M8989" s="2">
        <v>80104.0</v>
      </c>
      <c r="N8989" s="2" t="s">
        <v>21</v>
      </c>
    </row>
    <row r="8990" ht="15.75" customHeight="1">
      <c r="A8990" s="2">
        <v>2017.0</v>
      </c>
      <c r="B8990" s="2" t="s">
        <v>28548</v>
      </c>
      <c r="C8990" s="2" t="s">
        <v>28548</v>
      </c>
      <c r="D8990" s="2" t="str">
        <f>"8436013532"</f>
        <v>8436013532</v>
      </c>
      <c r="E8990" s="2" t="s">
        <v>651</v>
      </c>
      <c r="F8990" s="2" t="s">
        <v>25763</v>
      </c>
      <c r="G8990" s="2" t="str">
        <f>"SR-8894"</f>
        <v>SR-8894</v>
      </c>
      <c r="H8990" s="2" t="s">
        <v>28549</v>
      </c>
      <c r="I8990" s="2" t="s">
        <v>28550</v>
      </c>
      <c r="K8990" s="2" t="s">
        <v>10976</v>
      </c>
      <c r="L8990" s="2" t="s">
        <v>55</v>
      </c>
      <c r="M8990" s="2">
        <v>29161.0</v>
      </c>
      <c r="N8990" s="2" t="s">
        <v>21</v>
      </c>
    </row>
    <row r="8991" ht="15.75" customHeight="1">
      <c r="A8991" s="2">
        <v>2017.0</v>
      </c>
      <c r="B8991" s="2" t="s">
        <v>37195</v>
      </c>
      <c r="C8991" s="2" t="s">
        <v>37195</v>
      </c>
      <c r="D8991" s="2" t="str">
        <f>"434-229-9869"</f>
        <v>434-229-9869</v>
      </c>
      <c r="E8991" s="2" t="s">
        <v>4071</v>
      </c>
      <c r="F8991" s="2" t="s">
        <v>37196</v>
      </c>
      <c r="G8991" s="2" t="str">
        <f>"SR-12014"</f>
        <v>SR-12014</v>
      </c>
      <c r="H8991" s="2" t="s">
        <v>37197</v>
      </c>
      <c r="I8991" s="2" t="s">
        <v>37198</v>
      </c>
      <c r="K8991" s="2" t="s">
        <v>10322</v>
      </c>
      <c r="L8991" s="2" t="s">
        <v>4885</v>
      </c>
      <c r="M8991" s="2">
        <v>19901.0</v>
      </c>
      <c r="N8991" s="2" t="s">
        <v>21</v>
      </c>
    </row>
    <row r="8992" ht="15.75" customHeight="1">
      <c r="A8992" s="2">
        <v>2017.0</v>
      </c>
      <c r="B8992" s="2" t="s">
        <v>37188</v>
      </c>
      <c r="C8992" s="2" t="s">
        <v>37189</v>
      </c>
      <c r="D8992" s="2" t="str">
        <f>"734-864-2597"</f>
        <v>734-864-2597</v>
      </c>
      <c r="E8992" s="2" t="s">
        <v>7051</v>
      </c>
      <c r="F8992" s="2" t="s">
        <v>37190</v>
      </c>
      <c r="G8992" s="2" t="str">
        <f>"SR-12020"</f>
        <v>SR-12020</v>
      </c>
      <c r="H8992" s="2" t="s">
        <v>37199</v>
      </c>
      <c r="I8992" s="2" t="s">
        <v>37192</v>
      </c>
      <c r="K8992" s="2" t="s">
        <v>3971</v>
      </c>
      <c r="L8992" s="2" t="s">
        <v>29</v>
      </c>
      <c r="M8992" s="2">
        <v>48189.0</v>
      </c>
      <c r="N8992" s="2" t="s">
        <v>21</v>
      </c>
    </row>
    <row r="8993" ht="15.75" customHeight="1">
      <c r="A8993" s="2">
        <v>2017.0</v>
      </c>
      <c r="B8993" s="2" t="s">
        <v>32537</v>
      </c>
      <c r="C8993" s="2" t="s">
        <v>37200</v>
      </c>
      <c r="D8993" s="2" t="str">
        <f>"303-410-9940"</f>
        <v>303-410-9940</v>
      </c>
      <c r="E8993" s="2" t="s">
        <v>705</v>
      </c>
      <c r="F8993" s="2" t="s">
        <v>32539</v>
      </c>
      <c r="G8993" s="2" t="str">
        <f>"SR-10624"</f>
        <v>SR-10624</v>
      </c>
      <c r="H8993" s="2" t="s">
        <v>37201</v>
      </c>
      <c r="I8993" s="2" t="s">
        <v>37202</v>
      </c>
      <c r="K8993" s="2" t="s">
        <v>7480</v>
      </c>
      <c r="L8993" s="2" t="s">
        <v>157</v>
      </c>
      <c r="M8993" s="2">
        <v>80602.0</v>
      </c>
      <c r="N8993" s="2" t="s">
        <v>21</v>
      </c>
    </row>
    <row r="8994" ht="15.75" customHeight="1">
      <c r="A8994" s="2">
        <v>2017.0</v>
      </c>
      <c r="B8994" s="2" t="s">
        <v>37203</v>
      </c>
      <c r="C8994" s="2" t="s">
        <v>37203</v>
      </c>
      <c r="D8994" s="2" t="str">
        <f>"952-451-1617"</f>
        <v>952-451-1617</v>
      </c>
      <c r="E8994" s="2" t="s">
        <v>2243</v>
      </c>
      <c r="F8994" s="2" t="s">
        <v>37204</v>
      </c>
      <c r="G8994" s="2" t="str">
        <f>"SR-11992"</f>
        <v>SR-11992</v>
      </c>
      <c r="H8994" s="2" t="s">
        <v>37205</v>
      </c>
      <c r="I8994" s="2" t="s">
        <v>37206</v>
      </c>
      <c r="K8994" s="2" t="s">
        <v>37207</v>
      </c>
      <c r="L8994" s="2" t="s">
        <v>62</v>
      </c>
      <c r="M8994" s="2">
        <v>55318.0</v>
      </c>
      <c r="N8994" s="2" t="s">
        <v>21</v>
      </c>
    </row>
    <row r="8995" ht="15.75" customHeight="1">
      <c r="A8995" s="2">
        <v>2017.0</v>
      </c>
      <c r="B8995" s="2" t="s">
        <v>37208</v>
      </c>
      <c r="C8995" s="2" t="s">
        <v>37209</v>
      </c>
      <c r="D8995" s="2" t="str">
        <f>"(616)312-7962"</f>
        <v>(616)312-7962</v>
      </c>
      <c r="E8995" s="2" t="s">
        <v>9513</v>
      </c>
      <c r="F8995" s="2" t="s">
        <v>37210</v>
      </c>
      <c r="G8995" s="2" t="str">
        <f>"SR-12025"</f>
        <v>SR-12025</v>
      </c>
      <c r="H8995" s="2" t="s">
        <v>37211</v>
      </c>
      <c r="I8995" s="2">
        <v>7301.0</v>
      </c>
      <c r="K8995" s="2" t="s">
        <v>37212</v>
      </c>
      <c r="L8995" s="2" t="s">
        <v>29</v>
      </c>
      <c r="M8995" s="2">
        <v>49460.0</v>
      </c>
      <c r="N8995" s="2" t="s">
        <v>21</v>
      </c>
    </row>
    <row r="8996" ht="15.75" customHeight="1">
      <c r="A8996" s="2">
        <v>2017.0</v>
      </c>
      <c r="B8996" s="2" t="s">
        <v>37213</v>
      </c>
      <c r="C8996" s="2" t="s">
        <v>37214</v>
      </c>
      <c r="D8996" s="2" t="str">
        <f>"303-565-0665"</f>
        <v>303-565-0665</v>
      </c>
      <c r="E8996" s="2" t="s">
        <v>81</v>
      </c>
      <c r="F8996" s="2" t="s">
        <v>36283</v>
      </c>
      <c r="G8996" s="2" t="str">
        <f>"SR-9493"</f>
        <v>SR-9493</v>
      </c>
      <c r="H8996" s="2" t="s">
        <v>37215</v>
      </c>
      <c r="I8996" s="2" t="s">
        <v>37216</v>
      </c>
      <c r="J8996" s="2" t="s">
        <v>37217</v>
      </c>
      <c r="K8996" s="2" t="s">
        <v>3118</v>
      </c>
      <c r="L8996" s="2" t="s">
        <v>86</v>
      </c>
      <c r="M8996" s="2">
        <v>98199.0</v>
      </c>
      <c r="N8996" s="2" t="s">
        <v>21</v>
      </c>
    </row>
    <row r="8997" ht="15.75" customHeight="1">
      <c r="A8997" s="2">
        <v>2017.0</v>
      </c>
      <c r="B8997" s="2" t="s">
        <v>37218</v>
      </c>
      <c r="C8997" s="2" t="s">
        <v>37219</v>
      </c>
      <c r="D8997" s="2" t="str">
        <f>"(206) 795-7981"</f>
        <v>(206) 795-7981</v>
      </c>
      <c r="E8997" s="2" t="s">
        <v>1076</v>
      </c>
      <c r="F8997" s="2" t="s">
        <v>37220</v>
      </c>
      <c r="G8997" s="2" t="str">
        <f>"SR-12016"</f>
        <v>SR-12016</v>
      </c>
      <c r="H8997" s="2" t="s">
        <v>37221</v>
      </c>
      <c r="I8997" s="2" t="s">
        <v>37222</v>
      </c>
      <c r="K8997" s="2" t="s">
        <v>21419</v>
      </c>
      <c r="L8997" s="2" t="s">
        <v>86</v>
      </c>
      <c r="M8997" s="2">
        <v>98166.0</v>
      </c>
      <c r="N8997" s="2" t="s">
        <v>21</v>
      </c>
    </row>
    <row r="8998" ht="15.75" customHeight="1">
      <c r="A8998" s="2">
        <v>2017.0</v>
      </c>
      <c r="B8998" s="2" t="s">
        <v>37223</v>
      </c>
      <c r="C8998" s="2" t="s">
        <v>37223</v>
      </c>
      <c r="D8998" s="2" t="str">
        <f>"320-224-9369"</f>
        <v>320-224-9369</v>
      </c>
      <c r="E8998" s="2" t="s">
        <v>37224</v>
      </c>
      <c r="F8998" s="2" t="s">
        <v>37225</v>
      </c>
      <c r="G8998" s="2" t="str">
        <f>"SR-12024"</f>
        <v>SR-12024</v>
      </c>
      <c r="H8998" s="2" t="s">
        <v>37226</v>
      </c>
      <c r="I8998" s="2" t="s">
        <v>37227</v>
      </c>
      <c r="K8998" s="2" t="s">
        <v>11526</v>
      </c>
      <c r="L8998" s="2" t="s">
        <v>62</v>
      </c>
      <c r="M8998" s="2">
        <v>56304.0</v>
      </c>
      <c r="N8998" s="2" t="s">
        <v>21</v>
      </c>
    </row>
    <row r="8999" ht="15.75" customHeight="1">
      <c r="A8999" s="2">
        <v>2017.0</v>
      </c>
      <c r="B8999" s="2" t="s">
        <v>37228</v>
      </c>
      <c r="C8999" s="2" t="s">
        <v>37228</v>
      </c>
      <c r="D8999" s="2" t="str">
        <f>"729 979 7767"</f>
        <v>729 979 7767</v>
      </c>
      <c r="E8999" s="2" t="s">
        <v>1999</v>
      </c>
      <c r="F8999" s="2" t="s">
        <v>36951</v>
      </c>
      <c r="G8999" s="2" t="str">
        <f>"SR-12009"</f>
        <v>SR-12009</v>
      </c>
      <c r="H8999" s="2" t="s">
        <v>37229</v>
      </c>
      <c r="I8999" s="2" t="s">
        <v>36953</v>
      </c>
      <c r="K8999" s="2" t="s">
        <v>1398</v>
      </c>
      <c r="L8999" s="2" t="s">
        <v>157</v>
      </c>
      <c r="M8999" s="2">
        <v>80104.0</v>
      </c>
      <c r="N8999" s="2" t="s">
        <v>21</v>
      </c>
    </row>
    <row r="9000" ht="15.75" customHeight="1">
      <c r="A9000" s="2">
        <v>2017.0</v>
      </c>
      <c r="B9000" s="2" t="s">
        <v>37230</v>
      </c>
      <c r="C9000" s="2" t="s">
        <v>37230</v>
      </c>
      <c r="D9000" s="2" t="str">
        <f>"3205823002"</f>
        <v>3205823002</v>
      </c>
      <c r="E9000" s="2" t="s">
        <v>2083</v>
      </c>
      <c r="F9000" s="2" t="s">
        <v>37231</v>
      </c>
      <c r="G9000" s="2" t="str">
        <f>"SR-12032"</f>
        <v>SR-12032</v>
      </c>
      <c r="H9000" s="2" t="s">
        <v>37232</v>
      </c>
      <c r="I9000" s="2" t="s">
        <v>37233</v>
      </c>
      <c r="K9000" s="2" t="s">
        <v>37234</v>
      </c>
      <c r="L9000" s="2" t="s">
        <v>62</v>
      </c>
      <c r="M9000" s="2">
        <v>55325.0</v>
      </c>
      <c r="N9000" s="2" t="s">
        <v>21</v>
      </c>
    </row>
    <row r="9001" ht="15.75" customHeight="1">
      <c r="A9001" s="2">
        <v>2017.0</v>
      </c>
      <c r="B9001" s="2" t="s">
        <v>37235</v>
      </c>
      <c r="C9001" s="2" t="s">
        <v>37235</v>
      </c>
      <c r="D9001" s="2" t="str">
        <f>"8326285133"</f>
        <v>8326285133</v>
      </c>
      <c r="E9001" s="2" t="s">
        <v>37236</v>
      </c>
      <c r="F9001" s="2" t="s">
        <v>5105</v>
      </c>
      <c r="G9001" s="2" t="str">
        <f>"SR-12033"</f>
        <v>SR-12033</v>
      </c>
      <c r="H9001" s="2" t="s">
        <v>37237</v>
      </c>
      <c r="I9001" s="2" t="s">
        <v>37238</v>
      </c>
      <c r="K9001" s="2" t="s">
        <v>22621</v>
      </c>
      <c r="L9001" s="2" t="s">
        <v>172</v>
      </c>
      <c r="M9001" s="2">
        <v>77583.0</v>
      </c>
      <c r="N9001" s="2" t="s">
        <v>21</v>
      </c>
    </row>
    <row r="9002" ht="15.75" customHeight="1">
      <c r="A9002" s="2">
        <v>2017.0</v>
      </c>
      <c r="B9002" s="2" t="s">
        <v>37239</v>
      </c>
      <c r="C9002" s="2" t="s">
        <v>37240</v>
      </c>
      <c r="D9002" s="2" t="str">
        <f>"612-801-6140"</f>
        <v>612-801-6140</v>
      </c>
      <c r="E9002" s="2" t="s">
        <v>453</v>
      </c>
      <c r="F9002" s="2" t="s">
        <v>37241</v>
      </c>
      <c r="G9002" s="2" t="str">
        <f>"SR-12038"</f>
        <v>SR-12038</v>
      </c>
      <c r="H9002" s="2" t="s">
        <v>37242</v>
      </c>
      <c r="I9002" s="2" t="s">
        <v>37243</v>
      </c>
      <c r="K9002" s="2" t="s">
        <v>1321</v>
      </c>
      <c r="L9002" s="2" t="s">
        <v>62</v>
      </c>
      <c r="M9002" s="2">
        <v>55372.0</v>
      </c>
      <c r="N9002" s="2" t="s">
        <v>21</v>
      </c>
    </row>
    <row r="9003" ht="15.75" customHeight="1">
      <c r="A9003" s="2">
        <v>2017.0</v>
      </c>
      <c r="B9003" s="2" t="s">
        <v>37244</v>
      </c>
      <c r="C9003" s="2" t="s">
        <v>35705</v>
      </c>
      <c r="D9003" s="2" t="str">
        <f>"408-530-1934"</f>
        <v>408-530-1934</v>
      </c>
      <c r="E9003" s="2" t="s">
        <v>3434</v>
      </c>
      <c r="F9003" s="2" t="s">
        <v>4507</v>
      </c>
      <c r="G9003" s="2" t="str">
        <f>"SR-12039"</f>
        <v>SR-12039</v>
      </c>
      <c r="H9003" s="2" t="s">
        <v>35706</v>
      </c>
      <c r="I9003" s="2" t="s">
        <v>35707</v>
      </c>
      <c r="K9003" s="2" t="s">
        <v>7555</v>
      </c>
      <c r="L9003" s="2" t="s">
        <v>222</v>
      </c>
      <c r="M9003" s="2">
        <v>94087.0</v>
      </c>
      <c r="N9003" s="2" t="s">
        <v>21</v>
      </c>
    </row>
    <row r="9004" ht="15.75" customHeight="1">
      <c r="A9004" s="2">
        <v>2017.0</v>
      </c>
      <c r="B9004" s="2" t="s">
        <v>37245</v>
      </c>
      <c r="C9004" s="2" t="s">
        <v>37246</v>
      </c>
      <c r="D9004" s="2" t="str">
        <f>"703-539-8900"</f>
        <v>703-539-8900</v>
      </c>
      <c r="E9004" s="2" t="s">
        <v>10652</v>
      </c>
      <c r="F9004" s="2" t="s">
        <v>37247</v>
      </c>
      <c r="G9004" s="2" t="str">
        <f>"SR-12048"</f>
        <v>SR-12048</v>
      </c>
      <c r="H9004" s="2" t="s">
        <v>37248</v>
      </c>
      <c r="I9004" s="2" t="s">
        <v>37249</v>
      </c>
      <c r="K9004" s="2" t="s">
        <v>12253</v>
      </c>
      <c r="L9004" s="2" t="s">
        <v>165</v>
      </c>
      <c r="M9004" s="2">
        <v>22182.0</v>
      </c>
      <c r="N9004" s="2" t="s">
        <v>21</v>
      </c>
    </row>
    <row r="9005" ht="15.75" customHeight="1">
      <c r="A9005" s="2">
        <v>2017.0</v>
      </c>
      <c r="B9005" s="2" t="s">
        <v>8374</v>
      </c>
      <c r="C9005" s="2" t="s">
        <v>37250</v>
      </c>
      <c r="D9005" s="2" t="str">
        <f>"2109046884"</f>
        <v>2109046884</v>
      </c>
      <c r="E9005" s="2" t="s">
        <v>37251</v>
      </c>
      <c r="F9005" s="2" t="s">
        <v>8375</v>
      </c>
      <c r="G9005" s="2" t="str">
        <f>"SR-12027"</f>
        <v>SR-12027</v>
      </c>
      <c r="H9005" s="2" t="s">
        <v>37252</v>
      </c>
      <c r="I9005" s="2" t="s">
        <v>37253</v>
      </c>
      <c r="J9005" s="2" t="s">
        <v>37254</v>
      </c>
      <c r="K9005" s="2" t="s">
        <v>632</v>
      </c>
      <c r="L9005" s="2" t="s">
        <v>172</v>
      </c>
      <c r="M9005" s="2">
        <v>78258.0</v>
      </c>
      <c r="N9005" s="2" t="s">
        <v>21</v>
      </c>
    </row>
    <row r="9006" ht="15.75" customHeight="1">
      <c r="A9006" s="2">
        <v>2017.0</v>
      </c>
      <c r="B9006" s="2" t="s">
        <v>8374</v>
      </c>
      <c r="C9006" s="2" t="s">
        <v>37255</v>
      </c>
      <c r="D9006" s="2" t="str">
        <f>"2104280655"</f>
        <v>2104280655</v>
      </c>
      <c r="E9006" s="2" t="s">
        <v>908</v>
      </c>
      <c r="F9006" s="2" t="s">
        <v>8375</v>
      </c>
      <c r="G9006" s="2" t="str">
        <f>"SR-12040"</f>
        <v>SR-12040</v>
      </c>
      <c r="H9006" s="2" t="s">
        <v>37256</v>
      </c>
      <c r="I9006" s="2" t="s">
        <v>37257</v>
      </c>
      <c r="K9006" s="2" t="s">
        <v>632</v>
      </c>
      <c r="L9006" s="2" t="s">
        <v>172</v>
      </c>
      <c r="M9006" s="2">
        <v>78260.0</v>
      </c>
      <c r="N9006" s="2" t="s">
        <v>21</v>
      </c>
    </row>
    <row r="9007" ht="15.75" customHeight="1">
      <c r="A9007" s="2">
        <v>2017.0</v>
      </c>
      <c r="B9007" s="2" t="s">
        <v>37258</v>
      </c>
      <c r="C9007" s="2" t="s">
        <v>37259</v>
      </c>
      <c r="D9007" s="2" t="str">
        <f>"7197993010"</f>
        <v>7197993010</v>
      </c>
      <c r="E9007" s="2" t="s">
        <v>2089</v>
      </c>
      <c r="F9007" s="2" t="s">
        <v>24563</v>
      </c>
      <c r="G9007" s="2" t="str">
        <f>"SR-12049"</f>
        <v>SR-12049</v>
      </c>
      <c r="H9007" s="2" t="s">
        <v>37260</v>
      </c>
      <c r="I9007" s="2" t="s">
        <v>37261</v>
      </c>
      <c r="K9007" s="2" t="s">
        <v>809</v>
      </c>
      <c r="L9007" s="2" t="s">
        <v>157</v>
      </c>
      <c r="M9007" s="2">
        <v>80907.0</v>
      </c>
      <c r="N9007" s="2" t="s">
        <v>21</v>
      </c>
    </row>
    <row r="9008" ht="15.75" customHeight="1">
      <c r="A9008" s="2">
        <v>2017.0</v>
      </c>
      <c r="B9008" s="2" t="s">
        <v>6887</v>
      </c>
      <c r="C9008" s="2" t="s">
        <v>37262</v>
      </c>
      <c r="D9008" s="2" t="str">
        <f>"719-494-1938"</f>
        <v>719-494-1938</v>
      </c>
      <c r="E9008" s="2" t="s">
        <v>10152</v>
      </c>
      <c r="F9008" s="2" t="s">
        <v>6889</v>
      </c>
      <c r="G9008" s="2" t="str">
        <f>"SR-9267"</f>
        <v>SR-9267</v>
      </c>
      <c r="H9008" s="2" t="s">
        <v>37263</v>
      </c>
      <c r="I9008" s="2" t="s">
        <v>6891</v>
      </c>
      <c r="K9008" s="2" t="s">
        <v>312</v>
      </c>
      <c r="L9008" s="2" t="s">
        <v>157</v>
      </c>
      <c r="M9008" s="2">
        <v>80106.0</v>
      </c>
      <c r="N9008" s="2" t="s">
        <v>21</v>
      </c>
    </row>
    <row r="9009" ht="15.75" customHeight="1">
      <c r="A9009" s="2">
        <v>2017.0</v>
      </c>
      <c r="B9009" s="2" t="s">
        <v>37264</v>
      </c>
      <c r="C9009" s="2" t="s">
        <v>37265</v>
      </c>
      <c r="D9009" s="2" t="str">
        <f>"(505)916-6671"</f>
        <v>(505)916-6671</v>
      </c>
      <c r="E9009" s="2" t="s">
        <v>23077</v>
      </c>
      <c r="F9009" s="2" t="s">
        <v>22034</v>
      </c>
      <c r="G9009" s="2" t="str">
        <f>"SR-12059"</f>
        <v>SR-12059</v>
      </c>
      <c r="H9009" s="2" t="s">
        <v>37266</v>
      </c>
      <c r="I9009" s="2" t="s">
        <v>37267</v>
      </c>
      <c r="K9009" s="2" t="s">
        <v>14298</v>
      </c>
      <c r="L9009" s="2" t="s">
        <v>789</v>
      </c>
      <c r="M9009" s="2">
        <v>87031.0</v>
      </c>
      <c r="N9009" s="2" t="s">
        <v>21</v>
      </c>
    </row>
    <row r="9010" ht="15.75" customHeight="1">
      <c r="A9010" s="2">
        <v>2017.0</v>
      </c>
      <c r="B9010" s="2" t="s">
        <v>37268</v>
      </c>
      <c r="C9010" s="2" t="s">
        <v>37268</v>
      </c>
      <c r="D9010" s="2" t="str">
        <f>"7196714583"</f>
        <v>7196714583</v>
      </c>
      <c r="E9010" s="2" t="s">
        <v>1554</v>
      </c>
      <c r="F9010" s="2" t="s">
        <v>37269</v>
      </c>
      <c r="G9010" s="2" t="str">
        <f>"SR-12060"</f>
        <v>SR-12060</v>
      </c>
      <c r="H9010" s="2" t="s">
        <v>37270</v>
      </c>
      <c r="I9010" s="2" t="s">
        <v>37271</v>
      </c>
      <c r="K9010" s="2" t="s">
        <v>10431</v>
      </c>
      <c r="L9010" s="2" t="s">
        <v>157</v>
      </c>
      <c r="M9010" s="2">
        <v>81226.0</v>
      </c>
      <c r="N9010" s="2" t="s">
        <v>21</v>
      </c>
    </row>
    <row r="9011" ht="15.75" customHeight="1">
      <c r="A9011" s="2">
        <v>2017.0</v>
      </c>
      <c r="B9011" s="2" t="s">
        <v>37272</v>
      </c>
      <c r="C9011" s="2" t="s">
        <v>37273</v>
      </c>
      <c r="D9011" s="2" t="str">
        <f>"775-433-5737"</f>
        <v>775-433-5737</v>
      </c>
      <c r="E9011" s="2" t="s">
        <v>12256</v>
      </c>
      <c r="F9011" s="2" t="s">
        <v>37274</v>
      </c>
      <c r="G9011" s="2" t="str">
        <f>"SR-12067"</f>
        <v>SR-12067</v>
      </c>
      <c r="H9011" s="2" t="s">
        <v>37275</v>
      </c>
      <c r="I9011" s="2" t="s">
        <v>37276</v>
      </c>
      <c r="K9011" s="2" t="s">
        <v>37277</v>
      </c>
      <c r="L9011" s="2" t="s">
        <v>1419</v>
      </c>
      <c r="M9011" s="2">
        <v>89419.0</v>
      </c>
      <c r="N9011" s="2" t="s">
        <v>21</v>
      </c>
    </row>
    <row r="9012" ht="15.75" customHeight="1">
      <c r="A9012" s="2">
        <v>2018.0</v>
      </c>
      <c r="B9012" s="2" t="s">
        <v>37278</v>
      </c>
      <c r="D9012" s="2" t="str">
        <f>""</f>
        <v/>
      </c>
      <c r="E9012" s="2" t="s">
        <v>2243</v>
      </c>
      <c r="F9012" s="2" t="s">
        <v>37279</v>
      </c>
      <c r="G9012" s="2" t="str">
        <f>"SR-12715"</f>
        <v>SR-12715</v>
      </c>
      <c r="H9012" s="2" t="s">
        <v>37280</v>
      </c>
    </row>
    <row r="9013" ht="15.75" customHeight="1">
      <c r="A9013" s="2">
        <v>2018.0</v>
      </c>
      <c r="B9013" s="2" t="s">
        <v>37281</v>
      </c>
      <c r="C9013" s="2" t="s">
        <v>37282</v>
      </c>
      <c r="D9013" s="2" t="str">
        <f>"214-673-0979"</f>
        <v>214-673-0979</v>
      </c>
      <c r="E9013" s="2" t="s">
        <v>705</v>
      </c>
      <c r="F9013" s="2" t="s">
        <v>37283</v>
      </c>
      <c r="G9013" s="2" t="str">
        <f>"SR-12719"</f>
        <v>SR-12719</v>
      </c>
      <c r="H9013" s="2" t="s">
        <v>37284</v>
      </c>
      <c r="I9013" s="2" t="s">
        <v>37285</v>
      </c>
      <c r="K9013" s="2" t="s">
        <v>1255</v>
      </c>
      <c r="L9013" s="2" t="s">
        <v>172</v>
      </c>
      <c r="M9013" s="2">
        <v>75225.0</v>
      </c>
      <c r="N9013" s="2" t="s">
        <v>21</v>
      </c>
    </row>
    <row r="9014" ht="15.75" customHeight="1">
      <c r="A9014" s="2">
        <v>2018.0</v>
      </c>
      <c r="B9014" s="2" t="s">
        <v>37286</v>
      </c>
      <c r="C9014" s="2" t="s">
        <v>37286</v>
      </c>
      <c r="D9014" s="2" t="str">
        <f>"4077908493"</f>
        <v>4077908493</v>
      </c>
      <c r="E9014" s="2" t="s">
        <v>16886</v>
      </c>
      <c r="F9014" s="2" t="s">
        <v>26572</v>
      </c>
      <c r="G9014" s="2" t="str">
        <f>"SR-12720"</f>
        <v>SR-12720</v>
      </c>
      <c r="H9014" s="2" t="s">
        <v>37287</v>
      </c>
      <c r="I9014" s="2" t="s">
        <v>37288</v>
      </c>
      <c r="K9014" s="2" t="s">
        <v>37289</v>
      </c>
      <c r="L9014" s="2" t="s">
        <v>208</v>
      </c>
      <c r="M9014" s="2">
        <v>32751.0</v>
      </c>
      <c r="N9014" s="2" t="s">
        <v>21</v>
      </c>
    </row>
    <row r="9015" ht="15.75" customHeight="1">
      <c r="A9015" s="2">
        <v>2018.0</v>
      </c>
      <c r="B9015" s="2" t="s">
        <v>37290</v>
      </c>
      <c r="D9015" s="2" t="str">
        <f>""</f>
        <v/>
      </c>
      <c r="E9015" s="2" t="s">
        <v>590</v>
      </c>
      <c r="F9015" s="2" t="s">
        <v>35050</v>
      </c>
      <c r="G9015" s="2" t="str">
        <f>"SR-12721"</f>
        <v>SR-12721</v>
      </c>
      <c r="H9015" s="2" t="s">
        <v>37291</v>
      </c>
      <c r="N9015" s="2" t="s">
        <v>21</v>
      </c>
    </row>
    <row r="9016" ht="15.75" customHeight="1">
      <c r="A9016" s="2">
        <v>2018.0</v>
      </c>
      <c r="B9016" s="2" t="s">
        <v>37292</v>
      </c>
      <c r="C9016" s="2" t="s">
        <v>37292</v>
      </c>
      <c r="D9016" s="2" t="str">
        <f>"8055504573"</f>
        <v>8055504573</v>
      </c>
      <c r="E9016" s="2" t="s">
        <v>301</v>
      </c>
      <c r="F9016" s="2" t="s">
        <v>17924</v>
      </c>
      <c r="G9016" s="2" t="str">
        <f>"SR-12722"</f>
        <v>SR-12722</v>
      </c>
      <c r="H9016" s="2" t="s">
        <v>37293</v>
      </c>
      <c r="I9016" s="2" t="s">
        <v>17926</v>
      </c>
      <c r="K9016" s="2" t="s">
        <v>13810</v>
      </c>
      <c r="L9016" s="2" t="s">
        <v>222</v>
      </c>
      <c r="M9016" s="2">
        <v>93401.0</v>
      </c>
      <c r="N9016" s="2" t="s">
        <v>21</v>
      </c>
    </row>
    <row r="9017" ht="15.75" customHeight="1">
      <c r="A9017" s="2">
        <v>2018.0</v>
      </c>
      <c r="B9017" s="2" t="s">
        <v>37294</v>
      </c>
      <c r="C9017" s="2" t="s">
        <v>37294</v>
      </c>
      <c r="D9017" s="2" t="str">
        <f>"360-425-5522"</f>
        <v>360-425-5522</v>
      </c>
      <c r="E9017" s="2" t="s">
        <v>37295</v>
      </c>
      <c r="F9017" s="2" t="s">
        <v>37296</v>
      </c>
      <c r="G9017" s="2" t="str">
        <f>"SR-12723"</f>
        <v>SR-12723</v>
      </c>
      <c r="H9017" s="2" t="s">
        <v>37297</v>
      </c>
      <c r="I9017" s="2" t="s">
        <v>37298</v>
      </c>
      <c r="K9017" s="2" t="s">
        <v>6615</v>
      </c>
      <c r="L9017" s="2" t="s">
        <v>86</v>
      </c>
      <c r="M9017" s="2">
        <v>98274.0</v>
      </c>
      <c r="N9017" s="2" t="s">
        <v>21</v>
      </c>
    </row>
    <row r="9018" ht="15.75" customHeight="1">
      <c r="A9018" s="2">
        <v>2018.0</v>
      </c>
      <c r="B9018" s="2" t="s">
        <v>37299</v>
      </c>
      <c r="C9018" s="2" t="s">
        <v>37299</v>
      </c>
      <c r="D9018" s="2" t="str">
        <f>"360-422-5551"</f>
        <v>360-422-5551</v>
      </c>
      <c r="E9018" s="2" t="s">
        <v>37300</v>
      </c>
      <c r="F9018" s="2" t="s">
        <v>37301</v>
      </c>
      <c r="G9018" s="2" t="str">
        <f>"SR-12724"</f>
        <v>SR-12724</v>
      </c>
      <c r="H9018" s="2" t="s">
        <v>37302</v>
      </c>
      <c r="I9018" s="2" t="s">
        <v>37303</v>
      </c>
      <c r="K9018" s="2" t="s">
        <v>6615</v>
      </c>
      <c r="L9018" s="2" t="s">
        <v>86</v>
      </c>
      <c r="M9018" s="2">
        <v>98274.0</v>
      </c>
      <c r="N9018" s="2" t="s">
        <v>21</v>
      </c>
    </row>
    <row r="9019" ht="15.75" customHeight="1">
      <c r="A9019" s="2">
        <v>2018.0</v>
      </c>
      <c r="B9019" s="2" t="s">
        <v>37304</v>
      </c>
      <c r="C9019" s="2" t="s">
        <v>37304</v>
      </c>
      <c r="D9019" s="2" t="str">
        <f>"(806) 632-9972"</f>
        <v>(806) 632-9972</v>
      </c>
      <c r="E9019" s="2" t="s">
        <v>14422</v>
      </c>
      <c r="F9019" s="2" t="s">
        <v>8868</v>
      </c>
      <c r="G9019" s="2" t="str">
        <f>"SR-12727"</f>
        <v>SR-12727</v>
      </c>
      <c r="H9019" s="2" t="s">
        <v>37305</v>
      </c>
      <c r="I9019" s="2" t="s">
        <v>37306</v>
      </c>
      <c r="K9019" s="2" t="s">
        <v>1121</v>
      </c>
      <c r="L9019" s="2" t="s">
        <v>172</v>
      </c>
      <c r="M9019" s="2">
        <v>79423.0</v>
      </c>
      <c r="N9019" s="2" t="s">
        <v>21</v>
      </c>
    </row>
    <row r="9020" ht="15.75" customHeight="1">
      <c r="A9020" s="2">
        <v>2018.0</v>
      </c>
      <c r="B9020" s="2" t="s">
        <v>37307</v>
      </c>
      <c r="C9020" s="2" t="s">
        <v>37308</v>
      </c>
      <c r="D9020" s="2" t="str">
        <f>"901-305-3785"</f>
        <v>901-305-3785</v>
      </c>
      <c r="E9020" s="2" t="s">
        <v>7145</v>
      </c>
      <c r="F9020" s="2" t="s">
        <v>37309</v>
      </c>
      <c r="G9020" s="2" t="str">
        <f>"SR-12730"</f>
        <v>SR-12730</v>
      </c>
      <c r="H9020" s="2" t="s">
        <v>37310</v>
      </c>
      <c r="I9020" s="2" t="s">
        <v>37311</v>
      </c>
      <c r="K9020" s="2" t="s">
        <v>5519</v>
      </c>
      <c r="L9020" s="2" t="s">
        <v>279</v>
      </c>
      <c r="M9020" s="2">
        <v>38119.0</v>
      </c>
      <c r="N9020" s="2" t="s">
        <v>21</v>
      </c>
    </row>
    <row r="9021" ht="15.75" customHeight="1">
      <c r="A9021" s="2">
        <v>2018.0</v>
      </c>
      <c r="B9021" s="2" t="s">
        <v>37312</v>
      </c>
      <c r="C9021" s="2" t="s">
        <v>37312</v>
      </c>
      <c r="D9021" s="2" t="str">
        <f>"719-265-5764"</f>
        <v>719-265-5764</v>
      </c>
      <c r="E9021" s="2" t="s">
        <v>20541</v>
      </c>
      <c r="F9021" s="2" t="s">
        <v>16188</v>
      </c>
      <c r="G9021" s="2" t="str">
        <f>"SR-12725"</f>
        <v>SR-12725</v>
      </c>
      <c r="H9021" s="2" t="s">
        <v>37313</v>
      </c>
      <c r="I9021" s="2" t="s">
        <v>16190</v>
      </c>
      <c r="K9021" s="2" t="s">
        <v>809</v>
      </c>
      <c r="L9021" s="2" t="s">
        <v>157</v>
      </c>
      <c r="M9021" s="2">
        <v>80920.0</v>
      </c>
      <c r="N9021" s="2" t="s">
        <v>21</v>
      </c>
    </row>
    <row r="9022" ht="15.75" customHeight="1">
      <c r="A9022" s="2">
        <v>2018.0</v>
      </c>
      <c r="B9022" s="2" t="s">
        <v>37314</v>
      </c>
      <c r="C9022" s="2" t="s">
        <v>37314</v>
      </c>
      <c r="D9022" s="2" t="str">
        <f>"9077507979"</f>
        <v>9077507979</v>
      </c>
      <c r="E9022" s="2" t="s">
        <v>1094</v>
      </c>
      <c r="F9022" s="2" t="s">
        <v>37315</v>
      </c>
      <c r="G9022" s="2" t="str">
        <f>"SR-12728"</f>
        <v>SR-12728</v>
      </c>
      <c r="H9022" s="2" t="s">
        <v>37316</v>
      </c>
      <c r="I9022" s="2" t="s">
        <v>37317</v>
      </c>
      <c r="K9022" s="2" t="s">
        <v>5329</v>
      </c>
      <c r="L9022" s="2" t="s">
        <v>70</v>
      </c>
      <c r="M9022" s="2">
        <v>99712.0</v>
      </c>
      <c r="N9022" s="2" t="s">
        <v>21</v>
      </c>
    </row>
    <row r="9023" ht="15.75" customHeight="1">
      <c r="A9023" s="2">
        <v>2018.0</v>
      </c>
      <c r="B9023" s="2" t="s">
        <v>37318</v>
      </c>
      <c r="C9023" s="2" t="s">
        <v>37318</v>
      </c>
      <c r="D9023" s="2" t="str">
        <f>"7132990040"</f>
        <v>7132990040</v>
      </c>
      <c r="E9023" s="2" t="s">
        <v>678</v>
      </c>
      <c r="F9023" s="2" t="s">
        <v>27950</v>
      </c>
      <c r="G9023" s="2" t="str">
        <f>"SR-12731"</f>
        <v>SR-12731</v>
      </c>
      <c r="H9023" s="2" t="s">
        <v>37319</v>
      </c>
      <c r="I9023" s="2" t="s">
        <v>37320</v>
      </c>
      <c r="K9023" s="2" t="s">
        <v>9614</v>
      </c>
      <c r="L9023" s="2" t="s">
        <v>172</v>
      </c>
      <c r="M9023" s="2">
        <v>77384.0</v>
      </c>
      <c r="N9023" s="2" t="s">
        <v>21</v>
      </c>
    </row>
    <row r="9024" ht="15.75" customHeight="1">
      <c r="A9024" s="2">
        <v>2018.0</v>
      </c>
      <c r="B9024" s="2" t="s">
        <v>37321</v>
      </c>
      <c r="C9024" s="2" t="s">
        <v>31871</v>
      </c>
      <c r="D9024" s="2" t="str">
        <f>"225-424-9677"</f>
        <v>225-424-9677</v>
      </c>
      <c r="E9024" s="2" t="s">
        <v>1150</v>
      </c>
      <c r="F9024" s="2" t="s">
        <v>31872</v>
      </c>
      <c r="G9024" s="2" t="str">
        <f>"SR-12732"</f>
        <v>SR-12732</v>
      </c>
      <c r="H9024" s="2" t="s">
        <v>37322</v>
      </c>
      <c r="I9024" s="2" t="s">
        <v>31874</v>
      </c>
      <c r="K9024" s="2" t="s">
        <v>31875</v>
      </c>
      <c r="L9024" s="2" t="s">
        <v>715</v>
      </c>
      <c r="M9024" s="2">
        <v>70775.0</v>
      </c>
      <c r="N9024" s="2" t="s">
        <v>21</v>
      </c>
    </row>
    <row r="9025" ht="15.75" customHeight="1">
      <c r="A9025" s="2">
        <v>2018.0</v>
      </c>
      <c r="B9025" s="2" t="s">
        <v>37323</v>
      </c>
      <c r="C9025" s="2" t="s">
        <v>37323</v>
      </c>
      <c r="D9025" s="2" t="str">
        <f>"4808926587"</f>
        <v>4808926587</v>
      </c>
      <c r="E9025" s="2" t="s">
        <v>1548</v>
      </c>
      <c r="F9025" s="2" t="s">
        <v>6681</v>
      </c>
      <c r="G9025" s="2" t="str">
        <f>"SR-12733"</f>
        <v>SR-12733</v>
      </c>
      <c r="H9025" s="2" t="s">
        <v>37324</v>
      </c>
      <c r="I9025" s="2" t="s">
        <v>20512</v>
      </c>
      <c r="K9025" s="2" t="s">
        <v>4675</v>
      </c>
      <c r="L9025" s="2" t="s">
        <v>422</v>
      </c>
      <c r="M9025" s="2">
        <v>85234.0</v>
      </c>
      <c r="N9025" s="2" t="s">
        <v>21</v>
      </c>
    </row>
    <row r="9026" ht="15.75" customHeight="1">
      <c r="A9026" s="2">
        <v>2018.0</v>
      </c>
      <c r="B9026" s="2" t="s">
        <v>24902</v>
      </c>
      <c r="C9026" s="2" t="s">
        <v>24902</v>
      </c>
      <c r="D9026" s="2" t="str">
        <f t="shared" ref="D9026:D9027" si="138">"248-573-5300"</f>
        <v>248-573-5300</v>
      </c>
      <c r="E9026" s="2" t="s">
        <v>2361</v>
      </c>
      <c r="F9026" s="2" t="s">
        <v>2537</v>
      </c>
      <c r="G9026" s="2" t="str">
        <f>"SR-12735"</f>
        <v>SR-12735</v>
      </c>
      <c r="H9026" s="2" t="s">
        <v>37325</v>
      </c>
      <c r="I9026" s="2" t="s">
        <v>2539</v>
      </c>
      <c r="K9026" s="2" t="s">
        <v>2540</v>
      </c>
      <c r="L9026" s="2" t="s">
        <v>29</v>
      </c>
      <c r="M9026" s="2">
        <v>48178.0</v>
      </c>
      <c r="N9026" s="2" t="s">
        <v>21</v>
      </c>
    </row>
    <row r="9027" ht="15.75" customHeight="1">
      <c r="A9027" s="2">
        <v>2018.0</v>
      </c>
      <c r="B9027" s="2" t="s">
        <v>24902</v>
      </c>
      <c r="C9027" s="2" t="s">
        <v>24902</v>
      </c>
      <c r="D9027" s="2" t="str">
        <f t="shared" si="138"/>
        <v>248-573-5300</v>
      </c>
      <c r="E9027" s="2" t="s">
        <v>1263</v>
      </c>
      <c r="F9027" s="2" t="s">
        <v>2537</v>
      </c>
      <c r="G9027" s="2" t="str">
        <f>"SR-12734"</f>
        <v>SR-12734</v>
      </c>
      <c r="H9027" s="2" t="s">
        <v>37326</v>
      </c>
      <c r="I9027" s="2" t="s">
        <v>2539</v>
      </c>
      <c r="K9027" s="2" t="s">
        <v>2540</v>
      </c>
      <c r="L9027" s="2" t="s">
        <v>29</v>
      </c>
      <c r="M9027" s="2">
        <v>48178.0</v>
      </c>
      <c r="N9027" s="2" t="s">
        <v>21</v>
      </c>
    </row>
    <row r="9028" ht="15.75" customHeight="1">
      <c r="A9028" s="2">
        <v>2018.0</v>
      </c>
      <c r="B9028" s="2" t="s">
        <v>37327</v>
      </c>
      <c r="C9028" s="2" t="s">
        <v>37327</v>
      </c>
      <c r="D9028" s="2" t="str">
        <f>"4067941704"</f>
        <v>4067941704</v>
      </c>
      <c r="E9028" s="2" t="s">
        <v>37328</v>
      </c>
      <c r="F9028" s="2" t="s">
        <v>15242</v>
      </c>
      <c r="G9028" s="2" t="str">
        <f>"SR-12736"</f>
        <v>SR-12736</v>
      </c>
      <c r="H9028" s="2" t="s">
        <v>37329</v>
      </c>
      <c r="I9028" s="2" t="s">
        <v>37330</v>
      </c>
      <c r="K9028" s="2" t="s">
        <v>3548</v>
      </c>
      <c r="L9028" s="2" t="s">
        <v>2696</v>
      </c>
      <c r="M9028" s="2">
        <v>59105.0</v>
      </c>
      <c r="N9028" s="2" t="s">
        <v>21</v>
      </c>
    </row>
    <row r="9029" ht="15.75" customHeight="1">
      <c r="A9029" s="2">
        <v>2018.0</v>
      </c>
      <c r="B9029" s="2" t="s">
        <v>37331</v>
      </c>
      <c r="C9029" s="2" t="s">
        <v>37331</v>
      </c>
      <c r="D9029" s="2" t="str">
        <f>"253-432-4032"</f>
        <v>253-432-4032</v>
      </c>
      <c r="E9029" s="2" t="s">
        <v>4604</v>
      </c>
      <c r="F9029" s="2" t="s">
        <v>37332</v>
      </c>
      <c r="G9029" s="2" t="str">
        <f>"SR-12737"</f>
        <v>SR-12737</v>
      </c>
      <c r="H9029" s="2" t="s">
        <v>37333</v>
      </c>
      <c r="I9029" s="2" t="s">
        <v>37334</v>
      </c>
      <c r="K9029" s="2" t="s">
        <v>37335</v>
      </c>
      <c r="L9029" s="2" t="s">
        <v>86</v>
      </c>
      <c r="M9029" s="2">
        <v>98332.0</v>
      </c>
      <c r="N9029" s="2" t="s">
        <v>21</v>
      </c>
    </row>
    <row r="9030" ht="15.75" customHeight="1">
      <c r="A9030" s="2">
        <v>2018.0</v>
      </c>
      <c r="B9030" s="2" t="s">
        <v>37336</v>
      </c>
      <c r="C9030" s="2" t="s">
        <v>37337</v>
      </c>
      <c r="D9030" s="2" t="str">
        <f>"6415211814"</f>
        <v>6415211814</v>
      </c>
      <c r="E9030" s="2" t="s">
        <v>1450</v>
      </c>
      <c r="F9030" s="2" t="s">
        <v>37338</v>
      </c>
      <c r="G9030" s="2" t="str">
        <f>"SR-12742"</f>
        <v>SR-12742</v>
      </c>
      <c r="H9030" s="2" t="s">
        <v>37339</v>
      </c>
      <c r="I9030" s="2" t="s">
        <v>37340</v>
      </c>
      <c r="K9030" s="2" t="s">
        <v>37341</v>
      </c>
      <c r="L9030" s="2" t="s">
        <v>560</v>
      </c>
      <c r="M9030" s="2">
        <v>50028.0</v>
      </c>
      <c r="N9030" s="2" t="s">
        <v>21</v>
      </c>
    </row>
    <row r="9031" ht="15.75" customHeight="1">
      <c r="A9031" s="2">
        <v>2018.0</v>
      </c>
      <c r="B9031" s="2" t="s">
        <v>37342</v>
      </c>
      <c r="C9031" s="2" t="s">
        <v>37343</v>
      </c>
      <c r="D9031" s="2" t="str">
        <f>"972-966-3959"</f>
        <v>972-966-3959</v>
      </c>
      <c r="E9031" s="2" t="s">
        <v>453</v>
      </c>
      <c r="F9031" s="2" t="s">
        <v>37344</v>
      </c>
      <c r="G9031" s="2" t="str">
        <f>"SR-12741"</f>
        <v>SR-12741</v>
      </c>
      <c r="H9031" s="2" t="s">
        <v>37345</v>
      </c>
      <c r="I9031" s="2" t="s">
        <v>37346</v>
      </c>
      <c r="K9031" s="2" t="s">
        <v>37347</v>
      </c>
      <c r="L9031" s="2" t="s">
        <v>172</v>
      </c>
      <c r="M9031" s="2">
        <v>75077.0</v>
      </c>
      <c r="N9031" s="2" t="s">
        <v>21</v>
      </c>
    </row>
    <row r="9032" ht="15.75" customHeight="1">
      <c r="A9032" s="2">
        <v>2018.0</v>
      </c>
      <c r="B9032" s="2" t="s">
        <v>37348</v>
      </c>
      <c r="C9032" s="2" t="s">
        <v>37349</v>
      </c>
      <c r="D9032" s="2" t="str">
        <f>"218-855-1380"</f>
        <v>218-855-1380</v>
      </c>
      <c r="E9032" s="2" t="s">
        <v>10236</v>
      </c>
      <c r="F9032" s="2" t="s">
        <v>8171</v>
      </c>
      <c r="G9032" s="2" t="str">
        <f>"SR-12744"</f>
        <v>SR-12744</v>
      </c>
      <c r="H9032" s="2" t="s">
        <v>37350</v>
      </c>
      <c r="I9032" s="2" t="s">
        <v>37351</v>
      </c>
      <c r="K9032" s="2" t="s">
        <v>8646</v>
      </c>
      <c r="L9032" s="2" t="s">
        <v>62</v>
      </c>
      <c r="M9032" s="2">
        <v>56425.0</v>
      </c>
      <c r="N9032" s="2" t="s">
        <v>21</v>
      </c>
    </row>
    <row r="9033" ht="15.75" customHeight="1">
      <c r="A9033" s="2">
        <v>2018.0</v>
      </c>
      <c r="B9033" s="2" t="s">
        <v>37352</v>
      </c>
      <c r="C9033" s="2" t="s">
        <v>37353</v>
      </c>
      <c r="D9033" s="2" t="str">
        <f t="shared" ref="D9033:D9034" si="139">"316-665-4408"</f>
        <v>316-665-4408</v>
      </c>
      <c r="E9033" s="2" t="s">
        <v>2752</v>
      </c>
      <c r="F9033" s="2" t="s">
        <v>37354</v>
      </c>
      <c r="G9033" s="2" t="str">
        <f>"SR-12740"</f>
        <v>SR-12740</v>
      </c>
      <c r="H9033" s="2" t="s">
        <v>37355</v>
      </c>
      <c r="I9033" s="2" t="s">
        <v>37356</v>
      </c>
      <c r="J9033" s="2" t="s">
        <v>37357</v>
      </c>
      <c r="K9033" s="2" t="s">
        <v>606</v>
      </c>
      <c r="L9033" s="2" t="s">
        <v>272</v>
      </c>
      <c r="M9033" s="2">
        <v>67212.0</v>
      </c>
      <c r="N9033" s="2" t="s">
        <v>21</v>
      </c>
    </row>
    <row r="9034" ht="15.75" customHeight="1">
      <c r="A9034" s="2">
        <v>2018.0</v>
      </c>
      <c r="B9034" s="2" t="s">
        <v>37352</v>
      </c>
      <c r="C9034" s="2" t="s">
        <v>37358</v>
      </c>
      <c r="D9034" s="2" t="str">
        <f t="shared" si="139"/>
        <v>316-665-4408</v>
      </c>
      <c r="E9034" s="2" t="s">
        <v>843</v>
      </c>
      <c r="F9034" s="2" t="s">
        <v>37354</v>
      </c>
      <c r="G9034" s="2" t="str">
        <f>"SR-12739"</f>
        <v>SR-12739</v>
      </c>
      <c r="H9034" s="2" t="s">
        <v>37359</v>
      </c>
      <c r="I9034" s="2" t="s">
        <v>37360</v>
      </c>
      <c r="K9034" s="2" t="s">
        <v>1026</v>
      </c>
      <c r="L9034" s="2" t="s">
        <v>272</v>
      </c>
      <c r="M9034" s="2">
        <v>67037.0</v>
      </c>
      <c r="N9034" s="2" t="s">
        <v>21</v>
      </c>
    </row>
    <row r="9035" ht="15.75" customHeight="1">
      <c r="A9035" s="2">
        <v>2018.0</v>
      </c>
      <c r="B9035" s="2" t="s">
        <v>37361</v>
      </c>
      <c r="C9035" s="2" t="s">
        <v>37362</v>
      </c>
      <c r="D9035" s="2" t="str">
        <f>"7193298769"</f>
        <v>7193298769</v>
      </c>
      <c r="E9035" s="2" t="s">
        <v>485</v>
      </c>
      <c r="F9035" s="2" t="s">
        <v>37363</v>
      </c>
      <c r="G9035" s="2" t="str">
        <f>"SR-12745"</f>
        <v>SR-12745</v>
      </c>
      <c r="H9035" s="2" t="s">
        <v>37364</v>
      </c>
      <c r="I9035" s="2" t="s">
        <v>37365</v>
      </c>
      <c r="K9035" s="2" t="s">
        <v>809</v>
      </c>
      <c r="L9035" s="2" t="s">
        <v>157</v>
      </c>
      <c r="M9035" s="2">
        <v>80908.0</v>
      </c>
      <c r="N9035" s="2" t="s">
        <v>21</v>
      </c>
    </row>
    <row r="9036" ht="15.75" customHeight="1">
      <c r="A9036" s="2">
        <v>2018.0</v>
      </c>
      <c r="B9036" s="2" t="s">
        <v>37366</v>
      </c>
      <c r="C9036" s="2" t="s">
        <v>37366</v>
      </c>
      <c r="D9036" s="2" t="str">
        <f>"8326969903"</f>
        <v>8326969903</v>
      </c>
      <c r="E9036" s="2" t="s">
        <v>2083</v>
      </c>
      <c r="F9036" s="2" t="s">
        <v>639</v>
      </c>
      <c r="G9036" s="2" t="str">
        <f>"SR-12749"</f>
        <v>SR-12749</v>
      </c>
      <c r="H9036" s="2" t="s">
        <v>37367</v>
      </c>
      <c r="I9036" s="2" t="s">
        <v>37368</v>
      </c>
      <c r="K9036" s="2" t="s">
        <v>444</v>
      </c>
      <c r="L9036" s="2" t="s">
        <v>172</v>
      </c>
      <c r="M9036" s="2">
        <v>77018.0</v>
      </c>
      <c r="N9036" s="2" t="s">
        <v>21</v>
      </c>
    </row>
    <row r="9037" ht="15.75" customHeight="1">
      <c r="A9037" s="2">
        <v>2018.0</v>
      </c>
      <c r="B9037" s="2" t="s">
        <v>37369</v>
      </c>
      <c r="C9037" s="2" t="s">
        <v>37369</v>
      </c>
      <c r="D9037" s="2" t="str">
        <f>"7193388725"</f>
        <v>7193388725</v>
      </c>
      <c r="E9037" s="2" t="s">
        <v>428</v>
      </c>
      <c r="F9037" s="2" t="s">
        <v>2753</v>
      </c>
      <c r="G9037" s="2" t="str">
        <f>"SR-12750"</f>
        <v>SR-12750</v>
      </c>
      <c r="H9037" s="2" t="s">
        <v>37370</v>
      </c>
      <c r="I9037" s="2" t="s">
        <v>37371</v>
      </c>
      <c r="K9037" s="2" t="s">
        <v>809</v>
      </c>
      <c r="L9037" s="2" t="s">
        <v>157</v>
      </c>
      <c r="M9037" s="2">
        <v>80920.0</v>
      </c>
      <c r="N9037" s="2" t="s">
        <v>21</v>
      </c>
    </row>
    <row r="9038" ht="15.75" customHeight="1">
      <c r="A9038" s="2">
        <v>2018.0</v>
      </c>
      <c r="B9038" s="2" t="s">
        <v>37372</v>
      </c>
      <c r="C9038" s="2" t="s">
        <v>37372</v>
      </c>
      <c r="D9038" s="2" t="str">
        <f>"717-882-6978"</f>
        <v>717-882-6978</v>
      </c>
      <c r="E9038" s="2" t="s">
        <v>37373</v>
      </c>
      <c r="F9038" s="2" t="s">
        <v>17792</v>
      </c>
      <c r="G9038" s="2" t="str">
        <f>"SR-12752"</f>
        <v>SR-12752</v>
      </c>
      <c r="H9038" s="2" t="s">
        <v>37374</v>
      </c>
      <c r="I9038" s="2" t="s">
        <v>17794</v>
      </c>
      <c r="K9038" s="2" t="s">
        <v>17795</v>
      </c>
      <c r="L9038" s="2" t="s">
        <v>179</v>
      </c>
      <c r="M9038" s="2">
        <v>17519.0</v>
      </c>
      <c r="N9038" s="2" t="s">
        <v>21</v>
      </c>
    </row>
    <row r="9039" ht="15.75" customHeight="1">
      <c r="A9039" s="2">
        <v>2018.0</v>
      </c>
      <c r="B9039" s="2" t="s">
        <v>37375</v>
      </c>
      <c r="C9039" s="2" t="s">
        <v>37376</v>
      </c>
      <c r="D9039" s="2" t="str">
        <f>"9403958296"</f>
        <v>9403958296</v>
      </c>
      <c r="E9039" s="2" t="s">
        <v>908</v>
      </c>
      <c r="F9039" s="2" t="s">
        <v>283</v>
      </c>
      <c r="G9039" s="2" t="str">
        <f>"SR-12753"</f>
        <v>SR-12753</v>
      </c>
      <c r="H9039" s="2" t="s">
        <v>37377</v>
      </c>
      <c r="I9039" s="2" t="s">
        <v>37378</v>
      </c>
      <c r="K9039" s="2" t="s">
        <v>6539</v>
      </c>
      <c r="L9039" s="2" t="s">
        <v>172</v>
      </c>
      <c r="M9039" s="2">
        <v>76207.0</v>
      </c>
      <c r="N9039" s="2" t="s">
        <v>21</v>
      </c>
    </row>
    <row r="9040" ht="15.75" customHeight="1">
      <c r="A9040" s="2">
        <v>2018.0</v>
      </c>
      <c r="B9040" s="2" t="s">
        <v>37379</v>
      </c>
      <c r="C9040" s="2" t="s">
        <v>37380</v>
      </c>
      <c r="D9040" s="2" t="str">
        <f>"303-927-9765"</f>
        <v>303-927-9765</v>
      </c>
      <c r="E9040" s="2" t="s">
        <v>659</v>
      </c>
      <c r="F9040" s="2" t="s">
        <v>4098</v>
      </c>
      <c r="G9040" s="2" t="str">
        <f>"SR-12754"</f>
        <v>SR-12754</v>
      </c>
      <c r="H9040" s="2" t="s">
        <v>37381</v>
      </c>
      <c r="I9040" s="2" t="s">
        <v>37382</v>
      </c>
      <c r="K9040" s="2" t="s">
        <v>5632</v>
      </c>
      <c r="L9040" s="2" t="s">
        <v>157</v>
      </c>
      <c r="M9040" s="2">
        <v>80102.0</v>
      </c>
      <c r="N9040" s="2" t="s">
        <v>21</v>
      </c>
    </row>
    <row r="9041" ht="15.75" customHeight="1">
      <c r="A9041" s="2">
        <v>2018.0</v>
      </c>
      <c r="B9041" s="2" t="s">
        <v>37383</v>
      </c>
      <c r="C9041" s="2" t="s">
        <v>37383</v>
      </c>
      <c r="D9041" s="2" t="str">
        <f>"4045471531"</f>
        <v>4045471531</v>
      </c>
      <c r="E9041" s="2" t="s">
        <v>9509</v>
      </c>
      <c r="F9041" s="2" t="s">
        <v>283</v>
      </c>
      <c r="G9041" s="2" t="str">
        <f>"SR-12738"</f>
        <v>SR-12738</v>
      </c>
      <c r="H9041" s="2" t="s">
        <v>37384</v>
      </c>
      <c r="I9041" s="2" t="s">
        <v>37385</v>
      </c>
      <c r="K9041" s="2" t="s">
        <v>13414</v>
      </c>
      <c r="L9041" s="2" t="s">
        <v>200</v>
      </c>
      <c r="M9041" s="2">
        <v>30080.0</v>
      </c>
      <c r="N9041" s="2" t="s">
        <v>21</v>
      </c>
    </row>
    <row r="9042" ht="15.75" customHeight="1">
      <c r="A9042" s="2">
        <v>2018.0</v>
      </c>
      <c r="B9042" s="2" t="s">
        <v>37386</v>
      </c>
      <c r="C9042" s="2" t="s">
        <v>37387</v>
      </c>
      <c r="D9042" s="2" t="str">
        <f>"5127887897"</f>
        <v>5127887897</v>
      </c>
      <c r="E9042" s="2" t="s">
        <v>22484</v>
      </c>
      <c r="F9042" s="2" t="s">
        <v>37388</v>
      </c>
      <c r="G9042" s="2" t="str">
        <f>"SR-12760"</f>
        <v>SR-12760</v>
      </c>
      <c r="H9042" s="2" t="s">
        <v>37389</v>
      </c>
      <c r="I9042" s="2" t="s">
        <v>37390</v>
      </c>
      <c r="K9042" s="2" t="s">
        <v>1141</v>
      </c>
      <c r="L9042" s="2" t="s">
        <v>172</v>
      </c>
      <c r="M9042" s="2">
        <v>78746.0</v>
      </c>
      <c r="N9042" s="2" t="s">
        <v>21</v>
      </c>
    </row>
    <row r="9043" ht="15.75" customHeight="1">
      <c r="A9043" s="2">
        <v>2018.0</v>
      </c>
      <c r="B9043" s="2" t="s">
        <v>37391</v>
      </c>
      <c r="C9043" s="2" t="s">
        <v>37391</v>
      </c>
      <c r="D9043" s="2" t="str">
        <f>"(402)750-7940"</f>
        <v>(402)750-7940</v>
      </c>
      <c r="E9043" s="2" t="s">
        <v>37392</v>
      </c>
      <c r="F9043" s="2" t="s">
        <v>37393</v>
      </c>
      <c r="G9043" s="2" t="str">
        <f>"SR-12759"</f>
        <v>SR-12759</v>
      </c>
      <c r="H9043" s="2" t="s">
        <v>37394</v>
      </c>
      <c r="I9043" s="2" t="s">
        <v>37395</v>
      </c>
      <c r="K9043" s="2" t="s">
        <v>11726</v>
      </c>
      <c r="L9043" s="2" t="s">
        <v>757</v>
      </c>
      <c r="M9043" s="2">
        <v>68701.0</v>
      </c>
      <c r="N9043" s="2" t="s">
        <v>21</v>
      </c>
    </row>
    <row r="9044" ht="15.75" customHeight="1">
      <c r="A9044" s="2">
        <v>2018.0</v>
      </c>
      <c r="B9044" s="2" t="s">
        <v>37396</v>
      </c>
      <c r="C9044" s="2" t="s">
        <v>37397</v>
      </c>
      <c r="D9044" s="2" t="str">
        <f>"6122195517"</f>
        <v>6122195517</v>
      </c>
      <c r="E9044" s="2" t="s">
        <v>28817</v>
      </c>
      <c r="F9044" s="2" t="s">
        <v>25821</v>
      </c>
      <c r="G9044" s="2" t="str">
        <f>"SR-12756"</f>
        <v>SR-12756</v>
      </c>
      <c r="H9044" s="2" t="s">
        <v>37398</v>
      </c>
      <c r="I9044" s="2" t="s">
        <v>37399</v>
      </c>
      <c r="K9044" s="2" t="s">
        <v>538</v>
      </c>
      <c r="L9044" s="2" t="s">
        <v>62</v>
      </c>
      <c r="M9044" s="2">
        <v>56069.0</v>
      </c>
      <c r="N9044" s="2" t="s">
        <v>21</v>
      </c>
    </row>
    <row r="9045" ht="15.75" customHeight="1">
      <c r="A9045" s="2">
        <v>2018.0</v>
      </c>
      <c r="B9045" s="2" t="s">
        <v>37396</v>
      </c>
      <c r="C9045" s="2" t="s">
        <v>37396</v>
      </c>
      <c r="D9045" s="2" t="str">
        <f t="shared" ref="D9045:D9046" si="140">"6127560944"</f>
        <v>6127560944</v>
      </c>
      <c r="E9045" s="2" t="s">
        <v>5667</v>
      </c>
      <c r="F9045" s="2" t="s">
        <v>25821</v>
      </c>
      <c r="G9045" s="2" t="str">
        <f>"SR-12758"</f>
        <v>SR-12758</v>
      </c>
      <c r="H9045" s="2" t="s">
        <v>37400</v>
      </c>
      <c r="I9045" s="2" t="s">
        <v>37399</v>
      </c>
      <c r="K9045" s="2" t="s">
        <v>538</v>
      </c>
      <c r="L9045" s="2" t="s">
        <v>62</v>
      </c>
      <c r="M9045" s="2">
        <v>56069.0</v>
      </c>
      <c r="N9045" s="2" t="s">
        <v>21</v>
      </c>
    </row>
    <row r="9046" ht="15.75" customHeight="1">
      <c r="A9046" s="2">
        <v>2018.0</v>
      </c>
      <c r="B9046" s="2" t="s">
        <v>37396</v>
      </c>
      <c r="C9046" s="2" t="s">
        <v>37396</v>
      </c>
      <c r="D9046" s="2" t="str">
        <f t="shared" si="140"/>
        <v>6127560944</v>
      </c>
      <c r="E9046" s="2" t="s">
        <v>37401</v>
      </c>
      <c r="F9046" s="2" t="s">
        <v>25821</v>
      </c>
      <c r="G9046" s="2" t="str">
        <f>"SR-12757"</f>
        <v>SR-12757</v>
      </c>
      <c r="H9046" s="2" t="s">
        <v>37402</v>
      </c>
      <c r="I9046" s="2" t="s">
        <v>37399</v>
      </c>
      <c r="K9046" s="2" t="s">
        <v>538</v>
      </c>
      <c r="L9046" s="2" t="s">
        <v>62</v>
      </c>
      <c r="M9046" s="2">
        <v>56069.0</v>
      </c>
      <c r="N9046" s="2" t="s">
        <v>21</v>
      </c>
    </row>
    <row r="9047" ht="15.75" customHeight="1">
      <c r="A9047" s="2">
        <v>2018.0</v>
      </c>
      <c r="B9047" s="2" t="s">
        <v>37403</v>
      </c>
      <c r="C9047" s="2" t="s">
        <v>37403</v>
      </c>
      <c r="D9047" s="2" t="str">
        <f>"4058223878"</f>
        <v>4058223878</v>
      </c>
      <c r="E9047" s="2" t="s">
        <v>31004</v>
      </c>
      <c r="F9047" s="2" t="s">
        <v>31005</v>
      </c>
      <c r="G9047" s="2" t="str">
        <f>"SR-12763"</f>
        <v>SR-12763</v>
      </c>
      <c r="H9047" s="2" t="s">
        <v>31006</v>
      </c>
      <c r="I9047" s="2" t="s">
        <v>31007</v>
      </c>
      <c r="K9047" s="2" t="s">
        <v>24118</v>
      </c>
      <c r="L9047" s="2" t="s">
        <v>840</v>
      </c>
      <c r="M9047" s="2">
        <v>73099.0</v>
      </c>
      <c r="N9047" s="2" t="s">
        <v>21</v>
      </c>
    </row>
    <row r="9048" ht="15.75" customHeight="1">
      <c r="A9048" s="2">
        <v>2018.0</v>
      </c>
      <c r="B9048" s="2" t="s">
        <v>37404</v>
      </c>
      <c r="C9048" s="2" t="s">
        <v>37404</v>
      </c>
      <c r="D9048" s="2" t="str">
        <f>"3167880913"</f>
        <v>3167880913</v>
      </c>
      <c r="E9048" s="2" t="s">
        <v>1263</v>
      </c>
      <c r="F9048" s="2" t="s">
        <v>82</v>
      </c>
      <c r="G9048" s="2" t="str">
        <f>"SR-12743"</f>
        <v>SR-12743</v>
      </c>
      <c r="H9048" s="2" t="s">
        <v>37405</v>
      </c>
      <c r="I9048" s="2" t="s">
        <v>14365</v>
      </c>
      <c r="K9048" s="2" t="s">
        <v>1026</v>
      </c>
      <c r="L9048" s="2" t="s">
        <v>272</v>
      </c>
      <c r="M9048" s="2">
        <v>67037.0</v>
      </c>
      <c r="N9048" s="2" t="s">
        <v>21</v>
      </c>
    </row>
    <row r="9049" ht="15.75" customHeight="1">
      <c r="A9049" s="2">
        <v>2018.0</v>
      </c>
      <c r="B9049" s="2" t="s">
        <v>37406</v>
      </c>
      <c r="C9049" s="2" t="s">
        <v>37407</v>
      </c>
      <c r="D9049" s="2" t="str">
        <f>"970-249-0948"</f>
        <v>970-249-0948</v>
      </c>
      <c r="E9049" s="2" t="s">
        <v>580</v>
      </c>
      <c r="F9049" s="2" t="s">
        <v>2231</v>
      </c>
      <c r="G9049" s="2" t="str">
        <f>"SR-12766"</f>
        <v>SR-12766</v>
      </c>
      <c r="H9049" s="2" t="s">
        <v>27773</v>
      </c>
      <c r="I9049" s="2" t="s">
        <v>37408</v>
      </c>
      <c r="J9049" s="2" t="s">
        <v>37409</v>
      </c>
      <c r="K9049" s="2" t="s">
        <v>26496</v>
      </c>
      <c r="L9049" s="2" t="s">
        <v>157</v>
      </c>
      <c r="M9049" s="2">
        <v>81401.0</v>
      </c>
      <c r="N9049" s="2" t="s">
        <v>21</v>
      </c>
    </row>
    <row r="9050" ht="15.75" customHeight="1">
      <c r="A9050" s="2">
        <v>2018.0</v>
      </c>
      <c r="B9050" s="2" t="s">
        <v>37410</v>
      </c>
      <c r="C9050" s="2" t="s">
        <v>37411</v>
      </c>
      <c r="D9050" s="2" t="str">
        <f>"2678004485"</f>
        <v>2678004485</v>
      </c>
      <c r="E9050" s="2" t="s">
        <v>11107</v>
      </c>
      <c r="F9050" s="2" t="s">
        <v>1423</v>
      </c>
      <c r="G9050" s="2" t="str">
        <f>"SR-12767"</f>
        <v>SR-12767</v>
      </c>
      <c r="H9050" s="2" t="s">
        <v>37412</v>
      </c>
      <c r="I9050" s="2" t="s">
        <v>37413</v>
      </c>
      <c r="K9050" s="2" t="s">
        <v>37414</v>
      </c>
      <c r="L9050" s="2" t="s">
        <v>179</v>
      </c>
      <c r="M9050" s="2">
        <v>18940.0</v>
      </c>
      <c r="N9050" s="2" t="s">
        <v>21</v>
      </c>
    </row>
    <row r="9051" ht="15.75" customHeight="1">
      <c r="A9051" s="2">
        <v>2018.0</v>
      </c>
      <c r="B9051" s="2" t="s">
        <v>37415</v>
      </c>
      <c r="C9051" s="2" t="s">
        <v>37416</v>
      </c>
      <c r="D9051" s="2" t="str">
        <f>"(267) 265-8020"</f>
        <v>(267) 265-8020</v>
      </c>
      <c r="E9051" s="2" t="s">
        <v>261</v>
      </c>
      <c r="F9051" s="2" t="s">
        <v>16247</v>
      </c>
      <c r="G9051" s="2" t="str">
        <f>"SR-12768"</f>
        <v>SR-12768</v>
      </c>
      <c r="H9051" s="2" t="s">
        <v>37417</v>
      </c>
      <c r="I9051" s="2" t="s">
        <v>37418</v>
      </c>
      <c r="K9051" s="2" t="s">
        <v>37414</v>
      </c>
      <c r="L9051" s="2" t="s">
        <v>179</v>
      </c>
      <c r="M9051" s="2">
        <v>18940.0</v>
      </c>
      <c r="N9051" s="2" t="s">
        <v>21</v>
      </c>
    </row>
    <row r="9052" ht="15.75" customHeight="1">
      <c r="A9052" s="2">
        <v>2018.0</v>
      </c>
      <c r="B9052" s="2" t="s">
        <v>37419</v>
      </c>
      <c r="C9052" s="2" t="s">
        <v>37420</v>
      </c>
      <c r="D9052" s="2" t="str">
        <f>"909-496-2983"</f>
        <v>909-496-2983</v>
      </c>
      <c r="E9052" s="2" t="s">
        <v>11423</v>
      </c>
      <c r="F9052" s="2" t="s">
        <v>37421</v>
      </c>
      <c r="G9052" s="2" t="str">
        <f>"SR-12747"</f>
        <v>SR-12747</v>
      </c>
      <c r="H9052" s="2" t="s">
        <v>37422</v>
      </c>
      <c r="I9052" s="2" t="s">
        <v>37423</v>
      </c>
      <c r="K9052" s="2" t="s">
        <v>37424</v>
      </c>
      <c r="L9052" s="2" t="s">
        <v>222</v>
      </c>
      <c r="M9052" s="2">
        <v>92220.0</v>
      </c>
      <c r="N9052" s="2" t="s">
        <v>21</v>
      </c>
    </row>
    <row r="9053" ht="15.75" customHeight="1">
      <c r="A9053" s="2">
        <v>2018.0</v>
      </c>
      <c r="B9053" s="2" t="s">
        <v>37425</v>
      </c>
      <c r="C9053" s="2" t="s">
        <v>37425</v>
      </c>
      <c r="D9053" s="2" t="str">
        <f>"719-651-0594"</f>
        <v>719-651-0594</v>
      </c>
      <c r="E9053" s="2" t="s">
        <v>4775</v>
      </c>
      <c r="F9053" s="2" t="s">
        <v>22485</v>
      </c>
      <c r="G9053" s="2" t="str">
        <f>"SR-12769"</f>
        <v>SR-12769</v>
      </c>
      <c r="H9053" s="2" t="s">
        <v>37426</v>
      </c>
      <c r="I9053" s="2" t="s">
        <v>37427</v>
      </c>
      <c r="K9053" s="2" t="s">
        <v>809</v>
      </c>
      <c r="L9053" s="2" t="s">
        <v>157</v>
      </c>
      <c r="M9053" s="2">
        <v>80908.0</v>
      </c>
      <c r="N9053" s="2" t="s">
        <v>21</v>
      </c>
    </row>
    <row r="9054" ht="15.75" customHeight="1">
      <c r="A9054" s="2">
        <v>2018.0</v>
      </c>
      <c r="B9054" s="2" t="s">
        <v>37428</v>
      </c>
      <c r="C9054" s="2" t="s">
        <v>37429</v>
      </c>
      <c r="D9054" s="2" t="str">
        <f>"+1 (615) 513-5331"</f>
        <v>+1 (615) 513-5331</v>
      </c>
      <c r="E9054" s="2" t="s">
        <v>1362</v>
      </c>
      <c r="F9054" s="2" t="s">
        <v>718</v>
      </c>
      <c r="G9054" s="2" t="str">
        <f>"SR-12772"</f>
        <v>SR-12772</v>
      </c>
      <c r="H9054" s="2" t="s">
        <v>37430</v>
      </c>
      <c r="I9054" s="2" t="s">
        <v>37431</v>
      </c>
      <c r="K9054" s="2" t="s">
        <v>11803</v>
      </c>
      <c r="L9054" s="2" t="s">
        <v>279</v>
      </c>
      <c r="M9054" s="2">
        <v>37122.0</v>
      </c>
      <c r="N9054" s="2" t="s">
        <v>21</v>
      </c>
    </row>
    <row r="9055" ht="15.75" customHeight="1">
      <c r="A9055" s="2">
        <v>2018.0</v>
      </c>
      <c r="B9055" s="2" t="s">
        <v>37432</v>
      </c>
      <c r="C9055" s="2" t="s">
        <v>37433</v>
      </c>
      <c r="D9055" s="2" t="str">
        <f>"805-541-3442"</f>
        <v>805-541-3442</v>
      </c>
      <c r="E9055" s="2" t="s">
        <v>7996</v>
      </c>
      <c r="F9055" s="2" t="s">
        <v>984</v>
      </c>
      <c r="G9055" s="2" t="str">
        <f>"SR-12773"</f>
        <v>SR-12773</v>
      </c>
      <c r="H9055" s="2" t="s">
        <v>37434</v>
      </c>
      <c r="I9055" s="2" t="s">
        <v>37435</v>
      </c>
      <c r="K9055" s="2" t="s">
        <v>13810</v>
      </c>
      <c r="L9055" s="2" t="s">
        <v>222</v>
      </c>
      <c r="M9055" s="2">
        <v>93401.0</v>
      </c>
      <c r="N9055" s="2" t="s">
        <v>21</v>
      </c>
    </row>
    <row r="9056" ht="15.75" customHeight="1">
      <c r="A9056" s="2">
        <v>2018.0</v>
      </c>
      <c r="B9056" s="2" t="s">
        <v>37436</v>
      </c>
      <c r="C9056" s="2" t="s">
        <v>37436</v>
      </c>
      <c r="D9056" s="2" t="str">
        <f>"3038276204"</f>
        <v>3038276204</v>
      </c>
      <c r="E9056" s="2" t="s">
        <v>915</v>
      </c>
      <c r="F9056" s="2" t="s">
        <v>27950</v>
      </c>
      <c r="G9056" s="2" t="str">
        <f>"SR-12777"</f>
        <v>SR-12777</v>
      </c>
      <c r="H9056" s="2" t="s">
        <v>37437</v>
      </c>
      <c r="I9056" s="2" t="s">
        <v>37438</v>
      </c>
      <c r="K9056" s="2" t="s">
        <v>1398</v>
      </c>
      <c r="L9056" s="2" t="s">
        <v>157</v>
      </c>
      <c r="M9056" s="2">
        <v>80109.0</v>
      </c>
      <c r="N9056" s="2" t="s">
        <v>21</v>
      </c>
    </row>
    <row r="9057" ht="15.75" customHeight="1">
      <c r="A9057" s="2">
        <v>2018.0</v>
      </c>
      <c r="B9057" s="2" t="s">
        <v>37439</v>
      </c>
      <c r="C9057" s="2" t="s">
        <v>37440</v>
      </c>
      <c r="D9057" s="2" t="str">
        <f>"901-484-1741"</f>
        <v>901-484-1741</v>
      </c>
      <c r="E9057" s="2" t="s">
        <v>19261</v>
      </c>
      <c r="F9057" s="2" t="s">
        <v>37441</v>
      </c>
      <c r="G9057" s="2" t="str">
        <f>"SR-12776"</f>
        <v>SR-12776</v>
      </c>
      <c r="H9057" s="2" t="s">
        <v>37442</v>
      </c>
      <c r="I9057" s="2" t="s">
        <v>37443</v>
      </c>
      <c r="K9057" s="2" t="s">
        <v>1398</v>
      </c>
      <c r="L9057" s="2" t="s">
        <v>157</v>
      </c>
      <c r="M9057" s="2">
        <v>80108.0</v>
      </c>
      <c r="N9057" s="2" t="s">
        <v>21</v>
      </c>
    </row>
    <row r="9058" ht="15.75" customHeight="1">
      <c r="A9058" s="2">
        <v>2018.0</v>
      </c>
      <c r="B9058" s="2" t="s">
        <v>37444</v>
      </c>
      <c r="C9058" s="2" t="s">
        <v>37445</v>
      </c>
      <c r="D9058" s="2" t="str">
        <f>"3038050196"</f>
        <v>3038050196</v>
      </c>
      <c r="E9058" s="2" t="s">
        <v>13861</v>
      </c>
      <c r="F9058" s="2" t="s">
        <v>23553</v>
      </c>
      <c r="G9058" s="2" t="str">
        <f>"SR-12779"</f>
        <v>SR-12779</v>
      </c>
      <c r="H9058" s="2" t="s">
        <v>37446</v>
      </c>
      <c r="I9058" s="2" t="s">
        <v>23555</v>
      </c>
      <c r="K9058" s="2" t="s">
        <v>6514</v>
      </c>
      <c r="L9058" s="2" t="s">
        <v>157</v>
      </c>
      <c r="M9058" s="2">
        <v>80228.0</v>
      </c>
      <c r="N9058" s="2" t="s">
        <v>21</v>
      </c>
    </row>
    <row r="9059" ht="15.75" customHeight="1">
      <c r="A9059" s="2">
        <v>2018.0</v>
      </c>
      <c r="B9059" s="2" t="s">
        <v>37447</v>
      </c>
      <c r="C9059" s="2" t="s">
        <v>37448</v>
      </c>
      <c r="D9059" s="2" t="str">
        <f>"4233324682"</f>
        <v>4233324682</v>
      </c>
      <c r="E9059" s="2" t="s">
        <v>37449</v>
      </c>
      <c r="F9059" s="2" t="s">
        <v>37450</v>
      </c>
      <c r="G9059" s="2" t="str">
        <f>"SR-12778"</f>
        <v>SR-12778</v>
      </c>
      <c r="H9059" s="2" t="s">
        <v>37451</v>
      </c>
      <c r="I9059" s="2" t="s">
        <v>37452</v>
      </c>
      <c r="K9059" s="2" t="s">
        <v>8572</v>
      </c>
      <c r="L9059" s="2" t="s">
        <v>279</v>
      </c>
      <c r="M9059" s="2">
        <v>37379.0</v>
      </c>
      <c r="N9059" s="2" t="s">
        <v>21</v>
      </c>
    </row>
    <row r="9060" ht="15.75" customHeight="1">
      <c r="A9060" s="2">
        <v>2018.0</v>
      </c>
      <c r="B9060" s="2" t="s">
        <v>37453</v>
      </c>
      <c r="C9060" s="2" t="s">
        <v>37453</v>
      </c>
      <c r="D9060" s="2" t="str">
        <f>"8597391830"</f>
        <v>8597391830</v>
      </c>
      <c r="E9060" s="2" t="s">
        <v>8386</v>
      </c>
      <c r="F9060" s="2" t="s">
        <v>14664</v>
      </c>
      <c r="G9060" s="2" t="str">
        <f>"SR-12780"</f>
        <v>SR-12780</v>
      </c>
      <c r="H9060" s="2" t="s">
        <v>37454</v>
      </c>
      <c r="I9060" s="2" t="s">
        <v>37455</v>
      </c>
      <c r="K9060" s="2" t="s">
        <v>14667</v>
      </c>
      <c r="L9060" s="2" t="s">
        <v>1236</v>
      </c>
      <c r="M9060" s="2">
        <v>41091.0</v>
      </c>
      <c r="N9060" s="2" t="s">
        <v>21</v>
      </c>
    </row>
    <row r="9061" ht="15.75" customHeight="1">
      <c r="A9061" s="2">
        <v>2018.0</v>
      </c>
      <c r="B9061" s="2" t="s">
        <v>37456</v>
      </c>
      <c r="C9061" s="2" t="s">
        <v>37456</v>
      </c>
      <c r="D9061" s="2" t="str">
        <f t="shared" ref="D9061:D9062" si="141">"469-371-4494"</f>
        <v>469-371-4494</v>
      </c>
      <c r="E9061" s="2" t="s">
        <v>13620</v>
      </c>
      <c r="F9061" s="2" t="s">
        <v>10249</v>
      </c>
      <c r="G9061" s="2" t="str">
        <f>"SR-12783"</f>
        <v>SR-12783</v>
      </c>
      <c r="H9061" s="2" t="s">
        <v>37457</v>
      </c>
      <c r="I9061" s="2" t="s">
        <v>37458</v>
      </c>
      <c r="K9061" s="2" t="s">
        <v>615</v>
      </c>
      <c r="L9061" s="2" t="s">
        <v>172</v>
      </c>
      <c r="M9061" s="2">
        <v>75070.0</v>
      </c>
      <c r="N9061" s="2" t="s">
        <v>21</v>
      </c>
    </row>
    <row r="9062" ht="15.75" customHeight="1">
      <c r="A9062" s="2">
        <v>2018.0</v>
      </c>
      <c r="B9062" s="2" t="s">
        <v>37456</v>
      </c>
      <c r="C9062" s="2" t="s">
        <v>37456</v>
      </c>
      <c r="D9062" s="2" t="str">
        <f t="shared" si="141"/>
        <v>469-371-4494</v>
      </c>
      <c r="E9062" s="2" t="s">
        <v>2598</v>
      </c>
      <c r="F9062" s="2" t="s">
        <v>10249</v>
      </c>
      <c r="G9062" s="2" t="str">
        <f>"SR-12782"</f>
        <v>SR-12782</v>
      </c>
      <c r="H9062" s="2" t="s">
        <v>37459</v>
      </c>
      <c r="I9062" s="2" t="s">
        <v>37458</v>
      </c>
      <c r="K9062" s="2" t="s">
        <v>615</v>
      </c>
      <c r="L9062" s="2" t="s">
        <v>172</v>
      </c>
      <c r="M9062" s="2">
        <v>75070.0</v>
      </c>
      <c r="N9062" s="2" t="s">
        <v>21</v>
      </c>
    </row>
    <row r="9063" ht="15.75" customHeight="1">
      <c r="A9063" s="2">
        <v>2018.0</v>
      </c>
      <c r="B9063" s="2" t="s">
        <v>37460</v>
      </c>
      <c r="C9063" s="2" t="s">
        <v>37461</v>
      </c>
      <c r="D9063" s="2" t="str">
        <f>"719-694-9640"</f>
        <v>719-694-9640</v>
      </c>
      <c r="E9063" s="2" t="s">
        <v>2162</v>
      </c>
      <c r="F9063" s="2" t="s">
        <v>2362</v>
      </c>
      <c r="G9063" s="2" t="str">
        <f>"SR-12784"</f>
        <v>SR-12784</v>
      </c>
      <c r="H9063" s="2" t="s">
        <v>37462</v>
      </c>
      <c r="I9063" s="2" t="s">
        <v>11589</v>
      </c>
      <c r="K9063" s="2" t="s">
        <v>809</v>
      </c>
      <c r="L9063" s="2" t="s">
        <v>157</v>
      </c>
      <c r="M9063" s="2">
        <v>80918.0</v>
      </c>
      <c r="N9063" s="2" t="s">
        <v>21</v>
      </c>
    </row>
    <row r="9064" ht="15.75" customHeight="1">
      <c r="A9064" s="2">
        <v>2018.0</v>
      </c>
      <c r="B9064" s="2" t="s">
        <v>37463</v>
      </c>
      <c r="C9064" s="2" t="s">
        <v>37463</v>
      </c>
      <c r="D9064" s="2" t="str">
        <f>"3204435464"</f>
        <v>3204435464</v>
      </c>
      <c r="E9064" s="2" t="s">
        <v>584</v>
      </c>
      <c r="F9064" s="2" t="s">
        <v>1756</v>
      </c>
      <c r="G9064" s="2" t="str">
        <f>"SR-12786"</f>
        <v>SR-12786</v>
      </c>
      <c r="H9064" s="2" t="s">
        <v>37464</v>
      </c>
      <c r="I9064" s="2" t="s">
        <v>37465</v>
      </c>
      <c r="K9064" s="2" t="s">
        <v>15616</v>
      </c>
      <c r="L9064" s="2" t="s">
        <v>62</v>
      </c>
      <c r="M9064" s="2">
        <v>56377.0</v>
      </c>
      <c r="N9064" s="2" t="s">
        <v>21</v>
      </c>
    </row>
    <row r="9065" ht="15.75" customHeight="1">
      <c r="A9065" s="2">
        <v>2018.0</v>
      </c>
      <c r="B9065" s="2" t="s">
        <v>37466</v>
      </c>
      <c r="C9065" s="2" t="s">
        <v>37467</v>
      </c>
      <c r="D9065" s="2" t="str">
        <f>"541-670-3590"</f>
        <v>541-670-3590</v>
      </c>
      <c r="E9065" s="2" t="s">
        <v>2891</v>
      </c>
      <c r="F9065" s="2" t="s">
        <v>37468</v>
      </c>
      <c r="G9065" s="2" t="str">
        <f>"SR-12748"</f>
        <v>SR-12748</v>
      </c>
      <c r="H9065" s="2" t="s">
        <v>37469</v>
      </c>
      <c r="I9065" s="2" t="s">
        <v>37470</v>
      </c>
      <c r="J9065" s="2" t="s">
        <v>37471</v>
      </c>
      <c r="K9065" s="2" t="s">
        <v>28089</v>
      </c>
      <c r="L9065" s="2" t="s">
        <v>2389</v>
      </c>
      <c r="M9065" s="2">
        <v>97416.0</v>
      </c>
      <c r="N9065" s="2" t="s">
        <v>21</v>
      </c>
    </row>
    <row r="9066" ht="15.75" customHeight="1">
      <c r="A9066" s="2">
        <v>2018.0</v>
      </c>
      <c r="B9066" s="2" t="s">
        <v>37472</v>
      </c>
      <c r="C9066" s="2" t="s">
        <v>37472</v>
      </c>
      <c r="D9066" s="2" t="str">
        <f>"2149303179"</f>
        <v>2149303179</v>
      </c>
      <c r="E9066" s="2" t="s">
        <v>5667</v>
      </c>
      <c r="F9066" s="2" t="s">
        <v>690</v>
      </c>
      <c r="G9066" s="2" t="str">
        <f>"SR-12788"</f>
        <v>SR-12788</v>
      </c>
      <c r="H9066" s="2" t="s">
        <v>37473</v>
      </c>
      <c r="I9066" s="2" t="s">
        <v>37474</v>
      </c>
      <c r="K9066" s="2" t="s">
        <v>357</v>
      </c>
      <c r="L9066" s="2" t="s">
        <v>172</v>
      </c>
      <c r="M9066" s="2">
        <v>75074.0</v>
      </c>
      <c r="N9066" s="2" t="s">
        <v>21</v>
      </c>
    </row>
    <row r="9067" ht="15.75" customHeight="1">
      <c r="A9067" s="2">
        <v>2018.0</v>
      </c>
      <c r="B9067" s="2" t="s">
        <v>37475</v>
      </c>
      <c r="C9067" s="2" t="s">
        <v>37475</v>
      </c>
      <c r="D9067" s="2" t="str">
        <f>"2525605352"</f>
        <v>2525605352</v>
      </c>
      <c r="E9067" s="2" t="s">
        <v>7517</v>
      </c>
      <c r="F9067" s="2" t="s">
        <v>11769</v>
      </c>
      <c r="G9067" s="2" t="str">
        <f>"SR-12791"</f>
        <v>SR-12791</v>
      </c>
      <c r="H9067" s="2" t="s">
        <v>37476</v>
      </c>
      <c r="I9067" s="2" t="s">
        <v>37477</v>
      </c>
      <c r="K9067" s="2" t="s">
        <v>11772</v>
      </c>
      <c r="L9067" s="2" t="s">
        <v>20</v>
      </c>
      <c r="M9067" s="2">
        <v>28504.0</v>
      </c>
      <c r="N9067" s="2" t="s">
        <v>21</v>
      </c>
    </row>
    <row r="9068" ht="15.75" customHeight="1">
      <c r="A9068" s="2">
        <v>2018.0</v>
      </c>
      <c r="B9068" s="2" t="s">
        <v>37478</v>
      </c>
      <c r="D9068" s="2" t="str">
        <f>""</f>
        <v/>
      </c>
      <c r="E9068" s="2" t="s">
        <v>167</v>
      </c>
      <c r="F9068" s="2" t="s">
        <v>37479</v>
      </c>
      <c r="G9068" s="2" t="str">
        <f>"SR-12793"</f>
        <v>SR-12793</v>
      </c>
      <c r="H9068" s="2" t="s">
        <v>37480</v>
      </c>
      <c r="N9068" s="2" t="s">
        <v>21</v>
      </c>
    </row>
    <row r="9069" ht="15.75" customHeight="1">
      <c r="A9069" s="2">
        <v>2018.0</v>
      </c>
      <c r="B9069" s="2" t="s">
        <v>37481</v>
      </c>
      <c r="C9069" s="2" t="s">
        <v>37481</v>
      </c>
      <c r="D9069" s="2" t="str">
        <f>"9139612298"</f>
        <v>9139612298</v>
      </c>
      <c r="E9069" s="2" t="s">
        <v>13640</v>
      </c>
      <c r="F9069" s="2" t="s">
        <v>9537</v>
      </c>
      <c r="G9069" s="2" t="str">
        <f>"SR-12794"</f>
        <v>SR-12794</v>
      </c>
      <c r="H9069" s="2" t="s">
        <v>37482</v>
      </c>
      <c r="I9069" s="2" t="s">
        <v>37483</v>
      </c>
      <c r="K9069" s="2" t="s">
        <v>3588</v>
      </c>
      <c r="L9069" s="2" t="s">
        <v>272</v>
      </c>
      <c r="M9069" s="2">
        <v>66216.0</v>
      </c>
      <c r="N9069" s="2" t="s">
        <v>21</v>
      </c>
    </row>
    <row r="9070" ht="15.75" customHeight="1">
      <c r="A9070" s="2">
        <v>2018.0</v>
      </c>
      <c r="B9070" s="2" t="s">
        <v>37484</v>
      </c>
      <c r="C9070" s="2" t="s">
        <v>37485</v>
      </c>
      <c r="D9070" s="2" t="str">
        <f>"4055689716"</f>
        <v>4055689716</v>
      </c>
      <c r="E9070" s="2" t="s">
        <v>57</v>
      </c>
      <c r="F9070" s="2" t="s">
        <v>37486</v>
      </c>
      <c r="G9070" s="2" t="str">
        <f>"SR-12796"</f>
        <v>SR-12796</v>
      </c>
      <c r="H9070" s="2" t="s">
        <v>37487</v>
      </c>
      <c r="I9070" s="2" t="s">
        <v>37488</v>
      </c>
      <c r="K9070" s="2" t="s">
        <v>6622</v>
      </c>
      <c r="L9070" s="2" t="s">
        <v>840</v>
      </c>
      <c r="M9070" s="2">
        <v>73151.0</v>
      </c>
      <c r="N9070" s="2" t="s">
        <v>21</v>
      </c>
    </row>
    <row r="9071" ht="15.75" customHeight="1">
      <c r="A9071" s="2">
        <v>2018.0</v>
      </c>
      <c r="B9071" s="2" t="s">
        <v>37489</v>
      </c>
      <c r="C9071" s="2" t="s">
        <v>37490</v>
      </c>
      <c r="D9071" s="2" t="str">
        <f>"620-381-8003"</f>
        <v>620-381-8003</v>
      </c>
      <c r="E9071" s="2" t="s">
        <v>2306</v>
      </c>
      <c r="F9071" s="2" t="s">
        <v>6213</v>
      </c>
      <c r="G9071" s="2" t="str">
        <f>"SR-12795"</f>
        <v>SR-12795</v>
      </c>
      <c r="H9071" s="2" t="s">
        <v>37491</v>
      </c>
      <c r="I9071" s="2" t="s">
        <v>6215</v>
      </c>
      <c r="K9071" s="2" t="s">
        <v>788</v>
      </c>
      <c r="L9071" s="2" t="s">
        <v>272</v>
      </c>
      <c r="M9071" s="2">
        <v>67063.0</v>
      </c>
      <c r="N9071" s="2" t="s">
        <v>21</v>
      </c>
    </row>
    <row r="9072" ht="15.75" customHeight="1">
      <c r="A9072" s="2">
        <v>2018.0</v>
      </c>
      <c r="B9072" s="2" t="s">
        <v>37492</v>
      </c>
      <c r="C9072" s="2" t="s">
        <v>37493</v>
      </c>
      <c r="D9072" s="2" t="str">
        <f>"16052803897"</f>
        <v>16052803897</v>
      </c>
      <c r="E9072" s="2" t="s">
        <v>2031</v>
      </c>
      <c r="F9072" s="2" t="s">
        <v>10603</v>
      </c>
      <c r="G9072" s="2" t="str">
        <f>"SR-12797"</f>
        <v>SR-12797</v>
      </c>
      <c r="H9072" s="2" t="s">
        <v>37494</v>
      </c>
      <c r="I9072" s="2" t="s">
        <v>23719</v>
      </c>
      <c r="K9072" s="2" t="s">
        <v>4355</v>
      </c>
      <c r="L9072" s="2" t="s">
        <v>920</v>
      </c>
      <c r="M9072" s="2">
        <v>57501.0</v>
      </c>
      <c r="N9072" s="2" t="s">
        <v>21</v>
      </c>
    </row>
    <row r="9073" ht="15.75" customHeight="1">
      <c r="A9073" s="2">
        <v>2018.0</v>
      </c>
      <c r="B9073" s="2" t="s">
        <v>37495</v>
      </c>
      <c r="C9073" s="2" t="s">
        <v>37496</v>
      </c>
      <c r="D9073" s="2" t="str">
        <f>"806-781-9314"</f>
        <v>806-781-9314</v>
      </c>
      <c r="E9073" s="2" t="s">
        <v>144</v>
      </c>
      <c r="F9073" s="2" t="s">
        <v>9115</v>
      </c>
      <c r="G9073" s="2" t="str">
        <f>"SR-12799"</f>
        <v>SR-12799</v>
      </c>
      <c r="H9073" s="2" t="s">
        <v>37497</v>
      </c>
      <c r="I9073" s="2" t="s">
        <v>29087</v>
      </c>
      <c r="K9073" s="2" t="s">
        <v>1121</v>
      </c>
      <c r="L9073" s="2" t="s">
        <v>172</v>
      </c>
      <c r="M9073" s="2">
        <v>79424.0</v>
      </c>
      <c r="N9073" s="2" t="s">
        <v>21</v>
      </c>
    </row>
    <row r="9074" ht="15.75" customHeight="1">
      <c r="A9074" s="2">
        <v>2018.0</v>
      </c>
      <c r="B9074" s="2" t="s">
        <v>37495</v>
      </c>
      <c r="C9074" s="2" t="s">
        <v>29085</v>
      </c>
      <c r="D9074" s="2" t="str">
        <f>"806-778-5927"</f>
        <v>806-778-5927</v>
      </c>
      <c r="E9074" s="2" t="s">
        <v>8887</v>
      </c>
      <c r="F9074" s="2" t="s">
        <v>9115</v>
      </c>
      <c r="G9074" s="2" t="str">
        <f>"SR-12798"</f>
        <v>SR-12798</v>
      </c>
      <c r="H9074" s="2" t="s">
        <v>29086</v>
      </c>
      <c r="I9074" s="2" t="s">
        <v>29087</v>
      </c>
      <c r="K9074" s="2" t="s">
        <v>1121</v>
      </c>
      <c r="L9074" s="2" t="s">
        <v>172</v>
      </c>
      <c r="M9074" s="2">
        <v>79424.0</v>
      </c>
      <c r="N9074" s="2" t="s">
        <v>21</v>
      </c>
    </row>
    <row r="9075" ht="15.75" customHeight="1">
      <c r="A9075" s="2">
        <v>2018.0</v>
      </c>
      <c r="B9075" s="2" t="s">
        <v>37498</v>
      </c>
      <c r="C9075" s="2" t="s">
        <v>37499</v>
      </c>
      <c r="D9075" s="2" t="str">
        <f t="shared" ref="D9075:D9076" si="142">"5159992933"</f>
        <v>5159992933</v>
      </c>
      <c r="E9075" s="2" t="s">
        <v>977</v>
      </c>
      <c r="F9075" s="2" t="s">
        <v>23174</v>
      </c>
      <c r="G9075" s="2" t="str">
        <f>"SR-12803"</f>
        <v>SR-12803</v>
      </c>
      <c r="H9075" s="2" t="s">
        <v>37500</v>
      </c>
      <c r="I9075" s="2" t="s">
        <v>37501</v>
      </c>
      <c r="K9075" s="2" t="s">
        <v>23177</v>
      </c>
      <c r="L9075" s="2" t="s">
        <v>560</v>
      </c>
      <c r="M9075" s="2">
        <v>50109.0</v>
      </c>
      <c r="N9075" s="2" t="s">
        <v>21</v>
      </c>
    </row>
    <row r="9076" ht="15.75" customHeight="1">
      <c r="A9076" s="2">
        <v>2018.0</v>
      </c>
      <c r="B9076" s="2" t="s">
        <v>37498</v>
      </c>
      <c r="C9076" s="2" t="s">
        <v>23173</v>
      </c>
      <c r="D9076" s="2" t="str">
        <f t="shared" si="142"/>
        <v>5159992933</v>
      </c>
      <c r="E9076" s="2" t="s">
        <v>908</v>
      </c>
      <c r="F9076" s="2" t="s">
        <v>23174</v>
      </c>
      <c r="G9076" s="2" t="str">
        <f>"SR-12802"</f>
        <v>SR-12802</v>
      </c>
      <c r="H9076" s="2" t="s">
        <v>23175</v>
      </c>
      <c r="I9076" s="2" t="s">
        <v>37501</v>
      </c>
      <c r="K9076" s="2" t="s">
        <v>23177</v>
      </c>
      <c r="L9076" s="2" t="s">
        <v>560</v>
      </c>
      <c r="M9076" s="2">
        <v>50109.0</v>
      </c>
      <c r="N9076" s="2" t="s">
        <v>21</v>
      </c>
    </row>
    <row r="9077" ht="15.75" customHeight="1">
      <c r="A9077" s="2">
        <v>2018.0</v>
      </c>
      <c r="B9077" s="2" t="s">
        <v>37502</v>
      </c>
      <c r="C9077" s="2" t="s">
        <v>23162</v>
      </c>
      <c r="D9077" s="2" t="str">
        <f>"515-249-9417"</f>
        <v>515-249-9417</v>
      </c>
      <c r="E9077" s="2" t="s">
        <v>908</v>
      </c>
      <c r="F9077" s="2" t="s">
        <v>23163</v>
      </c>
      <c r="G9077" s="2" t="str">
        <f>"SR-12805"</f>
        <v>SR-12805</v>
      </c>
      <c r="H9077" s="2" t="s">
        <v>23164</v>
      </c>
      <c r="I9077" s="2" t="s">
        <v>23165</v>
      </c>
      <c r="K9077" s="2" t="s">
        <v>11863</v>
      </c>
      <c r="L9077" s="2" t="s">
        <v>560</v>
      </c>
      <c r="M9077" s="2">
        <v>50325.0</v>
      </c>
      <c r="N9077" s="2" t="s">
        <v>21</v>
      </c>
    </row>
    <row r="9078" ht="15.75" customHeight="1">
      <c r="A9078" s="2">
        <v>2018.0</v>
      </c>
      <c r="B9078" s="2" t="s">
        <v>37503</v>
      </c>
      <c r="C9078" s="2" t="s">
        <v>37503</v>
      </c>
      <c r="D9078" s="2" t="str">
        <f>"7123141244"</f>
        <v>7123141244</v>
      </c>
      <c r="E9078" s="2" t="s">
        <v>8887</v>
      </c>
      <c r="F9078" s="2" t="s">
        <v>37504</v>
      </c>
      <c r="G9078" s="2" t="str">
        <f>"SR-12804"</f>
        <v>SR-12804</v>
      </c>
      <c r="H9078" s="2" t="s">
        <v>37505</v>
      </c>
      <c r="I9078" s="2" t="s">
        <v>37506</v>
      </c>
      <c r="K9078" s="2" t="s">
        <v>13289</v>
      </c>
      <c r="L9078" s="2" t="s">
        <v>560</v>
      </c>
      <c r="M9078" s="2">
        <v>51503.0</v>
      </c>
      <c r="N9078" s="2" t="s">
        <v>21</v>
      </c>
    </row>
    <row r="9079" ht="15.75" customHeight="1">
      <c r="A9079" s="2">
        <v>2018.0</v>
      </c>
      <c r="B9079" s="2" t="s">
        <v>37507</v>
      </c>
      <c r="C9079" s="2" t="s">
        <v>37507</v>
      </c>
      <c r="D9079" s="2" t="str">
        <f>"9403800787"</f>
        <v>9403800787</v>
      </c>
      <c r="E9079" s="2" t="s">
        <v>28357</v>
      </c>
      <c r="F9079" s="2" t="s">
        <v>17436</v>
      </c>
      <c r="G9079" s="2" t="str">
        <f>"SR-12800"</f>
        <v>SR-12800</v>
      </c>
      <c r="H9079" s="2" t="s">
        <v>37508</v>
      </c>
      <c r="I9079" s="2" t="s">
        <v>17438</v>
      </c>
      <c r="K9079" s="2" t="s">
        <v>6539</v>
      </c>
      <c r="L9079" s="2" t="s">
        <v>172</v>
      </c>
      <c r="M9079" s="2">
        <v>76209.0</v>
      </c>
      <c r="N9079" s="2" t="s">
        <v>21</v>
      </c>
    </row>
    <row r="9080" ht="15.75" customHeight="1">
      <c r="A9080" s="2">
        <v>2018.0</v>
      </c>
      <c r="B9080" s="2" t="s">
        <v>37509</v>
      </c>
      <c r="C9080" s="2" t="s">
        <v>37510</v>
      </c>
      <c r="D9080" s="2" t="str">
        <f>"6155876967"</f>
        <v>6155876967</v>
      </c>
      <c r="E9080" s="2" t="s">
        <v>34353</v>
      </c>
      <c r="F9080" s="2" t="s">
        <v>21429</v>
      </c>
      <c r="G9080" s="2" t="str">
        <f>"SR-12807"</f>
        <v>SR-12807</v>
      </c>
      <c r="H9080" s="2" t="s">
        <v>37511</v>
      </c>
      <c r="I9080" s="2" t="s">
        <v>37512</v>
      </c>
      <c r="K9080" s="2" t="s">
        <v>278</v>
      </c>
      <c r="L9080" s="2" t="s">
        <v>279</v>
      </c>
      <c r="M9080" s="2">
        <v>37067.0</v>
      </c>
      <c r="N9080" s="2" t="s">
        <v>21</v>
      </c>
    </row>
    <row r="9081" ht="15.75" customHeight="1">
      <c r="A9081" s="2">
        <v>2018.0</v>
      </c>
      <c r="B9081" s="2" t="s">
        <v>37513</v>
      </c>
      <c r="C9081" s="2" t="s">
        <v>37513</v>
      </c>
      <c r="D9081" s="2" t="str">
        <f>"9415257925"</f>
        <v>9415257925</v>
      </c>
      <c r="E9081" s="2" t="s">
        <v>8316</v>
      </c>
      <c r="F9081" s="2" t="s">
        <v>447</v>
      </c>
      <c r="G9081" s="2" t="str">
        <f>"SR-12809"</f>
        <v>SR-12809</v>
      </c>
      <c r="H9081" s="2" t="s">
        <v>19731</v>
      </c>
      <c r="I9081" s="2" t="s">
        <v>37514</v>
      </c>
      <c r="K9081" s="2" t="s">
        <v>330</v>
      </c>
      <c r="L9081" s="2" t="s">
        <v>208</v>
      </c>
      <c r="M9081" s="2">
        <v>34293.0</v>
      </c>
      <c r="N9081" s="2" t="s">
        <v>21</v>
      </c>
    </row>
    <row r="9082" ht="15.75" customHeight="1">
      <c r="A9082" s="2">
        <v>2018.0</v>
      </c>
      <c r="B9082" s="2" t="s">
        <v>37515</v>
      </c>
      <c r="C9082" s="2" t="s">
        <v>37516</v>
      </c>
      <c r="D9082" s="2" t="str">
        <f>"6155429391"</f>
        <v>6155429391</v>
      </c>
      <c r="E9082" s="2" t="s">
        <v>908</v>
      </c>
      <c r="F9082" s="2" t="s">
        <v>24327</v>
      </c>
      <c r="G9082" s="2" t="str">
        <f>"SR-12775"</f>
        <v>SR-12775</v>
      </c>
      <c r="H9082" s="2" t="s">
        <v>37517</v>
      </c>
      <c r="I9082" s="2" t="s">
        <v>37518</v>
      </c>
      <c r="K9082" s="2" t="s">
        <v>278</v>
      </c>
      <c r="L9082" s="2" t="s">
        <v>279</v>
      </c>
      <c r="M9082" s="2">
        <v>37064.0</v>
      </c>
      <c r="N9082" s="2" t="s">
        <v>21</v>
      </c>
    </row>
    <row r="9083" ht="15.75" customHeight="1">
      <c r="A9083" s="2">
        <v>2018.0</v>
      </c>
      <c r="B9083" s="2" t="s">
        <v>37519</v>
      </c>
      <c r="C9083" s="2" t="s">
        <v>37520</v>
      </c>
      <c r="D9083" s="2" t="str">
        <f>"9402051761"</f>
        <v>9402051761</v>
      </c>
      <c r="E9083" s="2" t="s">
        <v>2306</v>
      </c>
      <c r="F9083" s="2" t="s">
        <v>35023</v>
      </c>
      <c r="G9083" s="2" t="str">
        <f>"SR-12810"</f>
        <v>SR-12810</v>
      </c>
      <c r="H9083" s="2" t="s">
        <v>37521</v>
      </c>
      <c r="I9083" s="2" t="s">
        <v>37522</v>
      </c>
      <c r="K9083" s="2" t="s">
        <v>37523</v>
      </c>
      <c r="L9083" s="2" t="s">
        <v>172</v>
      </c>
      <c r="M9083" s="2">
        <v>76227.0</v>
      </c>
      <c r="N9083" s="2" t="s">
        <v>21</v>
      </c>
    </row>
    <row r="9084" ht="15.75" customHeight="1">
      <c r="A9084" s="2">
        <v>2018.0</v>
      </c>
      <c r="B9084" s="2" t="s">
        <v>37524</v>
      </c>
      <c r="C9084" s="2" t="s">
        <v>37525</v>
      </c>
      <c r="D9084" s="2" t="str">
        <f>"719-900-1450"</f>
        <v>719-900-1450</v>
      </c>
      <c r="E9084" s="2" t="s">
        <v>1141</v>
      </c>
      <c r="F9084" s="2" t="s">
        <v>4783</v>
      </c>
      <c r="G9084" s="2" t="str">
        <f>"SR-12813"</f>
        <v>SR-12813</v>
      </c>
      <c r="H9084" s="2" t="s">
        <v>37526</v>
      </c>
      <c r="I9084" s="2" t="s">
        <v>4785</v>
      </c>
      <c r="K9084" s="2" t="s">
        <v>809</v>
      </c>
      <c r="L9084" s="2" t="s">
        <v>157</v>
      </c>
      <c r="M9084" s="2">
        <v>80921.0</v>
      </c>
      <c r="N9084" s="2" t="s">
        <v>21</v>
      </c>
    </row>
    <row r="9085" ht="15.75" customHeight="1">
      <c r="A9085" s="2">
        <v>2018.0</v>
      </c>
      <c r="B9085" s="2" t="s">
        <v>37527</v>
      </c>
      <c r="C9085" s="2" t="s">
        <v>37528</v>
      </c>
      <c r="D9085" s="2" t="str">
        <f t="shared" ref="D9085:D9086" si="143">"281-213-4840"</f>
        <v>281-213-4840</v>
      </c>
      <c r="E9085" s="2" t="s">
        <v>261</v>
      </c>
      <c r="F9085" s="2" t="s">
        <v>16535</v>
      </c>
      <c r="G9085" s="2" t="str">
        <f>"SR-12717"</f>
        <v>SR-12717</v>
      </c>
      <c r="H9085" s="2" t="s">
        <v>37529</v>
      </c>
      <c r="I9085" s="2" t="s">
        <v>37530</v>
      </c>
      <c r="K9085" s="2" t="s">
        <v>12522</v>
      </c>
      <c r="L9085" s="2" t="s">
        <v>172</v>
      </c>
      <c r="M9085" s="2">
        <v>77433.0</v>
      </c>
      <c r="N9085" s="2" t="s">
        <v>21</v>
      </c>
    </row>
    <row r="9086" ht="15.75" customHeight="1">
      <c r="A9086" s="2">
        <v>2018.0</v>
      </c>
      <c r="B9086" s="2" t="s">
        <v>37527</v>
      </c>
      <c r="C9086" s="2" t="s">
        <v>37531</v>
      </c>
      <c r="D9086" s="2" t="str">
        <f t="shared" si="143"/>
        <v>281-213-4840</v>
      </c>
      <c r="E9086" s="2" t="s">
        <v>1782</v>
      </c>
      <c r="F9086" s="2" t="s">
        <v>16535</v>
      </c>
      <c r="G9086" s="2" t="str">
        <f>"SR-12716"</f>
        <v>SR-12716</v>
      </c>
      <c r="H9086" s="2" t="s">
        <v>16536</v>
      </c>
      <c r="I9086" s="2" t="s">
        <v>37530</v>
      </c>
      <c r="K9086" s="2" t="s">
        <v>12522</v>
      </c>
      <c r="L9086" s="2" t="s">
        <v>172</v>
      </c>
      <c r="M9086" s="2">
        <v>77433.0</v>
      </c>
      <c r="N9086" s="2" t="s">
        <v>21</v>
      </c>
    </row>
    <row r="9087" ht="15.75" customHeight="1">
      <c r="A9087" s="2">
        <v>2018.0</v>
      </c>
      <c r="B9087" s="2" t="s">
        <v>37532</v>
      </c>
      <c r="C9087" s="2" t="s">
        <v>37533</v>
      </c>
      <c r="D9087" s="2" t="str">
        <f t="shared" ref="D9087:D9088" si="144">"815-895-6398"</f>
        <v>815-895-6398</v>
      </c>
      <c r="E9087" s="2" t="s">
        <v>678</v>
      </c>
      <c r="F9087" s="2" t="s">
        <v>2954</v>
      </c>
      <c r="G9087" s="2" t="str">
        <f>"SR-12790"</f>
        <v>SR-12790</v>
      </c>
      <c r="H9087" s="2" t="s">
        <v>37534</v>
      </c>
      <c r="I9087" s="2" t="s">
        <v>24249</v>
      </c>
      <c r="K9087" s="2" t="s">
        <v>5198</v>
      </c>
      <c r="L9087" s="2" t="s">
        <v>105</v>
      </c>
      <c r="M9087" s="2">
        <v>60178.0</v>
      </c>
      <c r="N9087" s="2" t="s">
        <v>21</v>
      </c>
    </row>
    <row r="9088" ht="15.75" customHeight="1">
      <c r="A9088" s="2">
        <v>2018.0</v>
      </c>
      <c r="B9088" s="2" t="s">
        <v>37532</v>
      </c>
      <c r="C9088" s="2" t="s">
        <v>37535</v>
      </c>
      <c r="D9088" s="2" t="str">
        <f t="shared" si="144"/>
        <v>815-895-6398</v>
      </c>
      <c r="E9088" s="2" t="s">
        <v>456</v>
      </c>
      <c r="F9088" s="2" t="s">
        <v>2954</v>
      </c>
      <c r="G9088" s="2" t="str">
        <f>"SR-12789"</f>
        <v>SR-12789</v>
      </c>
      <c r="H9088" s="2" t="s">
        <v>37536</v>
      </c>
      <c r="I9088" s="2" t="s">
        <v>24249</v>
      </c>
      <c r="K9088" s="2" t="s">
        <v>5198</v>
      </c>
      <c r="L9088" s="2" t="s">
        <v>105</v>
      </c>
      <c r="M9088" s="2">
        <v>60178.0</v>
      </c>
      <c r="N9088" s="2" t="s">
        <v>21</v>
      </c>
    </row>
    <row r="9089" ht="15.75" customHeight="1">
      <c r="A9089" s="2">
        <v>2018.0</v>
      </c>
      <c r="B9089" s="2" t="s">
        <v>37537</v>
      </c>
      <c r="C9089" s="2" t="s">
        <v>37538</v>
      </c>
      <c r="D9089" s="2" t="str">
        <f>"605-224-1616"</f>
        <v>605-224-1616</v>
      </c>
      <c r="E9089" s="2" t="s">
        <v>718</v>
      </c>
      <c r="F9089" s="2" t="s">
        <v>37539</v>
      </c>
      <c r="G9089" s="2" t="str">
        <f>"SR-12811"</f>
        <v>SR-12811</v>
      </c>
      <c r="H9089" s="2" t="s">
        <v>37540</v>
      </c>
      <c r="I9089" s="2" t="s">
        <v>37541</v>
      </c>
      <c r="K9089" s="2" t="s">
        <v>4355</v>
      </c>
      <c r="L9089" s="2" t="s">
        <v>920</v>
      </c>
      <c r="M9089" s="2">
        <v>57501.0</v>
      </c>
      <c r="N9089" s="2" t="s">
        <v>21</v>
      </c>
    </row>
    <row r="9090" ht="15.75" customHeight="1">
      <c r="A9090" s="2">
        <v>2018.0</v>
      </c>
      <c r="B9090" s="2" t="s">
        <v>24730</v>
      </c>
      <c r="C9090" s="2" t="s">
        <v>24730</v>
      </c>
      <c r="D9090" s="2" t="str">
        <f>"9707760536"</f>
        <v>9707760536</v>
      </c>
      <c r="E9090" s="2" t="s">
        <v>23911</v>
      </c>
      <c r="F9090" s="2" t="s">
        <v>5105</v>
      </c>
      <c r="G9090" s="2" t="str">
        <f>"SR-12812"</f>
        <v>SR-12812</v>
      </c>
      <c r="H9090" s="2" t="s">
        <v>24731</v>
      </c>
      <c r="I9090" s="2" t="s">
        <v>18787</v>
      </c>
      <c r="K9090" s="2" t="s">
        <v>1048</v>
      </c>
      <c r="L9090" s="2" t="s">
        <v>157</v>
      </c>
      <c r="M9090" s="2">
        <v>80537.0</v>
      </c>
      <c r="N9090" s="2" t="s">
        <v>21</v>
      </c>
    </row>
    <row r="9091" ht="15.75" customHeight="1">
      <c r="A9091" s="2">
        <v>2018.0</v>
      </c>
      <c r="B9091" s="2" t="s">
        <v>37542</v>
      </c>
      <c r="C9091" s="2" t="s">
        <v>37542</v>
      </c>
      <c r="D9091" s="2" t="str">
        <f>"6052206409"</f>
        <v>6052206409</v>
      </c>
      <c r="E9091" s="2" t="s">
        <v>13268</v>
      </c>
      <c r="F9091" s="2" t="s">
        <v>9374</v>
      </c>
      <c r="G9091" s="2" t="str">
        <f>"SR-12815"</f>
        <v>SR-12815</v>
      </c>
      <c r="H9091" s="2" t="s">
        <v>23362</v>
      </c>
      <c r="I9091" s="2" t="s">
        <v>37543</v>
      </c>
      <c r="K9091" s="2" t="s">
        <v>4355</v>
      </c>
      <c r="L9091" s="2" t="s">
        <v>920</v>
      </c>
      <c r="M9091" s="2">
        <v>57501.0</v>
      </c>
      <c r="N9091" s="2" t="s">
        <v>21</v>
      </c>
    </row>
    <row r="9092" ht="15.75" customHeight="1">
      <c r="A9092" s="2">
        <v>2018.0</v>
      </c>
      <c r="B9092" s="2" t="s">
        <v>37544</v>
      </c>
      <c r="C9092" s="2" t="s">
        <v>37545</v>
      </c>
      <c r="D9092" s="2" t="str">
        <f>"(605)280-6604"</f>
        <v>(605)280-6604</v>
      </c>
      <c r="E9092" s="2" t="s">
        <v>1529</v>
      </c>
      <c r="F9092" s="2" t="s">
        <v>7004</v>
      </c>
      <c r="G9092" s="2" t="str">
        <f>"SR-12817"</f>
        <v>SR-12817</v>
      </c>
      <c r="H9092" s="2" t="s">
        <v>37546</v>
      </c>
      <c r="I9092" s="2" t="s">
        <v>7006</v>
      </c>
      <c r="K9092" s="2" t="s">
        <v>4355</v>
      </c>
      <c r="L9092" s="2" t="s">
        <v>920</v>
      </c>
      <c r="M9092" s="2">
        <v>57501.0</v>
      </c>
      <c r="N9092" s="2" t="s">
        <v>21</v>
      </c>
    </row>
    <row r="9093" ht="15.75" customHeight="1">
      <c r="A9093" s="2">
        <v>2018.0</v>
      </c>
      <c r="B9093" s="2" t="s">
        <v>37547</v>
      </c>
      <c r="C9093" s="2" t="s">
        <v>37547</v>
      </c>
      <c r="D9093" s="2" t="str">
        <f>"6052229447"</f>
        <v>6052229447</v>
      </c>
      <c r="E9093" s="2" t="s">
        <v>386</v>
      </c>
      <c r="F9093" s="2" t="s">
        <v>37548</v>
      </c>
      <c r="G9093" s="2" t="str">
        <f>"SR-12818"</f>
        <v>SR-12818</v>
      </c>
      <c r="H9093" s="2" t="s">
        <v>37549</v>
      </c>
      <c r="I9093" s="2" t="s">
        <v>37550</v>
      </c>
      <c r="K9093" s="2" t="s">
        <v>4355</v>
      </c>
      <c r="L9093" s="2" t="s">
        <v>920</v>
      </c>
      <c r="M9093" s="2">
        <v>57501.0</v>
      </c>
      <c r="N9093" s="2" t="s">
        <v>21</v>
      </c>
    </row>
    <row r="9094" ht="15.75" customHeight="1">
      <c r="A9094" s="2">
        <v>2018.0</v>
      </c>
      <c r="B9094" s="2" t="s">
        <v>37551</v>
      </c>
      <c r="C9094" s="2" t="s">
        <v>37551</v>
      </c>
      <c r="D9094" s="2" t="str">
        <f>"858-248-1133"</f>
        <v>858-248-1133</v>
      </c>
      <c r="E9094" s="2" t="s">
        <v>3978</v>
      </c>
      <c r="F9094" s="2" t="s">
        <v>20435</v>
      </c>
      <c r="G9094" s="2" t="str">
        <f>"SR-12726"</f>
        <v>SR-12726</v>
      </c>
      <c r="H9094" s="2" t="s">
        <v>37552</v>
      </c>
      <c r="I9094" s="2" t="s">
        <v>37553</v>
      </c>
      <c r="K9094" s="2" t="s">
        <v>809</v>
      </c>
      <c r="L9094" s="2" t="s">
        <v>157</v>
      </c>
      <c r="M9094" s="2">
        <v>80906.0</v>
      </c>
      <c r="N9094" s="2" t="s">
        <v>21</v>
      </c>
    </row>
    <row r="9095" ht="15.75" customHeight="1">
      <c r="A9095" s="2">
        <v>2018.0</v>
      </c>
      <c r="B9095" s="2" t="s">
        <v>37554</v>
      </c>
      <c r="C9095" s="2" t="s">
        <v>37555</v>
      </c>
      <c r="D9095" s="2" t="str">
        <f>"(405) 888-7409"</f>
        <v>(405) 888-7409</v>
      </c>
      <c r="E9095" s="2" t="s">
        <v>37556</v>
      </c>
      <c r="F9095" s="2" t="s">
        <v>868</v>
      </c>
      <c r="G9095" s="2" t="str">
        <f>"SR-12801"</f>
        <v>SR-12801</v>
      </c>
      <c r="H9095" s="2" t="s">
        <v>37557</v>
      </c>
      <c r="I9095" s="2" t="s">
        <v>37558</v>
      </c>
      <c r="K9095" s="2" t="s">
        <v>1546</v>
      </c>
      <c r="L9095" s="2" t="s">
        <v>840</v>
      </c>
      <c r="M9095" s="2">
        <v>73013.0</v>
      </c>
      <c r="N9095" s="2" t="s">
        <v>21</v>
      </c>
    </row>
    <row r="9096" ht="15.75" customHeight="1">
      <c r="A9096" s="2">
        <v>2018.0</v>
      </c>
      <c r="B9096" s="2" t="s">
        <v>37559</v>
      </c>
      <c r="C9096" s="2" t="s">
        <v>37559</v>
      </c>
      <c r="D9096" s="2" t="str">
        <f>"205-668-0390"</f>
        <v>205-668-0390</v>
      </c>
      <c r="E9096" s="2" t="s">
        <v>4526</v>
      </c>
      <c r="F9096" s="2" t="s">
        <v>639</v>
      </c>
      <c r="G9096" s="2" t="str">
        <f>"SR-12819"</f>
        <v>SR-12819</v>
      </c>
      <c r="H9096" s="2" t="s">
        <v>37560</v>
      </c>
      <c r="I9096" s="2" t="s">
        <v>37561</v>
      </c>
      <c r="K9096" s="2" t="s">
        <v>37562</v>
      </c>
      <c r="L9096" s="2" t="s">
        <v>539</v>
      </c>
      <c r="M9096" s="2">
        <v>35040.0</v>
      </c>
      <c r="N9096" s="2" t="s">
        <v>21</v>
      </c>
    </row>
    <row r="9097" ht="15.75" customHeight="1">
      <c r="A9097" s="2">
        <v>2018.0</v>
      </c>
      <c r="B9097" s="2" t="s">
        <v>37563</v>
      </c>
      <c r="C9097" s="2" t="s">
        <v>37563</v>
      </c>
      <c r="D9097" s="2" t="str">
        <f>"5053798776"</f>
        <v>5053798776</v>
      </c>
      <c r="E9097" s="2" t="s">
        <v>137</v>
      </c>
      <c r="F9097" s="2" t="s">
        <v>2018</v>
      </c>
      <c r="G9097" s="2" t="str">
        <f>"SR-12806"</f>
        <v>SR-12806</v>
      </c>
      <c r="H9097" s="2" t="s">
        <v>37564</v>
      </c>
      <c r="I9097" s="2" t="s">
        <v>37565</v>
      </c>
      <c r="J9097" s="2" t="s">
        <v>3705</v>
      </c>
      <c r="K9097" s="2" t="s">
        <v>3705</v>
      </c>
      <c r="L9097" s="2" t="s">
        <v>789</v>
      </c>
      <c r="M9097" s="2">
        <v>87111.0</v>
      </c>
      <c r="N9097" s="2" t="s">
        <v>21</v>
      </c>
    </row>
    <row r="9098" ht="15.75" customHeight="1">
      <c r="A9098" s="2">
        <v>2018.0</v>
      </c>
      <c r="B9098" s="2" t="s">
        <v>37566</v>
      </c>
      <c r="C9098" s="2" t="s">
        <v>37566</v>
      </c>
      <c r="D9098" s="2" t="str">
        <f>"205-826-7586"</f>
        <v>205-826-7586</v>
      </c>
      <c r="E9098" s="2" t="s">
        <v>955</v>
      </c>
      <c r="F9098" s="2" t="s">
        <v>639</v>
      </c>
      <c r="G9098" s="2" t="str">
        <f>"SR-12820"</f>
        <v>SR-12820</v>
      </c>
      <c r="H9098" s="2" t="s">
        <v>37567</v>
      </c>
      <c r="I9098" s="2" t="s">
        <v>37561</v>
      </c>
      <c r="K9098" s="2" t="s">
        <v>37562</v>
      </c>
      <c r="L9098" s="2" t="s">
        <v>539</v>
      </c>
      <c r="M9098" s="2">
        <v>35040.0</v>
      </c>
      <c r="N9098" s="2" t="s">
        <v>21</v>
      </c>
    </row>
    <row r="9099" ht="15.75" customHeight="1">
      <c r="A9099" s="2">
        <v>2018.0</v>
      </c>
      <c r="B9099" s="2" t="s">
        <v>37568</v>
      </c>
      <c r="C9099" s="2" t="s">
        <v>37569</v>
      </c>
      <c r="D9099" s="2" t="str">
        <f>"3175182720"</f>
        <v>3175182720</v>
      </c>
      <c r="E9099" s="2" t="s">
        <v>385</v>
      </c>
      <c r="F9099" s="2" t="s">
        <v>37570</v>
      </c>
      <c r="G9099" s="2" t="str">
        <f>"SR-12771"</f>
        <v>SR-12771</v>
      </c>
      <c r="H9099" s="2" t="s">
        <v>37571</v>
      </c>
      <c r="I9099" s="2" t="s">
        <v>37572</v>
      </c>
      <c r="K9099" s="2" t="s">
        <v>2674</v>
      </c>
      <c r="L9099" s="2" t="s">
        <v>149</v>
      </c>
      <c r="M9099" s="2">
        <v>46143.0</v>
      </c>
      <c r="N9099" s="2" t="s">
        <v>21</v>
      </c>
    </row>
    <row r="9100" ht="15.75" customHeight="1">
      <c r="A9100" s="2">
        <v>2018.0</v>
      </c>
      <c r="B9100" s="2" t="s">
        <v>37568</v>
      </c>
      <c r="C9100" s="2" t="s">
        <v>37568</v>
      </c>
      <c r="D9100" s="2" t="str">
        <f>"3172584382"</f>
        <v>3172584382</v>
      </c>
      <c r="E9100" s="2" t="s">
        <v>37573</v>
      </c>
      <c r="F9100" s="2" t="s">
        <v>37570</v>
      </c>
      <c r="G9100" s="2" t="str">
        <f>"SR-12770"</f>
        <v>SR-12770</v>
      </c>
      <c r="H9100" s="2" t="s">
        <v>37574</v>
      </c>
      <c r="I9100" s="2" t="s">
        <v>37575</v>
      </c>
      <c r="K9100" s="2" t="s">
        <v>2674</v>
      </c>
      <c r="L9100" s="2" t="s">
        <v>149</v>
      </c>
      <c r="M9100" s="2">
        <v>46143.0</v>
      </c>
      <c r="N9100" s="2" t="s">
        <v>21</v>
      </c>
    </row>
    <row r="9101" ht="15.75" customHeight="1">
      <c r="A9101" s="2">
        <v>2018.0</v>
      </c>
      <c r="B9101" s="2" t="s">
        <v>37576</v>
      </c>
      <c r="C9101" s="2" t="s">
        <v>37577</v>
      </c>
      <c r="D9101" s="2" t="str">
        <f>"9405975747"</f>
        <v>9405975747</v>
      </c>
      <c r="E9101" s="2" t="s">
        <v>1803</v>
      </c>
      <c r="F9101" s="2" t="s">
        <v>37578</v>
      </c>
      <c r="G9101" s="2" t="str">
        <f>"SR-12823"</f>
        <v>SR-12823</v>
      </c>
      <c r="H9101" s="2" t="s">
        <v>37579</v>
      </c>
      <c r="I9101" s="2" t="s">
        <v>37580</v>
      </c>
      <c r="K9101" s="2" t="s">
        <v>6539</v>
      </c>
      <c r="L9101" s="2" t="s">
        <v>172</v>
      </c>
      <c r="M9101" s="2">
        <v>76208.0</v>
      </c>
      <c r="N9101" s="2" t="s">
        <v>21</v>
      </c>
    </row>
    <row r="9102" ht="15.75" customHeight="1">
      <c r="A9102" s="2">
        <v>2018.0</v>
      </c>
      <c r="B9102" s="2" t="s">
        <v>37581</v>
      </c>
      <c r="C9102" s="2" t="s">
        <v>37581</v>
      </c>
      <c r="D9102" s="2" t="str">
        <f>"6052224479"</f>
        <v>6052224479</v>
      </c>
      <c r="E9102" s="2" t="s">
        <v>471</v>
      </c>
      <c r="F9102" s="2" t="s">
        <v>18691</v>
      </c>
      <c r="G9102" s="2" t="str">
        <f>"SR-12824"</f>
        <v>SR-12824</v>
      </c>
      <c r="H9102" s="2" t="s">
        <v>23426</v>
      </c>
      <c r="I9102" s="2" t="s">
        <v>37582</v>
      </c>
      <c r="K9102" s="2" t="s">
        <v>4355</v>
      </c>
      <c r="L9102" s="2" t="s">
        <v>920</v>
      </c>
      <c r="M9102" s="2">
        <v>57501.0</v>
      </c>
      <c r="N9102" s="2" t="s">
        <v>21</v>
      </c>
    </row>
    <row r="9103" ht="15.75" customHeight="1">
      <c r="A9103" s="2">
        <v>2018.0</v>
      </c>
      <c r="B9103" s="2" t="s">
        <v>37583</v>
      </c>
      <c r="C9103" s="2" t="s">
        <v>37584</v>
      </c>
      <c r="D9103" s="2" t="str">
        <f>"712-578-9089"</f>
        <v>712-578-9089</v>
      </c>
      <c r="E9103" s="2" t="s">
        <v>7543</v>
      </c>
      <c r="F9103" s="2" t="s">
        <v>9163</v>
      </c>
      <c r="G9103" s="2" t="str">
        <f>"SR-12814"</f>
        <v>SR-12814</v>
      </c>
      <c r="H9103" s="2" t="s">
        <v>37585</v>
      </c>
      <c r="I9103" s="2" t="s">
        <v>9165</v>
      </c>
      <c r="K9103" s="2" t="s">
        <v>2779</v>
      </c>
      <c r="L9103" s="2" t="s">
        <v>560</v>
      </c>
      <c r="M9103" s="2">
        <v>51250.0</v>
      </c>
      <c r="N9103" s="2" t="s">
        <v>21</v>
      </c>
    </row>
    <row r="9104" ht="15.75" customHeight="1">
      <c r="A9104" s="2">
        <v>2018.0</v>
      </c>
      <c r="B9104" s="2" t="s">
        <v>37586</v>
      </c>
      <c r="C9104" s="2" t="s">
        <v>37586</v>
      </c>
      <c r="D9104" s="2" t="str">
        <f>"716-229-9402"</f>
        <v>716-229-9402</v>
      </c>
      <c r="E9104" s="2" t="s">
        <v>1725</v>
      </c>
      <c r="F9104" s="2" t="s">
        <v>138</v>
      </c>
      <c r="G9104" s="2" t="str">
        <f>"SR-12826"</f>
        <v>SR-12826</v>
      </c>
      <c r="H9104" s="2" t="s">
        <v>37587</v>
      </c>
      <c r="I9104" s="2" t="s">
        <v>37588</v>
      </c>
      <c r="K9104" s="2" t="s">
        <v>16722</v>
      </c>
      <c r="L9104" s="2" t="s">
        <v>142</v>
      </c>
      <c r="M9104" s="2">
        <v>14070.0</v>
      </c>
      <c r="N9104" s="2" t="s">
        <v>21</v>
      </c>
    </row>
    <row r="9105" ht="15.75" customHeight="1">
      <c r="A9105" s="2">
        <v>2018.0</v>
      </c>
      <c r="B9105" s="2" t="s">
        <v>37589</v>
      </c>
      <c r="C9105" s="2" t="s">
        <v>37590</v>
      </c>
      <c r="D9105" s="2" t="str">
        <f>"727-410-7623"</f>
        <v>727-410-7623</v>
      </c>
      <c r="E9105" s="2" t="s">
        <v>6526</v>
      </c>
      <c r="F9105" s="2" t="s">
        <v>11517</v>
      </c>
      <c r="G9105" s="2" t="str">
        <f>"SR-12827"</f>
        <v>SR-12827</v>
      </c>
      <c r="H9105" s="2" t="s">
        <v>37591</v>
      </c>
      <c r="I9105" s="2" t="s">
        <v>37592</v>
      </c>
      <c r="K9105" s="2" t="s">
        <v>30847</v>
      </c>
      <c r="L9105" s="2" t="s">
        <v>208</v>
      </c>
      <c r="M9105" s="2">
        <v>33703.0</v>
      </c>
      <c r="N9105" s="2" t="s">
        <v>21</v>
      </c>
    </row>
    <row r="9106" ht="15.75" customHeight="1">
      <c r="A9106" s="2">
        <v>2018.0</v>
      </c>
      <c r="B9106" s="2" t="s">
        <v>37593</v>
      </c>
      <c r="C9106" s="2" t="s">
        <v>37593</v>
      </c>
      <c r="D9106" s="2" t="str">
        <f>"9073200655"</f>
        <v>9073200655</v>
      </c>
      <c r="E9106" s="2" t="s">
        <v>843</v>
      </c>
      <c r="F9106" s="2" t="s">
        <v>37594</v>
      </c>
      <c r="G9106" s="2" t="str">
        <f>"SR-12774"</f>
        <v>SR-12774</v>
      </c>
      <c r="H9106" s="2" t="s">
        <v>37595</v>
      </c>
      <c r="I9106" s="2" t="s">
        <v>37596</v>
      </c>
      <c r="K9106" s="2" t="s">
        <v>6837</v>
      </c>
      <c r="L9106" s="2" t="s">
        <v>70</v>
      </c>
      <c r="M9106" s="2">
        <v>99573.0</v>
      </c>
      <c r="N9106" s="2" t="s">
        <v>21</v>
      </c>
    </row>
    <row r="9107" ht="15.75" customHeight="1">
      <c r="A9107" s="2">
        <v>2018.0</v>
      </c>
      <c r="B9107" s="2" t="s">
        <v>37597</v>
      </c>
      <c r="C9107" s="2" t="s">
        <v>37598</v>
      </c>
      <c r="D9107" s="2" t="str">
        <f>"970-7690517"</f>
        <v>970-7690517</v>
      </c>
      <c r="E9107" s="2" t="s">
        <v>282</v>
      </c>
      <c r="F9107" s="2" t="s">
        <v>37599</v>
      </c>
      <c r="G9107" s="2" t="str">
        <f>"SR-12785"</f>
        <v>SR-12785</v>
      </c>
      <c r="H9107" s="2" t="s">
        <v>37600</v>
      </c>
      <c r="I9107" s="2" t="s">
        <v>37601</v>
      </c>
      <c r="K9107" s="2" t="s">
        <v>27547</v>
      </c>
      <c r="L9107" s="2" t="s">
        <v>157</v>
      </c>
      <c r="M9107" s="2">
        <v>81416.0</v>
      </c>
      <c r="N9107" s="2" t="s">
        <v>21</v>
      </c>
    </row>
    <row r="9108" ht="15.75" customHeight="1">
      <c r="A9108" s="2">
        <v>2018.0</v>
      </c>
      <c r="B9108" s="2" t="s">
        <v>37602</v>
      </c>
      <c r="C9108" s="2" t="s">
        <v>37602</v>
      </c>
      <c r="D9108" s="2" t="str">
        <f>"205-542-7261"</f>
        <v>205-542-7261</v>
      </c>
      <c r="E9108" s="2" t="s">
        <v>1810</v>
      </c>
      <c r="F9108" s="2" t="s">
        <v>1325</v>
      </c>
      <c r="G9108" s="2" t="str">
        <f>"SR-12746"</f>
        <v>SR-12746</v>
      </c>
      <c r="H9108" s="2" t="s">
        <v>37603</v>
      </c>
      <c r="I9108" s="2" t="s">
        <v>37604</v>
      </c>
      <c r="K9108" s="2" t="s">
        <v>5513</v>
      </c>
      <c r="L9108" s="2" t="s">
        <v>539</v>
      </c>
      <c r="M9108" s="2">
        <v>35173.0</v>
      </c>
      <c r="N9108" s="2" t="s">
        <v>21</v>
      </c>
    </row>
    <row r="9109" ht="15.75" customHeight="1">
      <c r="A9109" s="2">
        <v>2018.0</v>
      </c>
      <c r="B9109" s="2" t="s">
        <v>37605</v>
      </c>
      <c r="C9109" s="2" t="s">
        <v>37605</v>
      </c>
      <c r="D9109" s="2" t="str">
        <f>"6148733399"</f>
        <v>6148733399</v>
      </c>
      <c r="E9109" s="2" t="s">
        <v>37606</v>
      </c>
      <c r="F9109" s="2" t="s">
        <v>5401</v>
      </c>
      <c r="G9109" s="2" t="str">
        <f>"SR-12830"</f>
        <v>SR-12830</v>
      </c>
      <c r="H9109" s="2" t="s">
        <v>37607</v>
      </c>
      <c r="I9109" s="2" t="s">
        <v>37608</v>
      </c>
      <c r="K9109" s="2" t="s">
        <v>11222</v>
      </c>
      <c r="L9109" s="2" t="s">
        <v>344</v>
      </c>
      <c r="M9109" s="2">
        <v>43016.0</v>
      </c>
      <c r="N9109" s="2" t="s">
        <v>21</v>
      </c>
    </row>
    <row r="9110" ht="15.75" customHeight="1">
      <c r="A9110" s="2">
        <v>2018.0</v>
      </c>
      <c r="B9110" s="2" t="s">
        <v>37609</v>
      </c>
      <c r="C9110" s="2" t="s">
        <v>37610</v>
      </c>
      <c r="D9110" s="2" t="str">
        <f>"2146326352"</f>
        <v>2146326352</v>
      </c>
      <c r="E9110" s="2" t="s">
        <v>1000</v>
      </c>
      <c r="F9110" s="2" t="s">
        <v>27198</v>
      </c>
      <c r="G9110" s="2" t="str">
        <f>"SR-12825"</f>
        <v>SR-12825</v>
      </c>
      <c r="H9110" s="2" t="s">
        <v>37611</v>
      </c>
      <c r="I9110" s="2" t="s">
        <v>37612</v>
      </c>
      <c r="K9110" s="2" t="s">
        <v>615</v>
      </c>
      <c r="L9110" s="2" t="s">
        <v>172</v>
      </c>
      <c r="M9110" s="2">
        <v>75071.0</v>
      </c>
      <c r="N9110" s="2" t="s">
        <v>21</v>
      </c>
    </row>
    <row r="9111" ht="15.75" customHeight="1">
      <c r="A9111" s="2">
        <v>2018.0</v>
      </c>
      <c r="B9111" s="2" t="s">
        <v>37613</v>
      </c>
      <c r="C9111" s="2" t="s">
        <v>37614</v>
      </c>
      <c r="D9111" s="2" t="str">
        <f>"719-321-6350"</f>
        <v>719-321-6350</v>
      </c>
      <c r="E9111" s="2" t="s">
        <v>21985</v>
      </c>
      <c r="F9111" s="2" t="s">
        <v>37615</v>
      </c>
      <c r="G9111" s="2" t="str">
        <f>"SR-12835"</f>
        <v>SR-12835</v>
      </c>
      <c r="H9111" s="2" t="s">
        <v>37616</v>
      </c>
      <c r="I9111" s="2" t="s">
        <v>37617</v>
      </c>
      <c r="K9111" s="2" t="s">
        <v>809</v>
      </c>
      <c r="L9111" s="2" t="s">
        <v>157</v>
      </c>
      <c r="M9111" s="2">
        <v>80923.0</v>
      </c>
      <c r="N9111" s="2" t="s">
        <v>21</v>
      </c>
    </row>
    <row r="9112" ht="15.75" customHeight="1">
      <c r="A9112" s="2">
        <v>2018.0</v>
      </c>
      <c r="B9112" s="2" t="s">
        <v>37618</v>
      </c>
      <c r="C9112" s="2" t="s">
        <v>37618</v>
      </c>
      <c r="D9112" s="2" t="str">
        <f>"3615633279"</f>
        <v>3615633279</v>
      </c>
      <c r="E9112" s="2" t="s">
        <v>1387</v>
      </c>
      <c r="F9112" s="2" t="s">
        <v>37619</v>
      </c>
      <c r="G9112" s="2" t="str">
        <f>"SR-12837"</f>
        <v>SR-12837</v>
      </c>
      <c r="H9112" s="2" t="s">
        <v>37620</v>
      </c>
      <c r="I9112" s="2" t="s">
        <v>37621</v>
      </c>
      <c r="K9112" s="2" t="s">
        <v>3987</v>
      </c>
      <c r="L9112" s="2" t="s">
        <v>172</v>
      </c>
      <c r="M9112" s="2">
        <v>78418.0</v>
      </c>
      <c r="N9112" s="2" t="s">
        <v>21</v>
      </c>
    </row>
    <row r="9113" ht="15.75" customHeight="1">
      <c r="A9113" s="2">
        <v>2018.0</v>
      </c>
      <c r="B9113" s="2" t="s">
        <v>37622</v>
      </c>
      <c r="C9113" s="2" t="s">
        <v>37622</v>
      </c>
      <c r="D9113" s="2" t="str">
        <f>"7194261661"</f>
        <v>7194261661</v>
      </c>
      <c r="E9113" s="2" t="s">
        <v>37623</v>
      </c>
      <c r="F9113" s="2" t="s">
        <v>37624</v>
      </c>
      <c r="G9113" s="2" t="str">
        <f>"SR-12829"</f>
        <v>SR-12829</v>
      </c>
      <c r="H9113" s="2" t="s">
        <v>37625</v>
      </c>
      <c r="I9113" s="2" t="s">
        <v>37626</v>
      </c>
      <c r="K9113" s="2" t="s">
        <v>809</v>
      </c>
      <c r="L9113" s="2" t="s">
        <v>157</v>
      </c>
      <c r="M9113" s="2">
        <v>80919.0</v>
      </c>
      <c r="N9113" s="2" t="s">
        <v>21</v>
      </c>
    </row>
    <row r="9114" ht="15.75" customHeight="1">
      <c r="A9114" s="2">
        <v>2018.0</v>
      </c>
      <c r="B9114" s="2" t="s">
        <v>37627</v>
      </c>
      <c r="C9114" s="2" t="s">
        <v>37627</v>
      </c>
      <c r="D9114" s="2" t="str">
        <f>"7409880093"</f>
        <v>7409880093</v>
      </c>
      <c r="E9114" s="2" t="s">
        <v>37628</v>
      </c>
      <c r="F9114" s="2" t="s">
        <v>3406</v>
      </c>
      <c r="G9114" s="2" t="str">
        <f>"SR-12838"</f>
        <v>SR-12838</v>
      </c>
      <c r="H9114" s="2" t="s">
        <v>37629</v>
      </c>
      <c r="I9114" s="2" t="s">
        <v>37630</v>
      </c>
      <c r="K9114" s="2" t="s">
        <v>7670</v>
      </c>
      <c r="L9114" s="2" t="s">
        <v>344</v>
      </c>
      <c r="M9114" s="2">
        <v>45710.0</v>
      </c>
      <c r="N9114" s="2" t="s">
        <v>21</v>
      </c>
    </row>
    <row r="9115" ht="15.75" customHeight="1">
      <c r="A9115" s="2">
        <v>2018.0</v>
      </c>
      <c r="B9115" s="2" t="s">
        <v>37631</v>
      </c>
      <c r="C9115" s="2" t="s">
        <v>37632</v>
      </c>
      <c r="D9115" s="2" t="str">
        <f>"6058771597"</f>
        <v>6058771597</v>
      </c>
      <c r="E9115" s="2" t="s">
        <v>778</v>
      </c>
      <c r="F9115" s="2" t="s">
        <v>4171</v>
      </c>
      <c r="G9115" s="2" t="str">
        <f>"SR-12841"</f>
        <v>SR-12841</v>
      </c>
      <c r="H9115" s="2" t="s">
        <v>37633</v>
      </c>
      <c r="I9115" s="2" t="s">
        <v>37634</v>
      </c>
      <c r="K9115" s="2" t="s">
        <v>11510</v>
      </c>
      <c r="L9115" s="2" t="s">
        <v>920</v>
      </c>
      <c r="M9115" s="2">
        <v>57702.0</v>
      </c>
      <c r="N9115" s="2" t="s">
        <v>21</v>
      </c>
    </row>
    <row r="9116" ht="15.75" customHeight="1">
      <c r="A9116" s="2">
        <v>2018.0</v>
      </c>
      <c r="B9116" s="2" t="s">
        <v>37631</v>
      </c>
      <c r="C9116" s="2" t="s">
        <v>37635</v>
      </c>
      <c r="D9116" s="2" t="str">
        <f>"6058771367"</f>
        <v>6058771367</v>
      </c>
      <c r="E9116" s="2" t="s">
        <v>2162</v>
      </c>
      <c r="F9116" s="2" t="s">
        <v>4171</v>
      </c>
      <c r="G9116" s="2" t="str">
        <f>"SR-12840"</f>
        <v>SR-12840</v>
      </c>
      <c r="H9116" s="2" t="s">
        <v>37636</v>
      </c>
      <c r="I9116" s="2" t="s">
        <v>37634</v>
      </c>
      <c r="K9116" s="2" t="s">
        <v>11510</v>
      </c>
      <c r="L9116" s="2" t="s">
        <v>920</v>
      </c>
      <c r="M9116" s="2">
        <v>57702.0</v>
      </c>
      <c r="N9116" s="2" t="s">
        <v>21</v>
      </c>
    </row>
    <row r="9117" ht="15.75" customHeight="1">
      <c r="A9117" s="2">
        <v>2018.0</v>
      </c>
      <c r="B9117" s="2" t="s">
        <v>37637</v>
      </c>
      <c r="C9117" s="2" t="s">
        <v>37638</v>
      </c>
      <c r="D9117" s="2" t="str">
        <f>"(214) 504-8260"</f>
        <v>(214) 504-8260</v>
      </c>
      <c r="E9117" s="2" t="s">
        <v>2162</v>
      </c>
      <c r="F9117" s="2" t="s">
        <v>37639</v>
      </c>
      <c r="G9117" s="2" t="str">
        <f>"SR-12808"</f>
        <v>SR-12808</v>
      </c>
      <c r="H9117" s="2" t="s">
        <v>37640</v>
      </c>
      <c r="I9117" s="2" t="s">
        <v>37641</v>
      </c>
      <c r="K9117" s="2" t="s">
        <v>19366</v>
      </c>
      <c r="L9117" s="2" t="s">
        <v>172</v>
      </c>
      <c r="M9117" s="2">
        <v>75087.0</v>
      </c>
      <c r="N9117" s="2" t="s">
        <v>21</v>
      </c>
    </row>
    <row r="9118" ht="15.75" customHeight="1">
      <c r="A9118" s="2">
        <v>2018.0</v>
      </c>
      <c r="B9118" s="2" t="s">
        <v>37642</v>
      </c>
      <c r="D9118" s="2" t="str">
        <f>""</f>
        <v/>
      </c>
      <c r="E9118" s="2" t="s">
        <v>37643</v>
      </c>
      <c r="F9118" s="2" t="s">
        <v>24501</v>
      </c>
      <c r="G9118" s="2" t="str">
        <f>"SR-12842"</f>
        <v>SR-12842</v>
      </c>
      <c r="H9118" s="2" t="s">
        <v>37644</v>
      </c>
      <c r="N9118" s="2" t="s">
        <v>21</v>
      </c>
    </row>
    <row r="9119" ht="15.75" customHeight="1">
      <c r="A9119" s="2">
        <v>2018.0</v>
      </c>
      <c r="B9119" s="2" t="s">
        <v>37645</v>
      </c>
      <c r="C9119" s="2" t="s">
        <v>37645</v>
      </c>
      <c r="D9119" s="2" t="str">
        <f>"7167855213"</f>
        <v>7167855213</v>
      </c>
      <c r="E9119" s="2" t="s">
        <v>19552</v>
      </c>
      <c r="F9119" s="2" t="s">
        <v>138</v>
      </c>
      <c r="G9119" s="2" t="str">
        <f>"SR-12843"</f>
        <v>SR-12843</v>
      </c>
      <c r="H9119" s="2" t="s">
        <v>37646</v>
      </c>
      <c r="I9119" s="2" t="s">
        <v>37647</v>
      </c>
      <c r="K9119" s="2" t="s">
        <v>16700</v>
      </c>
      <c r="L9119" s="2" t="s">
        <v>142</v>
      </c>
      <c r="M9119" s="2">
        <v>14063.0</v>
      </c>
      <c r="N9119" s="2" t="s">
        <v>21</v>
      </c>
    </row>
    <row r="9120" ht="15.75" customHeight="1">
      <c r="A9120" s="2">
        <v>2018.0</v>
      </c>
      <c r="B9120" s="2" t="s">
        <v>37648</v>
      </c>
      <c r="C9120" s="2" t="s">
        <v>37648</v>
      </c>
      <c r="D9120" s="2" t="str">
        <f>"5856428780"</f>
        <v>5856428780</v>
      </c>
      <c r="E9120" s="2" t="s">
        <v>1434</v>
      </c>
      <c r="F9120" s="2" t="s">
        <v>1301</v>
      </c>
      <c r="G9120" s="2" t="str">
        <f>"SR-12845"</f>
        <v>SR-12845</v>
      </c>
      <c r="H9120" s="2" t="s">
        <v>37649</v>
      </c>
      <c r="I9120" s="2" t="s">
        <v>37650</v>
      </c>
      <c r="K9120" s="2" t="s">
        <v>2804</v>
      </c>
      <c r="L9120" s="2" t="s">
        <v>142</v>
      </c>
      <c r="M9120" s="2">
        <v>14624.0</v>
      </c>
      <c r="N9120" s="2" t="s">
        <v>21</v>
      </c>
    </row>
    <row r="9121" ht="15.75" customHeight="1">
      <c r="A9121" s="2">
        <v>2018.0</v>
      </c>
      <c r="B9121" s="2" t="s">
        <v>37651</v>
      </c>
      <c r="C9121" s="2" t="s">
        <v>37652</v>
      </c>
      <c r="D9121" s="2" t="str">
        <f>"423-310-3733"</f>
        <v>423-310-3733</v>
      </c>
      <c r="E9121" s="2" t="s">
        <v>1257</v>
      </c>
      <c r="F9121" s="2" t="s">
        <v>37653</v>
      </c>
      <c r="G9121" s="2" t="str">
        <f>"SR-12836"</f>
        <v>SR-12836</v>
      </c>
      <c r="H9121" s="2" t="s">
        <v>37654</v>
      </c>
      <c r="I9121" s="2" t="s">
        <v>37655</v>
      </c>
      <c r="K9121" s="2" t="s">
        <v>1408</v>
      </c>
      <c r="L9121" s="2" t="s">
        <v>279</v>
      </c>
      <c r="M9121" s="2">
        <v>37312.0</v>
      </c>
      <c r="N9121" s="2" t="s">
        <v>21</v>
      </c>
    </row>
    <row r="9122" ht="15.75" customHeight="1">
      <c r="A9122" s="2">
        <v>2018.0</v>
      </c>
      <c r="B9122" s="2" t="s">
        <v>2451</v>
      </c>
      <c r="C9122" s="2" t="s">
        <v>37656</v>
      </c>
      <c r="D9122" s="2" t="str">
        <f>"402-926-8911"</f>
        <v>402-926-8911</v>
      </c>
      <c r="E9122" s="2" t="s">
        <v>2452</v>
      </c>
      <c r="F9122" s="2" t="s">
        <v>2453</v>
      </c>
      <c r="G9122" s="2" t="str">
        <f>"SR-12832"</f>
        <v>SR-12832</v>
      </c>
      <c r="H9122" s="2" t="s">
        <v>2454</v>
      </c>
      <c r="I9122" s="2" t="s">
        <v>37657</v>
      </c>
      <c r="K9122" s="2" t="s">
        <v>1470</v>
      </c>
      <c r="L9122" s="2" t="s">
        <v>757</v>
      </c>
      <c r="M9122" s="2">
        <v>68116.0</v>
      </c>
      <c r="N9122" s="2" t="s">
        <v>21</v>
      </c>
    </row>
    <row r="9123" ht="15.75" customHeight="1">
      <c r="A9123" s="2">
        <v>2018.0</v>
      </c>
      <c r="B9123" s="2" t="s">
        <v>2451</v>
      </c>
      <c r="C9123" s="2" t="s">
        <v>37658</v>
      </c>
      <c r="D9123" s="2" t="str">
        <f>"402-763-9971"</f>
        <v>402-763-9971</v>
      </c>
      <c r="E9123" s="2" t="s">
        <v>37659</v>
      </c>
      <c r="F9123" s="2" t="s">
        <v>2453</v>
      </c>
      <c r="G9123" s="2" t="str">
        <f>"SR-12831"</f>
        <v>SR-12831</v>
      </c>
      <c r="H9123" s="2" t="s">
        <v>37660</v>
      </c>
      <c r="I9123" s="2" t="s">
        <v>2455</v>
      </c>
      <c r="K9123" s="2" t="s">
        <v>1470</v>
      </c>
      <c r="L9123" s="2" t="s">
        <v>757</v>
      </c>
      <c r="M9123" s="2">
        <v>68116.0</v>
      </c>
      <c r="N9123" s="2" t="s">
        <v>21</v>
      </c>
    </row>
    <row r="9124" ht="15.75" customHeight="1">
      <c r="A9124" s="2">
        <v>2018.0</v>
      </c>
      <c r="B9124" s="2" t="s">
        <v>37661</v>
      </c>
      <c r="C9124" s="2" t="s">
        <v>37662</v>
      </c>
      <c r="D9124" s="2" t="str">
        <f>"13178109749"</f>
        <v>13178109749</v>
      </c>
      <c r="E9124" s="2" t="s">
        <v>6202</v>
      </c>
      <c r="F9124" s="2" t="s">
        <v>30740</v>
      </c>
      <c r="G9124" s="2" t="str">
        <f>"SR-12848"</f>
        <v>SR-12848</v>
      </c>
      <c r="H9124" s="2" t="s">
        <v>37663</v>
      </c>
      <c r="I9124" s="2" t="s">
        <v>30742</v>
      </c>
      <c r="K9124" s="2" t="s">
        <v>10407</v>
      </c>
      <c r="L9124" s="2" t="s">
        <v>149</v>
      </c>
      <c r="M9124" s="2">
        <v>46033.0</v>
      </c>
      <c r="N9124" s="2" t="s">
        <v>21</v>
      </c>
    </row>
    <row r="9125" ht="15.75" customHeight="1">
      <c r="A9125" s="2">
        <v>2018.0</v>
      </c>
      <c r="B9125" s="2" t="s">
        <v>37661</v>
      </c>
      <c r="C9125" s="2" t="s">
        <v>37664</v>
      </c>
      <c r="D9125" s="2" t="str">
        <f>"3178109749"</f>
        <v>3178109749</v>
      </c>
      <c r="E9125" s="2" t="s">
        <v>5760</v>
      </c>
      <c r="F9125" s="2" t="s">
        <v>30740</v>
      </c>
      <c r="G9125" s="2" t="str">
        <f>"SR-12847"</f>
        <v>SR-12847</v>
      </c>
      <c r="H9125" s="2" t="s">
        <v>30741</v>
      </c>
      <c r="I9125" s="2" t="s">
        <v>30742</v>
      </c>
      <c r="K9125" s="2" t="s">
        <v>10407</v>
      </c>
      <c r="L9125" s="2" t="s">
        <v>149</v>
      </c>
      <c r="M9125" s="2">
        <v>46033.0</v>
      </c>
      <c r="N9125" s="2" t="s">
        <v>21</v>
      </c>
    </row>
    <row r="9126" ht="15.75" customHeight="1">
      <c r="A9126" s="2">
        <v>2018.0</v>
      </c>
      <c r="B9126" s="2" t="s">
        <v>37665</v>
      </c>
      <c r="C9126" s="2" t="s">
        <v>37666</v>
      </c>
      <c r="D9126" s="2" t="str">
        <f>"808-989-5752"</f>
        <v>808-989-5752</v>
      </c>
      <c r="E9126" s="2" t="s">
        <v>250</v>
      </c>
      <c r="F9126" s="2" t="s">
        <v>72</v>
      </c>
      <c r="G9126" s="2" t="str">
        <f>"SR-12751"</f>
        <v>SR-12751</v>
      </c>
      <c r="H9126" s="2" t="s">
        <v>37667</v>
      </c>
      <c r="I9126" s="2" t="s">
        <v>37668</v>
      </c>
      <c r="K9126" s="2" t="s">
        <v>809</v>
      </c>
      <c r="L9126" s="2" t="s">
        <v>157</v>
      </c>
      <c r="M9126" s="2">
        <v>80920.0</v>
      </c>
      <c r="N9126" s="2" t="s">
        <v>21</v>
      </c>
    </row>
    <row r="9127" ht="15.75" customHeight="1">
      <c r="A9127" s="2">
        <v>2018.0</v>
      </c>
      <c r="B9127" s="2" t="s">
        <v>37669</v>
      </c>
      <c r="C9127" s="2" t="s">
        <v>37669</v>
      </c>
      <c r="D9127" s="2" t="str">
        <f>"9168843018"</f>
        <v>9168843018</v>
      </c>
      <c r="E9127" s="2" t="s">
        <v>2412</v>
      </c>
      <c r="F9127" s="2" t="s">
        <v>12694</v>
      </c>
      <c r="G9127" s="2" t="str">
        <f>"SR-12850"</f>
        <v>SR-12850</v>
      </c>
      <c r="H9127" s="2" t="s">
        <v>37670</v>
      </c>
      <c r="I9127" s="2" t="s">
        <v>37671</v>
      </c>
      <c r="K9127" s="2" t="s">
        <v>5855</v>
      </c>
      <c r="L9127" s="2" t="s">
        <v>172</v>
      </c>
      <c r="M9127" s="2">
        <v>77389.0</v>
      </c>
      <c r="N9127" s="2" t="s">
        <v>21</v>
      </c>
    </row>
    <row r="9128" ht="15.75" customHeight="1">
      <c r="A9128" s="2">
        <v>2018.0</v>
      </c>
      <c r="B9128" s="2" t="s">
        <v>37672</v>
      </c>
      <c r="C9128" s="2" t="s">
        <v>37672</v>
      </c>
      <c r="D9128" s="2" t="str">
        <f>"6098285180"</f>
        <v>6098285180</v>
      </c>
      <c r="E9128" s="2" t="s">
        <v>1767</v>
      </c>
      <c r="F9128" s="2" t="s">
        <v>6336</v>
      </c>
      <c r="G9128" s="2" t="str">
        <f>"SR-12852"</f>
        <v>SR-12852</v>
      </c>
      <c r="H9128" s="2" t="s">
        <v>37673</v>
      </c>
      <c r="I9128" s="2" t="s">
        <v>6338</v>
      </c>
      <c r="K9128" s="2" t="s">
        <v>6339</v>
      </c>
      <c r="L9128" s="2" t="s">
        <v>3618</v>
      </c>
      <c r="M9128" s="2">
        <v>8043.0</v>
      </c>
      <c r="N9128" s="2" t="s">
        <v>21</v>
      </c>
    </row>
    <row r="9129" ht="15.75" customHeight="1">
      <c r="A9129" s="2">
        <v>2018.0</v>
      </c>
      <c r="B9129" s="2" t="s">
        <v>37674</v>
      </c>
      <c r="C9129" s="2" t="s">
        <v>37675</v>
      </c>
      <c r="D9129" s="2" t="str">
        <f>"+1 505-554-8029"</f>
        <v>+1 505-554-8029</v>
      </c>
      <c r="E9129" s="2" t="s">
        <v>339</v>
      </c>
      <c r="F9129" s="2" t="s">
        <v>37676</v>
      </c>
      <c r="G9129" s="2" t="str">
        <f>"SR-12718"</f>
        <v>SR-12718</v>
      </c>
      <c r="H9129" s="2" t="s">
        <v>37677</v>
      </c>
      <c r="I9129" s="2" t="s">
        <v>37678</v>
      </c>
      <c r="K9129" s="2" t="s">
        <v>3705</v>
      </c>
      <c r="L9129" s="2" t="s">
        <v>789</v>
      </c>
      <c r="M9129" s="2">
        <v>87111.0</v>
      </c>
      <c r="N9129" s="2" t="s">
        <v>21</v>
      </c>
    </row>
    <row r="9130" ht="15.75" customHeight="1">
      <c r="A9130" s="2">
        <v>2018.0</v>
      </c>
      <c r="B9130" s="2" t="s">
        <v>37679</v>
      </c>
      <c r="C9130" s="2" t="s">
        <v>37680</v>
      </c>
      <c r="D9130" s="2" t="str">
        <f>"402 614 1032"</f>
        <v>402 614 1032</v>
      </c>
      <c r="E9130" s="2" t="s">
        <v>7389</v>
      </c>
      <c r="F9130" s="2" t="s">
        <v>14100</v>
      </c>
      <c r="G9130" s="2" t="str">
        <f>"SR-12855"</f>
        <v>SR-12855</v>
      </c>
      <c r="H9130" s="2" t="s">
        <v>37681</v>
      </c>
      <c r="I9130" s="2" t="s">
        <v>37682</v>
      </c>
      <c r="K9130" s="2" t="s">
        <v>7477</v>
      </c>
      <c r="L9130" s="2" t="s">
        <v>757</v>
      </c>
      <c r="M9130" s="2">
        <v>68874.0</v>
      </c>
      <c r="N9130" s="2" t="s">
        <v>21</v>
      </c>
    </row>
    <row r="9131" ht="15.75" customHeight="1">
      <c r="A9131" s="2">
        <v>2018.0</v>
      </c>
      <c r="B9131" s="2" t="s">
        <v>37679</v>
      </c>
      <c r="C9131" s="2" t="s">
        <v>37683</v>
      </c>
      <c r="D9131" s="2" t="str">
        <f>"3087300300"</f>
        <v>3087300300</v>
      </c>
      <c r="E9131" s="2" t="s">
        <v>1239</v>
      </c>
      <c r="F9131" s="2" t="s">
        <v>37684</v>
      </c>
      <c r="G9131" s="2" t="str">
        <f>"SR-12854"</f>
        <v>SR-12854</v>
      </c>
      <c r="H9131" s="2" t="s">
        <v>37685</v>
      </c>
      <c r="I9131" s="2" t="s">
        <v>37686</v>
      </c>
      <c r="K9131" s="2" t="s">
        <v>23851</v>
      </c>
      <c r="L9131" s="2" t="s">
        <v>757</v>
      </c>
      <c r="M9131" s="2">
        <v>68862.0</v>
      </c>
      <c r="N9131" s="2" t="s">
        <v>21</v>
      </c>
    </row>
    <row r="9132" ht="15.75" customHeight="1">
      <c r="A9132" s="2">
        <v>2018.0</v>
      </c>
      <c r="B9132" s="2" t="s">
        <v>37687</v>
      </c>
      <c r="C9132" s="2" t="s">
        <v>37688</v>
      </c>
      <c r="D9132" s="2" t="str">
        <f>"9524526793"</f>
        <v>9524526793</v>
      </c>
      <c r="E9132" s="2" t="s">
        <v>6561</v>
      </c>
      <c r="F9132" s="2" t="s">
        <v>9481</v>
      </c>
      <c r="G9132" s="2" t="str">
        <f>"SR-12856"</f>
        <v>SR-12856</v>
      </c>
      <c r="H9132" s="2" t="s">
        <v>37689</v>
      </c>
      <c r="I9132" s="2" t="s">
        <v>37690</v>
      </c>
      <c r="K9132" s="2" t="s">
        <v>626</v>
      </c>
      <c r="L9132" s="2" t="s">
        <v>62</v>
      </c>
      <c r="M9132" s="2">
        <v>55388.0</v>
      </c>
      <c r="N9132" s="2" t="s">
        <v>21</v>
      </c>
    </row>
    <row r="9133" ht="15.75" customHeight="1">
      <c r="A9133" s="2">
        <v>2018.0</v>
      </c>
      <c r="B9133" s="2" t="s">
        <v>37691</v>
      </c>
      <c r="C9133" s="2" t="s">
        <v>37691</v>
      </c>
      <c r="D9133" s="2" t="str">
        <f>"(320) 224-8365"</f>
        <v>(320) 224-8365</v>
      </c>
      <c r="E9133" s="2" t="s">
        <v>2598</v>
      </c>
      <c r="F9133" s="2" t="s">
        <v>16749</v>
      </c>
      <c r="G9133" s="2" t="str">
        <f>"SR-12857"</f>
        <v>SR-12857</v>
      </c>
      <c r="H9133" s="2" t="s">
        <v>37692</v>
      </c>
      <c r="I9133" s="2" t="s">
        <v>37693</v>
      </c>
      <c r="K9133" s="2" t="s">
        <v>11526</v>
      </c>
      <c r="L9133" s="2" t="s">
        <v>62</v>
      </c>
      <c r="M9133" s="2">
        <v>56301.0</v>
      </c>
      <c r="N9133" s="2" t="s">
        <v>21</v>
      </c>
    </row>
    <row r="9134" ht="15.75" customHeight="1">
      <c r="A9134" s="2">
        <v>2018.0</v>
      </c>
      <c r="B9134" s="2" t="s">
        <v>37694</v>
      </c>
      <c r="C9134" s="2" t="s">
        <v>37694</v>
      </c>
      <c r="D9134" s="2" t="str">
        <f>"+85254928001"</f>
        <v>+85254928001</v>
      </c>
      <c r="E9134" s="2" t="s">
        <v>2361</v>
      </c>
      <c r="F9134" s="2" t="s">
        <v>37695</v>
      </c>
      <c r="G9134" s="2" t="str">
        <f>"SR-12849"</f>
        <v>SR-12849</v>
      </c>
      <c r="H9134" s="2" t="s">
        <v>37696</v>
      </c>
      <c r="I9134" s="2" t="s">
        <v>37697</v>
      </c>
      <c r="J9134" s="2" t="s">
        <v>37698</v>
      </c>
      <c r="K9134" s="2" t="s">
        <v>19761</v>
      </c>
      <c r="L9134" s="2" t="s">
        <v>222</v>
      </c>
      <c r="M9134" s="2">
        <v>0.0</v>
      </c>
      <c r="N9134" s="2" t="s">
        <v>21</v>
      </c>
    </row>
    <row r="9135" ht="15.75" customHeight="1">
      <c r="A9135" s="2">
        <v>2018.0</v>
      </c>
      <c r="B9135" s="2" t="s">
        <v>37699</v>
      </c>
      <c r="C9135" s="2" t="s">
        <v>37699</v>
      </c>
      <c r="D9135" s="2" t="str">
        <f>"1234567890"</f>
        <v>1234567890</v>
      </c>
      <c r="E9135" s="2" t="s">
        <v>37700</v>
      </c>
      <c r="F9135" s="2" t="s">
        <v>10358</v>
      </c>
      <c r="G9135" s="2" t="str">
        <f>"SR-12714"</f>
        <v>SR-12714</v>
      </c>
      <c r="H9135" s="2" t="s">
        <v>37701</v>
      </c>
      <c r="I9135" s="2">
        <v>123.0</v>
      </c>
      <c r="K9135" s="2" t="s">
        <v>8537</v>
      </c>
      <c r="L9135" s="2" t="s">
        <v>29</v>
      </c>
      <c r="M9135" s="2">
        <v>52601.0</v>
      </c>
      <c r="N9135" s="2" t="s">
        <v>21</v>
      </c>
    </row>
    <row r="9136" ht="15.75" customHeight="1">
      <c r="A9136" s="2">
        <v>2018.0</v>
      </c>
      <c r="B9136" s="2" t="s">
        <v>37702</v>
      </c>
      <c r="C9136" s="2" t="s">
        <v>37703</v>
      </c>
      <c r="D9136" s="2" t="str">
        <f>"2053058229"</f>
        <v>2053058229</v>
      </c>
      <c r="E9136" s="2" t="s">
        <v>988</v>
      </c>
      <c r="F9136" s="2" t="s">
        <v>37704</v>
      </c>
      <c r="G9136" s="2" t="str">
        <f>"SR-12859"</f>
        <v>SR-12859</v>
      </c>
      <c r="H9136" s="2" t="s">
        <v>37705</v>
      </c>
      <c r="I9136" s="2" t="s">
        <v>37706</v>
      </c>
      <c r="K9136" s="2" t="s">
        <v>37707</v>
      </c>
      <c r="L9136" s="2" t="s">
        <v>539</v>
      </c>
      <c r="M9136" s="2">
        <v>35126.0</v>
      </c>
      <c r="N9136" s="2" t="s">
        <v>21</v>
      </c>
    </row>
    <row r="9137" ht="15.75" customHeight="1">
      <c r="A9137" s="2">
        <v>2018.0</v>
      </c>
      <c r="B9137" s="2" t="s">
        <v>37708</v>
      </c>
      <c r="C9137" s="2" t="s">
        <v>37708</v>
      </c>
      <c r="D9137" s="2" t="str">
        <f>"8136529310"</f>
        <v>8136529310</v>
      </c>
      <c r="E9137" s="2" t="s">
        <v>1434</v>
      </c>
      <c r="F9137" s="2" t="s">
        <v>962</v>
      </c>
      <c r="G9137" s="2" t="str">
        <f>"SR-12864"</f>
        <v>SR-12864</v>
      </c>
      <c r="H9137" s="2" t="s">
        <v>37709</v>
      </c>
      <c r="I9137" s="2" t="s">
        <v>37710</v>
      </c>
      <c r="K9137" s="2" t="s">
        <v>5683</v>
      </c>
      <c r="L9137" s="2" t="s">
        <v>208</v>
      </c>
      <c r="M9137" s="2">
        <v>33594.0</v>
      </c>
      <c r="N9137" s="2" t="s">
        <v>21</v>
      </c>
    </row>
    <row r="9138" ht="15.75" customHeight="1">
      <c r="A9138" s="2">
        <v>2018.0</v>
      </c>
      <c r="B9138" s="2" t="s">
        <v>37711</v>
      </c>
      <c r="C9138" s="2" t="s">
        <v>37711</v>
      </c>
      <c r="D9138" s="2" t="str">
        <f>"00131654363494"</f>
        <v>00131654363494</v>
      </c>
      <c r="E9138" s="2" t="s">
        <v>37712</v>
      </c>
      <c r="F9138" s="2" t="s">
        <v>37713</v>
      </c>
      <c r="G9138" s="2" t="str">
        <f>"SR-12865"</f>
        <v>SR-12865</v>
      </c>
      <c r="H9138" s="2" t="s">
        <v>37714</v>
      </c>
      <c r="I9138" s="2" t="s">
        <v>37715</v>
      </c>
      <c r="K9138" s="2" t="s">
        <v>37716</v>
      </c>
      <c r="N9138" s="2" t="s">
        <v>37717</v>
      </c>
    </row>
    <row r="9139" ht="15.75" customHeight="1">
      <c r="A9139" s="2">
        <v>2018.0</v>
      </c>
      <c r="B9139" s="2" t="s">
        <v>37718</v>
      </c>
      <c r="C9139" s="2" t="s">
        <v>37718</v>
      </c>
      <c r="D9139" s="2" t="str">
        <f>"7868776055"</f>
        <v>7868776055</v>
      </c>
      <c r="E9139" s="2" t="s">
        <v>373</v>
      </c>
      <c r="F9139" s="2" t="s">
        <v>7226</v>
      </c>
      <c r="G9139" s="2" t="str">
        <f>"SR-12860"</f>
        <v>SR-12860</v>
      </c>
      <c r="H9139" s="2" t="s">
        <v>37719</v>
      </c>
      <c r="I9139" s="2" t="s">
        <v>37720</v>
      </c>
      <c r="K9139" s="2" t="s">
        <v>7229</v>
      </c>
      <c r="L9139" s="2" t="s">
        <v>208</v>
      </c>
      <c r="M9139" s="2">
        <v>33033.0</v>
      </c>
      <c r="N9139" s="2" t="s">
        <v>21</v>
      </c>
    </row>
    <row r="9140" ht="15.75" customHeight="1">
      <c r="A9140" s="2">
        <v>2018.0</v>
      </c>
      <c r="B9140" s="2" t="s">
        <v>37721</v>
      </c>
      <c r="C9140" s="2" t="s">
        <v>37721</v>
      </c>
      <c r="D9140" s="2" t="str">
        <f>"8634640897"</f>
        <v>8634640897</v>
      </c>
      <c r="E9140" s="2" t="s">
        <v>100</v>
      </c>
      <c r="F9140" s="2" t="s">
        <v>37722</v>
      </c>
      <c r="G9140" s="2" t="str">
        <f>"SR-12869"</f>
        <v>SR-12869</v>
      </c>
      <c r="H9140" s="2" t="s">
        <v>37723</v>
      </c>
      <c r="I9140" s="2" t="s">
        <v>37724</v>
      </c>
      <c r="K9140" s="2" t="s">
        <v>26300</v>
      </c>
      <c r="L9140" s="2" t="s">
        <v>208</v>
      </c>
      <c r="M9140" s="2">
        <v>33852.0</v>
      </c>
      <c r="N9140" s="2" t="s">
        <v>21</v>
      </c>
    </row>
    <row r="9141" ht="15.75" customHeight="1">
      <c r="A9141" s="2">
        <v>2018.0</v>
      </c>
      <c r="B9141" s="2" t="s">
        <v>37725</v>
      </c>
      <c r="C9141" s="2" t="s">
        <v>37725</v>
      </c>
      <c r="D9141" s="2" t="str">
        <f>"5134315051"</f>
        <v>5134315051</v>
      </c>
      <c r="E9141" s="2" t="s">
        <v>37726</v>
      </c>
      <c r="F9141" s="2" t="s">
        <v>1170</v>
      </c>
      <c r="G9141" s="2" t="str">
        <f>"SR-12861"</f>
        <v>SR-12861</v>
      </c>
      <c r="H9141" s="2" t="s">
        <v>37727</v>
      </c>
      <c r="I9141" s="2" t="s">
        <v>37728</v>
      </c>
      <c r="K9141" s="2" t="s">
        <v>14667</v>
      </c>
      <c r="L9141" s="2" t="s">
        <v>1236</v>
      </c>
      <c r="M9141" s="2">
        <v>41091.0</v>
      </c>
      <c r="N9141" s="2" t="s">
        <v>21</v>
      </c>
    </row>
    <row r="9142" ht="15.75" customHeight="1">
      <c r="A9142" s="2">
        <v>2018.0</v>
      </c>
      <c r="B9142" s="2" t="s">
        <v>37729</v>
      </c>
      <c r="C9142" s="2" t="s">
        <v>37730</v>
      </c>
      <c r="D9142" s="2" t="str">
        <f t="shared" ref="D9142:D9143" si="145">"7192821641"</f>
        <v>7192821641</v>
      </c>
      <c r="E9142" s="2" t="s">
        <v>1585</v>
      </c>
      <c r="F9142" s="2" t="s">
        <v>37731</v>
      </c>
      <c r="G9142" s="2" t="str">
        <f>"SR-12765"</f>
        <v>SR-12765</v>
      </c>
      <c r="H9142" s="2" t="s">
        <v>37732</v>
      </c>
      <c r="I9142" s="2" t="s">
        <v>37733</v>
      </c>
      <c r="K9142" s="2" t="s">
        <v>809</v>
      </c>
      <c r="L9142" s="2" t="s">
        <v>157</v>
      </c>
      <c r="M9142" s="2">
        <v>80920.0</v>
      </c>
      <c r="N9142" s="2" t="s">
        <v>21</v>
      </c>
    </row>
    <row r="9143" ht="15.75" customHeight="1">
      <c r="A9143" s="2">
        <v>2018.0</v>
      </c>
      <c r="B9143" s="2" t="s">
        <v>37729</v>
      </c>
      <c r="C9143" s="2" t="s">
        <v>37734</v>
      </c>
      <c r="D9143" s="2" t="str">
        <f t="shared" si="145"/>
        <v>7192821641</v>
      </c>
      <c r="E9143" s="2" t="s">
        <v>2263</v>
      </c>
      <c r="F9143" s="2" t="s">
        <v>37731</v>
      </c>
      <c r="G9143" s="2" t="str">
        <f>"SR-12764"</f>
        <v>SR-12764</v>
      </c>
      <c r="H9143" s="2" t="s">
        <v>37735</v>
      </c>
      <c r="I9143" s="2" t="s">
        <v>37733</v>
      </c>
      <c r="K9143" s="2" t="s">
        <v>809</v>
      </c>
      <c r="L9143" s="2" t="s">
        <v>157</v>
      </c>
      <c r="M9143" s="2">
        <v>80920.0</v>
      </c>
      <c r="N9143" s="2" t="s">
        <v>21</v>
      </c>
    </row>
    <row r="9144" ht="15.75" customHeight="1">
      <c r="A9144" s="2">
        <v>2018.0</v>
      </c>
      <c r="B9144" s="2" t="s">
        <v>37736</v>
      </c>
      <c r="C9144" s="2" t="s">
        <v>37736</v>
      </c>
      <c r="D9144" s="2" t="str">
        <f>"205-612-4619"</f>
        <v>205-612-4619</v>
      </c>
      <c r="E9144" s="2" t="s">
        <v>26087</v>
      </c>
      <c r="F9144" s="2" t="s">
        <v>17571</v>
      </c>
      <c r="G9144" s="2" t="str">
        <f>"SR-12871"</f>
        <v>SR-12871</v>
      </c>
      <c r="H9144" s="2" t="s">
        <v>37737</v>
      </c>
      <c r="I9144" s="2" t="s">
        <v>37738</v>
      </c>
      <c r="K9144" s="2" t="s">
        <v>37739</v>
      </c>
      <c r="L9144" s="2" t="s">
        <v>200</v>
      </c>
      <c r="M9144" s="2">
        <v>30110.0</v>
      </c>
      <c r="N9144" s="2" t="s">
        <v>21</v>
      </c>
    </row>
    <row r="9145" ht="15.75" customHeight="1">
      <c r="A9145" s="2">
        <v>2018.0</v>
      </c>
      <c r="B9145" s="2" t="s">
        <v>37736</v>
      </c>
      <c r="C9145" s="2" t="s">
        <v>37740</v>
      </c>
      <c r="D9145" s="2" t="str">
        <f>"205-913-5777"</f>
        <v>205-913-5777</v>
      </c>
      <c r="E9145" s="2" t="s">
        <v>1094</v>
      </c>
      <c r="F9145" s="2" t="s">
        <v>17571</v>
      </c>
      <c r="G9145" s="2" t="str">
        <f>"SR-12870"</f>
        <v>SR-12870</v>
      </c>
      <c r="H9145" s="2" t="s">
        <v>37741</v>
      </c>
      <c r="I9145" s="2" t="s">
        <v>37738</v>
      </c>
      <c r="K9145" s="2" t="s">
        <v>37739</v>
      </c>
      <c r="L9145" s="2" t="s">
        <v>200</v>
      </c>
      <c r="M9145" s="2">
        <v>30110.0</v>
      </c>
      <c r="N9145" s="2" t="s">
        <v>21</v>
      </c>
    </row>
    <row r="9146" ht="15.75" customHeight="1">
      <c r="A9146" s="2">
        <v>2018.0</v>
      </c>
      <c r="B9146" s="2" t="s">
        <v>37742</v>
      </c>
      <c r="C9146" s="2" t="s">
        <v>37743</v>
      </c>
      <c r="D9146" s="2" t="str">
        <f>"7209657451"</f>
        <v>7209657451</v>
      </c>
      <c r="E9146" s="2" t="s">
        <v>35945</v>
      </c>
      <c r="F9146" s="2" t="s">
        <v>724</v>
      </c>
      <c r="G9146" s="2" t="str">
        <f>"SR-12868"</f>
        <v>SR-12868</v>
      </c>
      <c r="H9146" s="2" t="s">
        <v>37744</v>
      </c>
      <c r="I9146" s="2" t="s">
        <v>37745</v>
      </c>
      <c r="K9146" s="2" t="s">
        <v>1520</v>
      </c>
      <c r="L9146" s="2" t="s">
        <v>157</v>
      </c>
      <c r="M9146" s="2">
        <v>80012.0</v>
      </c>
      <c r="N9146" s="2" t="s">
        <v>21</v>
      </c>
    </row>
    <row r="9147" ht="15.75" customHeight="1">
      <c r="A9147" s="2">
        <v>2018.0</v>
      </c>
      <c r="B9147" s="2" t="s">
        <v>37746</v>
      </c>
      <c r="C9147" s="2" t="s">
        <v>37746</v>
      </c>
      <c r="D9147" s="2" t="str">
        <f>"2084677942"</f>
        <v>2084677942</v>
      </c>
      <c r="E9147" s="2" t="s">
        <v>453</v>
      </c>
      <c r="F9147" s="2" t="s">
        <v>37747</v>
      </c>
      <c r="G9147" s="2" t="str">
        <f>"SR-12755"</f>
        <v>SR-12755</v>
      </c>
      <c r="H9147" s="2" t="s">
        <v>37748</v>
      </c>
      <c r="I9147" s="2" t="s">
        <v>37749</v>
      </c>
      <c r="K9147" s="2" t="s">
        <v>37750</v>
      </c>
      <c r="L9147" s="2" t="s">
        <v>2613</v>
      </c>
      <c r="M9147" s="2">
        <v>83634.0</v>
      </c>
      <c r="N9147" s="2" t="s">
        <v>21</v>
      </c>
    </row>
    <row r="9148" ht="15.75" customHeight="1">
      <c r="A9148" s="2">
        <v>2018.0</v>
      </c>
      <c r="B9148" s="2" t="s">
        <v>37751</v>
      </c>
      <c r="C9148" s="2" t="s">
        <v>37752</v>
      </c>
      <c r="D9148" s="2" t="str">
        <f>"(716)969-2888"</f>
        <v>(716)969-2888</v>
      </c>
      <c r="E9148" s="2" t="s">
        <v>167</v>
      </c>
      <c r="F9148" s="2" t="s">
        <v>17041</v>
      </c>
      <c r="G9148" s="2" t="str">
        <f>"SR-12872"</f>
        <v>SR-12872</v>
      </c>
      <c r="H9148" s="2" t="s">
        <v>37753</v>
      </c>
      <c r="I9148" s="2" t="s">
        <v>17043</v>
      </c>
      <c r="K9148" s="2" t="s">
        <v>9547</v>
      </c>
      <c r="L9148" s="2" t="s">
        <v>142</v>
      </c>
      <c r="M9148" s="2">
        <v>14781.0</v>
      </c>
      <c r="N9148" s="2" t="s">
        <v>21</v>
      </c>
    </row>
    <row r="9149" ht="15.75" customHeight="1">
      <c r="A9149" s="2">
        <v>2018.0</v>
      </c>
      <c r="B9149" s="2" t="s">
        <v>37754</v>
      </c>
      <c r="C9149" s="2" t="s">
        <v>37755</v>
      </c>
      <c r="D9149" s="2" t="str">
        <f>"505-377-3123"</f>
        <v>505-377-3123</v>
      </c>
      <c r="E9149" s="2" t="s">
        <v>16070</v>
      </c>
      <c r="F9149" s="2" t="s">
        <v>19002</v>
      </c>
      <c r="G9149" s="2" t="str">
        <f>"SR-12874"</f>
        <v>SR-12874</v>
      </c>
      <c r="H9149" s="2" t="s">
        <v>37756</v>
      </c>
      <c r="I9149" s="2" t="s">
        <v>19004</v>
      </c>
      <c r="K9149" s="2" t="s">
        <v>3705</v>
      </c>
      <c r="L9149" s="2" t="s">
        <v>789</v>
      </c>
      <c r="M9149" s="2">
        <v>87123.0</v>
      </c>
      <c r="N9149" s="2" t="s">
        <v>21</v>
      </c>
    </row>
    <row r="9150" ht="15.75" customHeight="1">
      <c r="A9150" s="2">
        <v>2018.0</v>
      </c>
      <c r="B9150" s="2" t="s">
        <v>37754</v>
      </c>
      <c r="D9150" s="2" t="str">
        <f>""</f>
        <v/>
      </c>
      <c r="E9150" s="2" t="s">
        <v>1022</v>
      </c>
      <c r="F9150" s="2" t="s">
        <v>19002</v>
      </c>
      <c r="G9150" s="2" t="str">
        <f>"SR-12873"</f>
        <v>SR-12873</v>
      </c>
      <c r="H9150" s="2" t="s">
        <v>37757</v>
      </c>
    </row>
    <row r="9151" ht="15.75" customHeight="1">
      <c r="A9151" s="2">
        <v>2018.0</v>
      </c>
      <c r="B9151" s="2" t="s">
        <v>37758</v>
      </c>
      <c r="C9151" s="2" t="s">
        <v>37758</v>
      </c>
      <c r="D9151" s="2" t="str">
        <f>"15804783407"</f>
        <v>15804783407</v>
      </c>
      <c r="E9151" s="2" t="s">
        <v>282</v>
      </c>
      <c r="F9151" s="2" t="s">
        <v>1040</v>
      </c>
      <c r="G9151" s="2" t="str">
        <f>"SR-12851"</f>
        <v>SR-12851</v>
      </c>
      <c r="H9151" s="2" t="s">
        <v>15803</v>
      </c>
      <c r="I9151" s="2" t="s">
        <v>37759</v>
      </c>
      <c r="K9151" s="2" t="s">
        <v>17872</v>
      </c>
      <c r="L9151" s="2" t="s">
        <v>840</v>
      </c>
      <c r="M9151" s="2">
        <v>73701.0</v>
      </c>
      <c r="N9151" s="2" t="s">
        <v>21</v>
      </c>
    </row>
    <row r="9152" ht="15.75" customHeight="1">
      <c r="A9152" s="2">
        <v>2018.0</v>
      </c>
      <c r="B9152" s="2" t="s">
        <v>37760</v>
      </c>
      <c r="C9152" s="2" t="s">
        <v>37761</v>
      </c>
      <c r="D9152" s="2" t="str">
        <f>"713-303-3628"</f>
        <v>713-303-3628</v>
      </c>
      <c r="E9152" s="2" t="s">
        <v>8039</v>
      </c>
      <c r="F9152" s="2" t="s">
        <v>32067</v>
      </c>
      <c r="G9152" s="2" t="str">
        <f>"SR-12834"</f>
        <v>SR-12834</v>
      </c>
      <c r="H9152" s="2" t="s">
        <v>37762</v>
      </c>
      <c r="I9152" s="2" t="s">
        <v>37763</v>
      </c>
      <c r="K9152" s="2" t="s">
        <v>444</v>
      </c>
      <c r="L9152" s="2" t="s">
        <v>172</v>
      </c>
      <c r="M9152" s="2">
        <v>77040.0</v>
      </c>
      <c r="N9152" s="2" t="s">
        <v>21</v>
      </c>
    </row>
    <row r="9153" ht="15.75" customHeight="1">
      <c r="A9153" s="2">
        <v>2018.0</v>
      </c>
      <c r="B9153" s="2" t="s">
        <v>37764</v>
      </c>
      <c r="C9153" s="2" t="s">
        <v>37765</v>
      </c>
      <c r="D9153" s="2" t="str">
        <f>"7195358101"</f>
        <v>7195358101</v>
      </c>
      <c r="E9153" s="2" t="s">
        <v>1803</v>
      </c>
      <c r="F9153" s="2" t="s">
        <v>37766</v>
      </c>
      <c r="G9153" s="2" t="str">
        <f>"SR-12863"</f>
        <v>SR-12863</v>
      </c>
      <c r="H9153" s="2" t="s">
        <v>37767</v>
      </c>
      <c r="I9153" s="2" t="s">
        <v>37768</v>
      </c>
      <c r="K9153" s="2" t="s">
        <v>809</v>
      </c>
      <c r="L9153" s="2" t="s">
        <v>157</v>
      </c>
      <c r="M9153" s="2">
        <v>80920.0</v>
      </c>
      <c r="N9153" s="2" t="s">
        <v>21</v>
      </c>
    </row>
    <row r="9154" ht="15.75" customHeight="1">
      <c r="A9154" s="2">
        <v>2018.0</v>
      </c>
      <c r="B9154" s="2" t="s">
        <v>37769</v>
      </c>
      <c r="C9154" s="2" t="s">
        <v>37769</v>
      </c>
      <c r="D9154" s="2" t="str">
        <f>"(662)418-0694"</f>
        <v>(662)418-0694</v>
      </c>
      <c r="E9154" s="2" t="s">
        <v>37770</v>
      </c>
      <c r="F9154" s="2" t="s">
        <v>3903</v>
      </c>
      <c r="G9154" s="2" t="str">
        <f>"SR-12880"</f>
        <v>SR-12880</v>
      </c>
      <c r="H9154" s="2" t="s">
        <v>37771</v>
      </c>
      <c r="I9154" s="2" t="s">
        <v>37772</v>
      </c>
      <c r="K9154" s="2" t="s">
        <v>1901</v>
      </c>
      <c r="L9154" s="2" t="s">
        <v>1722</v>
      </c>
      <c r="M9154" s="2">
        <v>39759.0</v>
      </c>
      <c r="N9154" s="2" t="s">
        <v>21</v>
      </c>
    </row>
    <row r="9155" ht="15.75" customHeight="1">
      <c r="A9155" s="2">
        <v>2018.0</v>
      </c>
      <c r="B9155" s="2" t="s">
        <v>37773</v>
      </c>
      <c r="C9155" s="2" t="s">
        <v>37773</v>
      </c>
      <c r="D9155" s="2" t="str">
        <f>"16626173917"</f>
        <v>16626173917</v>
      </c>
      <c r="E9155" s="2" t="s">
        <v>16667</v>
      </c>
      <c r="F9155" s="2" t="s">
        <v>26288</v>
      </c>
      <c r="G9155" s="2" t="str">
        <f>"SR-12881"</f>
        <v>SR-12881</v>
      </c>
      <c r="H9155" s="2" t="s">
        <v>37774</v>
      </c>
      <c r="I9155" s="2" t="s">
        <v>26290</v>
      </c>
      <c r="K9155" s="2" t="s">
        <v>1901</v>
      </c>
      <c r="L9155" s="2" t="s">
        <v>1722</v>
      </c>
      <c r="M9155" s="2">
        <v>39759.0</v>
      </c>
      <c r="N9155" s="2" t="s">
        <v>21</v>
      </c>
    </row>
    <row r="9156" ht="15.75" customHeight="1">
      <c r="A9156" s="2">
        <v>2018.0</v>
      </c>
      <c r="B9156" s="2" t="s">
        <v>37775</v>
      </c>
      <c r="C9156" s="2" t="s">
        <v>37775</v>
      </c>
      <c r="D9156" s="2" t="str">
        <f>"2192630188"</f>
        <v>2192630188</v>
      </c>
      <c r="E9156" s="2" t="s">
        <v>2263</v>
      </c>
      <c r="F9156" s="2" t="s">
        <v>21718</v>
      </c>
      <c r="G9156" s="2" t="str">
        <f>"SR-12882"</f>
        <v>SR-12882</v>
      </c>
      <c r="H9156" s="2" t="s">
        <v>37776</v>
      </c>
      <c r="I9156" s="2" t="s">
        <v>21720</v>
      </c>
      <c r="K9156" s="2" t="s">
        <v>10088</v>
      </c>
      <c r="L9156" s="2" t="s">
        <v>149</v>
      </c>
      <c r="M9156" s="2">
        <v>46341.0</v>
      </c>
      <c r="N9156" s="2" t="s">
        <v>21</v>
      </c>
    </row>
    <row r="9157" ht="15.75" customHeight="1">
      <c r="A9157" s="2">
        <v>2018.0</v>
      </c>
      <c r="B9157" s="2" t="s">
        <v>37777</v>
      </c>
      <c r="C9157" s="2" t="s">
        <v>37778</v>
      </c>
      <c r="D9157" s="2" t="str">
        <f>"228-731-6367"</f>
        <v>228-731-6367</v>
      </c>
      <c r="E9157" s="2" t="s">
        <v>30052</v>
      </c>
      <c r="F9157" s="2" t="s">
        <v>15674</v>
      </c>
      <c r="G9157" s="2" t="str">
        <f>"SR-12884"</f>
        <v>SR-12884</v>
      </c>
      <c r="H9157" s="2" t="s">
        <v>37779</v>
      </c>
      <c r="I9157" s="2" t="s">
        <v>37780</v>
      </c>
      <c r="K9157" s="2" t="s">
        <v>7385</v>
      </c>
      <c r="L9157" s="2" t="s">
        <v>1722</v>
      </c>
      <c r="M9157" s="2">
        <v>39402.0</v>
      </c>
      <c r="N9157" s="2" t="s">
        <v>21</v>
      </c>
    </row>
    <row r="9158" ht="15.75" customHeight="1">
      <c r="A9158" s="2">
        <v>2018.0</v>
      </c>
      <c r="B9158" s="2" t="s">
        <v>37781</v>
      </c>
      <c r="C9158" s="2" t="s">
        <v>37781</v>
      </c>
      <c r="D9158" s="2" t="str">
        <f>"4024973607"</f>
        <v>4024973607</v>
      </c>
      <c r="E9158" s="2" t="s">
        <v>37782</v>
      </c>
      <c r="F9158" s="2" t="s">
        <v>29927</v>
      </c>
      <c r="G9158" s="2" t="str">
        <f>"SR-12883"</f>
        <v>SR-12883</v>
      </c>
      <c r="H9158" s="2" t="s">
        <v>37783</v>
      </c>
      <c r="I9158" s="2" t="s">
        <v>37784</v>
      </c>
      <c r="K9158" s="2" t="s">
        <v>29930</v>
      </c>
      <c r="L9158" s="2" t="s">
        <v>757</v>
      </c>
      <c r="M9158" s="2">
        <v>68778.0</v>
      </c>
      <c r="N9158" s="2" t="s">
        <v>21</v>
      </c>
    </row>
    <row r="9159" ht="15.75" customHeight="1">
      <c r="A9159" s="2">
        <v>2018.0</v>
      </c>
      <c r="B9159" s="2" t="s">
        <v>37785</v>
      </c>
      <c r="C9159" s="2" t="s">
        <v>37785</v>
      </c>
      <c r="D9159" s="2" t="str">
        <f>"402-832-5237"</f>
        <v>402-832-5237</v>
      </c>
      <c r="E9159" s="2" t="s">
        <v>203</v>
      </c>
      <c r="F9159" s="2" t="s">
        <v>13453</v>
      </c>
      <c r="G9159" s="2" t="str">
        <f>"SR-12886"</f>
        <v>SR-12886</v>
      </c>
      <c r="H9159" s="2" t="s">
        <v>37786</v>
      </c>
      <c r="I9159" s="2" t="s">
        <v>37787</v>
      </c>
      <c r="K9159" s="2" t="s">
        <v>33825</v>
      </c>
      <c r="L9159" s="2" t="s">
        <v>757</v>
      </c>
      <c r="M9159" s="2">
        <v>68759.0</v>
      </c>
      <c r="N9159" s="2" t="s">
        <v>21</v>
      </c>
    </row>
    <row r="9160" ht="15.75" customHeight="1">
      <c r="A9160" s="2">
        <v>2018.0</v>
      </c>
      <c r="B9160" s="2" t="s">
        <v>37788</v>
      </c>
      <c r="C9160" s="2" t="s">
        <v>37789</v>
      </c>
      <c r="D9160" s="2" t="str">
        <f>"9704056405"</f>
        <v>9704056405</v>
      </c>
      <c r="E9160" s="2" t="s">
        <v>37790</v>
      </c>
      <c r="F9160" s="2" t="s">
        <v>1185</v>
      </c>
      <c r="G9160" s="2" t="str">
        <f>"SR-12889"</f>
        <v>SR-12889</v>
      </c>
      <c r="H9160" s="2" t="s">
        <v>37791</v>
      </c>
      <c r="I9160" s="2" t="s">
        <v>22416</v>
      </c>
      <c r="K9160" s="2" t="s">
        <v>1558</v>
      </c>
      <c r="L9160" s="2" t="s">
        <v>157</v>
      </c>
      <c r="M9160" s="2">
        <v>80631.0</v>
      </c>
      <c r="N9160" s="2" t="s">
        <v>21</v>
      </c>
    </row>
    <row r="9161" ht="15.75" customHeight="1">
      <c r="A9161" s="2">
        <v>2018.0</v>
      </c>
      <c r="B9161" s="2" t="s">
        <v>37792</v>
      </c>
      <c r="C9161" s="2" t="s">
        <v>37793</v>
      </c>
      <c r="D9161" s="2" t="str">
        <f>"4172577546"</f>
        <v>4172577546</v>
      </c>
      <c r="E9161" s="2" t="s">
        <v>37794</v>
      </c>
      <c r="F9161" s="2" t="s">
        <v>666</v>
      </c>
      <c r="G9161" s="2" t="str">
        <f>"SR-12888"</f>
        <v>SR-12888</v>
      </c>
      <c r="H9161" s="2" t="s">
        <v>37795</v>
      </c>
      <c r="I9161" s="2" t="s">
        <v>37796</v>
      </c>
      <c r="K9161" s="2" t="s">
        <v>229</v>
      </c>
      <c r="L9161" s="2" t="s">
        <v>214</v>
      </c>
      <c r="M9161" s="2">
        <v>65775.0</v>
      </c>
      <c r="N9161" s="2" t="s">
        <v>21</v>
      </c>
    </row>
    <row r="9162" ht="15.75" customHeight="1">
      <c r="A9162" s="2">
        <v>2018.0</v>
      </c>
      <c r="B9162" s="2" t="s">
        <v>37797</v>
      </c>
      <c r="C9162" s="2" t="s">
        <v>37797</v>
      </c>
      <c r="D9162" s="2" t="str">
        <f>"2173433854"</f>
        <v>2173433854</v>
      </c>
      <c r="E9162" s="2" t="s">
        <v>1208</v>
      </c>
      <c r="F9162" s="2" t="s">
        <v>37798</v>
      </c>
      <c r="G9162" s="2" t="str">
        <f>"SR-12885"</f>
        <v>SR-12885</v>
      </c>
      <c r="H9162" s="2" t="s">
        <v>37799</v>
      </c>
      <c r="I9162" s="2" t="s">
        <v>37800</v>
      </c>
      <c r="K9162" s="2" t="s">
        <v>37801</v>
      </c>
      <c r="L9162" s="2" t="s">
        <v>105</v>
      </c>
      <c r="M9162" s="2">
        <v>62571.0</v>
      </c>
      <c r="N9162" s="2" t="s">
        <v>21</v>
      </c>
    </row>
    <row r="9163" ht="15.75" customHeight="1">
      <c r="A9163" s="2">
        <v>2018.0</v>
      </c>
      <c r="B9163" s="2" t="s">
        <v>37802</v>
      </c>
      <c r="C9163" s="2" t="s">
        <v>37803</v>
      </c>
      <c r="D9163" s="2" t="str">
        <f>"9492125432"</f>
        <v>9492125432</v>
      </c>
      <c r="E9163" s="2" t="s">
        <v>37804</v>
      </c>
      <c r="F9163" s="2" t="s">
        <v>15652</v>
      </c>
      <c r="G9163" s="2" t="str">
        <f>"SR-12787"</f>
        <v>SR-12787</v>
      </c>
      <c r="H9163" s="2" t="s">
        <v>37805</v>
      </c>
      <c r="I9163" s="2" t="s">
        <v>15654</v>
      </c>
      <c r="K9163" s="2" t="s">
        <v>9670</v>
      </c>
      <c r="L9163" s="2" t="s">
        <v>222</v>
      </c>
      <c r="M9163" s="2">
        <v>92673.0</v>
      </c>
      <c r="N9163" s="2" t="s">
        <v>21</v>
      </c>
    </row>
    <row r="9164" ht="15.75" customHeight="1">
      <c r="A9164" s="2">
        <v>2018.0</v>
      </c>
      <c r="B9164" s="2" t="s">
        <v>37806</v>
      </c>
      <c r="C9164" s="2" t="s">
        <v>37807</v>
      </c>
      <c r="D9164" s="2" t="str">
        <f>"505-414-1264"</f>
        <v>505-414-1264</v>
      </c>
      <c r="E9164" s="2" t="s">
        <v>167</v>
      </c>
      <c r="F9164" s="2" t="s">
        <v>4519</v>
      </c>
      <c r="G9164" s="2" t="str">
        <f>"SR-12890"</f>
        <v>SR-12890</v>
      </c>
      <c r="H9164" s="2" t="s">
        <v>37808</v>
      </c>
      <c r="I9164" s="2" t="s">
        <v>37809</v>
      </c>
      <c r="K9164" s="2" t="s">
        <v>9711</v>
      </c>
      <c r="L9164" s="2" t="s">
        <v>789</v>
      </c>
      <c r="M9164" s="2">
        <v>87048.0</v>
      </c>
      <c r="N9164" s="2" t="s">
        <v>21</v>
      </c>
    </row>
    <row r="9165" ht="15.75" customHeight="1">
      <c r="A9165" s="2">
        <v>2018.0</v>
      </c>
      <c r="B9165" s="2" t="s">
        <v>37810</v>
      </c>
      <c r="C9165" s="2" t="s">
        <v>37811</v>
      </c>
      <c r="D9165" s="2" t="str">
        <f>"9703246159"</f>
        <v>9703246159</v>
      </c>
      <c r="E9165" s="2" t="s">
        <v>1180</v>
      </c>
      <c r="F9165" s="2" t="s">
        <v>1555</v>
      </c>
      <c r="G9165" s="2" t="str">
        <f>"SR-12887"</f>
        <v>SR-12887</v>
      </c>
      <c r="H9165" s="2" t="s">
        <v>37812</v>
      </c>
      <c r="I9165" s="2" t="s">
        <v>37813</v>
      </c>
      <c r="K9165" s="2" t="s">
        <v>1558</v>
      </c>
      <c r="L9165" s="2" t="s">
        <v>157</v>
      </c>
      <c r="M9165" s="2">
        <v>80634.0</v>
      </c>
      <c r="N9165" s="2" t="s">
        <v>21</v>
      </c>
    </row>
    <row r="9166" ht="15.75" customHeight="1">
      <c r="A9166" s="2">
        <v>2018.0</v>
      </c>
      <c r="B9166" s="2" t="s">
        <v>37814</v>
      </c>
      <c r="C9166" s="2" t="s">
        <v>37815</v>
      </c>
      <c r="D9166" s="2" t="str">
        <f>"(970) 749-5344"</f>
        <v>(970) 749-5344</v>
      </c>
      <c r="E9166" s="2" t="s">
        <v>752</v>
      </c>
      <c r="F9166" s="2" t="s">
        <v>9115</v>
      </c>
      <c r="G9166" s="2" t="str">
        <f>"SR-12879"</f>
        <v>SR-12879</v>
      </c>
      <c r="H9166" s="2" t="s">
        <v>37816</v>
      </c>
      <c r="I9166" s="2" t="s">
        <v>37817</v>
      </c>
      <c r="K9166" s="2" t="s">
        <v>14645</v>
      </c>
      <c r="L9166" s="2" t="s">
        <v>157</v>
      </c>
      <c r="M9166" s="2">
        <v>81301.0</v>
      </c>
      <c r="N9166" s="2" t="s">
        <v>21</v>
      </c>
    </row>
    <row r="9167" ht="15.75" customHeight="1">
      <c r="A9167" s="2">
        <v>2018.0</v>
      </c>
      <c r="B9167" s="2" t="s">
        <v>37818</v>
      </c>
      <c r="C9167" s="2" t="s">
        <v>37819</v>
      </c>
      <c r="D9167" s="2" t="str">
        <f>"3153235053"</f>
        <v>3153235053</v>
      </c>
      <c r="E9167" s="2" t="s">
        <v>27484</v>
      </c>
      <c r="F9167" s="2" t="s">
        <v>37820</v>
      </c>
      <c r="G9167" s="2" t="str">
        <f>"SR-12878"</f>
        <v>SR-12878</v>
      </c>
      <c r="H9167" s="2" t="s">
        <v>37821</v>
      </c>
      <c r="I9167" s="2" t="s">
        <v>37822</v>
      </c>
      <c r="K9167" s="2" t="s">
        <v>37823</v>
      </c>
      <c r="L9167" s="2" t="s">
        <v>142</v>
      </c>
      <c r="M9167" s="2">
        <v>13669.0</v>
      </c>
      <c r="N9167" s="2" t="s">
        <v>21</v>
      </c>
    </row>
    <row r="9168" ht="15.75" customHeight="1">
      <c r="A9168" s="2">
        <v>2018.0</v>
      </c>
      <c r="B9168" s="2" t="s">
        <v>37818</v>
      </c>
      <c r="C9168" s="2" t="s">
        <v>37824</v>
      </c>
      <c r="D9168" s="2" t="str">
        <f>"3153235066"</f>
        <v>3153235066</v>
      </c>
      <c r="E9168" s="2" t="s">
        <v>2930</v>
      </c>
      <c r="F9168" s="2" t="s">
        <v>37820</v>
      </c>
      <c r="G9168" s="2" t="str">
        <f>"SR-12877"</f>
        <v>SR-12877</v>
      </c>
      <c r="H9168" s="2" t="s">
        <v>37825</v>
      </c>
      <c r="I9168" s="2" t="s">
        <v>37822</v>
      </c>
      <c r="K9168" s="2" t="s">
        <v>37823</v>
      </c>
      <c r="L9168" s="2" t="s">
        <v>142</v>
      </c>
      <c r="M9168" s="2">
        <v>13669.0</v>
      </c>
      <c r="N9168" s="2" t="s">
        <v>21</v>
      </c>
    </row>
    <row r="9169" ht="15.75" customHeight="1">
      <c r="A9169" s="2">
        <v>2018.0</v>
      </c>
      <c r="B9169" s="2" t="s">
        <v>37826</v>
      </c>
      <c r="C9169" s="2" t="s">
        <v>37827</v>
      </c>
      <c r="D9169" s="2" t="str">
        <f>"720-496-3434"</f>
        <v>720-496-3434</v>
      </c>
      <c r="E9169" s="2" t="s">
        <v>862</v>
      </c>
      <c r="F9169" s="2" t="s">
        <v>37828</v>
      </c>
      <c r="G9169" s="2" t="str">
        <f>"SR-12833"</f>
        <v>SR-12833</v>
      </c>
      <c r="H9169" s="2" t="s">
        <v>37829</v>
      </c>
      <c r="I9169" s="2" t="s">
        <v>37830</v>
      </c>
      <c r="K9169" s="2" t="s">
        <v>682</v>
      </c>
      <c r="L9169" s="2" t="s">
        <v>157</v>
      </c>
      <c r="M9169" s="2">
        <v>80126.0</v>
      </c>
      <c r="N9169" s="2" t="s">
        <v>21</v>
      </c>
    </row>
    <row r="9170" ht="15.75" customHeight="1">
      <c r="A9170" s="2">
        <v>2018.0</v>
      </c>
      <c r="B9170" s="2" t="s">
        <v>37831</v>
      </c>
      <c r="C9170" s="2" t="s">
        <v>37832</v>
      </c>
      <c r="D9170" s="2" t="str">
        <f>"417-274-9717"</f>
        <v>417-274-9717</v>
      </c>
      <c r="E9170" s="2" t="s">
        <v>37833</v>
      </c>
      <c r="F9170" s="2" t="s">
        <v>37834</v>
      </c>
      <c r="G9170" s="2" t="str">
        <f>"SR-12892"</f>
        <v>SR-12892</v>
      </c>
      <c r="H9170" s="2" t="s">
        <v>37835</v>
      </c>
      <c r="I9170" s="2" t="s">
        <v>37836</v>
      </c>
      <c r="K9170" s="2" t="s">
        <v>229</v>
      </c>
      <c r="L9170" s="2" t="s">
        <v>214</v>
      </c>
      <c r="M9170" s="2">
        <v>65775.0</v>
      </c>
      <c r="N9170" s="2" t="s">
        <v>21</v>
      </c>
    </row>
    <row r="9171" ht="15.75" customHeight="1">
      <c r="A9171" s="2">
        <v>2018.0</v>
      </c>
      <c r="B9171" s="2" t="s">
        <v>37837</v>
      </c>
      <c r="C9171" s="2" t="s">
        <v>37838</v>
      </c>
      <c r="D9171" s="2" t="str">
        <f>"507-645-9433"</f>
        <v>507-645-9433</v>
      </c>
      <c r="E9171" s="2" t="s">
        <v>705</v>
      </c>
      <c r="F9171" s="2" t="s">
        <v>7692</v>
      </c>
      <c r="G9171" s="2" t="str">
        <f>"SR-12828"</f>
        <v>SR-12828</v>
      </c>
      <c r="H9171" s="2" t="s">
        <v>37839</v>
      </c>
      <c r="I9171" s="2" t="s">
        <v>37840</v>
      </c>
      <c r="K9171" s="2" t="s">
        <v>809</v>
      </c>
      <c r="L9171" s="2" t="s">
        <v>157</v>
      </c>
      <c r="M9171" s="2">
        <v>80927.0</v>
      </c>
      <c r="N9171" s="2" t="s">
        <v>21</v>
      </c>
    </row>
    <row r="9172" ht="15.75" customHeight="1">
      <c r="A9172" s="2">
        <v>2018.0</v>
      </c>
      <c r="B9172" s="2" t="s">
        <v>37841</v>
      </c>
      <c r="C9172" s="2" t="s">
        <v>37842</v>
      </c>
      <c r="D9172" s="2" t="str">
        <f>"7194882344"</f>
        <v>7194882344</v>
      </c>
      <c r="E9172" s="2" t="s">
        <v>144</v>
      </c>
      <c r="F9172" s="2" t="s">
        <v>6655</v>
      </c>
      <c r="G9172" s="2" t="str">
        <f>"SR-12853"</f>
        <v>SR-12853</v>
      </c>
      <c r="H9172" s="2" t="s">
        <v>22642</v>
      </c>
      <c r="I9172" s="2" t="s">
        <v>37843</v>
      </c>
      <c r="K9172" s="2" t="s">
        <v>809</v>
      </c>
      <c r="L9172" s="2" t="s">
        <v>157</v>
      </c>
      <c r="M9172" s="2">
        <v>80921.0</v>
      </c>
      <c r="N9172" s="2" t="s">
        <v>21</v>
      </c>
    </row>
    <row r="9173" ht="15.75" customHeight="1">
      <c r="A9173" s="2">
        <v>2018.0</v>
      </c>
      <c r="B9173" s="2" t="s">
        <v>37844</v>
      </c>
      <c r="C9173" s="2" t="s">
        <v>37845</v>
      </c>
      <c r="D9173" s="2" t="str">
        <f>"7756005864"</f>
        <v>7756005864</v>
      </c>
      <c r="E9173" s="2" t="s">
        <v>1000</v>
      </c>
      <c r="F9173" s="2" t="s">
        <v>5315</v>
      </c>
      <c r="G9173" s="2" t="str">
        <f>"SR-12895"</f>
        <v>SR-12895</v>
      </c>
      <c r="H9173" s="2" t="s">
        <v>37846</v>
      </c>
      <c r="I9173" s="2" t="s">
        <v>37847</v>
      </c>
      <c r="K9173" s="2" t="s">
        <v>18765</v>
      </c>
      <c r="L9173" s="2" t="s">
        <v>1419</v>
      </c>
      <c r="M9173" s="2">
        <v>89703.0</v>
      </c>
      <c r="N9173" s="2" t="s">
        <v>21</v>
      </c>
    </row>
    <row r="9174" ht="15.75" customHeight="1">
      <c r="A9174" s="2">
        <v>2018.0</v>
      </c>
      <c r="B9174" s="2" t="s">
        <v>37848</v>
      </c>
      <c r="C9174" s="2" t="s">
        <v>37848</v>
      </c>
      <c r="D9174" s="2" t="str">
        <f>"4172938143"</f>
        <v>4172938143</v>
      </c>
      <c r="E9174" s="2" t="s">
        <v>9975</v>
      </c>
      <c r="F9174" s="2" t="s">
        <v>8427</v>
      </c>
      <c r="G9174" s="2" t="str">
        <f>"SR-12891"</f>
        <v>SR-12891</v>
      </c>
      <c r="H9174" s="2" t="s">
        <v>37849</v>
      </c>
      <c r="I9174" s="2" t="s">
        <v>37850</v>
      </c>
      <c r="K9174" s="2" t="s">
        <v>229</v>
      </c>
      <c r="L9174" s="2" t="s">
        <v>214</v>
      </c>
      <c r="M9174" s="2">
        <v>65775.0</v>
      </c>
      <c r="N9174" s="2" t="s">
        <v>21</v>
      </c>
    </row>
    <row r="9175" ht="15.75" customHeight="1">
      <c r="A9175" s="2">
        <v>2018.0</v>
      </c>
      <c r="B9175" s="2" t="s">
        <v>37851</v>
      </c>
      <c r="C9175" s="2" t="s">
        <v>37852</v>
      </c>
      <c r="D9175" s="2" t="str">
        <f>"1(405)757-5343"</f>
        <v>1(405)757-5343</v>
      </c>
      <c r="E9175" s="2" t="s">
        <v>16505</v>
      </c>
      <c r="F9175" s="2" t="s">
        <v>37853</v>
      </c>
      <c r="G9175" s="2" t="str">
        <f>"SR-12896"</f>
        <v>SR-12896</v>
      </c>
      <c r="H9175" s="2" t="s">
        <v>37854</v>
      </c>
      <c r="I9175" s="2" t="s">
        <v>37855</v>
      </c>
      <c r="K9175" s="2" t="s">
        <v>1546</v>
      </c>
      <c r="L9175" s="2" t="s">
        <v>840</v>
      </c>
      <c r="M9175" s="2">
        <v>73034.0</v>
      </c>
      <c r="N9175" s="2" t="s">
        <v>21</v>
      </c>
    </row>
    <row r="9176" ht="15.75" customHeight="1">
      <c r="A9176" s="2">
        <v>2018.0</v>
      </c>
      <c r="B9176" s="2" t="s">
        <v>37856</v>
      </c>
      <c r="C9176" s="2" t="s">
        <v>37856</v>
      </c>
      <c r="D9176" s="2" t="str">
        <f>"4056978004"</f>
        <v>4056978004</v>
      </c>
      <c r="E9176" s="2" t="s">
        <v>37857</v>
      </c>
      <c r="F9176" s="2" t="s">
        <v>37858</v>
      </c>
      <c r="G9176" s="2" t="str">
        <f>"SR-12858"</f>
        <v>SR-12858</v>
      </c>
      <c r="H9176" s="2" t="s">
        <v>37859</v>
      </c>
      <c r="I9176" s="2" t="s">
        <v>37860</v>
      </c>
      <c r="K9176" s="2" t="s">
        <v>1546</v>
      </c>
      <c r="L9176" s="2" t="s">
        <v>840</v>
      </c>
      <c r="M9176" s="2">
        <v>73034.0</v>
      </c>
      <c r="N9176" s="2" t="s">
        <v>21</v>
      </c>
    </row>
    <row r="9177" ht="15.75" customHeight="1">
      <c r="A9177" s="2">
        <v>2018.0</v>
      </c>
      <c r="B9177" s="2" t="s">
        <v>37861</v>
      </c>
      <c r="C9177" s="2" t="s">
        <v>37861</v>
      </c>
      <c r="D9177" s="2" t="str">
        <f>"4053887103"</f>
        <v>4053887103</v>
      </c>
      <c r="E9177" s="2" t="s">
        <v>9220</v>
      </c>
      <c r="F9177" s="2" t="s">
        <v>36060</v>
      </c>
      <c r="G9177" s="2" t="str">
        <f>"SR-12844"</f>
        <v>SR-12844</v>
      </c>
      <c r="H9177" s="2" t="s">
        <v>37862</v>
      </c>
      <c r="I9177" s="2" t="s">
        <v>37863</v>
      </c>
      <c r="K9177" s="2" t="s">
        <v>4174</v>
      </c>
      <c r="L9177" s="2" t="s">
        <v>172</v>
      </c>
      <c r="M9177" s="2">
        <v>75067.0</v>
      </c>
      <c r="N9177" s="2" t="s">
        <v>21</v>
      </c>
    </row>
    <row r="9178" ht="15.75" customHeight="1">
      <c r="A9178" s="2">
        <v>2018.0</v>
      </c>
      <c r="B9178" s="2" t="s">
        <v>37864</v>
      </c>
      <c r="C9178" s="2" t="s">
        <v>37864</v>
      </c>
      <c r="D9178" s="2" t="str">
        <f>"8635315155"</f>
        <v>8635315155</v>
      </c>
      <c r="E9178" s="2" t="s">
        <v>659</v>
      </c>
      <c r="F9178" s="2" t="s">
        <v>37865</v>
      </c>
      <c r="G9178" s="2" t="str">
        <f>"SR-12876"</f>
        <v>SR-12876</v>
      </c>
      <c r="H9178" s="2" t="s">
        <v>37866</v>
      </c>
      <c r="I9178" s="2" t="s">
        <v>37867</v>
      </c>
      <c r="K9178" s="2" t="s">
        <v>26300</v>
      </c>
      <c r="L9178" s="2" t="s">
        <v>208</v>
      </c>
      <c r="M9178" s="2">
        <v>33852.0</v>
      </c>
      <c r="N9178" s="2" t="s">
        <v>21</v>
      </c>
    </row>
    <row r="9179" ht="15.75" customHeight="1">
      <c r="A9179" s="2">
        <v>2018.0</v>
      </c>
      <c r="B9179" s="2" t="s">
        <v>10518</v>
      </c>
      <c r="C9179" s="2" t="s">
        <v>10518</v>
      </c>
      <c r="D9179" s="2" t="str">
        <f>"8594144652"</f>
        <v>8594144652</v>
      </c>
      <c r="E9179" s="2" t="s">
        <v>705</v>
      </c>
      <c r="F9179" s="2" t="s">
        <v>245</v>
      </c>
      <c r="G9179" s="2" t="str">
        <f>"SR-12898"</f>
        <v>SR-12898</v>
      </c>
      <c r="H9179" s="2" t="s">
        <v>37868</v>
      </c>
      <c r="I9179" s="2" t="s">
        <v>10520</v>
      </c>
      <c r="K9179" s="2" t="s">
        <v>4179</v>
      </c>
      <c r="L9179" s="2" t="s">
        <v>1236</v>
      </c>
      <c r="M9179" s="2">
        <v>41075.0</v>
      </c>
      <c r="N9179" s="2" t="s">
        <v>21</v>
      </c>
    </row>
    <row r="9180" ht="15.75" customHeight="1">
      <c r="A9180" s="2">
        <v>2018.0</v>
      </c>
      <c r="B9180" s="2" t="s">
        <v>37869</v>
      </c>
      <c r="C9180" s="2" t="s">
        <v>37869</v>
      </c>
      <c r="D9180" s="2" t="str">
        <f>"8596385579"</f>
        <v>8596385579</v>
      </c>
      <c r="E9180" s="2" t="s">
        <v>9975</v>
      </c>
      <c r="F9180" s="2" t="s">
        <v>245</v>
      </c>
      <c r="G9180" s="2" t="str">
        <f>"SR-12897"</f>
        <v>SR-12897</v>
      </c>
      <c r="H9180" s="2" t="s">
        <v>37870</v>
      </c>
      <c r="I9180" s="2" t="s">
        <v>10520</v>
      </c>
      <c r="K9180" s="2" t="s">
        <v>4179</v>
      </c>
      <c r="L9180" s="2" t="s">
        <v>1236</v>
      </c>
      <c r="M9180" s="2">
        <v>41075.0</v>
      </c>
      <c r="N9180" s="2" t="s">
        <v>21</v>
      </c>
    </row>
    <row r="9181" ht="15.75" customHeight="1">
      <c r="A9181" s="2">
        <v>2018.0</v>
      </c>
      <c r="B9181" s="2" t="s">
        <v>37871</v>
      </c>
      <c r="C9181" s="2" t="s">
        <v>37872</v>
      </c>
      <c r="D9181" s="2" t="str">
        <f>"417-293-2809"</f>
        <v>417-293-2809</v>
      </c>
      <c r="E9181" s="2" t="s">
        <v>13585</v>
      </c>
      <c r="F9181" s="2" t="s">
        <v>7165</v>
      </c>
      <c r="G9181" s="2" t="str">
        <f>"SR-12894"</f>
        <v>SR-12894</v>
      </c>
      <c r="H9181" s="2" t="s">
        <v>37873</v>
      </c>
      <c r="I9181" s="2" t="s">
        <v>37874</v>
      </c>
      <c r="K9181" s="2" t="s">
        <v>229</v>
      </c>
      <c r="L9181" s="2" t="s">
        <v>214</v>
      </c>
      <c r="M9181" s="2">
        <v>65775.0</v>
      </c>
      <c r="N9181" s="2" t="s">
        <v>21</v>
      </c>
    </row>
    <row r="9182" ht="15.75" customHeight="1">
      <c r="A9182" s="2">
        <v>2018.0</v>
      </c>
      <c r="B9182" s="2" t="s">
        <v>37875</v>
      </c>
      <c r="C9182" s="2" t="s">
        <v>37876</v>
      </c>
      <c r="D9182" s="2" t="str">
        <f>"3033256608"</f>
        <v>3033256608</v>
      </c>
      <c r="E9182" s="2" t="s">
        <v>2361</v>
      </c>
      <c r="F9182" s="2" t="s">
        <v>19752</v>
      </c>
      <c r="G9182" s="2" t="str">
        <f>"SR-12899"</f>
        <v>SR-12899</v>
      </c>
      <c r="H9182" s="2" t="s">
        <v>37877</v>
      </c>
      <c r="I9182" s="2" t="s">
        <v>37878</v>
      </c>
      <c r="K9182" s="2" t="s">
        <v>5632</v>
      </c>
      <c r="L9182" s="2" t="s">
        <v>157</v>
      </c>
      <c r="M9182" s="2">
        <v>80102.0</v>
      </c>
      <c r="N9182" s="2" t="s">
        <v>21</v>
      </c>
    </row>
    <row r="9183" ht="15.75" customHeight="1">
      <c r="A9183" s="2">
        <v>2018.0</v>
      </c>
      <c r="B9183" s="2" t="s">
        <v>37879</v>
      </c>
      <c r="C9183" s="2" t="s">
        <v>37879</v>
      </c>
      <c r="D9183" s="2" t="str">
        <f>"8702193780"</f>
        <v>8702193780</v>
      </c>
      <c r="E9183" s="2" t="s">
        <v>144</v>
      </c>
      <c r="F9183" s="2" t="s">
        <v>37880</v>
      </c>
      <c r="G9183" s="2" t="str">
        <f>"SR-12900"</f>
        <v>SR-12900</v>
      </c>
      <c r="H9183" s="2" t="s">
        <v>37881</v>
      </c>
      <c r="I9183" s="2" t="s">
        <v>37882</v>
      </c>
      <c r="K9183" s="2" t="s">
        <v>4250</v>
      </c>
      <c r="L9183" s="2" t="s">
        <v>1012</v>
      </c>
      <c r="M9183" s="2">
        <v>72401.0</v>
      </c>
      <c r="N9183" s="2" t="s">
        <v>21</v>
      </c>
    </row>
    <row r="9184" ht="15.75" customHeight="1">
      <c r="A9184" s="2">
        <v>2018.0</v>
      </c>
      <c r="B9184" s="2" t="s">
        <v>37883</v>
      </c>
      <c r="C9184" s="2" t="s">
        <v>37884</v>
      </c>
      <c r="D9184" s="2" t="str">
        <f>"7203607757"</f>
        <v>7203607757</v>
      </c>
      <c r="E9184" s="2" t="s">
        <v>4401</v>
      </c>
      <c r="F9184" s="2" t="s">
        <v>4171</v>
      </c>
      <c r="G9184" s="2" t="str">
        <f>"SR-12901"</f>
        <v>SR-12901</v>
      </c>
      <c r="H9184" s="2" t="s">
        <v>37885</v>
      </c>
      <c r="I9184" s="2" t="s">
        <v>37886</v>
      </c>
      <c r="K9184" s="2" t="s">
        <v>1502</v>
      </c>
      <c r="L9184" s="2" t="s">
        <v>157</v>
      </c>
      <c r="M9184" s="2">
        <v>80007.0</v>
      </c>
      <c r="N9184" s="2" t="s">
        <v>21</v>
      </c>
    </row>
    <row r="9185" ht="15.75" customHeight="1">
      <c r="A9185" s="2">
        <v>2018.0</v>
      </c>
      <c r="B9185" s="2" t="s">
        <v>23507</v>
      </c>
      <c r="D9185" s="2" t="str">
        <f>""</f>
        <v/>
      </c>
      <c r="E9185" s="2" t="s">
        <v>23508</v>
      </c>
      <c r="F9185" s="2" t="s">
        <v>6095</v>
      </c>
      <c r="G9185" s="2" t="str">
        <f>"SR-12875"</f>
        <v>SR-12875</v>
      </c>
      <c r="H9185" s="2" t="s">
        <v>23509</v>
      </c>
      <c r="N9185" s="2" t="s">
        <v>21</v>
      </c>
    </row>
    <row r="9186" ht="15.75" customHeight="1">
      <c r="A9186" s="2">
        <v>2018.0</v>
      </c>
      <c r="B9186" s="2" t="s">
        <v>37887</v>
      </c>
      <c r="C9186" s="2" t="s">
        <v>37888</v>
      </c>
      <c r="D9186" s="2" t="str">
        <f>"4067508416"</f>
        <v>4067508416</v>
      </c>
      <c r="E9186" s="2" t="s">
        <v>6381</v>
      </c>
      <c r="F9186" s="2" t="s">
        <v>5281</v>
      </c>
      <c r="G9186" s="2" t="str">
        <f>"SR-12903"</f>
        <v>SR-12903</v>
      </c>
      <c r="H9186" s="2" t="s">
        <v>37889</v>
      </c>
      <c r="I9186" s="2" t="s">
        <v>37890</v>
      </c>
      <c r="K9186" s="2" t="s">
        <v>5965</v>
      </c>
      <c r="L9186" s="2" t="s">
        <v>2534</v>
      </c>
      <c r="M9186" s="2">
        <v>58703.0</v>
      </c>
      <c r="N9186" s="2" t="s">
        <v>21</v>
      </c>
    </row>
    <row r="9187" ht="15.75" customHeight="1">
      <c r="A9187" s="2">
        <v>2018.0</v>
      </c>
      <c r="B9187" s="2" t="s">
        <v>37891</v>
      </c>
      <c r="C9187" s="2" t="s">
        <v>37891</v>
      </c>
      <c r="D9187" s="2" t="str">
        <f>"540.842.5818"</f>
        <v>540.842.5818</v>
      </c>
      <c r="E9187" s="2" t="s">
        <v>9197</v>
      </c>
      <c r="F9187" s="2" t="s">
        <v>8753</v>
      </c>
      <c r="G9187" s="2" t="str">
        <f>"SR-12904"</f>
        <v>SR-12904</v>
      </c>
      <c r="H9187" s="2" t="s">
        <v>37892</v>
      </c>
      <c r="I9187" s="2" t="s">
        <v>8755</v>
      </c>
      <c r="K9187" s="2" t="s">
        <v>37893</v>
      </c>
      <c r="L9187" s="2" t="s">
        <v>165</v>
      </c>
      <c r="M9187" s="2">
        <v>22554.0</v>
      </c>
      <c r="N9187" s="2" t="s">
        <v>21</v>
      </c>
    </row>
    <row r="9188" ht="15.75" customHeight="1">
      <c r="A9188" s="2">
        <v>2018.0</v>
      </c>
      <c r="B9188" s="2" t="s">
        <v>37894</v>
      </c>
      <c r="C9188" s="2" t="s">
        <v>37895</v>
      </c>
      <c r="D9188" s="2" t="str">
        <f>"701-833-9571"</f>
        <v>701-833-9571</v>
      </c>
      <c r="E9188" s="2" t="s">
        <v>453</v>
      </c>
      <c r="F9188" s="2" t="s">
        <v>16389</v>
      </c>
      <c r="G9188" s="2" t="str">
        <f>"SR-12905"</f>
        <v>SR-12905</v>
      </c>
      <c r="H9188" s="2" t="s">
        <v>37896</v>
      </c>
      <c r="I9188" s="2" t="s">
        <v>16391</v>
      </c>
      <c r="K9188" s="2" t="s">
        <v>5965</v>
      </c>
      <c r="L9188" s="2" t="s">
        <v>2534</v>
      </c>
      <c r="M9188" s="2">
        <v>58701.0</v>
      </c>
      <c r="N9188" s="2" t="s">
        <v>21</v>
      </c>
    </row>
    <row r="9189" ht="15.75" customHeight="1">
      <c r="A9189" s="2">
        <v>2018.0</v>
      </c>
      <c r="B9189" s="2" t="s">
        <v>37897</v>
      </c>
      <c r="C9189" s="2" t="s">
        <v>37897</v>
      </c>
      <c r="D9189" s="2" t="str">
        <f>"8174489373"</f>
        <v>8174489373</v>
      </c>
      <c r="E9189" s="2" t="s">
        <v>3693</v>
      </c>
      <c r="F9189" s="2" t="s">
        <v>5035</v>
      </c>
      <c r="G9189" s="2" t="str">
        <f>"SR-12906"</f>
        <v>SR-12906</v>
      </c>
      <c r="H9189" s="2" t="s">
        <v>37898</v>
      </c>
      <c r="I9189" s="2" t="s">
        <v>37899</v>
      </c>
      <c r="K9189" s="2" t="s">
        <v>1260</v>
      </c>
      <c r="L9189" s="2" t="s">
        <v>172</v>
      </c>
      <c r="M9189" s="2">
        <v>76107.0</v>
      </c>
      <c r="N9189" s="2" t="s">
        <v>21</v>
      </c>
    </row>
    <row r="9190" ht="15.75" customHeight="1">
      <c r="A9190" s="2">
        <v>2018.0</v>
      </c>
      <c r="B9190" s="2" t="s">
        <v>37897</v>
      </c>
      <c r="C9190" s="2" t="s">
        <v>37897</v>
      </c>
      <c r="D9190" s="2" t="str">
        <f>"6517469240"</f>
        <v>6517469240</v>
      </c>
      <c r="E9190" s="2" t="s">
        <v>2401</v>
      </c>
      <c r="F9190" s="2" t="s">
        <v>37900</v>
      </c>
      <c r="G9190" s="2" t="str">
        <f>"SR-12907"</f>
        <v>SR-12907</v>
      </c>
      <c r="H9190" s="2" t="s">
        <v>37901</v>
      </c>
      <c r="I9190" s="2" t="s">
        <v>37899</v>
      </c>
      <c r="K9190" s="2" t="s">
        <v>1260</v>
      </c>
      <c r="L9190" s="2" t="s">
        <v>172</v>
      </c>
      <c r="M9190" s="2">
        <v>76107.0</v>
      </c>
      <c r="N9190" s="2" t="s">
        <v>21</v>
      </c>
    </row>
    <row r="9191" ht="15.75" customHeight="1">
      <c r="A9191" s="2">
        <v>2018.0</v>
      </c>
      <c r="B9191" s="2" t="s">
        <v>37902</v>
      </c>
      <c r="C9191" s="2" t="s">
        <v>37903</v>
      </c>
      <c r="D9191" s="2" t="str">
        <f>"3038404847"</f>
        <v>3038404847</v>
      </c>
      <c r="E9191" s="2" t="s">
        <v>417</v>
      </c>
      <c r="F9191" s="2" t="s">
        <v>847</v>
      </c>
      <c r="G9191" s="2" t="str">
        <f>"SR-12908"</f>
        <v>SR-12908</v>
      </c>
      <c r="H9191" s="2" t="s">
        <v>37904</v>
      </c>
      <c r="I9191" s="2" t="s">
        <v>37905</v>
      </c>
      <c r="K9191" s="2" t="s">
        <v>6514</v>
      </c>
      <c r="L9191" s="2" t="s">
        <v>157</v>
      </c>
      <c r="M9191" s="2">
        <v>80215.0</v>
      </c>
      <c r="N9191" s="2" t="s">
        <v>21</v>
      </c>
    </row>
    <row r="9192" ht="15.75" customHeight="1">
      <c r="A9192" s="2">
        <v>2018.0</v>
      </c>
      <c r="B9192" s="2" t="s">
        <v>37906</v>
      </c>
      <c r="C9192" s="2" t="s">
        <v>37906</v>
      </c>
      <c r="D9192" s="2" t="str">
        <f>"863-273-1102"</f>
        <v>863-273-1102</v>
      </c>
      <c r="E9192" s="2" t="s">
        <v>37907</v>
      </c>
      <c r="F9192" s="2" t="s">
        <v>24368</v>
      </c>
      <c r="G9192" s="2" t="str">
        <f>"SR-12910"</f>
        <v>SR-12910</v>
      </c>
      <c r="H9192" s="2" t="s">
        <v>37908</v>
      </c>
      <c r="I9192" s="2" t="s">
        <v>37909</v>
      </c>
      <c r="J9192" s="2" t="s">
        <v>37910</v>
      </c>
      <c r="K9192" s="2" t="s">
        <v>26300</v>
      </c>
      <c r="L9192" s="2" t="s">
        <v>208</v>
      </c>
      <c r="M9192" s="2">
        <v>33862.0</v>
      </c>
      <c r="N9192" s="2" t="s">
        <v>21</v>
      </c>
    </row>
    <row r="9193" ht="15.75" customHeight="1">
      <c r="A9193" s="2">
        <v>2018.0</v>
      </c>
      <c r="B9193" s="2" t="s">
        <v>37911</v>
      </c>
      <c r="C9193" s="2" t="s">
        <v>37912</v>
      </c>
      <c r="D9193" s="2" t="str">
        <f>"(765)481-6769"</f>
        <v>(765)481-6769</v>
      </c>
      <c r="E9193" s="2" t="s">
        <v>3037</v>
      </c>
      <c r="F9193" s="2" t="s">
        <v>37913</v>
      </c>
      <c r="G9193" s="2" t="str">
        <f>"SR-12902"</f>
        <v>SR-12902</v>
      </c>
      <c r="H9193" s="2" t="s">
        <v>37914</v>
      </c>
      <c r="I9193" s="2" t="s">
        <v>37915</v>
      </c>
      <c r="K9193" s="2" t="s">
        <v>15156</v>
      </c>
      <c r="L9193" s="2" t="s">
        <v>149</v>
      </c>
      <c r="M9193" s="2">
        <v>46167.0</v>
      </c>
      <c r="N9193" s="2" t="s">
        <v>21</v>
      </c>
    </row>
    <row r="9194" ht="15.75" customHeight="1">
      <c r="A9194" s="2">
        <v>2018.0</v>
      </c>
      <c r="B9194" s="2" t="s">
        <v>37916</v>
      </c>
      <c r="C9194" s="2" t="s">
        <v>37917</v>
      </c>
      <c r="D9194" s="2" t="str">
        <f>"4345153450"</f>
        <v>4345153450</v>
      </c>
      <c r="E9194" s="2" t="s">
        <v>4763</v>
      </c>
      <c r="F9194" s="2" t="s">
        <v>4776</v>
      </c>
      <c r="G9194" s="2" t="str">
        <f>"SR-12911"</f>
        <v>SR-12911</v>
      </c>
      <c r="H9194" s="2" t="s">
        <v>37918</v>
      </c>
      <c r="I9194" s="2" t="s">
        <v>37919</v>
      </c>
      <c r="K9194" s="2" t="s">
        <v>323</v>
      </c>
      <c r="L9194" s="2" t="s">
        <v>165</v>
      </c>
      <c r="M9194" s="2">
        <v>24551.0</v>
      </c>
      <c r="N9194" s="2" t="s">
        <v>21</v>
      </c>
    </row>
    <row r="9195" ht="15.75" customHeight="1">
      <c r="A9195" s="2">
        <v>2018.0</v>
      </c>
      <c r="B9195" s="2" t="s">
        <v>37916</v>
      </c>
      <c r="C9195" s="2" t="s">
        <v>37920</v>
      </c>
      <c r="D9195" s="2" t="str">
        <f>"4344856664"</f>
        <v>4344856664</v>
      </c>
      <c r="E9195" s="2" t="s">
        <v>37921</v>
      </c>
      <c r="F9195" s="2" t="s">
        <v>850</v>
      </c>
      <c r="G9195" s="2" t="str">
        <f>"SR-12912"</f>
        <v>SR-12912</v>
      </c>
      <c r="H9195" s="2" t="s">
        <v>37922</v>
      </c>
      <c r="I9195" s="2" t="s">
        <v>37919</v>
      </c>
      <c r="K9195" s="2" t="s">
        <v>323</v>
      </c>
      <c r="L9195" s="2" t="s">
        <v>165</v>
      </c>
      <c r="M9195" s="2">
        <v>24551.0</v>
      </c>
      <c r="N9195" s="2" t="s">
        <v>21</v>
      </c>
    </row>
    <row r="9196" ht="15.75" customHeight="1">
      <c r="A9196" s="2">
        <v>2018.0</v>
      </c>
      <c r="B9196" s="2" t="s">
        <v>37923</v>
      </c>
      <c r="C9196" s="2" t="s">
        <v>37923</v>
      </c>
      <c r="D9196" s="2" t="str">
        <f>"7193377442"</f>
        <v>7193377442</v>
      </c>
      <c r="E9196" s="2" t="s">
        <v>37924</v>
      </c>
      <c r="F9196" s="2" t="s">
        <v>37925</v>
      </c>
      <c r="G9196" s="2" t="str">
        <f>"SR-12839"</f>
        <v>SR-12839</v>
      </c>
      <c r="H9196" s="2" t="s">
        <v>37926</v>
      </c>
      <c r="I9196" s="2" t="s">
        <v>37927</v>
      </c>
      <c r="K9196" s="2" t="s">
        <v>809</v>
      </c>
      <c r="L9196" s="2" t="s">
        <v>157</v>
      </c>
      <c r="M9196" s="2">
        <v>80908.0</v>
      </c>
      <c r="N9196" s="2" t="s">
        <v>21</v>
      </c>
    </row>
    <row r="9197" ht="15.75" customHeight="1">
      <c r="A9197" s="2">
        <v>2018.0</v>
      </c>
      <c r="B9197" s="2" t="s">
        <v>30512</v>
      </c>
      <c r="C9197" s="2" t="s">
        <v>37928</v>
      </c>
      <c r="D9197" s="2" t="str">
        <f>"(540) 854-5050"</f>
        <v>(540) 854-5050</v>
      </c>
      <c r="E9197" s="2" t="s">
        <v>160</v>
      </c>
      <c r="F9197" s="2" t="s">
        <v>30513</v>
      </c>
      <c r="G9197" s="2" t="str">
        <f>"SR-12909"</f>
        <v>SR-12909</v>
      </c>
      <c r="H9197" s="2" t="s">
        <v>30517</v>
      </c>
      <c r="I9197" s="2" t="s">
        <v>30515</v>
      </c>
      <c r="K9197" s="2" t="s">
        <v>30516</v>
      </c>
      <c r="L9197" s="2" t="s">
        <v>165</v>
      </c>
      <c r="M9197" s="2">
        <v>22508.0</v>
      </c>
      <c r="N9197" s="2" t="s">
        <v>21</v>
      </c>
    </row>
    <row r="9198" ht="15.75" customHeight="1">
      <c r="A9198" s="2">
        <v>2018.0</v>
      </c>
      <c r="B9198" s="2" t="s">
        <v>37929</v>
      </c>
      <c r="C9198" s="2" t="s">
        <v>37930</v>
      </c>
      <c r="D9198" s="2" t="str">
        <f>"8178627514"</f>
        <v>8178627514</v>
      </c>
      <c r="E9198" s="2" t="s">
        <v>15</v>
      </c>
      <c r="F9198" s="2" t="s">
        <v>22206</v>
      </c>
      <c r="G9198" s="2" t="str">
        <f>"SR-12781"</f>
        <v>SR-12781</v>
      </c>
      <c r="H9198" s="2" t="s">
        <v>37931</v>
      </c>
      <c r="I9198" s="2" t="s">
        <v>37932</v>
      </c>
      <c r="K9198" s="2" t="s">
        <v>1260</v>
      </c>
      <c r="L9198" s="2" t="s">
        <v>172</v>
      </c>
      <c r="M9198" s="2">
        <v>76177.0</v>
      </c>
      <c r="N9198" s="2" t="s">
        <v>21</v>
      </c>
    </row>
    <row r="9199" ht="15.75" customHeight="1">
      <c r="A9199" s="2">
        <v>2018.0</v>
      </c>
      <c r="B9199" s="2" t="s">
        <v>37933</v>
      </c>
      <c r="C9199" s="2" t="s">
        <v>37934</v>
      </c>
      <c r="D9199" s="2" t="str">
        <f>"9136083642"</f>
        <v>9136083642</v>
      </c>
      <c r="E9199" s="2" t="s">
        <v>37935</v>
      </c>
      <c r="F9199" s="2" t="s">
        <v>37936</v>
      </c>
      <c r="G9199" s="2" t="str">
        <f>"SR-12915"</f>
        <v>SR-12915</v>
      </c>
      <c r="H9199" s="2" t="s">
        <v>37937</v>
      </c>
      <c r="I9199" s="2" t="s">
        <v>37938</v>
      </c>
      <c r="K9199" s="2" t="s">
        <v>1814</v>
      </c>
      <c r="L9199" s="2" t="s">
        <v>214</v>
      </c>
      <c r="M9199" s="2">
        <v>64111.0</v>
      </c>
      <c r="N9199" s="2" t="s">
        <v>21</v>
      </c>
    </row>
    <row r="9200" ht="15.75" customHeight="1">
      <c r="A9200" s="2">
        <v>2018.0</v>
      </c>
      <c r="B9200" s="2" t="s">
        <v>18561</v>
      </c>
      <c r="C9200" s="2" t="s">
        <v>37939</v>
      </c>
      <c r="D9200" s="2" t="str">
        <f>"2627055296"</f>
        <v>2627055296</v>
      </c>
      <c r="E9200" s="2" t="s">
        <v>250</v>
      </c>
      <c r="F9200" s="2" t="s">
        <v>2593</v>
      </c>
      <c r="G9200" s="2" t="str">
        <f>"SR-12917"</f>
        <v>SR-12917</v>
      </c>
      <c r="H9200" s="2" t="s">
        <v>37940</v>
      </c>
      <c r="I9200" s="2" t="s">
        <v>37941</v>
      </c>
      <c r="K9200" s="2" t="s">
        <v>2596</v>
      </c>
      <c r="L9200" s="2" t="s">
        <v>193</v>
      </c>
      <c r="M9200" s="2">
        <v>53142.0</v>
      </c>
      <c r="N9200" s="2" t="s">
        <v>21</v>
      </c>
    </row>
    <row r="9201" ht="15.75" customHeight="1">
      <c r="A9201" s="2">
        <v>2018.0</v>
      </c>
      <c r="B9201" s="2" t="s">
        <v>37942</v>
      </c>
      <c r="C9201" s="2" t="s">
        <v>37943</v>
      </c>
      <c r="D9201" s="2" t="str">
        <f>"8064129955"</f>
        <v>8064129955</v>
      </c>
      <c r="E9201" s="2" t="s">
        <v>2147</v>
      </c>
      <c r="F9201" s="2" t="s">
        <v>7537</v>
      </c>
      <c r="G9201" s="2" t="str">
        <f>"SR-12918"</f>
        <v>SR-12918</v>
      </c>
      <c r="H9201" s="2" t="s">
        <v>37944</v>
      </c>
      <c r="I9201" s="2" t="s">
        <v>37945</v>
      </c>
      <c r="K9201" s="2" t="s">
        <v>1121</v>
      </c>
      <c r="L9201" s="2" t="s">
        <v>172</v>
      </c>
      <c r="M9201" s="2">
        <v>79424.0</v>
      </c>
      <c r="N9201" s="2" t="s">
        <v>21</v>
      </c>
    </row>
    <row r="9202" ht="15.75" customHeight="1">
      <c r="A9202" s="2">
        <v>2018.0</v>
      </c>
      <c r="B9202" s="2" t="s">
        <v>37942</v>
      </c>
      <c r="C9202" s="2" t="s">
        <v>37946</v>
      </c>
      <c r="D9202" s="2" t="str">
        <f>"3185195989"</f>
        <v>3185195989</v>
      </c>
      <c r="E9202" s="2" t="s">
        <v>57</v>
      </c>
      <c r="F9202" s="2" t="s">
        <v>3527</v>
      </c>
      <c r="G9202" s="2" t="str">
        <f>"SR-12919"</f>
        <v>SR-12919</v>
      </c>
      <c r="H9202" s="2" t="s">
        <v>37947</v>
      </c>
      <c r="I9202" s="2" t="s">
        <v>37948</v>
      </c>
      <c r="K9202" s="2" t="s">
        <v>37949</v>
      </c>
      <c r="L9202" s="2" t="s">
        <v>715</v>
      </c>
      <c r="M9202" s="2">
        <v>71107.0</v>
      </c>
      <c r="N9202" s="2" t="s">
        <v>21</v>
      </c>
    </row>
    <row r="9203" ht="15.75" customHeight="1">
      <c r="A9203" s="2">
        <v>2018.0</v>
      </c>
      <c r="B9203" s="2" t="s">
        <v>37950</v>
      </c>
      <c r="C9203" s="2" t="s">
        <v>37951</v>
      </c>
      <c r="D9203" s="2" t="str">
        <f>"208-597-1646"</f>
        <v>208-597-1646</v>
      </c>
      <c r="E9203" s="2" t="s">
        <v>705</v>
      </c>
      <c r="F9203" s="2" t="s">
        <v>24237</v>
      </c>
      <c r="G9203" s="2" t="str">
        <f>"SR-12920"</f>
        <v>SR-12920</v>
      </c>
      <c r="H9203" s="2" t="s">
        <v>37952</v>
      </c>
      <c r="I9203" s="2" t="s">
        <v>37953</v>
      </c>
      <c r="K9203" s="2" t="s">
        <v>19729</v>
      </c>
      <c r="L9203" s="2" t="s">
        <v>2613</v>
      </c>
      <c r="M9203" s="2">
        <v>83864.0</v>
      </c>
      <c r="N9203" s="2" t="s">
        <v>21</v>
      </c>
    </row>
    <row r="9204" ht="15.75" customHeight="1">
      <c r="A9204" s="2">
        <v>2018.0</v>
      </c>
      <c r="B9204" s="2" t="s">
        <v>37954</v>
      </c>
      <c r="C9204" s="2" t="s">
        <v>37955</v>
      </c>
      <c r="D9204" s="2" t="str">
        <f>"5743120176"</f>
        <v>5743120176</v>
      </c>
      <c r="E9204" s="2" t="s">
        <v>7892</v>
      </c>
      <c r="F9204" s="2" t="s">
        <v>89</v>
      </c>
      <c r="G9204" s="2" t="str">
        <f>"SR-12762"</f>
        <v>SR-12762</v>
      </c>
      <c r="H9204" s="2" t="s">
        <v>37956</v>
      </c>
      <c r="I9204" s="2" t="s">
        <v>23871</v>
      </c>
      <c r="K9204" s="2" t="s">
        <v>23872</v>
      </c>
      <c r="L9204" s="2" t="s">
        <v>149</v>
      </c>
      <c r="M9204" s="2">
        <v>46565.0</v>
      </c>
      <c r="N9204" s="2" t="s">
        <v>21</v>
      </c>
    </row>
    <row r="9205" ht="15.75" customHeight="1">
      <c r="A9205" s="2">
        <v>2018.0</v>
      </c>
      <c r="B9205" s="2" t="s">
        <v>37954</v>
      </c>
      <c r="C9205" s="2" t="s">
        <v>23878</v>
      </c>
      <c r="D9205" s="2" t="str">
        <f>"5743233343"</f>
        <v>5743233343</v>
      </c>
      <c r="E9205" s="2" t="s">
        <v>3743</v>
      </c>
      <c r="F9205" s="2" t="s">
        <v>89</v>
      </c>
      <c r="G9205" s="2" t="str">
        <f>"SR-12761"</f>
        <v>SR-12761</v>
      </c>
      <c r="H9205" s="2" t="s">
        <v>23879</v>
      </c>
      <c r="I9205" s="2" t="s">
        <v>23871</v>
      </c>
      <c r="K9205" s="2" t="s">
        <v>23872</v>
      </c>
      <c r="L9205" s="2" t="s">
        <v>149</v>
      </c>
      <c r="M9205" s="2">
        <v>46565.0</v>
      </c>
      <c r="N9205" s="2" t="s">
        <v>21</v>
      </c>
    </row>
    <row r="9206" ht="15.75" customHeight="1">
      <c r="A9206" s="2">
        <v>2018.0</v>
      </c>
      <c r="B9206" s="2" t="s">
        <v>37957</v>
      </c>
      <c r="C9206" s="2" t="s">
        <v>37957</v>
      </c>
      <c r="D9206" s="2" t="str">
        <f>"4056378364"</f>
        <v>4056378364</v>
      </c>
      <c r="E9206" s="2" t="s">
        <v>955</v>
      </c>
      <c r="F9206" s="2" t="s">
        <v>30998</v>
      </c>
      <c r="G9206" s="2" t="str">
        <f>"SR-12821"</f>
        <v>SR-12821</v>
      </c>
      <c r="H9206" s="2" t="s">
        <v>31002</v>
      </c>
      <c r="I9206" s="2" t="s">
        <v>31000</v>
      </c>
      <c r="K9206" s="2" t="s">
        <v>6622</v>
      </c>
      <c r="L9206" s="2" t="s">
        <v>840</v>
      </c>
      <c r="M9206" s="2">
        <v>73170.0</v>
      </c>
      <c r="N9206" s="2" t="s">
        <v>21</v>
      </c>
    </row>
    <row r="9207" ht="15.75" customHeight="1">
      <c r="A9207" s="2">
        <v>2018.0</v>
      </c>
      <c r="B9207" s="2" t="s">
        <v>37958</v>
      </c>
      <c r="C9207" s="2" t="s">
        <v>37958</v>
      </c>
      <c r="D9207" s="2" t="str">
        <f>"9367187471"</f>
        <v>9367187471</v>
      </c>
      <c r="E9207" s="2" t="s">
        <v>37959</v>
      </c>
      <c r="F9207" s="2" t="s">
        <v>37960</v>
      </c>
      <c r="G9207" s="2" t="str">
        <f>"SR-12922"</f>
        <v>SR-12922</v>
      </c>
      <c r="H9207" s="2" t="s">
        <v>37961</v>
      </c>
      <c r="I9207" s="2" t="s">
        <v>37962</v>
      </c>
      <c r="K9207" s="2" t="s">
        <v>9614</v>
      </c>
      <c r="L9207" s="2" t="s">
        <v>172</v>
      </c>
      <c r="M9207" s="2">
        <v>77384.0</v>
      </c>
      <c r="N9207" s="2" t="s">
        <v>21</v>
      </c>
    </row>
    <row r="9208" ht="15.75" customHeight="1">
      <c r="A9208" s="2">
        <v>2018.0</v>
      </c>
      <c r="B9208" s="2" t="s">
        <v>37897</v>
      </c>
      <c r="C9208" s="2" t="s">
        <v>37897</v>
      </c>
      <c r="D9208" s="2" t="str">
        <f>"817941-6690"</f>
        <v>817941-6690</v>
      </c>
      <c r="E9208" s="2" t="s">
        <v>453</v>
      </c>
      <c r="F9208" s="2" t="s">
        <v>35724</v>
      </c>
      <c r="G9208" s="2" t="str">
        <f>"SR-12921"</f>
        <v>SR-12921</v>
      </c>
      <c r="H9208" s="2" t="s">
        <v>37963</v>
      </c>
      <c r="I9208" s="2" t="s">
        <v>37899</v>
      </c>
      <c r="K9208" s="2" t="s">
        <v>1260</v>
      </c>
      <c r="L9208" s="2" t="s">
        <v>172</v>
      </c>
      <c r="M9208" s="2">
        <v>76107.0</v>
      </c>
      <c r="N9208" s="2" t="s">
        <v>21</v>
      </c>
    </row>
    <row r="9209" ht="15.75" customHeight="1">
      <c r="A9209" s="2">
        <v>2018.0</v>
      </c>
      <c r="B9209" s="2" t="s">
        <v>37964</v>
      </c>
      <c r="C9209" s="2" t="s">
        <v>37965</v>
      </c>
      <c r="D9209" s="2" t="str">
        <f>"5404813171"</f>
        <v>5404813171</v>
      </c>
      <c r="E9209" s="2" t="s">
        <v>14005</v>
      </c>
      <c r="F9209" s="2" t="s">
        <v>562</v>
      </c>
      <c r="G9209" s="2" t="str">
        <f>"SR-12923"</f>
        <v>SR-12923</v>
      </c>
      <c r="H9209" s="2" t="s">
        <v>37966</v>
      </c>
      <c r="I9209" s="2" t="s">
        <v>37967</v>
      </c>
      <c r="K9209" s="2" t="s">
        <v>10716</v>
      </c>
      <c r="L9209" s="2" t="s">
        <v>165</v>
      </c>
      <c r="M9209" s="2">
        <v>22801.0</v>
      </c>
      <c r="N9209" s="2" t="s">
        <v>21</v>
      </c>
    </row>
    <row r="9210" ht="15.75" customHeight="1">
      <c r="A9210" s="2">
        <v>2018.0</v>
      </c>
      <c r="B9210" s="2" t="s">
        <v>37968</v>
      </c>
      <c r="C9210" s="2" t="s">
        <v>37969</v>
      </c>
      <c r="D9210" s="2" t="str">
        <f>"210-823-4405"</f>
        <v>210-823-4405</v>
      </c>
      <c r="E9210" s="2" t="s">
        <v>339</v>
      </c>
      <c r="F9210" s="2" t="s">
        <v>37970</v>
      </c>
      <c r="G9210" s="2" t="str">
        <f>"SR-12925"</f>
        <v>SR-12925</v>
      </c>
      <c r="H9210" s="2" t="s">
        <v>37971</v>
      </c>
      <c r="I9210" s="2" t="s">
        <v>37972</v>
      </c>
      <c r="K9210" s="2" t="s">
        <v>1292</v>
      </c>
      <c r="L9210" s="2" t="s">
        <v>172</v>
      </c>
      <c r="M9210" s="2">
        <v>78006.0</v>
      </c>
      <c r="N9210" s="2" t="s">
        <v>21</v>
      </c>
    </row>
    <row r="9211" ht="15.75" customHeight="1">
      <c r="A9211" s="2">
        <v>2018.0</v>
      </c>
      <c r="B9211" s="2" t="s">
        <v>37973</v>
      </c>
      <c r="C9211" s="2" t="s">
        <v>37973</v>
      </c>
      <c r="D9211" s="2" t="str">
        <f>"936 544 9545"</f>
        <v>936 544 9545</v>
      </c>
      <c r="E9211" s="2" t="s">
        <v>217</v>
      </c>
      <c r="F9211" s="2" t="s">
        <v>37974</v>
      </c>
      <c r="G9211" s="2" t="str">
        <f>"SR-12926"</f>
        <v>SR-12926</v>
      </c>
      <c r="H9211" s="2" t="s">
        <v>37975</v>
      </c>
      <c r="I9211" s="2" t="s">
        <v>37976</v>
      </c>
      <c r="K9211" s="2" t="s">
        <v>37977</v>
      </c>
      <c r="L9211" s="2" t="s">
        <v>172</v>
      </c>
      <c r="M9211" s="2">
        <v>75844.0</v>
      </c>
      <c r="N9211" s="2" t="s">
        <v>21</v>
      </c>
    </row>
    <row r="9212" ht="15.75" customHeight="1">
      <c r="A9212" s="2">
        <v>2018.0</v>
      </c>
      <c r="B9212" s="2" t="s">
        <v>37978</v>
      </c>
      <c r="D9212" s="2" t="str">
        <f>""</f>
        <v/>
      </c>
      <c r="E9212" s="2" t="s">
        <v>417</v>
      </c>
      <c r="F9212" s="2" t="s">
        <v>20605</v>
      </c>
      <c r="G9212" s="2" t="str">
        <f>"SR-12914"</f>
        <v>SR-12914</v>
      </c>
      <c r="H9212" s="2" t="s">
        <v>37979</v>
      </c>
      <c r="N9212" s="2" t="s">
        <v>21</v>
      </c>
    </row>
    <row r="9213" ht="15.75" customHeight="1">
      <c r="A9213" s="2">
        <v>2018.0</v>
      </c>
      <c r="B9213" s="2" t="s">
        <v>37980</v>
      </c>
      <c r="C9213" s="2" t="s">
        <v>37980</v>
      </c>
      <c r="D9213" s="2" t="str">
        <f>"610-793-0466"</f>
        <v>610-793-0466</v>
      </c>
      <c r="E9213" s="2" t="s">
        <v>3196</v>
      </c>
      <c r="F9213" s="2" t="s">
        <v>4941</v>
      </c>
      <c r="G9213" s="2" t="str">
        <f>"SR-12893"</f>
        <v>SR-12893</v>
      </c>
      <c r="H9213" s="2" t="s">
        <v>37981</v>
      </c>
      <c r="I9213" s="2" t="s">
        <v>37982</v>
      </c>
      <c r="K9213" s="2" t="s">
        <v>37983</v>
      </c>
      <c r="L9213" s="2" t="s">
        <v>179</v>
      </c>
      <c r="M9213" s="2">
        <v>19375.0</v>
      </c>
      <c r="N9213" s="2" t="s">
        <v>21</v>
      </c>
    </row>
    <row r="9214" ht="15.75" customHeight="1">
      <c r="A9214" s="2">
        <v>2018.0</v>
      </c>
      <c r="B9214" s="2" t="s">
        <v>37984</v>
      </c>
      <c r="C9214" s="2" t="s">
        <v>37984</v>
      </c>
      <c r="D9214" s="2" t="str">
        <f>"(440)390-8888"</f>
        <v>(440)390-8888</v>
      </c>
      <c r="E9214" s="2" t="s">
        <v>37985</v>
      </c>
      <c r="F9214" s="2" t="s">
        <v>37986</v>
      </c>
      <c r="G9214" s="2" t="str">
        <f>"SR-12932"</f>
        <v>SR-12932</v>
      </c>
      <c r="H9214" s="2" t="s">
        <v>37987</v>
      </c>
      <c r="I9214" s="2" t="s">
        <v>37988</v>
      </c>
      <c r="K9214" s="2" t="s">
        <v>37989</v>
      </c>
      <c r="L9214" s="2" t="s">
        <v>105</v>
      </c>
      <c r="M9214" s="2">
        <v>61107.0</v>
      </c>
      <c r="N9214" s="2" t="s">
        <v>21</v>
      </c>
    </row>
    <row r="9215" ht="15.75" customHeight="1">
      <c r="A9215" s="2">
        <v>2018.0</v>
      </c>
      <c r="B9215" s="2" t="s">
        <v>37990</v>
      </c>
      <c r="C9215" s="2" t="s">
        <v>37991</v>
      </c>
      <c r="D9215" s="2" t="str">
        <f>"3036185954"</f>
        <v>3036185954</v>
      </c>
      <c r="E9215" s="2" t="s">
        <v>453</v>
      </c>
      <c r="F9215" s="2" t="s">
        <v>1169</v>
      </c>
      <c r="G9215" s="2" t="str">
        <f>"SR-12933"</f>
        <v>SR-12933</v>
      </c>
      <c r="H9215" s="2" t="s">
        <v>37992</v>
      </c>
      <c r="I9215" s="2" t="s">
        <v>37993</v>
      </c>
      <c r="K9215" s="2" t="s">
        <v>37994</v>
      </c>
      <c r="L9215" s="2" t="s">
        <v>179</v>
      </c>
      <c r="M9215" s="2">
        <v>19063.0</v>
      </c>
      <c r="N9215" s="2" t="s">
        <v>21</v>
      </c>
    </row>
    <row r="9216" ht="15.75" customHeight="1">
      <c r="A9216" s="2">
        <v>2018.0</v>
      </c>
      <c r="B9216" s="2" t="s">
        <v>37995</v>
      </c>
      <c r="C9216" s="2" t="s">
        <v>37995</v>
      </c>
      <c r="D9216" s="2" t="str">
        <f>"17169691985"</f>
        <v>17169691985</v>
      </c>
      <c r="E9216" s="2" t="s">
        <v>1554</v>
      </c>
      <c r="F9216" s="2" t="s">
        <v>78</v>
      </c>
      <c r="G9216" s="2" t="str">
        <f>"SR-12934"</f>
        <v>SR-12934</v>
      </c>
      <c r="H9216" s="2" t="s">
        <v>37996</v>
      </c>
      <c r="I9216" s="2" t="s">
        <v>37997</v>
      </c>
      <c r="K9216" s="2" t="s">
        <v>37998</v>
      </c>
      <c r="L9216" s="2" t="s">
        <v>142</v>
      </c>
      <c r="M9216" s="2">
        <v>14048.0</v>
      </c>
      <c r="N9216" s="2" t="s">
        <v>21</v>
      </c>
    </row>
    <row r="9217" ht="15.75" customHeight="1">
      <c r="A9217" s="2">
        <v>2018.0</v>
      </c>
      <c r="B9217" s="2" t="s">
        <v>37999</v>
      </c>
      <c r="C9217" s="2" t="s">
        <v>37999</v>
      </c>
      <c r="D9217" s="2" t="str">
        <f>"9039204915"</f>
        <v>9039204915</v>
      </c>
      <c r="E9217" s="2" t="s">
        <v>339</v>
      </c>
      <c r="F9217" s="2" t="s">
        <v>38000</v>
      </c>
      <c r="G9217" s="2" t="str">
        <f>"SR-12936"</f>
        <v>SR-12936</v>
      </c>
      <c r="H9217" s="2" t="s">
        <v>38001</v>
      </c>
      <c r="I9217" s="2" t="s">
        <v>38002</v>
      </c>
      <c r="K9217" s="2" t="s">
        <v>1733</v>
      </c>
      <c r="L9217" s="2" t="s">
        <v>172</v>
      </c>
      <c r="M9217" s="2">
        <v>75757.0</v>
      </c>
      <c r="N9217" s="2" t="s">
        <v>21</v>
      </c>
    </row>
    <row r="9218" ht="15.75" customHeight="1">
      <c r="A9218" s="2">
        <v>2018.0</v>
      </c>
      <c r="B9218" s="2" t="s">
        <v>38003</v>
      </c>
      <c r="C9218" s="2" t="s">
        <v>38004</v>
      </c>
      <c r="D9218" s="2" t="str">
        <f>"7406982197"</f>
        <v>7406982197</v>
      </c>
      <c r="E9218" s="2" t="s">
        <v>203</v>
      </c>
      <c r="F9218" s="2" t="s">
        <v>38005</v>
      </c>
      <c r="G9218" s="2" t="str">
        <f>"SR-12938"</f>
        <v>SR-12938</v>
      </c>
      <c r="H9218" s="2" t="s">
        <v>38006</v>
      </c>
      <c r="I9218" s="2" t="s">
        <v>38007</v>
      </c>
      <c r="K9218" s="2" t="s">
        <v>7670</v>
      </c>
      <c r="L9218" s="2" t="s">
        <v>344</v>
      </c>
      <c r="M9218" s="2">
        <v>45710.0</v>
      </c>
      <c r="N9218" s="2" t="s">
        <v>21</v>
      </c>
    </row>
    <row r="9219" ht="15.75" customHeight="1">
      <c r="A9219" s="2">
        <v>2018.0</v>
      </c>
      <c r="B9219" s="2" t="s">
        <v>38008</v>
      </c>
      <c r="C9219" s="2" t="s">
        <v>38008</v>
      </c>
      <c r="D9219" s="2" t="str">
        <f>"8324185915"</f>
        <v>8324185915</v>
      </c>
      <c r="E9219" s="2" t="s">
        <v>485</v>
      </c>
      <c r="F9219" s="2" t="s">
        <v>448</v>
      </c>
      <c r="G9219" s="2" t="str">
        <f>"SR-12935"</f>
        <v>SR-12935</v>
      </c>
      <c r="H9219" s="2" t="s">
        <v>38009</v>
      </c>
      <c r="I9219" s="2" t="s">
        <v>24148</v>
      </c>
      <c r="K9219" s="2" t="s">
        <v>5855</v>
      </c>
      <c r="L9219" s="2" t="s">
        <v>172</v>
      </c>
      <c r="M9219" s="2">
        <v>77379.0</v>
      </c>
      <c r="N9219" s="2" t="s">
        <v>21</v>
      </c>
    </row>
    <row r="9220" ht="15.75" customHeight="1">
      <c r="A9220" s="2">
        <v>2018.0</v>
      </c>
      <c r="B9220" s="2" t="s">
        <v>38010</v>
      </c>
      <c r="C9220" s="2" t="s">
        <v>38010</v>
      </c>
      <c r="D9220" s="2" t="str">
        <f>"6026157816"</f>
        <v>6026157816</v>
      </c>
      <c r="E9220" s="2" t="s">
        <v>4897</v>
      </c>
      <c r="F9220" s="2" t="s">
        <v>9406</v>
      </c>
      <c r="G9220" s="2" t="str">
        <f>"SR-12937"</f>
        <v>SR-12937</v>
      </c>
      <c r="H9220" s="2" t="s">
        <v>38011</v>
      </c>
      <c r="I9220" s="2" t="s">
        <v>38012</v>
      </c>
      <c r="K9220" s="2" t="s">
        <v>5531</v>
      </c>
      <c r="L9220" s="2" t="s">
        <v>422</v>
      </c>
      <c r="M9220" s="2">
        <v>85203.0</v>
      </c>
      <c r="N9220" s="2" t="s">
        <v>21</v>
      </c>
    </row>
    <row r="9221" ht="15.75" customHeight="1">
      <c r="A9221" s="2">
        <v>2018.0</v>
      </c>
      <c r="B9221" s="2" t="s">
        <v>38013</v>
      </c>
      <c r="C9221" s="2" t="s">
        <v>38013</v>
      </c>
      <c r="D9221" s="2" t="str">
        <f>"815-899-3280"</f>
        <v>815-899-3280</v>
      </c>
      <c r="E9221" s="2" t="s">
        <v>6244</v>
      </c>
      <c r="F9221" s="2" t="s">
        <v>38014</v>
      </c>
      <c r="G9221" s="2" t="str">
        <f>"SR-12940"</f>
        <v>SR-12940</v>
      </c>
      <c r="H9221" s="2" t="s">
        <v>38015</v>
      </c>
      <c r="I9221" s="2" t="s">
        <v>38016</v>
      </c>
      <c r="K9221" s="2" t="s">
        <v>36567</v>
      </c>
      <c r="L9221" s="2" t="s">
        <v>105</v>
      </c>
      <c r="M9221" s="2">
        <v>60115.0</v>
      </c>
      <c r="N9221" s="2" t="s">
        <v>21</v>
      </c>
    </row>
    <row r="9222" ht="15.75" customHeight="1">
      <c r="A9222" s="2">
        <v>2018.0</v>
      </c>
      <c r="B9222" s="2" t="s">
        <v>38017</v>
      </c>
      <c r="D9222" s="2" t="str">
        <f>""</f>
        <v/>
      </c>
      <c r="E9222" s="2" t="s">
        <v>584</v>
      </c>
      <c r="F9222" s="2" t="s">
        <v>12309</v>
      </c>
      <c r="G9222" s="2" t="str">
        <f>"SR-12822"</f>
        <v>SR-12822</v>
      </c>
      <c r="H9222" s="2" t="s">
        <v>38018</v>
      </c>
    </row>
    <row r="9223" ht="15.75" customHeight="1">
      <c r="A9223" s="2">
        <v>2018.0</v>
      </c>
      <c r="B9223" s="2" t="s">
        <v>38019</v>
      </c>
      <c r="C9223" s="2" t="s">
        <v>38019</v>
      </c>
      <c r="D9223" s="2" t="str">
        <f>"480-827-2194"</f>
        <v>480-827-2194</v>
      </c>
      <c r="E9223" s="2" t="s">
        <v>417</v>
      </c>
      <c r="F9223" s="2" t="s">
        <v>89</v>
      </c>
      <c r="G9223" s="2" t="str">
        <f>"SR-12939"</f>
        <v>SR-12939</v>
      </c>
      <c r="H9223" s="2" t="s">
        <v>38020</v>
      </c>
      <c r="I9223" s="2" t="s">
        <v>24106</v>
      </c>
      <c r="K9223" s="2" t="s">
        <v>5531</v>
      </c>
      <c r="L9223" s="2" t="s">
        <v>422</v>
      </c>
      <c r="M9223" s="2">
        <v>85213.0</v>
      </c>
      <c r="N9223" s="2" t="s">
        <v>21</v>
      </c>
    </row>
    <row r="9224" ht="15.75" customHeight="1">
      <c r="A9224" s="2">
        <v>2018.0</v>
      </c>
      <c r="B9224" s="2" t="s">
        <v>38021</v>
      </c>
      <c r="C9224" s="2" t="s">
        <v>38022</v>
      </c>
      <c r="D9224" s="2" t="str">
        <f>"706-506-5188"</f>
        <v>706-506-5188</v>
      </c>
      <c r="E9224" s="2" t="s">
        <v>167</v>
      </c>
      <c r="F9224" s="2" t="s">
        <v>2752</v>
      </c>
      <c r="G9224" s="2" t="str">
        <f>"SR-12942"</f>
        <v>SR-12942</v>
      </c>
      <c r="H9224" s="2" t="s">
        <v>38023</v>
      </c>
      <c r="I9224" s="2" t="s">
        <v>38024</v>
      </c>
      <c r="K9224" s="2" t="s">
        <v>22278</v>
      </c>
      <c r="L9224" s="2" t="s">
        <v>200</v>
      </c>
      <c r="M9224" s="2">
        <v>30161.0</v>
      </c>
      <c r="N9224" s="2" t="s">
        <v>21</v>
      </c>
    </row>
    <row r="9225" ht="15.75" customHeight="1">
      <c r="A9225" s="2">
        <v>2018.0</v>
      </c>
      <c r="B9225" s="2" t="s">
        <v>38025</v>
      </c>
      <c r="C9225" s="2" t="s">
        <v>38025</v>
      </c>
      <c r="D9225" s="2" t="str">
        <f>"3252484660"</f>
        <v>3252484660</v>
      </c>
      <c r="E9225" s="2" t="s">
        <v>38026</v>
      </c>
      <c r="F9225" s="2" t="s">
        <v>38027</v>
      </c>
      <c r="G9225" s="2" t="str">
        <f>"SR-13066"</f>
        <v>SR-13066</v>
      </c>
      <c r="H9225" s="2" t="s">
        <v>38028</v>
      </c>
      <c r="I9225" s="2" t="s">
        <v>38029</v>
      </c>
      <c r="K9225" s="2" t="s">
        <v>38030</v>
      </c>
      <c r="L9225" s="2" t="s">
        <v>172</v>
      </c>
      <c r="M9225" s="2">
        <v>78643.0</v>
      </c>
      <c r="N9225" s="2" t="s">
        <v>21</v>
      </c>
    </row>
    <row r="9226" ht="15.75" customHeight="1">
      <c r="A9226" s="2">
        <v>2018.0</v>
      </c>
      <c r="B9226" s="2" t="s">
        <v>38031</v>
      </c>
      <c r="C9226" s="2" t="s">
        <v>38031</v>
      </c>
      <c r="D9226" s="2" t="str">
        <f>"13056081328"</f>
        <v>13056081328</v>
      </c>
      <c r="E9226" s="2" t="s">
        <v>38032</v>
      </c>
      <c r="F9226" s="2" t="s">
        <v>38033</v>
      </c>
      <c r="G9226" s="2" t="str">
        <f>"SR-12943"</f>
        <v>SR-12943</v>
      </c>
      <c r="H9226" s="2" t="s">
        <v>38034</v>
      </c>
      <c r="I9226" s="2" t="s">
        <v>38035</v>
      </c>
      <c r="K9226" s="2" t="s">
        <v>2211</v>
      </c>
      <c r="L9226" s="2" t="s">
        <v>208</v>
      </c>
      <c r="M9226" s="2">
        <v>33157.0</v>
      </c>
      <c r="N9226" s="2" t="s">
        <v>21</v>
      </c>
    </row>
    <row r="9227" ht="15.75" customHeight="1">
      <c r="A9227" s="2">
        <v>2018.0</v>
      </c>
      <c r="B9227" s="2" t="s">
        <v>38036</v>
      </c>
      <c r="C9227" s="2" t="s">
        <v>38036</v>
      </c>
      <c r="D9227" s="2" t="str">
        <f>"603-391-1585"</f>
        <v>603-391-1585</v>
      </c>
      <c r="E9227" s="2" t="s">
        <v>1094</v>
      </c>
      <c r="F9227" s="2" t="s">
        <v>38037</v>
      </c>
      <c r="G9227" s="2" t="str">
        <f>"SR-12944"</f>
        <v>SR-12944</v>
      </c>
      <c r="H9227" s="2" t="s">
        <v>38038</v>
      </c>
      <c r="I9227" s="2" t="s">
        <v>38039</v>
      </c>
      <c r="K9227" s="2" t="s">
        <v>2643</v>
      </c>
      <c r="L9227" s="2" t="s">
        <v>172</v>
      </c>
      <c r="M9227" s="2">
        <v>75022.0</v>
      </c>
      <c r="N9227" s="2" t="s">
        <v>21</v>
      </c>
    </row>
    <row r="9228" ht="15.75" customHeight="1">
      <c r="A9228" s="2">
        <v>2018.0</v>
      </c>
      <c r="B9228" s="2" t="s">
        <v>37897</v>
      </c>
      <c r="C9228" s="2" t="s">
        <v>37897</v>
      </c>
      <c r="D9228" s="2" t="str">
        <f t="shared" ref="D9228:D9229" si="146">"6517469240"</f>
        <v>6517469240</v>
      </c>
      <c r="E9228" s="2" t="s">
        <v>38040</v>
      </c>
      <c r="F9228" s="2" t="s">
        <v>38041</v>
      </c>
      <c r="G9228" s="2" t="str">
        <f>"SR-12945"</f>
        <v>SR-12945</v>
      </c>
      <c r="H9228" s="2" t="s">
        <v>38042</v>
      </c>
      <c r="I9228" s="2" t="s">
        <v>37899</v>
      </c>
      <c r="K9228" s="2" t="s">
        <v>1260</v>
      </c>
      <c r="L9228" s="2" t="s">
        <v>172</v>
      </c>
      <c r="M9228" s="2">
        <v>76107.0</v>
      </c>
      <c r="N9228" s="2" t="s">
        <v>21</v>
      </c>
    </row>
    <row r="9229" ht="15.75" customHeight="1">
      <c r="A9229" s="2">
        <v>2018.0</v>
      </c>
      <c r="B9229" s="2" t="s">
        <v>37897</v>
      </c>
      <c r="C9229" s="2" t="s">
        <v>37897</v>
      </c>
      <c r="D9229" s="2" t="str">
        <f t="shared" si="146"/>
        <v>6517469240</v>
      </c>
      <c r="E9229" s="2" t="s">
        <v>4300</v>
      </c>
      <c r="F9229" s="2" t="s">
        <v>6486</v>
      </c>
      <c r="G9229" s="2" t="str">
        <f>"SR-12946"</f>
        <v>SR-12946</v>
      </c>
      <c r="H9229" s="2" t="s">
        <v>38043</v>
      </c>
      <c r="I9229" s="2" t="s">
        <v>37899</v>
      </c>
      <c r="K9229" s="2" t="s">
        <v>1260</v>
      </c>
      <c r="L9229" s="2" t="s">
        <v>172</v>
      </c>
      <c r="M9229" s="2">
        <v>76107.0</v>
      </c>
      <c r="N9229" s="2" t="s">
        <v>21</v>
      </c>
    </row>
    <row r="9230" ht="15.75" customHeight="1">
      <c r="A9230" s="2">
        <v>2018.0</v>
      </c>
      <c r="B9230" s="2" t="s">
        <v>38044</v>
      </c>
      <c r="D9230" s="2" t="str">
        <f>""</f>
        <v/>
      </c>
      <c r="E9230" s="2" t="s">
        <v>7145</v>
      </c>
      <c r="F9230" s="2" t="s">
        <v>38045</v>
      </c>
      <c r="G9230" s="2" t="str">
        <f>"SR-12913"</f>
        <v>SR-12913</v>
      </c>
      <c r="H9230" s="2" t="s">
        <v>38046</v>
      </c>
    </row>
    <row r="9231" ht="15.75" customHeight="1">
      <c r="A9231" s="2">
        <v>2018.0</v>
      </c>
      <c r="B9231" s="2" t="s">
        <v>38047</v>
      </c>
      <c r="C9231" s="2" t="s">
        <v>38047</v>
      </c>
      <c r="D9231" s="2" t="str">
        <f>"8639910585"</f>
        <v>8639910585</v>
      </c>
      <c r="E9231" s="2" t="s">
        <v>38048</v>
      </c>
      <c r="F9231" s="2" t="s">
        <v>33164</v>
      </c>
      <c r="G9231" s="2" t="str">
        <f>"SR-12947"</f>
        <v>SR-12947</v>
      </c>
      <c r="H9231" s="2" t="s">
        <v>38049</v>
      </c>
      <c r="I9231" s="2" t="s">
        <v>33166</v>
      </c>
      <c r="K9231" s="2" t="s">
        <v>26300</v>
      </c>
      <c r="L9231" s="2" t="s">
        <v>208</v>
      </c>
      <c r="M9231" s="2">
        <v>33852.0</v>
      </c>
      <c r="N9231" s="2" t="s">
        <v>21</v>
      </c>
    </row>
    <row r="9232" ht="15.75" customHeight="1">
      <c r="A9232" s="2">
        <v>2018.0</v>
      </c>
      <c r="B9232" s="2" t="s">
        <v>38050</v>
      </c>
      <c r="C9232" s="2" t="s">
        <v>38051</v>
      </c>
      <c r="D9232" s="2" t="str">
        <f>"7744872366"</f>
        <v>7744872366</v>
      </c>
      <c r="E9232" s="2" t="s">
        <v>38052</v>
      </c>
      <c r="F9232" s="2" t="s">
        <v>38053</v>
      </c>
      <c r="G9232" s="2" t="str">
        <f>"SR-12931"</f>
        <v>SR-12931</v>
      </c>
      <c r="H9232" s="2" t="s">
        <v>38054</v>
      </c>
      <c r="I9232" s="2" t="s">
        <v>38055</v>
      </c>
      <c r="K9232" s="2" t="s">
        <v>38056</v>
      </c>
      <c r="L9232" s="2" t="s">
        <v>4108</v>
      </c>
      <c r="M9232" s="2">
        <v>2093.0</v>
      </c>
      <c r="N9232" s="2" t="s">
        <v>21</v>
      </c>
    </row>
    <row r="9233" ht="15.75" customHeight="1">
      <c r="A9233" s="2">
        <v>2018.0</v>
      </c>
      <c r="B9233" s="2" t="s">
        <v>38057</v>
      </c>
      <c r="C9233" s="2" t="s">
        <v>38058</v>
      </c>
      <c r="D9233" s="2" t="str">
        <f>"240.434.1841"</f>
        <v>240.434.1841</v>
      </c>
      <c r="E9233" s="2" t="s">
        <v>16192</v>
      </c>
      <c r="F9233" s="2" t="s">
        <v>1209</v>
      </c>
      <c r="G9233" s="2" t="str">
        <f>"SR-12867"</f>
        <v>SR-12867</v>
      </c>
      <c r="H9233" s="2" t="s">
        <v>38059</v>
      </c>
      <c r="I9233" s="2" t="s">
        <v>38060</v>
      </c>
      <c r="K9233" s="2" t="s">
        <v>38061</v>
      </c>
      <c r="L9233" s="2" t="s">
        <v>1868</v>
      </c>
      <c r="M9233" s="2">
        <v>21136.0</v>
      </c>
      <c r="N9233" s="2" t="s">
        <v>21</v>
      </c>
    </row>
    <row r="9234" ht="15.75" customHeight="1">
      <c r="A9234" s="2">
        <v>2018.0</v>
      </c>
      <c r="B9234" s="2" t="s">
        <v>38062</v>
      </c>
      <c r="C9234" s="2" t="s">
        <v>38063</v>
      </c>
      <c r="D9234" s="2" t="str">
        <f>"5085302892"</f>
        <v>5085302892</v>
      </c>
      <c r="E9234" s="2" t="s">
        <v>38064</v>
      </c>
      <c r="F9234" s="2" t="s">
        <v>417</v>
      </c>
      <c r="G9234" s="2" t="str">
        <f>"SR-12948"</f>
        <v>SR-12948</v>
      </c>
      <c r="H9234" s="2" t="s">
        <v>38065</v>
      </c>
      <c r="I9234" s="2" t="s">
        <v>38066</v>
      </c>
      <c r="K9234" s="2" t="s">
        <v>11726</v>
      </c>
      <c r="L9234" s="2" t="s">
        <v>4108</v>
      </c>
      <c r="M9234" s="2">
        <v>2056.0</v>
      </c>
      <c r="N9234" s="2" t="s">
        <v>21</v>
      </c>
    </row>
    <row r="9235" ht="15.75" customHeight="1">
      <c r="A9235" s="2">
        <v>2018.0</v>
      </c>
      <c r="B9235" s="2" t="s">
        <v>37897</v>
      </c>
      <c r="C9235" s="2" t="s">
        <v>37897</v>
      </c>
      <c r="D9235" s="2" t="str">
        <f>"6517469240"</f>
        <v>6517469240</v>
      </c>
      <c r="E9235" s="2" t="s">
        <v>26657</v>
      </c>
      <c r="F9235" s="2" t="s">
        <v>2429</v>
      </c>
      <c r="G9235" s="2" t="str">
        <f>"SR-12949"</f>
        <v>SR-12949</v>
      </c>
      <c r="H9235" s="2" t="s">
        <v>38067</v>
      </c>
      <c r="I9235" s="2" t="s">
        <v>37899</v>
      </c>
      <c r="K9235" s="2" t="s">
        <v>1260</v>
      </c>
      <c r="L9235" s="2" t="s">
        <v>172</v>
      </c>
      <c r="M9235" s="2">
        <v>76107.0</v>
      </c>
      <c r="N9235" s="2" t="s">
        <v>21</v>
      </c>
    </row>
    <row r="9236" ht="15.75" customHeight="1">
      <c r="A9236" s="2">
        <v>2018.0</v>
      </c>
      <c r="B9236" s="2" t="s">
        <v>38068</v>
      </c>
      <c r="C9236" s="2" t="s">
        <v>38069</v>
      </c>
      <c r="D9236" s="2" t="str">
        <f>"6627699010"</f>
        <v>6627699010</v>
      </c>
      <c r="E9236" s="2" t="s">
        <v>6170</v>
      </c>
      <c r="F9236" s="2" t="s">
        <v>16661</v>
      </c>
      <c r="G9236" s="2" t="str">
        <f>"SR-12950"</f>
        <v>SR-12950</v>
      </c>
      <c r="H9236" s="2" t="s">
        <v>38070</v>
      </c>
      <c r="I9236" s="2" t="s">
        <v>16663</v>
      </c>
      <c r="K9236" s="2" t="s">
        <v>1901</v>
      </c>
      <c r="L9236" s="2" t="s">
        <v>1722</v>
      </c>
      <c r="M9236" s="2">
        <v>39759.0</v>
      </c>
      <c r="N9236" s="2" t="s">
        <v>21</v>
      </c>
    </row>
    <row r="9237" ht="15.75" customHeight="1">
      <c r="A9237" s="2">
        <v>2018.0</v>
      </c>
      <c r="B9237" s="2" t="s">
        <v>37897</v>
      </c>
      <c r="C9237" s="2" t="s">
        <v>37897</v>
      </c>
      <c r="D9237" s="2" t="str">
        <f>"6517469240"</f>
        <v>6517469240</v>
      </c>
      <c r="E9237" s="2" t="s">
        <v>14392</v>
      </c>
      <c r="F9237" s="2" t="s">
        <v>690</v>
      </c>
      <c r="G9237" s="2" t="str">
        <f>"SR-12924"</f>
        <v>SR-12924</v>
      </c>
      <c r="H9237" s="2" t="s">
        <v>38071</v>
      </c>
      <c r="I9237" s="2" t="s">
        <v>37899</v>
      </c>
      <c r="K9237" s="2" t="s">
        <v>1260</v>
      </c>
      <c r="L9237" s="2" t="s">
        <v>172</v>
      </c>
      <c r="M9237" s="2">
        <v>76107.0</v>
      </c>
      <c r="N9237" s="2" t="s">
        <v>21</v>
      </c>
    </row>
    <row r="9238" ht="15.75" customHeight="1">
      <c r="A9238" s="2">
        <v>2018.0</v>
      </c>
      <c r="B9238" s="2" t="s">
        <v>38072</v>
      </c>
      <c r="C9238" s="2" t="s">
        <v>38072</v>
      </c>
      <c r="D9238" s="2" t="str">
        <f t="shared" ref="D9238:D9239" si="147">"8109372868"</f>
        <v>8109372868</v>
      </c>
      <c r="E9238" s="2" t="s">
        <v>18027</v>
      </c>
      <c r="F9238" s="2" t="s">
        <v>38073</v>
      </c>
      <c r="G9238" s="2" t="str">
        <f>"SR-12927"</f>
        <v>SR-12927</v>
      </c>
      <c r="H9238" s="2" t="s">
        <v>38074</v>
      </c>
      <c r="I9238" s="2" t="s">
        <v>38075</v>
      </c>
      <c r="K9238" s="2" t="s">
        <v>38076</v>
      </c>
      <c r="L9238" s="2" t="s">
        <v>29</v>
      </c>
      <c r="M9238" s="2">
        <v>48074.0</v>
      </c>
      <c r="N9238" s="2" t="s">
        <v>21</v>
      </c>
    </row>
    <row r="9239" ht="15.75" customHeight="1">
      <c r="A9239" s="2">
        <v>2018.0</v>
      </c>
      <c r="B9239" s="2" t="s">
        <v>38072</v>
      </c>
      <c r="C9239" s="2" t="s">
        <v>38072</v>
      </c>
      <c r="D9239" s="2" t="str">
        <f t="shared" si="147"/>
        <v>8109372868</v>
      </c>
      <c r="E9239" s="2" t="s">
        <v>15634</v>
      </c>
      <c r="F9239" s="2" t="s">
        <v>38073</v>
      </c>
      <c r="G9239" s="2" t="str">
        <f>"SR-12928"</f>
        <v>SR-12928</v>
      </c>
      <c r="H9239" s="2" t="s">
        <v>38077</v>
      </c>
      <c r="I9239" s="2" t="s">
        <v>38075</v>
      </c>
      <c r="K9239" s="2" t="s">
        <v>38076</v>
      </c>
      <c r="L9239" s="2" t="s">
        <v>29</v>
      </c>
      <c r="M9239" s="2">
        <v>48074.0</v>
      </c>
      <c r="N9239" s="2" t="s">
        <v>21</v>
      </c>
    </row>
    <row r="9240" ht="15.75" customHeight="1">
      <c r="A9240" s="2">
        <v>2018.0</v>
      </c>
      <c r="B9240" s="2" t="s">
        <v>38078</v>
      </c>
      <c r="C9240" s="2" t="s">
        <v>38078</v>
      </c>
      <c r="D9240" s="2" t="str">
        <f>"7193541856?"</f>
        <v>7193541856?</v>
      </c>
      <c r="E9240" s="2" t="s">
        <v>5456</v>
      </c>
      <c r="F9240" s="2" t="s">
        <v>12320</v>
      </c>
      <c r="G9240" s="2" t="str">
        <f>"SR-12941"</f>
        <v>SR-12941</v>
      </c>
      <c r="H9240" s="2" t="s">
        <v>38079</v>
      </c>
      <c r="I9240" s="2" t="s">
        <v>17707</v>
      </c>
      <c r="K9240" s="2" t="s">
        <v>809</v>
      </c>
      <c r="L9240" s="2" t="s">
        <v>157</v>
      </c>
      <c r="M9240" s="2">
        <v>80921.0</v>
      </c>
      <c r="N9240" s="2" t="s">
        <v>21</v>
      </c>
    </row>
    <row r="9241" ht="15.75" customHeight="1">
      <c r="A9241" s="2">
        <v>2018.0</v>
      </c>
      <c r="B9241" s="2" t="s">
        <v>38080</v>
      </c>
      <c r="C9241" s="2" t="s">
        <v>38081</v>
      </c>
      <c r="D9241" s="2" t="str">
        <f>"7192414663"</f>
        <v>7192414663</v>
      </c>
      <c r="E9241" s="2" t="s">
        <v>38082</v>
      </c>
      <c r="F9241" s="2" t="s">
        <v>38083</v>
      </c>
      <c r="G9241" s="2" t="str">
        <f>"SR-12955"</f>
        <v>SR-12955</v>
      </c>
      <c r="H9241" s="2" t="s">
        <v>38084</v>
      </c>
      <c r="I9241" s="2" t="s">
        <v>38085</v>
      </c>
      <c r="K9241" s="2" t="s">
        <v>36161</v>
      </c>
      <c r="L9241" s="2" t="s">
        <v>157</v>
      </c>
      <c r="M9241" s="2">
        <v>81050.0</v>
      </c>
      <c r="N9241" s="2" t="s">
        <v>21</v>
      </c>
    </row>
    <row r="9242" ht="15.75" customHeight="1">
      <c r="A9242" s="2">
        <v>2018.0</v>
      </c>
      <c r="B9242" s="2" t="s">
        <v>38086</v>
      </c>
      <c r="C9242" s="2" t="s">
        <v>38087</v>
      </c>
      <c r="D9242" s="2" t="str">
        <f>"2547234833"</f>
        <v>2547234833</v>
      </c>
      <c r="E9242" s="2" t="s">
        <v>5858</v>
      </c>
      <c r="F9242" s="2" t="s">
        <v>1702</v>
      </c>
      <c r="G9242" s="2" t="str">
        <f>"SR-12958"</f>
        <v>SR-12958</v>
      </c>
      <c r="H9242" s="2" t="s">
        <v>35189</v>
      </c>
      <c r="I9242" s="2" t="s">
        <v>38088</v>
      </c>
      <c r="K9242" s="2" t="s">
        <v>38089</v>
      </c>
      <c r="L9242" s="2" t="s">
        <v>172</v>
      </c>
      <c r="M9242" s="2">
        <v>76710.0</v>
      </c>
      <c r="N9242" s="2" t="s">
        <v>21</v>
      </c>
    </row>
    <row r="9243" ht="15.75" customHeight="1">
      <c r="A9243" s="2">
        <v>2018.0</v>
      </c>
      <c r="B9243" s="2" t="s">
        <v>38090</v>
      </c>
      <c r="C9243" s="2" t="s">
        <v>38090</v>
      </c>
      <c r="D9243" s="2" t="str">
        <f>"605-222-7131"</f>
        <v>605-222-7131</v>
      </c>
      <c r="E9243" s="2" t="s">
        <v>611</v>
      </c>
      <c r="F9243" s="2" t="s">
        <v>7477</v>
      </c>
      <c r="G9243" s="2" t="str">
        <f>"SR-12729"</f>
        <v>SR-12729</v>
      </c>
      <c r="H9243" s="2" t="s">
        <v>38091</v>
      </c>
      <c r="I9243" s="2" t="s">
        <v>38092</v>
      </c>
      <c r="K9243" s="2" t="s">
        <v>4355</v>
      </c>
      <c r="L9243" s="2" t="s">
        <v>920</v>
      </c>
      <c r="M9243" s="2">
        <v>57501.0</v>
      </c>
      <c r="N9243" s="2" t="s">
        <v>21</v>
      </c>
    </row>
    <row r="9244" ht="15.75" customHeight="1">
      <c r="A9244" s="2">
        <v>2018.0</v>
      </c>
      <c r="B9244" s="2" t="s">
        <v>38093</v>
      </c>
      <c r="C9244" s="2" t="s">
        <v>38093</v>
      </c>
      <c r="D9244" s="2" t="str">
        <f>"785-524-4301"</f>
        <v>785-524-4301</v>
      </c>
      <c r="E9244" s="2" t="s">
        <v>938</v>
      </c>
      <c r="F9244" s="2" t="s">
        <v>569</v>
      </c>
      <c r="G9244" s="2" t="str">
        <f>"SR-12957"</f>
        <v>SR-12957</v>
      </c>
      <c r="H9244" s="2" t="s">
        <v>38094</v>
      </c>
      <c r="I9244" s="2" t="s">
        <v>571</v>
      </c>
      <c r="K9244" s="2" t="s">
        <v>572</v>
      </c>
      <c r="L9244" s="2" t="s">
        <v>272</v>
      </c>
      <c r="M9244" s="2">
        <v>67455.0</v>
      </c>
      <c r="N9244" s="2" t="s">
        <v>21</v>
      </c>
    </row>
    <row r="9245" ht="15.75" customHeight="1">
      <c r="A9245" s="2">
        <v>2018.0</v>
      </c>
      <c r="B9245" s="2" t="s">
        <v>38095</v>
      </c>
      <c r="C9245" s="2" t="s">
        <v>38096</v>
      </c>
      <c r="D9245" s="2" t="str">
        <f>"7192914513"</f>
        <v>7192914513</v>
      </c>
      <c r="E9245" s="2" t="s">
        <v>2412</v>
      </c>
      <c r="F9245" s="2" t="s">
        <v>29344</v>
      </c>
      <c r="G9245" s="2" t="str">
        <f>"SR-14485"</f>
        <v>SR-14485</v>
      </c>
      <c r="H9245" s="2" t="s">
        <v>38097</v>
      </c>
      <c r="I9245" s="2" t="s">
        <v>29346</v>
      </c>
      <c r="K9245" s="2" t="s">
        <v>809</v>
      </c>
      <c r="L9245" s="2" t="s">
        <v>157</v>
      </c>
      <c r="M9245" s="2">
        <v>80920.0</v>
      </c>
      <c r="N9245" s="2" t="s">
        <v>21</v>
      </c>
    </row>
    <row r="9246" ht="15.75" customHeight="1">
      <c r="A9246" s="2">
        <v>2018.0</v>
      </c>
      <c r="B9246" s="2" t="s">
        <v>38098</v>
      </c>
      <c r="D9246" s="2" t="str">
        <f>""</f>
        <v/>
      </c>
      <c r="E9246" s="2" t="s">
        <v>4224</v>
      </c>
      <c r="F9246" s="2" t="s">
        <v>38099</v>
      </c>
      <c r="G9246" s="2" t="str">
        <f>"SR-12951"</f>
        <v>SR-12951</v>
      </c>
      <c r="H9246" s="2" t="s">
        <v>38100</v>
      </c>
      <c r="N9246" s="2" t="s">
        <v>21</v>
      </c>
    </row>
    <row r="9247" ht="15.75" customHeight="1">
      <c r="A9247" s="2">
        <v>2018.0</v>
      </c>
      <c r="B9247" s="2" t="s">
        <v>38098</v>
      </c>
      <c r="C9247" s="2" t="s">
        <v>38101</v>
      </c>
      <c r="D9247" s="2" t="str">
        <f>"1-828-442-8781"</f>
        <v>1-828-442-8781</v>
      </c>
      <c r="E9247" s="2" t="s">
        <v>38102</v>
      </c>
      <c r="F9247" s="2" t="s">
        <v>11388</v>
      </c>
      <c r="G9247" s="2" t="str">
        <f>"SR-12952"</f>
        <v>SR-12952</v>
      </c>
      <c r="H9247" s="2" t="s">
        <v>38103</v>
      </c>
      <c r="I9247" s="2" t="s">
        <v>38104</v>
      </c>
      <c r="K9247" s="2" t="s">
        <v>38105</v>
      </c>
      <c r="L9247" s="2" t="s">
        <v>20</v>
      </c>
      <c r="M9247" s="2">
        <v>28761.0</v>
      </c>
      <c r="N9247" s="2" t="s">
        <v>21</v>
      </c>
    </row>
    <row r="9248" ht="15.75" customHeight="1">
      <c r="A9248" s="2">
        <v>2018.0</v>
      </c>
      <c r="B9248" s="2" t="s">
        <v>38106</v>
      </c>
      <c r="C9248" s="2" t="s">
        <v>38107</v>
      </c>
      <c r="D9248" s="2" t="str">
        <f>"720-415-1253"</f>
        <v>720-415-1253</v>
      </c>
      <c r="E9248" s="2" t="s">
        <v>1803</v>
      </c>
      <c r="F9248" s="2" t="s">
        <v>51</v>
      </c>
      <c r="G9248" s="2" t="str">
        <f>"SR-12960"</f>
        <v>SR-12960</v>
      </c>
      <c r="H9248" s="2" t="s">
        <v>26062</v>
      </c>
      <c r="I9248" s="2" t="s">
        <v>38108</v>
      </c>
      <c r="K9248" s="2" t="s">
        <v>1889</v>
      </c>
      <c r="L9248" s="2" t="s">
        <v>157</v>
      </c>
      <c r="M9248" s="2">
        <v>80127.0</v>
      </c>
      <c r="N9248" s="2" t="s">
        <v>21</v>
      </c>
    </row>
    <row r="9249" ht="15.75" customHeight="1">
      <c r="A9249" s="2">
        <v>2018.0</v>
      </c>
      <c r="B9249" s="2" t="s">
        <v>38109</v>
      </c>
      <c r="C9249" s="2" t="s">
        <v>38110</v>
      </c>
      <c r="D9249" s="2" t="str">
        <f>"615-504-2188"</f>
        <v>615-504-2188</v>
      </c>
      <c r="E9249" s="2" t="s">
        <v>9738</v>
      </c>
      <c r="F9249" s="2" t="s">
        <v>38111</v>
      </c>
      <c r="G9249" s="2" t="str">
        <f>"SR-12846"</f>
        <v>SR-12846</v>
      </c>
      <c r="H9249" s="2" t="s">
        <v>38112</v>
      </c>
      <c r="I9249" s="2" t="s">
        <v>38113</v>
      </c>
      <c r="K9249" s="2" t="s">
        <v>26041</v>
      </c>
      <c r="L9249" s="2" t="s">
        <v>38114</v>
      </c>
      <c r="M9249" s="2" t="s">
        <v>38115</v>
      </c>
      <c r="N9249" s="2" t="s">
        <v>1602</v>
      </c>
    </row>
    <row r="9250" ht="15.75" customHeight="1">
      <c r="A9250" s="2">
        <v>2018.0</v>
      </c>
      <c r="B9250" s="2" t="s">
        <v>38116</v>
      </c>
      <c r="C9250" s="2" t="s">
        <v>38117</v>
      </c>
      <c r="D9250" s="2" t="str">
        <f>"269 353-9192"</f>
        <v>269 353-9192</v>
      </c>
      <c r="E9250" s="2" t="s">
        <v>167</v>
      </c>
      <c r="F9250" s="2" t="s">
        <v>26380</v>
      </c>
      <c r="G9250" s="2" t="str">
        <f>"SR-12962"</f>
        <v>SR-12962</v>
      </c>
      <c r="H9250" s="2" t="s">
        <v>38118</v>
      </c>
      <c r="I9250" s="2" t="s">
        <v>38119</v>
      </c>
      <c r="K9250" s="2" t="s">
        <v>18709</v>
      </c>
      <c r="L9250" s="2" t="s">
        <v>29</v>
      </c>
      <c r="M9250" s="2">
        <v>49009.0</v>
      </c>
      <c r="N9250" s="2" t="s">
        <v>21</v>
      </c>
    </row>
    <row r="9251" ht="15.75" customHeight="1">
      <c r="A9251" s="2">
        <v>2018.0</v>
      </c>
      <c r="B9251" s="2" t="s">
        <v>38120</v>
      </c>
      <c r="C9251" s="2" t="s">
        <v>38120</v>
      </c>
      <c r="D9251" s="2" t="str">
        <f>"541-802-6438"</f>
        <v>541-802-6438</v>
      </c>
      <c r="E9251" s="2" t="s">
        <v>3336</v>
      </c>
      <c r="F9251" s="2" t="s">
        <v>17860</v>
      </c>
      <c r="G9251" s="2" t="str">
        <f>"SR-12929"</f>
        <v>SR-12929</v>
      </c>
      <c r="H9251" s="2" t="s">
        <v>38121</v>
      </c>
      <c r="I9251" s="2" t="s">
        <v>38122</v>
      </c>
      <c r="K9251" s="2" t="s">
        <v>38123</v>
      </c>
      <c r="L9251" s="2" t="s">
        <v>165</v>
      </c>
      <c r="M9251" s="2">
        <v>22968.0</v>
      </c>
      <c r="N9251" s="2" t="s">
        <v>21</v>
      </c>
    </row>
    <row r="9252" ht="15.75" customHeight="1">
      <c r="A9252" s="2">
        <v>2018.0</v>
      </c>
      <c r="B9252" s="2" t="s">
        <v>38120</v>
      </c>
      <c r="C9252" s="2" t="s">
        <v>38120</v>
      </c>
      <c r="D9252" s="2" t="str">
        <f>"4349874022"</f>
        <v>4349874022</v>
      </c>
      <c r="E9252" s="2" t="s">
        <v>1440</v>
      </c>
      <c r="F9252" s="2" t="s">
        <v>17860</v>
      </c>
      <c r="G9252" s="2" t="str">
        <f>"SR-12930"</f>
        <v>SR-12930</v>
      </c>
      <c r="H9252" s="2" t="s">
        <v>38124</v>
      </c>
      <c r="I9252" s="2" t="s">
        <v>38122</v>
      </c>
      <c r="K9252" s="2" t="s">
        <v>38123</v>
      </c>
      <c r="L9252" s="2" t="s">
        <v>165</v>
      </c>
      <c r="M9252" s="2">
        <v>22968.0</v>
      </c>
      <c r="N9252" s="2" t="s">
        <v>21</v>
      </c>
    </row>
    <row r="9253" ht="15.75" customHeight="1">
      <c r="A9253" s="2">
        <v>2018.0</v>
      </c>
      <c r="B9253" s="2" t="s">
        <v>38125</v>
      </c>
      <c r="C9253" s="2" t="s">
        <v>38126</v>
      </c>
      <c r="D9253" s="2" t="str">
        <f>"6165541640"</f>
        <v>6165541640</v>
      </c>
      <c r="E9253" s="2" t="s">
        <v>2941</v>
      </c>
      <c r="F9253" s="2" t="s">
        <v>20439</v>
      </c>
      <c r="G9253" s="2" t="str">
        <f>"SR-12966"</f>
        <v>SR-12966</v>
      </c>
      <c r="H9253" s="2" t="s">
        <v>38127</v>
      </c>
      <c r="I9253" s="2" t="s">
        <v>5086</v>
      </c>
      <c r="K9253" s="2" t="s">
        <v>5087</v>
      </c>
      <c r="L9253" s="2" t="s">
        <v>29</v>
      </c>
      <c r="M9253" s="2">
        <v>49508.0</v>
      </c>
      <c r="N9253" s="2" t="s">
        <v>21</v>
      </c>
    </row>
    <row r="9254" ht="15.75" customHeight="1">
      <c r="A9254" s="2">
        <v>2018.0</v>
      </c>
      <c r="B9254" s="2" t="s">
        <v>38128</v>
      </c>
      <c r="C9254" s="2" t="s">
        <v>38129</v>
      </c>
      <c r="D9254" s="2" t="str">
        <f>"248-472 6962"</f>
        <v>248-472 6962</v>
      </c>
      <c r="E9254" s="2" t="s">
        <v>160</v>
      </c>
      <c r="F9254" s="2" t="s">
        <v>20204</v>
      </c>
      <c r="G9254" s="2" t="str">
        <f>"SR-12967"</f>
        <v>SR-12967</v>
      </c>
      <c r="H9254" s="2" t="s">
        <v>38130</v>
      </c>
      <c r="I9254" s="2" t="s">
        <v>38131</v>
      </c>
      <c r="K9254" s="2" t="s">
        <v>24684</v>
      </c>
      <c r="L9254" s="2" t="s">
        <v>29</v>
      </c>
      <c r="M9254" s="2">
        <v>48390.0</v>
      </c>
      <c r="N9254" s="2" t="s">
        <v>21</v>
      </c>
    </row>
    <row r="9255" ht="15.75" customHeight="1">
      <c r="A9255" s="2">
        <v>2018.0</v>
      </c>
      <c r="B9255" s="2" t="s">
        <v>38132</v>
      </c>
      <c r="C9255" s="2" t="s">
        <v>38133</v>
      </c>
      <c r="D9255" s="2" t="str">
        <f>"9186069123"</f>
        <v>9186069123</v>
      </c>
      <c r="E9255" s="2" t="s">
        <v>6244</v>
      </c>
      <c r="F9255" s="2" t="s">
        <v>7265</v>
      </c>
      <c r="G9255" s="2" t="str">
        <f>"SR-12969"</f>
        <v>SR-12969</v>
      </c>
      <c r="H9255" s="2" t="s">
        <v>38134</v>
      </c>
      <c r="I9255" s="2" t="s">
        <v>38135</v>
      </c>
      <c r="K9255" s="2" t="s">
        <v>20517</v>
      </c>
      <c r="L9255" s="2" t="s">
        <v>840</v>
      </c>
      <c r="M9255" s="2">
        <v>74133.0</v>
      </c>
      <c r="N9255" s="2" t="s">
        <v>21</v>
      </c>
    </row>
    <row r="9256" ht="15.75" customHeight="1">
      <c r="A9256" s="2">
        <v>2018.0</v>
      </c>
      <c r="B9256" s="2" t="s">
        <v>38136</v>
      </c>
      <c r="C9256" s="2" t="s">
        <v>38137</v>
      </c>
      <c r="D9256" s="2" t="str">
        <f>"734-846-7599"</f>
        <v>734-846-7599</v>
      </c>
      <c r="E9256" s="2" t="s">
        <v>778</v>
      </c>
      <c r="F9256" s="2" t="s">
        <v>16606</v>
      </c>
      <c r="G9256" s="2" t="str">
        <f>"SR-12968"</f>
        <v>SR-12968</v>
      </c>
      <c r="H9256" s="2" t="s">
        <v>38138</v>
      </c>
      <c r="I9256" s="2" t="s">
        <v>16608</v>
      </c>
      <c r="K9256" s="2" t="s">
        <v>3141</v>
      </c>
      <c r="L9256" s="2" t="s">
        <v>29</v>
      </c>
      <c r="M9256" s="2">
        <v>48381.0</v>
      </c>
      <c r="N9256" s="2" t="s">
        <v>21</v>
      </c>
    </row>
    <row r="9257" ht="15.75" customHeight="1">
      <c r="A9257" s="2">
        <v>2018.0</v>
      </c>
      <c r="B9257" s="2" t="s">
        <v>38139</v>
      </c>
      <c r="C9257" s="2" t="s">
        <v>38139</v>
      </c>
      <c r="D9257" s="2" t="str">
        <f>"717-875-7794"</f>
        <v>717-875-7794</v>
      </c>
      <c r="E9257" s="2" t="s">
        <v>339</v>
      </c>
      <c r="F9257" s="2" t="s">
        <v>38140</v>
      </c>
      <c r="G9257" s="2" t="str">
        <f>"SR-12970"</f>
        <v>SR-12970</v>
      </c>
      <c r="H9257" s="2" t="s">
        <v>38141</v>
      </c>
      <c r="I9257" s="2" t="s">
        <v>38142</v>
      </c>
      <c r="K9257" s="2" t="s">
        <v>7640</v>
      </c>
      <c r="L9257" s="2" t="s">
        <v>179</v>
      </c>
      <c r="M9257" s="2">
        <v>17543.0</v>
      </c>
      <c r="N9257" s="2" t="s">
        <v>21</v>
      </c>
    </row>
    <row r="9258" ht="15.75" customHeight="1">
      <c r="A9258" s="2">
        <v>2018.0</v>
      </c>
      <c r="B9258" s="2" t="s">
        <v>38143</v>
      </c>
      <c r="C9258" s="2" t="s">
        <v>38144</v>
      </c>
      <c r="D9258" s="2" t="str">
        <f>"775-848-6954"</f>
        <v>775-848-6954</v>
      </c>
      <c r="E9258" s="2" t="s">
        <v>38145</v>
      </c>
      <c r="F9258" s="2" t="s">
        <v>38146</v>
      </c>
      <c r="G9258" s="2" t="str">
        <f>"SR-12964"</f>
        <v>SR-12964</v>
      </c>
      <c r="H9258" s="2" t="s">
        <v>38147</v>
      </c>
      <c r="I9258" s="2" t="s">
        <v>38148</v>
      </c>
      <c r="K9258" s="2" t="s">
        <v>18765</v>
      </c>
      <c r="L9258" s="2" t="s">
        <v>1419</v>
      </c>
      <c r="M9258" s="2">
        <v>89706.0</v>
      </c>
      <c r="N9258" s="2" t="s">
        <v>21</v>
      </c>
    </row>
    <row r="9259" ht="15.75" customHeight="1">
      <c r="A9259" s="2">
        <v>2018.0</v>
      </c>
      <c r="B9259" s="2" t="s">
        <v>38143</v>
      </c>
      <c r="C9259" s="2" t="s">
        <v>38149</v>
      </c>
      <c r="D9259" s="2" t="str">
        <f>"775-267-1489"</f>
        <v>775-267-1489</v>
      </c>
      <c r="E9259" s="2" t="s">
        <v>6121</v>
      </c>
      <c r="F9259" s="2" t="s">
        <v>9835</v>
      </c>
      <c r="G9259" s="2" t="str">
        <f>"SR-12965"</f>
        <v>SR-12965</v>
      </c>
      <c r="H9259" s="2" t="s">
        <v>38150</v>
      </c>
      <c r="I9259" s="2" t="s">
        <v>38151</v>
      </c>
      <c r="K9259" s="2" t="s">
        <v>18765</v>
      </c>
      <c r="L9259" s="2" t="s">
        <v>1419</v>
      </c>
      <c r="M9259" s="2">
        <v>89706.0</v>
      </c>
      <c r="N9259" s="2" t="s">
        <v>21</v>
      </c>
    </row>
    <row r="9260" ht="15.75" customHeight="1">
      <c r="A9260" s="2">
        <v>2018.0</v>
      </c>
      <c r="B9260" s="2" t="s">
        <v>38152</v>
      </c>
      <c r="C9260" s="2" t="s">
        <v>38153</v>
      </c>
      <c r="D9260" s="2" t="str">
        <f>"2404742844"</f>
        <v>2404742844</v>
      </c>
      <c r="E9260" s="2" t="s">
        <v>38154</v>
      </c>
      <c r="F9260" s="2" t="s">
        <v>8787</v>
      </c>
      <c r="G9260" s="2" t="str">
        <f>"SR-12916"</f>
        <v>SR-12916</v>
      </c>
      <c r="H9260" s="2" t="s">
        <v>38155</v>
      </c>
      <c r="I9260" s="2" t="s">
        <v>21845</v>
      </c>
      <c r="K9260" s="2" t="s">
        <v>9323</v>
      </c>
      <c r="L9260" s="2" t="s">
        <v>1868</v>
      </c>
      <c r="M9260" s="2">
        <v>20882.0</v>
      </c>
      <c r="N9260" s="2" t="s">
        <v>21</v>
      </c>
    </row>
    <row r="9261" ht="15.75" customHeight="1">
      <c r="A9261" s="2">
        <v>2018.0</v>
      </c>
      <c r="B9261" s="2" t="s">
        <v>38156</v>
      </c>
      <c r="C9261" s="2" t="s">
        <v>38157</v>
      </c>
      <c r="D9261" s="2" t="str">
        <f>"928-380-4442"</f>
        <v>928-380-4442</v>
      </c>
      <c r="E9261" s="2" t="s">
        <v>38158</v>
      </c>
      <c r="F9261" s="2" t="s">
        <v>529</v>
      </c>
      <c r="G9261" s="2" t="str">
        <f>"SR-12973"</f>
        <v>SR-12973</v>
      </c>
      <c r="H9261" s="2" t="s">
        <v>38159</v>
      </c>
      <c r="I9261" s="2" t="s">
        <v>38160</v>
      </c>
      <c r="K9261" s="2" t="s">
        <v>38161</v>
      </c>
      <c r="L9261" s="2" t="s">
        <v>422</v>
      </c>
      <c r="M9261" s="2">
        <v>86005.0</v>
      </c>
      <c r="N9261" s="2" t="s">
        <v>21</v>
      </c>
    </row>
    <row r="9262" ht="15.75" customHeight="1">
      <c r="A9262" s="2">
        <v>2018.0</v>
      </c>
      <c r="B9262" s="2" t="s">
        <v>38162</v>
      </c>
      <c r="C9262" s="2" t="s">
        <v>38163</v>
      </c>
      <c r="D9262" s="2" t="str">
        <f>"519 571 8948"</f>
        <v>519 571 8948</v>
      </c>
      <c r="E9262" s="2" t="s">
        <v>510</v>
      </c>
      <c r="F9262" s="2" t="s">
        <v>38164</v>
      </c>
      <c r="G9262" s="2" t="str">
        <f>"SR-12866"</f>
        <v>SR-12866</v>
      </c>
      <c r="H9262" s="2" t="s">
        <v>38165</v>
      </c>
      <c r="I9262" s="2" t="s">
        <v>38166</v>
      </c>
      <c r="K9262" s="2" t="s">
        <v>38167</v>
      </c>
      <c r="L9262" s="2" t="s">
        <v>2015</v>
      </c>
      <c r="M9262" s="2" t="s">
        <v>38168</v>
      </c>
      <c r="N9262" s="2" t="s">
        <v>1602</v>
      </c>
    </row>
    <row r="9263" ht="15.75" customHeight="1">
      <c r="A9263" s="2">
        <v>2018.0</v>
      </c>
      <c r="B9263" s="2" t="s">
        <v>38169</v>
      </c>
      <c r="C9263" s="2" t="s">
        <v>38170</v>
      </c>
      <c r="D9263" s="2" t="str">
        <f>"8633031655"</f>
        <v>8633031655</v>
      </c>
      <c r="E9263" s="2" t="s">
        <v>217</v>
      </c>
      <c r="F9263" s="2" t="s">
        <v>38171</v>
      </c>
      <c r="G9263" s="2" t="str">
        <f>"SR-12977"</f>
        <v>SR-12977</v>
      </c>
      <c r="H9263" s="2" t="s">
        <v>38172</v>
      </c>
      <c r="I9263" s="2" t="s">
        <v>38173</v>
      </c>
      <c r="K9263" s="2" t="s">
        <v>26300</v>
      </c>
      <c r="L9263" s="2" t="s">
        <v>208</v>
      </c>
      <c r="M9263" s="2">
        <v>33852.0</v>
      </c>
      <c r="N9263" s="2" t="s">
        <v>21</v>
      </c>
    </row>
    <row r="9264" ht="15.75" customHeight="1">
      <c r="A9264" s="2">
        <v>2018.0</v>
      </c>
      <c r="B9264" s="2" t="s">
        <v>38174</v>
      </c>
      <c r="C9264" s="2" t="s">
        <v>38174</v>
      </c>
      <c r="D9264" s="2" t="str">
        <f>"727-221-3442"</f>
        <v>727-221-3442</v>
      </c>
      <c r="E9264" s="2" t="s">
        <v>926</v>
      </c>
      <c r="F9264" s="2" t="s">
        <v>26132</v>
      </c>
      <c r="G9264" s="2" t="str">
        <f>"SR-12972"</f>
        <v>SR-12972</v>
      </c>
      <c r="H9264" s="2" t="s">
        <v>26133</v>
      </c>
      <c r="I9264" s="2" t="s">
        <v>26134</v>
      </c>
      <c r="K9264" s="2" t="s">
        <v>414</v>
      </c>
      <c r="L9264" s="2" t="s">
        <v>208</v>
      </c>
      <c r="M9264" s="2">
        <v>33770.0</v>
      </c>
      <c r="N9264" s="2" t="s">
        <v>21</v>
      </c>
    </row>
    <row r="9265" ht="15.75" customHeight="1">
      <c r="A9265" s="2">
        <v>2018.0</v>
      </c>
      <c r="B9265" s="2" t="s">
        <v>38175</v>
      </c>
      <c r="C9265" s="2" t="s">
        <v>38175</v>
      </c>
      <c r="D9265" s="2" t="str">
        <f t="shared" ref="D9265:D9266" si="148">"5702472505"</f>
        <v>5702472505</v>
      </c>
      <c r="E9265" s="2" t="s">
        <v>11410</v>
      </c>
      <c r="F9265" s="2" t="s">
        <v>38176</v>
      </c>
      <c r="G9265" s="2" t="str">
        <f>"SR-12976"</f>
        <v>SR-12976</v>
      </c>
      <c r="H9265" s="2" t="s">
        <v>38177</v>
      </c>
      <c r="I9265" s="2" t="s">
        <v>38178</v>
      </c>
      <c r="K9265" s="2" t="s">
        <v>22278</v>
      </c>
      <c r="L9265" s="2" t="s">
        <v>179</v>
      </c>
      <c r="M9265" s="2">
        <v>18837.0</v>
      </c>
      <c r="N9265" s="2" t="s">
        <v>21</v>
      </c>
    </row>
    <row r="9266" ht="15.75" customHeight="1">
      <c r="A9266" s="2">
        <v>2018.0</v>
      </c>
      <c r="B9266" s="2" t="s">
        <v>38179</v>
      </c>
      <c r="C9266" s="2" t="s">
        <v>38179</v>
      </c>
      <c r="D9266" s="2" t="str">
        <f t="shared" si="148"/>
        <v>5702472505</v>
      </c>
      <c r="E9266" s="2" t="s">
        <v>34097</v>
      </c>
      <c r="F9266" s="2" t="s">
        <v>19404</v>
      </c>
      <c r="G9266" s="2" t="str">
        <f>"SR-12978"</f>
        <v>SR-12978</v>
      </c>
      <c r="H9266" s="2" t="s">
        <v>38180</v>
      </c>
      <c r="I9266" s="2" t="s">
        <v>38181</v>
      </c>
      <c r="K9266" s="2" t="s">
        <v>22278</v>
      </c>
      <c r="L9266" s="2" t="s">
        <v>179</v>
      </c>
      <c r="M9266" s="2">
        <v>18837.0</v>
      </c>
      <c r="N9266" s="2" t="s">
        <v>21</v>
      </c>
    </row>
    <row r="9267" ht="15.75" customHeight="1">
      <c r="A9267" s="2">
        <v>2018.0</v>
      </c>
      <c r="B9267" s="2" t="s">
        <v>38182</v>
      </c>
      <c r="C9267" s="2" t="s">
        <v>38182</v>
      </c>
      <c r="D9267" s="2" t="str">
        <f t="shared" ref="D9267:D9268" si="149">"9735435913"</f>
        <v>9735435913</v>
      </c>
      <c r="E9267" s="2" t="s">
        <v>2891</v>
      </c>
      <c r="F9267" s="2" t="s">
        <v>38183</v>
      </c>
      <c r="G9267" s="2" t="str">
        <f>"SR-12974"</f>
        <v>SR-12974</v>
      </c>
      <c r="H9267" s="2" t="s">
        <v>38184</v>
      </c>
      <c r="I9267" s="2" t="s">
        <v>38185</v>
      </c>
      <c r="K9267" s="2" t="s">
        <v>38186</v>
      </c>
      <c r="L9267" s="2" t="s">
        <v>3618</v>
      </c>
      <c r="M9267" s="2" t="s">
        <v>38187</v>
      </c>
      <c r="N9267" s="2" t="s">
        <v>21</v>
      </c>
    </row>
    <row r="9268" ht="15.75" customHeight="1">
      <c r="A9268" s="2">
        <v>2018.0</v>
      </c>
      <c r="B9268" s="2" t="s">
        <v>38182</v>
      </c>
      <c r="C9268" s="2" t="s">
        <v>38182</v>
      </c>
      <c r="D9268" s="2" t="str">
        <f t="shared" si="149"/>
        <v>9735435913</v>
      </c>
      <c r="E9268" s="2" t="s">
        <v>2572</v>
      </c>
      <c r="F9268" s="2" t="s">
        <v>38183</v>
      </c>
      <c r="G9268" s="2" t="str">
        <f>"SR-12975"</f>
        <v>SR-12975</v>
      </c>
      <c r="H9268" s="2" t="s">
        <v>38188</v>
      </c>
      <c r="I9268" s="2" t="s">
        <v>38185</v>
      </c>
      <c r="K9268" s="2" t="s">
        <v>38186</v>
      </c>
      <c r="L9268" s="2" t="s">
        <v>3618</v>
      </c>
      <c r="M9268" s="2" t="s">
        <v>38187</v>
      </c>
      <c r="N9268" s="2" t="s">
        <v>21</v>
      </c>
    </row>
    <row r="9269" ht="15.75" customHeight="1">
      <c r="A9269" s="2">
        <v>2018.0</v>
      </c>
      <c r="B9269" s="2" t="s">
        <v>31458</v>
      </c>
      <c r="C9269" s="2" t="s">
        <v>31458</v>
      </c>
      <c r="D9269" s="2" t="str">
        <f>"2147665978"</f>
        <v>2147665978</v>
      </c>
      <c r="E9269" s="2" t="s">
        <v>2572</v>
      </c>
      <c r="F9269" s="2" t="s">
        <v>31459</v>
      </c>
      <c r="G9269" s="2" t="str">
        <f>"SR-12979"</f>
        <v>SR-12979</v>
      </c>
      <c r="H9269" s="2" t="s">
        <v>31460</v>
      </c>
      <c r="I9269" s="2" t="s">
        <v>31461</v>
      </c>
      <c r="K9269" s="2" t="s">
        <v>357</v>
      </c>
      <c r="L9269" s="2" t="s">
        <v>172</v>
      </c>
      <c r="M9269" s="2">
        <v>75025.0</v>
      </c>
      <c r="N9269" s="2" t="s">
        <v>21</v>
      </c>
    </row>
    <row r="9270" ht="15.75" customHeight="1">
      <c r="A9270" s="2">
        <v>2018.0</v>
      </c>
      <c r="B9270" s="2" t="s">
        <v>38189</v>
      </c>
      <c r="C9270" s="2" t="s">
        <v>38190</v>
      </c>
      <c r="D9270" s="2" t="str">
        <f>"7203623832"</f>
        <v>7203623832</v>
      </c>
      <c r="E9270" s="2" t="s">
        <v>38191</v>
      </c>
      <c r="F9270" s="2" t="s">
        <v>14462</v>
      </c>
      <c r="G9270" s="2" t="str">
        <f>"SR-12959"</f>
        <v>SR-12959</v>
      </c>
      <c r="H9270" s="2" t="s">
        <v>38192</v>
      </c>
      <c r="I9270" s="2" t="s">
        <v>18137</v>
      </c>
      <c r="K9270" s="2" t="s">
        <v>2317</v>
      </c>
      <c r="L9270" s="2" t="s">
        <v>157</v>
      </c>
      <c r="M9270" s="2">
        <v>80504.0</v>
      </c>
      <c r="N9270" s="2" t="s">
        <v>21</v>
      </c>
    </row>
    <row r="9271" ht="15.75" customHeight="1">
      <c r="A9271" s="2">
        <v>2018.0</v>
      </c>
      <c r="B9271" s="2" t="s">
        <v>38193</v>
      </c>
      <c r="C9271" s="2" t="s">
        <v>38194</v>
      </c>
      <c r="D9271" s="2" t="str">
        <f>"720-355-6107"</f>
        <v>720-355-6107</v>
      </c>
      <c r="E9271" s="2" t="s">
        <v>9476</v>
      </c>
      <c r="F9271" s="2" t="s">
        <v>2880</v>
      </c>
      <c r="G9271" s="2" t="str">
        <f>"SR-12792"</f>
        <v>SR-12792</v>
      </c>
      <c r="H9271" s="2" t="s">
        <v>38195</v>
      </c>
      <c r="I9271" s="2" t="s">
        <v>38196</v>
      </c>
      <c r="K9271" s="2" t="s">
        <v>6514</v>
      </c>
      <c r="L9271" s="2" t="s">
        <v>157</v>
      </c>
      <c r="M9271" s="2">
        <v>80228.0</v>
      </c>
      <c r="N9271" s="2" t="s">
        <v>21</v>
      </c>
    </row>
    <row r="9272" ht="15.75" customHeight="1">
      <c r="A9272" s="2">
        <v>2018.0</v>
      </c>
      <c r="B9272" s="2" t="s">
        <v>38197</v>
      </c>
      <c r="C9272" s="2" t="s">
        <v>38198</v>
      </c>
      <c r="D9272" s="2" t="str">
        <f>"5152680354"</f>
        <v>5152680354</v>
      </c>
      <c r="E9272" s="2" t="s">
        <v>160</v>
      </c>
      <c r="F9272" s="2" t="s">
        <v>25630</v>
      </c>
      <c r="G9272" s="2" t="str">
        <f>"SR-12963"</f>
        <v>SR-12963</v>
      </c>
      <c r="H9272" s="2" t="s">
        <v>38199</v>
      </c>
      <c r="I9272" s="2" t="s">
        <v>38200</v>
      </c>
      <c r="K9272" s="2" t="s">
        <v>20579</v>
      </c>
      <c r="L9272" s="2" t="s">
        <v>560</v>
      </c>
      <c r="M9272" s="2" t="s">
        <v>38201</v>
      </c>
      <c r="N9272" s="2" t="s">
        <v>21</v>
      </c>
    </row>
    <row r="9273" ht="15.75" customHeight="1">
      <c r="A9273" s="2">
        <v>2018.0</v>
      </c>
      <c r="B9273" s="2" t="s">
        <v>38202</v>
      </c>
      <c r="C9273" s="2" t="s">
        <v>38203</v>
      </c>
      <c r="D9273" s="2" t="str">
        <f>"9405947966"</f>
        <v>9405947966</v>
      </c>
      <c r="E9273" s="2" t="s">
        <v>2361</v>
      </c>
      <c r="F9273" s="2" t="s">
        <v>12250</v>
      </c>
      <c r="G9273" s="2" t="str">
        <f>"SR-12980"</f>
        <v>SR-12980</v>
      </c>
      <c r="H9273" s="2" t="s">
        <v>38204</v>
      </c>
      <c r="I9273" s="2" t="s">
        <v>38205</v>
      </c>
      <c r="K9273" s="2" t="s">
        <v>6539</v>
      </c>
      <c r="L9273" s="2" t="s">
        <v>172</v>
      </c>
      <c r="M9273" s="2">
        <v>76209.0</v>
      </c>
      <c r="N9273" s="2" t="s">
        <v>21</v>
      </c>
    </row>
    <row r="9274" ht="15.75" customHeight="1">
      <c r="A9274" s="2">
        <v>2018.0</v>
      </c>
      <c r="B9274" s="2" t="s">
        <v>38206</v>
      </c>
      <c r="C9274" s="2" t="s">
        <v>38207</v>
      </c>
      <c r="D9274" s="2" t="str">
        <f>"1-6304005427"</f>
        <v>1-6304005427</v>
      </c>
      <c r="E9274" s="2" t="s">
        <v>478</v>
      </c>
      <c r="F9274" s="2" t="s">
        <v>25516</v>
      </c>
      <c r="G9274" s="2" t="str">
        <f>"SR-12961"</f>
        <v>SR-12961</v>
      </c>
      <c r="H9274" s="2" t="s">
        <v>25517</v>
      </c>
      <c r="I9274" s="2" t="s">
        <v>25518</v>
      </c>
      <c r="K9274" s="2" t="s">
        <v>3886</v>
      </c>
      <c r="L9274" s="2" t="s">
        <v>105</v>
      </c>
      <c r="M9274" s="2">
        <v>60521.0</v>
      </c>
      <c r="N9274" s="2" t="s">
        <v>21</v>
      </c>
    </row>
    <row r="9275" ht="15.75" customHeight="1">
      <c r="A9275" s="2">
        <v>2018.0</v>
      </c>
      <c r="B9275" s="2" t="s">
        <v>38208</v>
      </c>
      <c r="C9275" s="2" t="s">
        <v>38208</v>
      </c>
      <c r="D9275" s="2" t="str">
        <f>"9079522340"</f>
        <v>9079522340</v>
      </c>
      <c r="E9275" s="2" t="s">
        <v>38209</v>
      </c>
      <c r="F9275" s="2" t="s">
        <v>38210</v>
      </c>
      <c r="G9275" s="2" t="str">
        <f>"SR-12983"</f>
        <v>SR-12983</v>
      </c>
      <c r="H9275" s="2" t="s">
        <v>38211</v>
      </c>
      <c r="I9275" s="2" t="s">
        <v>38212</v>
      </c>
      <c r="K9275" s="2" t="s">
        <v>2927</v>
      </c>
      <c r="L9275" s="2" t="s">
        <v>70</v>
      </c>
      <c r="M9275" s="2">
        <v>99567.0</v>
      </c>
      <c r="N9275" s="2" t="s">
        <v>21</v>
      </c>
    </row>
    <row r="9276" ht="15.75" customHeight="1">
      <c r="A9276" s="2">
        <v>2018.0</v>
      </c>
      <c r="B9276" s="2" t="s">
        <v>38213</v>
      </c>
      <c r="C9276" s="2" t="s">
        <v>38214</v>
      </c>
      <c r="D9276" s="2" t="str">
        <f>"732 597 2633"</f>
        <v>732 597 2633</v>
      </c>
      <c r="E9276" s="2" t="s">
        <v>1288</v>
      </c>
      <c r="F9276" s="2" t="s">
        <v>38215</v>
      </c>
      <c r="G9276" s="2" t="str">
        <f>"SR-12982"</f>
        <v>SR-12982</v>
      </c>
      <c r="H9276" s="2" t="s">
        <v>38216</v>
      </c>
      <c r="I9276" s="2" t="s">
        <v>38217</v>
      </c>
      <c r="K9276" s="2" t="s">
        <v>38218</v>
      </c>
      <c r="L9276" s="2" t="s">
        <v>179</v>
      </c>
      <c r="M9276" s="2">
        <v>18091.0</v>
      </c>
      <c r="N9276" s="2" t="s">
        <v>21</v>
      </c>
    </row>
    <row r="9277" ht="15.75" customHeight="1">
      <c r="A9277" s="2">
        <v>2018.0</v>
      </c>
      <c r="B9277" s="2" t="s">
        <v>38219</v>
      </c>
      <c r="C9277" s="2" t="s">
        <v>38220</v>
      </c>
      <c r="D9277" s="2" t="str">
        <f>"8325782781"</f>
        <v>8325782781</v>
      </c>
      <c r="E9277" s="2" t="s">
        <v>7417</v>
      </c>
      <c r="F9277" s="2" t="s">
        <v>38221</v>
      </c>
      <c r="G9277" s="2" t="str">
        <f>"SR-12953"</f>
        <v>SR-12953</v>
      </c>
      <c r="H9277" s="2" t="s">
        <v>38222</v>
      </c>
      <c r="I9277" s="2" t="s">
        <v>38223</v>
      </c>
      <c r="K9277" s="2" t="s">
        <v>5404</v>
      </c>
      <c r="L9277" s="2" t="s">
        <v>172</v>
      </c>
      <c r="M9277" s="2">
        <v>77355.0</v>
      </c>
      <c r="N9277" s="2" t="s">
        <v>21</v>
      </c>
    </row>
    <row r="9278" ht="15.75" customHeight="1">
      <c r="A9278" s="2">
        <v>2018.0</v>
      </c>
      <c r="B9278" s="2" t="s">
        <v>38224</v>
      </c>
      <c r="C9278" s="2" t="s">
        <v>38225</v>
      </c>
      <c r="D9278" s="2" t="str">
        <f>"307-359-9493"</f>
        <v>307-359-9493</v>
      </c>
      <c r="E9278" s="2" t="s">
        <v>10860</v>
      </c>
      <c r="F9278" s="2" t="s">
        <v>22979</v>
      </c>
      <c r="G9278" s="2" t="str">
        <f>"SR-12989"</f>
        <v>SR-12989</v>
      </c>
      <c r="H9278" s="2" t="s">
        <v>38226</v>
      </c>
      <c r="I9278" s="2" t="s">
        <v>38227</v>
      </c>
      <c r="K9278" s="2" t="s">
        <v>4750</v>
      </c>
      <c r="L9278" s="2" t="s">
        <v>1540</v>
      </c>
      <c r="M9278" s="2">
        <v>82633.0</v>
      </c>
      <c r="N9278" s="2" t="s">
        <v>21</v>
      </c>
    </row>
    <row r="9279" ht="15.75" customHeight="1">
      <c r="A9279" s="2">
        <v>2018.0</v>
      </c>
      <c r="B9279" s="2" t="s">
        <v>38228</v>
      </c>
      <c r="C9279" s="2" t="s">
        <v>38229</v>
      </c>
      <c r="D9279" s="2" t="str">
        <f>"863-840-4194"</f>
        <v>863-840-4194</v>
      </c>
      <c r="E9279" s="2" t="s">
        <v>1585</v>
      </c>
      <c r="F9279" s="2" t="s">
        <v>28961</v>
      </c>
      <c r="G9279" s="2" t="str">
        <f>"SR-12991"</f>
        <v>SR-12991</v>
      </c>
      <c r="H9279" s="2" t="s">
        <v>38230</v>
      </c>
      <c r="I9279" s="2" t="s">
        <v>38231</v>
      </c>
      <c r="K9279" s="2" t="s">
        <v>26300</v>
      </c>
      <c r="L9279" s="2" t="s">
        <v>208</v>
      </c>
      <c r="M9279" s="2">
        <v>33852.0</v>
      </c>
      <c r="N9279" s="2" t="s">
        <v>21</v>
      </c>
    </row>
    <row r="9280" ht="15.75" customHeight="1">
      <c r="A9280" s="2">
        <v>2018.0</v>
      </c>
      <c r="B9280" s="2" t="s">
        <v>38232</v>
      </c>
      <c r="C9280" s="2" t="s">
        <v>38232</v>
      </c>
      <c r="D9280" s="2" t="str">
        <f>"3083401326"</f>
        <v>3083401326</v>
      </c>
      <c r="E9280" s="2" t="s">
        <v>3305</v>
      </c>
      <c r="F9280" s="2" t="s">
        <v>18888</v>
      </c>
      <c r="G9280" s="2" t="str">
        <f>"SR-12990"</f>
        <v>SR-12990</v>
      </c>
      <c r="H9280" s="2" t="s">
        <v>38233</v>
      </c>
      <c r="I9280" s="2" t="s">
        <v>38234</v>
      </c>
      <c r="K9280" s="2" t="s">
        <v>14870</v>
      </c>
      <c r="L9280" s="2" t="s">
        <v>757</v>
      </c>
      <c r="M9280" s="2">
        <v>68847.0</v>
      </c>
      <c r="N9280" s="2" t="s">
        <v>21</v>
      </c>
    </row>
    <row r="9281" ht="15.75" customHeight="1">
      <c r="A9281" s="2">
        <v>2018.0</v>
      </c>
      <c r="B9281" s="2" t="s">
        <v>28793</v>
      </c>
      <c r="C9281" s="2" t="s">
        <v>38235</v>
      </c>
      <c r="D9281" s="2" t="str">
        <f>"612-965-4358"</f>
        <v>612-965-4358</v>
      </c>
      <c r="E9281" s="2" t="s">
        <v>160</v>
      </c>
      <c r="F9281" s="2" t="s">
        <v>28794</v>
      </c>
      <c r="G9281" s="2" t="str">
        <f>"SR-12992"</f>
        <v>SR-12992</v>
      </c>
      <c r="H9281" s="2" t="s">
        <v>38236</v>
      </c>
      <c r="I9281" s="2" t="s">
        <v>38237</v>
      </c>
      <c r="K9281" s="2" t="s">
        <v>38238</v>
      </c>
      <c r="L9281" s="2" t="s">
        <v>62</v>
      </c>
      <c r="M9281" s="2">
        <v>55336.0</v>
      </c>
      <c r="N9281" s="2" t="s">
        <v>21</v>
      </c>
    </row>
    <row r="9282" ht="15.75" customHeight="1">
      <c r="A9282" s="2">
        <v>2018.0</v>
      </c>
      <c r="B9282" s="2" t="s">
        <v>37897</v>
      </c>
      <c r="C9282" s="2" t="s">
        <v>37897</v>
      </c>
      <c r="D9282" s="2" t="str">
        <f t="shared" ref="D9282:D9283" si="150">"6517469240"</f>
        <v>6517469240</v>
      </c>
      <c r="E9282" s="2" t="s">
        <v>6121</v>
      </c>
      <c r="F9282" s="2" t="s">
        <v>15431</v>
      </c>
      <c r="G9282" s="2" t="str">
        <f>"SR-12956"</f>
        <v>SR-12956</v>
      </c>
      <c r="H9282" s="2" t="s">
        <v>38239</v>
      </c>
      <c r="I9282" s="2" t="s">
        <v>37899</v>
      </c>
      <c r="K9282" s="2" t="s">
        <v>1260</v>
      </c>
      <c r="L9282" s="2" t="s">
        <v>172</v>
      </c>
      <c r="M9282" s="2">
        <v>76107.0</v>
      </c>
      <c r="N9282" s="2" t="s">
        <v>21</v>
      </c>
    </row>
    <row r="9283" ht="15.75" customHeight="1">
      <c r="A9283" s="2">
        <v>2018.0</v>
      </c>
      <c r="B9283" s="2" t="s">
        <v>37897</v>
      </c>
      <c r="C9283" s="2" t="s">
        <v>37897</v>
      </c>
      <c r="D9283" s="2" t="str">
        <f t="shared" si="150"/>
        <v>6517469240</v>
      </c>
      <c r="E9283" s="2" t="s">
        <v>659</v>
      </c>
      <c r="F9283" s="2" t="s">
        <v>38240</v>
      </c>
      <c r="G9283" s="2" t="str">
        <f>"SR-12981"</f>
        <v>SR-12981</v>
      </c>
      <c r="H9283" s="2" t="s">
        <v>38241</v>
      </c>
      <c r="I9283" s="2" t="s">
        <v>37899</v>
      </c>
      <c r="K9283" s="2" t="s">
        <v>1260</v>
      </c>
      <c r="L9283" s="2" t="s">
        <v>172</v>
      </c>
      <c r="M9283" s="2">
        <v>76107.0</v>
      </c>
      <c r="N9283" s="2" t="s">
        <v>21</v>
      </c>
    </row>
    <row r="9284" ht="15.75" customHeight="1">
      <c r="A9284" s="2">
        <v>2018.0</v>
      </c>
      <c r="B9284" s="2" t="s">
        <v>38242</v>
      </c>
      <c r="C9284" s="2" t="s">
        <v>38242</v>
      </c>
      <c r="D9284" s="2" t="str">
        <f t="shared" ref="D9284:D9285" si="151">"6239100468"</f>
        <v>6239100468</v>
      </c>
      <c r="E9284" s="2" t="s">
        <v>72</v>
      </c>
      <c r="F9284" s="2" t="s">
        <v>29581</v>
      </c>
      <c r="G9284" s="2" t="str">
        <f>"SR-12986"</f>
        <v>SR-12986</v>
      </c>
      <c r="H9284" s="2" t="s">
        <v>29582</v>
      </c>
      <c r="I9284" s="2" t="s">
        <v>38243</v>
      </c>
      <c r="K9284" s="2" t="s">
        <v>421</v>
      </c>
      <c r="L9284" s="2" t="s">
        <v>422</v>
      </c>
      <c r="M9284" s="2">
        <v>85086.0</v>
      </c>
      <c r="N9284" s="2" t="s">
        <v>21</v>
      </c>
    </row>
    <row r="9285" ht="15.75" customHeight="1">
      <c r="A9285" s="2">
        <v>2018.0</v>
      </c>
      <c r="B9285" s="2" t="s">
        <v>38242</v>
      </c>
      <c r="C9285" s="2" t="s">
        <v>38242</v>
      </c>
      <c r="D9285" s="2" t="str">
        <f t="shared" si="151"/>
        <v>6239100468</v>
      </c>
      <c r="E9285" s="2" t="s">
        <v>2480</v>
      </c>
      <c r="F9285" s="2" t="s">
        <v>29581</v>
      </c>
      <c r="G9285" s="2" t="str">
        <f>"SR-12987"</f>
        <v>SR-12987</v>
      </c>
      <c r="H9285" s="2" t="s">
        <v>38244</v>
      </c>
      <c r="I9285" s="2" t="s">
        <v>38243</v>
      </c>
      <c r="K9285" s="2" t="s">
        <v>421</v>
      </c>
      <c r="L9285" s="2" t="s">
        <v>422</v>
      </c>
      <c r="M9285" s="2">
        <v>85086.0</v>
      </c>
      <c r="N9285" s="2" t="s">
        <v>21</v>
      </c>
    </row>
    <row r="9286" ht="15.75" customHeight="1">
      <c r="A9286" s="2">
        <v>2018.0</v>
      </c>
      <c r="B9286" s="2" t="s">
        <v>38245</v>
      </c>
      <c r="C9286" s="2" t="s">
        <v>38245</v>
      </c>
      <c r="D9286" s="2" t="str">
        <f>"4326409498"</f>
        <v>4326409498</v>
      </c>
      <c r="E9286" s="2" t="s">
        <v>267</v>
      </c>
      <c r="F9286" s="2" t="s">
        <v>20369</v>
      </c>
      <c r="G9286" s="2" t="str">
        <f>"SR-12988"</f>
        <v>SR-12988</v>
      </c>
      <c r="H9286" s="2" t="s">
        <v>38246</v>
      </c>
      <c r="I9286" s="2" t="s">
        <v>38247</v>
      </c>
      <c r="K9286" s="2" t="s">
        <v>286</v>
      </c>
      <c r="L9286" s="2" t="s">
        <v>172</v>
      </c>
      <c r="M9286" s="2">
        <v>79707.0</v>
      </c>
      <c r="N9286" s="2" t="s">
        <v>21</v>
      </c>
    </row>
    <row r="9287" ht="15.75" customHeight="1">
      <c r="A9287" s="2">
        <v>2018.0</v>
      </c>
      <c r="B9287" s="2" t="s">
        <v>38248</v>
      </c>
      <c r="C9287" s="2" t="s">
        <v>38249</v>
      </c>
      <c r="D9287" s="2" t="str">
        <f>"8174926228"</f>
        <v>8174926228</v>
      </c>
      <c r="E9287" s="2" t="s">
        <v>1257</v>
      </c>
      <c r="F9287" s="2" t="s">
        <v>38250</v>
      </c>
      <c r="G9287" s="2" t="str">
        <f>"SR-12993"</f>
        <v>SR-12993</v>
      </c>
      <c r="H9287" s="2" t="s">
        <v>38251</v>
      </c>
      <c r="I9287" s="2" t="s">
        <v>38252</v>
      </c>
      <c r="K9287" s="2" t="s">
        <v>5729</v>
      </c>
      <c r="L9287" s="2" t="s">
        <v>172</v>
      </c>
      <c r="M9287" s="2">
        <v>76085.0</v>
      </c>
      <c r="N9287" s="2" t="s">
        <v>21</v>
      </c>
    </row>
    <row r="9288" ht="15.75" customHeight="1">
      <c r="A9288" s="2">
        <v>2018.0</v>
      </c>
      <c r="B9288" s="2" t="s">
        <v>38248</v>
      </c>
      <c r="C9288" s="2" t="s">
        <v>38253</v>
      </c>
      <c r="D9288" s="2" t="str">
        <f>"8174925833"</f>
        <v>8174925833</v>
      </c>
      <c r="E9288" s="2" t="s">
        <v>38254</v>
      </c>
      <c r="F9288" s="2" t="s">
        <v>8031</v>
      </c>
      <c r="G9288" s="2" t="str">
        <f>"SR-12994"</f>
        <v>SR-12994</v>
      </c>
      <c r="H9288" s="2" t="s">
        <v>38255</v>
      </c>
      <c r="I9288" s="2" t="s">
        <v>38256</v>
      </c>
      <c r="K9288" s="2" t="s">
        <v>6017</v>
      </c>
      <c r="L9288" s="2" t="s">
        <v>172</v>
      </c>
      <c r="M9288" s="2">
        <v>76008.0</v>
      </c>
      <c r="N9288" s="2" t="s">
        <v>21</v>
      </c>
    </row>
    <row r="9289" ht="15.75" customHeight="1">
      <c r="A9289" s="2">
        <v>2018.0</v>
      </c>
      <c r="B9289" s="2" t="s">
        <v>38257</v>
      </c>
      <c r="C9289" s="2" t="s">
        <v>38258</v>
      </c>
      <c r="D9289" s="2" t="str">
        <f>"7865015237"</f>
        <v>7865015237</v>
      </c>
      <c r="E9289" s="2" t="s">
        <v>38259</v>
      </c>
      <c r="F9289" s="2" t="s">
        <v>6254</v>
      </c>
      <c r="G9289" s="2" t="str">
        <f>"SR-12971"</f>
        <v>SR-12971</v>
      </c>
      <c r="H9289" s="2" t="s">
        <v>38260</v>
      </c>
      <c r="I9289" s="2" t="s">
        <v>16793</v>
      </c>
      <c r="K9289" s="2" t="s">
        <v>2211</v>
      </c>
      <c r="L9289" s="2" t="s">
        <v>208</v>
      </c>
      <c r="M9289" s="2">
        <v>33173.0</v>
      </c>
      <c r="N9289" s="2" t="s">
        <v>21</v>
      </c>
    </row>
    <row r="9290" ht="15.75" customHeight="1">
      <c r="A9290" s="2">
        <v>2018.0</v>
      </c>
      <c r="B9290" s="2" t="s">
        <v>37897</v>
      </c>
      <c r="C9290" s="2" t="s">
        <v>37897</v>
      </c>
      <c r="D9290" s="2" t="str">
        <f>"6517469240"</f>
        <v>6517469240</v>
      </c>
      <c r="E9290" s="2" t="s">
        <v>38261</v>
      </c>
      <c r="F9290" s="2" t="s">
        <v>38262</v>
      </c>
      <c r="G9290" s="2" t="str">
        <f>"SR-12995"</f>
        <v>SR-12995</v>
      </c>
      <c r="H9290" s="2" t="s">
        <v>38263</v>
      </c>
      <c r="I9290" s="2" t="s">
        <v>37899</v>
      </c>
      <c r="K9290" s="2" t="s">
        <v>1260</v>
      </c>
      <c r="L9290" s="2" t="s">
        <v>172</v>
      </c>
      <c r="M9290" s="2">
        <v>76107.0</v>
      </c>
      <c r="N9290" s="2" t="s">
        <v>21</v>
      </c>
    </row>
    <row r="9291" ht="15.75" customHeight="1">
      <c r="A9291" s="2">
        <v>2018.0</v>
      </c>
      <c r="B9291" s="2" t="s">
        <v>38264</v>
      </c>
      <c r="C9291" s="2" t="s">
        <v>38265</v>
      </c>
      <c r="D9291" s="2" t="str">
        <f t="shared" ref="D9291:D9292" si="152">"6124133032"</f>
        <v>6124133032</v>
      </c>
      <c r="E9291" s="2" t="s">
        <v>4990</v>
      </c>
      <c r="F9291" s="2" t="s">
        <v>7483</v>
      </c>
      <c r="G9291" s="2" t="str">
        <f>"SR-12984"</f>
        <v>SR-12984</v>
      </c>
      <c r="H9291" s="2" t="s">
        <v>38266</v>
      </c>
      <c r="I9291" s="2" t="s">
        <v>7485</v>
      </c>
      <c r="K9291" s="2" t="s">
        <v>7486</v>
      </c>
      <c r="L9291" s="2" t="s">
        <v>62</v>
      </c>
      <c r="M9291" s="2">
        <v>55395.0</v>
      </c>
      <c r="N9291" s="2" t="s">
        <v>21</v>
      </c>
    </row>
    <row r="9292" ht="15.75" customHeight="1">
      <c r="A9292" s="2">
        <v>2018.0</v>
      </c>
      <c r="B9292" s="2" t="s">
        <v>38264</v>
      </c>
      <c r="C9292" s="2" t="s">
        <v>38264</v>
      </c>
      <c r="D9292" s="2" t="str">
        <f t="shared" si="152"/>
        <v>6124133032</v>
      </c>
      <c r="E9292" s="2" t="s">
        <v>5456</v>
      </c>
      <c r="F9292" s="2" t="s">
        <v>7483</v>
      </c>
      <c r="G9292" s="2" t="str">
        <f>"SR-12985"</f>
        <v>SR-12985</v>
      </c>
      <c r="H9292" s="2" t="s">
        <v>38267</v>
      </c>
      <c r="I9292" s="2" t="s">
        <v>7485</v>
      </c>
      <c r="K9292" s="2" t="s">
        <v>7486</v>
      </c>
      <c r="L9292" s="2" t="s">
        <v>62</v>
      </c>
      <c r="M9292" s="2">
        <v>55395.0</v>
      </c>
      <c r="N9292" s="2" t="s">
        <v>21</v>
      </c>
    </row>
    <row r="9293" ht="15.75" customHeight="1">
      <c r="A9293" s="2">
        <v>2018.0</v>
      </c>
      <c r="B9293" s="2" t="s">
        <v>37897</v>
      </c>
      <c r="D9293" s="2" t="str">
        <f>""</f>
        <v/>
      </c>
      <c r="E9293" s="2" t="s">
        <v>38268</v>
      </c>
      <c r="F9293" s="2" t="s">
        <v>38269</v>
      </c>
      <c r="G9293" s="2" t="str">
        <f>"SR-12996"</f>
        <v>SR-12996</v>
      </c>
      <c r="H9293" s="2" t="s">
        <v>38270</v>
      </c>
      <c r="N9293" s="2" t="s">
        <v>21</v>
      </c>
    </row>
    <row r="9294" ht="15.75" customHeight="1">
      <c r="A9294" s="2">
        <v>2018.0</v>
      </c>
      <c r="B9294" s="2" t="s">
        <v>38271</v>
      </c>
      <c r="C9294" s="2" t="s">
        <v>38271</v>
      </c>
      <c r="D9294" s="2" t="str">
        <f>"(760)804-0498"</f>
        <v>(760)804-0498</v>
      </c>
      <c r="E9294" s="2" t="s">
        <v>417</v>
      </c>
      <c r="F9294" s="2" t="s">
        <v>38272</v>
      </c>
      <c r="G9294" s="2" t="str">
        <f>"SR-12954"</f>
        <v>SR-12954</v>
      </c>
      <c r="H9294" s="2" t="s">
        <v>38273</v>
      </c>
      <c r="I9294" s="2" t="s">
        <v>38274</v>
      </c>
      <c r="K9294" s="2" t="s">
        <v>13081</v>
      </c>
      <c r="L9294" s="2" t="s">
        <v>222</v>
      </c>
      <c r="M9294" s="2">
        <v>92009.0</v>
      </c>
      <c r="N9294" s="2" t="s">
        <v>21</v>
      </c>
    </row>
    <row r="9295" ht="15.75" customHeight="1">
      <c r="A9295" s="2">
        <v>2018.0</v>
      </c>
      <c r="B9295" s="2" t="s">
        <v>38275</v>
      </c>
      <c r="C9295" s="2" t="s">
        <v>38276</v>
      </c>
      <c r="D9295" s="2" t="str">
        <f>"7192350405"</f>
        <v>7192350405</v>
      </c>
      <c r="E9295" s="2" t="s">
        <v>8080</v>
      </c>
      <c r="F9295" s="2" t="s">
        <v>11248</v>
      </c>
      <c r="G9295" s="2" t="str">
        <f>"SR-12816"</f>
        <v>SR-12816</v>
      </c>
      <c r="H9295" s="2" t="s">
        <v>38277</v>
      </c>
      <c r="I9295" s="2" t="s">
        <v>24127</v>
      </c>
      <c r="K9295" s="2" t="s">
        <v>809</v>
      </c>
      <c r="L9295" s="2" t="s">
        <v>157</v>
      </c>
      <c r="M9295" s="2">
        <v>80923.0</v>
      </c>
      <c r="N9295" s="2" t="s">
        <v>21</v>
      </c>
    </row>
    <row r="9296" ht="15.75" customHeight="1">
      <c r="A9296" s="2">
        <v>2018.0</v>
      </c>
      <c r="B9296" s="2" t="s">
        <v>38278</v>
      </c>
      <c r="C9296" s="2" t="s">
        <v>38279</v>
      </c>
      <c r="D9296" s="2" t="str">
        <f>"3614895980"</f>
        <v>3614895980</v>
      </c>
      <c r="E9296" s="2" t="s">
        <v>38280</v>
      </c>
      <c r="F9296" s="2" t="s">
        <v>7779</v>
      </c>
      <c r="G9296" s="2" t="str">
        <f>"SR-12997"</f>
        <v>SR-12997</v>
      </c>
      <c r="H9296" s="2" t="s">
        <v>38281</v>
      </c>
      <c r="I9296" s="2" t="s">
        <v>38282</v>
      </c>
      <c r="K9296" s="2" t="s">
        <v>1032</v>
      </c>
      <c r="L9296" s="2" t="s">
        <v>172</v>
      </c>
      <c r="M9296" s="2">
        <v>77904.0</v>
      </c>
      <c r="N9296" s="2" t="s">
        <v>21</v>
      </c>
    </row>
    <row r="9297" ht="15.75" customHeight="1">
      <c r="A9297" s="2">
        <v>2018.0</v>
      </c>
      <c r="B9297" s="2" t="s">
        <v>38283</v>
      </c>
      <c r="C9297" s="2" t="s">
        <v>38283</v>
      </c>
      <c r="D9297" s="2" t="str">
        <f>"9404844845"</f>
        <v>9404844845</v>
      </c>
      <c r="E9297" s="2" t="s">
        <v>12156</v>
      </c>
      <c r="F9297" s="2" t="s">
        <v>38284</v>
      </c>
      <c r="G9297" s="2" t="str">
        <f>"SR-12999"</f>
        <v>SR-12999</v>
      </c>
      <c r="H9297" s="2" t="s">
        <v>38285</v>
      </c>
      <c r="I9297" s="2" t="s">
        <v>38286</v>
      </c>
      <c r="K9297" s="2" t="s">
        <v>6539</v>
      </c>
      <c r="L9297" s="2" t="s">
        <v>172</v>
      </c>
      <c r="M9297" s="2">
        <v>76208.0</v>
      </c>
      <c r="N9297" s="2" t="s">
        <v>21</v>
      </c>
    </row>
    <row r="9298" ht="15.75" customHeight="1">
      <c r="A9298" s="2">
        <v>2018.0</v>
      </c>
      <c r="B9298" s="2" t="s">
        <v>38287</v>
      </c>
      <c r="C9298" s="2" t="s">
        <v>38288</v>
      </c>
      <c r="D9298" s="2" t="str">
        <f>"7349996262"</f>
        <v>7349996262</v>
      </c>
      <c r="E9298" s="2" t="s">
        <v>1263</v>
      </c>
      <c r="F9298" s="2" t="s">
        <v>38289</v>
      </c>
      <c r="G9298" s="2" t="str">
        <f>"SR-12862"</f>
        <v>SR-12862</v>
      </c>
      <c r="H9298" s="2" t="s">
        <v>38290</v>
      </c>
      <c r="I9298" s="2" t="s">
        <v>38291</v>
      </c>
      <c r="K9298" s="2" t="s">
        <v>36133</v>
      </c>
      <c r="L9298" s="2" t="s">
        <v>179</v>
      </c>
      <c r="M9298" s="2">
        <v>19335.0</v>
      </c>
      <c r="N9298" s="2" t="s">
        <v>21</v>
      </c>
    </row>
    <row r="9299" ht="15.75" customHeight="1">
      <c r="A9299" s="2">
        <v>2018.0</v>
      </c>
      <c r="B9299" s="2" t="s">
        <v>38292</v>
      </c>
      <c r="C9299" s="2" t="s">
        <v>38292</v>
      </c>
      <c r="D9299" s="2" t="str">
        <f>"618-223-3545"</f>
        <v>618-223-3545</v>
      </c>
      <c r="E9299" s="2" t="s">
        <v>3878</v>
      </c>
      <c r="F9299" s="2" t="s">
        <v>4750</v>
      </c>
      <c r="G9299" s="2" t="str">
        <f>"SR-12998"</f>
        <v>SR-12998</v>
      </c>
      <c r="H9299" s="2" t="s">
        <v>38293</v>
      </c>
      <c r="I9299" s="2" t="s">
        <v>30641</v>
      </c>
      <c r="K9299" s="2" t="s">
        <v>30642</v>
      </c>
      <c r="L9299" s="2" t="s">
        <v>105</v>
      </c>
      <c r="M9299" s="2">
        <v>62260.0</v>
      </c>
      <c r="N9299" s="2" t="s">
        <v>21</v>
      </c>
    </row>
    <row r="9300" ht="15.75" customHeight="1">
      <c r="A9300" s="2">
        <v>2018.0</v>
      </c>
      <c r="B9300" s="2" t="s">
        <v>8531</v>
      </c>
      <c r="C9300" s="2" t="s">
        <v>16107</v>
      </c>
      <c r="D9300" s="2" t="str">
        <f>"1231231234"</f>
        <v>1231231234</v>
      </c>
      <c r="E9300" s="2" t="s">
        <v>16108</v>
      </c>
      <c r="F9300" s="2" t="s">
        <v>8534</v>
      </c>
      <c r="G9300" s="2" t="str">
        <f>"SR-1"</f>
        <v>SR-1</v>
      </c>
      <c r="H9300" s="2" t="s">
        <v>16109</v>
      </c>
      <c r="I9300" s="2" t="s">
        <v>8536</v>
      </c>
      <c r="K9300" s="2" t="s">
        <v>8537</v>
      </c>
      <c r="L9300" s="2" t="s">
        <v>157</v>
      </c>
      <c r="M9300" s="2">
        <v>12345.0</v>
      </c>
      <c r="N9300" s="2" t="s">
        <v>21</v>
      </c>
    </row>
    <row r="9301" ht="15.75" customHeight="1">
      <c r="A9301" s="2">
        <v>2018.0</v>
      </c>
      <c r="B9301" s="2" t="s">
        <v>38294</v>
      </c>
      <c r="D9301" s="2" t="str">
        <f>""</f>
        <v/>
      </c>
      <c r="E9301" s="2" t="s">
        <v>38295</v>
      </c>
      <c r="F9301" s="2" t="s">
        <v>38296</v>
      </c>
      <c r="G9301" s="2" t="str">
        <f>"SR-13003"</f>
        <v>SR-13003</v>
      </c>
      <c r="H9301" s="2" t="s">
        <v>38297</v>
      </c>
      <c r="N9301" s="2" t="s">
        <v>21</v>
      </c>
    </row>
    <row r="9302" ht="15.75" customHeight="1">
      <c r="A9302" s="2">
        <v>2018.0</v>
      </c>
      <c r="B9302" s="2" t="s">
        <v>37699</v>
      </c>
      <c r="C9302" s="2" t="s">
        <v>37699</v>
      </c>
      <c r="D9302" s="2" t="str">
        <f t="shared" ref="D9302:D9304" si="153">"1234567890"</f>
        <v>1234567890</v>
      </c>
      <c r="E9302" s="2" t="s">
        <v>38298</v>
      </c>
      <c r="F9302" s="2" t="s">
        <v>10358</v>
      </c>
      <c r="G9302" s="2" t="str">
        <f>"SR-13004"</f>
        <v>SR-13004</v>
      </c>
      <c r="H9302" s="2" t="s">
        <v>38299</v>
      </c>
      <c r="I9302" s="2">
        <v>123.0</v>
      </c>
      <c r="K9302" s="2" t="s">
        <v>8537</v>
      </c>
      <c r="L9302" s="2" t="s">
        <v>62</v>
      </c>
      <c r="M9302" s="2">
        <v>56307.0</v>
      </c>
      <c r="N9302" s="2" t="s">
        <v>21</v>
      </c>
    </row>
    <row r="9303" ht="15.75" customHeight="1">
      <c r="A9303" s="2">
        <v>2018.0</v>
      </c>
      <c r="B9303" s="2" t="s">
        <v>37699</v>
      </c>
      <c r="C9303" s="2" t="s">
        <v>37699</v>
      </c>
      <c r="D9303" s="2" t="str">
        <f t="shared" si="153"/>
        <v>1234567890</v>
      </c>
      <c r="E9303" s="2" t="s">
        <v>38300</v>
      </c>
      <c r="F9303" s="2" t="s">
        <v>10358</v>
      </c>
      <c r="G9303" s="2" t="str">
        <f>"SR-13005"</f>
        <v>SR-13005</v>
      </c>
      <c r="H9303" s="2" t="s">
        <v>38301</v>
      </c>
      <c r="I9303" s="2">
        <v>123.0</v>
      </c>
      <c r="K9303" s="2" t="s">
        <v>8537</v>
      </c>
      <c r="L9303" s="2" t="s">
        <v>62</v>
      </c>
      <c r="M9303" s="2">
        <v>56307.0</v>
      </c>
      <c r="N9303" s="2" t="s">
        <v>21</v>
      </c>
    </row>
    <row r="9304" ht="15.75" customHeight="1">
      <c r="A9304" s="2">
        <v>2018.0</v>
      </c>
      <c r="B9304" s="2" t="s">
        <v>37699</v>
      </c>
      <c r="C9304" s="2" t="s">
        <v>37699</v>
      </c>
      <c r="D9304" s="2" t="str">
        <f t="shared" si="153"/>
        <v>1234567890</v>
      </c>
      <c r="E9304" s="2" t="s">
        <v>38302</v>
      </c>
      <c r="F9304" s="2" t="s">
        <v>10358</v>
      </c>
      <c r="G9304" s="2" t="str">
        <f>"SR-13006"</f>
        <v>SR-13006</v>
      </c>
      <c r="H9304" s="2" t="s">
        <v>38303</v>
      </c>
      <c r="I9304" s="2">
        <v>123.0</v>
      </c>
      <c r="K9304" s="2" t="s">
        <v>8537</v>
      </c>
      <c r="L9304" s="2" t="s">
        <v>55</v>
      </c>
      <c r="M9304" s="2">
        <v>12345.0</v>
      </c>
      <c r="N9304" s="2" t="s">
        <v>21</v>
      </c>
    </row>
    <row r="9305" ht="15.75" customHeight="1">
      <c r="A9305" s="2">
        <v>2018.0</v>
      </c>
      <c r="B9305" s="2" t="s">
        <v>38304</v>
      </c>
      <c r="C9305" s="2" t="s">
        <v>38304</v>
      </c>
      <c r="D9305" s="2" t="str">
        <f>"4805022256"</f>
        <v>4805022256</v>
      </c>
      <c r="E9305" s="2" t="s">
        <v>38305</v>
      </c>
      <c r="F9305" s="2" t="s">
        <v>38306</v>
      </c>
      <c r="G9305" s="2" t="str">
        <f>"SR-13008"</f>
        <v>SR-13008</v>
      </c>
      <c r="H9305" s="2" t="s">
        <v>38307</v>
      </c>
      <c r="I9305" s="2" t="s">
        <v>38308</v>
      </c>
      <c r="K9305" s="2" t="s">
        <v>1387</v>
      </c>
      <c r="L9305" s="2" t="s">
        <v>70</v>
      </c>
      <c r="M9305" s="2">
        <v>99672.0</v>
      </c>
      <c r="N9305" s="2" t="s">
        <v>21</v>
      </c>
    </row>
    <row r="9306" ht="15.75" customHeight="1">
      <c r="A9306" s="2">
        <v>2018.0</v>
      </c>
      <c r="B9306" s="2" t="s">
        <v>38309</v>
      </c>
      <c r="C9306" s="2" t="s">
        <v>38309</v>
      </c>
      <c r="D9306" s="2" t="str">
        <f>"907-397-7144"</f>
        <v>907-397-7144</v>
      </c>
      <c r="E9306" s="2" t="s">
        <v>38310</v>
      </c>
      <c r="F9306" s="2" t="s">
        <v>38311</v>
      </c>
      <c r="G9306" s="2" t="str">
        <f>"SR-13013"</f>
        <v>SR-13013</v>
      </c>
      <c r="H9306" s="2" t="s">
        <v>38312</v>
      </c>
      <c r="I9306" s="2" t="s">
        <v>38313</v>
      </c>
      <c r="K9306" s="2" t="s">
        <v>1360</v>
      </c>
      <c r="L9306" s="2" t="s">
        <v>70</v>
      </c>
      <c r="M9306" s="2">
        <v>99611.0</v>
      </c>
      <c r="N9306" s="2" t="s">
        <v>21</v>
      </c>
    </row>
    <row r="9307" ht="15.75" customHeight="1">
      <c r="A9307" s="2">
        <v>2018.0</v>
      </c>
      <c r="B9307" s="2" t="s">
        <v>38314</v>
      </c>
      <c r="C9307" s="2" t="s">
        <v>38314</v>
      </c>
      <c r="D9307" s="2" t="str">
        <f>"907-262-7783"</f>
        <v>907-262-7783</v>
      </c>
      <c r="E9307" s="2" t="s">
        <v>843</v>
      </c>
      <c r="F9307" s="2" t="s">
        <v>38315</v>
      </c>
      <c r="G9307" s="2" t="str">
        <f>"SR-13012"</f>
        <v>SR-13012</v>
      </c>
      <c r="H9307" s="2" t="s">
        <v>38316</v>
      </c>
      <c r="I9307" s="2" t="s">
        <v>38317</v>
      </c>
      <c r="K9307" s="2" t="s">
        <v>1336</v>
      </c>
      <c r="L9307" s="2" t="s">
        <v>70</v>
      </c>
      <c r="M9307" s="2">
        <v>99669.0</v>
      </c>
      <c r="N9307" s="2" t="s">
        <v>21</v>
      </c>
    </row>
    <row r="9308" ht="15.75" customHeight="1">
      <c r="A9308" s="2">
        <v>2018.0</v>
      </c>
      <c r="B9308" s="2" t="s">
        <v>38318</v>
      </c>
      <c r="C9308" s="2" t="s">
        <v>38319</v>
      </c>
      <c r="D9308" s="2" t="str">
        <f>"7015005171"</f>
        <v>7015005171</v>
      </c>
      <c r="E9308" s="2" t="s">
        <v>225</v>
      </c>
      <c r="F9308" s="2" t="s">
        <v>38320</v>
      </c>
      <c r="G9308" s="2" t="str">
        <f>"SR-13016"</f>
        <v>SR-13016</v>
      </c>
      <c r="H9308" s="2" t="s">
        <v>38321</v>
      </c>
      <c r="I9308" s="2" t="s">
        <v>38322</v>
      </c>
      <c r="K9308" s="2" t="s">
        <v>38323</v>
      </c>
      <c r="L9308" s="2" t="s">
        <v>62</v>
      </c>
      <c r="M9308" s="2">
        <v>56560.0</v>
      </c>
      <c r="N9308" s="2" t="s">
        <v>21</v>
      </c>
    </row>
    <row r="9309" ht="15.75" customHeight="1">
      <c r="A9309" s="2">
        <v>2018.0</v>
      </c>
      <c r="B9309" s="2" t="s">
        <v>38324</v>
      </c>
      <c r="C9309" s="2" t="s">
        <v>38325</v>
      </c>
      <c r="D9309" s="2" t="str">
        <f>"4079960906"</f>
        <v>4079960906</v>
      </c>
      <c r="E9309" s="2" t="s">
        <v>2412</v>
      </c>
      <c r="F9309" s="2" t="s">
        <v>10249</v>
      </c>
      <c r="G9309" s="2" t="str">
        <f>"SR-13017"</f>
        <v>SR-13017</v>
      </c>
      <c r="H9309" s="2" t="s">
        <v>38326</v>
      </c>
      <c r="I9309" s="2" t="s">
        <v>38327</v>
      </c>
      <c r="K9309" s="2" t="s">
        <v>4724</v>
      </c>
      <c r="L9309" s="2" t="s">
        <v>208</v>
      </c>
      <c r="M9309" s="2">
        <v>32832.0</v>
      </c>
      <c r="N9309" s="2" t="s">
        <v>21</v>
      </c>
    </row>
    <row r="9310" ht="15.75" customHeight="1">
      <c r="A9310" s="2">
        <v>2018.0</v>
      </c>
      <c r="B9310" s="2" t="s">
        <v>38328</v>
      </c>
      <c r="C9310" s="2" t="s">
        <v>38328</v>
      </c>
      <c r="D9310" s="2" t="str">
        <f>"7085167946"</f>
        <v>7085167946</v>
      </c>
      <c r="E9310" s="2" t="s">
        <v>471</v>
      </c>
      <c r="F9310" s="2" t="s">
        <v>38329</v>
      </c>
      <c r="G9310" s="2" t="str">
        <f>"SR-13019"</f>
        <v>SR-13019</v>
      </c>
      <c r="H9310" s="2" t="s">
        <v>38330</v>
      </c>
      <c r="I9310" s="2" t="s">
        <v>38331</v>
      </c>
      <c r="K9310" s="2" t="s">
        <v>17856</v>
      </c>
      <c r="L9310" s="2" t="s">
        <v>105</v>
      </c>
      <c r="M9310" s="2">
        <v>60401.0</v>
      </c>
      <c r="N9310" s="2" t="s">
        <v>21</v>
      </c>
    </row>
    <row r="9311" ht="15.75" customHeight="1">
      <c r="A9311" s="2">
        <v>2018.0</v>
      </c>
      <c r="B9311" s="2" t="s">
        <v>38332</v>
      </c>
      <c r="C9311" s="2" t="s">
        <v>38332</v>
      </c>
      <c r="D9311" s="2" t="str">
        <f>"2182908920"</f>
        <v>2182908920</v>
      </c>
      <c r="E9311" s="2" t="s">
        <v>38333</v>
      </c>
      <c r="F9311" s="2" t="s">
        <v>38334</v>
      </c>
      <c r="G9311" s="2" t="str">
        <f>"SR-13023"</f>
        <v>SR-13023</v>
      </c>
      <c r="H9311" s="2" t="s">
        <v>38335</v>
      </c>
      <c r="I9311" s="2" t="s">
        <v>38336</v>
      </c>
      <c r="K9311" s="2" t="s">
        <v>38337</v>
      </c>
      <c r="L9311" s="2" t="s">
        <v>62</v>
      </c>
      <c r="M9311" s="2">
        <v>55750.0</v>
      </c>
      <c r="N9311" s="2" t="s">
        <v>21</v>
      </c>
    </row>
    <row r="9312" ht="15.75" customHeight="1">
      <c r="A9312" s="2">
        <v>2018.0</v>
      </c>
      <c r="B9312" s="2" t="s">
        <v>38338</v>
      </c>
      <c r="C9312" s="2" t="s">
        <v>38339</v>
      </c>
      <c r="D9312" s="2" t="str">
        <f>"7198735099"</f>
        <v>7198735099</v>
      </c>
      <c r="E9312" s="2" t="s">
        <v>908</v>
      </c>
      <c r="F9312" s="2" t="s">
        <v>30555</v>
      </c>
      <c r="G9312" s="2" t="str">
        <f>"SR-13026"</f>
        <v>SR-13026</v>
      </c>
      <c r="H9312" s="2" t="s">
        <v>38340</v>
      </c>
      <c r="I9312" s="2" t="s">
        <v>38341</v>
      </c>
      <c r="K9312" s="2" t="s">
        <v>30558</v>
      </c>
      <c r="L9312" s="2" t="s">
        <v>157</v>
      </c>
      <c r="M9312" s="2">
        <v>81154.0</v>
      </c>
      <c r="N9312" s="2" t="s">
        <v>21</v>
      </c>
    </row>
    <row r="9313" ht="15.75" customHeight="1">
      <c r="A9313" s="2">
        <v>2018.0</v>
      </c>
      <c r="B9313" s="2" t="s">
        <v>38342</v>
      </c>
      <c r="C9313" s="2" t="s">
        <v>38343</v>
      </c>
      <c r="D9313" s="2" t="str">
        <f>"8645518554"</f>
        <v>8645518554</v>
      </c>
      <c r="E9313" s="2" t="s">
        <v>4300</v>
      </c>
      <c r="F9313" s="2" t="s">
        <v>850</v>
      </c>
      <c r="G9313" s="2" t="str">
        <f>"SR-10931"</f>
        <v>SR-10931</v>
      </c>
      <c r="H9313" s="2" t="s">
        <v>38344</v>
      </c>
      <c r="I9313" s="2" t="s">
        <v>38345</v>
      </c>
      <c r="K9313" s="2" t="s">
        <v>15151</v>
      </c>
      <c r="L9313" s="2" t="s">
        <v>55</v>
      </c>
      <c r="M9313" s="2">
        <v>29687.0</v>
      </c>
      <c r="N9313" s="2" t="s">
        <v>21</v>
      </c>
    </row>
    <row r="9314" ht="15.75" customHeight="1">
      <c r="A9314" s="2">
        <v>2018.0</v>
      </c>
      <c r="B9314" s="2" t="s">
        <v>38346</v>
      </c>
      <c r="C9314" s="2" t="s">
        <v>38346</v>
      </c>
      <c r="D9314" s="2" t="str">
        <f>"907-953-7800"</f>
        <v>907-953-7800</v>
      </c>
      <c r="E9314" s="2" t="s">
        <v>250</v>
      </c>
      <c r="F9314" s="2" t="s">
        <v>984</v>
      </c>
      <c r="G9314" s="2" t="str">
        <f>"SR-13007"</f>
        <v>SR-13007</v>
      </c>
      <c r="H9314" s="2" t="s">
        <v>38347</v>
      </c>
      <c r="I9314" s="2" t="s">
        <v>38348</v>
      </c>
      <c r="K9314" s="2" t="s">
        <v>1387</v>
      </c>
      <c r="L9314" s="2" t="s">
        <v>70</v>
      </c>
      <c r="M9314" s="2">
        <v>99672.0</v>
      </c>
      <c r="N9314" s="2" t="s">
        <v>21</v>
      </c>
    </row>
    <row r="9315" ht="15.75" customHeight="1">
      <c r="A9315" s="2">
        <v>2018.0</v>
      </c>
      <c r="B9315" s="2" t="s">
        <v>38349</v>
      </c>
      <c r="C9315" s="2" t="s">
        <v>38349</v>
      </c>
      <c r="D9315" s="2" t="str">
        <f>"864 483 7720"</f>
        <v>864 483 7720</v>
      </c>
      <c r="E9315" s="2" t="s">
        <v>5914</v>
      </c>
      <c r="F9315" s="2" t="s">
        <v>21469</v>
      </c>
      <c r="G9315" s="2" t="str">
        <f>"SR-13035"</f>
        <v>SR-13035</v>
      </c>
      <c r="H9315" s="2" t="s">
        <v>38350</v>
      </c>
      <c r="I9315" s="2" t="s">
        <v>38351</v>
      </c>
      <c r="K9315" s="2" t="s">
        <v>15151</v>
      </c>
      <c r="L9315" s="2" t="s">
        <v>55</v>
      </c>
      <c r="M9315" s="2">
        <v>29687.0</v>
      </c>
      <c r="N9315" s="2" t="s">
        <v>21</v>
      </c>
    </row>
    <row r="9316" ht="15.75" customHeight="1">
      <c r="A9316" s="2">
        <v>2018.0</v>
      </c>
      <c r="B9316" s="2" t="s">
        <v>14040</v>
      </c>
      <c r="C9316" s="2" t="s">
        <v>38352</v>
      </c>
      <c r="D9316" s="2" t="str">
        <f>"504-338-9525"</f>
        <v>504-338-9525</v>
      </c>
      <c r="E9316" s="2" t="s">
        <v>678</v>
      </c>
      <c r="F9316" s="2" t="s">
        <v>14042</v>
      </c>
      <c r="G9316" s="2" t="str">
        <f>"SR-13011"</f>
        <v>SR-13011</v>
      </c>
      <c r="H9316" s="2" t="s">
        <v>38353</v>
      </c>
      <c r="I9316" s="2" t="s">
        <v>14044</v>
      </c>
      <c r="K9316" s="2" t="s">
        <v>14045</v>
      </c>
      <c r="L9316" s="2" t="s">
        <v>715</v>
      </c>
      <c r="M9316" s="2">
        <v>70461.0</v>
      </c>
      <c r="N9316" s="2" t="s">
        <v>21</v>
      </c>
    </row>
    <row r="9317" ht="15.75" customHeight="1">
      <c r="A9317" s="2">
        <v>2018.0</v>
      </c>
      <c r="B9317" s="2" t="s">
        <v>38354</v>
      </c>
      <c r="C9317" s="2" t="s">
        <v>38354</v>
      </c>
      <c r="D9317" s="2" t="str">
        <f>"7853464814"</f>
        <v>7853464814</v>
      </c>
      <c r="E9317" s="2" t="s">
        <v>38355</v>
      </c>
      <c r="F9317" s="2" t="s">
        <v>28251</v>
      </c>
      <c r="G9317" s="2" t="str">
        <f>"SR-13037"</f>
        <v>SR-13037</v>
      </c>
      <c r="H9317" s="2" t="s">
        <v>38356</v>
      </c>
      <c r="I9317" s="2" t="s">
        <v>38357</v>
      </c>
      <c r="K9317" s="2" t="s">
        <v>28254</v>
      </c>
      <c r="L9317" s="2" t="s">
        <v>272</v>
      </c>
      <c r="M9317" s="2">
        <v>67474.0</v>
      </c>
      <c r="N9317" s="2" t="s">
        <v>21</v>
      </c>
    </row>
    <row r="9318" ht="15.75" customHeight="1">
      <c r="A9318" s="2">
        <v>2018.0</v>
      </c>
      <c r="B9318" s="2" t="s">
        <v>38358</v>
      </c>
      <c r="C9318" s="2" t="s">
        <v>38358</v>
      </c>
      <c r="D9318" s="2" t="str">
        <f>"19079877269"</f>
        <v>19079877269</v>
      </c>
      <c r="E9318" s="2" t="s">
        <v>485</v>
      </c>
      <c r="F9318" s="2" t="s">
        <v>1243</v>
      </c>
      <c r="G9318" s="2" t="str">
        <f>"SR-12028"</f>
        <v>SR-12028</v>
      </c>
      <c r="H9318" s="2" t="s">
        <v>38359</v>
      </c>
      <c r="I9318" s="2" t="s">
        <v>38360</v>
      </c>
      <c r="K9318" s="2" t="s">
        <v>1336</v>
      </c>
      <c r="L9318" s="2" t="s">
        <v>70</v>
      </c>
      <c r="M9318" s="2">
        <v>99669.0</v>
      </c>
      <c r="N9318" s="2" t="s">
        <v>21</v>
      </c>
    </row>
    <row r="9319" ht="15.75" customHeight="1">
      <c r="A9319" s="2">
        <v>2018.0</v>
      </c>
      <c r="B9319" s="2" t="s">
        <v>38361</v>
      </c>
      <c r="C9319" s="2" t="s">
        <v>38362</v>
      </c>
      <c r="D9319" s="2" t="str">
        <f>"719-687-8269"</f>
        <v>719-687-8269</v>
      </c>
      <c r="E9319" s="2" t="s">
        <v>1980</v>
      </c>
      <c r="F9319" s="2" t="s">
        <v>891</v>
      </c>
      <c r="G9319" s="2" t="str">
        <f>"SR-13029"</f>
        <v>SR-13029</v>
      </c>
      <c r="H9319" s="2" t="s">
        <v>38363</v>
      </c>
      <c r="I9319" s="2" t="s">
        <v>893</v>
      </c>
      <c r="K9319" s="2" t="s">
        <v>894</v>
      </c>
      <c r="L9319" s="2" t="s">
        <v>157</v>
      </c>
      <c r="M9319" s="2">
        <v>80863.0</v>
      </c>
      <c r="N9319" s="2" t="s">
        <v>21</v>
      </c>
    </row>
    <row r="9320" ht="15.75" customHeight="1">
      <c r="A9320" s="2">
        <v>2018.0</v>
      </c>
      <c r="B9320" s="2" t="s">
        <v>38364</v>
      </c>
      <c r="C9320" s="2" t="s">
        <v>38365</v>
      </c>
      <c r="D9320" s="2" t="str">
        <f>"503-681-0153"</f>
        <v>503-681-0153</v>
      </c>
      <c r="E9320" s="2" t="s">
        <v>19780</v>
      </c>
      <c r="F9320" s="2" t="s">
        <v>38366</v>
      </c>
      <c r="G9320" s="2" t="str">
        <f>"SR-13032"</f>
        <v>SR-13032</v>
      </c>
      <c r="H9320" s="2" t="s">
        <v>38367</v>
      </c>
      <c r="I9320" s="2" t="s">
        <v>38368</v>
      </c>
      <c r="K9320" s="2" t="s">
        <v>2828</v>
      </c>
      <c r="L9320" s="2" t="s">
        <v>2389</v>
      </c>
      <c r="M9320" s="2">
        <v>97229.0</v>
      </c>
      <c r="N9320" s="2" t="s">
        <v>21</v>
      </c>
    </row>
    <row r="9321" ht="15.75" customHeight="1">
      <c r="A9321" s="2">
        <v>2018.0</v>
      </c>
      <c r="B9321" s="2" t="s">
        <v>38369</v>
      </c>
      <c r="C9321" s="2" t="s">
        <v>38370</v>
      </c>
      <c r="D9321" s="2" t="str">
        <f>"940-498-1595"</f>
        <v>940-498-1595</v>
      </c>
      <c r="E9321" s="2" t="s">
        <v>485</v>
      </c>
      <c r="F9321" s="2" t="s">
        <v>38371</v>
      </c>
      <c r="G9321" s="2" t="str">
        <f>"SR-13046"</f>
        <v>SR-13046</v>
      </c>
      <c r="H9321" s="2" t="s">
        <v>38372</v>
      </c>
      <c r="I9321" s="2" t="s">
        <v>38373</v>
      </c>
      <c r="K9321" s="2" t="s">
        <v>24245</v>
      </c>
      <c r="L9321" s="2" t="s">
        <v>172</v>
      </c>
      <c r="M9321" s="2">
        <v>76210.0</v>
      </c>
      <c r="N9321" s="2" t="s">
        <v>21</v>
      </c>
    </row>
    <row r="9322" ht="15.75" customHeight="1">
      <c r="A9322" s="2">
        <v>2018.0</v>
      </c>
      <c r="B9322" s="2" t="s">
        <v>37278</v>
      </c>
      <c r="C9322" s="2" t="s">
        <v>38374</v>
      </c>
      <c r="D9322" s="2" t="str">
        <f>"7193312548"</f>
        <v>7193312548</v>
      </c>
      <c r="E9322" s="2" t="s">
        <v>3037</v>
      </c>
      <c r="F9322" s="2" t="s">
        <v>37279</v>
      </c>
      <c r="G9322" s="2" t="str">
        <f>"SR-13047"</f>
        <v>SR-13047</v>
      </c>
      <c r="H9322" s="2" t="s">
        <v>38375</v>
      </c>
      <c r="I9322" s="2" t="s">
        <v>38376</v>
      </c>
      <c r="K9322" s="2" t="s">
        <v>809</v>
      </c>
      <c r="L9322" s="2" t="s">
        <v>157</v>
      </c>
      <c r="M9322" s="2">
        <v>80920.0</v>
      </c>
      <c r="N9322" s="2" t="s">
        <v>21</v>
      </c>
    </row>
    <row r="9323" ht="15.75" customHeight="1">
      <c r="A9323" s="2">
        <v>2018.0</v>
      </c>
      <c r="B9323" s="2" t="s">
        <v>38377</v>
      </c>
      <c r="C9323" s="2" t="s">
        <v>38378</v>
      </c>
      <c r="D9323" s="2" t="str">
        <f>"503-569-1487"</f>
        <v>503-569-1487</v>
      </c>
      <c r="E9323" s="2" t="s">
        <v>32028</v>
      </c>
      <c r="F9323" s="2" t="s">
        <v>10692</v>
      </c>
      <c r="G9323" s="2" t="str">
        <f>"SR-13031"</f>
        <v>SR-13031</v>
      </c>
      <c r="H9323" s="2" t="s">
        <v>38379</v>
      </c>
      <c r="I9323" s="2" t="s">
        <v>38380</v>
      </c>
      <c r="K9323" s="2" t="s">
        <v>5131</v>
      </c>
      <c r="L9323" s="2" t="s">
        <v>2389</v>
      </c>
      <c r="M9323" s="2">
        <v>97302.0</v>
      </c>
      <c r="N9323" s="2" t="s">
        <v>21</v>
      </c>
    </row>
    <row r="9324" ht="15.75" customHeight="1">
      <c r="A9324" s="2">
        <v>2018.0</v>
      </c>
      <c r="B9324" s="2" t="s">
        <v>38381</v>
      </c>
      <c r="C9324" s="2" t="s">
        <v>38381</v>
      </c>
      <c r="D9324" s="2" t="str">
        <f>"(308) 728-5278"</f>
        <v>(308) 728-5278</v>
      </c>
      <c r="E9324" s="2" t="s">
        <v>3170</v>
      </c>
      <c r="F9324" s="2" t="s">
        <v>33050</v>
      </c>
      <c r="G9324" s="2" t="str">
        <f>"SR-13027"</f>
        <v>SR-13027</v>
      </c>
      <c r="H9324" s="2" t="s">
        <v>38382</v>
      </c>
      <c r="I9324" s="2" t="s">
        <v>38382</v>
      </c>
      <c r="J9324" s="2" t="s">
        <v>38383</v>
      </c>
      <c r="K9324" s="2" t="s">
        <v>23851</v>
      </c>
      <c r="L9324" s="2" t="s">
        <v>757</v>
      </c>
      <c r="M9324" s="2">
        <v>68862.0</v>
      </c>
      <c r="N9324" s="2" t="s">
        <v>21</v>
      </c>
    </row>
    <row r="9325" ht="15.75" customHeight="1">
      <c r="A9325" s="2">
        <v>2018.0</v>
      </c>
      <c r="B9325" s="2" t="s">
        <v>33049</v>
      </c>
      <c r="C9325" s="2" t="s">
        <v>33049</v>
      </c>
      <c r="D9325" s="2" t="str">
        <f>"(308) 730-2110"</f>
        <v>(308) 730-2110</v>
      </c>
      <c r="E9325" s="2" t="s">
        <v>11562</v>
      </c>
      <c r="F9325" s="2" t="s">
        <v>33050</v>
      </c>
      <c r="G9325" s="2" t="str">
        <f>"SR-13058"</f>
        <v>SR-13058</v>
      </c>
      <c r="H9325" s="2" t="s">
        <v>33051</v>
      </c>
      <c r="I9325" s="2" t="s">
        <v>38384</v>
      </c>
      <c r="K9325" s="2" t="s">
        <v>23851</v>
      </c>
      <c r="L9325" s="2" t="s">
        <v>757</v>
      </c>
      <c r="M9325" s="2">
        <v>68862.0</v>
      </c>
      <c r="N9325" s="2" t="s">
        <v>21</v>
      </c>
    </row>
    <row r="9326" ht="15.75" customHeight="1">
      <c r="A9326" s="2">
        <v>2018.0</v>
      </c>
      <c r="B9326" s="2" t="s">
        <v>38385</v>
      </c>
      <c r="C9326" s="2" t="s">
        <v>38385</v>
      </c>
      <c r="D9326" s="2" t="str">
        <f>"907-394-6127"</f>
        <v>907-394-6127</v>
      </c>
      <c r="E9326" s="2" t="s">
        <v>1974</v>
      </c>
      <c r="F9326" s="2" t="s">
        <v>6413</v>
      </c>
      <c r="G9326" s="2" t="str">
        <f>"SR-13041"</f>
        <v>SR-13041</v>
      </c>
      <c r="H9326" s="2" t="s">
        <v>38386</v>
      </c>
      <c r="I9326" s="2" t="s">
        <v>38387</v>
      </c>
      <c r="K9326" s="2" t="s">
        <v>1336</v>
      </c>
      <c r="L9326" s="2" t="s">
        <v>70</v>
      </c>
      <c r="M9326" s="2">
        <v>99669.0</v>
      </c>
      <c r="N9326" s="2" t="s">
        <v>21</v>
      </c>
    </row>
    <row r="9327" ht="15.75" customHeight="1">
      <c r="A9327" s="2">
        <v>2018.0</v>
      </c>
      <c r="B9327" s="2" t="s">
        <v>38388</v>
      </c>
      <c r="C9327" s="2" t="s">
        <v>38389</v>
      </c>
      <c r="D9327" s="2" t="str">
        <f>"8638401019"</f>
        <v>8638401019</v>
      </c>
      <c r="E9327" s="2" t="s">
        <v>38390</v>
      </c>
      <c r="F9327" s="2" t="s">
        <v>38391</v>
      </c>
      <c r="G9327" s="2" t="str">
        <f>"SR-13059"</f>
        <v>SR-13059</v>
      </c>
      <c r="H9327" s="2" t="s">
        <v>38392</v>
      </c>
      <c r="I9327" s="2" t="s">
        <v>38393</v>
      </c>
      <c r="K9327" s="2" t="s">
        <v>26300</v>
      </c>
      <c r="L9327" s="2" t="s">
        <v>208</v>
      </c>
      <c r="M9327" s="2">
        <v>33852.0</v>
      </c>
      <c r="N9327" s="2" t="s">
        <v>21</v>
      </c>
    </row>
    <row r="9328" ht="15.75" customHeight="1">
      <c r="A9328" s="2">
        <v>2018.0</v>
      </c>
      <c r="B9328" s="2" t="s">
        <v>38394</v>
      </c>
      <c r="C9328" s="2" t="s">
        <v>38395</v>
      </c>
      <c r="D9328" s="2" t="str">
        <f>"+44 7557 524340"</f>
        <v>+44 7557 524340</v>
      </c>
      <c r="E9328" s="2" t="s">
        <v>38396</v>
      </c>
      <c r="F9328" s="2" t="s">
        <v>82</v>
      </c>
      <c r="G9328" s="2" t="str">
        <f>"SR-13063"</f>
        <v>SR-13063</v>
      </c>
      <c r="H9328" s="2" t="s">
        <v>38397</v>
      </c>
      <c r="I9328" s="2" t="s">
        <v>38398</v>
      </c>
      <c r="J9328" s="2" t="s">
        <v>38399</v>
      </c>
      <c r="K9328" s="2" t="s">
        <v>38400</v>
      </c>
      <c r="L9328" s="2" t="s">
        <v>38401</v>
      </c>
      <c r="M9328" s="2" t="s">
        <v>38402</v>
      </c>
      <c r="N9328" s="2" t="s">
        <v>22523</v>
      </c>
    </row>
    <row r="9329" ht="15.75" customHeight="1">
      <c r="A9329" s="2">
        <v>2018.0</v>
      </c>
      <c r="B9329" s="2" t="s">
        <v>38403</v>
      </c>
      <c r="C9329" s="2" t="s">
        <v>38403</v>
      </c>
      <c r="D9329" s="2" t="str">
        <f>"317-800-1183"</f>
        <v>317-800-1183</v>
      </c>
      <c r="E9329" s="2" t="s">
        <v>3650</v>
      </c>
      <c r="F9329" s="2" t="s">
        <v>4532</v>
      </c>
      <c r="G9329" s="2" t="str">
        <f>"SR-13069"</f>
        <v>SR-13069</v>
      </c>
      <c r="H9329" s="2" t="s">
        <v>38404</v>
      </c>
      <c r="I9329" s="2" t="s">
        <v>38405</v>
      </c>
      <c r="K9329" s="2" t="s">
        <v>1188</v>
      </c>
      <c r="L9329" s="2" t="s">
        <v>149</v>
      </c>
      <c r="M9329" s="2">
        <v>46234.0</v>
      </c>
      <c r="N9329" s="2" t="s">
        <v>21</v>
      </c>
    </row>
    <row r="9330" ht="15.75" customHeight="1">
      <c r="A9330" s="2">
        <v>2018.0</v>
      </c>
      <c r="B9330" s="2" t="s">
        <v>38406</v>
      </c>
      <c r="C9330" s="2" t="s">
        <v>38406</v>
      </c>
      <c r="D9330" s="2" t="str">
        <f>"7196965011"</f>
        <v>7196965011</v>
      </c>
      <c r="E9330" s="2" t="s">
        <v>7145</v>
      </c>
      <c r="F9330" s="2" t="s">
        <v>1918</v>
      </c>
      <c r="G9330" s="2" t="str">
        <f>"SR-13067"</f>
        <v>SR-13067</v>
      </c>
      <c r="H9330" s="2" t="s">
        <v>38407</v>
      </c>
      <c r="I9330" s="2" t="s">
        <v>38408</v>
      </c>
      <c r="K9330" s="2" t="s">
        <v>38409</v>
      </c>
      <c r="L9330" s="2" t="s">
        <v>2613</v>
      </c>
      <c r="M9330" s="2">
        <v>83655.0</v>
      </c>
      <c r="N9330" s="2" t="s">
        <v>21</v>
      </c>
    </row>
    <row r="9331" ht="15.75" customHeight="1">
      <c r="A9331" s="2">
        <v>2018.0</v>
      </c>
      <c r="B9331" s="2" t="s">
        <v>38410</v>
      </c>
      <c r="D9331" s="2" t="str">
        <f>""</f>
        <v/>
      </c>
      <c r="E9331" s="2" t="s">
        <v>38411</v>
      </c>
      <c r="F9331" s="2" t="s">
        <v>10618</v>
      </c>
      <c r="G9331" s="2" t="str">
        <f>"SR-13053"</f>
        <v>SR-13053</v>
      </c>
      <c r="H9331" s="2" t="s">
        <v>38412</v>
      </c>
      <c r="N9331" s="2" t="s">
        <v>21</v>
      </c>
    </row>
    <row r="9332" ht="15.75" customHeight="1">
      <c r="A9332" s="2">
        <v>2018.0</v>
      </c>
      <c r="B9332" s="2" t="s">
        <v>38413</v>
      </c>
      <c r="C9332" s="2" t="s">
        <v>38413</v>
      </c>
      <c r="D9332" s="2" t="str">
        <f>"2253268271"</f>
        <v>2253268271</v>
      </c>
      <c r="E9332" s="2" t="s">
        <v>203</v>
      </c>
      <c r="F9332" s="2" t="s">
        <v>38414</v>
      </c>
      <c r="G9332" s="2" t="str">
        <f>"SR-13077"</f>
        <v>SR-13077</v>
      </c>
      <c r="H9332" s="2" t="s">
        <v>38415</v>
      </c>
      <c r="I9332" s="2" t="s">
        <v>38416</v>
      </c>
      <c r="K9332" s="2" t="s">
        <v>7521</v>
      </c>
      <c r="L9332" s="2" t="s">
        <v>715</v>
      </c>
      <c r="M9332" s="2">
        <v>70739.0</v>
      </c>
      <c r="N9332" s="2" t="s">
        <v>21</v>
      </c>
    </row>
    <row r="9333" ht="15.75" customHeight="1">
      <c r="A9333" s="2">
        <v>2018.0</v>
      </c>
      <c r="B9333" s="2" t="s">
        <v>38417</v>
      </c>
      <c r="C9333" s="2" t="s">
        <v>38418</v>
      </c>
      <c r="D9333" s="2" t="str">
        <f>"(530)736-2559"</f>
        <v>(530)736-2559</v>
      </c>
      <c r="E9333" s="2" t="s">
        <v>1239</v>
      </c>
      <c r="F9333" s="2" t="s">
        <v>38419</v>
      </c>
      <c r="G9333" s="2" t="str">
        <f>"SR-13086"</f>
        <v>SR-13086</v>
      </c>
      <c r="H9333" s="2" t="s">
        <v>38420</v>
      </c>
      <c r="I9333" s="2" t="s">
        <v>38421</v>
      </c>
      <c r="K9333" s="2" t="s">
        <v>6707</v>
      </c>
      <c r="L9333" s="2" t="s">
        <v>222</v>
      </c>
      <c r="M9333" s="2">
        <v>96080.0</v>
      </c>
      <c r="N9333" s="2" t="s">
        <v>21</v>
      </c>
    </row>
    <row r="9334" ht="15.75" customHeight="1">
      <c r="A9334" s="2">
        <v>2018.0</v>
      </c>
      <c r="B9334" s="2" t="s">
        <v>15191</v>
      </c>
      <c r="C9334" s="2" t="s">
        <v>15191</v>
      </c>
      <c r="D9334" s="2" t="str">
        <f>"2082671990"</f>
        <v>2082671990</v>
      </c>
      <c r="E9334" s="2" t="s">
        <v>3305</v>
      </c>
      <c r="F9334" s="2" t="s">
        <v>15193</v>
      </c>
      <c r="G9334" s="2" t="str">
        <f>"SR-10297"</f>
        <v>SR-10297</v>
      </c>
      <c r="H9334" s="2" t="s">
        <v>31739</v>
      </c>
      <c r="I9334" s="2" t="s">
        <v>31740</v>
      </c>
      <c r="K9334" s="2" t="s">
        <v>31741</v>
      </c>
      <c r="L9334" s="2" t="s">
        <v>2613</v>
      </c>
      <c r="M9334" s="2">
        <v>83805.0</v>
      </c>
      <c r="N9334" s="2" t="s">
        <v>21</v>
      </c>
    </row>
    <row r="9335" ht="15.75" customHeight="1">
      <c r="A9335" s="2">
        <v>2018.0</v>
      </c>
      <c r="B9335" s="2" t="s">
        <v>23873</v>
      </c>
      <c r="C9335" s="2" t="s">
        <v>38422</v>
      </c>
      <c r="D9335" s="2" t="str">
        <f>"720-833-1468"</f>
        <v>720-833-1468</v>
      </c>
      <c r="E9335" s="2" t="s">
        <v>651</v>
      </c>
      <c r="F9335" s="2" t="s">
        <v>23875</v>
      </c>
      <c r="G9335" s="2" t="str">
        <f>"SR-13087"</f>
        <v>SR-13087</v>
      </c>
      <c r="H9335" s="2" t="s">
        <v>38423</v>
      </c>
      <c r="I9335" s="2" t="s">
        <v>23877</v>
      </c>
      <c r="K9335" s="2" t="s">
        <v>5412</v>
      </c>
      <c r="L9335" s="2" t="s">
        <v>157</v>
      </c>
      <c r="M9335" s="2">
        <v>80135.0</v>
      </c>
      <c r="N9335" s="2" t="s">
        <v>21</v>
      </c>
    </row>
    <row r="9336" ht="15.75" customHeight="1">
      <c r="A9336" s="2">
        <v>2018.0</v>
      </c>
      <c r="B9336" s="2" t="s">
        <v>3104</v>
      </c>
      <c r="C9336" s="2" t="s">
        <v>38424</v>
      </c>
      <c r="D9336" s="2" t="str">
        <f>"6123567407"</f>
        <v>6123567407</v>
      </c>
      <c r="E9336" s="2" t="s">
        <v>38425</v>
      </c>
      <c r="F9336" s="2" t="s">
        <v>3106</v>
      </c>
      <c r="G9336" s="2" t="str">
        <f>"SR-10136"</f>
        <v>SR-10136</v>
      </c>
      <c r="H9336" s="2" t="s">
        <v>38426</v>
      </c>
      <c r="I9336" s="2" t="s">
        <v>38427</v>
      </c>
      <c r="K9336" s="2" t="s">
        <v>3109</v>
      </c>
      <c r="L9336" s="2" t="s">
        <v>62</v>
      </c>
      <c r="M9336" s="2">
        <v>55424.0</v>
      </c>
      <c r="N9336" s="2" t="s">
        <v>21</v>
      </c>
    </row>
    <row r="9337" ht="15.75" customHeight="1">
      <c r="A9337" s="2">
        <v>2018.0</v>
      </c>
      <c r="B9337" s="2" t="s">
        <v>38428</v>
      </c>
      <c r="C9337" s="2" t="s">
        <v>38429</v>
      </c>
      <c r="D9337" s="2" t="str">
        <f>"6023634273"</f>
        <v>6023634273</v>
      </c>
      <c r="E9337" s="2" t="s">
        <v>4501</v>
      </c>
      <c r="F9337" s="2" t="s">
        <v>2319</v>
      </c>
      <c r="G9337" s="2" t="str">
        <f>"SR-13090"</f>
        <v>SR-13090</v>
      </c>
      <c r="H9337" s="2" t="s">
        <v>38430</v>
      </c>
      <c r="I9337" s="2" t="s">
        <v>38431</v>
      </c>
      <c r="K9337" s="2" t="s">
        <v>1133</v>
      </c>
      <c r="L9337" s="2" t="s">
        <v>422</v>
      </c>
      <c r="M9337" s="2">
        <v>85301.0</v>
      </c>
      <c r="N9337" s="2" t="s">
        <v>21</v>
      </c>
    </row>
    <row r="9338" ht="15.75" customHeight="1">
      <c r="A9338" s="2">
        <v>2018.0</v>
      </c>
      <c r="B9338" s="2" t="s">
        <v>38432</v>
      </c>
      <c r="C9338" s="2" t="s">
        <v>38433</v>
      </c>
      <c r="D9338" s="2" t="str">
        <f>"8327077661"</f>
        <v>8327077661</v>
      </c>
      <c r="E9338" s="2" t="s">
        <v>57</v>
      </c>
      <c r="F9338" s="2" t="s">
        <v>37241</v>
      </c>
      <c r="G9338" s="2" t="str">
        <f>"SR-13050"</f>
        <v>SR-13050</v>
      </c>
      <c r="H9338" s="2" t="s">
        <v>38434</v>
      </c>
      <c r="I9338" s="2" t="s">
        <v>38435</v>
      </c>
      <c r="K9338" s="2" t="s">
        <v>444</v>
      </c>
      <c r="L9338" s="2" t="s">
        <v>172</v>
      </c>
      <c r="M9338" s="2">
        <v>77057.0</v>
      </c>
      <c r="N9338" s="2" t="s">
        <v>21</v>
      </c>
    </row>
    <row r="9339" ht="15.75" customHeight="1">
      <c r="A9339" s="2">
        <v>2018.0</v>
      </c>
      <c r="B9339" s="2" t="s">
        <v>25260</v>
      </c>
      <c r="C9339" s="2" t="s">
        <v>38436</v>
      </c>
      <c r="D9339" s="2" t="str">
        <f>"408-763-9448"</f>
        <v>408-763-9448</v>
      </c>
      <c r="E9339" s="2" t="s">
        <v>38437</v>
      </c>
      <c r="F9339" s="2" t="s">
        <v>25262</v>
      </c>
      <c r="G9339" s="2" t="str">
        <f>"SR-13088"</f>
        <v>SR-13088</v>
      </c>
      <c r="H9339" s="2" t="s">
        <v>38438</v>
      </c>
      <c r="I9339" s="2">
        <v>6770.0</v>
      </c>
      <c r="K9339" s="2" t="s">
        <v>25265</v>
      </c>
      <c r="L9339" s="2" t="s">
        <v>222</v>
      </c>
      <c r="M9339" s="2">
        <v>95020.0</v>
      </c>
      <c r="N9339" s="2" t="s">
        <v>21</v>
      </c>
    </row>
    <row r="9340" ht="15.75" customHeight="1">
      <c r="A9340" s="2">
        <v>2018.0</v>
      </c>
      <c r="B9340" s="2" t="s">
        <v>38439</v>
      </c>
      <c r="C9340" s="2" t="s">
        <v>38440</v>
      </c>
      <c r="D9340" s="2" t="str">
        <f>"8057107044"</f>
        <v>8057107044</v>
      </c>
      <c r="E9340" s="2" t="s">
        <v>1548</v>
      </c>
      <c r="F9340" s="2" t="s">
        <v>38441</v>
      </c>
      <c r="G9340" s="2" t="str">
        <f>"SR-12145"</f>
        <v>SR-12145</v>
      </c>
      <c r="H9340" s="2" t="s">
        <v>38442</v>
      </c>
      <c r="I9340" s="2" t="s">
        <v>38443</v>
      </c>
      <c r="K9340" s="2" t="s">
        <v>10864</v>
      </c>
      <c r="L9340" s="2" t="s">
        <v>222</v>
      </c>
      <c r="M9340" s="2">
        <v>93420.0</v>
      </c>
      <c r="N9340" s="2" t="s">
        <v>21</v>
      </c>
    </row>
    <row r="9341" ht="15.75" customHeight="1">
      <c r="A9341" s="2">
        <v>2018.0</v>
      </c>
      <c r="B9341" s="2" t="s">
        <v>38444</v>
      </c>
      <c r="C9341" s="2" t="s">
        <v>38445</v>
      </c>
      <c r="D9341" s="2" t="str">
        <f>"5408409969"</f>
        <v>5408409969</v>
      </c>
      <c r="E9341" s="2" t="s">
        <v>12166</v>
      </c>
      <c r="F9341" s="2" t="s">
        <v>38446</v>
      </c>
      <c r="G9341" s="2" t="str">
        <f>"SR-13095"</f>
        <v>SR-13095</v>
      </c>
      <c r="H9341" s="2" t="s">
        <v>38447</v>
      </c>
      <c r="I9341" s="2" t="s">
        <v>38448</v>
      </c>
      <c r="K9341" s="2" t="s">
        <v>38449</v>
      </c>
      <c r="L9341" s="2" t="s">
        <v>165</v>
      </c>
      <c r="M9341" s="2">
        <v>22553.0</v>
      </c>
      <c r="N9341" s="2" t="s">
        <v>21</v>
      </c>
    </row>
    <row r="9342" ht="15.75" customHeight="1">
      <c r="A9342" s="2">
        <v>2018.0</v>
      </c>
      <c r="B9342" s="2" t="s">
        <v>38450</v>
      </c>
      <c r="C9342" s="2" t="s">
        <v>38451</v>
      </c>
      <c r="D9342" s="2" t="str">
        <f>"720-648-5007"</f>
        <v>720-648-5007</v>
      </c>
      <c r="E9342" s="2" t="s">
        <v>38064</v>
      </c>
      <c r="F9342" s="2" t="s">
        <v>690</v>
      </c>
      <c r="G9342" s="2" t="str">
        <f>"SR-13096"</f>
        <v>SR-13096</v>
      </c>
      <c r="H9342" s="2" t="s">
        <v>38452</v>
      </c>
      <c r="I9342" s="2" t="s">
        <v>38453</v>
      </c>
      <c r="K9342" s="2" t="s">
        <v>1889</v>
      </c>
      <c r="L9342" s="2" t="s">
        <v>157</v>
      </c>
      <c r="M9342" s="2">
        <v>80128.0</v>
      </c>
      <c r="N9342" s="2" t="s">
        <v>21</v>
      </c>
    </row>
    <row r="9343" ht="15.75" customHeight="1">
      <c r="A9343" s="2">
        <v>2018.0</v>
      </c>
      <c r="B9343" s="2" t="s">
        <v>31390</v>
      </c>
      <c r="C9343" s="2" t="s">
        <v>38454</v>
      </c>
      <c r="D9343" s="2" t="str">
        <f>"214-912-9537"</f>
        <v>214-912-9537</v>
      </c>
      <c r="E9343" s="2" t="s">
        <v>5335</v>
      </c>
      <c r="F9343" s="2" t="s">
        <v>5486</v>
      </c>
      <c r="G9343" s="2" t="str">
        <f>"SR-13079"</f>
        <v>SR-13079</v>
      </c>
      <c r="H9343" s="2" t="s">
        <v>38455</v>
      </c>
      <c r="I9343" s="2" t="s">
        <v>38456</v>
      </c>
      <c r="K9343" s="2" t="s">
        <v>1255</v>
      </c>
      <c r="L9343" s="2" t="s">
        <v>172</v>
      </c>
      <c r="M9343" s="2">
        <v>75248.0</v>
      </c>
      <c r="N9343" s="2" t="s">
        <v>21</v>
      </c>
    </row>
    <row r="9344" ht="15.75" customHeight="1">
      <c r="A9344" s="2">
        <v>2018.0</v>
      </c>
      <c r="B9344" s="2" t="s">
        <v>38457</v>
      </c>
      <c r="C9344" s="2" t="s">
        <v>38457</v>
      </c>
      <c r="D9344" s="2" t="str">
        <f>"817-233-5617"</f>
        <v>817-233-5617</v>
      </c>
      <c r="E9344" s="2" t="s">
        <v>440</v>
      </c>
      <c r="F9344" s="2" t="s">
        <v>19823</v>
      </c>
      <c r="G9344" s="2" t="str">
        <f>"SR-13100"</f>
        <v>SR-13100</v>
      </c>
      <c r="H9344" s="2" t="s">
        <v>38458</v>
      </c>
      <c r="I9344" s="2" t="s">
        <v>38459</v>
      </c>
      <c r="K9344" s="2" t="s">
        <v>38460</v>
      </c>
      <c r="L9344" s="2" t="s">
        <v>279</v>
      </c>
      <c r="M9344" s="2">
        <v>37829.0</v>
      </c>
      <c r="N9344" s="2" t="s">
        <v>21</v>
      </c>
    </row>
    <row r="9345" ht="15.75" customHeight="1">
      <c r="A9345" s="2">
        <v>2018.0</v>
      </c>
      <c r="B9345" s="2" t="s">
        <v>20978</v>
      </c>
      <c r="C9345" s="2" t="s">
        <v>20979</v>
      </c>
      <c r="D9345" s="2" t="str">
        <f>"706-339-0582"</f>
        <v>706-339-0582</v>
      </c>
      <c r="E9345" s="2" t="s">
        <v>7498</v>
      </c>
      <c r="F9345" s="2" t="s">
        <v>20980</v>
      </c>
      <c r="G9345" s="2" t="str">
        <f>"SR-6406"</f>
        <v>SR-6406</v>
      </c>
      <c r="H9345" s="2" t="s">
        <v>20981</v>
      </c>
      <c r="I9345" s="2" t="s">
        <v>20982</v>
      </c>
      <c r="K9345" s="2" t="s">
        <v>199</v>
      </c>
      <c r="L9345" s="2" t="s">
        <v>200</v>
      </c>
      <c r="M9345" s="2">
        <v>30907.0</v>
      </c>
      <c r="N9345" s="2" t="s">
        <v>21</v>
      </c>
    </row>
    <row r="9346" ht="15.75" customHeight="1">
      <c r="A9346" s="2">
        <v>2018.0</v>
      </c>
      <c r="B9346" s="2" t="s">
        <v>38461</v>
      </c>
      <c r="C9346" s="2" t="s">
        <v>38462</v>
      </c>
      <c r="D9346" s="2" t="str">
        <f>"9126606433"</f>
        <v>9126606433</v>
      </c>
      <c r="E9346" s="2" t="s">
        <v>843</v>
      </c>
      <c r="F9346" s="2" t="s">
        <v>10622</v>
      </c>
      <c r="G9346" s="2" t="str">
        <f>"SR-13102"</f>
        <v>SR-13102</v>
      </c>
      <c r="H9346" s="2" t="s">
        <v>10623</v>
      </c>
      <c r="I9346" s="2" t="s">
        <v>10650</v>
      </c>
      <c r="K9346" s="2" t="s">
        <v>1239</v>
      </c>
      <c r="L9346" s="2" t="s">
        <v>200</v>
      </c>
      <c r="M9346" s="2">
        <v>31406.0</v>
      </c>
      <c r="N9346" s="2" t="s">
        <v>21</v>
      </c>
    </row>
    <row r="9347" ht="15.75" customHeight="1">
      <c r="A9347" s="2">
        <v>2018.0</v>
      </c>
      <c r="B9347" s="2" t="s">
        <v>38461</v>
      </c>
      <c r="C9347" s="2" t="s">
        <v>38461</v>
      </c>
      <c r="D9347" s="2" t="str">
        <f>"9126635458"</f>
        <v>9126635458</v>
      </c>
      <c r="E9347" s="2" t="s">
        <v>261</v>
      </c>
      <c r="F9347" s="2" t="s">
        <v>10622</v>
      </c>
      <c r="G9347" s="2" t="str">
        <f>"SR-13106"</f>
        <v>SR-13106</v>
      </c>
      <c r="H9347" s="2" t="s">
        <v>38463</v>
      </c>
      <c r="I9347" s="2" t="s">
        <v>23179</v>
      </c>
      <c r="K9347" s="2" t="s">
        <v>1239</v>
      </c>
      <c r="L9347" s="2" t="s">
        <v>200</v>
      </c>
      <c r="M9347" s="2">
        <v>31406.0</v>
      </c>
      <c r="N9347" s="2" t="s">
        <v>21</v>
      </c>
    </row>
    <row r="9348" ht="15.75" customHeight="1">
      <c r="A9348" s="2">
        <v>2018.0</v>
      </c>
      <c r="B9348" s="2" t="s">
        <v>24119</v>
      </c>
      <c r="C9348" s="2" t="s">
        <v>24196</v>
      </c>
      <c r="D9348" s="2" t="str">
        <f>"8585768586"</f>
        <v>8585768586</v>
      </c>
      <c r="E9348" s="2" t="s">
        <v>843</v>
      </c>
      <c r="F9348" s="2" t="s">
        <v>24121</v>
      </c>
      <c r="G9348" s="2" t="str">
        <f>"SR-7629"</f>
        <v>SR-7629</v>
      </c>
      <c r="H9348" s="2" t="s">
        <v>24197</v>
      </c>
      <c r="I9348" s="2" t="s">
        <v>24123</v>
      </c>
      <c r="K9348" s="2" t="s">
        <v>8250</v>
      </c>
      <c r="L9348" s="2" t="s">
        <v>222</v>
      </c>
      <c r="M9348" s="2">
        <v>92124.0</v>
      </c>
      <c r="N9348" s="2" t="s">
        <v>21</v>
      </c>
    </row>
    <row r="9349" ht="15.75" customHeight="1">
      <c r="A9349" s="2">
        <v>2018.0</v>
      </c>
      <c r="B9349" s="2" t="s">
        <v>37810</v>
      </c>
      <c r="C9349" s="2" t="s">
        <v>38464</v>
      </c>
      <c r="D9349" s="2" t="str">
        <f>"970-584-8507"</f>
        <v>970-584-8507</v>
      </c>
      <c r="E9349" s="2" t="s">
        <v>678</v>
      </c>
      <c r="F9349" s="2" t="s">
        <v>1555</v>
      </c>
      <c r="G9349" s="2" t="str">
        <f>"SR-13107"</f>
        <v>SR-13107</v>
      </c>
      <c r="H9349" s="2" t="s">
        <v>38465</v>
      </c>
      <c r="I9349" s="2" t="s">
        <v>37813</v>
      </c>
      <c r="K9349" s="2" t="s">
        <v>1558</v>
      </c>
      <c r="L9349" s="2" t="s">
        <v>157</v>
      </c>
      <c r="M9349" s="2">
        <v>80634.0</v>
      </c>
      <c r="N9349" s="2" t="s">
        <v>21</v>
      </c>
    </row>
    <row r="9350" ht="15.75" customHeight="1">
      <c r="A9350" s="2">
        <v>2018.0</v>
      </c>
      <c r="B9350" s="2" t="s">
        <v>38466</v>
      </c>
      <c r="C9350" s="2" t="s">
        <v>38466</v>
      </c>
      <c r="D9350" s="2" t="str">
        <f>"915-857-7767"</f>
        <v>915-857-7767</v>
      </c>
      <c r="E9350" s="2" t="s">
        <v>29070</v>
      </c>
      <c r="F9350" s="2" t="s">
        <v>38467</v>
      </c>
      <c r="G9350" s="2" t="str">
        <f>"SR-13108"</f>
        <v>SR-13108</v>
      </c>
      <c r="H9350" s="2" t="s">
        <v>38468</v>
      </c>
      <c r="I9350" s="2" t="s">
        <v>38469</v>
      </c>
      <c r="K9350" s="2" t="s">
        <v>38470</v>
      </c>
      <c r="L9350" s="2" t="s">
        <v>172</v>
      </c>
      <c r="M9350" s="2">
        <v>79938.0</v>
      </c>
      <c r="N9350" s="2" t="s">
        <v>21</v>
      </c>
    </row>
    <row r="9351" ht="15.75" customHeight="1">
      <c r="A9351" s="2">
        <v>2018.0</v>
      </c>
      <c r="B9351" s="2" t="s">
        <v>38471</v>
      </c>
      <c r="C9351" s="2" t="s">
        <v>38472</v>
      </c>
      <c r="D9351" s="2" t="str">
        <f>"2253288701"</f>
        <v>2253288701</v>
      </c>
      <c r="E9351" s="2" t="s">
        <v>100</v>
      </c>
      <c r="F9351" s="2" t="s">
        <v>15501</v>
      </c>
      <c r="G9351" s="2" t="str">
        <f>"SR-13103"</f>
        <v>SR-13103</v>
      </c>
      <c r="H9351" s="2" t="s">
        <v>38473</v>
      </c>
      <c r="I9351" s="2" t="s">
        <v>38474</v>
      </c>
      <c r="K9351" s="2" t="s">
        <v>3654</v>
      </c>
      <c r="L9351" s="2" t="s">
        <v>715</v>
      </c>
      <c r="M9351" s="2">
        <v>70808.0</v>
      </c>
      <c r="N9351" s="2" t="s">
        <v>21</v>
      </c>
    </row>
    <row r="9352" ht="15.75" customHeight="1">
      <c r="A9352" s="2">
        <v>2018.0</v>
      </c>
      <c r="B9352" s="2" t="s">
        <v>38466</v>
      </c>
      <c r="C9352" s="2" t="s">
        <v>38475</v>
      </c>
      <c r="D9352" s="2" t="str">
        <f>"9158577767"</f>
        <v>9158577767</v>
      </c>
      <c r="E9352" s="2" t="s">
        <v>6949</v>
      </c>
      <c r="F9352" s="2" t="s">
        <v>38467</v>
      </c>
      <c r="G9352" s="2" t="str">
        <f>"SR-13109"</f>
        <v>SR-13109</v>
      </c>
      <c r="H9352" s="2" t="s">
        <v>38476</v>
      </c>
      <c r="I9352" s="2" t="s">
        <v>38469</v>
      </c>
      <c r="K9352" s="2" t="s">
        <v>38470</v>
      </c>
      <c r="L9352" s="2" t="s">
        <v>172</v>
      </c>
      <c r="M9352" s="2">
        <v>79938.0</v>
      </c>
      <c r="N9352" s="2" t="s">
        <v>21</v>
      </c>
    </row>
    <row r="9353" ht="15.75" customHeight="1">
      <c r="A9353" s="2">
        <v>2018.0</v>
      </c>
      <c r="B9353" s="2" t="s">
        <v>38477</v>
      </c>
      <c r="C9353" s="2" t="s">
        <v>38478</v>
      </c>
      <c r="D9353" s="2" t="str">
        <f>"3184163768"</f>
        <v>3184163768</v>
      </c>
      <c r="E9353" s="2" t="s">
        <v>562</v>
      </c>
      <c r="F9353" s="2" t="s">
        <v>38479</v>
      </c>
      <c r="G9353" s="2" t="str">
        <f>"SR-13110"</f>
        <v>SR-13110</v>
      </c>
      <c r="H9353" s="2" t="s">
        <v>38480</v>
      </c>
      <c r="I9353" s="2" t="s">
        <v>38481</v>
      </c>
      <c r="K9353" s="2" t="s">
        <v>3654</v>
      </c>
      <c r="L9353" s="2" t="s">
        <v>715</v>
      </c>
      <c r="M9353" s="2">
        <v>70808.0</v>
      </c>
      <c r="N9353" s="2" t="s">
        <v>21</v>
      </c>
    </row>
    <row r="9354" ht="15.75" customHeight="1">
      <c r="A9354" s="2">
        <v>2018.0</v>
      </c>
      <c r="B9354" s="2" t="s">
        <v>38482</v>
      </c>
      <c r="C9354" s="2" t="s">
        <v>38483</v>
      </c>
      <c r="D9354" s="2" t="str">
        <f>"304-258-3988"</f>
        <v>304-258-3988</v>
      </c>
      <c r="E9354" s="2" t="s">
        <v>25261</v>
      </c>
      <c r="F9354" s="2" t="s">
        <v>38484</v>
      </c>
      <c r="G9354" s="2" t="str">
        <f>"SR-13112"</f>
        <v>SR-13112</v>
      </c>
      <c r="H9354" s="2" t="s">
        <v>38485</v>
      </c>
      <c r="I9354" s="2" t="s">
        <v>38486</v>
      </c>
      <c r="K9354" s="2" t="s">
        <v>38487</v>
      </c>
      <c r="L9354" s="2" t="s">
        <v>6449</v>
      </c>
      <c r="M9354" s="2">
        <v>25411.0</v>
      </c>
      <c r="N9354" s="2" t="s">
        <v>21</v>
      </c>
    </row>
    <row r="9355" ht="15.75" customHeight="1">
      <c r="A9355" s="2">
        <v>2018.0</v>
      </c>
      <c r="B9355" s="2" t="s">
        <v>38488</v>
      </c>
      <c r="C9355" s="2" t="s">
        <v>38489</v>
      </c>
      <c r="D9355" s="2" t="str">
        <f>"2818256187"</f>
        <v>2818256187</v>
      </c>
      <c r="E9355" s="2" t="s">
        <v>4990</v>
      </c>
      <c r="F9355" s="2" t="s">
        <v>38490</v>
      </c>
      <c r="G9355" s="2" t="str">
        <f>"SR-13061"</f>
        <v>SR-13061</v>
      </c>
      <c r="H9355" s="2" t="s">
        <v>38491</v>
      </c>
      <c r="I9355" s="2" t="s">
        <v>38492</v>
      </c>
      <c r="K9355" s="2" t="s">
        <v>4350</v>
      </c>
      <c r="L9355" s="2" t="s">
        <v>172</v>
      </c>
      <c r="M9355" s="2">
        <v>77377.0</v>
      </c>
      <c r="N9355" s="2" t="s">
        <v>21</v>
      </c>
    </row>
    <row r="9356" ht="15.75" customHeight="1">
      <c r="A9356" s="2">
        <v>2018.0</v>
      </c>
      <c r="B9356" s="2" t="s">
        <v>35879</v>
      </c>
      <c r="C9356" s="2" t="s">
        <v>38493</v>
      </c>
      <c r="D9356" s="2" t="str">
        <f>"5036868840"</f>
        <v>5036868840</v>
      </c>
      <c r="E9356" s="2" t="s">
        <v>1288</v>
      </c>
      <c r="F9356" s="2" t="s">
        <v>35881</v>
      </c>
      <c r="G9356" s="2" t="str">
        <f>"SR-13117"</f>
        <v>SR-13117</v>
      </c>
      <c r="H9356" s="2" t="s">
        <v>38494</v>
      </c>
      <c r="I9356" s="2" t="s">
        <v>35883</v>
      </c>
      <c r="K9356" s="2" t="s">
        <v>21625</v>
      </c>
      <c r="L9356" s="2" t="s">
        <v>2389</v>
      </c>
      <c r="M9356" s="2">
        <v>97055.0</v>
      </c>
      <c r="N9356" s="2" t="s">
        <v>21</v>
      </c>
    </row>
    <row r="9357" ht="15.75" customHeight="1">
      <c r="A9357" s="2">
        <v>2018.0</v>
      </c>
      <c r="B9357" s="2" t="s">
        <v>38495</v>
      </c>
      <c r="C9357" s="2" t="s">
        <v>38495</v>
      </c>
      <c r="D9357" s="2" t="str">
        <f>"2253012296"</f>
        <v>2253012296</v>
      </c>
      <c r="E9357" s="2" t="s">
        <v>9496</v>
      </c>
      <c r="F9357" s="2" t="s">
        <v>1533</v>
      </c>
      <c r="G9357" s="2" t="str">
        <f>"SR-13114"</f>
        <v>SR-13114</v>
      </c>
      <c r="H9357" s="2" t="s">
        <v>38496</v>
      </c>
      <c r="I9357" s="2" t="s">
        <v>38497</v>
      </c>
      <c r="K9357" s="2" t="s">
        <v>22178</v>
      </c>
      <c r="L9357" s="2" t="s">
        <v>715</v>
      </c>
      <c r="M9357" s="2">
        <v>70777.0</v>
      </c>
      <c r="N9357" s="2" t="s">
        <v>21</v>
      </c>
    </row>
    <row r="9358" ht="15.75" customHeight="1">
      <c r="A9358" s="2">
        <v>2018.0</v>
      </c>
      <c r="B9358" s="2" t="s">
        <v>38498</v>
      </c>
      <c r="C9358" s="2" t="s">
        <v>38498</v>
      </c>
      <c r="D9358" s="2" t="str">
        <f>"913-298-9657"</f>
        <v>913-298-9657</v>
      </c>
      <c r="E9358" s="2" t="s">
        <v>8693</v>
      </c>
      <c r="F9358" s="2" t="s">
        <v>6696</v>
      </c>
      <c r="G9358" s="2" t="str">
        <f>"SR-12171"</f>
        <v>SR-12171</v>
      </c>
      <c r="H9358" s="2" t="s">
        <v>38499</v>
      </c>
      <c r="I9358" s="2" t="s">
        <v>38500</v>
      </c>
      <c r="K9358" s="2" t="s">
        <v>1814</v>
      </c>
      <c r="L9358" s="2" t="s">
        <v>272</v>
      </c>
      <c r="M9358" s="2">
        <v>66109.0</v>
      </c>
      <c r="N9358" s="2" t="s">
        <v>21</v>
      </c>
    </row>
    <row r="9359" ht="15.75" customHeight="1">
      <c r="A9359" s="2">
        <v>2018.0</v>
      </c>
      <c r="B9359" s="2" t="s">
        <v>25260</v>
      </c>
      <c r="D9359" s="2" t="str">
        <f>"4087225431"</f>
        <v>4087225431</v>
      </c>
      <c r="E9359" s="2" t="s">
        <v>25261</v>
      </c>
      <c r="F9359" s="2" t="s">
        <v>25262</v>
      </c>
      <c r="G9359" s="2" t="str">
        <f>"SR-7509"</f>
        <v>SR-7509</v>
      </c>
      <c r="H9359" s="2" t="s">
        <v>25263</v>
      </c>
      <c r="I9359" s="2" t="s">
        <v>25264</v>
      </c>
      <c r="K9359" s="2" t="s">
        <v>25265</v>
      </c>
      <c r="L9359" s="2" t="s">
        <v>222</v>
      </c>
      <c r="M9359" s="2">
        <v>95020.0</v>
      </c>
      <c r="N9359" s="2" t="s">
        <v>21</v>
      </c>
    </row>
    <row r="9360" ht="15.75" customHeight="1">
      <c r="A9360" s="2">
        <v>2018.0</v>
      </c>
      <c r="B9360" s="2" t="s">
        <v>38501</v>
      </c>
      <c r="C9360" s="2" t="s">
        <v>38502</v>
      </c>
      <c r="D9360" s="2" t="str">
        <f>"717-419-1385"</f>
        <v>717-419-1385</v>
      </c>
      <c r="E9360" s="2" t="s">
        <v>562</v>
      </c>
      <c r="F9360" s="2" t="s">
        <v>38503</v>
      </c>
      <c r="G9360" s="2" t="str">
        <f>"SR-13122"</f>
        <v>SR-13122</v>
      </c>
      <c r="H9360" s="2" t="s">
        <v>38504</v>
      </c>
      <c r="I9360" s="2" t="s">
        <v>38505</v>
      </c>
      <c r="K9360" s="2" t="s">
        <v>7640</v>
      </c>
      <c r="L9360" s="2" t="s">
        <v>179</v>
      </c>
      <c r="M9360" s="2">
        <v>17543.0</v>
      </c>
      <c r="N9360" s="2" t="s">
        <v>21</v>
      </c>
    </row>
    <row r="9361" ht="15.75" customHeight="1">
      <c r="A9361" s="2">
        <v>2018.0</v>
      </c>
      <c r="B9361" s="2" t="s">
        <v>38506</v>
      </c>
      <c r="C9361" s="2" t="s">
        <v>38507</v>
      </c>
      <c r="D9361" s="2" t="str">
        <f>"4078852958"</f>
        <v>4078852958</v>
      </c>
      <c r="E9361" s="2" t="s">
        <v>38508</v>
      </c>
      <c r="F9361" s="2" t="s">
        <v>3028</v>
      </c>
      <c r="G9361" s="2" t="str">
        <f>"SR-13120"</f>
        <v>SR-13120</v>
      </c>
      <c r="H9361" s="2" t="s">
        <v>38509</v>
      </c>
      <c r="I9361" s="2" t="s">
        <v>38510</v>
      </c>
      <c r="K9361" s="2" t="s">
        <v>3182</v>
      </c>
      <c r="L9361" s="2" t="s">
        <v>208</v>
      </c>
      <c r="M9361" s="2">
        <v>34786.0</v>
      </c>
      <c r="N9361" s="2" t="s">
        <v>21</v>
      </c>
    </row>
    <row r="9362" ht="15.75" customHeight="1">
      <c r="A9362" s="2">
        <v>2018.0</v>
      </c>
      <c r="B9362" s="2" t="s">
        <v>25890</v>
      </c>
      <c r="C9362" s="2" t="s">
        <v>38511</v>
      </c>
      <c r="D9362" s="2" t="str">
        <f>"317-430-1956"</f>
        <v>317-430-1956</v>
      </c>
      <c r="E9362" s="2" t="s">
        <v>10981</v>
      </c>
      <c r="F9362" s="2" t="s">
        <v>25891</v>
      </c>
      <c r="G9362" s="2" t="str">
        <f>"SR-13084"</f>
        <v>SR-13084</v>
      </c>
      <c r="H9362" s="2" t="s">
        <v>38512</v>
      </c>
      <c r="I9362" s="2" t="s">
        <v>38513</v>
      </c>
      <c r="K9362" s="2" t="s">
        <v>35372</v>
      </c>
      <c r="L9362" s="2" t="s">
        <v>149</v>
      </c>
      <c r="M9362" s="2">
        <v>46123.0</v>
      </c>
      <c r="N9362" s="2" t="s">
        <v>21</v>
      </c>
    </row>
    <row r="9363" ht="15.75" customHeight="1">
      <c r="A9363" s="2">
        <v>2018.0</v>
      </c>
      <c r="B9363" s="2" t="s">
        <v>38514</v>
      </c>
      <c r="C9363" s="2" t="s">
        <v>38515</v>
      </c>
      <c r="D9363" s="2" t="str">
        <f>"16315433935"</f>
        <v>16315433935</v>
      </c>
      <c r="E9363" s="2" t="s">
        <v>188</v>
      </c>
      <c r="F9363" s="2" t="s">
        <v>5542</v>
      </c>
      <c r="G9363" s="2" t="str">
        <f>"SR-13070"</f>
        <v>SR-13070</v>
      </c>
      <c r="H9363" s="2" t="s">
        <v>38516</v>
      </c>
      <c r="I9363" s="2" t="s">
        <v>38517</v>
      </c>
      <c r="K9363" s="2" t="s">
        <v>38518</v>
      </c>
      <c r="L9363" s="2" t="s">
        <v>142</v>
      </c>
      <c r="M9363" s="2">
        <v>11725.0</v>
      </c>
      <c r="N9363" s="2" t="s">
        <v>21</v>
      </c>
    </row>
    <row r="9364" ht="15.75" customHeight="1">
      <c r="A9364" s="2">
        <v>2018.0</v>
      </c>
      <c r="B9364" s="2" t="s">
        <v>38519</v>
      </c>
      <c r="C9364" s="2" t="s">
        <v>38519</v>
      </c>
      <c r="D9364" s="2" t="str">
        <f>"6314187371"</f>
        <v>6314187371</v>
      </c>
      <c r="E9364" s="2" t="s">
        <v>38520</v>
      </c>
      <c r="F9364" s="2" t="s">
        <v>38521</v>
      </c>
      <c r="G9364" s="2" t="str">
        <f>"SR-13091"</f>
        <v>SR-13091</v>
      </c>
      <c r="H9364" s="2" t="s">
        <v>38522</v>
      </c>
      <c r="I9364" s="2" t="s">
        <v>38523</v>
      </c>
      <c r="K9364" s="2" t="s">
        <v>38524</v>
      </c>
      <c r="L9364" s="2" t="s">
        <v>142</v>
      </c>
      <c r="M9364" s="2">
        <v>11746.0</v>
      </c>
      <c r="N9364" s="2" t="s">
        <v>21</v>
      </c>
    </row>
    <row r="9365" ht="15.75" customHeight="1">
      <c r="A9365" s="2">
        <v>2018.0</v>
      </c>
      <c r="B9365" s="2" t="s">
        <v>38525</v>
      </c>
      <c r="C9365" s="2" t="s">
        <v>38525</v>
      </c>
      <c r="D9365" s="2" t="str">
        <f>"615-886-0649"</f>
        <v>615-886-0649</v>
      </c>
      <c r="E9365" s="2" t="s">
        <v>20862</v>
      </c>
      <c r="F9365" s="2" t="s">
        <v>9835</v>
      </c>
      <c r="G9365" s="2" t="str">
        <f>"SR-13125"</f>
        <v>SR-13125</v>
      </c>
      <c r="H9365" s="2" t="s">
        <v>38526</v>
      </c>
      <c r="I9365" s="2" t="s">
        <v>38527</v>
      </c>
      <c r="K9365" s="2" t="s">
        <v>278</v>
      </c>
      <c r="L9365" s="2" t="s">
        <v>279</v>
      </c>
      <c r="M9365" s="2">
        <v>37064.0</v>
      </c>
      <c r="N9365" s="2" t="s">
        <v>21</v>
      </c>
    </row>
    <row r="9366" ht="15.75" customHeight="1">
      <c r="A9366" s="2">
        <v>2018.0</v>
      </c>
      <c r="B9366" s="2" t="s">
        <v>36007</v>
      </c>
      <c r="D9366" s="2" t="str">
        <f>"901-267-2552"</f>
        <v>901-267-2552</v>
      </c>
      <c r="E9366" s="2" t="s">
        <v>36008</v>
      </c>
      <c r="F9366" s="2" t="s">
        <v>15519</v>
      </c>
      <c r="G9366" s="2" t="str">
        <f>"SR-11604"</f>
        <v>SR-11604</v>
      </c>
      <c r="H9366" s="2" t="s">
        <v>36009</v>
      </c>
      <c r="I9366" s="2" t="s">
        <v>36010</v>
      </c>
      <c r="K9366" s="2" t="s">
        <v>5437</v>
      </c>
      <c r="L9366" s="2" t="s">
        <v>279</v>
      </c>
      <c r="M9366" s="2">
        <v>38135.0</v>
      </c>
      <c r="N9366" s="2" t="s">
        <v>21</v>
      </c>
    </row>
    <row r="9367" ht="15.75" customHeight="1">
      <c r="A9367" s="2">
        <v>2018.0</v>
      </c>
      <c r="B9367" s="2" t="s">
        <v>32595</v>
      </c>
      <c r="C9367" s="2" t="s">
        <v>32596</v>
      </c>
      <c r="D9367" s="2" t="str">
        <f>"8064181809"</f>
        <v>8064181809</v>
      </c>
      <c r="E9367" s="2" t="s">
        <v>678</v>
      </c>
      <c r="F9367" s="2" t="s">
        <v>32597</v>
      </c>
      <c r="G9367" s="2" t="str">
        <f>"SR-10274"</f>
        <v>SR-10274</v>
      </c>
      <c r="H9367" s="2" t="s">
        <v>32598</v>
      </c>
      <c r="I9367" s="2" t="s">
        <v>32599</v>
      </c>
      <c r="K9367" s="2" t="s">
        <v>32600</v>
      </c>
      <c r="L9367" s="2" t="s">
        <v>279</v>
      </c>
      <c r="M9367" s="2">
        <v>37763.0</v>
      </c>
      <c r="N9367" s="2" t="s">
        <v>21</v>
      </c>
    </row>
    <row r="9368" ht="15.75" customHeight="1">
      <c r="A9368" s="2">
        <v>2018.0</v>
      </c>
      <c r="B9368" s="2" t="s">
        <v>38528</v>
      </c>
      <c r="C9368" s="2" t="s">
        <v>38529</v>
      </c>
      <c r="D9368" s="2" t="str">
        <f>"4343633174"</f>
        <v>4343633174</v>
      </c>
      <c r="E9368" s="2" t="s">
        <v>1803</v>
      </c>
      <c r="F9368" s="2" t="s">
        <v>3561</v>
      </c>
      <c r="G9368" s="2" t="str">
        <f>"SR-13126"</f>
        <v>SR-13126</v>
      </c>
      <c r="H9368" s="2" t="s">
        <v>38530</v>
      </c>
      <c r="I9368" s="2" t="s">
        <v>38531</v>
      </c>
      <c r="K9368" s="2" t="s">
        <v>4126</v>
      </c>
      <c r="L9368" s="2" t="s">
        <v>165</v>
      </c>
      <c r="M9368" s="2">
        <v>24502.0</v>
      </c>
      <c r="N9368" s="2" t="s">
        <v>21</v>
      </c>
    </row>
    <row r="9369" ht="15.75" customHeight="1">
      <c r="A9369" s="2">
        <v>2018.0</v>
      </c>
      <c r="B9369" s="2" t="s">
        <v>30461</v>
      </c>
      <c r="C9369" s="2" t="s">
        <v>30462</v>
      </c>
      <c r="D9369" s="2" t="str">
        <f t="shared" ref="D9369:D9370" si="154">"3105393736"</f>
        <v>3105393736</v>
      </c>
      <c r="E9369" s="2" t="s">
        <v>2309</v>
      </c>
      <c r="F9369" s="2" t="s">
        <v>30463</v>
      </c>
      <c r="G9369" s="2" t="str">
        <f>"SR-9589"</f>
        <v>SR-9589</v>
      </c>
      <c r="H9369" s="2" t="s">
        <v>30464</v>
      </c>
      <c r="I9369" s="2" t="s">
        <v>30465</v>
      </c>
      <c r="K9369" s="2" t="s">
        <v>5955</v>
      </c>
      <c r="L9369" s="2" t="s">
        <v>222</v>
      </c>
      <c r="M9369" s="2">
        <v>90501.0</v>
      </c>
      <c r="N9369" s="2" t="s">
        <v>21</v>
      </c>
    </row>
    <row r="9370" ht="15.75" customHeight="1">
      <c r="A9370" s="2">
        <v>2018.0</v>
      </c>
      <c r="B9370" s="2" t="s">
        <v>30461</v>
      </c>
      <c r="C9370" s="2" t="s">
        <v>38532</v>
      </c>
      <c r="D9370" s="2" t="str">
        <f t="shared" si="154"/>
        <v>3105393736</v>
      </c>
      <c r="E9370" s="2" t="s">
        <v>3400</v>
      </c>
      <c r="F9370" s="2" t="s">
        <v>30463</v>
      </c>
      <c r="G9370" s="2" t="str">
        <f>"SR-13094"</f>
        <v>SR-13094</v>
      </c>
      <c r="H9370" s="2" t="s">
        <v>38533</v>
      </c>
      <c r="I9370" s="2" t="s">
        <v>30465</v>
      </c>
      <c r="K9370" s="2" t="s">
        <v>5955</v>
      </c>
      <c r="L9370" s="2" t="s">
        <v>222</v>
      </c>
      <c r="M9370" s="2">
        <v>90501.0</v>
      </c>
      <c r="N9370" s="2" t="s">
        <v>21</v>
      </c>
    </row>
    <row r="9371" ht="15.75" customHeight="1">
      <c r="A9371" s="2">
        <v>2018.0</v>
      </c>
      <c r="B9371" s="2" t="s">
        <v>38534</v>
      </c>
      <c r="C9371" s="2" t="s">
        <v>38535</v>
      </c>
      <c r="D9371" s="2" t="str">
        <f>"8164684603"</f>
        <v>8164684603</v>
      </c>
      <c r="E9371" s="2" t="s">
        <v>326</v>
      </c>
      <c r="F9371" s="2" t="s">
        <v>38536</v>
      </c>
      <c r="G9371" s="2" t="str">
        <f>"SR-13129"</f>
        <v>SR-13129</v>
      </c>
      <c r="H9371" s="2" t="s">
        <v>38537</v>
      </c>
      <c r="I9371" s="2" t="s">
        <v>38538</v>
      </c>
      <c r="K9371" s="2" t="s">
        <v>1814</v>
      </c>
      <c r="L9371" s="2" t="s">
        <v>214</v>
      </c>
      <c r="M9371" s="2">
        <v>64155.0</v>
      </c>
      <c r="N9371" s="2" t="s">
        <v>21</v>
      </c>
    </row>
    <row r="9372" ht="15.75" customHeight="1">
      <c r="A9372" s="2">
        <v>2018.0</v>
      </c>
      <c r="B9372" s="2" t="s">
        <v>23665</v>
      </c>
      <c r="C9372" s="2" t="s">
        <v>38539</v>
      </c>
      <c r="D9372" s="2" t="str">
        <f>"7817740564"</f>
        <v>7817740564</v>
      </c>
      <c r="E9372" s="2" t="s">
        <v>38540</v>
      </c>
      <c r="F9372" s="2" t="s">
        <v>38541</v>
      </c>
      <c r="G9372" s="2" t="str">
        <f>"SR-13089"</f>
        <v>SR-13089</v>
      </c>
      <c r="H9372" s="2" t="s">
        <v>38542</v>
      </c>
      <c r="I9372" s="2" t="s">
        <v>38543</v>
      </c>
      <c r="J9372" s="2" t="s">
        <v>38544</v>
      </c>
      <c r="K9372" s="2" t="s">
        <v>11963</v>
      </c>
      <c r="L9372" s="2" t="s">
        <v>4108</v>
      </c>
      <c r="M9372" s="2">
        <v>2021.0</v>
      </c>
      <c r="N9372" s="2" t="s">
        <v>21</v>
      </c>
    </row>
    <row r="9373" ht="15.75" customHeight="1">
      <c r="A9373" s="2">
        <v>2018.0</v>
      </c>
      <c r="B9373" s="2" t="s">
        <v>38545</v>
      </c>
      <c r="C9373" s="2" t="s">
        <v>38545</v>
      </c>
      <c r="D9373" s="2" t="str">
        <f>"5403361053"</f>
        <v>5403361053</v>
      </c>
      <c r="E9373" s="2" t="s">
        <v>38546</v>
      </c>
      <c r="F9373" s="2" t="s">
        <v>38547</v>
      </c>
      <c r="G9373" s="2" t="str">
        <f>"SR-13132"</f>
        <v>SR-13132</v>
      </c>
      <c r="H9373" s="2" t="s">
        <v>38548</v>
      </c>
      <c r="I9373" s="2" t="s">
        <v>38549</v>
      </c>
      <c r="K9373" s="2" t="s">
        <v>38550</v>
      </c>
      <c r="L9373" s="2" t="s">
        <v>165</v>
      </c>
      <c r="M9373" s="2">
        <v>22655.0</v>
      </c>
      <c r="N9373" s="2" t="s">
        <v>21</v>
      </c>
    </row>
    <row r="9374" ht="15.75" customHeight="1">
      <c r="A9374" s="2">
        <v>2018.0</v>
      </c>
      <c r="B9374" s="2" t="s">
        <v>38551</v>
      </c>
      <c r="C9374" s="2" t="s">
        <v>38552</v>
      </c>
      <c r="D9374" s="2" t="str">
        <f>"4694384079"</f>
        <v>4694384079</v>
      </c>
      <c r="E9374" s="2" t="s">
        <v>4300</v>
      </c>
      <c r="F9374" s="2" t="s">
        <v>2972</v>
      </c>
      <c r="G9374" s="2" t="str">
        <f>"SR-13133"</f>
        <v>SR-13133</v>
      </c>
      <c r="H9374" s="2" t="s">
        <v>38553</v>
      </c>
      <c r="I9374" s="2" t="s">
        <v>38554</v>
      </c>
      <c r="K9374" s="2" t="s">
        <v>357</v>
      </c>
      <c r="L9374" s="2" t="s">
        <v>172</v>
      </c>
      <c r="M9374" s="2">
        <v>75074.0</v>
      </c>
      <c r="N9374" s="2" t="s">
        <v>21</v>
      </c>
    </row>
    <row r="9375" ht="15.75" customHeight="1">
      <c r="A9375" s="2">
        <v>2018.0</v>
      </c>
      <c r="B9375" s="2" t="s">
        <v>38555</v>
      </c>
      <c r="C9375" s="2" t="s">
        <v>38556</v>
      </c>
      <c r="D9375" s="2" t="str">
        <f>"2255710200"</f>
        <v>2255710200</v>
      </c>
      <c r="E9375" s="2" t="s">
        <v>908</v>
      </c>
      <c r="F9375" s="2" t="s">
        <v>38557</v>
      </c>
      <c r="G9375" s="2" t="str">
        <f>"SR-13093"</f>
        <v>SR-13093</v>
      </c>
      <c r="H9375" s="2" t="s">
        <v>38558</v>
      </c>
      <c r="I9375" s="2" t="s">
        <v>38559</v>
      </c>
      <c r="K9375" s="2" t="s">
        <v>7521</v>
      </c>
      <c r="L9375" s="2" t="s">
        <v>715</v>
      </c>
      <c r="M9375" s="2">
        <v>70739.0</v>
      </c>
      <c r="N9375" s="2" t="s">
        <v>21</v>
      </c>
    </row>
    <row r="9376" ht="15.75" customHeight="1">
      <c r="A9376" s="2">
        <v>2018.0</v>
      </c>
      <c r="B9376" s="2" t="s">
        <v>38560</v>
      </c>
      <c r="C9376" s="2" t="s">
        <v>38560</v>
      </c>
      <c r="D9376" s="2" t="str">
        <f>"7194477180"</f>
        <v>7194477180</v>
      </c>
      <c r="E9376" s="2" t="s">
        <v>16852</v>
      </c>
      <c r="F9376" s="2" t="s">
        <v>2936</v>
      </c>
      <c r="G9376" s="2" t="str">
        <f>"SR-13142"</f>
        <v>SR-13142</v>
      </c>
      <c r="H9376" s="2" t="s">
        <v>38561</v>
      </c>
      <c r="I9376" s="2" t="s">
        <v>2938</v>
      </c>
      <c r="K9376" s="2" t="s">
        <v>809</v>
      </c>
      <c r="L9376" s="2" t="s">
        <v>157</v>
      </c>
      <c r="M9376" s="2">
        <v>80920.0</v>
      </c>
      <c r="N9376" s="2" t="s">
        <v>21</v>
      </c>
    </row>
    <row r="9377" ht="15.75" customHeight="1">
      <c r="A9377" s="2">
        <v>2018.0</v>
      </c>
      <c r="B9377" s="2" t="s">
        <v>38562</v>
      </c>
      <c r="C9377" s="2" t="s">
        <v>38563</v>
      </c>
      <c r="D9377" s="2" t="str">
        <f>"469-552-1030"</f>
        <v>469-552-1030</v>
      </c>
      <c r="E9377" s="2" t="s">
        <v>584</v>
      </c>
      <c r="F9377" s="2" t="s">
        <v>511</v>
      </c>
      <c r="G9377" s="2" t="str">
        <f>"SR-13139"</f>
        <v>SR-13139</v>
      </c>
      <c r="H9377" s="2" t="s">
        <v>38564</v>
      </c>
      <c r="I9377" s="2" t="s">
        <v>38565</v>
      </c>
      <c r="K9377" s="2" t="s">
        <v>11763</v>
      </c>
      <c r="L9377" s="2" t="s">
        <v>172</v>
      </c>
      <c r="M9377" s="2">
        <v>75160.0</v>
      </c>
      <c r="N9377" s="2" t="s">
        <v>21</v>
      </c>
    </row>
    <row r="9378" ht="15.75" customHeight="1">
      <c r="A9378" s="2">
        <v>2018.0</v>
      </c>
      <c r="B9378" s="2" t="s">
        <v>38566</v>
      </c>
      <c r="C9378" s="2" t="s">
        <v>38567</v>
      </c>
      <c r="D9378" s="2" t="str">
        <f>"505 890 8183"</f>
        <v>505 890 8183</v>
      </c>
      <c r="E9378" s="2" t="s">
        <v>3903</v>
      </c>
      <c r="F9378" s="2" t="s">
        <v>5365</v>
      </c>
      <c r="G9378" s="2" t="str">
        <f>"SR-13145"</f>
        <v>SR-13145</v>
      </c>
      <c r="H9378" s="2" t="s">
        <v>38568</v>
      </c>
      <c r="I9378" s="2" t="s">
        <v>38569</v>
      </c>
      <c r="K9378" s="2" t="s">
        <v>3705</v>
      </c>
      <c r="L9378" s="2" t="s">
        <v>789</v>
      </c>
      <c r="M9378" s="2">
        <v>87120.0</v>
      </c>
      <c r="N9378" s="2" t="s">
        <v>21</v>
      </c>
    </row>
    <row r="9379" ht="15.75" customHeight="1">
      <c r="A9379" s="2">
        <v>2018.0</v>
      </c>
      <c r="B9379" s="2" t="s">
        <v>24607</v>
      </c>
      <c r="C9379" s="2" t="s">
        <v>24607</v>
      </c>
      <c r="D9379" s="2" t="str">
        <f t="shared" ref="D9379:D9382" si="155">"8296054163"</f>
        <v>8296054163</v>
      </c>
      <c r="E9379" s="2" t="s">
        <v>33075</v>
      </c>
      <c r="F9379" s="2" t="s">
        <v>24610</v>
      </c>
      <c r="G9379" s="2" t="str">
        <f>"SR-10773"</f>
        <v>SR-10773</v>
      </c>
      <c r="H9379" s="2" t="s">
        <v>33076</v>
      </c>
      <c r="I9379" s="2" t="s">
        <v>24612</v>
      </c>
      <c r="K9379" s="2" t="s">
        <v>24614</v>
      </c>
      <c r="L9379" s="2" t="s">
        <v>208</v>
      </c>
      <c r="M9379" s="2">
        <v>0.0</v>
      </c>
      <c r="N9379" s="2" t="s">
        <v>24616</v>
      </c>
    </row>
    <row r="9380" ht="15.75" customHeight="1">
      <c r="A9380" s="2">
        <v>2018.0</v>
      </c>
      <c r="B9380" s="2" t="s">
        <v>24607</v>
      </c>
      <c r="C9380" s="2" t="s">
        <v>24607</v>
      </c>
      <c r="D9380" s="2" t="str">
        <f t="shared" si="155"/>
        <v>8296054163</v>
      </c>
      <c r="E9380" s="2" t="s">
        <v>24652</v>
      </c>
      <c r="F9380" s="2" t="s">
        <v>24653</v>
      </c>
      <c r="G9380" s="2" t="str">
        <f>"SR-7771"</f>
        <v>SR-7771</v>
      </c>
      <c r="H9380" s="2" t="s">
        <v>24654</v>
      </c>
      <c r="I9380" s="2" t="s">
        <v>24612</v>
      </c>
      <c r="J9380" s="2" t="s">
        <v>24655</v>
      </c>
      <c r="K9380" s="2" t="s">
        <v>24656</v>
      </c>
      <c r="L9380" s="2" t="s">
        <v>24657</v>
      </c>
      <c r="M9380" s="2">
        <v>0.0</v>
      </c>
      <c r="N9380" s="2" t="s">
        <v>24616</v>
      </c>
    </row>
    <row r="9381" ht="15.75" customHeight="1">
      <c r="A9381" s="2">
        <v>2018.0</v>
      </c>
      <c r="B9381" s="2" t="s">
        <v>24607</v>
      </c>
      <c r="C9381" s="2" t="s">
        <v>24607</v>
      </c>
      <c r="D9381" s="2" t="str">
        <f t="shared" si="155"/>
        <v>8296054163</v>
      </c>
      <c r="E9381" s="2" t="s">
        <v>81</v>
      </c>
      <c r="F9381" s="2" t="s">
        <v>38570</v>
      </c>
      <c r="G9381" s="2" t="str">
        <f>"SR-13147"</f>
        <v>SR-13147</v>
      </c>
      <c r="H9381" s="2" t="s">
        <v>38571</v>
      </c>
      <c r="I9381" s="2" t="s">
        <v>24612</v>
      </c>
      <c r="K9381" s="2" t="s">
        <v>24614</v>
      </c>
      <c r="M9381" s="2">
        <v>0.0</v>
      </c>
      <c r="N9381" s="2" t="s">
        <v>24616</v>
      </c>
    </row>
    <row r="9382" ht="15.75" customHeight="1">
      <c r="A9382" s="2">
        <v>2018.0</v>
      </c>
      <c r="B9382" s="2" t="s">
        <v>24607</v>
      </c>
      <c r="C9382" s="2" t="s">
        <v>24607</v>
      </c>
      <c r="D9382" s="2" t="str">
        <f t="shared" si="155"/>
        <v>8296054163</v>
      </c>
      <c r="E9382" s="2" t="s">
        <v>1810</v>
      </c>
      <c r="F9382" s="2" t="s">
        <v>38572</v>
      </c>
      <c r="G9382" s="2" t="str">
        <f>"SR-13148"</f>
        <v>SR-13148</v>
      </c>
      <c r="H9382" s="2" t="s">
        <v>38573</v>
      </c>
      <c r="I9382" s="2" t="s">
        <v>38574</v>
      </c>
      <c r="J9382" s="2" t="s">
        <v>38575</v>
      </c>
      <c r="K9382" s="2" t="s">
        <v>38576</v>
      </c>
      <c r="L9382" s="2" t="s">
        <v>24657</v>
      </c>
      <c r="M9382" s="2">
        <v>0.0</v>
      </c>
      <c r="N9382" s="2" t="s">
        <v>24616</v>
      </c>
    </row>
    <row r="9383" ht="15.75" customHeight="1">
      <c r="A9383" s="2">
        <v>2018.0</v>
      </c>
      <c r="B9383" s="2" t="s">
        <v>38577</v>
      </c>
      <c r="C9383" s="2" t="s">
        <v>38578</v>
      </c>
      <c r="D9383" s="2" t="str">
        <f>"260-434-0726"</f>
        <v>260-434-0726</v>
      </c>
      <c r="E9383" s="2" t="s">
        <v>33186</v>
      </c>
      <c r="F9383" s="2" t="s">
        <v>38579</v>
      </c>
      <c r="G9383" s="2" t="str">
        <f>"SR-13150"</f>
        <v>SR-13150</v>
      </c>
      <c r="H9383" s="2" t="s">
        <v>38580</v>
      </c>
      <c r="I9383" s="2" t="s">
        <v>38581</v>
      </c>
      <c r="K9383" s="2" t="s">
        <v>4298</v>
      </c>
      <c r="L9383" s="2" t="s">
        <v>149</v>
      </c>
      <c r="M9383" s="2">
        <v>46804.0</v>
      </c>
      <c r="N9383" s="2" t="s">
        <v>21</v>
      </c>
    </row>
    <row r="9384" ht="15.75" customHeight="1">
      <c r="A9384" s="2">
        <v>2018.0</v>
      </c>
      <c r="B9384" s="2" t="s">
        <v>38582</v>
      </c>
      <c r="C9384" s="2" t="s">
        <v>38582</v>
      </c>
      <c r="D9384" s="2" t="str">
        <f>"816 525 4935"</f>
        <v>816 525 4935</v>
      </c>
      <c r="E9384" s="2" t="s">
        <v>167</v>
      </c>
      <c r="F9384" s="2" t="s">
        <v>30242</v>
      </c>
      <c r="G9384" s="2" t="str">
        <f>"SR-13137"</f>
        <v>SR-13137</v>
      </c>
      <c r="H9384" s="2" t="s">
        <v>38583</v>
      </c>
      <c r="I9384" s="2" t="s">
        <v>30244</v>
      </c>
      <c r="K9384" s="2" t="s">
        <v>30245</v>
      </c>
      <c r="L9384" s="2" t="s">
        <v>214</v>
      </c>
      <c r="M9384" s="2">
        <v>64063.0</v>
      </c>
      <c r="N9384" s="2" t="s">
        <v>21</v>
      </c>
    </row>
    <row r="9385" ht="15.75" customHeight="1">
      <c r="A9385" s="2">
        <v>2018.0</v>
      </c>
      <c r="B9385" s="2" t="s">
        <v>26271</v>
      </c>
      <c r="C9385" s="2" t="s">
        <v>26272</v>
      </c>
      <c r="D9385" s="2" t="str">
        <f>"715 632 2156"</f>
        <v>715 632 2156</v>
      </c>
      <c r="E9385" s="2" t="s">
        <v>1554</v>
      </c>
      <c r="F9385" s="2" t="s">
        <v>1451</v>
      </c>
      <c r="G9385" s="2" t="str">
        <f>"SR-8028"</f>
        <v>SR-8028</v>
      </c>
      <c r="H9385" s="2" t="s">
        <v>26273</v>
      </c>
      <c r="I9385" s="2" t="s">
        <v>26274</v>
      </c>
      <c r="K9385" s="2" t="s">
        <v>26275</v>
      </c>
      <c r="L9385" s="2" t="s">
        <v>193</v>
      </c>
      <c r="M9385" s="2">
        <v>54725.0</v>
      </c>
      <c r="N9385" s="2" t="s">
        <v>21</v>
      </c>
    </row>
    <row r="9386" ht="15.75" customHeight="1">
      <c r="A9386" s="2">
        <v>2018.0</v>
      </c>
      <c r="B9386" s="2" t="s">
        <v>22590</v>
      </c>
      <c r="C9386" s="2" t="s">
        <v>22591</v>
      </c>
      <c r="D9386" s="2" t="str">
        <f>"7065507795"</f>
        <v>7065507795</v>
      </c>
      <c r="E9386" s="2" t="s">
        <v>1257</v>
      </c>
      <c r="F9386" s="2" t="s">
        <v>2936</v>
      </c>
      <c r="G9386" s="2" t="str">
        <f>"SR-6548"</f>
        <v>SR-6548</v>
      </c>
      <c r="H9386" s="2" t="s">
        <v>22592</v>
      </c>
      <c r="I9386" s="2" t="s">
        <v>22593</v>
      </c>
      <c r="K9386" s="2" t="s">
        <v>199</v>
      </c>
      <c r="L9386" s="2" t="s">
        <v>200</v>
      </c>
      <c r="M9386" s="2">
        <v>30907.0</v>
      </c>
      <c r="N9386" s="2" t="s">
        <v>21</v>
      </c>
    </row>
    <row r="9387" ht="15.75" customHeight="1">
      <c r="A9387" s="2">
        <v>2018.0</v>
      </c>
      <c r="B9387" s="2" t="s">
        <v>24607</v>
      </c>
      <c r="C9387" s="2" t="s">
        <v>24607</v>
      </c>
      <c r="D9387" s="2" t="str">
        <f t="shared" ref="D9387:D9388" si="156">"8296054163"</f>
        <v>8296054163</v>
      </c>
      <c r="E9387" s="2" t="s">
        <v>20303</v>
      </c>
      <c r="F9387" s="2" t="s">
        <v>38584</v>
      </c>
      <c r="G9387" s="2" t="str">
        <f>"SR-13151"</f>
        <v>SR-13151</v>
      </c>
      <c r="H9387" s="2" t="s">
        <v>38585</v>
      </c>
      <c r="I9387" s="2" t="s">
        <v>38574</v>
      </c>
      <c r="J9387" s="2" t="s">
        <v>38586</v>
      </c>
      <c r="K9387" s="2" t="s">
        <v>24614</v>
      </c>
      <c r="L9387" s="2" t="s">
        <v>24657</v>
      </c>
      <c r="M9387" s="2">
        <v>0.0</v>
      </c>
      <c r="N9387" s="2" t="s">
        <v>24616</v>
      </c>
    </row>
    <row r="9388" ht="15.75" customHeight="1">
      <c r="A9388" s="2">
        <v>2018.0</v>
      </c>
      <c r="B9388" s="2" t="s">
        <v>24607</v>
      </c>
      <c r="C9388" s="2" t="s">
        <v>24607</v>
      </c>
      <c r="D9388" s="2" t="str">
        <f t="shared" si="156"/>
        <v>8296054163</v>
      </c>
      <c r="E9388" s="2" t="s">
        <v>38587</v>
      </c>
      <c r="F9388" s="2" t="s">
        <v>38588</v>
      </c>
      <c r="G9388" s="2" t="str">
        <f>"SR-13157"</f>
        <v>SR-13157</v>
      </c>
      <c r="H9388" s="2" t="s">
        <v>38589</v>
      </c>
      <c r="I9388" s="2" t="s">
        <v>24612</v>
      </c>
      <c r="J9388" s="2" t="s">
        <v>38586</v>
      </c>
      <c r="K9388" s="2" t="s">
        <v>24614</v>
      </c>
      <c r="L9388" s="2" t="s">
        <v>208</v>
      </c>
      <c r="M9388" s="2">
        <v>0.0</v>
      </c>
      <c r="N9388" s="2" t="s">
        <v>24616</v>
      </c>
    </row>
    <row r="9389" ht="15.75" customHeight="1">
      <c r="A9389" s="2">
        <v>2018.0</v>
      </c>
      <c r="B9389" s="2" t="s">
        <v>25890</v>
      </c>
      <c r="C9389" s="2" t="s">
        <v>38590</v>
      </c>
      <c r="D9389" s="2" t="str">
        <f>"317-626-3280"</f>
        <v>317-626-3280</v>
      </c>
      <c r="E9389" s="2" t="s">
        <v>1529</v>
      </c>
      <c r="F9389" s="2" t="s">
        <v>25891</v>
      </c>
      <c r="G9389" s="2" t="str">
        <f>"SR-13085"</f>
        <v>SR-13085</v>
      </c>
      <c r="H9389" s="2" t="s">
        <v>38591</v>
      </c>
      <c r="I9389" s="2" t="s">
        <v>38592</v>
      </c>
      <c r="K9389" s="2" t="s">
        <v>35372</v>
      </c>
      <c r="L9389" s="2" t="s">
        <v>149</v>
      </c>
      <c r="M9389" s="2">
        <v>46123.0</v>
      </c>
      <c r="N9389" s="2" t="s">
        <v>21</v>
      </c>
    </row>
    <row r="9390" ht="15.75" customHeight="1">
      <c r="A9390" s="2">
        <v>2018.0</v>
      </c>
      <c r="B9390" s="2" t="s">
        <v>24607</v>
      </c>
      <c r="C9390" s="2" t="s">
        <v>24607</v>
      </c>
      <c r="D9390" s="2" t="str">
        <f t="shared" ref="D9390:D9391" si="157">"8296054163"</f>
        <v>8296054163</v>
      </c>
      <c r="E9390" s="2" t="s">
        <v>24963</v>
      </c>
      <c r="F9390" s="2" t="s">
        <v>38593</v>
      </c>
      <c r="G9390" s="2" t="str">
        <f>"SR-13158"</f>
        <v>SR-13158</v>
      </c>
      <c r="H9390" s="2" t="s">
        <v>38594</v>
      </c>
      <c r="I9390" s="2" t="s">
        <v>38574</v>
      </c>
      <c r="J9390" s="2" t="s">
        <v>24613</v>
      </c>
      <c r="K9390" s="2" t="s">
        <v>24614</v>
      </c>
      <c r="L9390" s="2" t="s">
        <v>24657</v>
      </c>
      <c r="M9390" s="2">
        <v>0.0</v>
      </c>
      <c r="N9390" s="2" t="s">
        <v>24616</v>
      </c>
    </row>
    <row r="9391" ht="15.75" customHeight="1">
      <c r="A9391" s="2">
        <v>2018.0</v>
      </c>
      <c r="B9391" s="2" t="s">
        <v>24607</v>
      </c>
      <c r="C9391" s="2" t="s">
        <v>24607</v>
      </c>
      <c r="D9391" s="2" t="str">
        <f t="shared" si="157"/>
        <v>8296054163</v>
      </c>
      <c r="E9391" s="2" t="s">
        <v>15888</v>
      </c>
      <c r="F9391" s="2" t="s">
        <v>38595</v>
      </c>
      <c r="G9391" s="2" t="str">
        <f>"SR-13164"</f>
        <v>SR-13164</v>
      </c>
      <c r="H9391" s="2" t="s">
        <v>38596</v>
      </c>
      <c r="I9391" s="2" t="s">
        <v>24612</v>
      </c>
      <c r="J9391" s="2" t="s">
        <v>38597</v>
      </c>
      <c r="K9391" s="2" t="s">
        <v>24614</v>
      </c>
      <c r="L9391" s="2" t="s">
        <v>208</v>
      </c>
      <c r="M9391" s="2">
        <v>0.0</v>
      </c>
      <c r="N9391" s="2" t="s">
        <v>24616</v>
      </c>
    </row>
    <row r="9392" ht="15.75" customHeight="1">
      <c r="A9392" s="2">
        <v>2018.0</v>
      </c>
      <c r="B9392" s="2" t="s">
        <v>38598</v>
      </c>
      <c r="C9392" s="2" t="s">
        <v>24607</v>
      </c>
      <c r="D9392" s="2" t="str">
        <f>"829-605-4163"</f>
        <v>829-605-4163</v>
      </c>
      <c r="E9392" s="2" t="s">
        <v>2814</v>
      </c>
      <c r="F9392" s="2" t="s">
        <v>24653</v>
      </c>
      <c r="G9392" s="2" t="str">
        <f>"SR-13154"</f>
        <v>SR-13154</v>
      </c>
      <c r="H9392" s="2" t="s">
        <v>38599</v>
      </c>
      <c r="I9392" s="2" t="s">
        <v>38600</v>
      </c>
      <c r="J9392" s="2" t="s">
        <v>24613</v>
      </c>
      <c r="K9392" s="2" t="s">
        <v>24614</v>
      </c>
      <c r="L9392" s="2" t="s">
        <v>24657</v>
      </c>
      <c r="M9392" s="2">
        <v>0.0</v>
      </c>
      <c r="N9392" s="2" t="s">
        <v>24616</v>
      </c>
    </row>
    <row r="9393" ht="15.75" customHeight="1">
      <c r="A9393" s="2">
        <v>2018.0</v>
      </c>
      <c r="B9393" s="2" t="s">
        <v>38601</v>
      </c>
      <c r="C9393" s="2" t="s">
        <v>38602</v>
      </c>
      <c r="D9393" s="2" t="str">
        <f>"412-995-0243"</f>
        <v>412-995-0243</v>
      </c>
      <c r="E9393" s="2" t="s">
        <v>8080</v>
      </c>
      <c r="F9393" s="2" t="s">
        <v>6655</v>
      </c>
      <c r="G9393" s="2" t="str">
        <f>"SR-13104"</f>
        <v>SR-13104</v>
      </c>
      <c r="H9393" s="2" t="s">
        <v>38603</v>
      </c>
      <c r="I9393" s="2" t="s">
        <v>38604</v>
      </c>
      <c r="K9393" s="2" t="s">
        <v>23171</v>
      </c>
      <c r="L9393" s="2" t="s">
        <v>179</v>
      </c>
      <c r="M9393" s="2">
        <v>15101.0</v>
      </c>
      <c r="N9393" s="2" t="s">
        <v>21</v>
      </c>
    </row>
    <row r="9394" ht="15.75" customHeight="1">
      <c r="A9394" s="2">
        <v>2018.0</v>
      </c>
      <c r="B9394" s="2" t="s">
        <v>38598</v>
      </c>
      <c r="C9394" s="2" t="s">
        <v>24607</v>
      </c>
      <c r="D9394" s="2" t="str">
        <f t="shared" ref="D9394:D9395" si="158">"8296054163"</f>
        <v>8296054163</v>
      </c>
      <c r="E9394" s="2" t="s">
        <v>38605</v>
      </c>
      <c r="F9394" s="2" t="s">
        <v>38606</v>
      </c>
      <c r="G9394" s="2" t="str">
        <f>"SR-13166"</f>
        <v>SR-13166</v>
      </c>
      <c r="H9394" s="2" t="s">
        <v>38607</v>
      </c>
      <c r="I9394" s="2" t="s">
        <v>24612</v>
      </c>
      <c r="J9394" s="2" t="s">
        <v>38608</v>
      </c>
      <c r="K9394" s="2" t="s">
        <v>24614</v>
      </c>
      <c r="L9394" s="2" t="s">
        <v>208</v>
      </c>
      <c r="M9394" s="2">
        <v>0.0</v>
      </c>
      <c r="N9394" s="2" t="s">
        <v>24616</v>
      </c>
    </row>
    <row r="9395" ht="15.75" customHeight="1">
      <c r="A9395" s="2">
        <v>2018.0</v>
      </c>
      <c r="B9395" s="2" t="s">
        <v>38598</v>
      </c>
      <c r="C9395" s="2" t="s">
        <v>24607</v>
      </c>
      <c r="D9395" s="2" t="str">
        <f t="shared" si="158"/>
        <v>8296054163</v>
      </c>
      <c r="E9395" s="2" t="s">
        <v>38609</v>
      </c>
      <c r="F9395" s="2" t="s">
        <v>38610</v>
      </c>
      <c r="G9395" s="2" t="str">
        <f>"SR-13165"</f>
        <v>SR-13165</v>
      </c>
      <c r="H9395" s="2" t="s">
        <v>38611</v>
      </c>
      <c r="I9395" s="2" t="s">
        <v>24612</v>
      </c>
      <c r="J9395" s="2" t="s">
        <v>38586</v>
      </c>
      <c r="K9395" s="2" t="s">
        <v>24614</v>
      </c>
      <c r="L9395" s="2" t="s">
        <v>24657</v>
      </c>
      <c r="M9395" s="2">
        <v>0.0</v>
      </c>
      <c r="N9395" s="2" t="s">
        <v>24616</v>
      </c>
    </row>
    <row r="9396" ht="15.75" customHeight="1">
      <c r="A9396" s="2">
        <v>2018.0</v>
      </c>
      <c r="B9396" s="2" t="s">
        <v>38612</v>
      </c>
      <c r="C9396" s="2" t="s">
        <v>23925</v>
      </c>
      <c r="D9396" s="2" t="str">
        <f>"3038596665"</f>
        <v>3038596665</v>
      </c>
      <c r="E9396" s="2" t="s">
        <v>2306</v>
      </c>
      <c r="F9396" s="2" t="s">
        <v>11470</v>
      </c>
      <c r="G9396" s="2" t="str">
        <f>"SR-13172"</f>
        <v>SR-13172</v>
      </c>
      <c r="H9396" s="2" t="s">
        <v>38613</v>
      </c>
      <c r="I9396" s="2" t="s">
        <v>38614</v>
      </c>
      <c r="K9396" s="2" t="s">
        <v>1054</v>
      </c>
      <c r="L9396" s="2" t="s">
        <v>157</v>
      </c>
      <c r="M9396" s="2">
        <v>80134.0</v>
      </c>
      <c r="N9396" s="2" t="s">
        <v>21</v>
      </c>
    </row>
    <row r="9397" ht="15.75" customHeight="1">
      <c r="A9397" s="2">
        <v>2018.0</v>
      </c>
      <c r="B9397" s="2" t="s">
        <v>38615</v>
      </c>
      <c r="C9397" s="2" t="s">
        <v>38615</v>
      </c>
      <c r="D9397" s="2" t="str">
        <f>"6156845938"</f>
        <v>6156845938</v>
      </c>
      <c r="E9397" s="2" t="s">
        <v>485</v>
      </c>
      <c r="F9397" s="2" t="s">
        <v>2429</v>
      </c>
      <c r="G9397" s="2" t="str">
        <f>"SR-13153"</f>
        <v>SR-13153</v>
      </c>
      <c r="H9397" s="2" t="s">
        <v>36138</v>
      </c>
      <c r="I9397" s="2" t="s">
        <v>38616</v>
      </c>
      <c r="K9397" s="2" t="s">
        <v>38617</v>
      </c>
      <c r="L9397" s="2" t="s">
        <v>279</v>
      </c>
      <c r="M9397" s="2">
        <v>37036.0</v>
      </c>
      <c r="N9397" s="2" t="s">
        <v>21</v>
      </c>
    </row>
    <row r="9398" ht="15.75" customHeight="1">
      <c r="A9398" s="2">
        <v>2018.0</v>
      </c>
      <c r="B9398" s="2" t="s">
        <v>38618</v>
      </c>
      <c r="C9398" s="2" t="s">
        <v>38619</v>
      </c>
      <c r="D9398" s="2" t="str">
        <f>"423 6378540"</f>
        <v>423 6378540</v>
      </c>
      <c r="E9398" s="2" t="s">
        <v>6526</v>
      </c>
      <c r="F9398" s="2" t="s">
        <v>11781</v>
      </c>
      <c r="G9398" s="2" t="str">
        <f>"SR-13173"</f>
        <v>SR-13173</v>
      </c>
      <c r="H9398" s="2" t="s">
        <v>38620</v>
      </c>
      <c r="I9398" s="2" t="s">
        <v>38621</v>
      </c>
      <c r="K9398" s="2" t="s">
        <v>5671</v>
      </c>
      <c r="L9398" s="2" t="s">
        <v>279</v>
      </c>
      <c r="M9398" s="2">
        <v>37377.0</v>
      </c>
      <c r="N9398" s="2" t="s">
        <v>21</v>
      </c>
    </row>
    <row r="9399" ht="15.75" customHeight="1">
      <c r="A9399" s="2">
        <v>2018.0</v>
      </c>
      <c r="B9399" s="2" t="s">
        <v>38622</v>
      </c>
      <c r="C9399" s="2" t="s">
        <v>38623</v>
      </c>
      <c r="D9399" s="2" t="str">
        <f>"317-718-1899"</f>
        <v>317-718-1899</v>
      </c>
      <c r="E9399" s="2" t="s">
        <v>21985</v>
      </c>
      <c r="F9399" s="2" t="s">
        <v>36322</v>
      </c>
      <c r="G9399" s="2" t="str">
        <f>"SR-13149"</f>
        <v>SR-13149</v>
      </c>
      <c r="H9399" s="2" t="s">
        <v>38624</v>
      </c>
      <c r="I9399" s="2" t="s">
        <v>38625</v>
      </c>
      <c r="K9399" s="2" t="s">
        <v>17916</v>
      </c>
      <c r="L9399" s="2" t="s">
        <v>149</v>
      </c>
      <c r="M9399" s="2">
        <v>46122.0</v>
      </c>
      <c r="N9399" s="2" t="s">
        <v>21</v>
      </c>
    </row>
    <row r="9400" ht="15.75" customHeight="1">
      <c r="A9400" s="2">
        <v>2018.0</v>
      </c>
      <c r="B9400" s="2" t="s">
        <v>38626</v>
      </c>
      <c r="C9400" s="2" t="s">
        <v>38627</v>
      </c>
      <c r="D9400" s="2" t="str">
        <f>"7192829083"</f>
        <v>7192829083</v>
      </c>
      <c r="E9400" s="2" t="s">
        <v>1362</v>
      </c>
      <c r="F9400" s="2" t="s">
        <v>38628</v>
      </c>
      <c r="G9400" s="2" t="str">
        <f>"SR-13176"</f>
        <v>SR-13176</v>
      </c>
      <c r="H9400" s="2" t="s">
        <v>38629</v>
      </c>
      <c r="I9400" s="2" t="s">
        <v>38630</v>
      </c>
      <c r="K9400" s="2" t="s">
        <v>809</v>
      </c>
      <c r="L9400" s="2" t="s">
        <v>157</v>
      </c>
      <c r="M9400" s="2">
        <v>80920.0</v>
      </c>
      <c r="N9400" s="2" t="s">
        <v>21</v>
      </c>
    </row>
    <row r="9401" ht="15.75" customHeight="1">
      <c r="A9401" s="2">
        <v>2018.0</v>
      </c>
      <c r="B9401" s="2" t="s">
        <v>38631</v>
      </c>
      <c r="C9401" s="2" t="s">
        <v>38632</v>
      </c>
      <c r="D9401" s="2" t="str">
        <f>"8653854265"</f>
        <v>8653854265</v>
      </c>
      <c r="E9401" s="2" t="s">
        <v>1400</v>
      </c>
      <c r="F9401" s="2" t="s">
        <v>26583</v>
      </c>
      <c r="G9401" s="2" t="str">
        <f>"SR-13130"</f>
        <v>SR-13130</v>
      </c>
      <c r="H9401" s="2" t="s">
        <v>38633</v>
      </c>
      <c r="I9401" s="2" t="s">
        <v>38634</v>
      </c>
      <c r="K9401" s="2" t="s">
        <v>6168</v>
      </c>
      <c r="L9401" s="2" t="s">
        <v>279</v>
      </c>
      <c r="M9401" s="2">
        <v>37922.0</v>
      </c>
      <c r="N9401" s="2" t="s">
        <v>21</v>
      </c>
    </row>
    <row r="9402" ht="15.75" customHeight="1">
      <c r="A9402" s="2">
        <v>2018.0</v>
      </c>
      <c r="B9402" s="2" t="s">
        <v>38635</v>
      </c>
      <c r="C9402" s="2" t="s">
        <v>38636</v>
      </c>
      <c r="D9402" s="2" t="str">
        <f>"3202343501"</f>
        <v>3202343501</v>
      </c>
      <c r="E9402" s="2" t="s">
        <v>651</v>
      </c>
      <c r="F9402" s="2" t="s">
        <v>38637</v>
      </c>
      <c r="G9402" s="2" t="str">
        <f>"SR-13179"</f>
        <v>SR-13179</v>
      </c>
      <c r="H9402" s="2" t="s">
        <v>38638</v>
      </c>
      <c r="I9402" s="2" t="s">
        <v>38639</v>
      </c>
      <c r="K9402" s="2" t="s">
        <v>5351</v>
      </c>
      <c r="L9402" s="2" t="s">
        <v>62</v>
      </c>
      <c r="M9402" s="2">
        <v>55350.0</v>
      </c>
      <c r="N9402" s="2" t="s">
        <v>21</v>
      </c>
    </row>
    <row r="9403" ht="15.75" customHeight="1">
      <c r="A9403" s="2">
        <v>2018.0</v>
      </c>
      <c r="B9403" s="2" t="s">
        <v>38640</v>
      </c>
      <c r="C9403" s="2" t="s">
        <v>38641</v>
      </c>
      <c r="D9403" s="2" t="str">
        <f>"469-970-8839"</f>
        <v>469-970-8839</v>
      </c>
      <c r="E9403" s="2" t="s">
        <v>6170</v>
      </c>
      <c r="F9403" s="2" t="s">
        <v>22911</v>
      </c>
      <c r="G9403" s="2" t="str">
        <f>"SR-13064"</f>
        <v>SR-13064</v>
      </c>
      <c r="H9403" s="2" t="s">
        <v>38642</v>
      </c>
      <c r="I9403" s="2" t="s">
        <v>38643</v>
      </c>
      <c r="K9403" s="2" t="s">
        <v>24245</v>
      </c>
      <c r="L9403" s="2" t="s">
        <v>172</v>
      </c>
      <c r="M9403" s="2">
        <v>76210.0</v>
      </c>
      <c r="N9403" s="2" t="s">
        <v>21</v>
      </c>
    </row>
    <row r="9404" ht="15.75" customHeight="1">
      <c r="A9404" s="2">
        <v>2018.0</v>
      </c>
      <c r="B9404" s="2" t="s">
        <v>22590</v>
      </c>
      <c r="C9404" s="2" t="s">
        <v>38644</v>
      </c>
      <c r="D9404" s="2" t="str">
        <f>"7067261495"</f>
        <v>7067261495</v>
      </c>
      <c r="E9404" s="2" t="s">
        <v>1422</v>
      </c>
      <c r="F9404" s="2" t="s">
        <v>2936</v>
      </c>
      <c r="G9404" s="2" t="str">
        <f>"SR-13128"</f>
        <v>SR-13128</v>
      </c>
      <c r="H9404" s="2" t="s">
        <v>38645</v>
      </c>
      <c r="I9404" s="2" t="s">
        <v>22593</v>
      </c>
      <c r="K9404" s="2" t="s">
        <v>199</v>
      </c>
      <c r="L9404" s="2" t="s">
        <v>200</v>
      </c>
      <c r="M9404" s="2">
        <v>30907.0</v>
      </c>
      <c r="N9404" s="2" t="s">
        <v>21</v>
      </c>
    </row>
    <row r="9405" ht="15.75" customHeight="1">
      <c r="A9405" s="2">
        <v>2018.0</v>
      </c>
      <c r="B9405" s="2" t="s">
        <v>38646</v>
      </c>
      <c r="C9405" s="2" t="s">
        <v>38647</v>
      </c>
      <c r="D9405" s="2" t="str">
        <f>"3197506999"</f>
        <v>3197506999</v>
      </c>
      <c r="E9405" s="2" t="s">
        <v>843</v>
      </c>
      <c r="F9405" s="2" t="s">
        <v>38648</v>
      </c>
      <c r="G9405" s="2" t="str">
        <f>"SR-13143"</f>
        <v>SR-13143</v>
      </c>
      <c r="H9405" s="2" t="s">
        <v>38649</v>
      </c>
      <c r="I9405" s="2" t="s">
        <v>38650</v>
      </c>
      <c r="K9405" s="2" t="s">
        <v>6075</v>
      </c>
      <c r="L9405" s="2" t="s">
        <v>560</v>
      </c>
      <c r="M9405" s="2">
        <v>52601.0</v>
      </c>
      <c r="N9405" s="2" t="s">
        <v>21</v>
      </c>
    </row>
    <row r="9406" ht="15.75" customHeight="1">
      <c r="A9406" s="2">
        <v>2018.0</v>
      </c>
      <c r="B9406" s="2" t="s">
        <v>38651</v>
      </c>
      <c r="C9406" s="2" t="s">
        <v>38652</v>
      </c>
      <c r="D9406" s="2" t="str">
        <f>"316-259-3800"</f>
        <v>316-259-3800</v>
      </c>
      <c r="E9406" s="2" t="s">
        <v>7145</v>
      </c>
      <c r="F9406" s="2" t="s">
        <v>1151</v>
      </c>
      <c r="G9406" s="2" t="str">
        <f>"SR-13123"</f>
        <v>SR-13123</v>
      </c>
      <c r="H9406" s="2" t="s">
        <v>38653</v>
      </c>
      <c r="I9406" s="2" t="s">
        <v>38654</v>
      </c>
      <c r="K9406" s="2" t="s">
        <v>20410</v>
      </c>
      <c r="L9406" s="2" t="s">
        <v>172</v>
      </c>
      <c r="M9406" s="2">
        <v>78132.0</v>
      </c>
      <c r="N9406" s="2" t="s">
        <v>21</v>
      </c>
    </row>
    <row r="9407" ht="15.75" customHeight="1">
      <c r="A9407" s="2">
        <v>2018.0</v>
      </c>
      <c r="B9407" s="2" t="s">
        <v>21017</v>
      </c>
      <c r="C9407" s="2" t="s">
        <v>38655</v>
      </c>
      <c r="D9407" s="2" t="str">
        <f>"6306685765"</f>
        <v>6306685765</v>
      </c>
      <c r="E9407" s="2" t="s">
        <v>11885</v>
      </c>
      <c r="F9407" s="2" t="s">
        <v>21019</v>
      </c>
      <c r="G9407" s="2" t="str">
        <f>"SR-13118"</f>
        <v>SR-13118</v>
      </c>
      <c r="H9407" s="2" t="s">
        <v>38656</v>
      </c>
      <c r="I9407" s="2" t="s">
        <v>38657</v>
      </c>
      <c r="K9407" s="2" t="s">
        <v>21022</v>
      </c>
      <c r="L9407" s="2" t="s">
        <v>105</v>
      </c>
      <c r="M9407" s="2">
        <v>60189.0</v>
      </c>
      <c r="N9407" s="2" t="s">
        <v>21</v>
      </c>
    </row>
    <row r="9408" ht="15.75" customHeight="1">
      <c r="A9408" s="2">
        <v>2018.0</v>
      </c>
      <c r="B9408" s="2" t="s">
        <v>27795</v>
      </c>
      <c r="C9408" s="2" t="s">
        <v>28298</v>
      </c>
      <c r="D9408" s="2" t="str">
        <f>"626-771-6610"</f>
        <v>626-771-6610</v>
      </c>
      <c r="E9408" s="2" t="s">
        <v>1999</v>
      </c>
      <c r="F9408" s="2" t="s">
        <v>51</v>
      </c>
      <c r="G9408" s="2" t="str">
        <f>"SR-7994"</f>
        <v>SR-7994</v>
      </c>
      <c r="H9408" s="2" t="s">
        <v>28299</v>
      </c>
      <c r="I9408" s="2" t="s">
        <v>27798</v>
      </c>
      <c r="K9408" s="2" t="s">
        <v>7320</v>
      </c>
      <c r="L9408" s="2" t="s">
        <v>222</v>
      </c>
      <c r="M9408" s="2">
        <v>91740.0</v>
      </c>
      <c r="N9408" s="2" t="s">
        <v>21</v>
      </c>
    </row>
    <row r="9409" ht="15.75" customHeight="1">
      <c r="A9409" s="2">
        <v>2018.0</v>
      </c>
      <c r="B9409" s="2" t="s">
        <v>27795</v>
      </c>
      <c r="C9409" s="2" t="s">
        <v>27796</v>
      </c>
      <c r="D9409" s="2" t="str">
        <f>"6266105506"</f>
        <v>6266105506</v>
      </c>
      <c r="E9409" s="2" t="s">
        <v>1255</v>
      </c>
      <c r="F9409" s="2" t="s">
        <v>51</v>
      </c>
      <c r="G9409" s="2" t="str">
        <f>"SR-7914"</f>
        <v>SR-7914</v>
      </c>
      <c r="H9409" s="2" t="s">
        <v>27797</v>
      </c>
      <c r="I9409" s="2" t="s">
        <v>27798</v>
      </c>
      <c r="K9409" s="2" t="s">
        <v>7320</v>
      </c>
      <c r="L9409" s="2" t="s">
        <v>222</v>
      </c>
      <c r="M9409" s="2">
        <v>91740.0</v>
      </c>
      <c r="N9409" s="2" t="s">
        <v>21</v>
      </c>
    </row>
    <row r="9410" ht="15.75" customHeight="1">
      <c r="A9410" s="2">
        <v>2018.0</v>
      </c>
      <c r="B9410" s="2" t="s">
        <v>38658</v>
      </c>
      <c r="C9410" s="2" t="s">
        <v>38658</v>
      </c>
      <c r="D9410" s="2" t="str">
        <f>"(951)231-8502"</f>
        <v>(951)231-8502</v>
      </c>
      <c r="E9410" s="2" t="s">
        <v>38659</v>
      </c>
      <c r="F9410" s="2" t="s">
        <v>5981</v>
      </c>
      <c r="G9410" s="2" t="str">
        <f>"SR-13198"</f>
        <v>SR-13198</v>
      </c>
      <c r="H9410" s="2" t="s">
        <v>38660</v>
      </c>
      <c r="I9410" s="2" t="s">
        <v>38661</v>
      </c>
      <c r="K9410" s="2" t="s">
        <v>3770</v>
      </c>
      <c r="L9410" s="2" t="s">
        <v>222</v>
      </c>
      <c r="M9410" s="2">
        <v>92399.0</v>
      </c>
      <c r="N9410" s="2" t="s">
        <v>21</v>
      </c>
    </row>
    <row r="9411" ht="15.75" customHeight="1">
      <c r="A9411" s="2">
        <v>2018.0</v>
      </c>
      <c r="B9411" s="2" t="s">
        <v>38658</v>
      </c>
      <c r="C9411" s="2" t="s">
        <v>38662</v>
      </c>
      <c r="D9411" s="2" t="str">
        <f>"(951)662-7465"</f>
        <v>(951)662-7465</v>
      </c>
      <c r="E9411" s="2" t="s">
        <v>38663</v>
      </c>
      <c r="F9411" s="2" t="s">
        <v>5981</v>
      </c>
      <c r="G9411" s="2" t="str">
        <f>"SR-13200"</f>
        <v>SR-13200</v>
      </c>
      <c r="H9411" s="2" t="s">
        <v>38664</v>
      </c>
      <c r="I9411" s="2" t="s">
        <v>38661</v>
      </c>
      <c r="K9411" s="2" t="s">
        <v>3770</v>
      </c>
      <c r="L9411" s="2" t="s">
        <v>222</v>
      </c>
      <c r="M9411" s="2">
        <v>92399.0</v>
      </c>
      <c r="N9411" s="2" t="s">
        <v>21</v>
      </c>
    </row>
    <row r="9412" ht="15.75" customHeight="1">
      <c r="A9412" s="2">
        <v>2018.0</v>
      </c>
      <c r="B9412" s="2" t="s">
        <v>38665</v>
      </c>
      <c r="C9412" s="2" t="s">
        <v>38666</v>
      </c>
      <c r="D9412" s="2" t="str">
        <f>"3036679341"</f>
        <v>3036679341</v>
      </c>
      <c r="E9412" s="2" t="s">
        <v>12166</v>
      </c>
      <c r="F9412" s="2" t="s">
        <v>19814</v>
      </c>
      <c r="G9412" s="2" t="str">
        <f>"SR-13206"</f>
        <v>SR-13206</v>
      </c>
      <c r="H9412" s="2" t="s">
        <v>38667</v>
      </c>
      <c r="I9412" s="2" t="s">
        <v>38668</v>
      </c>
      <c r="K9412" s="2" t="s">
        <v>1502</v>
      </c>
      <c r="L9412" s="2" t="s">
        <v>157</v>
      </c>
      <c r="M9412" s="2">
        <v>80005.0</v>
      </c>
      <c r="N9412" s="2" t="s">
        <v>21</v>
      </c>
    </row>
    <row r="9413" ht="15.75" customHeight="1">
      <c r="A9413" s="2">
        <v>2018.0</v>
      </c>
      <c r="B9413" s="2" t="s">
        <v>38669</v>
      </c>
      <c r="C9413" s="2" t="s">
        <v>38670</v>
      </c>
      <c r="D9413" s="2" t="str">
        <f>"2486869495"</f>
        <v>2486869495</v>
      </c>
      <c r="E9413" s="2" t="s">
        <v>33124</v>
      </c>
      <c r="F9413" s="2" t="s">
        <v>33952</v>
      </c>
      <c r="G9413" s="2" t="str">
        <f>"SR-13101"</f>
        <v>SR-13101</v>
      </c>
      <c r="H9413" s="2" t="s">
        <v>38671</v>
      </c>
      <c r="I9413" s="2" t="s">
        <v>38672</v>
      </c>
      <c r="K9413" s="2" t="s">
        <v>1257</v>
      </c>
      <c r="L9413" s="2" t="s">
        <v>279</v>
      </c>
      <c r="M9413" s="2">
        <v>38305.0</v>
      </c>
      <c r="N9413" s="2" t="s">
        <v>21</v>
      </c>
    </row>
    <row r="9414" ht="15.75" customHeight="1">
      <c r="A9414" s="2">
        <v>2018.0</v>
      </c>
      <c r="B9414" s="2" t="s">
        <v>38673</v>
      </c>
      <c r="C9414" s="2" t="s">
        <v>38673</v>
      </c>
      <c r="D9414" s="2" t="str">
        <f>"8435984753"</f>
        <v>8435984753</v>
      </c>
      <c r="E9414" s="2" t="s">
        <v>373</v>
      </c>
      <c r="F9414" s="2" t="s">
        <v>25763</v>
      </c>
      <c r="G9414" s="2" t="str">
        <f>"SR-13210"</f>
        <v>SR-13210</v>
      </c>
      <c r="H9414" s="2" t="s">
        <v>38674</v>
      </c>
      <c r="I9414" s="2" t="s">
        <v>28550</v>
      </c>
      <c r="K9414" s="2" t="s">
        <v>10976</v>
      </c>
      <c r="L9414" s="2" t="s">
        <v>55</v>
      </c>
      <c r="M9414" s="2">
        <v>29161.0</v>
      </c>
      <c r="N9414" s="2" t="s">
        <v>21</v>
      </c>
    </row>
    <row r="9415" ht="15.75" customHeight="1">
      <c r="A9415" s="2">
        <v>2018.0</v>
      </c>
      <c r="B9415" s="2" t="s">
        <v>38675</v>
      </c>
      <c r="C9415" s="2" t="s">
        <v>38676</v>
      </c>
      <c r="D9415" s="2" t="str">
        <f>"7048608396"</f>
        <v>7048608396</v>
      </c>
      <c r="E9415" s="2" t="s">
        <v>15</v>
      </c>
      <c r="F9415" s="2" t="s">
        <v>38677</v>
      </c>
      <c r="G9415" s="2" t="str">
        <f>"SR-13214"</f>
        <v>SR-13214</v>
      </c>
      <c r="H9415" s="2" t="s">
        <v>38678</v>
      </c>
      <c r="I9415" s="2" t="s">
        <v>38679</v>
      </c>
      <c r="K9415" s="2" t="s">
        <v>38680</v>
      </c>
      <c r="L9415" s="2" t="s">
        <v>20</v>
      </c>
      <c r="M9415" s="2">
        <v>28016.0</v>
      </c>
      <c r="N9415" s="2" t="s">
        <v>21</v>
      </c>
    </row>
    <row r="9416" ht="15.75" customHeight="1">
      <c r="A9416" s="2">
        <v>2018.0</v>
      </c>
      <c r="B9416" s="2" t="s">
        <v>38681</v>
      </c>
      <c r="C9416" s="2" t="s">
        <v>38682</v>
      </c>
      <c r="D9416" s="2" t="str">
        <f>"704-862-8464"</f>
        <v>704-862-8464</v>
      </c>
      <c r="E9416" s="2" t="s">
        <v>2126</v>
      </c>
      <c r="F9416" s="2" t="s">
        <v>38683</v>
      </c>
      <c r="G9416" s="2" t="str">
        <f>"SR-13218"</f>
        <v>SR-13218</v>
      </c>
      <c r="H9416" s="2" t="s">
        <v>38684</v>
      </c>
      <c r="I9416" s="2" t="s">
        <v>38685</v>
      </c>
      <c r="K9416" s="2" t="s">
        <v>19</v>
      </c>
      <c r="L9416" s="2" t="s">
        <v>20</v>
      </c>
      <c r="M9416" s="2">
        <v>28214.0</v>
      </c>
      <c r="N9416" s="2" t="s">
        <v>21</v>
      </c>
    </row>
    <row r="9417" ht="15.75" customHeight="1">
      <c r="A9417" s="2">
        <v>2018.0</v>
      </c>
      <c r="B9417" s="2" t="s">
        <v>38686</v>
      </c>
      <c r="C9417" s="2" t="s">
        <v>38686</v>
      </c>
      <c r="D9417" s="2" t="str">
        <f>"361-438-9926"</f>
        <v>361-438-9926</v>
      </c>
      <c r="E9417" s="2" t="s">
        <v>1782</v>
      </c>
      <c r="F9417" s="2" t="s">
        <v>3984</v>
      </c>
      <c r="G9417" s="2" t="str">
        <f>"SR-13183"</f>
        <v>SR-13183</v>
      </c>
      <c r="H9417" s="2" t="s">
        <v>38687</v>
      </c>
      <c r="I9417" s="2" t="s">
        <v>3986</v>
      </c>
      <c r="K9417" s="2" t="s">
        <v>3987</v>
      </c>
      <c r="L9417" s="2" t="s">
        <v>172</v>
      </c>
      <c r="M9417" s="2">
        <v>78414.0</v>
      </c>
      <c r="N9417" s="2" t="s">
        <v>21</v>
      </c>
    </row>
    <row r="9418" ht="15.75" customHeight="1">
      <c r="A9418" s="2">
        <v>2018.0</v>
      </c>
      <c r="B9418" s="2" t="s">
        <v>38688</v>
      </c>
      <c r="C9418" s="2" t="s">
        <v>38689</v>
      </c>
      <c r="D9418" s="2" t="str">
        <f>"7042228246"</f>
        <v>7042228246</v>
      </c>
      <c r="E9418" s="2" t="s">
        <v>33172</v>
      </c>
      <c r="F9418" s="2" t="s">
        <v>38441</v>
      </c>
      <c r="G9418" s="2" t="str">
        <f>"SR-13219"</f>
        <v>SR-13219</v>
      </c>
      <c r="H9418" s="2" t="s">
        <v>38690</v>
      </c>
      <c r="I9418" s="2" t="s">
        <v>38691</v>
      </c>
      <c r="K9418" s="2" t="s">
        <v>19</v>
      </c>
      <c r="L9418" s="2" t="s">
        <v>20</v>
      </c>
      <c r="M9418" s="2">
        <v>28278.0</v>
      </c>
      <c r="N9418" s="2" t="s">
        <v>21</v>
      </c>
    </row>
    <row r="9419" ht="15.75" customHeight="1">
      <c r="A9419" s="2">
        <v>2018.0</v>
      </c>
      <c r="B9419" s="2" t="s">
        <v>38692</v>
      </c>
      <c r="D9419" s="2" t="str">
        <f>""</f>
        <v/>
      </c>
      <c r="E9419" s="2" t="s">
        <v>8887</v>
      </c>
      <c r="F9419" s="2" t="s">
        <v>38693</v>
      </c>
      <c r="G9419" s="2" t="str">
        <f>"SR-13222"</f>
        <v>SR-13222</v>
      </c>
      <c r="H9419" s="2" t="s">
        <v>38694</v>
      </c>
    </row>
    <row r="9420" ht="15.75" customHeight="1">
      <c r="A9420" s="2">
        <v>2018.0</v>
      </c>
      <c r="B9420" s="2" t="s">
        <v>38695</v>
      </c>
      <c r="C9420" s="2" t="s">
        <v>38696</v>
      </c>
      <c r="D9420" s="2" t="str">
        <f>"9162571053"</f>
        <v>9162571053</v>
      </c>
      <c r="E9420" s="2" t="s">
        <v>38697</v>
      </c>
      <c r="F9420" s="2" t="s">
        <v>1151</v>
      </c>
      <c r="G9420" s="2" t="str">
        <f>"SR-13174"</f>
        <v>SR-13174</v>
      </c>
      <c r="H9420" s="2" t="s">
        <v>38698</v>
      </c>
      <c r="I9420" s="2" t="s">
        <v>38699</v>
      </c>
      <c r="K9420" s="2" t="s">
        <v>38700</v>
      </c>
      <c r="L9420" s="2" t="s">
        <v>222</v>
      </c>
      <c r="M9420" s="2">
        <v>95762.0</v>
      </c>
      <c r="N9420" s="2" t="s">
        <v>21</v>
      </c>
    </row>
    <row r="9421" ht="15.75" customHeight="1">
      <c r="A9421" s="2">
        <v>2018.0</v>
      </c>
      <c r="B9421" s="2" t="s">
        <v>38701</v>
      </c>
      <c r="C9421" s="2" t="s">
        <v>38701</v>
      </c>
      <c r="D9421" s="2" t="str">
        <f>"4024174762"</f>
        <v>4024174762</v>
      </c>
      <c r="E9421" s="2" t="s">
        <v>38702</v>
      </c>
      <c r="F9421" s="2" t="s">
        <v>38703</v>
      </c>
      <c r="G9421" s="2" t="str">
        <f>"SR-13220"</f>
        <v>SR-13220</v>
      </c>
      <c r="H9421" s="2" t="s">
        <v>38704</v>
      </c>
      <c r="I9421" s="2" t="s">
        <v>38705</v>
      </c>
      <c r="K9421" s="2" t="s">
        <v>572</v>
      </c>
      <c r="L9421" s="2" t="s">
        <v>757</v>
      </c>
      <c r="M9421" s="2">
        <v>68516.0</v>
      </c>
      <c r="N9421" s="2" t="s">
        <v>21</v>
      </c>
    </row>
    <row r="9422" ht="15.75" customHeight="1">
      <c r="A9422" s="2">
        <v>2018.0</v>
      </c>
      <c r="B9422" s="2" t="s">
        <v>26271</v>
      </c>
      <c r="C9422" s="2" t="s">
        <v>26271</v>
      </c>
      <c r="D9422" s="2" t="str">
        <f>"715 632 2156"</f>
        <v>715 632 2156</v>
      </c>
      <c r="E9422" s="2" t="s">
        <v>908</v>
      </c>
      <c r="F9422" s="2" t="s">
        <v>1451</v>
      </c>
      <c r="G9422" s="2" t="str">
        <f>"SR-13152"</f>
        <v>SR-13152</v>
      </c>
      <c r="H9422" s="2" t="s">
        <v>38706</v>
      </c>
      <c r="I9422" s="2" t="s">
        <v>26274</v>
      </c>
      <c r="K9422" s="2" t="s">
        <v>26275</v>
      </c>
      <c r="L9422" s="2" t="s">
        <v>193</v>
      </c>
      <c r="M9422" s="2">
        <v>54725.0</v>
      </c>
      <c r="N9422" s="2" t="s">
        <v>21</v>
      </c>
    </row>
    <row r="9423" ht="15.75" customHeight="1">
      <c r="A9423" s="2">
        <v>2018.0</v>
      </c>
      <c r="B9423" s="2" t="s">
        <v>20978</v>
      </c>
      <c r="C9423" s="2" t="s">
        <v>38707</v>
      </c>
      <c r="D9423" s="2" t="str">
        <f>"9125419438"</f>
        <v>9125419438</v>
      </c>
      <c r="E9423" s="2" t="s">
        <v>38708</v>
      </c>
      <c r="F9423" s="2" t="s">
        <v>38709</v>
      </c>
      <c r="G9423" s="2" t="str">
        <f>"SR-13111"</f>
        <v>SR-13111</v>
      </c>
      <c r="H9423" s="2" t="s">
        <v>38710</v>
      </c>
      <c r="I9423" s="2" t="s">
        <v>38711</v>
      </c>
      <c r="K9423" s="2" t="s">
        <v>38712</v>
      </c>
      <c r="L9423" s="2" t="s">
        <v>200</v>
      </c>
      <c r="M9423" s="2">
        <v>30458.0</v>
      </c>
      <c r="N9423" s="2" t="s">
        <v>21</v>
      </c>
    </row>
    <row r="9424" ht="15.75" customHeight="1">
      <c r="A9424" s="2">
        <v>2018.0</v>
      </c>
      <c r="B9424" s="2" t="s">
        <v>38713</v>
      </c>
      <c r="C9424" s="2" t="s">
        <v>38714</v>
      </c>
      <c r="D9424" s="2" t="str">
        <f>"8152380660"</f>
        <v>8152380660</v>
      </c>
      <c r="E9424" s="2" t="s">
        <v>38715</v>
      </c>
      <c r="F9424" s="2" t="s">
        <v>35526</v>
      </c>
      <c r="G9424" s="2" t="str">
        <f>"SR-13056"</f>
        <v>SR-13056</v>
      </c>
      <c r="H9424" s="2" t="s">
        <v>38716</v>
      </c>
      <c r="I9424" s="2" t="s">
        <v>38717</v>
      </c>
      <c r="K9424" s="2" t="s">
        <v>38718</v>
      </c>
      <c r="L9424" s="2" t="s">
        <v>539</v>
      </c>
      <c r="M9424" s="2">
        <v>35907.0</v>
      </c>
      <c r="N9424" s="2" t="s">
        <v>21</v>
      </c>
    </row>
    <row r="9425" ht="15.75" customHeight="1">
      <c r="A9425" s="2">
        <v>2018.0</v>
      </c>
      <c r="B9425" s="2" t="s">
        <v>38719</v>
      </c>
      <c r="C9425" s="2" t="s">
        <v>38719</v>
      </c>
      <c r="D9425" s="2" t="str">
        <f>"6016686192"</f>
        <v>6016686192</v>
      </c>
      <c r="E9425" s="2" t="s">
        <v>1141</v>
      </c>
      <c r="F9425" s="2" t="s">
        <v>283</v>
      </c>
      <c r="G9425" s="2" t="str">
        <f>"SR-13199"</f>
        <v>SR-13199</v>
      </c>
      <c r="H9425" s="2" t="s">
        <v>4914</v>
      </c>
      <c r="I9425" s="2" t="s">
        <v>38720</v>
      </c>
      <c r="K9425" s="2" t="s">
        <v>36859</v>
      </c>
      <c r="L9425" s="2" t="s">
        <v>1722</v>
      </c>
      <c r="M9425" s="2">
        <v>39157.0</v>
      </c>
      <c r="N9425" s="2" t="s">
        <v>21</v>
      </c>
    </row>
    <row r="9426" ht="15.75" customHeight="1">
      <c r="A9426" s="2">
        <v>2018.0</v>
      </c>
      <c r="B9426" s="2" t="s">
        <v>38721</v>
      </c>
      <c r="C9426" s="2" t="s">
        <v>38722</v>
      </c>
      <c r="D9426" s="2" t="str">
        <f>"806-543-0504"</f>
        <v>806-543-0504</v>
      </c>
      <c r="E9426" s="2" t="s">
        <v>38723</v>
      </c>
      <c r="F9426" s="2" t="s">
        <v>38724</v>
      </c>
      <c r="G9426" s="2" t="str">
        <f>"SR-13193"</f>
        <v>SR-13193</v>
      </c>
      <c r="H9426" s="2" t="s">
        <v>38725</v>
      </c>
      <c r="I9426" s="2" t="s">
        <v>38726</v>
      </c>
      <c r="K9426" s="2" t="s">
        <v>1121</v>
      </c>
      <c r="L9426" s="2" t="s">
        <v>172</v>
      </c>
      <c r="M9426" s="2">
        <v>79424.0</v>
      </c>
      <c r="N9426" s="2" t="s">
        <v>21</v>
      </c>
    </row>
    <row r="9427" ht="15.75" customHeight="1">
      <c r="A9427" s="2">
        <v>2018.0</v>
      </c>
      <c r="B9427" s="2" t="s">
        <v>32026</v>
      </c>
      <c r="C9427" s="2" t="s">
        <v>32027</v>
      </c>
      <c r="D9427" s="2" t="str">
        <f>"4435284324"</f>
        <v>4435284324</v>
      </c>
      <c r="E9427" s="2" t="s">
        <v>32028</v>
      </c>
      <c r="F9427" s="2" t="s">
        <v>529</v>
      </c>
      <c r="G9427" s="2" t="str">
        <f>"SR-10401"</f>
        <v>SR-10401</v>
      </c>
      <c r="H9427" s="2" t="s">
        <v>32029</v>
      </c>
      <c r="I9427" s="2" t="s">
        <v>32030</v>
      </c>
      <c r="K9427" s="2" t="s">
        <v>32031</v>
      </c>
      <c r="L9427" s="2" t="s">
        <v>1868</v>
      </c>
      <c r="M9427" s="2">
        <v>21160.0</v>
      </c>
      <c r="N9427" s="2" t="s">
        <v>21</v>
      </c>
    </row>
    <row r="9428" ht="15.75" customHeight="1">
      <c r="A9428" s="2">
        <v>2018.0</v>
      </c>
      <c r="B9428" s="2" t="s">
        <v>38488</v>
      </c>
      <c r="C9428" s="2" t="s">
        <v>38727</v>
      </c>
      <c r="D9428" s="2" t="str">
        <f>"2818256187"</f>
        <v>2818256187</v>
      </c>
      <c r="E9428" s="2" t="s">
        <v>3978</v>
      </c>
      <c r="F9428" s="2" t="s">
        <v>38490</v>
      </c>
      <c r="G9428" s="2" t="str">
        <f>"SR-13062"</f>
        <v>SR-13062</v>
      </c>
      <c r="H9428" s="2" t="s">
        <v>38728</v>
      </c>
      <c r="I9428" s="2" t="s">
        <v>38729</v>
      </c>
      <c r="K9428" s="2" t="s">
        <v>4350</v>
      </c>
      <c r="L9428" s="2" t="s">
        <v>172</v>
      </c>
      <c r="M9428" s="2">
        <v>77377.0</v>
      </c>
      <c r="N9428" s="2" t="s">
        <v>21</v>
      </c>
    </row>
    <row r="9429" ht="15.75" customHeight="1">
      <c r="A9429" s="2">
        <v>2018.0</v>
      </c>
      <c r="B9429" s="2" t="s">
        <v>38730</v>
      </c>
      <c r="D9429" s="2" t="str">
        <f t="shared" ref="D9429:D9430" si="159">""</f>
        <v/>
      </c>
      <c r="E9429" s="2" t="s">
        <v>1094</v>
      </c>
      <c r="F9429" s="2" t="s">
        <v>38731</v>
      </c>
      <c r="G9429" s="2" t="str">
        <f>"SR-13042"</f>
        <v>SR-13042</v>
      </c>
      <c r="H9429" s="2" t="s">
        <v>38732</v>
      </c>
      <c r="N9429" s="2" t="s">
        <v>21</v>
      </c>
    </row>
    <row r="9430" ht="15.75" customHeight="1">
      <c r="A9430" s="2">
        <v>2018.0</v>
      </c>
      <c r="B9430" s="2" t="s">
        <v>38733</v>
      </c>
      <c r="D9430" s="2" t="str">
        <f t="shared" si="159"/>
        <v/>
      </c>
      <c r="E9430" s="2" t="s">
        <v>1434</v>
      </c>
      <c r="F9430" s="2" t="s">
        <v>3320</v>
      </c>
      <c r="G9430" s="2" t="str">
        <f>"SR-13185"</f>
        <v>SR-13185</v>
      </c>
      <c r="H9430" s="2" t="s">
        <v>38734</v>
      </c>
      <c r="N9430" s="2" t="s">
        <v>21</v>
      </c>
    </row>
    <row r="9431" ht="15.75" customHeight="1">
      <c r="A9431" s="2">
        <v>2018.0</v>
      </c>
      <c r="B9431" s="2" t="s">
        <v>38733</v>
      </c>
      <c r="C9431" s="2" t="s">
        <v>38735</v>
      </c>
      <c r="D9431" s="2" t="str">
        <f>"(315) 569-5161"</f>
        <v>(315) 569-5161</v>
      </c>
      <c r="E9431" s="2" t="s">
        <v>4871</v>
      </c>
      <c r="F9431" s="2" t="s">
        <v>38736</v>
      </c>
      <c r="G9431" s="2" t="str">
        <f>"SR-13186"</f>
        <v>SR-13186</v>
      </c>
      <c r="H9431" s="2" t="s">
        <v>38737</v>
      </c>
      <c r="I9431" s="2" t="s">
        <v>38738</v>
      </c>
      <c r="K9431" s="2" t="s">
        <v>38739</v>
      </c>
      <c r="L9431" s="2" t="s">
        <v>142</v>
      </c>
      <c r="M9431" s="2">
        <v>13037.0</v>
      </c>
      <c r="N9431" s="2" t="s">
        <v>21</v>
      </c>
    </row>
    <row r="9432" ht="15.75" customHeight="1">
      <c r="A9432" s="2">
        <v>2018.0</v>
      </c>
      <c r="B9432" s="2" t="s">
        <v>38740</v>
      </c>
      <c r="D9432" s="2" t="str">
        <f>""</f>
        <v/>
      </c>
      <c r="E9432" s="2" t="s">
        <v>301</v>
      </c>
      <c r="F9432" s="2" t="s">
        <v>38741</v>
      </c>
      <c r="G9432" s="2" t="str">
        <f>"SR-13182"</f>
        <v>SR-13182</v>
      </c>
      <c r="H9432" s="2" t="s">
        <v>38742</v>
      </c>
      <c r="N9432" s="2" t="s">
        <v>21</v>
      </c>
    </row>
    <row r="9433" ht="15.75" customHeight="1">
      <c r="A9433" s="2">
        <v>2018.0</v>
      </c>
      <c r="B9433" s="2" t="s">
        <v>38743</v>
      </c>
      <c r="C9433" s="2" t="s">
        <v>38743</v>
      </c>
      <c r="D9433" s="2" t="str">
        <f>"4053651379"</f>
        <v>4053651379</v>
      </c>
      <c r="E9433" s="2" t="s">
        <v>301</v>
      </c>
      <c r="F9433" s="2" t="s">
        <v>18583</v>
      </c>
      <c r="G9433" s="2" t="str">
        <f>"SR-13245"</f>
        <v>SR-13245</v>
      </c>
      <c r="H9433" s="2" t="s">
        <v>38744</v>
      </c>
      <c r="I9433" s="2" t="s">
        <v>38745</v>
      </c>
      <c r="K9433" s="2" t="s">
        <v>6622</v>
      </c>
      <c r="L9433" s="2" t="s">
        <v>840</v>
      </c>
      <c r="M9433" s="2">
        <v>73149.0</v>
      </c>
      <c r="N9433" s="2" t="s">
        <v>21</v>
      </c>
    </row>
    <row r="9434" ht="15.75" customHeight="1">
      <c r="A9434" s="2">
        <v>2018.0</v>
      </c>
      <c r="B9434" s="2" t="s">
        <v>38746</v>
      </c>
      <c r="C9434" s="2" t="s">
        <v>38746</v>
      </c>
      <c r="D9434" s="2" t="str">
        <f>"7854993352"</f>
        <v>7854993352</v>
      </c>
      <c r="E9434" s="2" t="s">
        <v>3499</v>
      </c>
      <c r="F9434" s="2" t="s">
        <v>639</v>
      </c>
      <c r="G9434" s="2" t="str">
        <f>"SR-13232"</f>
        <v>SR-13232</v>
      </c>
      <c r="H9434" s="2" t="s">
        <v>38747</v>
      </c>
      <c r="I9434" s="2" t="s">
        <v>38748</v>
      </c>
      <c r="K9434" s="2" t="s">
        <v>12005</v>
      </c>
      <c r="L9434" s="2" t="s">
        <v>272</v>
      </c>
      <c r="M9434" s="2">
        <v>66834.0</v>
      </c>
      <c r="N9434" s="2" t="s">
        <v>21</v>
      </c>
    </row>
    <row r="9435" ht="15.75" customHeight="1">
      <c r="A9435" s="2">
        <v>2018.0</v>
      </c>
      <c r="B9435" s="2" t="s">
        <v>10679</v>
      </c>
      <c r="C9435" s="2" t="s">
        <v>38749</v>
      </c>
      <c r="D9435" s="2" t="str">
        <f>"770-324-5024"</f>
        <v>770-324-5024</v>
      </c>
      <c r="E9435" s="2" t="s">
        <v>3511</v>
      </c>
      <c r="F9435" s="2" t="s">
        <v>1151</v>
      </c>
      <c r="G9435" s="2" t="str">
        <f>"SR-13215"</f>
        <v>SR-13215</v>
      </c>
      <c r="H9435" s="2" t="s">
        <v>38750</v>
      </c>
      <c r="I9435" s="2" t="s">
        <v>10682</v>
      </c>
      <c r="K9435" s="2" t="s">
        <v>10683</v>
      </c>
      <c r="L9435" s="2" t="s">
        <v>200</v>
      </c>
      <c r="M9435" s="2">
        <v>30339.0</v>
      </c>
      <c r="N9435" s="2" t="s">
        <v>21</v>
      </c>
    </row>
    <row r="9436" ht="15.75" customHeight="1">
      <c r="A9436" s="2">
        <v>2018.0</v>
      </c>
      <c r="B9436" s="2" t="s">
        <v>6964</v>
      </c>
      <c r="C9436" s="2" t="s">
        <v>38751</v>
      </c>
      <c r="D9436" s="2" t="str">
        <f>"7044417252"</f>
        <v>7044417252</v>
      </c>
      <c r="E9436" s="2" t="s">
        <v>261</v>
      </c>
      <c r="F9436" s="2" t="s">
        <v>6966</v>
      </c>
      <c r="G9436" s="2" t="str">
        <f>"SR-13267"</f>
        <v>SR-13267</v>
      </c>
      <c r="H9436" s="2" t="s">
        <v>30496</v>
      </c>
      <c r="I9436" s="2">
        <v>603.0</v>
      </c>
      <c r="J9436" s="2" t="s">
        <v>6968</v>
      </c>
      <c r="K9436" s="2" t="s">
        <v>4519</v>
      </c>
      <c r="L9436" s="2" t="s">
        <v>20</v>
      </c>
      <c r="M9436" s="2">
        <v>28112.0</v>
      </c>
      <c r="N9436" s="2" t="s">
        <v>21</v>
      </c>
    </row>
    <row r="9437" ht="15.75" customHeight="1">
      <c r="A9437" s="2">
        <v>2018.0</v>
      </c>
      <c r="B9437" s="2" t="s">
        <v>38752</v>
      </c>
      <c r="C9437" s="2" t="s">
        <v>38752</v>
      </c>
      <c r="D9437" s="2" t="str">
        <f>"4029630188"</f>
        <v>4029630188</v>
      </c>
      <c r="E9437" s="2" t="s">
        <v>908</v>
      </c>
      <c r="F9437" s="2" t="s">
        <v>38753</v>
      </c>
      <c r="G9437" s="2" t="str">
        <f>"SR-13269"</f>
        <v>SR-13269</v>
      </c>
      <c r="H9437" s="2" t="s">
        <v>38754</v>
      </c>
      <c r="I9437" s="2" t="s">
        <v>38755</v>
      </c>
      <c r="K9437" s="2" t="s">
        <v>1470</v>
      </c>
      <c r="L9437" s="2" t="s">
        <v>757</v>
      </c>
      <c r="M9437" s="2">
        <v>68122.0</v>
      </c>
      <c r="N9437" s="2" t="s">
        <v>21</v>
      </c>
    </row>
    <row r="9438" ht="15.75" customHeight="1">
      <c r="A9438" s="2">
        <v>2018.0</v>
      </c>
      <c r="B9438" s="2" t="s">
        <v>38756</v>
      </c>
      <c r="C9438" s="2" t="s">
        <v>38756</v>
      </c>
      <c r="D9438" s="2" t="str">
        <f>"9523349234"</f>
        <v>9523349234</v>
      </c>
      <c r="E9438" s="2" t="s">
        <v>1251</v>
      </c>
      <c r="F9438" s="2" t="s">
        <v>38757</v>
      </c>
      <c r="G9438" s="2" t="str">
        <f>"SR-13204"</f>
        <v>SR-13204</v>
      </c>
      <c r="H9438" s="2" t="s">
        <v>38758</v>
      </c>
      <c r="I9438" s="2" t="s">
        <v>38759</v>
      </c>
      <c r="K9438" s="2" t="s">
        <v>4944</v>
      </c>
      <c r="L9438" s="2" t="s">
        <v>62</v>
      </c>
      <c r="M9438" s="2">
        <v>55345.0</v>
      </c>
      <c r="N9438" s="2" t="s">
        <v>21</v>
      </c>
    </row>
    <row r="9439" ht="15.75" customHeight="1">
      <c r="A9439" s="2">
        <v>2018.0</v>
      </c>
      <c r="B9439" s="2" t="s">
        <v>1873</v>
      </c>
      <c r="C9439" s="2" t="s">
        <v>31387</v>
      </c>
      <c r="D9439" s="2" t="str">
        <f>"8645531004"</f>
        <v>8645531004</v>
      </c>
      <c r="E9439" s="2" t="s">
        <v>31388</v>
      </c>
      <c r="F9439" s="2" t="s">
        <v>18421</v>
      </c>
      <c r="G9439" s="2" t="str">
        <f>"SR-8492"</f>
        <v>SR-8492</v>
      </c>
      <c r="H9439" s="2" t="s">
        <v>31389</v>
      </c>
      <c r="I9439" s="2" t="s">
        <v>18423</v>
      </c>
      <c r="K9439" s="2" t="s">
        <v>1878</v>
      </c>
      <c r="L9439" s="2" t="s">
        <v>55</v>
      </c>
      <c r="M9439" s="2">
        <v>29681.0</v>
      </c>
      <c r="N9439" s="2" t="s">
        <v>21</v>
      </c>
    </row>
    <row r="9440" ht="15.75" customHeight="1">
      <c r="A9440" s="2">
        <v>2018.0</v>
      </c>
      <c r="B9440" s="2" t="s">
        <v>37605</v>
      </c>
      <c r="C9440" s="2" t="s">
        <v>38760</v>
      </c>
      <c r="D9440" s="2" t="str">
        <f>"6148027041"</f>
        <v>6148027041</v>
      </c>
      <c r="E9440" s="2" t="s">
        <v>373</v>
      </c>
      <c r="F9440" s="2" t="s">
        <v>38761</v>
      </c>
      <c r="G9440" s="2" t="str">
        <f>"SR-13273"</f>
        <v>SR-13273</v>
      </c>
      <c r="H9440" s="2" t="s">
        <v>38762</v>
      </c>
      <c r="I9440" s="2" t="s">
        <v>38763</v>
      </c>
      <c r="K9440" s="2" t="s">
        <v>489</v>
      </c>
      <c r="L9440" s="2" t="s">
        <v>344</v>
      </c>
      <c r="M9440" s="2">
        <v>43082.0</v>
      </c>
      <c r="N9440" s="2" t="s">
        <v>21</v>
      </c>
    </row>
    <row r="9441" ht="15.75" customHeight="1">
      <c r="A9441" s="2">
        <v>2018.0</v>
      </c>
      <c r="B9441" s="2" t="s">
        <v>38764</v>
      </c>
      <c r="C9441" s="2" t="s">
        <v>38765</v>
      </c>
      <c r="D9441" s="2" t="str">
        <f>"361-446-4450"</f>
        <v>361-446-4450</v>
      </c>
      <c r="E9441" s="2" t="s">
        <v>38766</v>
      </c>
      <c r="F9441" s="2" t="s">
        <v>38767</v>
      </c>
      <c r="G9441" s="2" t="str">
        <f>"SR-13228"</f>
        <v>SR-13228</v>
      </c>
      <c r="H9441" s="2" t="s">
        <v>38768</v>
      </c>
      <c r="I9441" s="2" t="s">
        <v>38769</v>
      </c>
      <c r="K9441" s="2" t="s">
        <v>3987</v>
      </c>
      <c r="L9441" s="2" t="s">
        <v>172</v>
      </c>
      <c r="M9441" s="2">
        <v>78414.0</v>
      </c>
      <c r="N9441" s="2" t="s">
        <v>21</v>
      </c>
    </row>
    <row r="9442" ht="15.75" customHeight="1">
      <c r="A9442" s="2">
        <v>2018.0</v>
      </c>
      <c r="B9442" s="2" t="s">
        <v>32947</v>
      </c>
      <c r="C9442" s="2" t="s">
        <v>32948</v>
      </c>
      <c r="D9442" s="2" t="str">
        <f>"12082019734"</f>
        <v>12082019734</v>
      </c>
      <c r="E9442" s="2" t="s">
        <v>137</v>
      </c>
      <c r="F9442" s="2" t="s">
        <v>3440</v>
      </c>
      <c r="G9442" s="2" t="str">
        <f>"SR-13246"</f>
        <v>SR-13246</v>
      </c>
      <c r="H9442" s="2" t="s">
        <v>38770</v>
      </c>
      <c r="I9442" s="2" t="s">
        <v>38771</v>
      </c>
      <c r="K9442" s="2" t="s">
        <v>293</v>
      </c>
      <c r="L9442" s="2" t="s">
        <v>222</v>
      </c>
      <c r="M9442" s="2">
        <v>93108.0</v>
      </c>
      <c r="N9442" s="2" t="s">
        <v>21</v>
      </c>
    </row>
    <row r="9443" ht="15.75" customHeight="1">
      <c r="A9443" s="2">
        <v>2018.0</v>
      </c>
      <c r="B9443" s="2" t="s">
        <v>38772</v>
      </c>
      <c r="C9443" s="2" t="s">
        <v>38772</v>
      </c>
      <c r="D9443" s="2" t="str">
        <f>"2764943277"</f>
        <v>2764943277</v>
      </c>
      <c r="E9443" s="2" t="s">
        <v>301</v>
      </c>
      <c r="F9443" s="2" t="s">
        <v>666</v>
      </c>
      <c r="G9443" s="2" t="str">
        <f>"SR-13074"</f>
        <v>SR-13074</v>
      </c>
      <c r="H9443" s="2" t="s">
        <v>38773</v>
      </c>
      <c r="I9443" s="2" t="s">
        <v>38774</v>
      </c>
      <c r="J9443" s="2" t="s">
        <v>38775</v>
      </c>
      <c r="K9443" s="2" t="s">
        <v>38776</v>
      </c>
      <c r="L9443" s="2" t="s">
        <v>165</v>
      </c>
      <c r="M9443" s="2">
        <v>24256.0</v>
      </c>
      <c r="N9443" s="2" t="s">
        <v>21</v>
      </c>
    </row>
    <row r="9444" ht="15.75" customHeight="1">
      <c r="A9444" s="2">
        <v>2018.0</v>
      </c>
      <c r="B9444" s="2" t="s">
        <v>25887</v>
      </c>
      <c r="C9444" s="2" t="s">
        <v>38777</v>
      </c>
      <c r="D9444" s="2" t="str">
        <f>"423-598-9661"</f>
        <v>423-598-9661</v>
      </c>
      <c r="E9444" s="2" t="s">
        <v>38778</v>
      </c>
      <c r="F9444" s="2" t="s">
        <v>639</v>
      </c>
      <c r="G9444" s="2" t="str">
        <f>"SR-13170"</f>
        <v>SR-13170</v>
      </c>
      <c r="H9444" s="2" t="s">
        <v>38779</v>
      </c>
      <c r="I9444" s="2" t="s">
        <v>38780</v>
      </c>
      <c r="K9444" s="2" t="s">
        <v>4310</v>
      </c>
      <c r="L9444" s="2" t="s">
        <v>279</v>
      </c>
      <c r="M9444" s="2">
        <v>37321.0</v>
      </c>
      <c r="N9444" s="2" t="s">
        <v>21</v>
      </c>
    </row>
    <row r="9445" ht="15.75" customHeight="1">
      <c r="A9445" s="2">
        <v>2018.0</v>
      </c>
      <c r="B9445" s="2" t="s">
        <v>38781</v>
      </c>
      <c r="C9445" s="2" t="s">
        <v>34369</v>
      </c>
      <c r="D9445" s="2" t="str">
        <f>"260-715-5669"</f>
        <v>260-715-5669</v>
      </c>
      <c r="E9445" s="2" t="s">
        <v>386</v>
      </c>
      <c r="F9445" s="2" t="s">
        <v>34370</v>
      </c>
      <c r="G9445" s="2" t="str">
        <f>"SR-13282"</f>
        <v>SR-13282</v>
      </c>
      <c r="H9445" s="2" t="s">
        <v>34371</v>
      </c>
      <c r="I9445" s="2" t="s">
        <v>38782</v>
      </c>
      <c r="K9445" s="2" t="s">
        <v>34373</v>
      </c>
      <c r="L9445" s="2" t="s">
        <v>149</v>
      </c>
      <c r="M9445" s="2">
        <v>46797.0</v>
      </c>
      <c r="N9445" s="2" t="s">
        <v>21</v>
      </c>
    </row>
    <row r="9446" ht="15.75" customHeight="1">
      <c r="A9446" s="2">
        <v>2018.0</v>
      </c>
      <c r="B9446" s="2" t="s">
        <v>38783</v>
      </c>
      <c r="C9446" s="2" t="s">
        <v>38783</v>
      </c>
      <c r="D9446" s="2" t="str">
        <f>"1-651-762-4785"</f>
        <v>1-651-762-4785</v>
      </c>
      <c r="E9446" s="2" t="s">
        <v>38784</v>
      </c>
      <c r="F9446" s="2" t="s">
        <v>28633</v>
      </c>
      <c r="G9446" s="2" t="str">
        <f>"SR-13293"</f>
        <v>SR-13293</v>
      </c>
      <c r="H9446" s="2" t="s">
        <v>38785</v>
      </c>
      <c r="I9446" s="2" t="s">
        <v>38786</v>
      </c>
      <c r="K9446" s="2" t="s">
        <v>3037</v>
      </c>
      <c r="L9446" s="2" t="s">
        <v>62</v>
      </c>
      <c r="M9446" s="2">
        <v>55115.0</v>
      </c>
      <c r="N9446" s="2" t="s">
        <v>21</v>
      </c>
    </row>
    <row r="9447" ht="15.75" customHeight="1">
      <c r="A9447" s="2">
        <v>2018.0</v>
      </c>
      <c r="B9447" s="2" t="s">
        <v>38787</v>
      </c>
      <c r="C9447" s="2" t="s">
        <v>38788</v>
      </c>
      <c r="D9447" s="2" t="str">
        <f>"320-444-6690"</f>
        <v>320-444-6690</v>
      </c>
      <c r="E9447" s="2" t="s">
        <v>2259</v>
      </c>
      <c r="F9447" s="2" t="s">
        <v>38789</v>
      </c>
      <c r="G9447" s="2" t="str">
        <f>"SR-13296"</f>
        <v>SR-13296</v>
      </c>
      <c r="H9447" s="2" t="s">
        <v>38790</v>
      </c>
      <c r="I9447" s="2" t="s">
        <v>38791</v>
      </c>
      <c r="K9447" s="2" t="s">
        <v>38792</v>
      </c>
      <c r="L9447" s="2" t="s">
        <v>62</v>
      </c>
      <c r="M9447" s="2">
        <v>56253.0</v>
      </c>
      <c r="N9447" s="2" t="s">
        <v>21</v>
      </c>
    </row>
    <row r="9448" ht="15.75" customHeight="1">
      <c r="A9448" s="2">
        <v>2018.0</v>
      </c>
      <c r="B9448" s="2" t="s">
        <v>38793</v>
      </c>
      <c r="C9448" s="2" t="s">
        <v>38794</v>
      </c>
      <c r="D9448" s="2" t="str">
        <f>"913-259-2524"</f>
        <v>913-259-2524</v>
      </c>
      <c r="E9448" s="2" t="s">
        <v>18964</v>
      </c>
      <c r="F9448" s="2" t="s">
        <v>18796</v>
      </c>
      <c r="G9448" s="2" t="str">
        <f>"SR-13297"</f>
        <v>SR-13297</v>
      </c>
      <c r="H9448" s="2" t="s">
        <v>38795</v>
      </c>
      <c r="I9448" s="2" t="s">
        <v>18798</v>
      </c>
      <c r="K9448" s="2" t="s">
        <v>1054</v>
      </c>
      <c r="L9448" s="2" t="s">
        <v>272</v>
      </c>
      <c r="M9448" s="2">
        <v>66072.0</v>
      </c>
      <c r="N9448" s="2" t="s">
        <v>21</v>
      </c>
    </row>
    <row r="9449" ht="15.75" customHeight="1">
      <c r="A9449" s="2">
        <v>2018.0</v>
      </c>
      <c r="B9449" s="2" t="s">
        <v>38796</v>
      </c>
      <c r="C9449" s="2" t="s">
        <v>38797</v>
      </c>
      <c r="D9449" s="2" t="str">
        <f>"4795314041"</f>
        <v>4795314041</v>
      </c>
      <c r="E9449" s="2" t="s">
        <v>678</v>
      </c>
      <c r="F9449" s="2" t="s">
        <v>38798</v>
      </c>
      <c r="G9449" s="2" t="str">
        <f>"SR-13202"</f>
        <v>SR-13202</v>
      </c>
      <c r="H9449" s="2" t="s">
        <v>38799</v>
      </c>
      <c r="I9449" s="2" t="s">
        <v>38800</v>
      </c>
      <c r="K9449" s="2" t="s">
        <v>1170</v>
      </c>
      <c r="L9449" s="2" t="s">
        <v>1012</v>
      </c>
      <c r="M9449" s="2">
        <v>72756.0</v>
      </c>
      <c r="N9449" s="2" t="s">
        <v>21</v>
      </c>
    </row>
    <row r="9450" ht="15.75" customHeight="1">
      <c r="A9450" s="2">
        <v>2018.0</v>
      </c>
      <c r="B9450" s="2" t="s">
        <v>38801</v>
      </c>
      <c r="C9450" s="2" t="s">
        <v>38801</v>
      </c>
      <c r="D9450" s="2" t="str">
        <f>"4325286072"</f>
        <v>4325286072</v>
      </c>
      <c r="E9450" s="2" t="s">
        <v>922</v>
      </c>
      <c r="F9450" s="2" t="s">
        <v>283</v>
      </c>
      <c r="G9450" s="2" t="str">
        <f>"SR-13298"</f>
        <v>SR-13298</v>
      </c>
      <c r="H9450" s="2" t="s">
        <v>38802</v>
      </c>
      <c r="I9450" s="2" t="s">
        <v>38803</v>
      </c>
      <c r="K9450" s="2" t="s">
        <v>286</v>
      </c>
      <c r="L9450" s="2" t="s">
        <v>172</v>
      </c>
      <c r="M9450" s="2">
        <v>79705.0</v>
      </c>
      <c r="N9450" s="2" t="s">
        <v>21</v>
      </c>
    </row>
    <row r="9451" ht="15.75" customHeight="1">
      <c r="A9451" s="2">
        <v>2018.0</v>
      </c>
      <c r="B9451" s="2" t="s">
        <v>11810</v>
      </c>
      <c r="C9451" s="2" t="s">
        <v>38804</v>
      </c>
      <c r="D9451" s="2" t="str">
        <f>"6154141151"</f>
        <v>6154141151</v>
      </c>
      <c r="E9451" s="2" t="s">
        <v>301</v>
      </c>
      <c r="F9451" s="2" t="s">
        <v>9537</v>
      </c>
      <c r="G9451" s="2" t="str">
        <f>"SR-13295"</f>
        <v>SR-13295</v>
      </c>
      <c r="H9451" s="2" t="s">
        <v>38805</v>
      </c>
      <c r="I9451" s="2" t="s">
        <v>28184</v>
      </c>
      <c r="K9451" s="2" t="s">
        <v>28185</v>
      </c>
      <c r="L9451" s="2" t="s">
        <v>279</v>
      </c>
      <c r="M9451" s="2">
        <v>37153.0</v>
      </c>
      <c r="N9451" s="2" t="s">
        <v>21</v>
      </c>
    </row>
    <row r="9452" ht="15.75" customHeight="1">
      <c r="A9452" s="2">
        <v>2018.0</v>
      </c>
      <c r="B9452" s="2" t="s">
        <v>9088</v>
      </c>
      <c r="C9452" s="2" t="s">
        <v>38806</v>
      </c>
      <c r="D9452" s="2" t="str">
        <f>"608-617-6142"</f>
        <v>608-617-6142</v>
      </c>
      <c r="E9452" s="2" t="s">
        <v>6098</v>
      </c>
      <c r="F9452" s="2" t="s">
        <v>2752</v>
      </c>
      <c r="G9452" s="2" t="str">
        <f>"SR-13127"</f>
        <v>SR-13127</v>
      </c>
      <c r="H9452" s="2" t="s">
        <v>38807</v>
      </c>
      <c r="I9452" s="2" t="s">
        <v>38808</v>
      </c>
      <c r="K9452" s="2" t="s">
        <v>9092</v>
      </c>
      <c r="L9452" s="2" t="s">
        <v>193</v>
      </c>
      <c r="M9452" s="2">
        <v>53901.0</v>
      </c>
      <c r="N9452" s="2" t="s">
        <v>21</v>
      </c>
    </row>
    <row r="9453" ht="15.75" customHeight="1">
      <c r="A9453" s="2">
        <v>2018.0</v>
      </c>
      <c r="B9453" s="2" t="s">
        <v>7060</v>
      </c>
      <c r="C9453" s="2" t="s">
        <v>38809</v>
      </c>
      <c r="D9453" s="2" t="str">
        <f>"720-393-0833"</f>
        <v>720-393-0833</v>
      </c>
      <c r="E9453" s="2" t="s">
        <v>144</v>
      </c>
      <c r="F9453" s="2" t="s">
        <v>7062</v>
      </c>
      <c r="G9453" s="2" t="str">
        <f>"SR-13285"</f>
        <v>SR-13285</v>
      </c>
      <c r="H9453" s="2" t="s">
        <v>38810</v>
      </c>
      <c r="I9453" s="2" t="s">
        <v>23903</v>
      </c>
      <c r="K9453" s="2" t="s">
        <v>992</v>
      </c>
      <c r="L9453" s="2" t="s">
        <v>157</v>
      </c>
      <c r="M9453" s="2">
        <v>80122.0</v>
      </c>
      <c r="N9453" s="2" t="s">
        <v>21</v>
      </c>
    </row>
    <row r="9454" ht="15.75" customHeight="1">
      <c r="A9454" s="2">
        <v>2018.0</v>
      </c>
      <c r="B9454" s="2" t="s">
        <v>16409</v>
      </c>
      <c r="C9454" s="2" t="s">
        <v>38811</v>
      </c>
      <c r="D9454" s="2" t="str">
        <f>"9703052180"</f>
        <v>9703052180</v>
      </c>
      <c r="E9454" s="2" t="s">
        <v>1810</v>
      </c>
      <c r="F9454" s="2" t="s">
        <v>16412</v>
      </c>
      <c r="G9454" s="2" t="str">
        <f>"SR-13264"</f>
        <v>SR-13264</v>
      </c>
      <c r="H9454" s="2" t="s">
        <v>38812</v>
      </c>
      <c r="I9454" s="2" t="s">
        <v>16414</v>
      </c>
      <c r="K9454" s="2" t="s">
        <v>656</v>
      </c>
      <c r="L9454" s="2" t="s">
        <v>157</v>
      </c>
      <c r="M9454" s="2">
        <v>80528.0</v>
      </c>
      <c r="N9454" s="2" t="s">
        <v>21</v>
      </c>
    </row>
    <row r="9455" ht="15.75" customHeight="1">
      <c r="A9455" s="2">
        <v>2018.0</v>
      </c>
      <c r="B9455" s="2" t="s">
        <v>20992</v>
      </c>
      <c r="C9455" s="2" t="s">
        <v>20993</v>
      </c>
      <c r="D9455" s="2" t="str">
        <f>"4792648049"</f>
        <v>4792648049</v>
      </c>
      <c r="E9455" s="2" t="s">
        <v>938</v>
      </c>
      <c r="F9455" s="2" t="s">
        <v>10566</v>
      </c>
      <c r="G9455" s="2" t="str">
        <f>"SR-6295"</f>
        <v>SR-6295</v>
      </c>
      <c r="H9455" s="2" t="s">
        <v>20994</v>
      </c>
      <c r="I9455" s="2" t="s">
        <v>20995</v>
      </c>
      <c r="K9455" s="2" t="s">
        <v>20965</v>
      </c>
      <c r="L9455" s="2" t="s">
        <v>1012</v>
      </c>
      <c r="M9455" s="2">
        <v>72801.0</v>
      </c>
      <c r="N9455" s="2" t="s">
        <v>21</v>
      </c>
    </row>
    <row r="9456" ht="15.75" customHeight="1">
      <c r="A9456" s="2">
        <v>2018.0</v>
      </c>
      <c r="B9456" s="2" t="s">
        <v>38813</v>
      </c>
      <c r="C9456" s="2" t="s">
        <v>38814</v>
      </c>
      <c r="D9456" s="2" t="str">
        <f>"6784623235"</f>
        <v>6784623235</v>
      </c>
      <c r="E9456" s="2" t="s">
        <v>908</v>
      </c>
      <c r="F9456" s="2" t="s">
        <v>13779</v>
      </c>
      <c r="G9456" s="2" t="str">
        <f>"SR-13304"</f>
        <v>SR-13304</v>
      </c>
      <c r="H9456" s="2" t="s">
        <v>38815</v>
      </c>
      <c r="I9456" s="2" t="s">
        <v>38816</v>
      </c>
      <c r="K9456" s="2" t="s">
        <v>3164</v>
      </c>
      <c r="L9456" s="2" t="s">
        <v>200</v>
      </c>
      <c r="M9456" s="2">
        <v>30214.0</v>
      </c>
      <c r="N9456" s="2" t="s">
        <v>21</v>
      </c>
    </row>
    <row r="9457" ht="15.75" customHeight="1">
      <c r="A9457" s="2">
        <v>2018.0</v>
      </c>
      <c r="B9457" s="2" t="s">
        <v>38817</v>
      </c>
      <c r="C9457" s="2" t="s">
        <v>38818</v>
      </c>
      <c r="D9457" s="2" t="str">
        <f>"6202873792"</f>
        <v>6202873792</v>
      </c>
      <c r="E9457" s="2" t="s">
        <v>1946</v>
      </c>
      <c r="F9457" s="2" t="s">
        <v>5351</v>
      </c>
      <c r="G9457" s="2" t="str">
        <f>"SR-13283"</f>
        <v>SR-13283</v>
      </c>
      <c r="H9457" s="2" t="s">
        <v>38819</v>
      </c>
      <c r="I9457" s="2" t="s">
        <v>38820</v>
      </c>
      <c r="K9457" s="2" t="s">
        <v>6198</v>
      </c>
      <c r="L9457" s="2" t="s">
        <v>272</v>
      </c>
      <c r="M9457" s="2">
        <v>67449.0</v>
      </c>
      <c r="N9457" s="2" t="s">
        <v>21</v>
      </c>
    </row>
    <row r="9458" ht="15.75" customHeight="1">
      <c r="A9458" s="2">
        <v>2018.0</v>
      </c>
      <c r="B9458" s="2" t="s">
        <v>38821</v>
      </c>
      <c r="C9458" s="2" t="s">
        <v>38822</v>
      </c>
      <c r="D9458" s="2" t="str">
        <f>"8045030327"</f>
        <v>8045030327</v>
      </c>
      <c r="E9458" s="2" t="s">
        <v>13309</v>
      </c>
      <c r="F9458" s="2" t="s">
        <v>33707</v>
      </c>
      <c r="G9458" s="2" t="str">
        <f>"SR-13197"</f>
        <v>SR-13197</v>
      </c>
      <c r="H9458" s="2" t="s">
        <v>38823</v>
      </c>
      <c r="I9458" s="2" t="s">
        <v>33709</v>
      </c>
      <c r="K9458" s="2" t="s">
        <v>688</v>
      </c>
      <c r="L9458" s="2" t="s">
        <v>165</v>
      </c>
      <c r="M9458" s="2">
        <v>23233.0</v>
      </c>
      <c r="N9458" s="2" t="s">
        <v>21</v>
      </c>
    </row>
    <row r="9459" ht="15.75" customHeight="1">
      <c r="A9459" s="2">
        <v>2018.0</v>
      </c>
      <c r="B9459" s="2" t="s">
        <v>981</v>
      </c>
      <c r="C9459" s="2" t="s">
        <v>38824</v>
      </c>
      <c r="D9459" s="2" t="str">
        <f>"3033463294"</f>
        <v>3033463294</v>
      </c>
      <c r="E9459" s="2" t="s">
        <v>417</v>
      </c>
      <c r="F9459" s="2" t="s">
        <v>984</v>
      </c>
      <c r="G9459" s="2" t="str">
        <f>"SR-13311"</f>
        <v>SR-13311</v>
      </c>
      <c r="H9459" s="2" t="s">
        <v>38825</v>
      </c>
      <c r="I9459" s="2" t="s">
        <v>986</v>
      </c>
      <c r="K9459" s="2" t="s">
        <v>682</v>
      </c>
      <c r="L9459" s="2" t="s">
        <v>157</v>
      </c>
      <c r="M9459" s="2">
        <v>80126.0</v>
      </c>
      <c r="N9459" s="2" t="s">
        <v>21</v>
      </c>
    </row>
    <row r="9460" ht="15.75" customHeight="1">
      <c r="A9460" s="2">
        <v>2018.0</v>
      </c>
      <c r="B9460" s="2" t="s">
        <v>29409</v>
      </c>
      <c r="C9460" s="2" t="s">
        <v>29409</v>
      </c>
      <c r="D9460" s="2" t="str">
        <f>"2607053612"</f>
        <v>2607053612</v>
      </c>
      <c r="E9460" s="2" t="s">
        <v>137</v>
      </c>
      <c r="F9460" s="2" t="s">
        <v>29410</v>
      </c>
      <c r="G9460" s="2" t="str">
        <f>"SR-9149"</f>
        <v>SR-9149</v>
      </c>
      <c r="H9460" s="2" t="s">
        <v>29411</v>
      </c>
      <c r="I9460" s="2" t="s">
        <v>29412</v>
      </c>
      <c r="K9460" s="2" t="s">
        <v>4298</v>
      </c>
      <c r="L9460" s="2" t="s">
        <v>149</v>
      </c>
      <c r="M9460" s="2">
        <v>46816.0</v>
      </c>
      <c r="N9460" s="2" t="s">
        <v>21</v>
      </c>
    </row>
    <row r="9461" ht="15.75" customHeight="1">
      <c r="A9461" s="2">
        <v>2018.0</v>
      </c>
      <c r="B9461" s="2" t="s">
        <v>38826</v>
      </c>
      <c r="C9461" s="2" t="s">
        <v>38827</v>
      </c>
      <c r="D9461" s="2" t="str">
        <f>"7792217703"</f>
        <v>7792217703</v>
      </c>
      <c r="E9461" s="2" t="s">
        <v>301</v>
      </c>
      <c r="F9461" s="2" t="s">
        <v>962</v>
      </c>
      <c r="G9461" s="2" t="str">
        <f>"SR-13239"</f>
        <v>SR-13239</v>
      </c>
      <c r="H9461" s="2" t="s">
        <v>38828</v>
      </c>
      <c r="I9461" s="2" t="s">
        <v>38829</v>
      </c>
      <c r="K9461" s="2" t="s">
        <v>382</v>
      </c>
      <c r="L9461" s="2" t="s">
        <v>105</v>
      </c>
      <c r="M9461" s="2">
        <v>61114.0</v>
      </c>
      <c r="N9461" s="2" t="s">
        <v>21</v>
      </c>
    </row>
    <row r="9462" ht="15.75" customHeight="1">
      <c r="A9462" s="2">
        <v>2018.0</v>
      </c>
      <c r="B9462" s="2" t="s">
        <v>38830</v>
      </c>
      <c r="C9462" s="2" t="s">
        <v>38831</v>
      </c>
      <c r="D9462" s="2" t="str">
        <f>"(615) 678-2961"</f>
        <v>(615) 678-2961</v>
      </c>
      <c r="E9462" s="2" t="s">
        <v>908</v>
      </c>
      <c r="F9462" s="2" t="s">
        <v>18551</v>
      </c>
      <c r="G9462" s="2" t="str">
        <f>"SR-13306"</f>
        <v>SR-13306</v>
      </c>
      <c r="H9462" s="2" t="s">
        <v>38832</v>
      </c>
      <c r="I9462" s="2" t="s">
        <v>38833</v>
      </c>
      <c r="K9462" s="2" t="s">
        <v>38834</v>
      </c>
      <c r="L9462" s="2" t="s">
        <v>279</v>
      </c>
      <c r="M9462" s="2">
        <v>37086.0</v>
      </c>
      <c r="N9462" s="2" t="s">
        <v>21</v>
      </c>
    </row>
    <row r="9463" ht="15.75" customHeight="1">
      <c r="A9463" s="2">
        <v>2018.0</v>
      </c>
      <c r="B9463" s="2" t="s">
        <v>35448</v>
      </c>
      <c r="C9463" s="2" t="s">
        <v>37897</v>
      </c>
      <c r="D9463" s="2" t="str">
        <f>"6517469240"</f>
        <v>6517469240</v>
      </c>
      <c r="E9463" s="2" t="s">
        <v>10372</v>
      </c>
      <c r="F9463" s="2" t="s">
        <v>4098</v>
      </c>
      <c r="G9463" s="2" t="str">
        <f>"SR-13187"</f>
        <v>SR-13187</v>
      </c>
      <c r="H9463" s="2" t="s">
        <v>38835</v>
      </c>
      <c r="I9463" s="2" t="s">
        <v>37899</v>
      </c>
      <c r="K9463" s="2" t="s">
        <v>1260</v>
      </c>
      <c r="L9463" s="2" t="s">
        <v>172</v>
      </c>
      <c r="M9463" s="2">
        <v>76107.0</v>
      </c>
      <c r="N9463" s="2" t="s">
        <v>21</v>
      </c>
    </row>
    <row r="9464" ht="15.75" customHeight="1">
      <c r="A9464" s="2">
        <v>2018.0</v>
      </c>
      <c r="B9464" s="2" t="s">
        <v>35448</v>
      </c>
      <c r="C9464" s="2" t="s">
        <v>37897</v>
      </c>
      <c r="D9464" s="2" t="str">
        <f>"8179452319"</f>
        <v>8179452319</v>
      </c>
      <c r="E9464" s="2" t="s">
        <v>301</v>
      </c>
      <c r="F9464" s="2" t="s">
        <v>38836</v>
      </c>
      <c r="G9464" s="2" t="str">
        <f>"SR-13057"</f>
        <v>SR-13057</v>
      </c>
      <c r="H9464" s="2" t="s">
        <v>38837</v>
      </c>
      <c r="I9464" s="2" t="s">
        <v>37899</v>
      </c>
      <c r="K9464" s="2" t="s">
        <v>1260</v>
      </c>
      <c r="L9464" s="2" t="s">
        <v>172</v>
      </c>
      <c r="M9464" s="2">
        <v>76107.0</v>
      </c>
      <c r="N9464" s="2" t="s">
        <v>21</v>
      </c>
    </row>
    <row r="9465" ht="15.75" customHeight="1">
      <c r="A9465" s="2">
        <v>2018.0</v>
      </c>
      <c r="B9465" s="2" t="s">
        <v>38838</v>
      </c>
      <c r="C9465" s="2" t="s">
        <v>38838</v>
      </c>
      <c r="D9465" s="2" t="str">
        <f>"2602487210"</f>
        <v>2602487210</v>
      </c>
      <c r="E9465" s="2" t="s">
        <v>1141</v>
      </c>
      <c r="F9465" s="2" t="s">
        <v>38839</v>
      </c>
      <c r="G9465" s="2" t="str">
        <f>"SR-13319"</f>
        <v>SR-13319</v>
      </c>
      <c r="H9465" s="2" t="s">
        <v>38840</v>
      </c>
      <c r="I9465" s="2" t="s">
        <v>38841</v>
      </c>
      <c r="K9465" s="2" t="s">
        <v>38842</v>
      </c>
      <c r="L9465" s="2" t="s">
        <v>149</v>
      </c>
      <c r="M9465" s="2">
        <v>46701.0</v>
      </c>
      <c r="N9465" s="2" t="s">
        <v>21</v>
      </c>
    </row>
    <row r="9466" ht="15.75" customHeight="1">
      <c r="A9466" s="2">
        <v>2018.0</v>
      </c>
      <c r="B9466" s="2" t="s">
        <v>38843</v>
      </c>
      <c r="C9466" s="2" t="s">
        <v>38843</v>
      </c>
      <c r="D9466" s="2" t="str">
        <f>"765-429-4441"</f>
        <v>765-429-4441</v>
      </c>
      <c r="E9466" s="2" t="s">
        <v>938</v>
      </c>
      <c r="F9466" s="2" t="s">
        <v>38844</v>
      </c>
      <c r="G9466" s="2" t="str">
        <f>"SR-13318"</f>
        <v>SR-13318</v>
      </c>
      <c r="H9466" s="2" t="s">
        <v>38845</v>
      </c>
      <c r="I9466" s="2" t="s">
        <v>38846</v>
      </c>
      <c r="K9466" s="2" t="s">
        <v>1178</v>
      </c>
      <c r="L9466" s="2" t="s">
        <v>149</v>
      </c>
      <c r="M9466" s="2">
        <v>47905.0</v>
      </c>
      <c r="N9466" s="2" t="s">
        <v>21</v>
      </c>
    </row>
    <row r="9467" ht="15.75" customHeight="1">
      <c r="A9467" s="2">
        <v>2018.0</v>
      </c>
      <c r="B9467" s="2" t="s">
        <v>38847</v>
      </c>
      <c r="C9467" s="2" t="s">
        <v>38848</v>
      </c>
      <c r="D9467" s="2" t="str">
        <f>"2604491510"</f>
        <v>2604491510</v>
      </c>
      <c r="E9467" s="2" t="s">
        <v>3342</v>
      </c>
      <c r="F9467" s="2" t="s">
        <v>26666</v>
      </c>
      <c r="G9467" s="2" t="str">
        <f>"SR-13317"</f>
        <v>SR-13317</v>
      </c>
      <c r="H9467" s="2" t="s">
        <v>38849</v>
      </c>
      <c r="I9467" s="2" t="s">
        <v>38850</v>
      </c>
      <c r="K9467" s="2" t="s">
        <v>13862</v>
      </c>
      <c r="L9467" s="2" t="s">
        <v>149</v>
      </c>
      <c r="M9467" s="2">
        <v>46745.0</v>
      </c>
      <c r="N9467" s="2" t="s">
        <v>21</v>
      </c>
    </row>
    <row r="9468" ht="15.75" customHeight="1">
      <c r="A9468" s="2">
        <v>2018.0</v>
      </c>
      <c r="B9468" s="2" t="s">
        <v>38851</v>
      </c>
      <c r="C9468" s="2" t="s">
        <v>38852</v>
      </c>
      <c r="D9468" s="2" t="str">
        <f>"7048676606"</f>
        <v>7048676606</v>
      </c>
      <c r="E9468" s="2" t="s">
        <v>13300</v>
      </c>
      <c r="F9468" s="2" t="s">
        <v>38853</v>
      </c>
      <c r="G9468" s="2" t="str">
        <f>"SR-13208"</f>
        <v>SR-13208</v>
      </c>
      <c r="H9468" s="2" t="s">
        <v>38854</v>
      </c>
      <c r="I9468" s="2" t="s">
        <v>38855</v>
      </c>
      <c r="K9468" s="2" t="s">
        <v>38856</v>
      </c>
      <c r="L9468" s="2" t="s">
        <v>20</v>
      </c>
      <c r="M9468" s="2">
        <v>28054.0</v>
      </c>
      <c r="N9468" s="2" t="s">
        <v>21</v>
      </c>
    </row>
    <row r="9469" ht="15.75" customHeight="1">
      <c r="A9469" s="2">
        <v>2018.0</v>
      </c>
      <c r="B9469" s="2" t="s">
        <v>15926</v>
      </c>
      <c r="C9469" s="2" t="s">
        <v>38857</v>
      </c>
      <c r="D9469" s="2" t="str">
        <f>"847-254-3877"</f>
        <v>847-254-3877</v>
      </c>
      <c r="E9469" s="2" t="s">
        <v>38858</v>
      </c>
      <c r="F9469" s="2" t="s">
        <v>15928</v>
      </c>
      <c r="G9469" s="2" t="str">
        <f>"SR-9932"</f>
        <v>SR-9932</v>
      </c>
      <c r="H9469" s="2" t="s">
        <v>38859</v>
      </c>
      <c r="I9469" s="2" t="s">
        <v>38860</v>
      </c>
      <c r="K9469" s="2" t="s">
        <v>15931</v>
      </c>
      <c r="L9469" s="2" t="s">
        <v>105</v>
      </c>
      <c r="M9469" s="2">
        <v>60142.0</v>
      </c>
      <c r="N9469" s="2" t="s">
        <v>21</v>
      </c>
    </row>
    <row r="9470" ht="15.75" customHeight="1">
      <c r="A9470" s="2">
        <v>2018.0</v>
      </c>
      <c r="B9470" s="2" t="s">
        <v>38861</v>
      </c>
      <c r="C9470" s="2" t="s">
        <v>38862</v>
      </c>
      <c r="D9470" s="2" t="str">
        <f>"3035642920"</f>
        <v>3035642920</v>
      </c>
      <c r="E9470" s="2" t="s">
        <v>38863</v>
      </c>
      <c r="F9470" s="2" t="s">
        <v>38864</v>
      </c>
      <c r="G9470" s="2" t="str">
        <f>"SR-13324"</f>
        <v>SR-13324</v>
      </c>
      <c r="H9470" s="2" t="s">
        <v>38865</v>
      </c>
      <c r="I9470" s="2" t="s">
        <v>38866</v>
      </c>
      <c r="K9470" s="2" t="s">
        <v>1502</v>
      </c>
      <c r="L9470" s="2" t="s">
        <v>157</v>
      </c>
      <c r="M9470" s="2">
        <v>80004.0</v>
      </c>
      <c r="N9470" s="2" t="s">
        <v>21</v>
      </c>
    </row>
    <row r="9471" ht="15.75" customHeight="1">
      <c r="A9471" s="2">
        <v>2018.0</v>
      </c>
      <c r="B9471" s="2" t="s">
        <v>38867</v>
      </c>
      <c r="C9471" s="2" t="s">
        <v>38868</v>
      </c>
      <c r="D9471" s="2" t="str">
        <f>"7792109977"</f>
        <v>7792109977</v>
      </c>
      <c r="E9471" s="2" t="s">
        <v>267</v>
      </c>
      <c r="F9471" s="2" t="s">
        <v>38869</v>
      </c>
      <c r="G9471" s="2" t="str">
        <f>"SR-13308"</f>
        <v>SR-13308</v>
      </c>
      <c r="H9471" s="2" t="s">
        <v>38870</v>
      </c>
      <c r="I9471" s="2" t="s">
        <v>38871</v>
      </c>
      <c r="K9471" s="2" t="s">
        <v>382</v>
      </c>
      <c r="L9471" s="2" t="s">
        <v>105</v>
      </c>
      <c r="M9471" s="2">
        <v>61103.0</v>
      </c>
      <c r="N9471" s="2" t="s">
        <v>21</v>
      </c>
    </row>
    <row r="9472" ht="15.75" customHeight="1">
      <c r="A9472" s="2">
        <v>2018.0</v>
      </c>
      <c r="B9472" s="2" t="s">
        <v>38872</v>
      </c>
      <c r="C9472" s="2" t="s">
        <v>38873</v>
      </c>
      <c r="D9472" s="2" t="str">
        <f>"516 7706184"</f>
        <v>516 7706184</v>
      </c>
      <c r="E9472" s="2" t="s">
        <v>38874</v>
      </c>
      <c r="F9472" s="2" t="s">
        <v>38875</v>
      </c>
      <c r="G9472" s="2" t="str">
        <f>"SR-13326"</f>
        <v>SR-13326</v>
      </c>
      <c r="H9472" s="2" t="s">
        <v>38876</v>
      </c>
      <c r="I9472" s="2" t="s">
        <v>38877</v>
      </c>
      <c r="K9472" s="2" t="s">
        <v>34379</v>
      </c>
      <c r="L9472" s="2" t="s">
        <v>142</v>
      </c>
      <c r="M9472" s="2">
        <v>11783.0</v>
      </c>
      <c r="N9472" s="2" t="s">
        <v>21</v>
      </c>
    </row>
    <row r="9473" ht="15.75" customHeight="1">
      <c r="A9473" s="2">
        <v>2018.0</v>
      </c>
      <c r="B9473" s="2" t="s">
        <v>38878</v>
      </c>
      <c r="C9473" s="2" t="s">
        <v>38879</v>
      </c>
      <c r="D9473" s="2" t="str">
        <f>"4055936647"</f>
        <v>4055936647</v>
      </c>
      <c r="E9473" s="2" t="s">
        <v>1324</v>
      </c>
      <c r="F9473" s="2" t="s">
        <v>38880</v>
      </c>
      <c r="G9473" s="2" t="str">
        <f>"SR-13305"</f>
        <v>SR-13305</v>
      </c>
      <c r="H9473" s="2" t="s">
        <v>38881</v>
      </c>
      <c r="I9473" s="2" t="s">
        <v>38882</v>
      </c>
      <c r="K9473" s="2" t="s">
        <v>1546</v>
      </c>
      <c r="L9473" s="2" t="s">
        <v>840</v>
      </c>
      <c r="M9473" s="2">
        <v>73013.0</v>
      </c>
      <c r="N9473" s="2" t="s">
        <v>21</v>
      </c>
    </row>
    <row r="9474" ht="15.75" customHeight="1">
      <c r="A9474" s="2">
        <v>2018.0</v>
      </c>
      <c r="B9474" s="2" t="s">
        <v>38883</v>
      </c>
      <c r="C9474" s="2" t="s">
        <v>38883</v>
      </c>
      <c r="D9474" s="2" t="str">
        <f>"719-205-7929"</f>
        <v>719-205-7929</v>
      </c>
      <c r="E9474" s="2" t="s">
        <v>2126</v>
      </c>
      <c r="F9474" s="2" t="s">
        <v>38884</v>
      </c>
      <c r="G9474" s="2" t="str">
        <f>"SR-13322"</f>
        <v>SR-13322</v>
      </c>
      <c r="H9474" s="2" t="s">
        <v>38885</v>
      </c>
      <c r="I9474" s="2" t="s">
        <v>38886</v>
      </c>
      <c r="K9474" s="2" t="s">
        <v>507</v>
      </c>
      <c r="L9474" s="2" t="s">
        <v>157</v>
      </c>
      <c r="M9474" s="2">
        <v>80132.0</v>
      </c>
      <c r="N9474" s="2" t="s">
        <v>21</v>
      </c>
    </row>
    <row r="9475" ht="15.75" customHeight="1">
      <c r="A9475" s="2">
        <v>2018.0</v>
      </c>
      <c r="B9475" s="2" t="s">
        <v>38887</v>
      </c>
      <c r="C9475" s="2" t="s">
        <v>38887</v>
      </c>
      <c r="D9475" s="2" t="str">
        <f>"8038771788‚Ä¨"</f>
        <v>8038771788‚Ä¨</v>
      </c>
      <c r="E9475" s="2" t="s">
        <v>651</v>
      </c>
      <c r="F9475" s="2" t="s">
        <v>38888</v>
      </c>
      <c r="G9475" s="2" t="str">
        <f>"SR-13196"</f>
        <v>SR-13196</v>
      </c>
      <c r="H9475" s="2" t="s">
        <v>38889</v>
      </c>
      <c r="I9475" s="2" t="s">
        <v>38890</v>
      </c>
      <c r="K9475" s="2" t="s">
        <v>38891</v>
      </c>
      <c r="N9475" s="2" t="s">
        <v>38892</v>
      </c>
    </row>
    <row r="9476" ht="15.75" customHeight="1">
      <c r="A9476" s="2">
        <v>2018.0</v>
      </c>
      <c r="B9476" s="2" t="s">
        <v>38893</v>
      </c>
      <c r="C9476" s="2" t="s">
        <v>38894</v>
      </c>
      <c r="D9476" s="2" t="str">
        <f>"615-663-2297"</f>
        <v>615-663-2297</v>
      </c>
      <c r="E9476" s="2" t="s">
        <v>72</v>
      </c>
      <c r="F9476" s="2" t="s">
        <v>38895</v>
      </c>
      <c r="G9476" s="2" t="str">
        <f>"SR-13288"</f>
        <v>SR-13288</v>
      </c>
      <c r="H9476" s="2" t="s">
        <v>38896</v>
      </c>
      <c r="I9476" s="2" t="s">
        <v>38897</v>
      </c>
      <c r="K9476" s="2" t="s">
        <v>14005</v>
      </c>
      <c r="L9476" s="2" t="s">
        <v>279</v>
      </c>
      <c r="M9476" s="2">
        <v>37037.0</v>
      </c>
      <c r="N9476" s="2" t="s">
        <v>21</v>
      </c>
    </row>
    <row r="9477" ht="15.75" customHeight="1">
      <c r="A9477" s="2">
        <v>2018.0</v>
      </c>
      <c r="B9477" s="2" t="s">
        <v>38898</v>
      </c>
      <c r="C9477" s="2" t="s">
        <v>38898</v>
      </c>
      <c r="D9477" s="2" t="str">
        <f>"(719) 362-6861"</f>
        <v>(719) 362-6861</v>
      </c>
      <c r="E9477" s="2" t="s">
        <v>1039</v>
      </c>
      <c r="F9477" s="2" t="s">
        <v>1083</v>
      </c>
      <c r="G9477" s="2" t="str">
        <f>"SR-13321"</f>
        <v>SR-13321</v>
      </c>
      <c r="H9477" s="2" t="s">
        <v>38899</v>
      </c>
      <c r="I9477" s="2" t="s">
        <v>33221</v>
      </c>
      <c r="K9477" s="2" t="s">
        <v>809</v>
      </c>
      <c r="L9477" s="2" t="s">
        <v>157</v>
      </c>
      <c r="M9477" s="2">
        <v>80918.0</v>
      </c>
      <c r="N9477" s="2" t="s">
        <v>21</v>
      </c>
    </row>
    <row r="9478" ht="15.75" customHeight="1">
      <c r="A9478" s="2">
        <v>2018.0</v>
      </c>
      <c r="B9478" s="2" t="s">
        <v>38900</v>
      </c>
      <c r="C9478" s="2" t="s">
        <v>38901</v>
      </c>
      <c r="D9478" s="2" t="str">
        <f>"7193604544"</f>
        <v>7193604544</v>
      </c>
      <c r="E9478" s="2" t="s">
        <v>503</v>
      </c>
      <c r="F9478" s="2" t="s">
        <v>38902</v>
      </c>
      <c r="G9478" s="2" t="str">
        <f>"SR-13051"</f>
        <v>SR-13051</v>
      </c>
      <c r="H9478" s="2" t="s">
        <v>38903</v>
      </c>
      <c r="I9478" s="2" t="s">
        <v>38904</v>
      </c>
      <c r="K9478" s="2" t="s">
        <v>507</v>
      </c>
      <c r="L9478" s="2" t="s">
        <v>157</v>
      </c>
      <c r="M9478" s="2">
        <v>80132.0</v>
      </c>
      <c r="N9478" s="2" t="s">
        <v>21</v>
      </c>
    </row>
    <row r="9479" ht="15.75" customHeight="1">
      <c r="A9479" s="2">
        <v>2018.0</v>
      </c>
      <c r="B9479" s="2" t="s">
        <v>33199</v>
      </c>
      <c r="C9479" s="2" t="s">
        <v>33199</v>
      </c>
      <c r="D9479" s="2" t="str">
        <f>"9366356238"</f>
        <v>9366356238</v>
      </c>
      <c r="E9479" s="2" t="s">
        <v>843</v>
      </c>
      <c r="F9479" s="2" t="s">
        <v>33200</v>
      </c>
      <c r="G9479" s="2" t="str">
        <f>"SR-10189"</f>
        <v>SR-10189</v>
      </c>
      <c r="H9479" s="2" t="s">
        <v>33201</v>
      </c>
      <c r="I9479" s="2" t="s">
        <v>33202</v>
      </c>
      <c r="K9479" s="2" t="s">
        <v>7113</v>
      </c>
      <c r="L9479" s="2" t="s">
        <v>172</v>
      </c>
      <c r="M9479" s="2">
        <v>75915.0</v>
      </c>
      <c r="N9479" s="2" t="s">
        <v>21</v>
      </c>
    </row>
    <row r="9480" ht="15.75" customHeight="1">
      <c r="A9480" s="2">
        <v>2018.0</v>
      </c>
      <c r="B9480" s="2" t="s">
        <v>38905</v>
      </c>
      <c r="C9480" s="2" t="s">
        <v>38905</v>
      </c>
      <c r="D9480" s="2" t="str">
        <f>"(719)663-2890"</f>
        <v>(719)663-2890</v>
      </c>
      <c r="E9480" s="2" t="s">
        <v>18400</v>
      </c>
      <c r="F9480" s="2" t="s">
        <v>38906</v>
      </c>
      <c r="G9480" s="2" t="str">
        <f>"SR-13229"</f>
        <v>SR-13229</v>
      </c>
      <c r="H9480" s="2" t="s">
        <v>38907</v>
      </c>
      <c r="I9480" s="2" t="s">
        <v>38908</v>
      </c>
      <c r="K9480" s="2" t="s">
        <v>809</v>
      </c>
      <c r="L9480" s="2" t="s">
        <v>157</v>
      </c>
      <c r="M9480" s="2">
        <v>80921.0</v>
      </c>
      <c r="N9480" s="2" t="s">
        <v>21</v>
      </c>
    </row>
    <row r="9481" ht="15.75" customHeight="1">
      <c r="A9481" s="2">
        <v>2018.0</v>
      </c>
      <c r="B9481" s="2" t="s">
        <v>38909</v>
      </c>
      <c r="C9481" s="2" t="s">
        <v>38909</v>
      </c>
      <c r="D9481" s="2" t="str">
        <f t="shared" ref="D9481:D9482" si="160">"3203326612"</f>
        <v>3203326612</v>
      </c>
      <c r="E9481" s="2" t="s">
        <v>705</v>
      </c>
      <c r="F9481" s="2" t="s">
        <v>2511</v>
      </c>
      <c r="G9481" s="2" t="str">
        <f>"SR-13028"</f>
        <v>SR-13028</v>
      </c>
      <c r="H9481" s="2" t="s">
        <v>38910</v>
      </c>
      <c r="I9481" s="2" t="s">
        <v>38911</v>
      </c>
      <c r="K9481" s="2" t="s">
        <v>7486</v>
      </c>
      <c r="L9481" s="2" t="s">
        <v>62</v>
      </c>
      <c r="M9481" s="2">
        <v>55395.0</v>
      </c>
      <c r="N9481" s="2" t="s">
        <v>21</v>
      </c>
    </row>
    <row r="9482" ht="15.75" customHeight="1">
      <c r="A9482" s="2">
        <v>2018.0</v>
      </c>
      <c r="B9482" s="2" t="s">
        <v>38912</v>
      </c>
      <c r="C9482" s="2" t="s">
        <v>38913</v>
      </c>
      <c r="D9482" s="2" t="str">
        <f t="shared" si="160"/>
        <v>3203326612</v>
      </c>
      <c r="E9482" s="2" t="s">
        <v>10131</v>
      </c>
      <c r="F9482" s="2" t="s">
        <v>2511</v>
      </c>
      <c r="G9482" s="2" t="str">
        <f>"SR-13045"</f>
        <v>SR-13045</v>
      </c>
      <c r="H9482" s="2" t="s">
        <v>38914</v>
      </c>
      <c r="I9482" s="2" t="s">
        <v>38911</v>
      </c>
      <c r="K9482" s="2" t="s">
        <v>7486</v>
      </c>
      <c r="L9482" s="2" t="s">
        <v>62</v>
      </c>
      <c r="M9482" s="2">
        <v>55395.0</v>
      </c>
      <c r="N9482" s="2" t="s">
        <v>21</v>
      </c>
    </row>
    <row r="9483" ht="15.75" customHeight="1">
      <c r="A9483" s="2">
        <v>2018.0</v>
      </c>
      <c r="B9483" s="2" t="s">
        <v>38915</v>
      </c>
      <c r="C9483" s="2" t="s">
        <v>38916</v>
      </c>
      <c r="D9483" s="2" t="str">
        <f>"(260) 820-1138"</f>
        <v>(260) 820-1138</v>
      </c>
      <c r="E9483" s="2" t="s">
        <v>678</v>
      </c>
      <c r="F9483" s="2" t="s">
        <v>29133</v>
      </c>
      <c r="G9483" s="2" t="str">
        <f>"SR-13327"</f>
        <v>SR-13327</v>
      </c>
      <c r="H9483" s="2" t="s">
        <v>38917</v>
      </c>
      <c r="I9483" s="2" t="s">
        <v>29135</v>
      </c>
      <c r="K9483" s="2" t="s">
        <v>4552</v>
      </c>
      <c r="L9483" s="2" t="s">
        <v>149</v>
      </c>
      <c r="M9483" s="2">
        <v>46714.0</v>
      </c>
      <c r="N9483" s="2" t="s">
        <v>21</v>
      </c>
    </row>
    <row r="9484" ht="15.75" customHeight="1">
      <c r="A9484" s="2">
        <v>2018.0</v>
      </c>
      <c r="B9484" s="2" t="s">
        <v>38918</v>
      </c>
      <c r="C9484" s="2" t="s">
        <v>38918</v>
      </c>
      <c r="D9484" s="2" t="str">
        <f>"817-304-2927"</f>
        <v>817-304-2927</v>
      </c>
      <c r="E9484" s="2" t="s">
        <v>659</v>
      </c>
      <c r="F9484" s="2" t="s">
        <v>38919</v>
      </c>
      <c r="G9484" s="2" t="str">
        <f>"SR-13021"</f>
        <v>SR-13021</v>
      </c>
      <c r="H9484" s="2" t="s">
        <v>38920</v>
      </c>
      <c r="I9484" s="2" t="s">
        <v>38921</v>
      </c>
      <c r="K9484" s="2" t="s">
        <v>6017</v>
      </c>
      <c r="L9484" s="2" t="s">
        <v>172</v>
      </c>
      <c r="M9484" s="2">
        <v>76008.0</v>
      </c>
      <c r="N9484" s="2" t="s">
        <v>21</v>
      </c>
    </row>
    <row r="9485" ht="15.75" customHeight="1">
      <c r="A9485" s="2">
        <v>2018.0</v>
      </c>
      <c r="B9485" s="2" t="s">
        <v>28284</v>
      </c>
      <c r="C9485" s="2" t="s">
        <v>31096</v>
      </c>
      <c r="D9485" s="2" t="str">
        <f>"734-740-7164"</f>
        <v>734-740-7164</v>
      </c>
      <c r="E9485" s="2" t="s">
        <v>843</v>
      </c>
      <c r="F9485" s="2" t="s">
        <v>28286</v>
      </c>
      <c r="G9485" s="2" t="str">
        <f>"SR-10029"</f>
        <v>SR-10029</v>
      </c>
      <c r="H9485" s="2" t="s">
        <v>31097</v>
      </c>
      <c r="I9485" s="2" t="s">
        <v>31098</v>
      </c>
      <c r="K9485" s="2" t="s">
        <v>31099</v>
      </c>
      <c r="L9485" s="2" t="s">
        <v>29</v>
      </c>
      <c r="M9485" s="2">
        <v>48836.0</v>
      </c>
      <c r="N9485" s="2" t="s">
        <v>21</v>
      </c>
    </row>
    <row r="9486" ht="15.75" customHeight="1">
      <c r="A9486" s="2">
        <v>2018.0</v>
      </c>
      <c r="B9486" s="2" t="s">
        <v>28284</v>
      </c>
      <c r="C9486" s="2" t="s">
        <v>38922</v>
      </c>
      <c r="D9486" s="2" t="str">
        <f>"7347405894"</f>
        <v>7347405894</v>
      </c>
      <c r="E9486" s="2" t="s">
        <v>2941</v>
      </c>
      <c r="F9486" s="2" t="s">
        <v>28286</v>
      </c>
      <c r="G9486" s="2" t="str">
        <f>"SR-13361"</f>
        <v>SR-13361</v>
      </c>
      <c r="H9486" s="2" t="s">
        <v>38923</v>
      </c>
      <c r="I9486" s="2" t="s">
        <v>38924</v>
      </c>
      <c r="K9486" s="2" t="s">
        <v>31099</v>
      </c>
      <c r="L9486" s="2" t="s">
        <v>29</v>
      </c>
      <c r="M9486" s="2">
        <v>48836.0</v>
      </c>
      <c r="N9486" s="2" t="s">
        <v>21</v>
      </c>
    </row>
    <row r="9487" ht="15.75" customHeight="1">
      <c r="A9487" s="2">
        <v>2018.0</v>
      </c>
      <c r="B9487" s="2" t="s">
        <v>38925</v>
      </c>
      <c r="C9487" s="2" t="s">
        <v>38926</v>
      </c>
      <c r="D9487" s="2" t="str">
        <f>"260-747-1464"</f>
        <v>260-747-1464</v>
      </c>
      <c r="E9487" s="2" t="s">
        <v>167</v>
      </c>
      <c r="F9487" s="2" t="s">
        <v>17860</v>
      </c>
      <c r="G9487" s="2" t="str">
        <f>"SR-13364"</f>
        <v>SR-13364</v>
      </c>
      <c r="H9487" s="2" t="s">
        <v>38927</v>
      </c>
      <c r="I9487" s="2" t="s">
        <v>38928</v>
      </c>
      <c r="K9487" s="2" t="s">
        <v>4298</v>
      </c>
      <c r="L9487" s="2" t="s">
        <v>149</v>
      </c>
      <c r="M9487" s="2">
        <v>46809.0</v>
      </c>
      <c r="N9487" s="2" t="s">
        <v>21</v>
      </c>
    </row>
    <row r="9488" ht="15.75" customHeight="1">
      <c r="A9488" s="2">
        <v>2018.0</v>
      </c>
      <c r="B9488" s="2" t="s">
        <v>38929</v>
      </c>
      <c r="C9488" s="2" t="s">
        <v>38929</v>
      </c>
      <c r="D9488" s="2" t="str">
        <f>"615-848-8369"</f>
        <v>615-848-8369</v>
      </c>
      <c r="E9488" s="2" t="s">
        <v>38930</v>
      </c>
      <c r="F9488" s="2" t="s">
        <v>38931</v>
      </c>
      <c r="G9488" s="2" t="str">
        <f>"SR-13351"</f>
        <v>SR-13351</v>
      </c>
      <c r="H9488" s="2" t="s">
        <v>38932</v>
      </c>
      <c r="I9488" s="2" t="s">
        <v>38933</v>
      </c>
      <c r="K9488" s="2" t="s">
        <v>8278</v>
      </c>
      <c r="L9488" s="2" t="s">
        <v>29</v>
      </c>
      <c r="M9488" s="2">
        <v>49930.0</v>
      </c>
      <c r="N9488" s="2" t="s">
        <v>21</v>
      </c>
    </row>
    <row r="9489" ht="15.75" customHeight="1">
      <c r="A9489" s="2">
        <v>2018.0</v>
      </c>
      <c r="B9489" s="2" t="s">
        <v>38934</v>
      </c>
      <c r="C9489" s="2" t="s">
        <v>38935</v>
      </c>
      <c r="D9489" s="2" t="str">
        <f>"204-312-8525"</f>
        <v>204-312-8525</v>
      </c>
      <c r="E9489" s="2" t="s">
        <v>651</v>
      </c>
      <c r="F9489" s="2" t="s">
        <v>38936</v>
      </c>
      <c r="G9489" s="2" t="str">
        <f>"SR-13368"</f>
        <v>SR-13368</v>
      </c>
      <c r="H9489" s="2" t="s">
        <v>38937</v>
      </c>
      <c r="I9489" s="2" t="s">
        <v>38938</v>
      </c>
      <c r="K9489" s="2" t="s">
        <v>3231</v>
      </c>
      <c r="L9489" s="2" t="s">
        <v>1600</v>
      </c>
      <c r="M9489" s="2" t="s">
        <v>38939</v>
      </c>
      <c r="N9489" s="2" t="s">
        <v>1602</v>
      </c>
    </row>
    <row r="9490" ht="15.75" customHeight="1">
      <c r="A9490" s="2">
        <v>2018.0</v>
      </c>
      <c r="B9490" s="2" t="s">
        <v>38940</v>
      </c>
      <c r="D9490" s="2" t="str">
        <f>""</f>
        <v/>
      </c>
      <c r="E9490" s="2" t="s">
        <v>12699</v>
      </c>
      <c r="F9490" s="2" t="s">
        <v>778</v>
      </c>
      <c r="G9490" s="2" t="str">
        <f>"SR-13163"</f>
        <v>SR-13163</v>
      </c>
      <c r="H9490" s="2" t="s">
        <v>38941</v>
      </c>
      <c r="N9490" s="2" t="s">
        <v>21</v>
      </c>
    </row>
    <row r="9491" ht="15.75" customHeight="1">
      <c r="A9491" s="2">
        <v>2018.0</v>
      </c>
      <c r="B9491" s="2" t="s">
        <v>38942</v>
      </c>
      <c r="C9491" s="2" t="s">
        <v>38943</v>
      </c>
      <c r="D9491" s="2" t="str">
        <f>"505-662-4272"</f>
        <v>505-662-4272</v>
      </c>
      <c r="E9491" s="2" t="s">
        <v>167</v>
      </c>
      <c r="F9491" s="2" t="s">
        <v>38944</v>
      </c>
      <c r="G9491" s="2" t="str">
        <f>"SR-13373"</f>
        <v>SR-13373</v>
      </c>
      <c r="H9491" s="2" t="s">
        <v>38945</v>
      </c>
      <c r="I9491" s="2" t="s">
        <v>38946</v>
      </c>
      <c r="K9491" s="2" t="s">
        <v>16861</v>
      </c>
      <c r="L9491" s="2" t="s">
        <v>789</v>
      </c>
      <c r="M9491" s="2">
        <v>87544.0</v>
      </c>
      <c r="N9491" s="2" t="s">
        <v>21</v>
      </c>
    </row>
    <row r="9492" ht="15.75" customHeight="1">
      <c r="A9492" s="2">
        <v>2018.0</v>
      </c>
      <c r="B9492" s="2" t="s">
        <v>38947</v>
      </c>
      <c r="D9492" s="2" t="str">
        <f>""</f>
        <v/>
      </c>
      <c r="E9492" s="2" t="s">
        <v>1915</v>
      </c>
      <c r="F9492" s="2" t="s">
        <v>38948</v>
      </c>
      <c r="G9492" s="2" t="str">
        <f>"SR-13372"</f>
        <v>SR-13372</v>
      </c>
      <c r="H9492" s="2" t="s">
        <v>38949</v>
      </c>
      <c r="N9492" s="2" t="s">
        <v>21</v>
      </c>
    </row>
    <row r="9493" ht="15.75" customHeight="1">
      <c r="A9493" s="2">
        <v>2018.0</v>
      </c>
      <c r="B9493" s="2" t="s">
        <v>38950</v>
      </c>
      <c r="C9493" s="2" t="s">
        <v>38951</v>
      </c>
      <c r="D9493" s="2" t="str">
        <f>"2602860808"</f>
        <v>2602860808</v>
      </c>
      <c r="E9493" s="2" t="s">
        <v>1441</v>
      </c>
      <c r="F9493" s="2" t="s">
        <v>2863</v>
      </c>
      <c r="G9493" s="2" t="str">
        <f>"SR-13375"</f>
        <v>SR-13375</v>
      </c>
      <c r="H9493" s="2" t="s">
        <v>38952</v>
      </c>
      <c r="I9493" s="2" t="s">
        <v>29157</v>
      </c>
      <c r="K9493" s="2" t="s">
        <v>4298</v>
      </c>
      <c r="L9493" s="2" t="s">
        <v>149</v>
      </c>
      <c r="M9493" s="2">
        <v>46815.0</v>
      </c>
      <c r="N9493" s="2" t="s">
        <v>21</v>
      </c>
    </row>
    <row r="9494" ht="15.75" customHeight="1">
      <c r="A9494" s="2">
        <v>2018.0</v>
      </c>
      <c r="B9494" s="2" t="s">
        <v>38953</v>
      </c>
      <c r="C9494" s="2" t="s">
        <v>38953</v>
      </c>
      <c r="D9494" s="2" t="str">
        <f>"9709016994"</f>
        <v>9709016994</v>
      </c>
      <c r="E9494" s="2" t="s">
        <v>225</v>
      </c>
      <c r="F9494" s="2" t="s">
        <v>38954</v>
      </c>
      <c r="G9494" s="2" t="str">
        <f>"SR-13376"</f>
        <v>SR-13376</v>
      </c>
      <c r="H9494" s="2" t="s">
        <v>38955</v>
      </c>
      <c r="I9494" s="2" t="s">
        <v>38956</v>
      </c>
      <c r="K9494" s="2" t="s">
        <v>32284</v>
      </c>
      <c r="L9494" s="2" t="s">
        <v>157</v>
      </c>
      <c r="M9494" s="2">
        <v>81413.0</v>
      </c>
      <c r="N9494" s="2" t="s">
        <v>21</v>
      </c>
    </row>
    <row r="9495" ht="15.75" customHeight="1">
      <c r="A9495" s="2">
        <v>2018.0</v>
      </c>
      <c r="B9495" s="2" t="s">
        <v>23358</v>
      </c>
      <c r="C9495" s="2" t="s">
        <v>23358</v>
      </c>
      <c r="D9495" s="2" t="str">
        <f>"605-220-9654"</f>
        <v>605-220-9654</v>
      </c>
      <c r="E9495" s="2" t="s">
        <v>1094</v>
      </c>
      <c r="F9495" s="2" t="s">
        <v>8787</v>
      </c>
      <c r="G9495" s="2" t="str">
        <f>"SR-13384"</f>
        <v>SR-13384</v>
      </c>
      <c r="H9495" s="2" t="s">
        <v>38957</v>
      </c>
      <c r="I9495" s="2" t="s">
        <v>23360</v>
      </c>
      <c r="K9495" s="2" t="s">
        <v>4355</v>
      </c>
      <c r="L9495" s="2" t="s">
        <v>920</v>
      </c>
      <c r="M9495" s="2">
        <v>57501.0</v>
      </c>
      <c r="N9495" s="2" t="s">
        <v>21</v>
      </c>
    </row>
    <row r="9496" ht="15.75" customHeight="1">
      <c r="A9496" s="2">
        <v>2018.0</v>
      </c>
      <c r="B9496" s="2" t="s">
        <v>38958</v>
      </c>
      <c r="C9496" s="2" t="s">
        <v>38958</v>
      </c>
      <c r="D9496" s="2" t="str">
        <f>"(970) 765-4717"</f>
        <v>(970) 765-4717</v>
      </c>
      <c r="E9496" s="2" t="s">
        <v>1529</v>
      </c>
      <c r="F9496" s="2" t="s">
        <v>38959</v>
      </c>
      <c r="G9496" s="2" t="str">
        <f>"SR-13385"</f>
        <v>SR-13385</v>
      </c>
      <c r="H9496" s="2" t="s">
        <v>38960</v>
      </c>
      <c r="I9496" s="2" t="s">
        <v>38961</v>
      </c>
      <c r="K9496" s="2" t="s">
        <v>32284</v>
      </c>
      <c r="L9496" s="2" t="s">
        <v>157</v>
      </c>
      <c r="M9496" s="2">
        <v>81413.0</v>
      </c>
      <c r="N9496" s="2" t="s">
        <v>21</v>
      </c>
    </row>
    <row r="9497" ht="15.75" customHeight="1">
      <c r="A9497" s="2">
        <v>2018.0</v>
      </c>
      <c r="B9497" s="2" t="s">
        <v>38962</v>
      </c>
      <c r="C9497" s="2" t="s">
        <v>38963</v>
      </c>
      <c r="D9497" s="2" t="str">
        <f>"8153192300"</f>
        <v>8153192300</v>
      </c>
      <c r="E9497" s="2" t="s">
        <v>1810</v>
      </c>
      <c r="F9497" s="2" t="s">
        <v>29573</v>
      </c>
      <c r="G9497" s="2" t="str">
        <f>"SR-13271"</f>
        <v>SR-13271</v>
      </c>
      <c r="H9497" s="2" t="s">
        <v>38964</v>
      </c>
      <c r="I9497" s="2" t="s">
        <v>38965</v>
      </c>
      <c r="K9497" s="2" t="s">
        <v>8373</v>
      </c>
      <c r="L9497" s="2" t="s">
        <v>105</v>
      </c>
      <c r="M9497" s="2">
        <v>61008.0</v>
      </c>
      <c r="N9497" s="2" t="s">
        <v>21</v>
      </c>
    </row>
    <row r="9498" ht="15.75" customHeight="1">
      <c r="A9498" s="2">
        <v>2018.0</v>
      </c>
      <c r="B9498" s="2" t="s">
        <v>38966</v>
      </c>
      <c r="C9498" s="2" t="s">
        <v>38966</v>
      </c>
      <c r="D9498" s="2" t="str">
        <f>"(865)806-9830"</f>
        <v>(865)806-9830</v>
      </c>
      <c r="E9498" s="2" t="s">
        <v>385</v>
      </c>
      <c r="F9498" s="2" t="s">
        <v>38967</v>
      </c>
      <c r="G9498" s="2" t="str">
        <f>"SR-13387"</f>
        <v>SR-13387</v>
      </c>
      <c r="H9498" s="2" t="s">
        <v>38968</v>
      </c>
      <c r="I9498" s="2" t="s">
        <v>38969</v>
      </c>
      <c r="K9498" s="2" t="s">
        <v>38970</v>
      </c>
      <c r="L9498" s="2" t="s">
        <v>279</v>
      </c>
      <c r="M9498" s="2">
        <v>37769.0</v>
      </c>
      <c r="N9498" s="2" t="s">
        <v>21</v>
      </c>
    </row>
    <row r="9499" ht="15.75" customHeight="1">
      <c r="A9499" s="2">
        <v>2018.0</v>
      </c>
      <c r="B9499" s="2" t="s">
        <v>35314</v>
      </c>
      <c r="C9499" s="2" t="s">
        <v>38971</v>
      </c>
      <c r="D9499" s="2" t="str">
        <f>"7196617561"</f>
        <v>7196617561</v>
      </c>
      <c r="E9499" s="2" t="s">
        <v>503</v>
      </c>
      <c r="F9499" s="2" t="s">
        <v>2038</v>
      </c>
      <c r="G9499" s="2" t="str">
        <f>"SR-13203"</f>
        <v>SR-13203</v>
      </c>
      <c r="H9499" s="2" t="s">
        <v>38972</v>
      </c>
      <c r="I9499" s="2" t="s">
        <v>38973</v>
      </c>
      <c r="K9499" s="2" t="s">
        <v>38974</v>
      </c>
      <c r="L9499" s="2" t="s">
        <v>157</v>
      </c>
      <c r="M9499" s="2">
        <v>80920.0</v>
      </c>
      <c r="N9499" s="2" t="s">
        <v>21</v>
      </c>
    </row>
    <row r="9500" ht="15.75" customHeight="1">
      <c r="A9500" s="2">
        <v>2018.0</v>
      </c>
      <c r="B9500" s="2" t="s">
        <v>38975</v>
      </c>
      <c r="C9500" s="2" t="s">
        <v>38976</v>
      </c>
      <c r="D9500" s="2" t="str">
        <f>"8152998532"</f>
        <v>8152998532</v>
      </c>
      <c r="E9500" s="2" t="s">
        <v>10825</v>
      </c>
      <c r="F9500" s="2" t="s">
        <v>38977</v>
      </c>
      <c r="G9500" s="2" t="str">
        <f>"SR-13392"</f>
        <v>SR-13392</v>
      </c>
      <c r="H9500" s="2" t="s">
        <v>38978</v>
      </c>
      <c r="I9500" s="2" t="s">
        <v>38979</v>
      </c>
      <c r="K9500" s="2" t="s">
        <v>8373</v>
      </c>
      <c r="L9500" s="2" t="s">
        <v>105</v>
      </c>
      <c r="M9500" s="2">
        <v>61008.0</v>
      </c>
      <c r="N9500" s="2" t="s">
        <v>21</v>
      </c>
    </row>
    <row r="9501" ht="15.75" customHeight="1">
      <c r="A9501" s="2">
        <v>2018.0</v>
      </c>
      <c r="B9501" s="2" t="s">
        <v>21458</v>
      </c>
      <c r="D9501" s="2" t="str">
        <f>"7196459945"</f>
        <v>7196459945</v>
      </c>
      <c r="E9501" s="2" t="s">
        <v>1987</v>
      </c>
      <c r="F9501" s="2" t="s">
        <v>2863</v>
      </c>
      <c r="G9501" s="2" t="str">
        <f>"SR-13195"</f>
        <v>SR-13195</v>
      </c>
      <c r="H9501" s="2" t="s">
        <v>38980</v>
      </c>
      <c r="I9501" s="2" t="s">
        <v>21461</v>
      </c>
      <c r="K9501" s="2" t="s">
        <v>809</v>
      </c>
      <c r="L9501" s="2" t="s">
        <v>157</v>
      </c>
      <c r="M9501" s="2">
        <v>80920.0</v>
      </c>
      <c r="N9501" s="2" t="s">
        <v>21</v>
      </c>
    </row>
    <row r="9502" ht="15.75" customHeight="1">
      <c r="A9502" s="2">
        <v>2018.0</v>
      </c>
      <c r="B9502" s="2" t="s">
        <v>38981</v>
      </c>
      <c r="C9502" s="2" t="s">
        <v>38981</v>
      </c>
      <c r="D9502" s="2" t="str">
        <f>"786-383-6300"</f>
        <v>786-383-6300</v>
      </c>
      <c r="E9502" s="2" t="s">
        <v>1548</v>
      </c>
      <c r="F9502" s="2" t="s">
        <v>38982</v>
      </c>
      <c r="G9502" s="2" t="str">
        <f>"SR-13194"</f>
        <v>SR-13194</v>
      </c>
      <c r="H9502" s="2" t="s">
        <v>38983</v>
      </c>
      <c r="I9502" s="2" t="s">
        <v>38984</v>
      </c>
      <c r="K9502" s="2" t="s">
        <v>2211</v>
      </c>
      <c r="L9502" s="2" t="s">
        <v>208</v>
      </c>
      <c r="M9502" s="2">
        <v>33193.0</v>
      </c>
      <c r="N9502" s="2" t="s">
        <v>21</v>
      </c>
    </row>
    <row r="9503" ht="15.75" customHeight="1">
      <c r="A9503" s="2">
        <v>2018.0</v>
      </c>
      <c r="B9503" s="2" t="s">
        <v>38985</v>
      </c>
      <c r="C9503" s="2" t="s">
        <v>38985</v>
      </c>
      <c r="D9503" s="2" t="str">
        <f>"5209037664"</f>
        <v>5209037664</v>
      </c>
      <c r="E9503" s="2" t="s">
        <v>1520</v>
      </c>
      <c r="F9503" s="2" t="s">
        <v>4322</v>
      </c>
      <c r="G9503" s="2" t="str">
        <f>"SR-13226"</f>
        <v>SR-13226</v>
      </c>
      <c r="H9503" s="2" t="s">
        <v>38986</v>
      </c>
      <c r="I9503" s="2" t="s">
        <v>38987</v>
      </c>
      <c r="K9503" s="2" t="s">
        <v>5946</v>
      </c>
      <c r="L9503" s="2" t="s">
        <v>422</v>
      </c>
      <c r="M9503" s="2">
        <v>85747.0</v>
      </c>
      <c r="N9503" s="2" t="s">
        <v>21</v>
      </c>
    </row>
    <row r="9504" ht="15.75" customHeight="1">
      <c r="A9504" s="2">
        <v>2018.0</v>
      </c>
      <c r="B9504" s="2" t="s">
        <v>38988</v>
      </c>
      <c r="C9504" s="2" t="s">
        <v>38989</v>
      </c>
      <c r="D9504" s="2" t="str">
        <f>"5015297173"</f>
        <v>5015297173</v>
      </c>
      <c r="E9504" s="2" t="s">
        <v>678</v>
      </c>
      <c r="F9504" s="2" t="s">
        <v>4532</v>
      </c>
      <c r="G9504" s="2" t="str">
        <f>"SR-13054"</f>
        <v>SR-13054</v>
      </c>
      <c r="H9504" s="2" t="s">
        <v>38990</v>
      </c>
      <c r="I9504" s="2" t="s">
        <v>38991</v>
      </c>
      <c r="K9504" s="2" t="s">
        <v>456</v>
      </c>
      <c r="L9504" s="2" t="s">
        <v>715</v>
      </c>
      <c r="M9504" s="2">
        <v>70791.0</v>
      </c>
      <c r="N9504" s="2" t="s">
        <v>21</v>
      </c>
    </row>
    <row r="9505" ht="15.75" customHeight="1">
      <c r="A9505" s="2">
        <v>2018.0</v>
      </c>
      <c r="B9505" s="2" t="s">
        <v>38992</v>
      </c>
      <c r="C9505" s="2" t="s">
        <v>38992</v>
      </c>
      <c r="D9505" s="2" t="str">
        <f>"308-236-6095"</f>
        <v>308-236-6095</v>
      </c>
      <c r="E9505" s="2" t="s">
        <v>705</v>
      </c>
      <c r="F9505" s="2" t="s">
        <v>2955</v>
      </c>
      <c r="G9505" s="2" t="str">
        <f>"SR-10188"</f>
        <v>SR-10188</v>
      </c>
      <c r="H9505" s="2" t="s">
        <v>38993</v>
      </c>
      <c r="I9505" s="2" t="s">
        <v>38994</v>
      </c>
      <c r="K9505" s="2" t="s">
        <v>14870</v>
      </c>
      <c r="L9505" s="2" t="s">
        <v>757</v>
      </c>
      <c r="M9505" s="2">
        <v>68847.0</v>
      </c>
      <c r="N9505" s="2" t="s">
        <v>21</v>
      </c>
    </row>
    <row r="9506" ht="15.75" customHeight="1">
      <c r="A9506" s="2">
        <v>2018.0</v>
      </c>
      <c r="B9506" s="2" t="s">
        <v>38995</v>
      </c>
      <c r="C9506" s="2" t="s">
        <v>38996</v>
      </c>
      <c r="D9506" s="2" t="str">
        <f>"(903) 439-7698"</f>
        <v>(903) 439-7698</v>
      </c>
      <c r="E9506" s="2" t="s">
        <v>38997</v>
      </c>
      <c r="F9506" s="2" t="s">
        <v>38998</v>
      </c>
      <c r="G9506" s="2" t="str">
        <f>"SR-13362"</f>
        <v>SR-13362</v>
      </c>
      <c r="H9506" s="2" t="s">
        <v>38999</v>
      </c>
      <c r="I9506" s="2" t="s">
        <v>39000</v>
      </c>
      <c r="K9506" s="2" t="s">
        <v>6615</v>
      </c>
      <c r="L9506" s="2" t="s">
        <v>172</v>
      </c>
      <c r="M9506" s="2">
        <v>75457.0</v>
      </c>
      <c r="N9506" s="2" t="s">
        <v>21</v>
      </c>
    </row>
    <row r="9507" ht="15.75" customHeight="1">
      <c r="A9507" s="2">
        <v>2018.0</v>
      </c>
      <c r="B9507" s="2" t="s">
        <v>35448</v>
      </c>
      <c r="C9507" s="2" t="s">
        <v>37897</v>
      </c>
      <c r="D9507" s="2" t="str">
        <f t="shared" ref="D9507:D9508" si="161">"6517469240"</f>
        <v>6517469240</v>
      </c>
      <c r="E9507" s="2" t="s">
        <v>1251</v>
      </c>
      <c r="F9507" s="2" t="s">
        <v>39001</v>
      </c>
      <c r="G9507" s="2" t="str">
        <f>"SR-13188"</f>
        <v>SR-13188</v>
      </c>
      <c r="H9507" s="2" t="s">
        <v>39002</v>
      </c>
      <c r="I9507" s="2" t="s">
        <v>37899</v>
      </c>
      <c r="K9507" s="2" t="s">
        <v>1260</v>
      </c>
      <c r="L9507" s="2" t="s">
        <v>172</v>
      </c>
      <c r="M9507" s="2">
        <v>76107.0</v>
      </c>
      <c r="N9507" s="2" t="s">
        <v>21</v>
      </c>
    </row>
    <row r="9508" ht="15.75" customHeight="1">
      <c r="A9508" s="2">
        <v>2018.0</v>
      </c>
      <c r="B9508" s="2" t="s">
        <v>35448</v>
      </c>
      <c r="C9508" s="2" t="s">
        <v>37897</v>
      </c>
      <c r="D9508" s="2" t="str">
        <f t="shared" si="161"/>
        <v>6517469240</v>
      </c>
      <c r="E9508" s="2" t="s">
        <v>908</v>
      </c>
      <c r="F9508" s="2" t="s">
        <v>15431</v>
      </c>
      <c r="G9508" s="2" t="str">
        <f>"SR-13189"</f>
        <v>SR-13189</v>
      </c>
      <c r="H9508" s="2" t="s">
        <v>39003</v>
      </c>
      <c r="I9508" s="2" t="s">
        <v>37899</v>
      </c>
      <c r="K9508" s="2" t="s">
        <v>1260</v>
      </c>
      <c r="L9508" s="2" t="s">
        <v>172</v>
      </c>
      <c r="M9508" s="2">
        <v>76107.0</v>
      </c>
      <c r="N9508" s="2" t="s">
        <v>21</v>
      </c>
    </row>
    <row r="9509" ht="15.75" customHeight="1">
      <c r="A9509" s="2">
        <v>2018.0</v>
      </c>
      <c r="B9509" s="2" t="s">
        <v>29297</v>
      </c>
      <c r="C9509" s="2" t="s">
        <v>29297</v>
      </c>
      <c r="D9509" s="2" t="str">
        <f>"805 3044405"</f>
        <v>805 3044405</v>
      </c>
      <c r="E9509" s="2" t="s">
        <v>144</v>
      </c>
      <c r="F9509" s="2" t="s">
        <v>11986</v>
      </c>
      <c r="G9509" s="2" t="str">
        <f>"SR-9094"</f>
        <v>SR-9094</v>
      </c>
      <c r="H9509" s="2" t="s">
        <v>29298</v>
      </c>
      <c r="I9509" s="2" t="s">
        <v>29299</v>
      </c>
      <c r="K9509" s="2" t="s">
        <v>29300</v>
      </c>
      <c r="L9509" s="2" t="s">
        <v>222</v>
      </c>
      <c r="M9509" s="2">
        <v>93021.0</v>
      </c>
      <c r="N9509" s="2" t="s">
        <v>21</v>
      </c>
    </row>
    <row r="9510" ht="15.75" customHeight="1">
      <c r="A9510" s="2">
        <v>2018.0</v>
      </c>
      <c r="B9510" s="2" t="s">
        <v>39004</v>
      </c>
      <c r="C9510" s="2" t="s">
        <v>39004</v>
      </c>
      <c r="D9510" s="2" t="str">
        <f>"7133063398"</f>
        <v>7133063398</v>
      </c>
      <c r="E9510" s="2" t="s">
        <v>261</v>
      </c>
      <c r="F9510" s="2" t="s">
        <v>591</v>
      </c>
      <c r="G9510" s="2" t="str">
        <f>"SR-13400"</f>
        <v>SR-13400</v>
      </c>
      <c r="H9510" s="2" t="s">
        <v>39005</v>
      </c>
      <c r="I9510" s="2" t="s">
        <v>39006</v>
      </c>
      <c r="K9510" s="2" t="s">
        <v>4350</v>
      </c>
      <c r="L9510" s="2" t="s">
        <v>172</v>
      </c>
      <c r="M9510" s="2">
        <v>77375.0</v>
      </c>
      <c r="N9510" s="2" t="s">
        <v>21</v>
      </c>
    </row>
    <row r="9511" ht="15.75" customHeight="1">
      <c r="A9511" s="2">
        <v>2018.0</v>
      </c>
      <c r="B9511" s="2" t="s">
        <v>39007</v>
      </c>
      <c r="C9511" s="2" t="s">
        <v>39008</v>
      </c>
      <c r="D9511" s="2" t="str">
        <f>"276-733-8846"</f>
        <v>276-733-8846</v>
      </c>
      <c r="E9511" s="2" t="s">
        <v>39009</v>
      </c>
      <c r="F9511" s="2" t="s">
        <v>8787</v>
      </c>
      <c r="G9511" s="2" t="str">
        <f>"SR-13401"</f>
        <v>SR-13401</v>
      </c>
      <c r="H9511" s="2" t="s">
        <v>39010</v>
      </c>
      <c r="I9511" s="2" t="s">
        <v>39011</v>
      </c>
      <c r="K9511" s="2" t="s">
        <v>12990</v>
      </c>
      <c r="L9511" s="2" t="s">
        <v>165</v>
      </c>
      <c r="M9511" s="2">
        <v>24317.0</v>
      </c>
      <c r="N9511" s="2" t="s">
        <v>21</v>
      </c>
    </row>
    <row r="9512" ht="15.75" customHeight="1">
      <c r="A9512" s="2">
        <v>2018.0</v>
      </c>
      <c r="B9512" s="2" t="s">
        <v>39012</v>
      </c>
      <c r="C9512" s="2" t="s">
        <v>39012</v>
      </c>
      <c r="D9512" s="2" t="str">
        <f>"4055016397"</f>
        <v>4055016397</v>
      </c>
      <c r="E9512" s="2" t="s">
        <v>3061</v>
      </c>
      <c r="F9512" s="2" t="s">
        <v>39013</v>
      </c>
      <c r="G9512" s="2" t="str">
        <f>"SR-13331"</f>
        <v>SR-13331</v>
      </c>
      <c r="H9512" s="2" t="s">
        <v>39014</v>
      </c>
      <c r="I9512" s="2" t="s">
        <v>39015</v>
      </c>
      <c r="K9512" s="2" t="s">
        <v>2126</v>
      </c>
      <c r="L9512" s="2" t="s">
        <v>840</v>
      </c>
      <c r="M9512" s="2">
        <v>73008.0</v>
      </c>
      <c r="N9512" s="2" t="s">
        <v>21</v>
      </c>
    </row>
    <row r="9513" ht="15.75" customHeight="1">
      <c r="A9513" s="2">
        <v>2018.0</v>
      </c>
      <c r="B9513" s="2" t="s">
        <v>20703</v>
      </c>
      <c r="C9513" s="2" t="s">
        <v>31015</v>
      </c>
      <c r="D9513" s="2" t="str">
        <f>"720-981-9186"</f>
        <v>720-981-9186</v>
      </c>
      <c r="E9513" s="2" t="s">
        <v>4865</v>
      </c>
      <c r="F9513" s="2" t="s">
        <v>20705</v>
      </c>
      <c r="G9513" s="2" t="str">
        <f>"SR-9918"</f>
        <v>SR-9918</v>
      </c>
      <c r="H9513" s="2" t="s">
        <v>31016</v>
      </c>
      <c r="I9513" s="2" t="s">
        <v>20707</v>
      </c>
      <c r="K9513" s="2" t="s">
        <v>1398</v>
      </c>
      <c r="L9513" s="2" t="s">
        <v>157</v>
      </c>
      <c r="M9513" s="2">
        <v>80104.0</v>
      </c>
      <c r="N9513" s="2" t="s">
        <v>21</v>
      </c>
    </row>
    <row r="9514" ht="15.75" customHeight="1">
      <c r="A9514" s="2">
        <v>2018.0</v>
      </c>
      <c r="B9514" s="2" t="s">
        <v>39016</v>
      </c>
      <c r="C9514" s="2" t="s">
        <v>39017</v>
      </c>
      <c r="D9514" s="2" t="str">
        <f>"320-815-2353"</f>
        <v>320-815-2353</v>
      </c>
      <c r="E9514" s="2" t="s">
        <v>282</v>
      </c>
      <c r="F9514" s="2" t="s">
        <v>2350</v>
      </c>
      <c r="G9514" s="2" t="str">
        <f>"SR-13397"</f>
        <v>SR-13397</v>
      </c>
      <c r="H9514" s="2" t="s">
        <v>3981</v>
      </c>
      <c r="I9514" s="2" t="s">
        <v>39018</v>
      </c>
      <c r="K9514" s="2" t="s">
        <v>39019</v>
      </c>
      <c r="L9514" s="2" t="s">
        <v>62</v>
      </c>
      <c r="M9514" s="2">
        <v>56332.0</v>
      </c>
      <c r="N9514" s="2" t="s">
        <v>21</v>
      </c>
    </row>
    <row r="9515" ht="15.75" customHeight="1">
      <c r="A9515" s="2">
        <v>2018.0</v>
      </c>
      <c r="B9515" s="2" t="s">
        <v>39020</v>
      </c>
      <c r="C9515" s="2" t="s">
        <v>39021</v>
      </c>
      <c r="D9515" s="2" t="str">
        <f>"909-425-5904"</f>
        <v>909-425-5904</v>
      </c>
      <c r="E9515" s="2" t="s">
        <v>39022</v>
      </c>
      <c r="F9515" s="2" t="s">
        <v>1257</v>
      </c>
      <c r="G9515" s="2" t="str">
        <f>"SR-13167"</f>
        <v>SR-13167</v>
      </c>
      <c r="H9515" s="2" t="s">
        <v>39023</v>
      </c>
      <c r="I9515" s="2" t="s">
        <v>39024</v>
      </c>
      <c r="K9515" s="2" t="s">
        <v>25872</v>
      </c>
      <c r="L9515" s="2" t="s">
        <v>222</v>
      </c>
      <c r="M9515" s="2">
        <v>92346.0</v>
      </c>
      <c r="N9515" s="2" t="s">
        <v>21</v>
      </c>
    </row>
    <row r="9516" ht="15.75" customHeight="1">
      <c r="A9516" s="2">
        <v>2018.0</v>
      </c>
      <c r="B9516" s="2" t="s">
        <v>39025</v>
      </c>
      <c r="C9516" s="2" t="s">
        <v>39025</v>
      </c>
      <c r="D9516" s="2" t="str">
        <f>"8145066057"</f>
        <v>8145066057</v>
      </c>
      <c r="E9516" s="2" t="s">
        <v>2644</v>
      </c>
      <c r="F9516" s="2" t="s">
        <v>9021</v>
      </c>
      <c r="G9516" s="2" t="str">
        <f>"SR-13357"</f>
        <v>SR-13357</v>
      </c>
      <c r="H9516" s="2" t="s">
        <v>39026</v>
      </c>
      <c r="I9516" s="2" t="s">
        <v>39027</v>
      </c>
      <c r="K9516" s="2" t="s">
        <v>9904</v>
      </c>
      <c r="L9516" s="2" t="s">
        <v>179</v>
      </c>
      <c r="M9516" s="2">
        <v>16685.0</v>
      </c>
      <c r="N9516" s="2" t="s">
        <v>21</v>
      </c>
    </row>
    <row r="9517" ht="15.75" customHeight="1">
      <c r="A9517" s="2">
        <v>2018.0</v>
      </c>
      <c r="B9517" s="2" t="s">
        <v>39028</v>
      </c>
      <c r="C9517" s="2" t="s">
        <v>39029</v>
      </c>
      <c r="D9517" s="2" t="str">
        <f>"715-642-4283"</f>
        <v>715-642-4283</v>
      </c>
      <c r="E9517" s="2" t="s">
        <v>167</v>
      </c>
      <c r="F9517" s="2" t="s">
        <v>39030</v>
      </c>
      <c r="G9517" s="2" t="str">
        <f>"SR-13261"</f>
        <v>SR-13261</v>
      </c>
      <c r="H9517" s="2" t="s">
        <v>39031</v>
      </c>
      <c r="I9517" s="2" t="s">
        <v>39032</v>
      </c>
      <c r="K9517" s="2" t="s">
        <v>39033</v>
      </c>
      <c r="L9517" s="2" t="s">
        <v>193</v>
      </c>
      <c r="M9517" s="2">
        <v>54728.0</v>
      </c>
      <c r="N9517" s="2" t="s">
        <v>21</v>
      </c>
    </row>
    <row r="9518" ht="15.75" customHeight="1">
      <c r="A9518" s="2">
        <v>2018.0</v>
      </c>
      <c r="B9518" s="2" t="s">
        <v>38695</v>
      </c>
      <c r="C9518" s="2" t="s">
        <v>39034</v>
      </c>
      <c r="D9518" s="2" t="str">
        <f>"9162571053"</f>
        <v>9162571053</v>
      </c>
      <c r="E9518" s="2" t="s">
        <v>39035</v>
      </c>
      <c r="F9518" s="2" t="s">
        <v>1151</v>
      </c>
      <c r="G9518" s="2" t="str">
        <f>"SR-13284"</f>
        <v>SR-13284</v>
      </c>
      <c r="H9518" s="2" t="s">
        <v>39036</v>
      </c>
      <c r="I9518" s="2" t="s">
        <v>38699</v>
      </c>
      <c r="K9518" s="2" t="s">
        <v>38700</v>
      </c>
      <c r="L9518" s="2" t="s">
        <v>222</v>
      </c>
      <c r="M9518" s="2">
        <v>95762.0</v>
      </c>
      <c r="N9518" s="2" t="s">
        <v>21</v>
      </c>
    </row>
    <row r="9519" ht="15.75" customHeight="1">
      <c r="A9519" s="2">
        <v>2018.0</v>
      </c>
      <c r="B9519" s="2" t="s">
        <v>39037</v>
      </c>
      <c r="C9519" s="2" t="s">
        <v>39038</v>
      </c>
      <c r="D9519" s="2" t="str">
        <f>"573-253-6870"</f>
        <v>573-253-6870</v>
      </c>
      <c r="E9519" s="2" t="s">
        <v>39039</v>
      </c>
      <c r="F9519" s="2" t="s">
        <v>39040</v>
      </c>
      <c r="G9519" s="2" t="str">
        <f>"SR-13092"</f>
        <v>SR-13092</v>
      </c>
      <c r="H9519" s="2" t="s">
        <v>39041</v>
      </c>
      <c r="I9519" s="2" t="s">
        <v>39042</v>
      </c>
      <c r="K9519" s="2" t="s">
        <v>7784</v>
      </c>
      <c r="L9519" s="2" t="s">
        <v>214</v>
      </c>
      <c r="M9519" s="2">
        <v>65265.0</v>
      </c>
      <c r="N9519" s="2" t="s">
        <v>21</v>
      </c>
    </row>
    <row r="9520" ht="15.75" customHeight="1">
      <c r="A9520" s="2">
        <v>2018.0</v>
      </c>
      <c r="B9520" s="2" t="s">
        <v>39043</v>
      </c>
      <c r="C9520" s="2" t="s">
        <v>39043</v>
      </c>
      <c r="D9520" s="2" t="str">
        <f>"713-966-9385"</f>
        <v>713-966-9385</v>
      </c>
      <c r="E9520" s="2" t="s">
        <v>39044</v>
      </c>
      <c r="F9520" s="2" t="s">
        <v>7458</v>
      </c>
      <c r="G9520" s="2" t="str">
        <f>"SR-13416"</f>
        <v>SR-13416</v>
      </c>
      <c r="H9520" s="2" t="s">
        <v>39045</v>
      </c>
      <c r="I9520" s="2" t="s">
        <v>39046</v>
      </c>
      <c r="K9520" s="2" t="s">
        <v>5855</v>
      </c>
      <c r="L9520" s="2" t="s">
        <v>172</v>
      </c>
      <c r="M9520" s="2">
        <v>77388.0</v>
      </c>
      <c r="N9520" s="2" t="s">
        <v>21</v>
      </c>
    </row>
    <row r="9521" ht="15.75" customHeight="1">
      <c r="A9521" s="2">
        <v>2018.0</v>
      </c>
      <c r="B9521" s="2" t="s">
        <v>39047</v>
      </c>
      <c r="C9521" s="2" t="s">
        <v>39047</v>
      </c>
      <c r="D9521" s="2" t="str">
        <f>"703-309-0496"</f>
        <v>703-309-0496</v>
      </c>
      <c r="E9521" s="2" t="s">
        <v>678</v>
      </c>
      <c r="F9521" s="2" t="s">
        <v>1849</v>
      </c>
      <c r="G9521" s="2" t="str">
        <f>"SR-13348"</f>
        <v>SR-13348</v>
      </c>
      <c r="H9521" s="2" t="s">
        <v>39048</v>
      </c>
      <c r="I9521" s="2" t="s">
        <v>39049</v>
      </c>
      <c r="K9521" s="2" t="s">
        <v>39050</v>
      </c>
      <c r="L9521" s="2" t="s">
        <v>165</v>
      </c>
      <c r="M9521" s="2">
        <v>23112.0</v>
      </c>
      <c r="N9521" s="2" t="s">
        <v>21</v>
      </c>
    </row>
    <row r="9522" ht="15.75" customHeight="1">
      <c r="A9522" s="2">
        <v>2018.0</v>
      </c>
      <c r="B9522" s="2" t="s">
        <v>39051</v>
      </c>
      <c r="C9522" s="2" t="s">
        <v>39051</v>
      </c>
      <c r="D9522" s="2" t="str">
        <f>"7033090496"</f>
        <v>7033090496</v>
      </c>
      <c r="E9522" s="2" t="s">
        <v>39052</v>
      </c>
      <c r="F9522" s="2" t="s">
        <v>1849</v>
      </c>
      <c r="G9522" s="2" t="str">
        <f>"SR-13349"</f>
        <v>SR-13349</v>
      </c>
      <c r="H9522" s="2" t="s">
        <v>39053</v>
      </c>
      <c r="I9522" s="2" t="s">
        <v>39049</v>
      </c>
      <c r="K9522" s="2" t="s">
        <v>39050</v>
      </c>
      <c r="L9522" s="2" t="s">
        <v>165</v>
      </c>
      <c r="M9522" s="2">
        <v>23112.0</v>
      </c>
      <c r="N9522" s="2" t="s">
        <v>21</v>
      </c>
    </row>
    <row r="9523" ht="15.75" customHeight="1">
      <c r="A9523" s="2">
        <v>2018.0</v>
      </c>
      <c r="B9523" s="2" t="s">
        <v>39054</v>
      </c>
      <c r="C9523" s="2" t="s">
        <v>39055</v>
      </c>
      <c r="D9523" s="2" t="str">
        <f>"320-295-2288"</f>
        <v>320-295-2288</v>
      </c>
      <c r="E9523" s="2" t="s">
        <v>88</v>
      </c>
      <c r="F9523" s="2" t="s">
        <v>39056</v>
      </c>
      <c r="G9523" s="2" t="str">
        <f>"SR-13409"</f>
        <v>SR-13409</v>
      </c>
      <c r="H9523" s="2" t="s">
        <v>39057</v>
      </c>
      <c r="I9523" s="2" t="s">
        <v>39058</v>
      </c>
      <c r="K9523" s="2" t="s">
        <v>39059</v>
      </c>
      <c r="L9523" s="2" t="s">
        <v>62</v>
      </c>
      <c r="M9523" s="2">
        <v>56289.0</v>
      </c>
      <c r="N9523" s="2" t="s">
        <v>21</v>
      </c>
    </row>
    <row r="9524" ht="15.75" customHeight="1">
      <c r="A9524" s="2">
        <v>2018.0</v>
      </c>
      <c r="B9524" s="2" t="s">
        <v>13765</v>
      </c>
      <c r="C9524" s="2" t="s">
        <v>39060</v>
      </c>
      <c r="D9524" s="2" t="str">
        <f>"320-295-6029"</f>
        <v>320-295-6029</v>
      </c>
      <c r="E9524" s="2" t="s">
        <v>1803</v>
      </c>
      <c r="F9524" s="2" t="s">
        <v>13767</v>
      </c>
      <c r="G9524" s="2" t="str">
        <f>"SR-13413"</f>
        <v>SR-13413</v>
      </c>
      <c r="H9524" s="2" t="s">
        <v>39061</v>
      </c>
      <c r="I9524" s="2" t="s">
        <v>39062</v>
      </c>
      <c r="K9524" s="2" t="s">
        <v>9895</v>
      </c>
      <c r="L9524" s="2" t="s">
        <v>62</v>
      </c>
      <c r="M9524" s="2">
        <v>56288.0</v>
      </c>
      <c r="N9524" s="2" t="s">
        <v>21</v>
      </c>
    </row>
    <row r="9525" ht="15.75" customHeight="1">
      <c r="A9525" s="2">
        <v>2018.0</v>
      </c>
      <c r="B9525" s="2" t="s">
        <v>39063</v>
      </c>
      <c r="C9525" s="2" t="s">
        <v>39064</v>
      </c>
      <c r="D9525" s="2" t="str">
        <f>"9014841441"</f>
        <v>9014841441</v>
      </c>
      <c r="E9525" s="2" t="s">
        <v>2648</v>
      </c>
      <c r="F9525" s="2" t="s">
        <v>3283</v>
      </c>
      <c r="G9525" s="2" t="str">
        <f>"SR-13410"</f>
        <v>SR-13410</v>
      </c>
      <c r="H9525" s="2" t="s">
        <v>39065</v>
      </c>
      <c r="I9525" s="2" t="s">
        <v>39066</v>
      </c>
      <c r="K9525" s="2" t="s">
        <v>5519</v>
      </c>
      <c r="L9525" s="2" t="s">
        <v>279</v>
      </c>
      <c r="M9525" s="2">
        <v>38134.0</v>
      </c>
      <c r="N9525" s="2" t="s">
        <v>21</v>
      </c>
    </row>
    <row r="9526" ht="15.75" customHeight="1">
      <c r="A9526" s="2">
        <v>2018.0</v>
      </c>
      <c r="B9526" s="2" t="s">
        <v>10769</v>
      </c>
      <c r="C9526" s="2" t="s">
        <v>39067</v>
      </c>
      <c r="D9526" s="2" t="str">
        <f>"5159917665"</f>
        <v>5159917665</v>
      </c>
      <c r="E9526" s="2" t="s">
        <v>39068</v>
      </c>
      <c r="F9526" s="2" t="s">
        <v>8787</v>
      </c>
      <c r="G9526" s="2" t="str">
        <f>"SR-13289"</f>
        <v>SR-13289</v>
      </c>
      <c r="H9526" s="2" t="s">
        <v>39069</v>
      </c>
      <c r="I9526" s="2" t="s">
        <v>39070</v>
      </c>
      <c r="K9526" s="2" t="s">
        <v>3050</v>
      </c>
      <c r="L9526" s="2" t="s">
        <v>560</v>
      </c>
      <c r="M9526" s="2">
        <v>50322.0</v>
      </c>
      <c r="N9526" s="2" t="s">
        <v>21</v>
      </c>
    </row>
    <row r="9527" ht="15.75" customHeight="1">
      <c r="A9527" s="2">
        <v>2018.0</v>
      </c>
      <c r="B9527" s="2" t="s">
        <v>39071</v>
      </c>
      <c r="C9527" s="2" t="s">
        <v>39071</v>
      </c>
      <c r="D9527" s="2" t="str">
        <f>"480-489-3964"</f>
        <v>480-489-3964</v>
      </c>
      <c r="E9527" s="2" t="s">
        <v>1803</v>
      </c>
      <c r="F9527" s="2" t="s">
        <v>36928</v>
      </c>
      <c r="G9527" s="2" t="str">
        <f>"SR-13254"</f>
        <v>SR-13254</v>
      </c>
      <c r="H9527" s="2" t="s">
        <v>39072</v>
      </c>
      <c r="I9527" s="2" t="s">
        <v>39073</v>
      </c>
      <c r="K9527" s="2" t="s">
        <v>4675</v>
      </c>
      <c r="L9527" s="2" t="s">
        <v>422</v>
      </c>
      <c r="M9527" s="2">
        <v>85234.0</v>
      </c>
      <c r="N9527" s="2" t="s">
        <v>21</v>
      </c>
    </row>
    <row r="9528" ht="15.75" customHeight="1">
      <c r="A9528" s="2">
        <v>2018.0</v>
      </c>
      <c r="B9528" s="2" t="s">
        <v>39074</v>
      </c>
      <c r="C9528" s="2" t="s">
        <v>39075</v>
      </c>
      <c r="D9528" s="2" t="str">
        <f>"740 833 5667"</f>
        <v>740 833 5667</v>
      </c>
      <c r="E9528" s="2" t="s">
        <v>503</v>
      </c>
      <c r="F9528" s="2" t="s">
        <v>15674</v>
      </c>
      <c r="G9528" s="2" t="str">
        <f>"SR-13421"</f>
        <v>SR-13421</v>
      </c>
      <c r="H9528" s="2" t="s">
        <v>39076</v>
      </c>
      <c r="I9528" s="2">
        <v>1938.0</v>
      </c>
      <c r="J9528" s="2" t="s">
        <v>39077</v>
      </c>
      <c r="K9528" s="2" t="s">
        <v>203</v>
      </c>
      <c r="L9528" s="2" t="s">
        <v>344</v>
      </c>
      <c r="M9528" s="2">
        <v>43003.0</v>
      </c>
      <c r="N9528" s="2" t="s">
        <v>21</v>
      </c>
    </row>
    <row r="9529" ht="15.75" customHeight="1">
      <c r="A9529" s="2">
        <v>2018.0</v>
      </c>
      <c r="B9529" s="2" t="s">
        <v>28661</v>
      </c>
      <c r="C9529" s="2" t="s">
        <v>39078</v>
      </c>
      <c r="D9529" s="2" t="str">
        <f>"8325302473"</f>
        <v>8325302473</v>
      </c>
      <c r="E9529" s="2" t="s">
        <v>39079</v>
      </c>
      <c r="F9529" s="2" t="s">
        <v>28664</v>
      </c>
      <c r="G9529" s="2" t="str">
        <f>"SR-13180"</f>
        <v>SR-13180</v>
      </c>
      <c r="H9529" s="2" t="s">
        <v>39080</v>
      </c>
      <c r="I9529" s="2" t="s">
        <v>39081</v>
      </c>
      <c r="K9529" s="2" t="s">
        <v>39082</v>
      </c>
      <c r="L9529" s="2" t="s">
        <v>222</v>
      </c>
      <c r="M9529" s="2">
        <v>91767.0</v>
      </c>
      <c r="N9529" s="2" t="s">
        <v>1602</v>
      </c>
    </row>
    <row r="9530" ht="15.75" customHeight="1">
      <c r="A9530" s="2">
        <v>2018.0</v>
      </c>
      <c r="B9530" s="2" t="s">
        <v>28407</v>
      </c>
      <c r="C9530" s="2" t="s">
        <v>39083</v>
      </c>
      <c r="D9530" s="2" t="str">
        <f>"1224 7154131"</f>
        <v>1224 7154131</v>
      </c>
      <c r="E9530" s="2" t="s">
        <v>282</v>
      </c>
      <c r="F9530" s="2" t="s">
        <v>28409</v>
      </c>
      <c r="G9530" s="2" t="str">
        <f>"SR-13015"</f>
        <v>SR-13015</v>
      </c>
      <c r="H9530" s="2" t="s">
        <v>39084</v>
      </c>
      <c r="I9530" s="2" t="s">
        <v>39085</v>
      </c>
      <c r="K9530" s="2" t="s">
        <v>39086</v>
      </c>
      <c r="L9530" s="2" t="s">
        <v>105</v>
      </c>
      <c r="M9530" s="2">
        <v>60048.0</v>
      </c>
      <c r="N9530" s="2" t="s">
        <v>21</v>
      </c>
    </row>
    <row r="9531" ht="15.75" customHeight="1">
      <c r="A9531" s="2">
        <v>2018.0</v>
      </c>
      <c r="B9531" s="2" t="s">
        <v>39087</v>
      </c>
      <c r="D9531" s="2" t="str">
        <f>"9032678186"</f>
        <v>9032678186</v>
      </c>
      <c r="E9531" s="2" t="s">
        <v>23508</v>
      </c>
      <c r="F9531" s="2" t="s">
        <v>39088</v>
      </c>
      <c r="G9531" s="2" t="str">
        <f>"SR-13430"</f>
        <v>SR-13430</v>
      </c>
      <c r="H9531" s="2" t="s">
        <v>39089</v>
      </c>
      <c r="I9531" s="2" t="s">
        <v>39090</v>
      </c>
      <c r="K9531" s="2" t="s">
        <v>632</v>
      </c>
      <c r="L9531" s="2" t="s">
        <v>172</v>
      </c>
      <c r="M9531" s="2">
        <v>78260.0</v>
      </c>
      <c r="N9531" s="2" t="s">
        <v>21</v>
      </c>
    </row>
    <row r="9532" ht="15.75" customHeight="1">
      <c r="A9532" s="2">
        <v>2018.0</v>
      </c>
      <c r="B9532" s="2" t="s">
        <v>39091</v>
      </c>
      <c r="C9532" s="2" t="s">
        <v>39092</v>
      </c>
      <c r="D9532" s="2" t="str">
        <f>"7607234378"</f>
        <v>7607234378</v>
      </c>
      <c r="E9532" s="2" t="s">
        <v>2083</v>
      </c>
      <c r="F9532" s="2" t="s">
        <v>962</v>
      </c>
      <c r="G9532" s="2" t="str">
        <f>"SR-13393"</f>
        <v>SR-13393</v>
      </c>
      <c r="H9532" s="2" t="s">
        <v>39093</v>
      </c>
      <c r="I9532" s="2" t="s">
        <v>39094</v>
      </c>
      <c r="K9532" s="2" t="s">
        <v>22462</v>
      </c>
      <c r="L9532" s="2" t="s">
        <v>222</v>
      </c>
      <c r="M9532" s="2">
        <v>92028.0</v>
      </c>
      <c r="N9532" s="2" t="s">
        <v>21</v>
      </c>
    </row>
    <row r="9533" ht="15.75" customHeight="1">
      <c r="A9533" s="2">
        <v>2018.0</v>
      </c>
      <c r="B9533" s="2" t="s">
        <v>39095</v>
      </c>
      <c r="C9533" s="2" t="s">
        <v>39096</v>
      </c>
      <c r="D9533" s="2" t="str">
        <f>"5402777697"</f>
        <v>5402777697</v>
      </c>
      <c r="E9533" s="2" t="s">
        <v>2147</v>
      </c>
      <c r="F9533" s="2" t="s">
        <v>18199</v>
      </c>
      <c r="G9533" s="2" t="str">
        <f>"SR-13277"</f>
        <v>SR-13277</v>
      </c>
      <c r="H9533" s="2" t="s">
        <v>39097</v>
      </c>
      <c r="I9533" s="2" t="s">
        <v>39098</v>
      </c>
      <c r="K9533" s="2" t="s">
        <v>2461</v>
      </c>
      <c r="L9533" s="2" t="s">
        <v>165</v>
      </c>
      <c r="M9533" s="2">
        <v>22611.0</v>
      </c>
      <c r="N9533" s="2" t="s">
        <v>21</v>
      </c>
    </row>
    <row r="9534" ht="15.75" customHeight="1">
      <c r="A9534" s="2">
        <v>2018.0</v>
      </c>
      <c r="B9534" s="2" t="s">
        <v>39099</v>
      </c>
      <c r="C9534" s="2" t="s">
        <v>39100</v>
      </c>
      <c r="D9534" s="2" t="str">
        <f>"9727304107"</f>
        <v>9727304107</v>
      </c>
      <c r="E9534" s="2" t="s">
        <v>30489</v>
      </c>
      <c r="F9534" s="2" t="s">
        <v>39101</v>
      </c>
      <c r="G9534" s="2" t="str">
        <f>"SR-13433"</f>
        <v>SR-13433</v>
      </c>
      <c r="H9534" s="2" t="s">
        <v>39102</v>
      </c>
      <c r="I9534" s="2" t="s">
        <v>39103</v>
      </c>
      <c r="K9534" s="2" t="s">
        <v>54</v>
      </c>
      <c r="L9534" s="2" t="s">
        <v>172</v>
      </c>
      <c r="M9534" s="2">
        <v>75402.0</v>
      </c>
      <c r="N9534" s="2" t="s">
        <v>21</v>
      </c>
    </row>
    <row r="9535" ht="15.75" customHeight="1">
      <c r="A9535" s="2">
        <v>2018.0</v>
      </c>
      <c r="B9535" s="2" t="s">
        <v>39104</v>
      </c>
      <c r="C9535" s="2" t="s">
        <v>39105</v>
      </c>
      <c r="D9535" s="2" t="str">
        <f>"320-441-8329"</f>
        <v>320-441-8329</v>
      </c>
      <c r="E9535" s="2" t="s">
        <v>353</v>
      </c>
      <c r="F9535" s="2" t="s">
        <v>2667</v>
      </c>
      <c r="G9535" s="2" t="str">
        <f>"SR-13076"</f>
        <v>SR-13076</v>
      </c>
      <c r="H9535" s="2" t="s">
        <v>39106</v>
      </c>
      <c r="I9535" s="2" t="s">
        <v>39107</v>
      </c>
      <c r="K9535" s="2" t="s">
        <v>9646</v>
      </c>
      <c r="L9535" s="2" t="s">
        <v>62</v>
      </c>
      <c r="M9535" s="2">
        <v>56273.0</v>
      </c>
      <c r="N9535" s="2" t="s">
        <v>21</v>
      </c>
    </row>
    <row r="9536" ht="15.75" customHeight="1">
      <c r="A9536" s="2">
        <v>2018.0</v>
      </c>
      <c r="B9536" s="2" t="s">
        <v>39108</v>
      </c>
      <c r="C9536" s="2" t="s">
        <v>39108</v>
      </c>
      <c r="D9536" s="2" t="str">
        <f>"9033409568"</f>
        <v>9033409568</v>
      </c>
      <c r="E9536" s="2" t="s">
        <v>1946</v>
      </c>
      <c r="F9536" s="2" t="s">
        <v>836</v>
      </c>
      <c r="G9536" s="2" t="str">
        <f>"SR-13436"</f>
        <v>SR-13436</v>
      </c>
      <c r="H9536" s="2" t="s">
        <v>23797</v>
      </c>
      <c r="I9536" s="2" t="s">
        <v>39109</v>
      </c>
      <c r="K9536" s="2" t="s">
        <v>23799</v>
      </c>
      <c r="L9536" s="2" t="s">
        <v>172</v>
      </c>
      <c r="M9536" s="2">
        <v>75147.0</v>
      </c>
      <c r="N9536" s="2" t="s">
        <v>21</v>
      </c>
    </row>
    <row r="9537" ht="15.75" customHeight="1">
      <c r="A9537" s="2">
        <v>2018.0</v>
      </c>
      <c r="B9537" s="2" t="s">
        <v>24607</v>
      </c>
      <c r="C9537" s="2" t="s">
        <v>39110</v>
      </c>
      <c r="D9537" s="2" t="str">
        <f>"8296054163"</f>
        <v>8296054163</v>
      </c>
      <c r="E9537" s="2" t="s">
        <v>39111</v>
      </c>
      <c r="F9537" s="2" t="s">
        <v>39112</v>
      </c>
      <c r="G9537" s="2" t="str">
        <f>"SR-13155"</f>
        <v>SR-13155</v>
      </c>
      <c r="H9537" s="2" t="s">
        <v>39113</v>
      </c>
      <c r="I9537" s="2" t="s">
        <v>24612</v>
      </c>
      <c r="J9537" s="2" t="s">
        <v>38586</v>
      </c>
      <c r="K9537" s="2" t="s">
        <v>24614</v>
      </c>
      <c r="L9537" s="2" t="s">
        <v>208</v>
      </c>
      <c r="M9537" s="2">
        <v>0.0</v>
      </c>
      <c r="N9537" s="2" t="s">
        <v>24616</v>
      </c>
    </row>
    <row r="9538" ht="15.75" customHeight="1">
      <c r="A9538" s="2">
        <v>2018.0</v>
      </c>
      <c r="B9538" s="2" t="s">
        <v>24607</v>
      </c>
      <c r="C9538" s="2" t="s">
        <v>39114</v>
      </c>
      <c r="D9538" s="2" t="str">
        <f>"829-605-4163"</f>
        <v>829-605-4163</v>
      </c>
      <c r="E9538" s="2" t="s">
        <v>39115</v>
      </c>
      <c r="F9538" s="2" t="s">
        <v>39116</v>
      </c>
      <c r="G9538" s="2" t="str">
        <f>"SR-13440"</f>
        <v>SR-13440</v>
      </c>
      <c r="H9538" s="2" t="s">
        <v>39117</v>
      </c>
      <c r="I9538" s="2" t="s">
        <v>24612</v>
      </c>
      <c r="K9538" s="2" t="s">
        <v>24614</v>
      </c>
      <c r="L9538" s="2" t="s">
        <v>39118</v>
      </c>
      <c r="M9538" s="2">
        <v>0.0</v>
      </c>
      <c r="N9538" s="2" t="s">
        <v>24616</v>
      </c>
    </row>
    <row r="9539" ht="15.75" customHeight="1">
      <c r="A9539" s="2">
        <v>2018.0</v>
      </c>
      <c r="B9539" s="2" t="s">
        <v>25389</v>
      </c>
      <c r="C9539" s="2" t="s">
        <v>39119</v>
      </c>
      <c r="D9539" s="2" t="str">
        <f>"9034563872"</f>
        <v>9034563872</v>
      </c>
      <c r="E9539" s="2" t="s">
        <v>11043</v>
      </c>
      <c r="F9539" s="2" t="s">
        <v>25391</v>
      </c>
      <c r="G9539" s="2" t="str">
        <f>"SR-13434"</f>
        <v>SR-13434</v>
      </c>
      <c r="H9539" s="2" t="s">
        <v>39120</v>
      </c>
      <c r="I9539" s="2" t="s">
        <v>39121</v>
      </c>
      <c r="K9539" s="2" t="s">
        <v>54</v>
      </c>
      <c r="L9539" s="2" t="s">
        <v>172</v>
      </c>
      <c r="M9539" s="2">
        <v>75402.0</v>
      </c>
      <c r="N9539" s="2" t="s">
        <v>21</v>
      </c>
    </row>
    <row r="9540" ht="15.75" customHeight="1">
      <c r="A9540" s="2">
        <v>2018.0</v>
      </c>
      <c r="B9540" s="2" t="s">
        <v>33658</v>
      </c>
      <c r="C9540" s="2" t="s">
        <v>33659</v>
      </c>
      <c r="D9540" s="2" t="str">
        <f>"9727405725"</f>
        <v>9727405725</v>
      </c>
      <c r="E9540" s="2" t="s">
        <v>88</v>
      </c>
      <c r="F9540" s="2" t="s">
        <v>33660</v>
      </c>
      <c r="G9540" s="2" t="str">
        <f>"SR-10949"</f>
        <v>SR-10949</v>
      </c>
      <c r="H9540" s="2" t="s">
        <v>33661</v>
      </c>
      <c r="I9540" s="2" t="s">
        <v>33662</v>
      </c>
      <c r="K9540" s="2" t="s">
        <v>18128</v>
      </c>
      <c r="L9540" s="2" t="s">
        <v>172</v>
      </c>
      <c r="M9540" s="2">
        <v>76226.0</v>
      </c>
      <c r="N9540" s="2" t="s">
        <v>21</v>
      </c>
    </row>
    <row r="9541" ht="15.75" customHeight="1">
      <c r="A9541" s="2">
        <v>2018.0</v>
      </c>
      <c r="B9541" s="2" t="s">
        <v>36376</v>
      </c>
      <c r="C9541" s="2" t="s">
        <v>36377</v>
      </c>
      <c r="D9541" s="2" t="str">
        <f>"7055291900"</f>
        <v>7055291900</v>
      </c>
      <c r="E9541" s="2" t="s">
        <v>493</v>
      </c>
      <c r="F9541" s="2" t="s">
        <v>36378</v>
      </c>
      <c r="G9541" s="2" t="str">
        <f>"SR-11727"</f>
        <v>SR-11727</v>
      </c>
      <c r="H9541" s="2" t="s">
        <v>36379</v>
      </c>
      <c r="I9541" s="2" t="s">
        <v>36380</v>
      </c>
      <c r="K9541" s="2" t="s">
        <v>286</v>
      </c>
      <c r="L9541" s="2" t="s">
        <v>2022</v>
      </c>
      <c r="M9541" s="2" t="s">
        <v>36381</v>
      </c>
      <c r="N9541" s="2" t="s">
        <v>1602</v>
      </c>
    </row>
    <row r="9542" ht="15.75" customHeight="1">
      <c r="A9542" s="2">
        <v>2018.0</v>
      </c>
      <c r="B9542" s="2" t="s">
        <v>39122</v>
      </c>
      <c r="C9542" s="2" t="s">
        <v>39123</v>
      </c>
      <c r="D9542" s="2" t="str">
        <f>"6072801920"</f>
        <v>6072801920</v>
      </c>
      <c r="E9542" s="2" t="s">
        <v>1658</v>
      </c>
      <c r="F9542" s="2" t="s">
        <v>447</v>
      </c>
      <c r="G9542" s="2" t="str">
        <f>"SR-13078"</f>
        <v>SR-13078</v>
      </c>
      <c r="H9542" s="2" t="s">
        <v>39124</v>
      </c>
      <c r="I9542" s="2" t="s">
        <v>39125</v>
      </c>
      <c r="K9542" s="2" t="s">
        <v>12457</v>
      </c>
      <c r="L9542" s="2" t="s">
        <v>142</v>
      </c>
      <c r="M9542" s="2">
        <v>13068.0</v>
      </c>
      <c r="N9542" s="2" t="s">
        <v>21</v>
      </c>
    </row>
    <row r="9543" ht="15.75" customHeight="1">
      <c r="A9543" s="2">
        <v>2018.0</v>
      </c>
      <c r="B9543" s="2" t="s">
        <v>8728</v>
      </c>
      <c r="C9543" s="2" t="s">
        <v>39126</v>
      </c>
      <c r="D9543" s="2" t="str">
        <f>"4129994013"</f>
        <v>4129994013</v>
      </c>
      <c r="E9543" s="2" t="s">
        <v>39127</v>
      </c>
      <c r="F9543" s="2" t="s">
        <v>8730</v>
      </c>
      <c r="G9543" s="2" t="str">
        <f>"SR-13402"</f>
        <v>SR-13402</v>
      </c>
      <c r="H9543" s="2" t="s">
        <v>39128</v>
      </c>
      <c r="I9543" s="2" t="s">
        <v>8732</v>
      </c>
      <c r="K9543" s="2" t="s">
        <v>8733</v>
      </c>
      <c r="L9543" s="2" t="s">
        <v>179</v>
      </c>
      <c r="M9543" s="2">
        <v>15215.0</v>
      </c>
      <c r="N9543" s="2" t="s">
        <v>21</v>
      </c>
    </row>
    <row r="9544" ht="15.75" customHeight="1">
      <c r="A9544" s="2">
        <v>2018.0</v>
      </c>
      <c r="B9544" s="2" t="s">
        <v>23789</v>
      </c>
      <c r="C9544" s="2" t="s">
        <v>39129</v>
      </c>
      <c r="D9544" s="2" t="str">
        <f>"256-683-2881"</f>
        <v>256-683-2881</v>
      </c>
      <c r="E9544" s="2" t="s">
        <v>39130</v>
      </c>
      <c r="F9544" s="2" t="s">
        <v>5685</v>
      </c>
      <c r="G9544" s="2" t="str">
        <f>"SR-13446"</f>
        <v>SR-13446</v>
      </c>
      <c r="H9544" s="2" t="s">
        <v>39131</v>
      </c>
      <c r="I9544" s="2" t="s">
        <v>5687</v>
      </c>
      <c r="K9544" s="2" t="s">
        <v>1953</v>
      </c>
      <c r="L9544" s="2" t="s">
        <v>539</v>
      </c>
      <c r="M9544" s="2">
        <v>35810.0</v>
      </c>
      <c r="N9544" s="2" t="s">
        <v>21</v>
      </c>
    </row>
    <row r="9545" ht="15.75" customHeight="1">
      <c r="A9545" s="2">
        <v>2018.0</v>
      </c>
      <c r="B9545" s="2" t="s">
        <v>39132</v>
      </c>
      <c r="C9545" s="2" t="s">
        <v>33791</v>
      </c>
      <c r="D9545" s="2" t="str">
        <f>"6127994841"</f>
        <v>6127994841</v>
      </c>
      <c r="E9545" s="2" t="s">
        <v>1022</v>
      </c>
      <c r="F9545" s="2" t="s">
        <v>33782</v>
      </c>
      <c r="G9545" s="2" t="str">
        <f>"SR-13437"</f>
        <v>SR-13437</v>
      </c>
      <c r="H9545" s="2" t="s">
        <v>33792</v>
      </c>
      <c r="I9545" s="2" t="s">
        <v>39133</v>
      </c>
      <c r="K9545" s="2" t="s">
        <v>33785</v>
      </c>
      <c r="L9545" s="2" t="s">
        <v>62</v>
      </c>
      <c r="M9545" s="2">
        <v>55321.0</v>
      </c>
      <c r="N9545" s="2" t="s">
        <v>21</v>
      </c>
    </row>
    <row r="9546" ht="15.75" customHeight="1">
      <c r="A9546" s="2">
        <v>2018.0</v>
      </c>
      <c r="B9546" s="2" t="s">
        <v>39134</v>
      </c>
      <c r="C9546" s="2" t="s">
        <v>39135</v>
      </c>
      <c r="D9546" s="2" t="str">
        <f>"(402)573-8051"</f>
        <v>(402)573-8051</v>
      </c>
      <c r="E9546" s="2" t="s">
        <v>160</v>
      </c>
      <c r="F9546" s="2" t="s">
        <v>39136</v>
      </c>
      <c r="G9546" s="2" t="str">
        <f>"SR-13399"</f>
        <v>SR-13399</v>
      </c>
      <c r="H9546" s="2" t="s">
        <v>39137</v>
      </c>
      <c r="I9546" s="2" t="s">
        <v>39138</v>
      </c>
      <c r="K9546" s="2" t="s">
        <v>1470</v>
      </c>
      <c r="L9546" s="2" t="s">
        <v>757</v>
      </c>
      <c r="M9546" s="2">
        <v>68142.0</v>
      </c>
      <c r="N9546" s="2" t="s">
        <v>21</v>
      </c>
    </row>
    <row r="9547" ht="15.75" customHeight="1">
      <c r="A9547" s="2">
        <v>2018.0</v>
      </c>
      <c r="B9547" s="2" t="s">
        <v>39139</v>
      </c>
      <c r="C9547" s="2" t="s">
        <v>39139</v>
      </c>
      <c r="D9547" s="2" t="str">
        <f>"(804)-368-4553"</f>
        <v>(804)-368-4553</v>
      </c>
      <c r="E9547" s="2" t="s">
        <v>843</v>
      </c>
      <c r="F9547" s="2" t="s">
        <v>9533</v>
      </c>
      <c r="G9547" s="2" t="str">
        <f>"SR-13162"</f>
        <v>SR-13162</v>
      </c>
      <c r="H9547" s="2" t="s">
        <v>39140</v>
      </c>
      <c r="I9547" s="2" t="s">
        <v>39141</v>
      </c>
      <c r="K9547" s="2" t="s">
        <v>4216</v>
      </c>
      <c r="L9547" s="2" t="s">
        <v>165</v>
      </c>
      <c r="M9547" s="2">
        <v>23235.0</v>
      </c>
      <c r="N9547" s="2" t="s">
        <v>21</v>
      </c>
    </row>
    <row r="9548" ht="15.75" customHeight="1">
      <c r="A9548" s="2">
        <v>2018.0</v>
      </c>
      <c r="B9548" s="2" t="s">
        <v>38294</v>
      </c>
      <c r="D9548" s="2" t="str">
        <f>""</f>
        <v/>
      </c>
      <c r="E9548" s="2" t="s">
        <v>39142</v>
      </c>
      <c r="F9548" s="2" t="s">
        <v>38296</v>
      </c>
      <c r="G9548" s="2" t="str">
        <f>"SR-13330"</f>
        <v>SR-13330</v>
      </c>
      <c r="H9548" s="2" t="s">
        <v>39143</v>
      </c>
      <c r="N9548" s="2" t="s">
        <v>21</v>
      </c>
    </row>
    <row r="9549" ht="15.75" customHeight="1">
      <c r="A9549" s="2">
        <v>2018.0</v>
      </c>
      <c r="B9549" s="2" t="s">
        <v>39144</v>
      </c>
      <c r="C9549" s="2" t="s">
        <v>39145</v>
      </c>
      <c r="D9549" s="2" t="str">
        <f>"303-814-3401"</f>
        <v>303-814-3401</v>
      </c>
      <c r="E9549" s="2" t="s">
        <v>385</v>
      </c>
      <c r="F9549" s="2" t="s">
        <v>39146</v>
      </c>
      <c r="G9549" s="2" t="str">
        <f>"SR-13448"</f>
        <v>SR-13448</v>
      </c>
      <c r="H9549" s="2" t="s">
        <v>39147</v>
      </c>
      <c r="I9549" s="2" t="s">
        <v>39148</v>
      </c>
      <c r="K9549" s="2" t="s">
        <v>1054</v>
      </c>
      <c r="L9549" s="2" t="s">
        <v>157</v>
      </c>
      <c r="M9549" s="2">
        <v>80138.0</v>
      </c>
      <c r="N9549" s="2" t="s">
        <v>21</v>
      </c>
    </row>
    <row r="9550" ht="15.75" customHeight="1">
      <c r="A9550" s="2">
        <v>2018.0</v>
      </c>
      <c r="B9550" s="2" t="s">
        <v>39149</v>
      </c>
      <c r="C9550" s="2" t="s">
        <v>39150</v>
      </c>
      <c r="D9550" s="2" t="str">
        <f>"320-894-3439"</f>
        <v>320-894-3439</v>
      </c>
      <c r="E9550" s="2" t="s">
        <v>17513</v>
      </c>
      <c r="F9550" s="2" t="s">
        <v>39151</v>
      </c>
      <c r="G9550" s="2" t="str">
        <f>"SR-13309"</f>
        <v>SR-13309</v>
      </c>
      <c r="H9550" s="2" t="s">
        <v>39152</v>
      </c>
      <c r="I9550" s="2" t="s">
        <v>39153</v>
      </c>
      <c r="K9550" s="2" t="s">
        <v>61</v>
      </c>
      <c r="L9550" s="2" t="s">
        <v>62</v>
      </c>
      <c r="M9550" s="2">
        <v>56201.0</v>
      </c>
      <c r="N9550" s="2" t="s">
        <v>21</v>
      </c>
    </row>
    <row r="9551" ht="15.75" customHeight="1">
      <c r="A9551" s="2">
        <v>2018.0</v>
      </c>
      <c r="B9551" s="2" t="s">
        <v>39154</v>
      </c>
      <c r="C9551" s="2" t="s">
        <v>39155</v>
      </c>
      <c r="D9551" s="2" t="str">
        <f>"8173683148"</f>
        <v>8173683148</v>
      </c>
      <c r="E9551" s="2" t="s">
        <v>6121</v>
      </c>
      <c r="F9551" s="2" t="s">
        <v>8031</v>
      </c>
      <c r="G9551" s="2" t="str">
        <f>"SR-13121"</f>
        <v>SR-13121</v>
      </c>
      <c r="H9551" s="2" t="s">
        <v>39156</v>
      </c>
      <c r="I9551" s="2" t="s">
        <v>25628</v>
      </c>
      <c r="K9551" s="2" t="s">
        <v>5399</v>
      </c>
      <c r="L9551" s="2" t="s">
        <v>172</v>
      </c>
      <c r="M9551" s="2">
        <v>76022.0</v>
      </c>
      <c r="N9551" s="2" t="s">
        <v>21</v>
      </c>
    </row>
    <row r="9552" ht="15.75" customHeight="1">
      <c r="A9552" s="2">
        <v>2018.0</v>
      </c>
      <c r="B9552" s="2" t="s">
        <v>39157</v>
      </c>
      <c r="C9552" s="2" t="s">
        <v>39158</v>
      </c>
      <c r="D9552" s="2" t="str">
        <f>"320-212-9864"</f>
        <v>320-212-9864</v>
      </c>
      <c r="E9552" s="2" t="s">
        <v>31809</v>
      </c>
      <c r="F9552" s="2" t="s">
        <v>39159</v>
      </c>
      <c r="G9552" s="2" t="str">
        <f>"SR-13450"</f>
        <v>SR-13450</v>
      </c>
      <c r="H9552" s="2" t="s">
        <v>39160</v>
      </c>
      <c r="I9552" s="2" t="s">
        <v>39161</v>
      </c>
      <c r="K9552" s="2" t="s">
        <v>39162</v>
      </c>
      <c r="L9552" s="2" t="s">
        <v>62</v>
      </c>
      <c r="M9552" s="2">
        <v>56288.0</v>
      </c>
      <c r="N9552" s="2" t="s">
        <v>21</v>
      </c>
    </row>
    <row r="9553" ht="15.75" customHeight="1">
      <c r="A9553" s="2">
        <v>2018.0</v>
      </c>
      <c r="B9553" s="2" t="s">
        <v>35448</v>
      </c>
      <c r="C9553" s="2" t="s">
        <v>37897</v>
      </c>
      <c r="D9553" s="2" t="str">
        <f>"8179452319"</f>
        <v>8179452319</v>
      </c>
      <c r="E9553" s="2" t="s">
        <v>2083</v>
      </c>
      <c r="F9553" s="2" t="s">
        <v>591</v>
      </c>
      <c r="G9553" s="2" t="str">
        <f>"SR-13451"</f>
        <v>SR-13451</v>
      </c>
      <c r="H9553" s="2" t="s">
        <v>39163</v>
      </c>
      <c r="I9553" s="2" t="s">
        <v>37899</v>
      </c>
      <c r="K9553" s="2" t="s">
        <v>1260</v>
      </c>
      <c r="L9553" s="2" t="s">
        <v>172</v>
      </c>
      <c r="M9553" s="2">
        <v>76107.0</v>
      </c>
      <c r="N9553" s="2" t="s">
        <v>21</v>
      </c>
    </row>
    <row r="9554" ht="15.75" customHeight="1">
      <c r="A9554" s="2">
        <v>2018.0</v>
      </c>
      <c r="B9554" s="2" t="s">
        <v>17747</v>
      </c>
      <c r="C9554" s="2" t="s">
        <v>39164</v>
      </c>
      <c r="D9554" s="2" t="str">
        <f>"601-415-5980"</f>
        <v>601-415-5980</v>
      </c>
      <c r="E9554" s="2" t="s">
        <v>13107</v>
      </c>
      <c r="F9554" s="2" t="s">
        <v>17750</v>
      </c>
      <c r="G9554" s="2" t="str">
        <f>"SR-13429"</f>
        <v>SR-13429</v>
      </c>
      <c r="H9554" s="2" t="s">
        <v>39165</v>
      </c>
      <c r="I9554" s="2" t="s">
        <v>17752</v>
      </c>
      <c r="K9554" s="2" t="s">
        <v>17753</v>
      </c>
      <c r="L9554" s="2" t="s">
        <v>1722</v>
      </c>
      <c r="M9554" s="2">
        <v>39183.0</v>
      </c>
      <c r="N9554" s="2" t="s">
        <v>21</v>
      </c>
    </row>
    <row r="9555" ht="15.75" customHeight="1">
      <c r="A9555" s="2">
        <v>2018.0</v>
      </c>
      <c r="B9555" s="2" t="s">
        <v>17747</v>
      </c>
      <c r="C9555" s="2" t="s">
        <v>39166</v>
      </c>
      <c r="D9555" s="2" t="str">
        <f>"6018636969"</f>
        <v>6018636969</v>
      </c>
      <c r="E9555" s="2" t="s">
        <v>3790</v>
      </c>
      <c r="F9555" s="2" t="s">
        <v>39167</v>
      </c>
      <c r="G9555" s="2" t="str">
        <f>"SR-10981"</f>
        <v>SR-10981</v>
      </c>
      <c r="H9555" s="2" t="s">
        <v>39168</v>
      </c>
      <c r="I9555" s="2" t="s">
        <v>39169</v>
      </c>
      <c r="K9555" s="2" t="s">
        <v>17753</v>
      </c>
      <c r="L9555" s="2" t="s">
        <v>1722</v>
      </c>
      <c r="M9555" s="2">
        <v>39183.0</v>
      </c>
      <c r="N9555" s="2" t="s">
        <v>21</v>
      </c>
    </row>
    <row r="9556" ht="15.75" customHeight="1">
      <c r="A9556" s="2">
        <v>2018.0</v>
      </c>
      <c r="B9556" s="2" t="s">
        <v>32087</v>
      </c>
      <c r="C9556" s="2" t="s">
        <v>39170</v>
      </c>
      <c r="D9556" s="2" t="str">
        <f>"419-356-5314"</f>
        <v>419-356-5314</v>
      </c>
      <c r="E9556" s="2" t="s">
        <v>908</v>
      </c>
      <c r="F9556" s="2" t="s">
        <v>18358</v>
      </c>
      <c r="G9556" s="2" t="str">
        <f>"SR-13411"</f>
        <v>SR-13411</v>
      </c>
      <c r="H9556" s="2" t="s">
        <v>39171</v>
      </c>
      <c r="I9556" s="2" t="s">
        <v>32090</v>
      </c>
      <c r="K9556" s="2" t="s">
        <v>32091</v>
      </c>
      <c r="L9556" s="2" t="s">
        <v>344</v>
      </c>
      <c r="M9556" s="2">
        <v>43566.0</v>
      </c>
      <c r="N9556" s="2" t="s">
        <v>21</v>
      </c>
    </row>
    <row r="9557" ht="15.75" customHeight="1">
      <c r="A9557" s="2">
        <v>2018.0</v>
      </c>
      <c r="B9557" s="2" t="s">
        <v>39172</v>
      </c>
      <c r="C9557" s="2" t="s">
        <v>39172</v>
      </c>
      <c r="D9557" s="2" t="str">
        <f>"320 455 3609"</f>
        <v>320 455 3609</v>
      </c>
      <c r="E9557" s="2" t="s">
        <v>301</v>
      </c>
      <c r="F9557" s="2" t="s">
        <v>39173</v>
      </c>
      <c r="G9557" s="2" t="str">
        <f>"SR-13417"</f>
        <v>SR-13417</v>
      </c>
      <c r="H9557" s="2" t="s">
        <v>39174</v>
      </c>
      <c r="I9557" s="2" t="s">
        <v>39175</v>
      </c>
      <c r="K9557" s="2" t="s">
        <v>33785</v>
      </c>
      <c r="L9557" s="2" t="s">
        <v>62</v>
      </c>
      <c r="M9557" s="2">
        <v>55321.0</v>
      </c>
      <c r="N9557" s="2" t="s">
        <v>21</v>
      </c>
    </row>
    <row r="9558" ht="15.75" customHeight="1">
      <c r="A9558" s="2">
        <v>2018.0</v>
      </c>
      <c r="B9558" s="2" t="s">
        <v>39176</v>
      </c>
      <c r="C9558" s="2" t="s">
        <v>39177</v>
      </c>
      <c r="D9558" s="2" t="str">
        <f>"506-855-6339"</f>
        <v>506-855-6339</v>
      </c>
      <c r="E9558" s="2" t="s">
        <v>21409</v>
      </c>
      <c r="F9558" s="2" t="s">
        <v>39178</v>
      </c>
      <c r="G9558" s="2" t="str">
        <f>"SR-13444"</f>
        <v>SR-13444</v>
      </c>
      <c r="H9558" s="2" t="s">
        <v>39179</v>
      </c>
      <c r="I9558" s="2" t="s">
        <v>39180</v>
      </c>
      <c r="K9558" s="2" t="s">
        <v>39181</v>
      </c>
      <c r="N9558" s="2" t="s">
        <v>1602</v>
      </c>
    </row>
    <row r="9559" ht="15.75" customHeight="1">
      <c r="A9559" s="2">
        <v>2018.0</v>
      </c>
      <c r="B9559" s="2" t="s">
        <v>39182</v>
      </c>
      <c r="C9559" s="2" t="s">
        <v>39183</v>
      </c>
      <c r="D9559" s="2" t="str">
        <f>"7049107656"</f>
        <v>7049107656</v>
      </c>
      <c r="E9559" s="2" t="s">
        <v>1054</v>
      </c>
      <c r="F9559" s="2" t="s">
        <v>752</v>
      </c>
      <c r="G9559" s="2" t="str">
        <f>"SR-13237"</f>
        <v>SR-13237</v>
      </c>
      <c r="H9559" s="2" t="s">
        <v>39184</v>
      </c>
      <c r="I9559" s="2" t="s">
        <v>39185</v>
      </c>
      <c r="K9559" s="2" t="s">
        <v>38856</v>
      </c>
      <c r="L9559" s="2" t="s">
        <v>20</v>
      </c>
      <c r="M9559" s="2">
        <v>28056.0</v>
      </c>
      <c r="N9559" s="2" t="s">
        <v>21</v>
      </c>
    </row>
    <row r="9560" ht="15.75" customHeight="1">
      <c r="A9560" s="2">
        <v>2018.0</v>
      </c>
      <c r="B9560" s="2" t="s">
        <v>39186</v>
      </c>
      <c r="C9560" s="2" t="s">
        <v>39187</v>
      </c>
      <c r="D9560" s="2" t="str">
        <f>"903.276.2505"</f>
        <v>903.276.2505</v>
      </c>
      <c r="E9560" s="2" t="s">
        <v>862</v>
      </c>
      <c r="F9560" s="2" t="s">
        <v>39188</v>
      </c>
      <c r="G9560" s="2" t="str">
        <f>"SR-13380"</f>
        <v>SR-13380</v>
      </c>
      <c r="H9560" s="2" t="s">
        <v>39189</v>
      </c>
      <c r="I9560" s="2" t="s">
        <v>4132</v>
      </c>
      <c r="K9560" s="2" t="s">
        <v>39190</v>
      </c>
      <c r="L9560" s="2" t="s">
        <v>172</v>
      </c>
      <c r="M9560" s="2">
        <v>75423.0</v>
      </c>
      <c r="N9560" s="2" t="s">
        <v>21</v>
      </c>
    </row>
    <row r="9561" ht="15.75" customHeight="1">
      <c r="A9561" s="2">
        <v>2018.0</v>
      </c>
      <c r="B9561" s="2" t="s">
        <v>39191</v>
      </c>
      <c r="C9561" s="2" t="s">
        <v>39191</v>
      </c>
      <c r="D9561" s="2" t="str">
        <f>"2609080745"</f>
        <v>2609080745</v>
      </c>
      <c r="E9561" s="2" t="s">
        <v>8277</v>
      </c>
      <c r="F9561" s="2" t="s">
        <v>39192</v>
      </c>
      <c r="G9561" s="2" t="str">
        <f>"SR-13398"</f>
        <v>SR-13398</v>
      </c>
      <c r="H9561" s="2" t="s">
        <v>39193</v>
      </c>
      <c r="I9561" s="2" t="s">
        <v>39194</v>
      </c>
      <c r="K9561" s="2" t="s">
        <v>4379</v>
      </c>
      <c r="L9561" s="2" t="s">
        <v>149</v>
      </c>
      <c r="M9561" s="2">
        <v>46765.0</v>
      </c>
      <c r="N9561" s="2" t="s">
        <v>21</v>
      </c>
    </row>
    <row r="9562" ht="15.75" customHeight="1">
      <c r="A9562" s="2">
        <v>2018.0</v>
      </c>
      <c r="B9562" s="2" t="s">
        <v>39195</v>
      </c>
      <c r="C9562" s="2" t="s">
        <v>39195</v>
      </c>
      <c r="D9562" s="2" t="str">
        <f>"(423)443-5875"</f>
        <v>(423)443-5875</v>
      </c>
      <c r="E9562" s="2" t="s">
        <v>4491</v>
      </c>
      <c r="F9562" s="2" t="s">
        <v>31</v>
      </c>
      <c r="G9562" s="2" t="str">
        <f>"SR-13313"</f>
        <v>SR-13313</v>
      </c>
      <c r="H9562" s="2" t="s">
        <v>39196</v>
      </c>
      <c r="I9562" s="2" t="s">
        <v>39197</v>
      </c>
      <c r="K9562" s="2" t="s">
        <v>3975</v>
      </c>
      <c r="L9562" s="2" t="s">
        <v>279</v>
      </c>
      <c r="M9562" s="2">
        <v>37421.0</v>
      </c>
      <c r="N9562" s="2" t="s">
        <v>21</v>
      </c>
    </row>
    <row r="9563" ht="15.75" customHeight="1">
      <c r="A9563" s="2">
        <v>2018.0</v>
      </c>
      <c r="B9563" s="2" t="s">
        <v>36376</v>
      </c>
      <c r="C9563" s="2" t="s">
        <v>39198</v>
      </c>
      <c r="D9563" s="2" t="str">
        <f>"7052093731"</f>
        <v>7052093731</v>
      </c>
      <c r="E9563" s="2" t="s">
        <v>39199</v>
      </c>
      <c r="F9563" s="2" t="s">
        <v>36378</v>
      </c>
      <c r="G9563" s="2" t="str">
        <f>"SR-13458"</f>
        <v>SR-13458</v>
      </c>
      <c r="H9563" s="2" t="s">
        <v>39200</v>
      </c>
      <c r="I9563" s="2" t="s">
        <v>39201</v>
      </c>
      <c r="K9563" s="2" t="s">
        <v>286</v>
      </c>
      <c r="L9563" s="2" t="s">
        <v>2015</v>
      </c>
      <c r="M9563" s="2" t="s">
        <v>39202</v>
      </c>
      <c r="N9563" s="2" t="s">
        <v>1602</v>
      </c>
    </row>
    <row r="9564" ht="15.75" customHeight="1">
      <c r="A9564" s="2">
        <v>2018.0</v>
      </c>
      <c r="B9564" s="2" t="s">
        <v>21274</v>
      </c>
      <c r="C9564" s="2" t="s">
        <v>39203</v>
      </c>
      <c r="D9564" s="2" t="str">
        <f>"9134866627"</f>
        <v>9134866627</v>
      </c>
      <c r="E9564" s="2" t="s">
        <v>5335</v>
      </c>
      <c r="F9564" s="2" t="s">
        <v>16668</v>
      </c>
      <c r="G9564" s="2" t="str">
        <f>"SR-13461"</f>
        <v>SR-13461</v>
      </c>
      <c r="H9564" s="2" t="s">
        <v>39204</v>
      </c>
      <c r="I9564" s="2" t="s">
        <v>39205</v>
      </c>
      <c r="K9564" s="2" t="s">
        <v>3103</v>
      </c>
      <c r="L9564" s="2" t="s">
        <v>272</v>
      </c>
      <c r="M9564" s="2">
        <v>66204.0</v>
      </c>
      <c r="N9564" s="2" t="s">
        <v>21</v>
      </c>
    </row>
    <row r="9565" ht="15.75" customHeight="1">
      <c r="A9565" s="2">
        <v>2018.0</v>
      </c>
      <c r="B9565" s="2" t="s">
        <v>39206</v>
      </c>
      <c r="C9565" s="2" t="s">
        <v>39207</v>
      </c>
      <c r="D9565" s="2" t="str">
        <f>"630-200-1402"</f>
        <v>630-200-1402</v>
      </c>
      <c r="E9565" s="2" t="s">
        <v>10622</v>
      </c>
      <c r="F9565" s="2" t="s">
        <v>39208</v>
      </c>
      <c r="G9565" s="2" t="str">
        <f>"SR-13463"</f>
        <v>SR-13463</v>
      </c>
      <c r="H9565" s="2" t="s">
        <v>39209</v>
      </c>
      <c r="I9565" s="2" t="s">
        <v>39210</v>
      </c>
      <c r="K9565" s="2" t="s">
        <v>6248</v>
      </c>
      <c r="L9565" s="2" t="s">
        <v>105</v>
      </c>
      <c r="M9565" s="2">
        <v>60126.0</v>
      </c>
      <c r="N9565" s="2" t="s">
        <v>21</v>
      </c>
    </row>
    <row r="9566" ht="15.75" customHeight="1">
      <c r="A9566" s="2">
        <v>2018.0</v>
      </c>
      <c r="B9566" s="2" t="s">
        <v>28783</v>
      </c>
      <c r="C9566" s="2" t="s">
        <v>28784</v>
      </c>
      <c r="D9566" s="2" t="str">
        <f>"331-330-6917"</f>
        <v>331-330-6917</v>
      </c>
      <c r="E9566" s="2" t="s">
        <v>988</v>
      </c>
      <c r="F9566" s="2" t="s">
        <v>28785</v>
      </c>
      <c r="G9566" s="2" t="str">
        <f>"SR-8972"</f>
        <v>SR-8972</v>
      </c>
      <c r="H9566" s="2" t="s">
        <v>28786</v>
      </c>
      <c r="I9566" s="2" t="s">
        <v>28787</v>
      </c>
      <c r="K9566" s="2" t="s">
        <v>6248</v>
      </c>
      <c r="L9566" s="2" t="s">
        <v>105</v>
      </c>
      <c r="M9566" s="2">
        <v>60126.0</v>
      </c>
      <c r="N9566" s="2" t="s">
        <v>21</v>
      </c>
    </row>
    <row r="9567" ht="15.75" customHeight="1">
      <c r="A9567" s="2">
        <v>2018.0</v>
      </c>
      <c r="B9567" s="2" t="s">
        <v>39211</v>
      </c>
      <c r="C9567" s="2" t="s">
        <v>39212</v>
      </c>
      <c r="D9567" s="2" t="str">
        <f>"8593125244"</f>
        <v>8593125244</v>
      </c>
      <c r="E9567" s="2" t="s">
        <v>37022</v>
      </c>
      <c r="F9567" s="2" t="s">
        <v>39213</v>
      </c>
      <c r="G9567" s="2" t="str">
        <f>"SR-13290"</f>
        <v>SR-13290</v>
      </c>
      <c r="H9567" s="2" t="s">
        <v>39214</v>
      </c>
      <c r="I9567" s="2" t="s">
        <v>39215</v>
      </c>
      <c r="K9567" s="2" t="s">
        <v>39216</v>
      </c>
      <c r="L9567" s="2" t="s">
        <v>1236</v>
      </c>
      <c r="M9567" s="2">
        <v>40356.0</v>
      </c>
      <c r="N9567" s="2" t="s">
        <v>21</v>
      </c>
    </row>
    <row r="9568" ht="15.75" customHeight="1">
      <c r="A9568" s="2">
        <v>2018.0</v>
      </c>
      <c r="B9568" s="2" t="s">
        <v>39217</v>
      </c>
      <c r="C9568" s="2" t="s">
        <v>39218</v>
      </c>
      <c r="D9568" s="2" t="str">
        <f>"9033866709"</f>
        <v>9033866709</v>
      </c>
      <c r="E9568" s="2" t="s">
        <v>14422</v>
      </c>
      <c r="F9568" s="2" t="s">
        <v>1257</v>
      </c>
      <c r="G9568" s="2" t="str">
        <f>"SR-13468"</f>
        <v>SR-13468</v>
      </c>
      <c r="H9568" s="2" t="s">
        <v>39219</v>
      </c>
      <c r="I9568" s="2" t="s">
        <v>39220</v>
      </c>
      <c r="K9568" s="2" t="s">
        <v>39221</v>
      </c>
      <c r="L9568" s="2" t="s">
        <v>172</v>
      </c>
      <c r="M9568" s="2">
        <v>75156.0</v>
      </c>
      <c r="N9568" s="2" t="s">
        <v>21</v>
      </c>
    </row>
    <row r="9569" ht="15.75" customHeight="1">
      <c r="A9569" s="2">
        <v>2018.0</v>
      </c>
      <c r="B9569" s="2" t="s">
        <v>35884</v>
      </c>
      <c r="C9569" s="2" t="s">
        <v>35885</v>
      </c>
      <c r="D9569" s="2" t="str">
        <f>"480-634-6955"</f>
        <v>480-634-6955</v>
      </c>
      <c r="E9569" s="2" t="s">
        <v>35886</v>
      </c>
      <c r="F9569" s="2" t="s">
        <v>35887</v>
      </c>
      <c r="G9569" s="2" t="str">
        <f>"SR-11569"</f>
        <v>SR-11569</v>
      </c>
      <c r="H9569" s="2" t="s">
        <v>35888</v>
      </c>
      <c r="I9569" s="2" t="s">
        <v>35889</v>
      </c>
      <c r="K9569" s="2" t="s">
        <v>35890</v>
      </c>
      <c r="L9569" s="2" t="s">
        <v>422</v>
      </c>
      <c r="M9569" s="2">
        <v>85140.0</v>
      </c>
      <c r="N9569" s="2" t="s">
        <v>21</v>
      </c>
    </row>
    <row r="9570" ht="15.75" customHeight="1">
      <c r="A9570" s="2">
        <v>2018.0</v>
      </c>
      <c r="B9570" s="2" t="s">
        <v>39222</v>
      </c>
      <c r="C9570" s="2" t="s">
        <v>39222</v>
      </c>
      <c r="D9570" s="2" t="str">
        <f>"8593615394"</f>
        <v>8593615394</v>
      </c>
      <c r="E9570" s="2" t="s">
        <v>24169</v>
      </c>
      <c r="F9570" s="2" t="s">
        <v>17721</v>
      </c>
      <c r="G9570" s="2" t="str">
        <f>"SR-13445"</f>
        <v>SR-13445</v>
      </c>
      <c r="H9570" s="2" t="s">
        <v>39223</v>
      </c>
      <c r="I9570" s="2" t="s">
        <v>39224</v>
      </c>
      <c r="K9570" s="2" t="s">
        <v>254</v>
      </c>
      <c r="L9570" s="2" t="s">
        <v>1236</v>
      </c>
      <c r="M9570" s="2">
        <v>40515.0</v>
      </c>
      <c r="N9570" s="2" t="s">
        <v>21</v>
      </c>
    </row>
    <row r="9571" ht="15.75" customHeight="1">
      <c r="A9571" s="2">
        <v>2018.0</v>
      </c>
      <c r="B9571" s="2" t="s">
        <v>39225</v>
      </c>
      <c r="C9571" s="2" t="s">
        <v>39226</v>
      </c>
      <c r="D9571" s="2" t="str">
        <f>"6038098244"</f>
        <v>6038098244</v>
      </c>
      <c r="E9571" s="2" t="s">
        <v>39227</v>
      </c>
      <c r="F9571" s="2" t="s">
        <v>39228</v>
      </c>
      <c r="G9571" s="2" t="str">
        <f>"SR-13474"</f>
        <v>SR-13474</v>
      </c>
      <c r="H9571" s="2" t="s">
        <v>39229</v>
      </c>
      <c r="I9571" s="2" t="s">
        <v>39230</v>
      </c>
      <c r="K9571" s="2" t="s">
        <v>39231</v>
      </c>
      <c r="L9571" s="2" t="s">
        <v>19930</v>
      </c>
      <c r="M9571" s="2">
        <v>3060.0</v>
      </c>
      <c r="N9571" s="2" t="s">
        <v>21</v>
      </c>
    </row>
    <row r="9572" ht="15.75" customHeight="1">
      <c r="A9572" s="2">
        <v>2018.0</v>
      </c>
      <c r="B9572" s="2" t="s">
        <v>39232</v>
      </c>
      <c r="C9572" s="2" t="s">
        <v>39232</v>
      </c>
      <c r="D9572" s="2" t="str">
        <f>"719-494-9126"</f>
        <v>719-494-9126</v>
      </c>
      <c r="E9572" s="2" t="s">
        <v>1243</v>
      </c>
      <c r="F9572" s="2" t="s">
        <v>1352</v>
      </c>
      <c r="G9572" s="2" t="str">
        <f>"SR-13439"</f>
        <v>SR-13439</v>
      </c>
      <c r="H9572" s="2" t="s">
        <v>39233</v>
      </c>
      <c r="I9572" s="2" t="s">
        <v>39234</v>
      </c>
      <c r="K9572" s="2" t="s">
        <v>809</v>
      </c>
      <c r="L9572" s="2" t="s">
        <v>157</v>
      </c>
      <c r="M9572" s="2">
        <v>80920.0</v>
      </c>
      <c r="N9572" s="2" t="s">
        <v>21</v>
      </c>
    </row>
    <row r="9573" ht="15.75" customHeight="1">
      <c r="A9573" s="2">
        <v>2018.0</v>
      </c>
      <c r="B9573" s="2" t="s">
        <v>35143</v>
      </c>
      <c r="C9573" s="2" t="s">
        <v>35144</v>
      </c>
      <c r="D9573" s="2" t="str">
        <f>"9053301879"</f>
        <v>9053301879</v>
      </c>
      <c r="E9573" s="2" t="s">
        <v>32820</v>
      </c>
      <c r="F9573" s="2" t="s">
        <v>35145</v>
      </c>
      <c r="G9573" s="2" t="str">
        <f>"SR-11318"</f>
        <v>SR-11318</v>
      </c>
      <c r="H9573" s="2" t="s">
        <v>35146</v>
      </c>
      <c r="I9573" s="2" t="s">
        <v>35147</v>
      </c>
      <c r="K9573" s="2" t="s">
        <v>6075</v>
      </c>
      <c r="L9573" s="2" t="s">
        <v>2015</v>
      </c>
      <c r="M9573" s="2" t="s">
        <v>35148</v>
      </c>
      <c r="N9573" s="2" t="s">
        <v>1602</v>
      </c>
    </row>
    <row r="9574" ht="15.75" customHeight="1">
      <c r="A9574" s="2">
        <v>2018.0</v>
      </c>
      <c r="B9574" s="2" t="s">
        <v>3479</v>
      </c>
      <c r="C9574" s="2" t="s">
        <v>3479</v>
      </c>
      <c r="D9574" s="2" t="str">
        <f>"828-371-0419"</f>
        <v>828-371-0419</v>
      </c>
      <c r="E9574" s="2" t="s">
        <v>4300</v>
      </c>
      <c r="F9574" s="2" t="s">
        <v>3481</v>
      </c>
      <c r="G9574" s="2" t="str">
        <f>"SR-13441"</f>
        <v>SR-13441</v>
      </c>
      <c r="H9574" s="2" t="s">
        <v>39235</v>
      </c>
      <c r="I9574" s="2" t="s">
        <v>3483</v>
      </c>
      <c r="K9574" s="2" t="s">
        <v>278</v>
      </c>
      <c r="L9574" s="2" t="s">
        <v>20</v>
      </c>
      <c r="M9574" s="2">
        <v>28734.0</v>
      </c>
      <c r="N9574" s="2" t="s">
        <v>21</v>
      </c>
    </row>
    <row r="9575" ht="15.75" customHeight="1">
      <c r="A9575" s="2">
        <v>2018.0</v>
      </c>
      <c r="B9575" s="2" t="s">
        <v>39236</v>
      </c>
      <c r="C9575" s="2" t="s">
        <v>39236</v>
      </c>
      <c r="D9575" s="2" t="str">
        <f>"6029096496"</f>
        <v>6029096496</v>
      </c>
      <c r="E9575" s="2" t="s">
        <v>2361</v>
      </c>
      <c r="F9575" s="2" t="s">
        <v>16780</v>
      </c>
      <c r="G9575" s="2" t="str">
        <f>"SR-13478"</f>
        <v>SR-13478</v>
      </c>
      <c r="H9575" s="2" t="s">
        <v>39237</v>
      </c>
      <c r="I9575" s="2" t="s">
        <v>39238</v>
      </c>
      <c r="K9575" s="2" t="s">
        <v>421</v>
      </c>
      <c r="L9575" s="2" t="s">
        <v>422</v>
      </c>
      <c r="M9575" s="2">
        <v>85048.0</v>
      </c>
      <c r="N9575" s="2" t="s">
        <v>21</v>
      </c>
    </row>
    <row r="9576" ht="15.75" customHeight="1">
      <c r="A9576" s="2">
        <v>2018.0</v>
      </c>
      <c r="B9576" s="2" t="s">
        <v>31614</v>
      </c>
      <c r="C9576" s="2" t="s">
        <v>39239</v>
      </c>
      <c r="D9576" s="2" t="str">
        <f>"7199637989"</f>
        <v>7199637989</v>
      </c>
      <c r="E9576" s="2" t="s">
        <v>2412</v>
      </c>
      <c r="F9576" s="2" t="s">
        <v>31616</v>
      </c>
      <c r="G9576" s="2" t="str">
        <f>"SR-13473"</f>
        <v>SR-13473</v>
      </c>
      <c r="H9576" s="2" t="s">
        <v>39240</v>
      </c>
      <c r="I9576" s="2" t="s">
        <v>31618</v>
      </c>
      <c r="K9576" s="2" t="s">
        <v>809</v>
      </c>
      <c r="L9576" s="2" t="s">
        <v>157</v>
      </c>
      <c r="M9576" s="2">
        <v>80919.0</v>
      </c>
      <c r="N9576" s="2" t="s">
        <v>21</v>
      </c>
    </row>
    <row r="9577" ht="15.75" customHeight="1">
      <c r="A9577" s="2">
        <v>2018.0</v>
      </c>
      <c r="B9577" s="2" t="s">
        <v>39241</v>
      </c>
      <c r="C9577" s="2" t="s">
        <v>39242</v>
      </c>
      <c r="D9577" s="2" t="str">
        <f>"7607175611"</f>
        <v>7607175611</v>
      </c>
      <c r="E9577" s="2" t="s">
        <v>447</v>
      </c>
      <c r="F9577" s="2" t="s">
        <v>4776</v>
      </c>
      <c r="G9577" s="2" t="str">
        <f>"SR-13481"</f>
        <v>SR-13481</v>
      </c>
      <c r="H9577" s="2" t="s">
        <v>39243</v>
      </c>
      <c r="I9577" s="2" t="s">
        <v>39244</v>
      </c>
      <c r="K9577" s="2" t="s">
        <v>809</v>
      </c>
      <c r="L9577" s="2" t="s">
        <v>157</v>
      </c>
      <c r="M9577" s="2">
        <v>80921.0</v>
      </c>
      <c r="N9577" s="2" t="s">
        <v>21</v>
      </c>
    </row>
    <row r="9578" ht="15.75" customHeight="1">
      <c r="A9578" s="2">
        <v>2018.0</v>
      </c>
      <c r="B9578" s="2" t="s">
        <v>39245</v>
      </c>
      <c r="C9578" s="2" t="s">
        <v>39245</v>
      </c>
      <c r="D9578" s="2" t="str">
        <f>"3524458283"</f>
        <v>3524458283</v>
      </c>
      <c r="E9578" s="2" t="s">
        <v>39246</v>
      </c>
      <c r="F9578" s="2" t="s">
        <v>2870</v>
      </c>
      <c r="G9578" s="2" t="str">
        <f>"SR-13337"</f>
        <v>SR-13337</v>
      </c>
      <c r="H9578" s="2" t="s">
        <v>39247</v>
      </c>
      <c r="I9578" s="2" t="s">
        <v>31580</v>
      </c>
      <c r="K9578" s="2" t="s">
        <v>16454</v>
      </c>
      <c r="L9578" s="2" t="s">
        <v>208</v>
      </c>
      <c r="M9578" s="2">
        <v>34434.0</v>
      </c>
      <c r="N9578" s="2" t="s">
        <v>21</v>
      </c>
    </row>
    <row r="9579" ht="15.75" customHeight="1">
      <c r="A9579" s="2">
        <v>2018.0</v>
      </c>
      <c r="B9579" s="2" t="s">
        <v>9035</v>
      </c>
      <c r="C9579" s="2" t="s">
        <v>39248</v>
      </c>
      <c r="D9579" s="2" t="str">
        <f>"319-450-2308"</f>
        <v>319-450-2308</v>
      </c>
      <c r="E9579" s="2" t="s">
        <v>1263</v>
      </c>
      <c r="F9579" s="2" t="s">
        <v>9036</v>
      </c>
      <c r="G9579" s="2" t="str">
        <f>"SR-13485"</f>
        <v>SR-13485</v>
      </c>
      <c r="H9579" s="2" t="s">
        <v>39249</v>
      </c>
      <c r="I9579" s="2" t="s">
        <v>9038</v>
      </c>
      <c r="K9579" s="2" t="s">
        <v>3273</v>
      </c>
      <c r="L9579" s="2" t="s">
        <v>560</v>
      </c>
      <c r="M9579" s="2">
        <v>52405.0</v>
      </c>
      <c r="N9579" s="2" t="s">
        <v>21</v>
      </c>
    </row>
    <row r="9580" ht="15.75" customHeight="1">
      <c r="A9580" s="2">
        <v>2018.0</v>
      </c>
      <c r="B9580" s="2" t="s">
        <v>39250</v>
      </c>
      <c r="C9580" s="2" t="s">
        <v>39251</v>
      </c>
      <c r="D9580" s="2" t="str">
        <f>"402-672-5465"</f>
        <v>402-672-5465</v>
      </c>
      <c r="E9580" s="2" t="s">
        <v>39252</v>
      </c>
      <c r="F9580" s="2" t="s">
        <v>39253</v>
      </c>
      <c r="G9580" s="2" t="str">
        <f>"SR-13036"</f>
        <v>SR-13036</v>
      </c>
      <c r="H9580" s="2" t="s">
        <v>39254</v>
      </c>
      <c r="I9580" s="2" t="s">
        <v>39255</v>
      </c>
      <c r="K9580" s="2" t="s">
        <v>30390</v>
      </c>
      <c r="L9580" s="2" t="s">
        <v>757</v>
      </c>
      <c r="M9580" s="2">
        <v>68028.0</v>
      </c>
      <c r="N9580" s="2" t="s">
        <v>21</v>
      </c>
    </row>
    <row r="9581" ht="15.75" customHeight="1">
      <c r="A9581" s="2">
        <v>2018.0</v>
      </c>
      <c r="B9581" s="2" t="s">
        <v>39256</v>
      </c>
      <c r="C9581" s="2" t="s">
        <v>39256</v>
      </c>
      <c r="D9581" s="2" t="str">
        <f>"480-634-6955"</f>
        <v>480-634-6955</v>
      </c>
      <c r="E9581" s="2" t="s">
        <v>39130</v>
      </c>
      <c r="F9581" s="2" t="s">
        <v>35887</v>
      </c>
      <c r="G9581" s="2" t="str">
        <f>"SR-13484"</f>
        <v>SR-13484</v>
      </c>
      <c r="H9581" s="2" t="s">
        <v>39257</v>
      </c>
      <c r="I9581" s="2" t="s">
        <v>39258</v>
      </c>
      <c r="K9581" s="2" t="s">
        <v>35890</v>
      </c>
      <c r="L9581" s="2" t="s">
        <v>422</v>
      </c>
      <c r="M9581" s="2">
        <v>85140.0</v>
      </c>
      <c r="N9581" s="2" t="s">
        <v>21</v>
      </c>
    </row>
    <row r="9582" ht="15.75" customHeight="1">
      <c r="A9582" s="2">
        <v>2018.0</v>
      </c>
      <c r="B9582" s="2" t="s">
        <v>39259</v>
      </c>
      <c r="C9582" s="2" t="s">
        <v>39260</v>
      </c>
      <c r="D9582" s="2" t="str">
        <f>"239-938-6807"</f>
        <v>239-938-6807</v>
      </c>
      <c r="E9582" s="2" t="s">
        <v>9605</v>
      </c>
      <c r="F9582" s="2" t="s">
        <v>6923</v>
      </c>
      <c r="G9582" s="2" t="str">
        <f>"SR-13487"</f>
        <v>SR-13487</v>
      </c>
      <c r="H9582" s="2" t="s">
        <v>39261</v>
      </c>
      <c r="I9582" s="2" t="s">
        <v>39262</v>
      </c>
      <c r="K9582" s="2" t="s">
        <v>39263</v>
      </c>
      <c r="L9582" s="2" t="s">
        <v>208</v>
      </c>
      <c r="M9582" s="2">
        <v>34654.0</v>
      </c>
      <c r="N9582" s="2" t="s">
        <v>21</v>
      </c>
    </row>
    <row r="9583" ht="15.75" customHeight="1">
      <c r="A9583" s="2">
        <v>2018.0</v>
      </c>
      <c r="B9583" s="2" t="s">
        <v>39264</v>
      </c>
      <c r="C9583" s="2" t="s">
        <v>39265</v>
      </c>
      <c r="D9583" s="2" t="str">
        <f>"5408100022"</f>
        <v>5408100022</v>
      </c>
      <c r="E9583" s="2" t="s">
        <v>167</v>
      </c>
      <c r="F9583" s="2" t="s">
        <v>9600</v>
      </c>
      <c r="G9583" s="2" t="str">
        <f>"SR-13489"</f>
        <v>SR-13489</v>
      </c>
      <c r="H9583" s="2" t="s">
        <v>39266</v>
      </c>
      <c r="I9583" s="2" t="s">
        <v>39267</v>
      </c>
      <c r="K9583" s="2" t="s">
        <v>39268</v>
      </c>
      <c r="L9583" s="2" t="s">
        <v>3618</v>
      </c>
      <c r="M9583" s="2">
        <v>8889.0</v>
      </c>
      <c r="N9583" s="2" t="s">
        <v>21</v>
      </c>
    </row>
    <row r="9584" ht="15.75" customHeight="1">
      <c r="A9584" s="2">
        <v>2018.0</v>
      </c>
      <c r="B9584" s="2" t="s">
        <v>39269</v>
      </c>
      <c r="C9584" s="2" t="s">
        <v>39270</v>
      </c>
      <c r="D9584" s="2" t="str">
        <f>"4324661719"</f>
        <v>4324661719</v>
      </c>
      <c r="E9584" s="2" t="s">
        <v>250</v>
      </c>
      <c r="F9584" s="2" t="s">
        <v>32067</v>
      </c>
      <c r="G9584" s="2" t="str">
        <f>"SR-13493"</f>
        <v>SR-13493</v>
      </c>
      <c r="H9584" s="2" t="s">
        <v>39271</v>
      </c>
      <c r="I9584" s="2" t="s">
        <v>39272</v>
      </c>
      <c r="K9584" s="2" t="s">
        <v>1583</v>
      </c>
      <c r="L9584" s="2" t="s">
        <v>172</v>
      </c>
      <c r="M9584" s="2">
        <v>79739.0</v>
      </c>
      <c r="N9584" s="2" t="s">
        <v>21</v>
      </c>
    </row>
    <row r="9585" ht="15.75" customHeight="1">
      <c r="A9585" s="2">
        <v>2018.0</v>
      </c>
      <c r="B9585" s="2" t="s">
        <v>39273</v>
      </c>
      <c r="C9585" s="2" t="s">
        <v>39274</v>
      </c>
      <c r="D9585" s="2" t="str">
        <f>"4322605180"</f>
        <v>4322605180</v>
      </c>
      <c r="E9585" s="2" t="s">
        <v>39275</v>
      </c>
      <c r="F9585" s="2" t="s">
        <v>32067</v>
      </c>
      <c r="G9585" s="2" t="str">
        <f>"SR-13495"</f>
        <v>SR-13495</v>
      </c>
      <c r="H9585" s="2" t="s">
        <v>39276</v>
      </c>
      <c r="I9585" s="2" t="s">
        <v>39277</v>
      </c>
      <c r="K9585" s="2" t="s">
        <v>1583</v>
      </c>
      <c r="L9585" s="2" t="s">
        <v>172</v>
      </c>
      <c r="M9585" s="2">
        <v>79739.0</v>
      </c>
      <c r="N9585" s="2" t="s">
        <v>21</v>
      </c>
    </row>
    <row r="9586" ht="15.75" customHeight="1">
      <c r="A9586" s="2">
        <v>2018.0</v>
      </c>
      <c r="B9586" s="2" t="s">
        <v>24891</v>
      </c>
      <c r="C9586" s="2" t="s">
        <v>39278</v>
      </c>
      <c r="D9586" s="2" t="str">
        <f>"319-929-6618"</f>
        <v>319-929-6618</v>
      </c>
      <c r="E9586" s="2" t="s">
        <v>1974</v>
      </c>
      <c r="F9586" s="2" t="s">
        <v>24892</v>
      </c>
      <c r="G9586" s="2" t="str">
        <f>"SR-13060"</f>
        <v>SR-13060</v>
      </c>
      <c r="H9586" s="2" t="s">
        <v>39279</v>
      </c>
      <c r="I9586" s="2" t="s">
        <v>24894</v>
      </c>
      <c r="K9586" s="2" t="s">
        <v>3273</v>
      </c>
      <c r="L9586" s="2" t="s">
        <v>560</v>
      </c>
      <c r="M9586" s="2">
        <v>52405.0</v>
      </c>
      <c r="N9586" s="2" t="s">
        <v>21</v>
      </c>
    </row>
    <row r="9587" ht="15.75" customHeight="1">
      <c r="A9587" s="2">
        <v>2018.0</v>
      </c>
      <c r="B9587" s="2" t="s">
        <v>39280</v>
      </c>
      <c r="C9587" s="2" t="s">
        <v>39281</v>
      </c>
      <c r="D9587" s="2" t="str">
        <f>"7176016134"</f>
        <v>7176016134</v>
      </c>
      <c r="E9587" s="2" t="s">
        <v>100</v>
      </c>
      <c r="F9587" s="2" t="s">
        <v>5396</v>
      </c>
      <c r="G9587" s="2" t="str">
        <f>"SR-13496"</f>
        <v>SR-13496</v>
      </c>
      <c r="H9587" s="2" t="s">
        <v>39282</v>
      </c>
      <c r="I9587" s="2" t="s">
        <v>39283</v>
      </c>
      <c r="K9587" s="2" t="s">
        <v>39284</v>
      </c>
      <c r="L9587" s="2" t="s">
        <v>179</v>
      </c>
      <c r="M9587" s="2">
        <v>17015.0</v>
      </c>
      <c r="N9587" s="2" t="s">
        <v>21</v>
      </c>
    </row>
    <row r="9588" ht="15.75" customHeight="1">
      <c r="A9588" s="2">
        <v>2018.0</v>
      </c>
      <c r="B9588" s="2" t="s">
        <v>7007</v>
      </c>
      <c r="C9588" s="2" t="s">
        <v>7007</v>
      </c>
      <c r="D9588" s="2" t="str">
        <f>"770-667-1355"</f>
        <v>770-667-1355</v>
      </c>
      <c r="E9588" s="2" t="s">
        <v>4763</v>
      </c>
      <c r="F9588" s="2" t="s">
        <v>938</v>
      </c>
      <c r="G9588" s="2" t="str">
        <f>"SR-13025"</f>
        <v>SR-13025</v>
      </c>
      <c r="H9588" s="2" t="s">
        <v>39285</v>
      </c>
      <c r="I9588" s="2" t="s">
        <v>39286</v>
      </c>
      <c r="K9588" s="2" t="s">
        <v>7012</v>
      </c>
      <c r="L9588" s="2" t="s">
        <v>200</v>
      </c>
      <c r="M9588" s="2">
        <v>30022.0</v>
      </c>
      <c r="N9588" s="2" t="s">
        <v>21</v>
      </c>
    </row>
    <row r="9589" ht="15.75" customHeight="1">
      <c r="A9589" s="2">
        <v>2018.0</v>
      </c>
      <c r="B9589" s="2" t="s">
        <v>39287</v>
      </c>
      <c r="C9589" s="2" t="s">
        <v>39287</v>
      </c>
      <c r="D9589" s="2" t="str">
        <f>"9078544449"</f>
        <v>9078544449</v>
      </c>
      <c r="E9589" s="2" t="s">
        <v>485</v>
      </c>
      <c r="F9589" s="2" t="s">
        <v>1726</v>
      </c>
      <c r="G9589" s="2" t="str">
        <f>"SR-13360"</f>
        <v>SR-13360</v>
      </c>
      <c r="H9589" s="2" t="s">
        <v>39288</v>
      </c>
      <c r="I9589" s="2" t="s">
        <v>39289</v>
      </c>
      <c r="K9589" s="2" t="s">
        <v>1729</v>
      </c>
      <c r="L9589" s="2" t="s">
        <v>70</v>
      </c>
      <c r="M9589" s="2">
        <v>99577.0</v>
      </c>
      <c r="N9589" s="2" t="s">
        <v>21</v>
      </c>
    </row>
    <row r="9590" ht="15.75" customHeight="1">
      <c r="A9590" s="2">
        <v>2018.0</v>
      </c>
      <c r="B9590" s="2" t="s">
        <v>39290</v>
      </c>
      <c r="C9590" s="2" t="s">
        <v>39291</v>
      </c>
      <c r="D9590" s="2" t="str">
        <f>"817 573 7781"</f>
        <v>817 573 7781</v>
      </c>
      <c r="E9590" s="2" t="s">
        <v>908</v>
      </c>
      <c r="F9590" s="2" t="s">
        <v>25339</v>
      </c>
      <c r="G9590" s="2" t="str">
        <f>"SR-13503"</f>
        <v>SR-13503</v>
      </c>
      <c r="H9590" s="2" t="s">
        <v>39292</v>
      </c>
      <c r="I9590" s="2" t="s">
        <v>39293</v>
      </c>
      <c r="K9590" s="2" t="s">
        <v>2046</v>
      </c>
      <c r="L9590" s="2" t="s">
        <v>172</v>
      </c>
      <c r="M9590" s="2">
        <v>76049.0</v>
      </c>
      <c r="N9590" s="2" t="s">
        <v>21</v>
      </c>
    </row>
    <row r="9591" ht="15.75" customHeight="1">
      <c r="A9591" s="2">
        <v>2018.0</v>
      </c>
      <c r="B9591" s="2" t="s">
        <v>39294</v>
      </c>
      <c r="C9591" s="2" t="s">
        <v>39295</v>
      </c>
      <c r="D9591" s="2" t="str">
        <f>"920-372-3939"</f>
        <v>920-372-3939</v>
      </c>
      <c r="E9591" s="2" t="s">
        <v>23065</v>
      </c>
      <c r="F9591" s="2" t="s">
        <v>39296</v>
      </c>
      <c r="G9591" s="2" t="str">
        <f>"SR-13480"</f>
        <v>SR-13480</v>
      </c>
      <c r="H9591" s="2" t="s">
        <v>39297</v>
      </c>
      <c r="I9591" s="2" t="s">
        <v>39298</v>
      </c>
      <c r="K9591" s="2" t="s">
        <v>39299</v>
      </c>
      <c r="L9591" s="2" t="s">
        <v>193</v>
      </c>
      <c r="M9591" s="2">
        <v>54180.0</v>
      </c>
      <c r="N9591" s="2" t="s">
        <v>21</v>
      </c>
    </row>
    <row r="9592" ht="15.75" customHeight="1">
      <c r="A9592" s="2">
        <v>2018.0</v>
      </c>
      <c r="B9592" s="2" t="s">
        <v>39300</v>
      </c>
      <c r="C9592" s="2" t="s">
        <v>39300</v>
      </c>
      <c r="D9592" s="2" t="str">
        <f>"281-425-5867"</f>
        <v>281-425-5867</v>
      </c>
      <c r="E9592" s="2" t="s">
        <v>1434</v>
      </c>
      <c r="F9592" s="2" t="s">
        <v>39301</v>
      </c>
      <c r="G9592" s="2" t="str">
        <f>"SR-13505"</f>
        <v>SR-13505</v>
      </c>
      <c r="H9592" s="2" t="s">
        <v>39302</v>
      </c>
      <c r="I9592" s="2" t="s">
        <v>39303</v>
      </c>
      <c r="K9592" s="2" t="s">
        <v>6499</v>
      </c>
      <c r="L9592" s="2" t="s">
        <v>172</v>
      </c>
      <c r="M9592" s="2">
        <v>77493.0</v>
      </c>
      <c r="N9592" s="2" t="s">
        <v>21</v>
      </c>
    </row>
    <row r="9593" ht="15.75" customHeight="1">
      <c r="A9593" s="2">
        <v>2018.0</v>
      </c>
      <c r="B9593" s="2" t="s">
        <v>36421</v>
      </c>
      <c r="C9593" s="2" t="s">
        <v>36422</v>
      </c>
      <c r="D9593" s="2" t="str">
        <f>"2183981985"</f>
        <v>2183981985</v>
      </c>
      <c r="E9593" s="2" t="s">
        <v>288</v>
      </c>
      <c r="F9593" s="2" t="s">
        <v>36423</v>
      </c>
      <c r="G9593" s="2" t="str">
        <f>"SR-11735"</f>
        <v>SR-11735</v>
      </c>
      <c r="H9593" s="2" t="s">
        <v>36424</v>
      </c>
      <c r="I9593" s="2" t="s">
        <v>36425</v>
      </c>
      <c r="K9593" s="2" t="s">
        <v>36426</v>
      </c>
      <c r="L9593" s="2" t="s">
        <v>62</v>
      </c>
      <c r="M9593" s="2">
        <v>55744.0</v>
      </c>
      <c r="N9593" s="2" t="s">
        <v>21</v>
      </c>
    </row>
    <row r="9594" ht="15.75" customHeight="1">
      <c r="A9594" s="2">
        <v>2018.0</v>
      </c>
      <c r="B9594" s="2" t="s">
        <v>455</v>
      </c>
      <c r="C9594" s="2" t="s">
        <v>39304</v>
      </c>
      <c r="D9594" s="2" t="str">
        <f>"907-242-2823"</f>
        <v>907-242-2823</v>
      </c>
      <c r="E9594" s="2" t="s">
        <v>29683</v>
      </c>
      <c r="F9594" s="2" t="s">
        <v>457</v>
      </c>
      <c r="G9594" s="2" t="str">
        <f>"SR-13507"</f>
        <v>SR-13507</v>
      </c>
      <c r="H9594" s="2" t="s">
        <v>39305</v>
      </c>
      <c r="I9594" s="2" t="s">
        <v>459</v>
      </c>
      <c r="K9594" s="2" t="s">
        <v>69</v>
      </c>
      <c r="L9594" s="2" t="s">
        <v>70</v>
      </c>
      <c r="M9594" s="2">
        <v>99504.0</v>
      </c>
      <c r="N9594" s="2" t="s">
        <v>21</v>
      </c>
    </row>
    <row r="9595" ht="15.75" customHeight="1">
      <c r="A9595" s="2">
        <v>2018.0</v>
      </c>
      <c r="B9595" s="2" t="s">
        <v>35448</v>
      </c>
      <c r="C9595" s="2" t="s">
        <v>37897</v>
      </c>
      <c r="D9595" s="2" t="str">
        <f>"6517469240"</f>
        <v>6517469240</v>
      </c>
      <c r="E9595" s="2" t="s">
        <v>8826</v>
      </c>
      <c r="F9595" s="2" t="s">
        <v>28188</v>
      </c>
      <c r="G9595" s="2" t="str">
        <f>"SR-13508"</f>
        <v>SR-13508</v>
      </c>
      <c r="H9595" s="2" t="s">
        <v>39306</v>
      </c>
      <c r="I9595" s="2" t="s">
        <v>37899</v>
      </c>
      <c r="K9595" s="2" t="s">
        <v>39307</v>
      </c>
      <c r="L9595" s="2" t="s">
        <v>172</v>
      </c>
      <c r="M9595" s="2">
        <v>76107.0</v>
      </c>
      <c r="N9595" s="2" t="s">
        <v>21</v>
      </c>
    </row>
    <row r="9596" ht="15.75" customHeight="1">
      <c r="A9596" s="2">
        <v>2018.0</v>
      </c>
      <c r="B9596" s="2" t="s">
        <v>39308</v>
      </c>
      <c r="C9596" s="2" t="s">
        <v>39309</v>
      </c>
      <c r="D9596" s="2" t="str">
        <f>"719-360-2747"</f>
        <v>719-360-2747</v>
      </c>
      <c r="E9596" s="2" t="s">
        <v>1034</v>
      </c>
      <c r="F9596" s="2" t="s">
        <v>4627</v>
      </c>
      <c r="G9596" s="2" t="str">
        <f>"SR-13510"</f>
        <v>SR-13510</v>
      </c>
      <c r="H9596" s="2" t="s">
        <v>39310</v>
      </c>
      <c r="I9596" s="2" t="s">
        <v>39311</v>
      </c>
      <c r="K9596" s="2" t="s">
        <v>36316</v>
      </c>
      <c r="L9596" s="2" t="s">
        <v>157</v>
      </c>
      <c r="M9596" s="2">
        <v>80132.0</v>
      </c>
      <c r="N9596" s="2" t="s">
        <v>21</v>
      </c>
    </row>
    <row r="9597" ht="15.75" customHeight="1">
      <c r="A9597" s="2">
        <v>2018.0</v>
      </c>
      <c r="B9597" s="2" t="s">
        <v>39312</v>
      </c>
      <c r="C9597" s="2" t="s">
        <v>39313</v>
      </c>
      <c r="D9597" s="2" t="str">
        <f>"901-607-9889"</f>
        <v>901-607-9889</v>
      </c>
      <c r="E9597" s="2" t="s">
        <v>144</v>
      </c>
      <c r="F9597" s="2" t="s">
        <v>1859</v>
      </c>
      <c r="G9597" s="2" t="str">
        <f>"SR-13514"</f>
        <v>SR-13514</v>
      </c>
      <c r="H9597" s="2" t="s">
        <v>39314</v>
      </c>
      <c r="I9597" s="2" t="s">
        <v>39315</v>
      </c>
      <c r="K9597" s="2" t="s">
        <v>22064</v>
      </c>
      <c r="L9597" s="2" t="s">
        <v>279</v>
      </c>
      <c r="M9597" s="2">
        <v>38018.0</v>
      </c>
      <c r="N9597" s="2" t="s">
        <v>21</v>
      </c>
    </row>
    <row r="9598" ht="15.75" customHeight="1">
      <c r="A9598" s="2">
        <v>2018.0</v>
      </c>
      <c r="B9598" s="2" t="s">
        <v>39316</v>
      </c>
      <c r="C9598" s="2" t="s">
        <v>39316</v>
      </c>
      <c r="D9598" s="2" t="str">
        <f>"253-230-1189"</f>
        <v>253-230-1189</v>
      </c>
      <c r="E9598" s="2" t="s">
        <v>1000</v>
      </c>
      <c r="F9598" s="2" t="s">
        <v>28103</v>
      </c>
      <c r="G9598" s="2" t="str">
        <f>"SR-13518"</f>
        <v>SR-13518</v>
      </c>
      <c r="H9598" s="2" t="s">
        <v>39317</v>
      </c>
      <c r="I9598" s="2" t="s">
        <v>39318</v>
      </c>
      <c r="K9598" s="2" t="s">
        <v>22513</v>
      </c>
      <c r="L9598" s="2" t="s">
        <v>86</v>
      </c>
      <c r="M9598" s="2">
        <v>98418.0</v>
      </c>
      <c r="N9598" s="2" t="s">
        <v>21</v>
      </c>
    </row>
    <row r="9599" ht="15.75" customHeight="1">
      <c r="A9599" s="2">
        <v>2018.0</v>
      </c>
      <c r="B9599" s="2" t="s">
        <v>32354</v>
      </c>
      <c r="C9599" s="2" t="s">
        <v>35822</v>
      </c>
      <c r="D9599" s="2" t="str">
        <f>"530-878-8950"</f>
        <v>530-878-8950</v>
      </c>
      <c r="E9599" s="2" t="s">
        <v>5760</v>
      </c>
      <c r="F9599" s="2" t="s">
        <v>12683</v>
      </c>
      <c r="G9599" s="2" t="str">
        <f>"SR-13524"</f>
        <v>SR-13524</v>
      </c>
      <c r="H9599" s="2" t="s">
        <v>35823</v>
      </c>
      <c r="I9599" s="2" t="s">
        <v>32355</v>
      </c>
      <c r="K9599" s="2" t="s">
        <v>15823</v>
      </c>
      <c r="L9599" s="2" t="s">
        <v>222</v>
      </c>
      <c r="M9599" s="2">
        <v>95722.0</v>
      </c>
      <c r="N9599" s="2" t="s">
        <v>21</v>
      </c>
    </row>
    <row r="9600" ht="15.75" customHeight="1">
      <c r="A9600" s="2">
        <v>2018.0</v>
      </c>
      <c r="B9600" s="2" t="s">
        <v>39319</v>
      </c>
      <c r="C9600" s="2" t="s">
        <v>39320</v>
      </c>
      <c r="D9600" s="2" t="str">
        <f t="shared" ref="D9600:D9601" si="162">"3202351609"</f>
        <v>3202351609</v>
      </c>
      <c r="E9600" s="2" t="s">
        <v>678</v>
      </c>
      <c r="F9600" s="2" t="s">
        <v>262</v>
      </c>
      <c r="G9600" s="2" t="str">
        <f>"SR-13465"</f>
        <v>SR-13465</v>
      </c>
      <c r="H9600" s="2" t="s">
        <v>39321</v>
      </c>
      <c r="I9600" s="2" t="s">
        <v>39322</v>
      </c>
      <c r="K9600" s="2" t="s">
        <v>61</v>
      </c>
      <c r="L9600" s="2" t="s">
        <v>62</v>
      </c>
      <c r="M9600" s="2">
        <v>56201.0</v>
      </c>
      <c r="N9600" s="2" t="s">
        <v>21</v>
      </c>
    </row>
    <row r="9601" ht="15.75" customHeight="1">
      <c r="A9601" s="2">
        <v>2018.0</v>
      </c>
      <c r="B9601" s="2" t="s">
        <v>39319</v>
      </c>
      <c r="C9601" s="2" t="s">
        <v>39323</v>
      </c>
      <c r="D9601" s="2" t="str">
        <f t="shared" si="162"/>
        <v>3202351609</v>
      </c>
      <c r="E9601" s="2" t="s">
        <v>2243</v>
      </c>
      <c r="F9601" s="2" t="s">
        <v>262</v>
      </c>
      <c r="G9601" s="2" t="str">
        <f>"SR-13536"</f>
        <v>SR-13536</v>
      </c>
      <c r="H9601" s="2" t="s">
        <v>39324</v>
      </c>
      <c r="I9601" s="2" t="s">
        <v>39322</v>
      </c>
      <c r="K9601" s="2" t="s">
        <v>61</v>
      </c>
      <c r="L9601" s="2" t="s">
        <v>62</v>
      </c>
      <c r="M9601" s="2">
        <v>56201.0</v>
      </c>
      <c r="N9601" s="2" t="s">
        <v>21</v>
      </c>
    </row>
    <row r="9602" ht="15.75" customHeight="1">
      <c r="A9602" s="2">
        <v>2018.0</v>
      </c>
      <c r="B9602" s="2" t="s">
        <v>39325</v>
      </c>
      <c r="C9602" s="2" t="s">
        <v>39326</v>
      </c>
      <c r="D9602" s="2" t="str">
        <f>"817-688-4695"</f>
        <v>817-688-4695</v>
      </c>
      <c r="E9602" s="2" t="s">
        <v>572</v>
      </c>
      <c r="F9602" s="2" t="s">
        <v>39327</v>
      </c>
      <c r="G9602" s="2" t="str">
        <f>"SR-13386"</f>
        <v>SR-13386</v>
      </c>
      <c r="H9602" s="2" t="s">
        <v>39328</v>
      </c>
      <c r="I9602" s="2" t="s">
        <v>39329</v>
      </c>
      <c r="K9602" s="2" t="s">
        <v>1260</v>
      </c>
      <c r="L9602" s="2" t="s">
        <v>172</v>
      </c>
      <c r="M9602" s="2">
        <v>76137.0</v>
      </c>
      <c r="N9602" s="2" t="s">
        <v>21</v>
      </c>
    </row>
    <row r="9603" ht="15.75" customHeight="1">
      <c r="A9603" s="2">
        <v>2018.0</v>
      </c>
      <c r="B9603" s="2" t="s">
        <v>39330</v>
      </c>
      <c r="C9603" s="2" t="s">
        <v>39331</v>
      </c>
      <c r="D9603" s="2" t="str">
        <f>"320-214-7214"</f>
        <v>320-214-7214</v>
      </c>
      <c r="E9603" s="2" t="s">
        <v>485</v>
      </c>
      <c r="F9603" s="2" t="s">
        <v>39332</v>
      </c>
      <c r="G9603" s="2" t="str">
        <f>"SR-13470"</f>
        <v>SR-13470</v>
      </c>
      <c r="H9603" s="2" t="s">
        <v>39333</v>
      </c>
      <c r="I9603" s="2" t="s">
        <v>39334</v>
      </c>
      <c r="K9603" s="2" t="s">
        <v>61</v>
      </c>
      <c r="L9603" s="2" t="s">
        <v>62</v>
      </c>
      <c r="M9603" s="2">
        <v>56201.0</v>
      </c>
      <c r="N9603" s="2" t="s">
        <v>21</v>
      </c>
    </row>
    <row r="9604" ht="15.75" customHeight="1">
      <c r="A9604" s="2">
        <v>2018.0</v>
      </c>
      <c r="B9604" s="2" t="s">
        <v>39335</v>
      </c>
      <c r="C9604" s="2" t="s">
        <v>39335</v>
      </c>
      <c r="D9604" s="2" t="str">
        <f>"224.760.0389"</f>
        <v>224.760.0389</v>
      </c>
      <c r="E9604" s="2" t="s">
        <v>751</v>
      </c>
      <c r="F9604" s="2" t="s">
        <v>39336</v>
      </c>
      <c r="G9604" s="2" t="str">
        <f>"SR-13486"</f>
        <v>SR-13486</v>
      </c>
      <c r="H9604" s="2" t="s">
        <v>39337</v>
      </c>
      <c r="I9604" s="2" t="s">
        <v>39338</v>
      </c>
      <c r="K9604" s="2" t="s">
        <v>15931</v>
      </c>
      <c r="L9604" s="2" t="s">
        <v>105</v>
      </c>
      <c r="M9604" s="2">
        <v>60142.0</v>
      </c>
      <c r="N9604" s="2" t="s">
        <v>21</v>
      </c>
    </row>
    <row r="9605" ht="15.75" customHeight="1">
      <c r="A9605" s="2">
        <v>2018.0</v>
      </c>
      <c r="B9605" s="2" t="s">
        <v>27896</v>
      </c>
      <c r="C9605" s="2" t="s">
        <v>39339</v>
      </c>
      <c r="D9605" s="2" t="str">
        <f>"2056172135"</f>
        <v>2056172135</v>
      </c>
      <c r="E9605" s="2" t="s">
        <v>3668</v>
      </c>
      <c r="F9605" s="2" t="s">
        <v>1859</v>
      </c>
      <c r="G9605" s="2" t="str">
        <f>"SR-13529"</f>
        <v>SR-13529</v>
      </c>
      <c r="H9605" s="2" t="s">
        <v>39340</v>
      </c>
      <c r="I9605" s="2" t="s">
        <v>27900</v>
      </c>
      <c r="K9605" s="2" t="s">
        <v>1173</v>
      </c>
      <c r="L9605" s="2" t="s">
        <v>539</v>
      </c>
      <c r="M9605" s="2">
        <v>35242.0</v>
      </c>
      <c r="N9605" s="2" t="s">
        <v>21</v>
      </c>
    </row>
    <row r="9606" ht="15.75" customHeight="1">
      <c r="A9606" s="2">
        <v>2018.0</v>
      </c>
      <c r="B9606" s="2" t="s">
        <v>39341</v>
      </c>
      <c r="C9606" s="2" t="s">
        <v>39342</v>
      </c>
      <c r="D9606" s="2" t="str">
        <f>"4026597654"</f>
        <v>4026597654</v>
      </c>
      <c r="E9606" s="2" t="s">
        <v>167</v>
      </c>
      <c r="F9606" s="2" t="s">
        <v>39343</v>
      </c>
      <c r="G9606" s="2" t="str">
        <f>"SR-13475"</f>
        <v>SR-13475</v>
      </c>
      <c r="H9606" s="2" t="s">
        <v>39344</v>
      </c>
      <c r="I9606" s="2" t="s">
        <v>39345</v>
      </c>
      <c r="K9606" s="2" t="s">
        <v>30390</v>
      </c>
      <c r="L9606" s="2" t="s">
        <v>757</v>
      </c>
      <c r="M9606" s="2">
        <v>68028.0</v>
      </c>
      <c r="N9606" s="2" t="s">
        <v>21</v>
      </c>
    </row>
    <row r="9607" ht="15.75" customHeight="1">
      <c r="A9607" s="2">
        <v>2018.0</v>
      </c>
      <c r="B9607" s="2" t="s">
        <v>39346</v>
      </c>
      <c r="C9607" s="2" t="s">
        <v>39347</v>
      </c>
      <c r="D9607" s="2" t="str">
        <f>"702-994-3599"</f>
        <v>702-994-3599</v>
      </c>
      <c r="E9607" s="2" t="s">
        <v>824</v>
      </c>
      <c r="F9607" s="2" t="s">
        <v>12676</v>
      </c>
      <c r="G9607" s="2" t="str">
        <f>"SR-13520"</f>
        <v>SR-13520</v>
      </c>
      <c r="H9607" s="2" t="s">
        <v>39348</v>
      </c>
      <c r="I9607" s="2" t="s">
        <v>39349</v>
      </c>
      <c r="K9607" s="2" t="s">
        <v>309</v>
      </c>
      <c r="L9607" s="2" t="s">
        <v>1419</v>
      </c>
      <c r="M9607" s="2">
        <v>89012.0</v>
      </c>
      <c r="N9607" s="2" t="s">
        <v>21</v>
      </c>
    </row>
    <row r="9608" ht="15.75" customHeight="1">
      <c r="A9608" s="2">
        <v>2018.0</v>
      </c>
      <c r="B9608" s="2" t="s">
        <v>39346</v>
      </c>
      <c r="C9608" s="2" t="s">
        <v>39350</v>
      </c>
      <c r="D9608" s="2" t="str">
        <f>"702-994-4024"</f>
        <v>702-994-4024</v>
      </c>
      <c r="E9608" s="2" t="s">
        <v>2851</v>
      </c>
      <c r="F9608" s="2" t="s">
        <v>12676</v>
      </c>
      <c r="G9608" s="2" t="str">
        <f>"SR-13521"</f>
        <v>SR-13521</v>
      </c>
      <c r="H9608" s="2" t="s">
        <v>39351</v>
      </c>
      <c r="I9608" s="2" t="s">
        <v>39349</v>
      </c>
      <c r="K9608" s="2" t="s">
        <v>309</v>
      </c>
      <c r="L9608" s="2" t="s">
        <v>1419</v>
      </c>
      <c r="M9608" s="2">
        <v>89012.0</v>
      </c>
      <c r="N9608" s="2" t="s">
        <v>21</v>
      </c>
    </row>
    <row r="9609" ht="15.75" customHeight="1">
      <c r="A9609" s="2">
        <v>2018.0</v>
      </c>
      <c r="B9609" s="2" t="s">
        <v>39352</v>
      </c>
      <c r="C9609" s="2" t="s">
        <v>39353</v>
      </c>
      <c r="D9609" s="2" t="str">
        <f>"7193734543"</f>
        <v>7193734543</v>
      </c>
      <c r="E9609" s="2" t="s">
        <v>6365</v>
      </c>
      <c r="F9609" s="2" t="s">
        <v>4139</v>
      </c>
      <c r="G9609" s="2" t="str">
        <f>"SR-13525"</f>
        <v>SR-13525</v>
      </c>
      <c r="H9609" s="2" t="s">
        <v>39354</v>
      </c>
      <c r="I9609" s="2" t="s">
        <v>39355</v>
      </c>
      <c r="K9609" s="2" t="s">
        <v>507</v>
      </c>
      <c r="L9609" s="2" t="s">
        <v>157</v>
      </c>
      <c r="M9609" s="2">
        <v>80132.0</v>
      </c>
      <c r="N9609" s="2" t="s">
        <v>21</v>
      </c>
    </row>
    <row r="9610" ht="15.75" customHeight="1">
      <c r="A9610" s="2">
        <v>2018.0</v>
      </c>
      <c r="B9610" s="2" t="s">
        <v>26080</v>
      </c>
      <c r="C9610" s="2" t="s">
        <v>34001</v>
      </c>
      <c r="D9610" s="2" t="str">
        <f>"6783817705"</f>
        <v>6783817705</v>
      </c>
      <c r="E9610" s="2" t="s">
        <v>282</v>
      </c>
      <c r="F9610" s="2" t="s">
        <v>26083</v>
      </c>
      <c r="G9610" s="2" t="str">
        <f>"SR-10839"</f>
        <v>SR-10839</v>
      </c>
      <c r="H9610" s="2" t="s">
        <v>34002</v>
      </c>
      <c r="I9610" s="2" t="s">
        <v>26085</v>
      </c>
      <c r="K9610" s="2" t="s">
        <v>11963</v>
      </c>
      <c r="L9610" s="2" t="s">
        <v>200</v>
      </c>
      <c r="M9610" s="2">
        <v>30114.0</v>
      </c>
      <c r="N9610" s="2" t="s">
        <v>21</v>
      </c>
    </row>
    <row r="9611" ht="15.75" customHeight="1">
      <c r="A9611" s="2">
        <v>2018.0</v>
      </c>
      <c r="B9611" s="2" t="s">
        <v>26080</v>
      </c>
      <c r="C9611" s="2" t="s">
        <v>26081</v>
      </c>
      <c r="D9611" s="2" t="str">
        <f>"7706879692"</f>
        <v>7706879692</v>
      </c>
      <c r="E9611" s="2" t="s">
        <v>26082</v>
      </c>
      <c r="F9611" s="2" t="s">
        <v>26083</v>
      </c>
      <c r="G9611" s="2" t="str">
        <f>"SR-8294"</f>
        <v>SR-8294</v>
      </c>
      <c r="H9611" s="2" t="s">
        <v>26084</v>
      </c>
      <c r="I9611" s="2" t="s">
        <v>26085</v>
      </c>
      <c r="K9611" s="2" t="s">
        <v>11963</v>
      </c>
      <c r="L9611" s="2" t="s">
        <v>200</v>
      </c>
      <c r="M9611" s="2">
        <v>30114.0</v>
      </c>
      <c r="N9611" s="2" t="s">
        <v>21</v>
      </c>
    </row>
    <row r="9612" ht="15.75" customHeight="1">
      <c r="A9612" s="2">
        <v>2018.0</v>
      </c>
      <c r="B9612" s="2" t="s">
        <v>39356</v>
      </c>
      <c r="C9612" s="2" t="s">
        <v>39356</v>
      </c>
      <c r="D9612" s="2" t="str">
        <f>"7853666359"</f>
        <v>7853666359</v>
      </c>
      <c r="E9612" s="2" t="s">
        <v>1180</v>
      </c>
      <c r="F9612" s="2" t="s">
        <v>26077</v>
      </c>
      <c r="G9612" s="2" t="str">
        <f>"SR-13438"</f>
        <v>SR-13438</v>
      </c>
      <c r="H9612" s="2" t="s">
        <v>39357</v>
      </c>
      <c r="I9612" s="2" t="s">
        <v>26079</v>
      </c>
      <c r="K9612" s="2" t="s">
        <v>4258</v>
      </c>
      <c r="L9612" s="2" t="s">
        <v>272</v>
      </c>
      <c r="M9612" s="2">
        <v>66838.0</v>
      </c>
      <c r="N9612" s="2" t="s">
        <v>21</v>
      </c>
    </row>
    <row r="9613" ht="15.75" customHeight="1">
      <c r="A9613" s="2">
        <v>2018.0</v>
      </c>
      <c r="B9613" s="2" t="s">
        <v>39358</v>
      </c>
      <c r="C9613" s="2" t="s">
        <v>39359</v>
      </c>
      <c r="D9613" s="2" t="str">
        <f>"2257150362"</f>
        <v>2257150362</v>
      </c>
      <c r="E9613" s="2" t="s">
        <v>1076</v>
      </c>
      <c r="F9613" s="2" t="s">
        <v>32602</v>
      </c>
      <c r="G9613" s="2" t="str">
        <f>"SR-13528"</f>
        <v>SR-13528</v>
      </c>
      <c r="H9613" s="2" t="s">
        <v>39360</v>
      </c>
      <c r="I9613" s="2" t="s">
        <v>39361</v>
      </c>
      <c r="K9613" s="2" t="s">
        <v>39362</v>
      </c>
      <c r="L9613" s="2" t="s">
        <v>715</v>
      </c>
      <c r="M9613" s="2">
        <v>70810.0</v>
      </c>
      <c r="N9613" s="2" t="s">
        <v>21</v>
      </c>
    </row>
    <row r="9614" ht="15.75" customHeight="1">
      <c r="A9614" s="2">
        <v>2018.0</v>
      </c>
      <c r="B9614" s="2" t="s">
        <v>37116</v>
      </c>
      <c r="C9614" s="2" t="s">
        <v>37117</v>
      </c>
      <c r="D9614" s="2" t="str">
        <f>"678-340-0568"</f>
        <v>678-340-0568</v>
      </c>
      <c r="E9614" s="2" t="s">
        <v>37118</v>
      </c>
      <c r="F9614" s="2" t="s">
        <v>37119</v>
      </c>
      <c r="G9614" s="2" t="str">
        <f>"SR-11978"</f>
        <v>SR-11978</v>
      </c>
      <c r="H9614" s="2" t="s">
        <v>37120</v>
      </c>
      <c r="I9614" s="2" t="s">
        <v>37121</v>
      </c>
      <c r="K9614" s="2" t="s">
        <v>775</v>
      </c>
      <c r="L9614" s="2" t="s">
        <v>200</v>
      </c>
      <c r="M9614" s="2">
        <v>30277.0</v>
      </c>
      <c r="N9614" s="2" t="s">
        <v>21</v>
      </c>
    </row>
    <row r="9615" ht="15.75" customHeight="1">
      <c r="A9615" s="2">
        <v>2018.0</v>
      </c>
      <c r="B9615" s="2" t="s">
        <v>39363</v>
      </c>
      <c r="C9615" s="2" t="s">
        <v>39363</v>
      </c>
      <c r="D9615" s="2" t="str">
        <f>"5078289121"</f>
        <v>5078289121</v>
      </c>
      <c r="E9615" s="2" t="s">
        <v>39364</v>
      </c>
      <c r="F9615" s="2" t="s">
        <v>3394</v>
      </c>
      <c r="G9615" s="2" t="str">
        <f>"SR-13550"</f>
        <v>SR-13550</v>
      </c>
      <c r="H9615" s="2" t="s">
        <v>39365</v>
      </c>
      <c r="I9615" s="2" t="s">
        <v>39366</v>
      </c>
      <c r="K9615" s="2" t="s">
        <v>133</v>
      </c>
      <c r="L9615" s="2" t="s">
        <v>62</v>
      </c>
      <c r="M9615" s="2">
        <v>56175.0</v>
      </c>
      <c r="N9615" s="2" t="s">
        <v>21</v>
      </c>
    </row>
    <row r="9616" ht="15.75" customHeight="1">
      <c r="A9616" s="2">
        <v>2018.0</v>
      </c>
      <c r="B9616" s="2" t="s">
        <v>39367</v>
      </c>
      <c r="C9616" s="2" t="s">
        <v>39368</v>
      </c>
      <c r="D9616" s="2" t="str">
        <f>"7047479276"</f>
        <v>7047479276</v>
      </c>
      <c r="E9616" s="2" t="s">
        <v>15041</v>
      </c>
      <c r="F9616" s="2" t="s">
        <v>39369</v>
      </c>
      <c r="G9616" s="2" t="str">
        <f>"SR-13213"</f>
        <v>SR-13213</v>
      </c>
      <c r="H9616" s="2" t="s">
        <v>39370</v>
      </c>
      <c r="I9616" s="2" t="s">
        <v>39371</v>
      </c>
      <c r="K9616" s="2" t="s">
        <v>2405</v>
      </c>
      <c r="L9616" s="2" t="s">
        <v>20</v>
      </c>
      <c r="M9616" s="2">
        <v>28012.0</v>
      </c>
      <c r="N9616" s="2" t="s">
        <v>21</v>
      </c>
    </row>
    <row r="9617" ht="15.75" customHeight="1">
      <c r="A9617" s="2">
        <v>2018.0</v>
      </c>
      <c r="B9617" s="2" t="s">
        <v>39372</v>
      </c>
      <c r="C9617" s="2" t="s">
        <v>39373</v>
      </c>
      <c r="D9617" s="2" t="str">
        <f>"402-499-8715"</f>
        <v>402-499-8715</v>
      </c>
      <c r="E9617" s="2" t="s">
        <v>580</v>
      </c>
      <c r="F9617" s="2" t="s">
        <v>417</v>
      </c>
      <c r="G9617" s="2" t="str">
        <f>"SR-13543"</f>
        <v>SR-13543</v>
      </c>
      <c r="H9617" s="2" t="s">
        <v>39374</v>
      </c>
      <c r="I9617" s="2" t="s">
        <v>39375</v>
      </c>
      <c r="K9617" s="2" t="s">
        <v>572</v>
      </c>
      <c r="L9617" s="2" t="s">
        <v>757</v>
      </c>
      <c r="M9617" s="2">
        <v>68521.0</v>
      </c>
      <c r="N9617" s="2" t="s">
        <v>21</v>
      </c>
    </row>
    <row r="9618" ht="15.75" customHeight="1">
      <c r="A9618" s="2">
        <v>2018.0</v>
      </c>
      <c r="B9618" s="2" t="s">
        <v>39376</v>
      </c>
      <c r="C9618" s="2" t="s">
        <v>39376</v>
      </c>
      <c r="D9618" s="2" t="str">
        <f>"4792837617"</f>
        <v>4792837617</v>
      </c>
      <c r="E9618" s="2" t="s">
        <v>1263</v>
      </c>
      <c r="F9618" s="2" t="s">
        <v>17657</v>
      </c>
      <c r="G9618" s="2" t="str">
        <f>"SR-13544"</f>
        <v>SR-13544</v>
      </c>
      <c r="H9618" s="2" t="s">
        <v>39377</v>
      </c>
      <c r="I9618" s="2" t="s">
        <v>39378</v>
      </c>
      <c r="K9618" s="2" t="s">
        <v>39379</v>
      </c>
      <c r="L9618" s="2" t="s">
        <v>1012</v>
      </c>
      <c r="M9618" s="2">
        <v>72762.0</v>
      </c>
      <c r="N9618" s="2" t="s">
        <v>21</v>
      </c>
    </row>
    <row r="9619" ht="15.75" customHeight="1">
      <c r="A9619" s="2">
        <v>2018.0</v>
      </c>
      <c r="B9619" s="2" t="s">
        <v>39380</v>
      </c>
      <c r="C9619" s="2" t="s">
        <v>39380</v>
      </c>
      <c r="D9619" s="2" t="str">
        <f>"4798712635"</f>
        <v>4798712635</v>
      </c>
      <c r="E9619" s="2" t="s">
        <v>167</v>
      </c>
      <c r="F9619" s="2" t="s">
        <v>17657</v>
      </c>
      <c r="G9619" s="2" t="str">
        <f>"SR-13553"</f>
        <v>SR-13553</v>
      </c>
      <c r="H9619" s="2" t="s">
        <v>39381</v>
      </c>
      <c r="I9619" s="2" t="s">
        <v>39382</v>
      </c>
      <c r="K9619" s="2" t="s">
        <v>2152</v>
      </c>
      <c r="L9619" s="2" t="s">
        <v>1012</v>
      </c>
      <c r="M9619" s="2">
        <v>72762.0</v>
      </c>
      <c r="N9619" s="2" t="s">
        <v>21</v>
      </c>
    </row>
    <row r="9620" ht="15.75" customHeight="1">
      <c r="A9620" s="2">
        <v>2018.0</v>
      </c>
      <c r="B9620" s="2" t="s">
        <v>33613</v>
      </c>
      <c r="C9620" s="2" t="s">
        <v>39383</v>
      </c>
      <c r="D9620" s="2" t="str">
        <f>"972-937-4199"</f>
        <v>972-937-4199</v>
      </c>
      <c r="E9620" s="2" t="s">
        <v>33172</v>
      </c>
      <c r="F9620" s="2" t="s">
        <v>11248</v>
      </c>
      <c r="G9620" s="2" t="str">
        <f>"SR-13072"</f>
        <v>SR-13072</v>
      </c>
      <c r="H9620" s="2" t="s">
        <v>39384</v>
      </c>
      <c r="I9620" s="2" t="s">
        <v>39385</v>
      </c>
      <c r="K9620" s="2" t="s">
        <v>3677</v>
      </c>
      <c r="L9620" s="2" t="s">
        <v>172</v>
      </c>
      <c r="M9620" s="2">
        <v>75167.0</v>
      </c>
      <c r="N9620" s="2" t="s">
        <v>21</v>
      </c>
    </row>
    <row r="9621" ht="15.75" customHeight="1">
      <c r="A9621" s="2">
        <v>2018.0</v>
      </c>
      <c r="B9621" s="2" t="s">
        <v>39386</v>
      </c>
      <c r="C9621" s="2" t="s">
        <v>39386</v>
      </c>
      <c r="D9621" s="2" t="str">
        <f>"903-276-5101"</f>
        <v>903-276-5101</v>
      </c>
      <c r="E9621" s="2" t="s">
        <v>301</v>
      </c>
      <c r="F9621" s="2" t="s">
        <v>39387</v>
      </c>
      <c r="G9621" s="2" t="str">
        <f>"SR-13040"</f>
        <v>SR-13040</v>
      </c>
      <c r="H9621" s="2" t="s">
        <v>39388</v>
      </c>
      <c r="I9621" s="2" t="s">
        <v>39389</v>
      </c>
      <c r="K9621" s="2" t="s">
        <v>1260</v>
      </c>
      <c r="L9621" s="2" t="s">
        <v>172</v>
      </c>
      <c r="M9621" s="2">
        <v>76103.0</v>
      </c>
      <c r="N9621" s="2" t="s">
        <v>21</v>
      </c>
    </row>
    <row r="9622" ht="15.75" customHeight="1">
      <c r="A9622" s="2">
        <v>2018.0</v>
      </c>
      <c r="B9622" s="2" t="s">
        <v>39390</v>
      </c>
      <c r="C9622" s="2" t="s">
        <v>39391</v>
      </c>
      <c r="D9622" s="2" t="str">
        <f>"757-831-4744"</f>
        <v>757-831-4744</v>
      </c>
      <c r="E9622" s="2" t="s">
        <v>9476</v>
      </c>
      <c r="F9622" s="2" t="s">
        <v>950</v>
      </c>
      <c r="G9622" s="2" t="str">
        <f>"SR-13099"</f>
        <v>SR-13099</v>
      </c>
      <c r="H9622" s="2" t="s">
        <v>39392</v>
      </c>
      <c r="I9622" s="2" t="s">
        <v>39393</v>
      </c>
      <c r="K9622" s="2" t="s">
        <v>39394</v>
      </c>
      <c r="L9622" s="2" t="s">
        <v>193</v>
      </c>
      <c r="M9622" s="2">
        <v>53158.0</v>
      </c>
      <c r="N9622" s="2" t="s">
        <v>21</v>
      </c>
    </row>
    <row r="9623" ht="15.75" customHeight="1">
      <c r="A9623" s="2">
        <v>2018.0</v>
      </c>
      <c r="B9623" s="2" t="s">
        <v>26655</v>
      </c>
      <c r="C9623" s="2" t="s">
        <v>26656</v>
      </c>
      <c r="D9623" s="2" t="str">
        <f>"7203735389"</f>
        <v>7203735389</v>
      </c>
      <c r="E9623" s="2" t="s">
        <v>19353</v>
      </c>
      <c r="F9623" s="2" t="s">
        <v>26657</v>
      </c>
      <c r="G9623" s="2" t="str">
        <f>"SR-8436"</f>
        <v>SR-8436</v>
      </c>
      <c r="H9623" s="2" t="s">
        <v>26658</v>
      </c>
      <c r="I9623" s="2" t="s">
        <v>26659</v>
      </c>
      <c r="K9623" s="2" t="s">
        <v>992</v>
      </c>
      <c r="L9623" s="2" t="s">
        <v>157</v>
      </c>
      <c r="M9623" s="2">
        <v>80015.0</v>
      </c>
      <c r="N9623" s="2" t="s">
        <v>21</v>
      </c>
    </row>
    <row r="9624" ht="15.75" customHeight="1">
      <c r="A9624" s="2">
        <v>2018.0</v>
      </c>
      <c r="B9624" s="2" t="s">
        <v>39395</v>
      </c>
      <c r="C9624" s="2" t="s">
        <v>39396</v>
      </c>
      <c r="D9624" s="2" t="str">
        <f>"719-466-7385"</f>
        <v>719-466-7385</v>
      </c>
      <c r="E9624" s="2" t="s">
        <v>217</v>
      </c>
      <c r="F9624" s="2" t="s">
        <v>39397</v>
      </c>
      <c r="G9624" s="2" t="str">
        <f>"SR-13347"</f>
        <v>SR-13347</v>
      </c>
      <c r="H9624" s="2" t="s">
        <v>39398</v>
      </c>
      <c r="I9624" s="2" t="s">
        <v>39399</v>
      </c>
      <c r="K9624" s="2" t="s">
        <v>809</v>
      </c>
      <c r="L9624" s="2" t="s">
        <v>157</v>
      </c>
      <c r="M9624" s="2">
        <v>80917.0</v>
      </c>
      <c r="N9624" s="2" t="s">
        <v>21</v>
      </c>
    </row>
    <row r="9625" ht="15.75" customHeight="1">
      <c r="A9625" s="2">
        <v>2018.0</v>
      </c>
      <c r="B9625" s="2" t="s">
        <v>39400</v>
      </c>
      <c r="C9625" s="2" t="s">
        <v>39401</v>
      </c>
      <c r="D9625" s="2" t="str">
        <f>"805-557-0990"</f>
        <v>805-557-0990</v>
      </c>
      <c r="E9625" s="2" t="s">
        <v>29734</v>
      </c>
      <c r="F9625" s="2" t="s">
        <v>39402</v>
      </c>
      <c r="G9625" s="2" t="str">
        <f>"SR-13563"</f>
        <v>SR-13563</v>
      </c>
      <c r="H9625" s="2" t="s">
        <v>39403</v>
      </c>
      <c r="I9625" s="2" t="s">
        <v>39404</v>
      </c>
      <c r="J9625" s="2" t="s">
        <v>39405</v>
      </c>
      <c r="K9625" s="2" t="s">
        <v>15077</v>
      </c>
      <c r="L9625" s="2" t="s">
        <v>222</v>
      </c>
      <c r="M9625" s="2">
        <v>91362.0</v>
      </c>
      <c r="N9625" s="2" t="s">
        <v>21</v>
      </c>
    </row>
    <row r="9626" ht="15.75" customHeight="1">
      <c r="A9626" s="2">
        <v>2018.0</v>
      </c>
      <c r="B9626" s="2" t="s">
        <v>4414</v>
      </c>
      <c r="C9626" s="2" t="s">
        <v>4414</v>
      </c>
      <c r="D9626" s="2" t="str">
        <f>"9282457679"</f>
        <v>9282457679</v>
      </c>
      <c r="E9626" s="2" t="s">
        <v>2480</v>
      </c>
      <c r="F9626" s="2" t="s">
        <v>4417</v>
      </c>
      <c r="G9626" s="2" t="str">
        <f>"SR-13169"</f>
        <v>SR-13169</v>
      </c>
      <c r="H9626" s="2" t="s">
        <v>39406</v>
      </c>
      <c r="I9626" s="2" t="s">
        <v>28560</v>
      </c>
      <c r="K9626" s="2" t="s">
        <v>28561</v>
      </c>
      <c r="L9626" s="2" t="s">
        <v>157</v>
      </c>
      <c r="M9626" s="2">
        <v>81147.0</v>
      </c>
      <c r="N9626" s="2" t="s">
        <v>21</v>
      </c>
    </row>
    <row r="9627" ht="15.75" customHeight="1">
      <c r="A9627" s="2">
        <v>2018.0</v>
      </c>
      <c r="B9627" s="2" t="s">
        <v>4414</v>
      </c>
      <c r="C9627" s="2" t="s">
        <v>28558</v>
      </c>
      <c r="D9627" s="2" t="str">
        <f>"928-245-7679"</f>
        <v>928-245-7679</v>
      </c>
      <c r="E9627" s="2" t="s">
        <v>2089</v>
      </c>
      <c r="F9627" s="2" t="s">
        <v>4417</v>
      </c>
      <c r="G9627" s="2" t="str">
        <f>"SR-7767"</f>
        <v>SR-7767</v>
      </c>
      <c r="H9627" s="2" t="s">
        <v>28559</v>
      </c>
      <c r="I9627" s="2" t="s">
        <v>28560</v>
      </c>
      <c r="K9627" s="2" t="s">
        <v>28561</v>
      </c>
      <c r="L9627" s="2" t="s">
        <v>157</v>
      </c>
      <c r="M9627" s="2">
        <v>81147.0</v>
      </c>
      <c r="N9627" s="2" t="s">
        <v>21</v>
      </c>
    </row>
    <row r="9628" ht="15.75" customHeight="1">
      <c r="A9628" s="2">
        <v>2018.0</v>
      </c>
      <c r="B9628" s="2" t="s">
        <v>39407</v>
      </c>
      <c r="C9628" s="2" t="s">
        <v>39408</v>
      </c>
      <c r="D9628" s="2" t="str">
        <f>"9282451424"</f>
        <v>9282451424</v>
      </c>
      <c r="E9628" s="2" t="s">
        <v>6121</v>
      </c>
      <c r="F9628" s="2" t="s">
        <v>5721</v>
      </c>
      <c r="G9628" s="2" t="str">
        <f>"SR-13447"</f>
        <v>SR-13447</v>
      </c>
      <c r="H9628" s="2" t="s">
        <v>39409</v>
      </c>
      <c r="I9628" s="2" t="s">
        <v>39410</v>
      </c>
      <c r="K9628" s="2" t="s">
        <v>4420</v>
      </c>
      <c r="L9628" s="2" t="s">
        <v>422</v>
      </c>
      <c r="M9628" s="2">
        <v>86503.0</v>
      </c>
      <c r="N9628" s="2" t="s">
        <v>21</v>
      </c>
    </row>
    <row r="9629" ht="15.75" customHeight="1">
      <c r="A9629" s="2">
        <v>2018.0</v>
      </c>
      <c r="B9629" s="2" t="s">
        <v>39411</v>
      </c>
      <c r="C9629" s="2" t="s">
        <v>39411</v>
      </c>
      <c r="D9629" s="2" t="str">
        <f>"970-507-0123"</f>
        <v>970-507-0123</v>
      </c>
      <c r="E9629" s="2" t="s">
        <v>261</v>
      </c>
      <c r="F9629" s="2" t="s">
        <v>3283</v>
      </c>
      <c r="G9629" s="2" t="str">
        <f>"SR-13471"</f>
        <v>SR-13471</v>
      </c>
      <c r="H9629" s="2" t="s">
        <v>39412</v>
      </c>
      <c r="I9629" s="2" t="s">
        <v>39413</v>
      </c>
      <c r="K9629" s="2" t="s">
        <v>28561</v>
      </c>
      <c r="L9629" s="2" t="s">
        <v>157</v>
      </c>
      <c r="M9629" s="2">
        <v>81147.0</v>
      </c>
      <c r="N9629" s="2" t="s">
        <v>21</v>
      </c>
    </row>
    <row r="9630" ht="15.75" customHeight="1">
      <c r="A9630" s="2">
        <v>2018.0</v>
      </c>
      <c r="B9630" s="2" t="s">
        <v>39414</v>
      </c>
      <c r="C9630" s="2" t="s">
        <v>39415</v>
      </c>
      <c r="D9630" s="2" t="str">
        <f>"6787179467"</f>
        <v>6787179467</v>
      </c>
      <c r="E9630" s="2" t="s">
        <v>1263</v>
      </c>
      <c r="F9630" s="2" t="s">
        <v>39416</v>
      </c>
      <c r="G9630" s="2" t="str">
        <f>"SR-13568"</f>
        <v>SR-13568</v>
      </c>
      <c r="H9630" s="2" t="s">
        <v>39417</v>
      </c>
      <c r="I9630" s="2" t="s">
        <v>39418</v>
      </c>
      <c r="K9630" s="2" t="s">
        <v>775</v>
      </c>
      <c r="L9630" s="2" t="s">
        <v>200</v>
      </c>
      <c r="M9630" s="2">
        <v>30277.0</v>
      </c>
      <c r="N9630" s="2" t="s">
        <v>21</v>
      </c>
    </row>
    <row r="9631" ht="15.75" customHeight="1">
      <c r="A9631" s="2">
        <v>2018.0</v>
      </c>
      <c r="B9631" s="2" t="s">
        <v>33061</v>
      </c>
      <c r="C9631" s="2" t="s">
        <v>33062</v>
      </c>
      <c r="D9631" s="2" t="str">
        <f>"540-682-1341"</f>
        <v>540-682-1341</v>
      </c>
      <c r="E9631" s="2" t="s">
        <v>2988</v>
      </c>
      <c r="F9631" s="2" t="s">
        <v>33063</v>
      </c>
      <c r="G9631" s="2" t="str">
        <f>"SR-10757"</f>
        <v>SR-10757</v>
      </c>
      <c r="H9631" s="2" t="s">
        <v>33064</v>
      </c>
      <c r="I9631" s="2" t="s">
        <v>33065</v>
      </c>
      <c r="K9631" s="2" t="s">
        <v>5399</v>
      </c>
      <c r="L9631" s="2" t="s">
        <v>165</v>
      </c>
      <c r="M9631" s="2">
        <v>24523.0</v>
      </c>
      <c r="N9631" s="2" t="s">
        <v>21</v>
      </c>
    </row>
    <row r="9632" ht="15.75" customHeight="1">
      <c r="A9632" s="2">
        <v>2018.0</v>
      </c>
      <c r="B9632" s="2" t="s">
        <v>27631</v>
      </c>
      <c r="C9632" s="2" t="s">
        <v>39419</v>
      </c>
      <c r="D9632" s="2" t="str">
        <f>"815-751-2772"</f>
        <v>815-751-2772</v>
      </c>
      <c r="E9632" s="2" t="s">
        <v>843</v>
      </c>
      <c r="F9632" s="2" t="s">
        <v>256</v>
      </c>
      <c r="G9632" s="2" t="str">
        <f>"SR-13572"</f>
        <v>SR-13572</v>
      </c>
      <c r="H9632" s="2" t="s">
        <v>39420</v>
      </c>
      <c r="I9632" s="2" t="s">
        <v>27634</v>
      </c>
      <c r="K9632" s="2" t="s">
        <v>5198</v>
      </c>
      <c r="L9632" s="2" t="s">
        <v>105</v>
      </c>
      <c r="M9632" s="2">
        <v>60178.0</v>
      </c>
      <c r="N9632" s="2" t="s">
        <v>21</v>
      </c>
    </row>
    <row r="9633" ht="15.75" customHeight="1">
      <c r="A9633" s="2">
        <v>2018.0</v>
      </c>
      <c r="B9633" s="2" t="s">
        <v>39421</v>
      </c>
      <c r="C9633" s="2" t="s">
        <v>39422</v>
      </c>
      <c r="D9633" s="2" t="str">
        <f>"4322500223"</f>
        <v>4322500223</v>
      </c>
      <c r="E9633" s="2" t="s">
        <v>1263</v>
      </c>
      <c r="F9633" s="2" t="s">
        <v>38323</v>
      </c>
      <c r="G9633" s="2" t="str">
        <f>"SR-13571"</f>
        <v>SR-13571</v>
      </c>
      <c r="H9633" s="2" t="s">
        <v>39423</v>
      </c>
      <c r="I9633" s="2" t="s">
        <v>39424</v>
      </c>
      <c r="K9633" s="2" t="s">
        <v>286</v>
      </c>
      <c r="L9633" s="2" t="s">
        <v>172</v>
      </c>
      <c r="M9633" s="2">
        <v>79707.0</v>
      </c>
      <c r="N9633" s="2" t="s">
        <v>21</v>
      </c>
    </row>
    <row r="9634" ht="15.75" customHeight="1">
      <c r="A9634" s="2">
        <v>2018.0</v>
      </c>
      <c r="B9634" s="2" t="s">
        <v>39425</v>
      </c>
      <c r="C9634" s="2" t="s">
        <v>39426</v>
      </c>
      <c r="D9634" s="2" t="str">
        <f>"7193603845"</f>
        <v>7193603845</v>
      </c>
      <c r="E9634" s="2" t="s">
        <v>17710</v>
      </c>
      <c r="F9634" s="2" t="s">
        <v>1064</v>
      </c>
      <c r="G9634" s="2" t="str">
        <f>"SR-13535"</f>
        <v>SR-13535</v>
      </c>
      <c r="H9634" s="2" t="s">
        <v>39427</v>
      </c>
      <c r="I9634" s="2" t="s">
        <v>39428</v>
      </c>
      <c r="K9634" s="2" t="s">
        <v>809</v>
      </c>
      <c r="L9634" s="2" t="s">
        <v>157</v>
      </c>
      <c r="M9634" s="2">
        <v>80920.0</v>
      </c>
      <c r="N9634" s="2" t="s">
        <v>21</v>
      </c>
    </row>
    <row r="9635" ht="15.75" customHeight="1">
      <c r="A9635" s="2">
        <v>2018.0</v>
      </c>
      <c r="B9635" s="2" t="s">
        <v>39429</v>
      </c>
      <c r="C9635" s="2" t="s">
        <v>39430</v>
      </c>
      <c r="D9635" s="2" t="str">
        <f>"3035851577"</f>
        <v>3035851577</v>
      </c>
      <c r="E9635" s="2" t="s">
        <v>12491</v>
      </c>
      <c r="F9635" s="2" t="s">
        <v>39431</v>
      </c>
      <c r="G9635" s="2" t="str">
        <f>"SR-13456"</f>
        <v>SR-13456</v>
      </c>
      <c r="H9635" s="2" t="s">
        <v>39432</v>
      </c>
      <c r="I9635" s="2" t="s">
        <v>39433</v>
      </c>
      <c r="K9635" s="2" t="s">
        <v>7480</v>
      </c>
      <c r="L9635" s="2" t="s">
        <v>157</v>
      </c>
      <c r="M9635" s="2">
        <v>80602.0</v>
      </c>
      <c r="N9635" s="2" t="s">
        <v>21</v>
      </c>
    </row>
    <row r="9636" ht="15.75" customHeight="1">
      <c r="A9636" s="2">
        <v>2018.0</v>
      </c>
      <c r="B9636" s="2" t="s">
        <v>32037</v>
      </c>
      <c r="C9636" s="2" t="s">
        <v>32038</v>
      </c>
      <c r="D9636" s="2" t="str">
        <f>"4192811542"</f>
        <v>4192811542</v>
      </c>
      <c r="E9636" s="2" t="s">
        <v>386</v>
      </c>
      <c r="F9636" s="2" t="s">
        <v>20565</v>
      </c>
      <c r="G9636" s="2" t="str">
        <f>"SR-10397"</f>
        <v>SR-10397</v>
      </c>
      <c r="H9636" s="2" t="s">
        <v>32039</v>
      </c>
      <c r="I9636" s="2" t="s">
        <v>32040</v>
      </c>
      <c r="K9636" s="2" t="s">
        <v>1154</v>
      </c>
      <c r="L9636" s="2" t="s">
        <v>344</v>
      </c>
      <c r="M9636" s="2">
        <v>44805.0</v>
      </c>
      <c r="N9636" s="2" t="s">
        <v>21</v>
      </c>
    </row>
    <row r="9637" ht="15.75" customHeight="1">
      <c r="A9637" s="2">
        <v>2018.0</v>
      </c>
      <c r="B9637" s="2" t="s">
        <v>32037</v>
      </c>
      <c r="C9637" s="2" t="s">
        <v>39434</v>
      </c>
      <c r="D9637" s="2" t="str">
        <f>"5672037317"</f>
        <v>5672037317</v>
      </c>
      <c r="E9637" s="2" t="s">
        <v>6098</v>
      </c>
      <c r="F9637" s="2" t="s">
        <v>20565</v>
      </c>
      <c r="G9637" s="2" t="str">
        <f>"SR-13499"</f>
        <v>SR-13499</v>
      </c>
      <c r="H9637" s="2" t="s">
        <v>39435</v>
      </c>
      <c r="I9637" s="2" t="s">
        <v>32040</v>
      </c>
      <c r="K9637" s="2" t="s">
        <v>1154</v>
      </c>
      <c r="L9637" s="2" t="s">
        <v>344</v>
      </c>
      <c r="M9637" s="2">
        <v>44805.0</v>
      </c>
      <c r="N9637" s="2" t="s">
        <v>21</v>
      </c>
    </row>
    <row r="9638" ht="15.75" customHeight="1">
      <c r="A9638" s="2">
        <v>2018.0</v>
      </c>
      <c r="B9638" s="2" t="s">
        <v>39436</v>
      </c>
      <c r="C9638" s="2" t="s">
        <v>39436</v>
      </c>
      <c r="D9638" s="2" t="str">
        <f>"505-850-2052"</f>
        <v>505-850-2052</v>
      </c>
      <c r="E9638" s="2" t="s">
        <v>1664</v>
      </c>
      <c r="F9638" s="2" t="s">
        <v>3817</v>
      </c>
      <c r="G9638" s="2" t="str">
        <f>"SR-13577"</f>
        <v>SR-13577</v>
      </c>
      <c r="H9638" s="2" t="s">
        <v>39437</v>
      </c>
      <c r="I9638" s="2" t="s">
        <v>39438</v>
      </c>
      <c r="K9638" s="2" t="s">
        <v>3705</v>
      </c>
      <c r="L9638" s="2" t="s">
        <v>789</v>
      </c>
      <c r="M9638" s="2">
        <v>87104.0</v>
      </c>
      <c r="N9638" s="2" t="s">
        <v>21</v>
      </c>
    </row>
    <row r="9639" ht="15.75" customHeight="1">
      <c r="A9639" s="2">
        <v>2018.0</v>
      </c>
      <c r="B9639" s="2" t="s">
        <v>36203</v>
      </c>
      <c r="C9639" s="2" t="s">
        <v>39439</v>
      </c>
      <c r="D9639" s="2" t="str">
        <f>"918-814-1326"</f>
        <v>918-814-1326</v>
      </c>
      <c r="E9639" s="2" t="s">
        <v>2361</v>
      </c>
      <c r="F9639" s="2" t="s">
        <v>320</v>
      </c>
      <c r="G9639" s="2" t="str">
        <f>"SR-13578"</f>
        <v>SR-13578</v>
      </c>
      <c r="H9639" s="2" t="s">
        <v>39440</v>
      </c>
      <c r="I9639" s="2" t="s">
        <v>36205</v>
      </c>
      <c r="K9639" s="2" t="s">
        <v>20517</v>
      </c>
      <c r="L9639" s="2" t="s">
        <v>840</v>
      </c>
      <c r="M9639" s="2">
        <v>74136.0</v>
      </c>
      <c r="N9639" s="2" t="s">
        <v>21</v>
      </c>
    </row>
    <row r="9640" ht="15.75" customHeight="1">
      <c r="A9640" s="2">
        <v>2018.0</v>
      </c>
      <c r="B9640" s="2" t="s">
        <v>39441</v>
      </c>
      <c r="C9640" s="2" t="s">
        <v>39442</v>
      </c>
      <c r="D9640" s="2" t="str">
        <f>"4325204993"</f>
        <v>4325204993</v>
      </c>
      <c r="E9640" s="2" t="s">
        <v>137</v>
      </c>
      <c r="F9640" s="2" t="s">
        <v>3385</v>
      </c>
      <c r="G9640" s="2" t="str">
        <f>"SR-13579"</f>
        <v>SR-13579</v>
      </c>
      <c r="H9640" s="2" t="s">
        <v>8851</v>
      </c>
      <c r="I9640" s="2" t="s">
        <v>39443</v>
      </c>
      <c r="K9640" s="2" t="s">
        <v>286</v>
      </c>
      <c r="L9640" s="2" t="s">
        <v>172</v>
      </c>
      <c r="M9640" s="2">
        <v>79707.0</v>
      </c>
      <c r="N9640" s="2" t="s">
        <v>21</v>
      </c>
    </row>
    <row r="9641" ht="15.75" customHeight="1">
      <c r="A9641" s="2">
        <v>2018.0</v>
      </c>
      <c r="B9641" s="2" t="s">
        <v>39436</v>
      </c>
      <c r="C9641" s="2" t="s">
        <v>39436</v>
      </c>
      <c r="D9641" s="2" t="str">
        <f>"505-850-2052"</f>
        <v>505-850-2052</v>
      </c>
      <c r="E9641" s="2" t="s">
        <v>2941</v>
      </c>
      <c r="F9641" s="2" t="s">
        <v>3817</v>
      </c>
      <c r="G9641" s="2" t="str">
        <f>"SR-13580"</f>
        <v>SR-13580</v>
      </c>
      <c r="H9641" s="2" t="s">
        <v>39444</v>
      </c>
      <c r="I9641" s="2" t="s">
        <v>39438</v>
      </c>
      <c r="K9641" s="2" t="s">
        <v>3705</v>
      </c>
      <c r="L9641" s="2" t="s">
        <v>789</v>
      </c>
      <c r="M9641" s="2">
        <v>87104.0</v>
      </c>
      <c r="N9641" s="2" t="s">
        <v>21</v>
      </c>
    </row>
    <row r="9642" ht="15.75" customHeight="1">
      <c r="A9642" s="2">
        <v>2018.0</v>
      </c>
      <c r="B9642" s="2" t="s">
        <v>26117</v>
      </c>
      <c r="D9642" s="2" t="str">
        <f>""</f>
        <v/>
      </c>
      <c r="E9642" s="2" t="s">
        <v>6922</v>
      </c>
      <c r="F9642" s="2" t="s">
        <v>22708</v>
      </c>
      <c r="G9642" s="2" t="str">
        <f>"SR-13574"</f>
        <v>SR-13574</v>
      </c>
      <c r="H9642" s="2" t="s">
        <v>39445</v>
      </c>
    </row>
    <row r="9643" ht="15.75" customHeight="1">
      <c r="A9643" s="2">
        <v>2018.0</v>
      </c>
      <c r="B9643" s="2" t="s">
        <v>39446</v>
      </c>
      <c r="C9643" s="2" t="s">
        <v>39446</v>
      </c>
      <c r="D9643" s="2" t="str">
        <f>"5409991041"</f>
        <v>5409991041</v>
      </c>
      <c r="E9643" s="2" t="s">
        <v>250</v>
      </c>
      <c r="F9643" s="2" t="s">
        <v>519</v>
      </c>
      <c r="G9643" s="2" t="str">
        <f>"SR-13582"</f>
        <v>SR-13582</v>
      </c>
      <c r="H9643" s="2" t="s">
        <v>39447</v>
      </c>
      <c r="I9643" s="2" t="s">
        <v>39448</v>
      </c>
      <c r="K9643" s="2" t="s">
        <v>594</v>
      </c>
      <c r="L9643" s="2" t="s">
        <v>165</v>
      </c>
      <c r="M9643" s="2">
        <v>22601.0</v>
      </c>
      <c r="N9643" s="2" t="s">
        <v>21</v>
      </c>
    </row>
    <row r="9644" ht="15.75" customHeight="1">
      <c r="A9644" s="2">
        <v>2018.0</v>
      </c>
      <c r="B9644" s="2" t="s">
        <v>39449</v>
      </c>
      <c r="C9644" s="2" t="s">
        <v>39450</v>
      </c>
      <c r="D9644" s="2" t="str">
        <f>"9283831703"</f>
        <v>9283831703</v>
      </c>
      <c r="E9644" s="2" t="s">
        <v>13585</v>
      </c>
      <c r="F9644" s="2" t="s">
        <v>39451</v>
      </c>
      <c r="G9644" s="2" t="str">
        <f>"SR-13457"</f>
        <v>SR-13457</v>
      </c>
      <c r="H9644" s="2" t="s">
        <v>39452</v>
      </c>
      <c r="I9644" s="2" t="s">
        <v>39453</v>
      </c>
      <c r="K9644" s="2" t="s">
        <v>39454</v>
      </c>
      <c r="L9644" s="2" t="s">
        <v>422</v>
      </c>
      <c r="M9644" s="2">
        <v>86538.0</v>
      </c>
      <c r="N9644" s="2" t="s">
        <v>21</v>
      </c>
    </row>
    <row r="9645" ht="15.75" customHeight="1">
      <c r="A9645" s="2">
        <v>2018.0</v>
      </c>
      <c r="B9645" s="2" t="s">
        <v>39455</v>
      </c>
      <c r="C9645" s="2" t="s">
        <v>39456</v>
      </c>
      <c r="D9645" s="2" t="str">
        <f>"4075808386"</f>
        <v>4075808386</v>
      </c>
      <c r="E9645" s="2" t="s">
        <v>39457</v>
      </c>
      <c r="F9645" s="2" t="s">
        <v>39458</v>
      </c>
      <c r="G9645" s="2" t="str">
        <f>"SR-13558"</f>
        <v>SR-13558</v>
      </c>
      <c r="H9645" s="2" t="s">
        <v>39459</v>
      </c>
      <c r="I9645" s="2" t="s">
        <v>39460</v>
      </c>
      <c r="K9645" s="2" t="s">
        <v>3431</v>
      </c>
      <c r="L9645" s="2" t="s">
        <v>208</v>
      </c>
      <c r="M9645" s="2">
        <v>33625.0</v>
      </c>
      <c r="N9645" s="2" t="s">
        <v>21</v>
      </c>
    </row>
    <row r="9646" ht="15.75" customHeight="1">
      <c r="A9646" s="2">
        <v>2018.0</v>
      </c>
      <c r="B9646" s="2" t="s">
        <v>39461</v>
      </c>
      <c r="C9646" s="2" t="s">
        <v>39462</v>
      </c>
      <c r="D9646" s="2" t="str">
        <f>"2703037695"</f>
        <v>2703037695</v>
      </c>
      <c r="E9646" s="2" t="s">
        <v>15</v>
      </c>
      <c r="F9646" s="2" t="s">
        <v>124</v>
      </c>
      <c r="G9646" s="2" t="str">
        <f>"SR-13564"</f>
        <v>SR-13564</v>
      </c>
      <c r="H9646" s="2" t="s">
        <v>39463</v>
      </c>
      <c r="I9646" s="2" t="s">
        <v>39464</v>
      </c>
      <c r="K9646" s="2" t="s">
        <v>39465</v>
      </c>
      <c r="L9646" s="2" t="s">
        <v>1236</v>
      </c>
      <c r="M9646" s="2">
        <v>42104.0</v>
      </c>
      <c r="N9646" s="2" t="s">
        <v>21</v>
      </c>
    </row>
    <row r="9647" ht="15.75" customHeight="1">
      <c r="A9647" s="2">
        <v>2018.0</v>
      </c>
      <c r="B9647" s="2" t="s">
        <v>11706</v>
      </c>
      <c r="C9647" s="2" t="s">
        <v>39466</v>
      </c>
      <c r="D9647" s="2" t="str">
        <f>"4056129195"</f>
        <v>4056129195</v>
      </c>
      <c r="E9647" s="2" t="s">
        <v>137</v>
      </c>
      <c r="F9647" s="2" t="s">
        <v>11708</v>
      </c>
      <c r="G9647" s="2" t="str">
        <f>"SR-13586"</f>
        <v>SR-13586</v>
      </c>
      <c r="H9647" s="2" t="s">
        <v>39467</v>
      </c>
      <c r="I9647" s="2" t="s">
        <v>39468</v>
      </c>
      <c r="K9647" s="2" t="s">
        <v>21503</v>
      </c>
      <c r="L9647" s="2" t="s">
        <v>1236</v>
      </c>
      <c r="M9647" s="2">
        <v>40390.0</v>
      </c>
      <c r="N9647" s="2" t="s">
        <v>21</v>
      </c>
    </row>
    <row r="9648" ht="15.75" customHeight="1">
      <c r="A9648" s="2">
        <v>2018.0</v>
      </c>
      <c r="B9648" s="2" t="s">
        <v>35206</v>
      </c>
      <c r="C9648" s="2" t="s">
        <v>35235</v>
      </c>
      <c r="D9648" s="2" t="str">
        <f>"778 908 6532"</f>
        <v>778 908 6532</v>
      </c>
      <c r="E9648" s="2" t="s">
        <v>2250</v>
      </c>
      <c r="F9648" s="2" t="s">
        <v>35209</v>
      </c>
      <c r="G9648" s="2" t="str">
        <f>"SR-9878"</f>
        <v>SR-9878</v>
      </c>
      <c r="H9648" s="2" t="s">
        <v>35236</v>
      </c>
      <c r="I9648" s="2" t="s">
        <v>35211</v>
      </c>
      <c r="K9648" s="2" t="s">
        <v>2214</v>
      </c>
      <c r="L9648" s="2" t="s">
        <v>35237</v>
      </c>
      <c r="M9648" s="2" t="s">
        <v>35214</v>
      </c>
      <c r="N9648" s="2" t="s">
        <v>1602</v>
      </c>
    </row>
    <row r="9649" ht="15.75" customHeight="1">
      <c r="A9649" s="2">
        <v>2018.0</v>
      </c>
      <c r="B9649" s="2" t="s">
        <v>39469</v>
      </c>
      <c r="D9649" s="2" t="str">
        <f>""</f>
        <v/>
      </c>
      <c r="E9649" s="2" t="s">
        <v>3434</v>
      </c>
      <c r="F9649" s="2" t="s">
        <v>27337</v>
      </c>
      <c r="G9649" s="2" t="str">
        <f>"SR-13038"</f>
        <v>SR-13038</v>
      </c>
      <c r="H9649" s="2" t="s">
        <v>39470</v>
      </c>
    </row>
    <row r="9650" ht="15.75" customHeight="1">
      <c r="A9650" s="2">
        <v>2018.0</v>
      </c>
      <c r="B9650" s="2" t="s">
        <v>39471</v>
      </c>
      <c r="C9650" s="2" t="s">
        <v>39471</v>
      </c>
      <c r="D9650" s="2" t="str">
        <f>"503-896-8765"</f>
        <v>503-896-8765</v>
      </c>
      <c r="E9650" s="2" t="s">
        <v>100</v>
      </c>
      <c r="F9650" s="2" t="s">
        <v>39472</v>
      </c>
      <c r="G9650" s="2" t="str">
        <f>"SR-13583"</f>
        <v>SR-13583</v>
      </c>
      <c r="H9650" s="2" t="s">
        <v>39473</v>
      </c>
      <c r="I9650" s="2" t="s">
        <v>39474</v>
      </c>
      <c r="K9650" s="2" t="s">
        <v>13748</v>
      </c>
      <c r="L9650" s="2" t="s">
        <v>2389</v>
      </c>
      <c r="M9650" s="2">
        <v>97035.0</v>
      </c>
      <c r="N9650" s="2" t="s">
        <v>21</v>
      </c>
    </row>
    <row r="9651" ht="15.75" customHeight="1">
      <c r="A9651" s="2">
        <v>2018.0</v>
      </c>
      <c r="B9651" s="2" t="s">
        <v>39475</v>
      </c>
      <c r="C9651" s="2" t="s">
        <v>39475</v>
      </c>
      <c r="D9651" s="2" t="str">
        <f>"705-346-9481"</f>
        <v>705-346-9481</v>
      </c>
      <c r="E9651" s="2" t="s">
        <v>824</v>
      </c>
      <c r="F9651" s="2" t="s">
        <v>39476</v>
      </c>
      <c r="G9651" s="2" t="str">
        <f>"SR-13591"</f>
        <v>SR-13591</v>
      </c>
      <c r="H9651" s="2" t="s">
        <v>39477</v>
      </c>
      <c r="I9651" s="2" t="s">
        <v>39478</v>
      </c>
      <c r="K9651" s="2" t="s">
        <v>39479</v>
      </c>
      <c r="L9651" s="2" t="s">
        <v>39480</v>
      </c>
      <c r="M9651" s="2" t="s">
        <v>39481</v>
      </c>
      <c r="N9651" s="2" t="s">
        <v>1602</v>
      </c>
    </row>
    <row r="9652" ht="15.75" customHeight="1">
      <c r="A9652" s="2">
        <v>2018.0</v>
      </c>
      <c r="B9652" s="2" t="s">
        <v>39482</v>
      </c>
      <c r="C9652" s="2" t="s">
        <v>39482</v>
      </c>
      <c r="D9652" s="2" t="str">
        <f>"4064252385"</f>
        <v>4064252385</v>
      </c>
      <c r="E9652" s="2" t="s">
        <v>14188</v>
      </c>
      <c r="F9652" s="2" t="s">
        <v>39483</v>
      </c>
      <c r="G9652" s="2" t="str">
        <f>"SR-13466"</f>
        <v>SR-13466</v>
      </c>
      <c r="H9652" s="2" t="s">
        <v>39484</v>
      </c>
      <c r="I9652" s="2" t="s">
        <v>39485</v>
      </c>
      <c r="K9652" s="2" t="s">
        <v>39486</v>
      </c>
      <c r="L9652" s="2" t="s">
        <v>2696</v>
      </c>
      <c r="M9652" s="2">
        <v>59068.0</v>
      </c>
      <c r="N9652" s="2" t="s">
        <v>21</v>
      </c>
    </row>
    <row r="9653" ht="15.75" customHeight="1">
      <c r="A9653" s="2">
        <v>2018.0</v>
      </c>
      <c r="B9653" s="2" t="s">
        <v>39487</v>
      </c>
      <c r="C9653" s="2" t="s">
        <v>33972</v>
      </c>
      <c r="D9653" s="2" t="str">
        <f>"4067719008"</f>
        <v>4067719008</v>
      </c>
      <c r="E9653" s="2" t="s">
        <v>3693</v>
      </c>
      <c r="F9653" s="2" t="s">
        <v>12211</v>
      </c>
      <c r="G9653" s="2" t="str">
        <f>"SR-10764"</f>
        <v>SR-10764</v>
      </c>
      <c r="H9653" s="2" t="s">
        <v>33973</v>
      </c>
      <c r="I9653" s="2" t="s">
        <v>33974</v>
      </c>
      <c r="K9653" s="2" t="s">
        <v>17600</v>
      </c>
      <c r="L9653" s="2" t="s">
        <v>2696</v>
      </c>
      <c r="M9653" s="2">
        <v>59405.0</v>
      </c>
      <c r="N9653" s="2" t="s">
        <v>21</v>
      </c>
    </row>
    <row r="9654" ht="15.75" customHeight="1">
      <c r="A9654" s="2">
        <v>2018.0</v>
      </c>
      <c r="B9654" s="2" t="s">
        <v>17071</v>
      </c>
      <c r="C9654" s="2" t="s">
        <v>39488</v>
      </c>
      <c r="D9654" s="2" t="str">
        <f>"303-748-0936"</f>
        <v>303-748-0936</v>
      </c>
      <c r="E9654" s="2" t="s">
        <v>385</v>
      </c>
      <c r="F9654" s="2" t="s">
        <v>9856</v>
      </c>
      <c r="G9654" s="2" t="str">
        <f>"SR-12213"</f>
        <v>SR-12213</v>
      </c>
      <c r="H9654" s="2" t="s">
        <v>39489</v>
      </c>
      <c r="I9654" s="2" t="s">
        <v>39490</v>
      </c>
      <c r="K9654" s="2" t="s">
        <v>992</v>
      </c>
      <c r="L9654" s="2" t="s">
        <v>157</v>
      </c>
      <c r="M9654" s="2">
        <v>80122.0</v>
      </c>
      <c r="N9654" s="2" t="s">
        <v>21</v>
      </c>
    </row>
    <row r="9655" ht="15.75" customHeight="1">
      <c r="A9655" s="2">
        <v>2018.0</v>
      </c>
      <c r="B9655" s="2" t="s">
        <v>39491</v>
      </c>
      <c r="D9655" s="2" t="str">
        <f>""</f>
        <v/>
      </c>
      <c r="E9655" s="2" t="s">
        <v>39492</v>
      </c>
      <c r="F9655" s="2" t="s">
        <v>39493</v>
      </c>
      <c r="G9655" s="2" t="str">
        <f>"SR-13597"</f>
        <v>SR-13597</v>
      </c>
      <c r="H9655" s="2" t="s">
        <v>39494</v>
      </c>
      <c r="N9655" s="2" t="s">
        <v>21</v>
      </c>
    </row>
    <row r="9656" ht="15.75" customHeight="1">
      <c r="A9656" s="2">
        <v>2018.0</v>
      </c>
      <c r="B9656" s="2" t="s">
        <v>27124</v>
      </c>
      <c r="C9656" s="2" t="s">
        <v>32777</v>
      </c>
      <c r="D9656" s="2" t="str">
        <f>"405-285-5755"</f>
        <v>405-285-5755</v>
      </c>
      <c r="E9656" s="2" t="s">
        <v>1347</v>
      </c>
      <c r="F9656" s="2" t="s">
        <v>27126</v>
      </c>
      <c r="G9656" s="2" t="str">
        <f>"SR-10337"</f>
        <v>SR-10337</v>
      </c>
      <c r="H9656" s="2" t="s">
        <v>32778</v>
      </c>
      <c r="I9656" s="2" t="s">
        <v>27128</v>
      </c>
      <c r="K9656" s="2" t="s">
        <v>1546</v>
      </c>
      <c r="L9656" s="2" t="s">
        <v>840</v>
      </c>
      <c r="M9656" s="2">
        <v>73034.0</v>
      </c>
      <c r="N9656" s="2" t="s">
        <v>21</v>
      </c>
    </row>
    <row r="9657" ht="15.75" customHeight="1">
      <c r="A9657" s="2">
        <v>2018.0</v>
      </c>
      <c r="B9657" s="2" t="s">
        <v>39495</v>
      </c>
      <c r="C9657" s="2" t="s">
        <v>39496</v>
      </c>
      <c r="D9657" s="2" t="str">
        <f>"3082190065"</f>
        <v>3082190065</v>
      </c>
      <c r="E9657" s="2" t="s">
        <v>862</v>
      </c>
      <c r="F9657" s="2" t="s">
        <v>39497</v>
      </c>
      <c r="G9657" s="2" t="str">
        <f>"SR-13593"</f>
        <v>SR-13593</v>
      </c>
      <c r="H9657" s="2" t="s">
        <v>39498</v>
      </c>
      <c r="I9657" s="2" t="s">
        <v>39499</v>
      </c>
      <c r="K9657" s="2" t="s">
        <v>23851</v>
      </c>
      <c r="L9657" s="2" t="s">
        <v>757</v>
      </c>
      <c r="M9657" s="2">
        <v>68862.0</v>
      </c>
      <c r="N9657" s="2" t="s">
        <v>21</v>
      </c>
    </row>
    <row r="9658" ht="15.75" customHeight="1">
      <c r="A9658" s="2">
        <v>2018.0</v>
      </c>
      <c r="B9658" s="2" t="s">
        <v>39500</v>
      </c>
      <c r="C9658" s="2" t="s">
        <v>39501</v>
      </c>
      <c r="D9658" s="2" t="str">
        <f>"432-288-5779"</f>
        <v>432-288-5779</v>
      </c>
      <c r="E9658" s="2" t="s">
        <v>2841</v>
      </c>
      <c r="F9658" s="2" t="s">
        <v>12495</v>
      </c>
      <c r="G9658" s="2" t="str">
        <f>"SR-13598"</f>
        <v>SR-13598</v>
      </c>
      <c r="H9658" s="2" t="s">
        <v>39502</v>
      </c>
      <c r="I9658" s="2" t="s">
        <v>39503</v>
      </c>
      <c r="K9658" s="2" t="s">
        <v>39504</v>
      </c>
      <c r="L9658" s="2" t="s">
        <v>172</v>
      </c>
      <c r="M9658" s="2">
        <v>79705.0</v>
      </c>
      <c r="N9658" s="2" t="s">
        <v>21</v>
      </c>
    </row>
    <row r="9659" ht="15.75" customHeight="1">
      <c r="A9659" s="2">
        <v>2018.0</v>
      </c>
      <c r="B9659" s="2" t="s">
        <v>9572</v>
      </c>
      <c r="C9659" s="2" t="s">
        <v>39505</v>
      </c>
      <c r="D9659" s="2" t="str">
        <f>"757-449-0677"</f>
        <v>757-449-0677</v>
      </c>
      <c r="E9659" s="2" t="s">
        <v>10949</v>
      </c>
      <c r="F9659" s="2" t="s">
        <v>189</v>
      </c>
      <c r="G9659" s="2" t="str">
        <f>"SR-13098"</f>
        <v>SR-13098</v>
      </c>
      <c r="H9659" s="2" t="s">
        <v>39506</v>
      </c>
      <c r="I9659" s="2" t="s">
        <v>9575</v>
      </c>
      <c r="K9659" s="2" t="s">
        <v>9576</v>
      </c>
      <c r="L9659" s="2" t="s">
        <v>165</v>
      </c>
      <c r="M9659" s="2">
        <v>23322.0</v>
      </c>
      <c r="N9659" s="2" t="s">
        <v>21</v>
      </c>
    </row>
    <row r="9660" ht="15.75" customHeight="1">
      <c r="A9660" s="2">
        <v>2018.0</v>
      </c>
      <c r="B9660" s="2" t="s">
        <v>39507</v>
      </c>
      <c r="C9660" s="2" t="s">
        <v>39508</v>
      </c>
      <c r="D9660" s="2" t="str">
        <f>"303-944-4695"</f>
        <v>303-944-4695</v>
      </c>
      <c r="E9660" s="2" t="s">
        <v>2147</v>
      </c>
      <c r="F9660" s="2" t="s">
        <v>39509</v>
      </c>
      <c r="G9660" s="2" t="str">
        <f>"SR-13603"</f>
        <v>SR-13603</v>
      </c>
      <c r="H9660" s="2" t="s">
        <v>39510</v>
      </c>
      <c r="I9660" s="2" t="s">
        <v>39511</v>
      </c>
      <c r="K9660" s="2" t="s">
        <v>1054</v>
      </c>
      <c r="L9660" s="2" t="s">
        <v>157</v>
      </c>
      <c r="M9660" s="2">
        <v>80138.0</v>
      </c>
      <c r="N9660" s="2" t="s">
        <v>21</v>
      </c>
    </row>
    <row r="9661" ht="15.75" customHeight="1">
      <c r="A9661" s="2">
        <v>2018.0</v>
      </c>
      <c r="B9661" s="2" t="s">
        <v>39512</v>
      </c>
      <c r="C9661" s="2" t="s">
        <v>39513</v>
      </c>
      <c r="D9661" s="2" t="str">
        <f>"682-241-9871"</f>
        <v>682-241-9871</v>
      </c>
      <c r="E9661" s="2" t="s">
        <v>862</v>
      </c>
      <c r="F9661" s="2" t="s">
        <v>4148</v>
      </c>
      <c r="G9661" s="2" t="str">
        <f>"SR-13596"</f>
        <v>SR-13596</v>
      </c>
      <c r="H9661" s="2" t="s">
        <v>39514</v>
      </c>
      <c r="I9661" s="2" t="s">
        <v>39515</v>
      </c>
      <c r="K9661" s="2" t="s">
        <v>887</v>
      </c>
      <c r="L9661" s="2" t="s">
        <v>172</v>
      </c>
      <c r="M9661" s="2">
        <v>76063.0</v>
      </c>
      <c r="N9661" s="2" t="s">
        <v>21</v>
      </c>
    </row>
    <row r="9662" ht="15.75" customHeight="1">
      <c r="A9662" s="2">
        <v>2018.0</v>
      </c>
      <c r="B9662" s="2" t="s">
        <v>39516</v>
      </c>
      <c r="C9662" s="2" t="s">
        <v>39517</v>
      </c>
      <c r="D9662" s="2" t="str">
        <f>"501-605-4505"</f>
        <v>501-605-4505</v>
      </c>
      <c r="E9662" s="2" t="s">
        <v>2361</v>
      </c>
      <c r="F9662" s="2" t="s">
        <v>7296</v>
      </c>
      <c r="G9662" s="2" t="str">
        <f>"SR-13477"</f>
        <v>SR-13477</v>
      </c>
      <c r="H9662" s="2" t="s">
        <v>39518</v>
      </c>
      <c r="I9662" s="2" t="s">
        <v>39519</v>
      </c>
      <c r="K9662" s="2" t="s">
        <v>529</v>
      </c>
      <c r="L9662" s="2" t="s">
        <v>1012</v>
      </c>
      <c r="M9662" s="2">
        <v>72176.0</v>
      </c>
      <c r="N9662" s="2" t="s">
        <v>21</v>
      </c>
    </row>
    <row r="9663" ht="15.75" customHeight="1">
      <c r="A9663" s="2">
        <v>2018.0</v>
      </c>
      <c r="B9663" s="2" t="s">
        <v>33207</v>
      </c>
      <c r="C9663" s="2" t="s">
        <v>33208</v>
      </c>
      <c r="D9663" s="2" t="str">
        <f>"9046018879"</f>
        <v>9046018879</v>
      </c>
      <c r="E9663" s="2" t="s">
        <v>1548</v>
      </c>
      <c r="F9663" s="2" t="s">
        <v>33209</v>
      </c>
      <c r="G9663" s="2" t="str">
        <f>"SR-10807"</f>
        <v>SR-10807</v>
      </c>
      <c r="H9663" s="2" t="s">
        <v>33210</v>
      </c>
      <c r="I9663" s="2" t="s">
        <v>33211</v>
      </c>
      <c r="K9663" s="2" t="s">
        <v>33212</v>
      </c>
      <c r="L9663" s="2" t="s">
        <v>208</v>
      </c>
      <c r="M9663" s="2">
        <v>32034.0</v>
      </c>
      <c r="N9663" s="2" t="s">
        <v>21</v>
      </c>
    </row>
    <row r="9664" ht="15.75" customHeight="1">
      <c r="A9664" s="2">
        <v>2018.0</v>
      </c>
      <c r="B9664" s="2" t="s">
        <v>39520</v>
      </c>
      <c r="C9664" s="2" t="s">
        <v>39521</v>
      </c>
      <c r="D9664" s="2" t="str">
        <f>"4103146787"</f>
        <v>4103146787</v>
      </c>
      <c r="E9664" s="2" t="s">
        <v>651</v>
      </c>
      <c r="F9664" s="2" t="s">
        <v>15934</v>
      </c>
      <c r="G9664" s="2" t="str">
        <f>"SR-13606"</f>
        <v>SR-13606</v>
      </c>
      <c r="H9664" s="2" t="s">
        <v>39522</v>
      </c>
      <c r="I9664" s="2" t="s">
        <v>39523</v>
      </c>
      <c r="K9664" s="2" t="s">
        <v>2750</v>
      </c>
      <c r="L9664" s="2" t="s">
        <v>1868</v>
      </c>
      <c r="M9664" s="2">
        <v>21044.0</v>
      </c>
      <c r="N9664" s="2" t="s">
        <v>21</v>
      </c>
    </row>
    <row r="9665" ht="15.75" customHeight="1">
      <c r="A9665" s="2">
        <v>2018.0</v>
      </c>
      <c r="B9665" s="2" t="s">
        <v>39524</v>
      </c>
      <c r="C9665" s="2" t="s">
        <v>39525</v>
      </c>
      <c r="D9665" s="2" t="str">
        <f>"8082507376"</f>
        <v>8082507376</v>
      </c>
      <c r="E9665" s="2" t="s">
        <v>955</v>
      </c>
      <c r="F9665" s="2" t="s">
        <v>39526</v>
      </c>
      <c r="G9665" s="2" t="str">
        <f>"SR-13105"</f>
        <v>SR-13105</v>
      </c>
      <c r="H9665" s="2" t="s">
        <v>39527</v>
      </c>
      <c r="I9665" s="2" t="s">
        <v>39528</v>
      </c>
      <c r="J9665" s="2" t="s">
        <v>39529</v>
      </c>
      <c r="K9665" s="2" t="s">
        <v>39530</v>
      </c>
      <c r="L9665" s="2" t="s">
        <v>770</v>
      </c>
      <c r="M9665" s="2">
        <v>96753.0</v>
      </c>
      <c r="N9665" s="2" t="s">
        <v>21</v>
      </c>
    </row>
    <row r="9666" ht="15.75" customHeight="1">
      <c r="A9666" s="2">
        <v>2018.0</v>
      </c>
      <c r="B9666" s="2" t="s">
        <v>39531</v>
      </c>
      <c r="C9666" s="2" t="s">
        <v>39532</v>
      </c>
      <c r="D9666" s="2" t="str">
        <f>"4056968029"</f>
        <v>4056968029</v>
      </c>
      <c r="E9666" s="2" t="s">
        <v>2158</v>
      </c>
      <c r="F9666" s="2" t="s">
        <v>3144</v>
      </c>
      <c r="G9666" s="2" t="str">
        <f>"SR-13559"</f>
        <v>SR-13559</v>
      </c>
      <c r="H9666" s="2" t="s">
        <v>39533</v>
      </c>
      <c r="I9666" s="2" t="s">
        <v>39534</v>
      </c>
      <c r="K9666" s="2" t="s">
        <v>39535</v>
      </c>
      <c r="L9666" s="2" t="s">
        <v>840</v>
      </c>
      <c r="M9666" s="2">
        <v>73939.0</v>
      </c>
      <c r="N9666" s="2" t="s">
        <v>21</v>
      </c>
    </row>
    <row r="9667" ht="15.75" customHeight="1">
      <c r="A9667" s="2">
        <v>2018.0</v>
      </c>
      <c r="B9667" s="2" t="s">
        <v>39531</v>
      </c>
      <c r="C9667" s="2" t="s">
        <v>39536</v>
      </c>
      <c r="D9667" s="2" t="str">
        <f>"4053618486"</f>
        <v>4053618486</v>
      </c>
      <c r="E9667" s="2" t="s">
        <v>39537</v>
      </c>
      <c r="F9667" s="2" t="s">
        <v>3144</v>
      </c>
      <c r="G9667" s="2" t="str">
        <f>"SR-13241"</f>
        <v>SR-13241</v>
      </c>
      <c r="H9667" s="2" t="s">
        <v>39538</v>
      </c>
      <c r="I9667" s="2" t="s">
        <v>39539</v>
      </c>
      <c r="K9667" s="2" t="s">
        <v>1546</v>
      </c>
      <c r="L9667" s="2" t="s">
        <v>840</v>
      </c>
      <c r="M9667" s="2">
        <v>73025.0</v>
      </c>
      <c r="N9667" s="2" t="s">
        <v>21</v>
      </c>
    </row>
    <row r="9668" ht="15.75" customHeight="1">
      <c r="A9668" s="2">
        <v>2018.0</v>
      </c>
      <c r="B9668" s="2" t="s">
        <v>6242</v>
      </c>
      <c r="C9668" s="2" t="s">
        <v>39540</v>
      </c>
      <c r="D9668" s="2" t="str">
        <f>"6305635379"</f>
        <v>6305635379</v>
      </c>
      <c r="E9668" s="2" t="s">
        <v>367</v>
      </c>
      <c r="F9668" s="2" t="s">
        <v>6245</v>
      </c>
      <c r="G9668" s="2" t="str">
        <f>"SR-13131"</f>
        <v>SR-13131</v>
      </c>
      <c r="H9668" s="2" t="s">
        <v>39541</v>
      </c>
      <c r="I9668" s="2" t="s">
        <v>39542</v>
      </c>
      <c r="J9668" s="2" t="s">
        <v>39543</v>
      </c>
      <c r="K9668" s="2" t="s">
        <v>24294</v>
      </c>
      <c r="N9668" s="2" t="s">
        <v>24295</v>
      </c>
    </row>
    <row r="9669" ht="15.75" customHeight="1">
      <c r="A9669" s="2">
        <v>2018.0</v>
      </c>
      <c r="B9669" s="2" t="s">
        <v>39544</v>
      </c>
      <c r="C9669" s="2" t="s">
        <v>39545</v>
      </c>
      <c r="D9669" s="2" t="str">
        <f>"913-814-0302"</f>
        <v>913-814-0302</v>
      </c>
      <c r="E9669" s="2" t="s">
        <v>39546</v>
      </c>
      <c r="F9669" s="2" t="s">
        <v>39547</v>
      </c>
      <c r="G9669" s="2" t="str">
        <f>"SR-13607"</f>
        <v>SR-13607</v>
      </c>
      <c r="H9669" s="2" t="s">
        <v>39548</v>
      </c>
      <c r="I9669" s="2" t="s">
        <v>39549</v>
      </c>
      <c r="K9669" s="2" t="s">
        <v>3103</v>
      </c>
      <c r="L9669" s="2" t="s">
        <v>272</v>
      </c>
      <c r="M9669" s="2">
        <v>66213.0</v>
      </c>
      <c r="N9669" s="2" t="s">
        <v>21</v>
      </c>
    </row>
    <row r="9670" ht="15.75" customHeight="1">
      <c r="A9670" s="2">
        <v>2018.0</v>
      </c>
      <c r="B9670" s="2" t="s">
        <v>39550</v>
      </c>
      <c r="C9670" s="2" t="s">
        <v>39551</v>
      </c>
      <c r="D9670" s="2" t="str">
        <f>"8283712113"</f>
        <v>8283712113</v>
      </c>
      <c r="E9670" s="2" t="s">
        <v>1274</v>
      </c>
      <c r="F9670" s="2" t="s">
        <v>32787</v>
      </c>
      <c r="G9670" s="2" t="str">
        <f>"SR-13379"</f>
        <v>SR-13379</v>
      </c>
      <c r="H9670" s="2" t="s">
        <v>39552</v>
      </c>
      <c r="I9670" s="2" t="s">
        <v>39553</v>
      </c>
      <c r="K9670" s="2" t="s">
        <v>278</v>
      </c>
      <c r="L9670" s="2" t="s">
        <v>20</v>
      </c>
      <c r="M9670" s="2">
        <v>28734.0</v>
      </c>
      <c r="N9670" s="2" t="s">
        <v>21</v>
      </c>
    </row>
    <row r="9671" ht="15.75" customHeight="1">
      <c r="A9671" s="2">
        <v>2018.0</v>
      </c>
      <c r="B9671" s="2" t="s">
        <v>39554</v>
      </c>
      <c r="C9671" s="2" t="s">
        <v>39554</v>
      </c>
      <c r="D9671" s="2" t="str">
        <f>"7194694462"</f>
        <v>7194694462</v>
      </c>
      <c r="E9671" s="2" t="s">
        <v>288</v>
      </c>
      <c r="F9671" s="2" t="s">
        <v>39555</v>
      </c>
      <c r="G9671" s="2" t="str">
        <f>"SR-13160"</f>
        <v>SR-13160</v>
      </c>
      <c r="H9671" s="2" t="s">
        <v>39556</v>
      </c>
      <c r="I9671" s="2" t="s">
        <v>39557</v>
      </c>
      <c r="K9671" s="2" t="s">
        <v>39558</v>
      </c>
      <c r="L9671" s="2" t="s">
        <v>157</v>
      </c>
      <c r="M9671" s="2">
        <v>81067.0</v>
      </c>
      <c r="N9671" s="2" t="s">
        <v>21</v>
      </c>
    </row>
    <row r="9672" ht="15.75" customHeight="1">
      <c r="A9672" s="2">
        <v>2018.0</v>
      </c>
      <c r="B9672" s="2" t="s">
        <v>6207</v>
      </c>
      <c r="C9672" s="2" t="s">
        <v>39559</v>
      </c>
      <c r="D9672" s="2" t="str">
        <f>"3036977700"</f>
        <v>3036977700</v>
      </c>
      <c r="E9672" s="2" t="s">
        <v>36170</v>
      </c>
      <c r="F9672" s="2" t="s">
        <v>1929</v>
      </c>
      <c r="G9672" s="2" t="str">
        <f>"SR-13407"</f>
        <v>SR-13407</v>
      </c>
      <c r="H9672" s="2" t="s">
        <v>39560</v>
      </c>
      <c r="I9672" s="2" t="s">
        <v>6210</v>
      </c>
      <c r="K9672" s="2" t="s">
        <v>1223</v>
      </c>
      <c r="L9672" s="2" t="s">
        <v>157</v>
      </c>
      <c r="M9672" s="2">
        <v>80433.0</v>
      </c>
      <c r="N9672" s="2" t="s">
        <v>21</v>
      </c>
    </row>
    <row r="9673" ht="15.75" customHeight="1">
      <c r="A9673" s="2">
        <v>2018.0</v>
      </c>
      <c r="B9673" s="2" t="s">
        <v>39561</v>
      </c>
      <c r="C9673" s="2" t="s">
        <v>39562</v>
      </c>
      <c r="D9673" s="2" t="str">
        <f>"712-501-1994"</f>
        <v>712-501-1994</v>
      </c>
      <c r="E9673" s="2" t="s">
        <v>2162</v>
      </c>
      <c r="F9673" s="2" t="s">
        <v>32502</v>
      </c>
      <c r="G9673" s="2" t="str">
        <f>"SR-13472"</f>
        <v>SR-13472</v>
      </c>
      <c r="H9673" s="2" t="s">
        <v>39563</v>
      </c>
      <c r="I9673" s="2" t="s">
        <v>39564</v>
      </c>
      <c r="K9673" s="2" t="s">
        <v>36292</v>
      </c>
      <c r="L9673" s="2" t="s">
        <v>560</v>
      </c>
      <c r="M9673" s="2">
        <v>51028.0</v>
      </c>
      <c r="N9673" s="2" t="s">
        <v>21</v>
      </c>
    </row>
    <row r="9674" ht="15.75" customHeight="1">
      <c r="A9674" s="2">
        <v>2018.0</v>
      </c>
      <c r="B9674" s="2" t="s">
        <v>39565</v>
      </c>
      <c r="C9674" s="2" t="s">
        <v>39566</v>
      </c>
      <c r="D9674" s="2" t="str">
        <f>"913-617-4975"</f>
        <v>913-617-4975</v>
      </c>
      <c r="E9674" s="2" t="s">
        <v>39039</v>
      </c>
      <c r="F9674" s="2" t="s">
        <v>39567</v>
      </c>
      <c r="G9674" s="2" t="str">
        <f>"SR-13610"</f>
        <v>SR-13610</v>
      </c>
      <c r="H9674" s="2" t="s">
        <v>39568</v>
      </c>
      <c r="I9674" s="2" t="s">
        <v>39569</v>
      </c>
      <c r="K9674" s="2" t="s">
        <v>1067</v>
      </c>
      <c r="L9674" s="2" t="s">
        <v>272</v>
      </c>
      <c r="M9674" s="2">
        <v>66062.0</v>
      </c>
      <c r="N9674" s="2" t="s">
        <v>21</v>
      </c>
    </row>
    <row r="9675" ht="15.75" customHeight="1">
      <c r="A9675" s="2">
        <v>2018.0</v>
      </c>
      <c r="B9675" s="2" t="s">
        <v>39570</v>
      </c>
      <c r="C9675" s="2" t="s">
        <v>39571</v>
      </c>
      <c r="D9675" s="2" t="str">
        <f>"605-728-8757"</f>
        <v>605-728-8757</v>
      </c>
      <c r="E9675" s="2" t="s">
        <v>2941</v>
      </c>
      <c r="F9675" s="2" t="s">
        <v>2847</v>
      </c>
      <c r="G9675" s="2" t="str">
        <f>"SR-13556"</f>
        <v>SR-13556</v>
      </c>
      <c r="H9675" s="2" t="s">
        <v>39572</v>
      </c>
      <c r="I9675" s="2" t="s">
        <v>39573</v>
      </c>
      <c r="K9675" s="2" t="s">
        <v>919</v>
      </c>
      <c r="L9675" s="2" t="s">
        <v>920</v>
      </c>
      <c r="M9675" s="2">
        <v>57110.0</v>
      </c>
      <c r="N9675" s="2" t="s">
        <v>21</v>
      </c>
    </row>
    <row r="9676" ht="15.75" customHeight="1">
      <c r="A9676" s="2">
        <v>2018.0</v>
      </c>
      <c r="B9676" s="2" t="s">
        <v>39574</v>
      </c>
      <c r="D9676" s="2" t="str">
        <f>""</f>
        <v/>
      </c>
      <c r="E9676" s="2" t="s">
        <v>3903</v>
      </c>
      <c r="F9676" s="2" t="s">
        <v>39575</v>
      </c>
      <c r="G9676" s="2" t="str">
        <f>"SR-13569"</f>
        <v>SR-13569</v>
      </c>
      <c r="H9676" s="2" t="s">
        <v>39576</v>
      </c>
      <c r="N9676" s="2" t="s">
        <v>21</v>
      </c>
    </row>
    <row r="9677" ht="15.75" customHeight="1">
      <c r="A9677" s="2">
        <v>2018.0</v>
      </c>
      <c r="B9677" s="2" t="s">
        <v>39577</v>
      </c>
      <c r="C9677" s="2" t="s">
        <v>39578</v>
      </c>
      <c r="D9677" s="2" t="str">
        <f>"8139266394"</f>
        <v>8139266394</v>
      </c>
      <c r="E9677" s="2" t="s">
        <v>1251</v>
      </c>
      <c r="F9677" s="2" t="s">
        <v>26789</v>
      </c>
      <c r="G9677" s="2" t="str">
        <f>"SR-13615"</f>
        <v>SR-13615</v>
      </c>
      <c r="H9677" s="2" t="s">
        <v>39579</v>
      </c>
      <c r="I9677" s="2" t="s">
        <v>39580</v>
      </c>
      <c r="K9677" s="2" t="s">
        <v>3431</v>
      </c>
      <c r="L9677" s="2" t="s">
        <v>208</v>
      </c>
      <c r="M9677" s="2">
        <v>33626.0</v>
      </c>
      <c r="N9677" s="2" t="s">
        <v>21</v>
      </c>
    </row>
    <row r="9678" ht="15.75" customHeight="1">
      <c r="A9678" s="2">
        <v>2018.0</v>
      </c>
      <c r="B9678" s="2" t="s">
        <v>39581</v>
      </c>
      <c r="C9678" s="2" t="s">
        <v>39582</v>
      </c>
      <c r="D9678" s="2" t="str">
        <f>"417 280 0308"</f>
        <v>417 280 0308</v>
      </c>
      <c r="E9678" s="2" t="s">
        <v>225</v>
      </c>
      <c r="F9678" s="2" t="s">
        <v>39583</v>
      </c>
      <c r="G9678" s="2" t="str">
        <f>"SR-13619"</f>
        <v>SR-13619</v>
      </c>
      <c r="H9678" s="2" t="s">
        <v>39584</v>
      </c>
      <c r="I9678" s="2" t="s">
        <v>39585</v>
      </c>
      <c r="K9678" s="2" t="s">
        <v>229</v>
      </c>
      <c r="L9678" s="2" t="s">
        <v>214</v>
      </c>
      <c r="M9678" s="2">
        <v>65775.0</v>
      </c>
      <c r="N9678" s="2" t="s">
        <v>21</v>
      </c>
    </row>
    <row r="9679" ht="15.75" customHeight="1">
      <c r="A9679" s="2">
        <v>2018.0</v>
      </c>
      <c r="B9679" s="2" t="s">
        <v>39586</v>
      </c>
      <c r="C9679" s="2" t="s">
        <v>39586</v>
      </c>
      <c r="D9679" s="2" t="str">
        <f>"8137636113"</f>
        <v>8137636113</v>
      </c>
      <c r="E9679" s="2" t="s">
        <v>19500</v>
      </c>
      <c r="F9679" s="2" t="s">
        <v>29553</v>
      </c>
      <c r="G9679" s="2" t="str">
        <f>"SR-13599"</f>
        <v>SR-13599</v>
      </c>
      <c r="H9679" s="2" t="s">
        <v>39587</v>
      </c>
      <c r="I9679" s="2" t="s">
        <v>39588</v>
      </c>
      <c r="K9679" s="2" t="s">
        <v>39589</v>
      </c>
      <c r="L9679" s="2" t="s">
        <v>208</v>
      </c>
      <c r="M9679" s="2">
        <v>33565.0</v>
      </c>
      <c r="N9679" s="2" t="s">
        <v>21</v>
      </c>
    </row>
    <row r="9680" ht="15.75" customHeight="1">
      <c r="A9680" s="2">
        <v>2018.0</v>
      </c>
      <c r="B9680" s="2" t="s">
        <v>39590</v>
      </c>
      <c r="C9680" s="2" t="s">
        <v>39591</v>
      </c>
      <c r="D9680" s="2" t="str">
        <f>"4179345800"</f>
        <v>4179345800</v>
      </c>
      <c r="E9680" s="2" t="s">
        <v>5548</v>
      </c>
      <c r="F9680" s="2" t="s">
        <v>39592</v>
      </c>
      <c r="G9680" s="2" t="str">
        <f>"SR-13602"</f>
        <v>SR-13602</v>
      </c>
      <c r="H9680" s="2" t="s">
        <v>39593</v>
      </c>
      <c r="I9680" s="2" t="s">
        <v>39594</v>
      </c>
      <c r="K9680" s="2" t="s">
        <v>8297</v>
      </c>
      <c r="L9680" s="2" t="s">
        <v>214</v>
      </c>
      <c r="M9680" s="2">
        <v>65548.0</v>
      </c>
      <c r="N9680" s="2" t="s">
        <v>21</v>
      </c>
    </row>
    <row r="9681" ht="15.75" customHeight="1">
      <c r="A9681" s="2">
        <v>2018.0</v>
      </c>
      <c r="B9681" s="2" t="s">
        <v>9265</v>
      </c>
      <c r="C9681" s="2" t="s">
        <v>3504</v>
      </c>
      <c r="D9681" s="2" t="str">
        <f>"3163057231"</f>
        <v>3163057231</v>
      </c>
      <c r="E9681" s="2" t="s">
        <v>843</v>
      </c>
      <c r="F9681" s="2" t="s">
        <v>9267</v>
      </c>
      <c r="G9681" s="2" t="str">
        <f>"SR-13415"</f>
        <v>SR-13415</v>
      </c>
      <c r="H9681" s="2" t="s">
        <v>39595</v>
      </c>
      <c r="I9681" s="2" t="s">
        <v>39596</v>
      </c>
      <c r="K9681" s="2" t="s">
        <v>3508</v>
      </c>
      <c r="L9681" s="2" t="s">
        <v>272</v>
      </c>
      <c r="M9681" s="2">
        <v>67144.0</v>
      </c>
      <c r="N9681" s="2" t="s">
        <v>21</v>
      </c>
    </row>
    <row r="9682" ht="15.75" customHeight="1">
      <c r="A9682" s="2">
        <v>2018.0</v>
      </c>
      <c r="B9682" s="2" t="s">
        <v>39597</v>
      </c>
      <c r="C9682" s="2" t="s">
        <v>39597</v>
      </c>
      <c r="D9682" s="2" t="str">
        <f>"719-684-6772"</f>
        <v>719-684-6772</v>
      </c>
      <c r="E9682" s="2" t="s">
        <v>2361</v>
      </c>
      <c r="F9682" s="2" t="s">
        <v>339</v>
      </c>
      <c r="G9682" s="2" t="str">
        <f>"SR-13624"</f>
        <v>SR-13624</v>
      </c>
      <c r="H9682" s="2" t="s">
        <v>39598</v>
      </c>
      <c r="I9682" s="2" t="s">
        <v>39599</v>
      </c>
      <c r="K9682" s="2" t="s">
        <v>809</v>
      </c>
      <c r="L9682" s="2" t="s">
        <v>157</v>
      </c>
      <c r="M9682" s="2">
        <v>80919.0</v>
      </c>
      <c r="N9682" s="2" t="s">
        <v>21</v>
      </c>
    </row>
    <row r="9683" ht="15.75" customHeight="1">
      <c r="A9683" s="2">
        <v>2018.0</v>
      </c>
      <c r="B9683" s="2" t="s">
        <v>27124</v>
      </c>
      <c r="C9683" s="2" t="s">
        <v>27125</v>
      </c>
      <c r="D9683" s="2" t="str">
        <f>"405-285-5755"</f>
        <v>405-285-5755</v>
      </c>
      <c r="E9683" s="2" t="s">
        <v>282</v>
      </c>
      <c r="F9683" s="2" t="s">
        <v>27126</v>
      </c>
      <c r="G9683" s="2" t="str">
        <f>"SR-8564"</f>
        <v>SR-8564</v>
      </c>
      <c r="H9683" s="2" t="s">
        <v>27127</v>
      </c>
      <c r="I9683" s="2" t="s">
        <v>27128</v>
      </c>
      <c r="K9683" s="2" t="s">
        <v>1546</v>
      </c>
      <c r="L9683" s="2" t="s">
        <v>840</v>
      </c>
      <c r="M9683" s="2">
        <v>73034.0</v>
      </c>
      <c r="N9683" s="2" t="s">
        <v>21</v>
      </c>
    </row>
    <row r="9684" ht="15.75" customHeight="1">
      <c r="A9684" s="2">
        <v>2018.0</v>
      </c>
      <c r="B9684" s="2" t="s">
        <v>39600</v>
      </c>
      <c r="C9684" s="2" t="s">
        <v>39601</v>
      </c>
      <c r="D9684" s="2" t="str">
        <f>"9054643052"</f>
        <v>9054643052</v>
      </c>
      <c r="E9684" s="2" t="s">
        <v>4111</v>
      </c>
      <c r="F9684" s="2" t="s">
        <v>9533</v>
      </c>
      <c r="G9684" s="2" t="str">
        <f>"SR-13627"</f>
        <v>SR-13627</v>
      </c>
      <c r="H9684" s="2" t="s">
        <v>39602</v>
      </c>
      <c r="I9684" s="2">
        <v>491.0</v>
      </c>
      <c r="J9684" s="2" t="s">
        <v>39603</v>
      </c>
      <c r="K9684" s="2" t="s">
        <v>39604</v>
      </c>
      <c r="L9684" s="2" t="s">
        <v>2015</v>
      </c>
      <c r="M9684" s="2" t="s">
        <v>39605</v>
      </c>
      <c r="N9684" s="2" t="s">
        <v>1602</v>
      </c>
    </row>
    <row r="9685" ht="15.75" customHeight="1">
      <c r="A9685" s="2">
        <v>2018.0</v>
      </c>
      <c r="B9685" s="2" t="s">
        <v>39606</v>
      </c>
      <c r="C9685" s="2" t="s">
        <v>39606</v>
      </c>
      <c r="D9685" s="2" t="str">
        <f>"7178752741"</f>
        <v>7178752741</v>
      </c>
      <c r="E9685" s="2" t="s">
        <v>167</v>
      </c>
      <c r="F9685" s="2" t="s">
        <v>7637</v>
      </c>
      <c r="G9685" s="2" t="str">
        <f>"SR-13629"</f>
        <v>SR-13629</v>
      </c>
      <c r="H9685" s="2" t="s">
        <v>39607</v>
      </c>
      <c r="I9685" s="2" t="s">
        <v>39608</v>
      </c>
      <c r="K9685" s="2" t="s">
        <v>7640</v>
      </c>
      <c r="L9685" s="2" t="s">
        <v>179</v>
      </c>
      <c r="M9685" s="2">
        <v>17543.0</v>
      </c>
      <c r="N9685" s="2" t="s">
        <v>21</v>
      </c>
    </row>
    <row r="9686" ht="15.75" customHeight="1">
      <c r="A9686" s="2">
        <v>2018.0</v>
      </c>
      <c r="B9686" s="2" t="s">
        <v>16553</v>
      </c>
      <c r="C9686" s="2" t="s">
        <v>39609</v>
      </c>
      <c r="D9686" s="2" t="str">
        <f>"5735350762"</f>
        <v>5735350762</v>
      </c>
      <c r="E9686" s="2" t="s">
        <v>386</v>
      </c>
      <c r="F9686" s="2" t="s">
        <v>16555</v>
      </c>
      <c r="G9686" s="2" t="str">
        <f>"SR-5700"</f>
        <v>SR-5700</v>
      </c>
      <c r="H9686" s="2" t="s">
        <v>39610</v>
      </c>
      <c r="I9686" s="2" t="s">
        <v>16557</v>
      </c>
      <c r="K9686" s="2" t="s">
        <v>39611</v>
      </c>
      <c r="L9686" s="2" t="s">
        <v>214</v>
      </c>
      <c r="M9686" s="2">
        <v>63673.0</v>
      </c>
      <c r="N9686" s="2" t="s">
        <v>21</v>
      </c>
    </row>
    <row r="9687" ht="15.75" customHeight="1">
      <c r="A9687" s="2">
        <v>2018.0</v>
      </c>
      <c r="B9687" s="2" t="s">
        <v>39612</v>
      </c>
      <c r="C9687" s="2" t="s">
        <v>39612</v>
      </c>
      <c r="D9687" s="2" t="str">
        <f>"8603873743"</f>
        <v>8603873743</v>
      </c>
      <c r="E9687" s="2" t="s">
        <v>167</v>
      </c>
      <c r="F9687" s="2" t="s">
        <v>39613</v>
      </c>
      <c r="G9687" s="2" t="str">
        <f>"SR-13532"</f>
        <v>SR-13532</v>
      </c>
      <c r="H9687" s="2" t="s">
        <v>39614</v>
      </c>
      <c r="I9687" s="2" t="s">
        <v>39615</v>
      </c>
      <c r="K9687" s="2" t="s">
        <v>39616</v>
      </c>
      <c r="L9687" s="2" t="s">
        <v>4836</v>
      </c>
      <c r="M9687" s="2">
        <v>6791.0</v>
      </c>
      <c r="N9687" s="2" t="s">
        <v>21</v>
      </c>
    </row>
    <row r="9688" ht="15.75" customHeight="1">
      <c r="A9688" s="2">
        <v>2018.0</v>
      </c>
      <c r="B9688" s="2" t="s">
        <v>39617</v>
      </c>
      <c r="C9688" s="2" t="s">
        <v>39617</v>
      </c>
      <c r="D9688" s="2" t="str">
        <f>"620-441-7810"</f>
        <v>620-441-7810</v>
      </c>
      <c r="E9688" s="2" t="s">
        <v>580</v>
      </c>
      <c r="F9688" s="2" t="s">
        <v>39618</v>
      </c>
      <c r="G9688" s="2" t="str">
        <f>"SR-13635"</f>
        <v>SR-13635</v>
      </c>
      <c r="H9688" s="2" t="s">
        <v>39619</v>
      </c>
      <c r="I9688" s="2" t="s">
        <v>39620</v>
      </c>
      <c r="K9688" s="2" t="s">
        <v>24725</v>
      </c>
      <c r="L9688" s="2" t="s">
        <v>272</v>
      </c>
      <c r="M9688" s="2">
        <v>67005.0</v>
      </c>
      <c r="N9688" s="2" t="s">
        <v>21</v>
      </c>
    </row>
    <row r="9689" ht="15.75" customHeight="1">
      <c r="A9689" s="2">
        <v>2018.0</v>
      </c>
      <c r="B9689" s="2" t="s">
        <v>39621</v>
      </c>
      <c r="C9689" s="2" t="s">
        <v>39621</v>
      </c>
      <c r="D9689" s="2" t="str">
        <f>"8643497849"</f>
        <v>8643497849</v>
      </c>
      <c r="E9689" s="2" t="s">
        <v>2930</v>
      </c>
      <c r="F9689" s="2" t="s">
        <v>25821</v>
      </c>
      <c r="G9689" s="2" t="str">
        <f>"SR-13623"</f>
        <v>SR-13623</v>
      </c>
      <c r="H9689" s="2" t="s">
        <v>39622</v>
      </c>
      <c r="I9689" s="2" t="s">
        <v>39623</v>
      </c>
      <c r="K9689" s="2" t="s">
        <v>39624</v>
      </c>
      <c r="L9689" s="2" t="s">
        <v>55</v>
      </c>
      <c r="M9689" s="2">
        <v>29681.0</v>
      </c>
      <c r="N9689" s="2" t="s">
        <v>21</v>
      </c>
    </row>
    <row r="9690" ht="15.75" customHeight="1">
      <c r="A9690" s="2">
        <v>2018.0</v>
      </c>
      <c r="B9690" s="2" t="s">
        <v>39625</v>
      </c>
      <c r="C9690" s="2" t="s">
        <v>39625</v>
      </c>
      <c r="D9690" s="2" t="str">
        <f>"913-265-2690"</f>
        <v>913-265-2690</v>
      </c>
      <c r="E9690" s="2" t="s">
        <v>1197</v>
      </c>
      <c r="F9690" s="2" t="s">
        <v>39626</v>
      </c>
      <c r="G9690" s="2" t="str">
        <f>"SR-13292"</f>
        <v>SR-13292</v>
      </c>
      <c r="H9690" s="2" t="s">
        <v>39627</v>
      </c>
      <c r="I9690" s="2" t="s">
        <v>39628</v>
      </c>
      <c r="K9690" s="2" t="s">
        <v>8217</v>
      </c>
      <c r="L9690" s="2" t="s">
        <v>272</v>
      </c>
      <c r="M9690" s="2">
        <v>66208.0</v>
      </c>
      <c r="N9690" s="2" t="s">
        <v>21</v>
      </c>
    </row>
    <row r="9691" ht="15.75" customHeight="1">
      <c r="A9691" s="2">
        <v>2018.0</v>
      </c>
      <c r="B9691" s="2" t="s">
        <v>39629</v>
      </c>
      <c r="C9691" s="2" t="s">
        <v>39629</v>
      </c>
      <c r="D9691" s="2" t="str">
        <f>"8282157400"</f>
        <v>8282157400</v>
      </c>
      <c r="E9691" s="2" t="s">
        <v>261</v>
      </c>
      <c r="F9691" s="2" t="s">
        <v>39630</v>
      </c>
      <c r="G9691" s="2" t="str">
        <f>"SR-13637"</f>
        <v>SR-13637</v>
      </c>
      <c r="H9691" s="2" t="s">
        <v>39631</v>
      </c>
      <c r="I9691" s="2" t="s">
        <v>39632</v>
      </c>
      <c r="K9691" s="2" t="s">
        <v>1520</v>
      </c>
      <c r="L9691" s="2" t="s">
        <v>157</v>
      </c>
      <c r="M9691" s="2">
        <v>80016.0</v>
      </c>
      <c r="N9691" s="2" t="s">
        <v>21</v>
      </c>
    </row>
    <row r="9692" ht="15.75" customHeight="1">
      <c r="A9692" s="2">
        <v>2018.0</v>
      </c>
      <c r="B9692" s="2" t="s">
        <v>33613</v>
      </c>
      <c r="C9692" s="2" t="s">
        <v>33614</v>
      </c>
      <c r="D9692" s="2" t="str">
        <f>"214-908-9329"</f>
        <v>214-908-9329</v>
      </c>
      <c r="E9692" s="2" t="s">
        <v>2083</v>
      </c>
      <c r="F9692" s="2" t="s">
        <v>29796</v>
      </c>
      <c r="G9692" s="2" t="str">
        <f>"SR-10700"</f>
        <v>SR-10700</v>
      </c>
      <c r="H9692" s="2" t="s">
        <v>33615</v>
      </c>
      <c r="I9692" s="2" t="s">
        <v>33616</v>
      </c>
      <c r="K9692" s="2" t="s">
        <v>4577</v>
      </c>
      <c r="L9692" s="2" t="s">
        <v>172</v>
      </c>
      <c r="M9692" s="2">
        <v>76262.0</v>
      </c>
      <c r="N9692" s="2" t="s">
        <v>21</v>
      </c>
    </row>
    <row r="9693" ht="15.75" customHeight="1">
      <c r="A9693" s="2">
        <v>2018.0</v>
      </c>
      <c r="B9693" s="2" t="s">
        <v>39633</v>
      </c>
      <c r="D9693" s="2" t="str">
        <f>""</f>
        <v/>
      </c>
      <c r="E9693" s="2" t="s">
        <v>39634</v>
      </c>
      <c r="F9693" s="2" t="s">
        <v>39635</v>
      </c>
      <c r="G9693" s="2" t="str">
        <f>"SR-13634"</f>
        <v>SR-13634</v>
      </c>
      <c r="H9693" s="2" t="s">
        <v>39636</v>
      </c>
      <c r="N9693" s="2" t="s">
        <v>21</v>
      </c>
    </row>
    <row r="9694" ht="15.75" customHeight="1">
      <c r="A9694" s="2">
        <v>2018.0</v>
      </c>
      <c r="B9694" s="2" t="s">
        <v>34312</v>
      </c>
      <c r="C9694" s="2" t="s">
        <v>34312</v>
      </c>
      <c r="D9694" s="2" t="str">
        <f>"4325576499"</f>
        <v>4325576499</v>
      </c>
      <c r="E9694" s="2" t="s">
        <v>824</v>
      </c>
      <c r="F9694" s="2" t="s">
        <v>34313</v>
      </c>
      <c r="G9694" s="2" t="str">
        <f>"SR-10612"</f>
        <v>SR-10612</v>
      </c>
      <c r="H9694" s="2" t="s">
        <v>34314</v>
      </c>
      <c r="I9694" s="2" t="s">
        <v>34315</v>
      </c>
      <c r="K9694" s="2" t="s">
        <v>286</v>
      </c>
      <c r="L9694" s="2" t="s">
        <v>172</v>
      </c>
      <c r="M9694" s="2">
        <v>79705.0</v>
      </c>
      <c r="N9694" s="2" t="s">
        <v>21</v>
      </c>
    </row>
    <row r="9695" ht="15.75" customHeight="1">
      <c r="A9695" s="2">
        <v>2018.0</v>
      </c>
      <c r="B9695" s="2" t="s">
        <v>23326</v>
      </c>
      <c r="C9695" s="2" t="s">
        <v>39637</v>
      </c>
      <c r="D9695" s="2" t="str">
        <f>"936-273-0609"</f>
        <v>936-273-0609</v>
      </c>
      <c r="E9695" s="2" t="s">
        <v>386</v>
      </c>
      <c r="F9695" s="2" t="s">
        <v>39638</v>
      </c>
      <c r="G9695" s="2" t="str">
        <f>"SR-13608"</f>
        <v>SR-13608</v>
      </c>
      <c r="H9695" s="2" t="s">
        <v>39639</v>
      </c>
      <c r="I9695" s="2" t="s">
        <v>39640</v>
      </c>
      <c r="K9695" s="2" t="s">
        <v>2651</v>
      </c>
      <c r="L9695" s="2" t="s">
        <v>172</v>
      </c>
      <c r="M9695" s="2">
        <v>77381.0</v>
      </c>
      <c r="N9695" s="2" t="s">
        <v>21</v>
      </c>
    </row>
    <row r="9696" ht="15.75" customHeight="1">
      <c r="A9696" s="2">
        <v>2018.0</v>
      </c>
      <c r="B9696" s="2" t="s">
        <v>31108</v>
      </c>
      <c r="C9696" s="2" t="s">
        <v>31109</v>
      </c>
      <c r="D9696" s="2" t="str">
        <f>"469-58-629-3241"</f>
        <v>469-58-629-3241</v>
      </c>
      <c r="E9696" s="2" t="s">
        <v>843</v>
      </c>
      <c r="F9696" s="2" t="s">
        <v>31110</v>
      </c>
      <c r="G9696" s="2" t="str">
        <f>"SR-9961"</f>
        <v>SR-9961</v>
      </c>
      <c r="H9696" s="2" t="s">
        <v>31111</v>
      </c>
      <c r="I9696" s="2" t="s">
        <v>31112</v>
      </c>
      <c r="K9696" s="2" t="s">
        <v>1260</v>
      </c>
      <c r="L9696" s="2" t="s">
        <v>172</v>
      </c>
      <c r="M9696" s="2">
        <v>76133.0</v>
      </c>
      <c r="N9696" s="2" t="s">
        <v>21</v>
      </c>
    </row>
    <row r="9697" ht="15.75" customHeight="1">
      <c r="A9697" s="2">
        <v>2018.0</v>
      </c>
      <c r="B9697" s="2" t="s">
        <v>33318</v>
      </c>
      <c r="D9697" s="2" t="str">
        <f>""</f>
        <v/>
      </c>
      <c r="E9697" s="2" t="s">
        <v>440</v>
      </c>
      <c r="F9697" s="2" t="s">
        <v>33319</v>
      </c>
      <c r="G9697" s="2" t="str">
        <f>"SR-10852"</f>
        <v>SR-10852</v>
      </c>
      <c r="H9697" s="2" t="s">
        <v>33320</v>
      </c>
      <c r="N9697" s="2" t="s">
        <v>21</v>
      </c>
    </row>
    <row r="9698" ht="15.75" customHeight="1">
      <c r="A9698" s="2">
        <v>2018.0</v>
      </c>
      <c r="B9698" s="2" t="s">
        <v>13042</v>
      </c>
      <c r="C9698" s="2" t="s">
        <v>39641</v>
      </c>
      <c r="D9698" s="2" t="str">
        <f>"317-914-3656"</f>
        <v>317-914-3656</v>
      </c>
      <c r="E9698" s="2" t="s">
        <v>295</v>
      </c>
      <c r="F9698" s="2" t="s">
        <v>13043</v>
      </c>
      <c r="G9698" s="2" t="str">
        <f>"SR-13358"</f>
        <v>SR-13358</v>
      </c>
      <c r="H9698" s="2" t="s">
        <v>39642</v>
      </c>
      <c r="I9698" s="2" t="s">
        <v>39643</v>
      </c>
      <c r="K9698" s="2" t="s">
        <v>15077</v>
      </c>
      <c r="L9698" s="2" t="s">
        <v>222</v>
      </c>
      <c r="M9698" s="2">
        <v>91361.0</v>
      </c>
      <c r="N9698" s="2" t="s">
        <v>21</v>
      </c>
    </row>
    <row r="9699" ht="15.75" customHeight="1">
      <c r="A9699" s="2">
        <v>2018.0</v>
      </c>
      <c r="B9699" s="2" t="s">
        <v>35980</v>
      </c>
      <c r="C9699" s="2" t="s">
        <v>39644</v>
      </c>
      <c r="D9699" s="2" t="str">
        <f>"719-264-0248"</f>
        <v>719-264-0248</v>
      </c>
      <c r="E9699" s="2" t="s">
        <v>8039</v>
      </c>
      <c r="F9699" s="2" t="s">
        <v>4011</v>
      </c>
      <c r="G9699" s="2" t="str">
        <f>"SR-13464"</f>
        <v>SR-13464</v>
      </c>
      <c r="H9699" s="2" t="s">
        <v>39645</v>
      </c>
      <c r="I9699" s="2" t="s">
        <v>39646</v>
      </c>
      <c r="K9699" s="2" t="s">
        <v>809</v>
      </c>
      <c r="L9699" s="2" t="s">
        <v>157</v>
      </c>
      <c r="M9699" s="2">
        <v>80920.0</v>
      </c>
      <c r="N9699" s="2" t="s">
        <v>21</v>
      </c>
    </row>
    <row r="9700" ht="15.75" customHeight="1">
      <c r="A9700" s="2">
        <v>2018.0</v>
      </c>
      <c r="B9700" s="2" t="s">
        <v>13042</v>
      </c>
      <c r="C9700" s="2" t="s">
        <v>39647</v>
      </c>
      <c r="D9700" s="2" t="str">
        <f>"3172468489"</f>
        <v>3172468489</v>
      </c>
      <c r="E9700" s="2" t="s">
        <v>339</v>
      </c>
      <c r="F9700" s="2" t="s">
        <v>8278</v>
      </c>
      <c r="G9700" s="2" t="str">
        <f>"SR-13366"</f>
        <v>SR-13366</v>
      </c>
      <c r="H9700" s="2" t="s">
        <v>39648</v>
      </c>
      <c r="I9700" s="2" t="s">
        <v>39649</v>
      </c>
      <c r="K9700" s="2" t="s">
        <v>35013</v>
      </c>
      <c r="L9700" s="2" t="s">
        <v>149</v>
      </c>
      <c r="M9700" s="2">
        <v>46060.0</v>
      </c>
      <c r="N9700" s="2" t="s">
        <v>21</v>
      </c>
    </row>
    <row r="9701" ht="15.75" customHeight="1">
      <c r="A9701" s="2">
        <v>2018.0</v>
      </c>
      <c r="B9701" s="2" t="s">
        <v>39650</v>
      </c>
      <c r="C9701" s="2" t="s">
        <v>39651</v>
      </c>
      <c r="D9701" s="2" t="str">
        <f>"2695612039"</f>
        <v>2695612039</v>
      </c>
      <c r="E9701" s="2" t="s">
        <v>644</v>
      </c>
      <c r="F9701" s="2" t="s">
        <v>30801</v>
      </c>
      <c r="G9701" s="2" t="str">
        <f>"SR-9822"</f>
        <v>SR-9822</v>
      </c>
      <c r="H9701" s="2" t="s">
        <v>39652</v>
      </c>
      <c r="I9701" s="2" t="s">
        <v>30803</v>
      </c>
      <c r="K9701" s="2" t="s">
        <v>30804</v>
      </c>
      <c r="L9701" s="2" t="s">
        <v>29</v>
      </c>
      <c r="M9701" s="2">
        <v>49408.0</v>
      </c>
      <c r="N9701" s="2" t="s">
        <v>21</v>
      </c>
    </row>
    <row r="9702" ht="15.75" customHeight="1">
      <c r="A9702" s="2">
        <v>2018.0</v>
      </c>
      <c r="B9702" s="2" t="s">
        <v>39653</v>
      </c>
      <c r="C9702" s="2" t="s">
        <v>39653</v>
      </c>
      <c r="D9702" s="2" t="str">
        <f>"(901)299-9825"</f>
        <v>(901)299-9825</v>
      </c>
      <c r="E9702" s="2" t="s">
        <v>7754</v>
      </c>
      <c r="F9702" s="2" t="s">
        <v>1151</v>
      </c>
      <c r="G9702" s="2" t="str">
        <f>"SR-13575"</f>
        <v>SR-13575</v>
      </c>
      <c r="H9702" s="2" t="s">
        <v>39654</v>
      </c>
      <c r="I9702" s="2" t="s">
        <v>39655</v>
      </c>
      <c r="K9702" s="2" t="s">
        <v>5678</v>
      </c>
      <c r="L9702" s="2" t="s">
        <v>279</v>
      </c>
      <c r="M9702" s="2">
        <v>38017.0</v>
      </c>
      <c r="N9702" s="2" t="s">
        <v>21</v>
      </c>
    </row>
    <row r="9703" ht="15.75" customHeight="1">
      <c r="A9703" s="2">
        <v>2018.0</v>
      </c>
      <c r="B9703" s="2" t="s">
        <v>19292</v>
      </c>
      <c r="C9703" s="2" t="s">
        <v>39656</v>
      </c>
      <c r="D9703" s="2" t="str">
        <f>"540-234-6225"</f>
        <v>540-234-6225</v>
      </c>
      <c r="E9703" s="2" t="s">
        <v>6869</v>
      </c>
      <c r="F9703" s="2" t="s">
        <v>19294</v>
      </c>
      <c r="G9703" s="2" t="str">
        <f>"SR-13642"</f>
        <v>SR-13642</v>
      </c>
      <c r="H9703" s="2" t="s">
        <v>39657</v>
      </c>
      <c r="I9703" s="2">
        <v>5552.0</v>
      </c>
      <c r="J9703" s="2" t="s">
        <v>39658</v>
      </c>
      <c r="K9703" s="2" t="s">
        <v>32508</v>
      </c>
      <c r="L9703" s="2" t="s">
        <v>165</v>
      </c>
      <c r="M9703" s="2">
        <v>22841.0</v>
      </c>
      <c r="N9703" s="2" t="s">
        <v>21</v>
      </c>
    </row>
    <row r="9704" ht="15.75" customHeight="1">
      <c r="A9704" s="2">
        <v>2018.0</v>
      </c>
      <c r="B9704" s="2" t="s">
        <v>39659</v>
      </c>
      <c r="C9704" s="2" t="s">
        <v>39660</v>
      </c>
      <c r="D9704" s="2" t="str">
        <f>"5403638608"</f>
        <v>5403638608</v>
      </c>
      <c r="E9704" s="2" t="s">
        <v>11423</v>
      </c>
      <c r="F9704" s="2" t="s">
        <v>2864</v>
      </c>
      <c r="G9704" s="2" t="str">
        <f>"SR-13625"</f>
        <v>SR-13625</v>
      </c>
      <c r="H9704" s="2" t="s">
        <v>39661</v>
      </c>
      <c r="I9704" s="2" t="s">
        <v>39662</v>
      </c>
      <c r="K9704" s="2" t="s">
        <v>39663</v>
      </c>
      <c r="L9704" s="2" t="s">
        <v>165</v>
      </c>
      <c r="M9704" s="2">
        <v>24437.0</v>
      </c>
      <c r="N9704" s="2" t="s">
        <v>21</v>
      </c>
    </row>
    <row r="9705" ht="15.75" customHeight="1">
      <c r="A9705" s="2">
        <v>2018.0</v>
      </c>
      <c r="B9705" s="2" t="s">
        <v>39664</v>
      </c>
      <c r="C9705" s="2" t="s">
        <v>39664</v>
      </c>
      <c r="D9705" s="2" t="str">
        <f>"865-253-6572"</f>
        <v>865-253-6572</v>
      </c>
      <c r="E9705" s="2" t="s">
        <v>5456</v>
      </c>
      <c r="F9705" s="2" t="s">
        <v>3627</v>
      </c>
      <c r="G9705" s="2" t="str">
        <f>"SR-13644"</f>
        <v>SR-13644</v>
      </c>
      <c r="H9705" s="2" t="s">
        <v>39665</v>
      </c>
      <c r="I9705" s="2" t="s">
        <v>3629</v>
      </c>
      <c r="K9705" s="2" t="s">
        <v>3630</v>
      </c>
      <c r="L9705" s="2" t="s">
        <v>279</v>
      </c>
      <c r="M9705" s="2">
        <v>37820.0</v>
      </c>
      <c r="N9705" s="2" t="s">
        <v>21</v>
      </c>
    </row>
    <row r="9706" ht="15.75" customHeight="1">
      <c r="A9706" s="2">
        <v>2018.0</v>
      </c>
      <c r="B9706" s="2" t="s">
        <v>39666</v>
      </c>
      <c r="C9706" s="2" t="s">
        <v>39667</v>
      </c>
      <c r="D9706" s="2" t="str">
        <f>"864-268-6940"</f>
        <v>864-268-6940</v>
      </c>
      <c r="E9706" s="2" t="s">
        <v>132</v>
      </c>
      <c r="F9706" s="2" t="s">
        <v>39668</v>
      </c>
      <c r="G9706" s="2" t="str">
        <f>"SR-13504"</f>
        <v>SR-13504</v>
      </c>
      <c r="H9706" s="2" t="s">
        <v>39669</v>
      </c>
      <c r="I9706" s="2" t="s">
        <v>39670</v>
      </c>
      <c r="K9706" s="2" t="s">
        <v>54</v>
      </c>
      <c r="L9706" s="2" t="s">
        <v>55</v>
      </c>
      <c r="M9706" s="2">
        <v>29615.0</v>
      </c>
      <c r="N9706" s="2" t="s">
        <v>21</v>
      </c>
    </row>
    <row r="9707" ht="15.75" customHeight="1">
      <c r="A9707" s="2">
        <v>2018.0</v>
      </c>
      <c r="B9707" s="2" t="s">
        <v>25899</v>
      </c>
      <c r="C9707" s="2" t="s">
        <v>25899</v>
      </c>
      <c r="D9707" s="2" t="str">
        <f>"5122522221"</f>
        <v>5122522221</v>
      </c>
      <c r="E9707" s="2" t="s">
        <v>144</v>
      </c>
      <c r="F9707" s="2" t="s">
        <v>1101</v>
      </c>
      <c r="G9707" s="2" t="str">
        <f>"SR-13645"</f>
        <v>SR-13645</v>
      </c>
      <c r="H9707" s="2" t="s">
        <v>39671</v>
      </c>
      <c r="I9707" s="2" t="s">
        <v>25901</v>
      </c>
      <c r="K9707" s="2" t="s">
        <v>13097</v>
      </c>
      <c r="L9707" s="2" t="s">
        <v>172</v>
      </c>
      <c r="M9707" s="2">
        <v>78660.0</v>
      </c>
      <c r="N9707" s="2" t="s">
        <v>21</v>
      </c>
    </row>
    <row r="9708" ht="15.75" customHeight="1">
      <c r="A9708" s="2">
        <v>2018.0</v>
      </c>
      <c r="B9708" s="2" t="s">
        <v>39672</v>
      </c>
      <c r="C9708" s="2" t="s">
        <v>39673</v>
      </c>
      <c r="D9708" s="2" t="str">
        <f>"228-297-9900"</f>
        <v>228-297-9900</v>
      </c>
      <c r="E9708" s="2" t="s">
        <v>36331</v>
      </c>
      <c r="F9708" s="2" t="s">
        <v>737</v>
      </c>
      <c r="G9708" s="2" t="str">
        <f>"SR-13560"</f>
        <v>SR-13560</v>
      </c>
      <c r="H9708" s="2" t="s">
        <v>39674</v>
      </c>
      <c r="I9708" s="2" t="s">
        <v>39675</v>
      </c>
      <c r="K9708" s="2" t="s">
        <v>39676</v>
      </c>
      <c r="L9708" s="2" t="s">
        <v>1722</v>
      </c>
      <c r="M9708" s="2">
        <v>39503.0</v>
      </c>
      <c r="N9708" s="2" t="s">
        <v>21</v>
      </c>
    </row>
    <row r="9709" ht="15.75" customHeight="1">
      <c r="A9709" s="2">
        <v>2018.0</v>
      </c>
      <c r="B9709" s="2" t="s">
        <v>31228</v>
      </c>
      <c r="C9709" s="2" t="s">
        <v>31235</v>
      </c>
      <c r="D9709" s="2" t="str">
        <f>"6494730086"</f>
        <v>6494730086</v>
      </c>
      <c r="E9709" s="2" t="s">
        <v>22910</v>
      </c>
      <c r="F9709" s="2" t="s">
        <v>24286</v>
      </c>
      <c r="G9709" s="2" t="str">
        <f>"SR-9896"</f>
        <v>SR-9896</v>
      </c>
      <c r="H9709" s="2" t="s">
        <v>31236</v>
      </c>
      <c r="I9709" s="2" t="s">
        <v>31231</v>
      </c>
      <c r="J9709" s="2" t="s">
        <v>31232</v>
      </c>
      <c r="K9709" s="2" t="s">
        <v>25356</v>
      </c>
      <c r="M9709" s="2">
        <v>630.0</v>
      </c>
      <c r="N9709" s="2" t="s">
        <v>702</v>
      </c>
    </row>
    <row r="9710" ht="15.75" customHeight="1">
      <c r="A9710" s="2">
        <v>2018.0</v>
      </c>
      <c r="B9710" s="2" t="s">
        <v>39677</v>
      </c>
      <c r="C9710" s="2" t="s">
        <v>39677</v>
      </c>
      <c r="D9710" s="2" t="str">
        <f>"2185910895"</f>
        <v>2185910895</v>
      </c>
      <c r="E9710" s="2" t="s">
        <v>282</v>
      </c>
      <c r="F9710" s="2" t="s">
        <v>94</v>
      </c>
      <c r="G9710" s="2" t="str">
        <f>"SR-13649"</f>
        <v>SR-13649</v>
      </c>
      <c r="H9710" s="2" t="s">
        <v>39678</v>
      </c>
      <c r="I9710" s="2" t="s">
        <v>39679</v>
      </c>
      <c r="K9710" s="2" t="s">
        <v>39680</v>
      </c>
      <c r="L9710" s="2" t="s">
        <v>193</v>
      </c>
      <c r="M9710" s="2">
        <v>54859.0</v>
      </c>
      <c r="N9710" s="2" t="s">
        <v>21</v>
      </c>
    </row>
    <row r="9711" ht="15.75" customHeight="1">
      <c r="A9711" s="2">
        <v>2018.0</v>
      </c>
      <c r="B9711" s="2" t="s">
        <v>39681</v>
      </c>
      <c r="C9711" s="2" t="s">
        <v>39681</v>
      </c>
      <c r="D9711" s="2" t="str">
        <f>"(218) 591-0895"</f>
        <v>(218) 591-0895</v>
      </c>
      <c r="E9711" s="2" t="s">
        <v>39039</v>
      </c>
      <c r="F9711" s="2" t="s">
        <v>94</v>
      </c>
      <c r="G9711" s="2" t="str">
        <f>"SR-13650"</f>
        <v>SR-13650</v>
      </c>
      <c r="H9711" s="2" t="s">
        <v>39682</v>
      </c>
      <c r="I9711" s="2" t="s">
        <v>39683</v>
      </c>
      <c r="K9711" s="2" t="s">
        <v>39680</v>
      </c>
      <c r="L9711" s="2" t="s">
        <v>193</v>
      </c>
      <c r="M9711" s="2">
        <v>54859.0</v>
      </c>
      <c r="N9711" s="2" t="s">
        <v>21</v>
      </c>
    </row>
    <row r="9712" ht="15.75" customHeight="1">
      <c r="A9712" s="2">
        <v>2018.0</v>
      </c>
      <c r="B9712" s="2" t="s">
        <v>39684</v>
      </c>
      <c r="C9712" s="2" t="s">
        <v>39685</v>
      </c>
      <c r="D9712" s="2" t="str">
        <f>"719-694-4177"</f>
        <v>719-694-4177</v>
      </c>
      <c r="E9712" s="2" t="s">
        <v>288</v>
      </c>
      <c r="F9712" s="2" t="s">
        <v>15730</v>
      </c>
      <c r="G9712" s="2" t="str">
        <f>"SR-13651"</f>
        <v>SR-13651</v>
      </c>
      <c r="H9712" s="2" t="s">
        <v>39686</v>
      </c>
      <c r="I9712" s="2" t="s">
        <v>20748</v>
      </c>
      <c r="K9712" s="2" t="s">
        <v>809</v>
      </c>
      <c r="L9712" s="2" t="s">
        <v>157</v>
      </c>
      <c r="M9712" s="2">
        <v>80920.0</v>
      </c>
      <c r="N9712" s="2" t="s">
        <v>21</v>
      </c>
    </row>
    <row r="9713" ht="15.75" customHeight="1">
      <c r="A9713" s="2">
        <v>2018.0</v>
      </c>
      <c r="B9713" s="2" t="s">
        <v>39687</v>
      </c>
      <c r="C9713" s="2" t="s">
        <v>39688</v>
      </c>
      <c r="D9713" s="2" t="str">
        <f>"8154518247"</f>
        <v>8154518247</v>
      </c>
      <c r="E9713" s="2" t="s">
        <v>955</v>
      </c>
      <c r="F9713" s="2" t="s">
        <v>9188</v>
      </c>
      <c r="G9713" s="2" t="str">
        <f>"SR-13640"</f>
        <v>SR-13640</v>
      </c>
      <c r="H9713" s="2" t="s">
        <v>39689</v>
      </c>
      <c r="I9713" s="2" t="s">
        <v>39690</v>
      </c>
      <c r="K9713" s="2" t="s">
        <v>39691</v>
      </c>
      <c r="L9713" s="2" t="s">
        <v>105</v>
      </c>
      <c r="M9713" s="2">
        <v>60050.0</v>
      </c>
      <c r="N9713" s="2" t="s">
        <v>21</v>
      </c>
    </row>
    <row r="9714" ht="15.75" customHeight="1">
      <c r="A9714" s="2">
        <v>2018.0</v>
      </c>
      <c r="B9714" s="2" t="s">
        <v>39692</v>
      </c>
      <c r="C9714" s="2" t="s">
        <v>39693</v>
      </c>
      <c r="D9714" s="2" t="str">
        <f>"8176026930"</f>
        <v>8176026930</v>
      </c>
      <c r="E9714" s="2" t="s">
        <v>17513</v>
      </c>
      <c r="F9714" s="2" t="s">
        <v>39694</v>
      </c>
      <c r="G9714" s="2" t="str">
        <f>"SR-12122"</f>
        <v>SR-12122</v>
      </c>
      <c r="H9714" s="2" t="s">
        <v>39695</v>
      </c>
      <c r="I9714" s="2" t="s">
        <v>39696</v>
      </c>
      <c r="K9714" s="2" t="s">
        <v>1260</v>
      </c>
      <c r="L9714" s="2" t="s">
        <v>172</v>
      </c>
      <c r="M9714" s="2">
        <v>76108.0</v>
      </c>
      <c r="N9714" s="2" t="s">
        <v>21</v>
      </c>
    </row>
    <row r="9715" ht="15.75" customHeight="1">
      <c r="A9715" s="2">
        <v>2018.0</v>
      </c>
      <c r="B9715" s="2" t="s">
        <v>39697</v>
      </c>
      <c r="C9715" s="2" t="s">
        <v>39697</v>
      </c>
      <c r="D9715" s="2" t="str">
        <f>"4067813463"</f>
        <v>4067813463</v>
      </c>
      <c r="E9715" s="2" t="s">
        <v>167</v>
      </c>
      <c r="F9715" s="2" t="s">
        <v>32474</v>
      </c>
      <c r="G9715" s="2" t="str">
        <f>"SR-13618"</f>
        <v>SR-13618</v>
      </c>
      <c r="H9715" s="2" t="s">
        <v>32475</v>
      </c>
      <c r="I9715" s="2" t="s">
        <v>39698</v>
      </c>
      <c r="K9715" s="2" t="s">
        <v>39699</v>
      </c>
      <c r="L9715" s="2" t="s">
        <v>2696</v>
      </c>
      <c r="M9715" s="2">
        <v>59414.0</v>
      </c>
      <c r="N9715" s="2" t="s">
        <v>21</v>
      </c>
    </row>
    <row r="9716" ht="15.75" customHeight="1">
      <c r="A9716" s="2">
        <v>2018.0</v>
      </c>
      <c r="B9716" s="2" t="s">
        <v>39700</v>
      </c>
      <c r="C9716" s="2" t="s">
        <v>39701</v>
      </c>
      <c r="D9716" s="2" t="str">
        <f>"210-289-7454"</f>
        <v>210-289-7454</v>
      </c>
      <c r="E9716" s="2" t="s">
        <v>137</v>
      </c>
      <c r="F9716" s="2" t="s">
        <v>457</v>
      </c>
      <c r="G9716" s="2" t="str">
        <f>"SR-13654"</f>
        <v>SR-13654</v>
      </c>
      <c r="H9716" s="2" t="s">
        <v>39702</v>
      </c>
      <c r="I9716" s="2" t="s">
        <v>39703</v>
      </c>
      <c r="K9716" s="2" t="s">
        <v>632</v>
      </c>
      <c r="L9716" s="2" t="s">
        <v>172</v>
      </c>
      <c r="M9716" s="2">
        <v>78248.0</v>
      </c>
      <c r="N9716" s="2" t="s">
        <v>21</v>
      </c>
    </row>
    <row r="9717" ht="15.75" customHeight="1">
      <c r="A9717" s="2">
        <v>2018.0</v>
      </c>
      <c r="B9717" s="2" t="s">
        <v>39704</v>
      </c>
      <c r="C9717" s="2" t="s">
        <v>39704</v>
      </c>
      <c r="D9717" s="2" t="str">
        <f>"612-385-4199"</f>
        <v>612-385-4199</v>
      </c>
      <c r="E9717" s="2" t="s">
        <v>678</v>
      </c>
      <c r="F9717" s="2" t="s">
        <v>39705</v>
      </c>
      <c r="G9717" s="2" t="str">
        <f>"SR-13655"</f>
        <v>SR-13655</v>
      </c>
      <c r="H9717" s="2" t="s">
        <v>39706</v>
      </c>
      <c r="I9717" s="2" t="s">
        <v>39707</v>
      </c>
      <c r="K9717" s="2" t="s">
        <v>1073</v>
      </c>
      <c r="L9717" s="2" t="s">
        <v>62</v>
      </c>
      <c r="M9717" s="2">
        <v>55417.0</v>
      </c>
      <c r="N9717" s="2" t="s">
        <v>21</v>
      </c>
    </row>
    <row r="9718" ht="15.75" customHeight="1">
      <c r="A9718" s="2">
        <v>2018.0</v>
      </c>
      <c r="B9718" s="2" t="s">
        <v>39708</v>
      </c>
      <c r="C9718" s="2" t="s">
        <v>39708</v>
      </c>
      <c r="D9718" s="2" t="str">
        <f>"8659084641"</f>
        <v>8659084641</v>
      </c>
      <c r="E9718" s="2" t="s">
        <v>3743</v>
      </c>
      <c r="F9718" s="2" t="s">
        <v>1151</v>
      </c>
      <c r="G9718" s="2" t="str">
        <f>"SR-13657"</f>
        <v>SR-13657</v>
      </c>
      <c r="H9718" s="2" t="s">
        <v>39709</v>
      </c>
      <c r="I9718" s="2" t="s">
        <v>39710</v>
      </c>
      <c r="K9718" s="2" t="s">
        <v>33997</v>
      </c>
      <c r="L9718" s="2" t="s">
        <v>279</v>
      </c>
      <c r="M9718" s="2">
        <v>37876.0</v>
      </c>
      <c r="N9718" s="2" t="s">
        <v>21</v>
      </c>
    </row>
    <row r="9719" ht="15.75" customHeight="1">
      <c r="A9719" s="2">
        <v>2018.0</v>
      </c>
      <c r="B9719" s="2" t="s">
        <v>26230</v>
      </c>
      <c r="C9719" s="2" t="s">
        <v>39711</v>
      </c>
      <c r="D9719" s="2" t="str">
        <f>"4793060309"</f>
        <v>4793060309</v>
      </c>
      <c r="E9719" s="2" t="s">
        <v>1810</v>
      </c>
      <c r="F9719" s="2" t="s">
        <v>4011</v>
      </c>
      <c r="G9719" s="2" t="str">
        <f>"SR-8836"</f>
        <v>SR-8836</v>
      </c>
      <c r="H9719" s="2" t="s">
        <v>39712</v>
      </c>
      <c r="I9719" s="2" t="s">
        <v>26233</v>
      </c>
      <c r="K9719" s="2" t="s">
        <v>26234</v>
      </c>
      <c r="L9719" s="2" t="s">
        <v>1012</v>
      </c>
      <c r="M9719" s="2">
        <v>72745.0</v>
      </c>
      <c r="N9719" s="2" t="s">
        <v>21</v>
      </c>
    </row>
    <row r="9720" ht="15.75" customHeight="1">
      <c r="A9720" s="2">
        <v>2018.0</v>
      </c>
      <c r="B9720" s="2" t="s">
        <v>39713</v>
      </c>
      <c r="C9720" s="2" t="s">
        <v>39714</v>
      </c>
      <c r="D9720" s="2" t="str">
        <f>"806-785-8785"</f>
        <v>806-785-8785</v>
      </c>
      <c r="E9720" s="2" t="s">
        <v>13300</v>
      </c>
      <c r="F9720" s="2" t="s">
        <v>984</v>
      </c>
      <c r="G9720" s="2" t="str">
        <f>"SR-13247"</f>
        <v>SR-13247</v>
      </c>
      <c r="H9720" s="2" t="s">
        <v>39715</v>
      </c>
      <c r="I9720" s="2" t="s">
        <v>39716</v>
      </c>
      <c r="K9720" s="2" t="s">
        <v>1121</v>
      </c>
      <c r="L9720" s="2" t="s">
        <v>172</v>
      </c>
      <c r="M9720" s="2">
        <v>79424.0</v>
      </c>
      <c r="N9720" s="2" t="s">
        <v>21</v>
      </c>
    </row>
    <row r="9721" ht="15.75" customHeight="1">
      <c r="A9721" s="2">
        <v>2018.0</v>
      </c>
      <c r="B9721" s="2" t="s">
        <v>39717</v>
      </c>
      <c r="C9721" s="2" t="s">
        <v>39717</v>
      </c>
      <c r="D9721" s="2" t="str">
        <f>"6124330088"</f>
        <v>6124330088</v>
      </c>
      <c r="E9721" s="2" t="s">
        <v>2031</v>
      </c>
      <c r="F9721" s="2" t="s">
        <v>1209</v>
      </c>
      <c r="G9721" s="2" t="str">
        <f>"SR-13659"</f>
        <v>SR-13659</v>
      </c>
      <c r="H9721" s="2" t="s">
        <v>39718</v>
      </c>
      <c r="I9721" s="2" t="s">
        <v>39719</v>
      </c>
      <c r="J9721" s="2" t="s">
        <v>39720</v>
      </c>
      <c r="K9721" s="2" t="s">
        <v>39721</v>
      </c>
      <c r="L9721" s="2" t="s">
        <v>62</v>
      </c>
      <c r="M9721" s="2">
        <v>55428.0</v>
      </c>
      <c r="N9721" s="2" t="s">
        <v>21</v>
      </c>
    </row>
    <row r="9722" ht="15.75" customHeight="1">
      <c r="A9722" s="2">
        <v>2018.0</v>
      </c>
      <c r="B9722" s="2" t="s">
        <v>35279</v>
      </c>
      <c r="C9722" s="2" t="s">
        <v>39722</v>
      </c>
      <c r="D9722" s="2" t="str">
        <f>"9412165843"</f>
        <v>9412165843</v>
      </c>
      <c r="E9722" s="2" t="s">
        <v>1015</v>
      </c>
      <c r="F9722" s="2" t="s">
        <v>35281</v>
      </c>
      <c r="G9722" s="2" t="str">
        <f>"SR-11351"</f>
        <v>SR-11351</v>
      </c>
      <c r="H9722" s="2" t="s">
        <v>39723</v>
      </c>
      <c r="I9722" s="2" t="s">
        <v>35283</v>
      </c>
      <c r="K9722" s="2" t="s">
        <v>35284</v>
      </c>
      <c r="L9722" s="2" t="s">
        <v>208</v>
      </c>
      <c r="M9722" s="2">
        <v>34207.0</v>
      </c>
      <c r="N9722" s="2" t="s">
        <v>21</v>
      </c>
    </row>
    <row r="9723" ht="15.75" customHeight="1">
      <c r="A9723" s="2">
        <v>2018.0</v>
      </c>
      <c r="B9723" s="2" t="s">
        <v>39724</v>
      </c>
      <c r="C9723" s="2" t="s">
        <v>39725</v>
      </c>
      <c r="D9723" s="2" t="str">
        <f>"3166527972"</f>
        <v>3166527972</v>
      </c>
      <c r="E9723" s="2" t="s">
        <v>36</v>
      </c>
      <c r="F9723" s="2" t="s">
        <v>39726</v>
      </c>
      <c r="G9723" s="2" t="str">
        <f>"SR-13661"</f>
        <v>SR-13661</v>
      </c>
      <c r="H9723" s="2" t="s">
        <v>39727</v>
      </c>
      <c r="I9723" s="2" t="s">
        <v>39728</v>
      </c>
      <c r="K9723" s="2" t="s">
        <v>606</v>
      </c>
      <c r="L9723" s="2" t="s">
        <v>272</v>
      </c>
      <c r="M9723" s="2">
        <v>67226.0</v>
      </c>
      <c r="N9723" s="2" t="s">
        <v>21</v>
      </c>
    </row>
    <row r="9724" ht="15.75" customHeight="1">
      <c r="A9724" s="2">
        <v>2018.0</v>
      </c>
      <c r="B9724" s="2" t="s">
        <v>34148</v>
      </c>
      <c r="C9724" s="2" t="s">
        <v>34148</v>
      </c>
      <c r="D9724" s="2" t="str">
        <f>"8063922956"</f>
        <v>8063922956</v>
      </c>
      <c r="E9724" s="2" t="s">
        <v>160</v>
      </c>
      <c r="F9724" s="2" t="s">
        <v>89</v>
      </c>
      <c r="G9724" s="2" t="str">
        <f>"SR-11088"</f>
        <v>SR-11088</v>
      </c>
      <c r="H9724" s="2" t="s">
        <v>34149</v>
      </c>
      <c r="I9724" s="2" t="s">
        <v>34150</v>
      </c>
      <c r="K9724" s="2" t="s">
        <v>1121</v>
      </c>
      <c r="L9724" s="2" t="s">
        <v>172</v>
      </c>
      <c r="M9724" s="2">
        <v>79413.0</v>
      </c>
      <c r="N9724" s="2" t="s">
        <v>21</v>
      </c>
    </row>
    <row r="9725" ht="15.75" customHeight="1">
      <c r="A9725" s="2">
        <v>2018.0</v>
      </c>
      <c r="B9725" s="2" t="s">
        <v>39729</v>
      </c>
      <c r="C9725" s="2" t="s">
        <v>39730</v>
      </c>
      <c r="D9725" s="2" t="str">
        <f>"806-392-6118"</f>
        <v>806-392-6118</v>
      </c>
      <c r="E9725" s="2" t="s">
        <v>678</v>
      </c>
      <c r="F9725" s="2" t="s">
        <v>89</v>
      </c>
      <c r="G9725" s="2" t="str">
        <f>"SR-11633"</f>
        <v>SR-11633</v>
      </c>
      <c r="H9725" s="2" t="s">
        <v>10714</v>
      </c>
      <c r="I9725" s="2" t="s">
        <v>34150</v>
      </c>
      <c r="K9725" s="2" t="s">
        <v>1121</v>
      </c>
      <c r="L9725" s="2" t="s">
        <v>172</v>
      </c>
      <c r="M9725" s="2">
        <v>79413.0</v>
      </c>
      <c r="N9725" s="2" t="s">
        <v>21</v>
      </c>
    </row>
    <row r="9726" ht="15.75" customHeight="1">
      <c r="A9726" s="2">
        <v>2018.0</v>
      </c>
      <c r="B9726" s="2" t="s">
        <v>35231</v>
      </c>
      <c r="C9726" s="2" t="s">
        <v>35232</v>
      </c>
      <c r="D9726" s="2" t="str">
        <f>"(309) 408-3865"</f>
        <v>(309) 408-3865</v>
      </c>
      <c r="E9726" s="2" t="s">
        <v>2412</v>
      </c>
      <c r="F9726" s="2" t="s">
        <v>31</v>
      </c>
      <c r="G9726" s="2" t="str">
        <f>"SR-11291"</f>
        <v>SR-11291</v>
      </c>
      <c r="H9726" s="2" t="s">
        <v>35233</v>
      </c>
      <c r="I9726" s="2" t="s">
        <v>35234</v>
      </c>
      <c r="K9726" s="2" t="s">
        <v>2732</v>
      </c>
      <c r="L9726" s="2" t="s">
        <v>105</v>
      </c>
      <c r="M9726" s="2">
        <v>61568.0</v>
      </c>
      <c r="N9726" s="2" t="s">
        <v>21</v>
      </c>
    </row>
    <row r="9727" ht="15.75" customHeight="1">
      <c r="A9727" s="2">
        <v>2018.0</v>
      </c>
      <c r="B9727" s="2" t="s">
        <v>39731</v>
      </c>
      <c r="D9727" s="2" t="str">
        <f>""</f>
        <v/>
      </c>
      <c r="E9727" s="2" t="s">
        <v>301</v>
      </c>
      <c r="F9727" s="2" t="s">
        <v>5396</v>
      </c>
      <c r="G9727" s="2" t="str">
        <f>"SR-11333"</f>
        <v>SR-11333</v>
      </c>
      <c r="H9727" s="2" t="s">
        <v>39732</v>
      </c>
      <c r="N9727" s="2" t="s">
        <v>21</v>
      </c>
    </row>
    <row r="9728" ht="15.75" customHeight="1">
      <c r="A9728" s="2">
        <v>2018.0</v>
      </c>
      <c r="B9728" s="2" t="s">
        <v>39733</v>
      </c>
      <c r="C9728" s="2" t="s">
        <v>39734</v>
      </c>
      <c r="D9728" s="2" t="str">
        <f>"515-318-4355"</f>
        <v>515-318-4355</v>
      </c>
      <c r="E9728" s="2" t="s">
        <v>1782</v>
      </c>
      <c r="F9728" s="2" t="s">
        <v>39735</v>
      </c>
      <c r="G9728" s="2" t="str">
        <f>"SR-13589"</f>
        <v>SR-13589</v>
      </c>
      <c r="H9728" s="2" t="s">
        <v>39736</v>
      </c>
      <c r="I9728" s="2" t="s">
        <v>39737</v>
      </c>
      <c r="K9728" s="2" t="s">
        <v>559</v>
      </c>
      <c r="L9728" s="2" t="s">
        <v>560</v>
      </c>
      <c r="M9728" s="2">
        <v>50023.0</v>
      </c>
      <c r="N9728" s="2" t="s">
        <v>21</v>
      </c>
    </row>
    <row r="9729" ht="15.75" customHeight="1">
      <c r="A9729" s="2">
        <v>2018.0</v>
      </c>
      <c r="B9729" s="2" t="s">
        <v>39738</v>
      </c>
      <c r="C9729" s="2" t="s">
        <v>39739</v>
      </c>
      <c r="D9729" s="2" t="str">
        <f>"479-567-6571"</f>
        <v>479-567-6571</v>
      </c>
      <c r="E9729" s="2" t="s">
        <v>2147</v>
      </c>
      <c r="F9729" s="2" t="s">
        <v>10566</v>
      </c>
      <c r="G9729" s="2" t="str">
        <f>"SR-13138"</f>
        <v>SR-13138</v>
      </c>
      <c r="H9729" s="2" t="s">
        <v>39740</v>
      </c>
      <c r="I9729" s="2" t="s">
        <v>20995</v>
      </c>
      <c r="K9729" s="2" t="s">
        <v>20965</v>
      </c>
      <c r="L9729" s="2" t="s">
        <v>1012</v>
      </c>
      <c r="M9729" s="2">
        <v>72801.0</v>
      </c>
      <c r="N9729" s="2" t="s">
        <v>21</v>
      </c>
    </row>
    <row r="9730" ht="15.75" customHeight="1">
      <c r="A9730" s="2">
        <v>2018.0</v>
      </c>
      <c r="B9730" s="2" t="s">
        <v>39738</v>
      </c>
      <c r="C9730" s="2" t="s">
        <v>39741</v>
      </c>
      <c r="D9730" s="2" t="str">
        <f>"501-952-8782"</f>
        <v>501-952-8782</v>
      </c>
      <c r="E9730" s="2" t="s">
        <v>1015</v>
      </c>
      <c r="F9730" s="2" t="s">
        <v>20957</v>
      </c>
      <c r="G9730" s="2" t="str">
        <f>"SR-13658"</f>
        <v>SR-13658</v>
      </c>
      <c r="H9730" s="2" t="s">
        <v>39742</v>
      </c>
      <c r="I9730" s="2" t="s">
        <v>20959</v>
      </c>
      <c r="K9730" s="2" t="s">
        <v>13103</v>
      </c>
      <c r="L9730" s="2" t="s">
        <v>1012</v>
      </c>
      <c r="M9730" s="2">
        <v>72847.0</v>
      </c>
      <c r="N9730" s="2" t="s">
        <v>21</v>
      </c>
    </row>
    <row r="9731" ht="15.75" customHeight="1">
      <c r="A9731" s="2">
        <v>2018.0</v>
      </c>
      <c r="B9731" s="2" t="s">
        <v>39743</v>
      </c>
      <c r="C9731" s="2" t="s">
        <v>39744</v>
      </c>
      <c r="D9731" s="2" t="str">
        <f>"320-733-2017"</f>
        <v>320-733-2017</v>
      </c>
      <c r="E9731" s="2" t="s">
        <v>72</v>
      </c>
      <c r="F9731" s="2" t="s">
        <v>14118</v>
      </c>
      <c r="G9731" s="2" t="str">
        <f>"SR-13663"</f>
        <v>SR-13663</v>
      </c>
      <c r="H9731" s="2" t="s">
        <v>39745</v>
      </c>
      <c r="I9731" s="2" t="s">
        <v>39746</v>
      </c>
      <c r="K9731" s="2" t="s">
        <v>39747</v>
      </c>
      <c r="L9731" s="2" t="s">
        <v>62</v>
      </c>
      <c r="M9731" s="2">
        <v>56345.0</v>
      </c>
      <c r="N9731" s="2" t="s">
        <v>21</v>
      </c>
    </row>
    <row r="9732" ht="15.75" customHeight="1">
      <c r="A9732" s="2">
        <v>2018.0</v>
      </c>
      <c r="B9732" s="2" t="s">
        <v>8489</v>
      </c>
      <c r="C9732" s="2" t="s">
        <v>39748</v>
      </c>
      <c r="D9732" s="2" t="str">
        <f t="shared" ref="D9732:D9733" si="163">"2082459365"</f>
        <v>2082459365</v>
      </c>
      <c r="E9732" s="2" t="s">
        <v>1015</v>
      </c>
      <c r="F9732" s="2" t="s">
        <v>8491</v>
      </c>
      <c r="G9732" s="2" t="str">
        <f>"SR-13545"</f>
        <v>SR-13545</v>
      </c>
      <c r="H9732" s="2" t="s">
        <v>39749</v>
      </c>
      <c r="I9732" s="2" t="s">
        <v>8493</v>
      </c>
      <c r="K9732" s="2" t="s">
        <v>8494</v>
      </c>
      <c r="L9732" s="2" t="s">
        <v>2613</v>
      </c>
      <c r="M9732" s="2">
        <v>83830.0</v>
      </c>
      <c r="N9732" s="2" t="s">
        <v>21</v>
      </c>
    </row>
    <row r="9733" ht="15.75" customHeight="1">
      <c r="A9733" s="2">
        <v>2018.0</v>
      </c>
      <c r="B9733" s="2" t="s">
        <v>8489</v>
      </c>
      <c r="C9733" s="2" t="s">
        <v>39750</v>
      </c>
      <c r="D9733" s="2" t="str">
        <f t="shared" si="163"/>
        <v>2082459365</v>
      </c>
      <c r="E9733" s="2" t="s">
        <v>250</v>
      </c>
      <c r="F9733" s="2" t="s">
        <v>8491</v>
      </c>
      <c r="G9733" s="2" t="str">
        <f>"SR-13547"</f>
        <v>SR-13547</v>
      </c>
      <c r="H9733" s="2" t="s">
        <v>39751</v>
      </c>
      <c r="I9733" s="2" t="s">
        <v>8493</v>
      </c>
      <c r="K9733" s="2" t="s">
        <v>8494</v>
      </c>
      <c r="L9733" s="2" t="s">
        <v>2613</v>
      </c>
      <c r="M9733" s="2">
        <v>83830.0</v>
      </c>
      <c r="N9733" s="2" t="s">
        <v>21</v>
      </c>
    </row>
    <row r="9734" ht="15.75" customHeight="1">
      <c r="A9734" s="2">
        <v>2018.0</v>
      </c>
      <c r="B9734" s="2" t="s">
        <v>39752</v>
      </c>
      <c r="C9734" s="2" t="s">
        <v>39752</v>
      </c>
      <c r="D9734" s="2" t="str">
        <f>"8654757032"</f>
        <v>8654757032</v>
      </c>
      <c r="E9734" s="2" t="s">
        <v>39753</v>
      </c>
      <c r="F9734" s="2" t="s">
        <v>14570</v>
      </c>
      <c r="G9734" s="2" t="str">
        <f>"SR-13632"</f>
        <v>SR-13632</v>
      </c>
      <c r="H9734" s="2" t="s">
        <v>39754</v>
      </c>
      <c r="I9734" s="2" t="s">
        <v>25435</v>
      </c>
      <c r="K9734" s="2" t="s">
        <v>25436</v>
      </c>
      <c r="L9734" s="2" t="s">
        <v>279</v>
      </c>
      <c r="M9734" s="2">
        <v>37760.0</v>
      </c>
      <c r="N9734" s="2" t="s">
        <v>21</v>
      </c>
    </row>
    <row r="9735" ht="15.75" customHeight="1">
      <c r="A9735" s="2">
        <v>2018.0</v>
      </c>
      <c r="B9735" s="2" t="s">
        <v>39755</v>
      </c>
      <c r="C9735" s="2" t="s">
        <v>39755</v>
      </c>
      <c r="D9735" s="2" t="str">
        <f>"402-590-3010"</f>
        <v>402-590-3010</v>
      </c>
      <c r="E9735" s="2" t="s">
        <v>39756</v>
      </c>
      <c r="F9735" s="2" t="s">
        <v>39757</v>
      </c>
      <c r="G9735" s="2" t="str">
        <f>"SR-13616"</f>
        <v>SR-13616</v>
      </c>
      <c r="H9735" s="2" t="s">
        <v>39758</v>
      </c>
      <c r="I9735" s="2" t="s">
        <v>39759</v>
      </c>
      <c r="K9735" s="2" t="s">
        <v>632</v>
      </c>
      <c r="L9735" s="2" t="s">
        <v>172</v>
      </c>
      <c r="M9735" s="2">
        <v>78259.0</v>
      </c>
      <c r="N9735" s="2" t="s">
        <v>21</v>
      </c>
    </row>
    <row r="9736" ht="15.75" customHeight="1">
      <c r="A9736" s="2">
        <v>2018.0</v>
      </c>
      <c r="B9736" s="2" t="s">
        <v>39760</v>
      </c>
      <c r="C9736" s="2" t="s">
        <v>39761</v>
      </c>
      <c r="D9736" s="2" t="str">
        <f>"8032800398"</f>
        <v>8032800398</v>
      </c>
      <c r="E9736" s="2" t="s">
        <v>3597</v>
      </c>
      <c r="F9736" s="2" t="s">
        <v>39762</v>
      </c>
      <c r="G9736" s="2" t="str">
        <f>"SR-13506"</f>
        <v>SR-13506</v>
      </c>
      <c r="H9736" s="2" t="s">
        <v>39763</v>
      </c>
      <c r="I9736" s="2" t="s">
        <v>39764</v>
      </c>
      <c r="K9736" s="2" t="s">
        <v>632</v>
      </c>
      <c r="L9736" s="2" t="s">
        <v>172</v>
      </c>
      <c r="M9736" s="2">
        <v>78253.0</v>
      </c>
      <c r="N9736" s="2" t="s">
        <v>21</v>
      </c>
    </row>
    <row r="9737" ht="15.75" customHeight="1">
      <c r="A9737" s="2">
        <v>2018.0</v>
      </c>
      <c r="B9737" s="2" t="s">
        <v>39765</v>
      </c>
      <c r="C9737" s="2" t="s">
        <v>39766</v>
      </c>
      <c r="D9737" s="2" t="str">
        <f>"8434690331"</f>
        <v>8434690331</v>
      </c>
      <c r="E9737" s="2" t="s">
        <v>534</v>
      </c>
      <c r="F9737" s="2" t="s">
        <v>2771</v>
      </c>
      <c r="G9737" s="2" t="str">
        <f>"SR-13243"</f>
        <v>SR-13243</v>
      </c>
      <c r="H9737" s="2" t="s">
        <v>39767</v>
      </c>
      <c r="I9737" s="2" t="s">
        <v>39768</v>
      </c>
      <c r="K9737" s="2" t="s">
        <v>19068</v>
      </c>
      <c r="L9737" s="2" t="s">
        <v>200</v>
      </c>
      <c r="M9737" s="2">
        <v>30813.0</v>
      </c>
      <c r="N9737" s="2" t="s">
        <v>21</v>
      </c>
    </row>
    <row r="9738" ht="15.75" customHeight="1">
      <c r="A9738" s="2">
        <v>2018.0</v>
      </c>
      <c r="B9738" s="2" t="s">
        <v>33266</v>
      </c>
      <c r="C9738" s="2" t="s">
        <v>33267</v>
      </c>
      <c r="D9738" s="2" t="str">
        <f>"843-408-1350"</f>
        <v>843-408-1350</v>
      </c>
      <c r="E9738" s="2" t="s">
        <v>3878</v>
      </c>
      <c r="F9738" s="2" t="s">
        <v>1929</v>
      </c>
      <c r="G9738" s="2" t="str">
        <f>"SR-9779"</f>
        <v>SR-9779</v>
      </c>
      <c r="H9738" s="2" t="s">
        <v>33268</v>
      </c>
      <c r="I9738" s="2" t="s">
        <v>1931</v>
      </c>
      <c r="K9738" s="2" t="s">
        <v>1932</v>
      </c>
      <c r="L9738" s="2" t="s">
        <v>55</v>
      </c>
      <c r="M9738" s="2">
        <v>29485.0</v>
      </c>
      <c r="N9738" s="2" t="s">
        <v>21</v>
      </c>
    </row>
    <row r="9739" ht="15.75" customHeight="1">
      <c r="A9739" s="2">
        <v>2018.0</v>
      </c>
      <c r="B9739" s="2" t="s">
        <v>25069</v>
      </c>
      <c r="C9739" s="2" t="s">
        <v>25070</v>
      </c>
      <c r="D9739" s="2" t="str">
        <f>"808-679-5808"</f>
        <v>808-679-5808</v>
      </c>
      <c r="E9739" s="2" t="s">
        <v>2243</v>
      </c>
      <c r="F9739" s="2" t="s">
        <v>25071</v>
      </c>
      <c r="G9739" s="2" t="str">
        <f>"SR-7927"</f>
        <v>SR-7927</v>
      </c>
      <c r="H9739" s="2" t="s">
        <v>25072</v>
      </c>
      <c r="I9739" s="2" t="s">
        <v>25073</v>
      </c>
      <c r="K9739" s="2" t="s">
        <v>7776</v>
      </c>
      <c r="L9739" s="2" t="s">
        <v>770</v>
      </c>
      <c r="M9739" s="2">
        <v>96816.0</v>
      </c>
      <c r="N9739" s="2" t="s">
        <v>21</v>
      </c>
    </row>
    <row r="9740" ht="15.75" customHeight="1">
      <c r="A9740" s="2">
        <v>2018.0</v>
      </c>
      <c r="B9740" s="2" t="s">
        <v>39769</v>
      </c>
      <c r="C9740" s="2" t="s">
        <v>39770</v>
      </c>
      <c r="D9740" s="2" t="str">
        <f>"7632276700"</f>
        <v>7632276700</v>
      </c>
      <c r="E9740" s="2" t="s">
        <v>493</v>
      </c>
      <c r="F9740" s="2" t="s">
        <v>3411</v>
      </c>
      <c r="G9740" s="2" t="str">
        <f>"SR-13677"</f>
        <v>SR-13677</v>
      </c>
      <c r="H9740" s="2" t="s">
        <v>39771</v>
      </c>
      <c r="I9740" s="2" t="s">
        <v>39772</v>
      </c>
      <c r="K9740" s="2" t="s">
        <v>8609</v>
      </c>
      <c r="L9740" s="2" t="s">
        <v>62</v>
      </c>
      <c r="M9740" s="2">
        <v>55369.0</v>
      </c>
      <c r="N9740" s="2" t="s">
        <v>21</v>
      </c>
    </row>
    <row r="9741" ht="15.75" customHeight="1">
      <c r="A9741" s="2">
        <v>2018.0</v>
      </c>
      <c r="B9741" s="2" t="s">
        <v>39773</v>
      </c>
      <c r="C9741" s="2" t="s">
        <v>39774</v>
      </c>
      <c r="D9741" s="2" t="str">
        <f>"(970)593-0546"</f>
        <v>(970)593-0546</v>
      </c>
      <c r="E9741" s="2" t="s">
        <v>17850</v>
      </c>
      <c r="F9741" s="2" t="s">
        <v>39775</v>
      </c>
      <c r="G9741" s="2" t="str">
        <f>"SR-13676"</f>
        <v>SR-13676</v>
      </c>
      <c r="H9741" s="2" t="s">
        <v>39776</v>
      </c>
      <c r="I9741" s="2" t="s">
        <v>39777</v>
      </c>
      <c r="K9741" s="2" t="s">
        <v>1048</v>
      </c>
      <c r="L9741" s="2" t="s">
        <v>157</v>
      </c>
      <c r="M9741" s="2">
        <v>80538.0</v>
      </c>
      <c r="N9741" s="2" t="s">
        <v>21</v>
      </c>
    </row>
    <row r="9742" ht="15.75" customHeight="1">
      <c r="A9742" s="2">
        <v>2018.0</v>
      </c>
      <c r="B9742" s="2" t="s">
        <v>26476</v>
      </c>
      <c r="C9742" s="2" t="s">
        <v>26477</v>
      </c>
      <c r="D9742" s="2" t="str">
        <f>"713-443-7203"</f>
        <v>713-443-7203</v>
      </c>
      <c r="E9742" s="2" t="s">
        <v>5760</v>
      </c>
      <c r="F9742" s="2" t="s">
        <v>1040</v>
      </c>
      <c r="G9742" s="2" t="str">
        <f>"SR-8369"</f>
        <v>SR-8369</v>
      </c>
      <c r="H9742" s="2" t="s">
        <v>26478</v>
      </c>
      <c r="I9742" s="2" t="s">
        <v>26479</v>
      </c>
      <c r="K9742" s="2" t="s">
        <v>538</v>
      </c>
      <c r="L9742" s="2" t="s">
        <v>172</v>
      </c>
      <c r="M9742" s="2">
        <v>77356.0</v>
      </c>
      <c r="N9742" s="2" t="s">
        <v>21</v>
      </c>
    </row>
    <row r="9743" ht="15.75" customHeight="1">
      <c r="A9743" s="2">
        <v>2018.0</v>
      </c>
      <c r="B9743" s="2" t="s">
        <v>39778</v>
      </c>
      <c r="C9743" s="2" t="s">
        <v>39779</v>
      </c>
      <c r="D9743" s="2" t="str">
        <f>"541-543-1877"</f>
        <v>541-543-1877</v>
      </c>
      <c r="E9743" s="2" t="s">
        <v>6244</v>
      </c>
      <c r="F9743" s="2" t="s">
        <v>2251</v>
      </c>
      <c r="G9743" s="2" t="str">
        <f>"SR-13683"</f>
        <v>SR-13683</v>
      </c>
      <c r="H9743" s="2" t="s">
        <v>39780</v>
      </c>
      <c r="I9743" s="2" t="s">
        <v>39781</v>
      </c>
      <c r="K9743" s="2" t="s">
        <v>39782</v>
      </c>
      <c r="L9743" s="2" t="s">
        <v>2389</v>
      </c>
      <c r="M9743" s="2">
        <v>97333.0</v>
      </c>
      <c r="N9743" s="2" t="s">
        <v>21</v>
      </c>
    </row>
    <row r="9744" ht="15.75" customHeight="1">
      <c r="A9744" s="2">
        <v>2018.0</v>
      </c>
      <c r="B9744" s="2" t="s">
        <v>30835</v>
      </c>
      <c r="C9744" s="2" t="s">
        <v>30836</v>
      </c>
      <c r="D9744" s="2" t="str">
        <f>"740-369-5475"</f>
        <v>740-369-5475</v>
      </c>
      <c r="E9744" s="2" t="s">
        <v>261</v>
      </c>
      <c r="F9744" s="2" t="s">
        <v>30837</v>
      </c>
      <c r="G9744" s="2" t="str">
        <f>"SR-9832"</f>
        <v>SR-9832</v>
      </c>
      <c r="H9744" s="2" t="s">
        <v>30838</v>
      </c>
      <c r="I9744" s="2" t="s">
        <v>30839</v>
      </c>
      <c r="K9744" s="2" t="s">
        <v>10756</v>
      </c>
      <c r="L9744" s="2" t="s">
        <v>344</v>
      </c>
      <c r="M9744" s="2">
        <v>43015.0</v>
      </c>
      <c r="N9744" s="2" t="s">
        <v>21</v>
      </c>
    </row>
    <row r="9745" ht="15.75" customHeight="1">
      <c r="A9745" s="2">
        <v>2018.0</v>
      </c>
      <c r="B9745" s="2" t="s">
        <v>39783</v>
      </c>
      <c r="C9745" s="2" t="s">
        <v>39783</v>
      </c>
      <c r="D9745" s="2" t="str">
        <f>"706-340-5324"</f>
        <v>706-340-5324</v>
      </c>
      <c r="E9745" s="2" t="s">
        <v>4763</v>
      </c>
      <c r="F9745" s="2" t="s">
        <v>39784</v>
      </c>
      <c r="G9745" s="2" t="str">
        <f>"SR-13443"</f>
        <v>SR-13443</v>
      </c>
      <c r="H9745" s="2" t="s">
        <v>39785</v>
      </c>
      <c r="I9745" s="2" t="s">
        <v>39786</v>
      </c>
      <c r="K9745" s="2" t="s">
        <v>1064</v>
      </c>
      <c r="L9745" s="2" t="s">
        <v>200</v>
      </c>
      <c r="M9745" s="2">
        <v>30646.0</v>
      </c>
      <c r="N9745" s="2" t="s">
        <v>21</v>
      </c>
    </row>
    <row r="9746" ht="15.75" customHeight="1">
      <c r="A9746" s="2">
        <v>2018.0</v>
      </c>
      <c r="B9746" s="2" t="s">
        <v>39787</v>
      </c>
      <c r="C9746" s="2" t="s">
        <v>39788</v>
      </c>
      <c r="D9746" s="2" t="str">
        <f>"6028008350"</f>
        <v>6028008350</v>
      </c>
      <c r="E9746" s="2" t="s">
        <v>4322</v>
      </c>
      <c r="F9746" s="2" t="s">
        <v>31</v>
      </c>
      <c r="G9746" s="2" t="str">
        <f>"SR-13611"</f>
        <v>SR-13611</v>
      </c>
      <c r="H9746" s="2" t="s">
        <v>39789</v>
      </c>
      <c r="I9746" s="2" t="s">
        <v>39790</v>
      </c>
      <c r="K9746" s="2" t="s">
        <v>104</v>
      </c>
      <c r="L9746" s="2" t="s">
        <v>422</v>
      </c>
      <c r="M9746" s="2">
        <v>85383.0</v>
      </c>
      <c r="N9746" s="2" t="s">
        <v>21</v>
      </c>
    </row>
    <row r="9747" ht="15.75" customHeight="1">
      <c r="A9747" s="2">
        <v>2018.0</v>
      </c>
      <c r="B9747" s="2" t="s">
        <v>39791</v>
      </c>
      <c r="C9747" s="2" t="s">
        <v>39791</v>
      </c>
      <c r="D9747" s="2" t="str">
        <f>"3193437915"</f>
        <v>3193437915</v>
      </c>
      <c r="E9747" s="2" t="s">
        <v>72</v>
      </c>
      <c r="F9747" s="2" t="s">
        <v>8713</v>
      </c>
      <c r="G9747" s="2" t="str">
        <f>"SR-13688"</f>
        <v>SR-13688</v>
      </c>
      <c r="H9747" s="2" t="s">
        <v>39792</v>
      </c>
      <c r="I9747" s="2" t="s">
        <v>39793</v>
      </c>
      <c r="K9747" s="2" t="s">
        <v>17466</v>
      </c>
      <c r="L9747" s="2" t="s">
        <v>560</v>
      </c>
      <c r="M9747" s="2">
        <v>52213.0</v>
      </c>
      <c r="N9747" s="2" t="s">
        <v>21</v>
      </c>
    </row>
    <row r="9748" ht="15.75" customHeight="1">
      <c r="A9748" s="2">
        <v>2018.0</v>
      </c>
      <c r="B9748" s="2" t="s">
        <v>39794</v>
      </c>
      <c r="C9748" s="2" t="s">
        <v>39794</v>
      </c>
      <c r="D9748" s="2" t="str">
        <f>"360-388-7435"</f>
        <v>360-388-7435</v>
      </c>
      <c r="E9748" s="2" t="s">
        <v>3434</v>
      </c>
      <c r="F9748" s="2" t="s">
        <v>39795</v>
      </c>
      <c r="G9748" s="2" t="str">
        <f>"SR-13685"</f>
        <v>SR-13685</v>
      </c>
      <c r="H9748" s="2" t="s">
        <v>39796</v>
      </c>
      <c r="I9748" s="2" t="s">
        <v>39797</v>
      </c>
      <c r="K9748" s="2" t="s">
        <v>39798</v>
      </c>
      <c r="L9748" s="2" t="s">
        <v>86</v>
      </c>
      <c r="M9748" s="2">
        <v>98564.0</v>
      </c>
      <c r="N9748" s="2" t="s">
        <v>21</v>
      </c>
    </row>
    <row r="9749" ht="15.75" customHeight="1">
      <c r="A9749" s="2">
        <v>2018.0</v>
      </c>
      <c r="B9749" s="2" t="s">
        <v>10472</v>
      </c>
      <c r="C9749" s="2" t="s">
        <v>29886</v>
      </c>
      <c r="D9749" s="2" t="str">
        <f>"410-652-3425"</f>
        <v>410-652-3425</v>
      </c>
      <c r="E9749" s="2" t="s">
        <v>72</v>
      </c>
      <c r="F9749" s="2" t="s">
        <v>10474</v>
      </c>
      <c r="G9749" s="2" t="str">
        <f>"SR-9293"</f>
        <v>SR-9293</v>
      </c>
      <c r="H9749" s="2" t="s">
        <v>29887</v>
      </c>
      <c r="I9749" s="2" t="s">
        <v>29888</v>
      </c>
      <c r="K9749" s="2" t="s">
        <v>6168</v>
      </c>
      <c r="L9749" s="2" t="s">
        <v>279</v>
      </c>
      <c r="M9749" s="2">
        <v>37922.0</v>
      </c>
      <c r="N9749" s="2" t="s">
        <v>21</v>
      </c>
    </row>
    <row r="9750" ht="15.75" customHeight="1">
      <c r="A9750" s="2">
        <v>2018.0</v>
      </c>
      <c r="B9750" s="2" t="s">
        <v>30835</v>
      </c>
      <c r="C9750" s="2" t="s">
        <v>39799</v>
      </c>
      <c r="D9750" s="2" t="str">
        <f>"740-369-5475"</f>
        <v>740-369-5475</v>
      </c>
      <c r="E9750" s="2" t="s">
        <v>225</v>
      </c>
      <c r="F9750" s="2" t="s">
        <v>30837</v>
      </c>
      <c r="G9750" s="2" t="str">
        <f>"SR-13687"</f>
        <v>SR-13687</v>
      </c>
      <c r="H9750" s="2" t="s">
        <v>39800</v>
      </c>
      <c r="I9750" s="2" t="s">
        <v>39801</v>
      </c>
      <c r="K9750" s="2" t="s">
        <v>10756</v>
      </c>
      <c r="L9750" s="2" t="s">
        <v>344</v>
      </c>
      <c r="M9750" s="2">
        <v>43015.0</v>
      </c>
      <c r="N9750" s="2" t="s">
        <v>21</v>
      </c>
    </row>
    <row r="9751" ht="15.75" customHeight="1">
      <c r="A9751" s="2">
        <v>2018.0</v>
      </c>
      <c r="B9751" s="2" t="s">
        <v>27524</v>
      </c>
      <c r="C9751" s="2" t="s">
        <v>27525</v>
      </c>
      <c r="D9751" s="2" t="str">
        <f>"704-843-5325"</f>
        <v>704-843-5325</v>
      </c>
      <c r="E9751" s="2" t="s">
        <v>4300</v>
      </c>
      <c r="F9751" s="2" t="s">
        <v>4484</v>
      </c>
      <c r="G9751" s="2" t="str">
        <f>"SR-8660"</f>
        <v>SR-8660</v>
      </c>
      <c r="H9751" s="2" t="s">
        <v>27526</v>
      </c>
      <c r="I9751" s="2" t="s">
        <v>27527</v>
      </c>
      <c r="K9751" s="2" t="s">
        <v>4304</v>
      </c>
      <c r="L9751" s="2" t="s">
        <v>20</v>
      </c>
      <c r="M9751" s="2">
        <v>28173.0</v>
      </c>
      <c r="N9751" s="2" t="s">
        <v>21</v>
      </c>
    </row>
    <row r="9752" ht="15.75" customHeight="1">
      <c r="A9752" s="2">
        <v>2018.0</v>
      </c>
      <c r="B9752" s="2" t="s">
        <v>39802</v>
      </c>
      <c r="C9752" s="2" t="s">
        <v>39803</v>
      </c>
      <c r="D9752" s="2" t="str">
        <f>"410-305-0022"</f>
        <v>410-305-0022</v>
      </c>
      <c r="E9752" s="2" t="s">
        <v>1263</v>
      </c>
      <c r="F9752" s="2" t="s">
        <v>21947</v>
      </c>
      <c r="G9752" s="2" t="str">
        <f>"SR-13584"</f>
        <v>SR-13584</v>
      </c>
      <c r="H9752" s="2" t="s">
        <v>39804</v>
      </c>
      <c r="I9752" s="2" t="s">
        <v>39805</v>
      </c>
      <c r="K9752" s="2" t="s">
        <v>39806</v>
      </c>
      <c r="L9752" s="2" t="s">
        <v>1868</v>
      </c>
      <c r="M9752" s="2">
        <v>21144.0</v>
      </c>
      <c r="N9752" s="2" t="s">
        <v>21</v>
      </c>
    </row>
    <row r="9753" ht="15.75" customHeight="1">
      <c r="A9753" s="2">
        <v>2018.0</v>
      </c>
      <c r="B9753" s="2" t="s">
        <v>39807</v>
      </c>
      <c r="D9753" s="2" t="str">
        <f t="shared" ref="D9753:D9754" si="164">""</f>
        <v/>
      </c>
      <c r="E9753" s="2" t="s">
        <v>11010</v>
      </c>
      <c r="F9753" s="2" t="s">
        <v>39808</v>
      </c>
      <c r="G9753" s="2" t="str">
        <f>"SR-13693"</f>
        <v>SR-13693</v>
      </c>
      <c r="H9753" s="2" t="s">
        <v>39809</v>
      </c>
      <c r="N9753" s="2" t="s">
        <v>21</v>
      </c>
    </row>
    <row r="9754" ht="15.75" customHeight="1">
      <c r="A9754" s="2">
        <v>2018.0</v>
      </c>
      <c r="B9754" s="2" t="s">
        <v>32473</v>
      </c>
      <c r="D9754" s="2" t="str">
        <f t="shared" si="164"/>
        <v/>
      </c>
      <c r="E9754" s="2" t="s">
        <v>10929</v>
      </c>
      <c r="F9754" s="2" t="s">
        <v>32474</v>
      </c>
      <c r="G9754" s="2" t="str">
        <f>"SR-13638"</f>
        <v>SR-13638</v>
      </c>
      <c r="H9754" s="2" t="s">
        <v>39810</v>
      </c>
      <c r="N9754" s="2" t="s">
        <v>21</v>
      </c>
    </row>
    <row r="9755" ht="15.75" customHeight="1">
      <c r="A9755" s="2">
        <v>2018.0</v>
      </c>
      <c r="B9755" s="2" t="s">
        <v>39811</v>
      </c>
      <c r="C9755" s="2" t="s">
        <v>39812</v>
      </c>
      <c r="D9755" s="2" t="str">
        <f>"+61434196829"</f>
        <v>+61434196829</v>
      </c>
      <c r="E9755" s="2" t="s">
        <v>261</v>
      </c>
      <c r="F9755" s="2" t="s">
        <v>39813</v>
      </c>
      <c r="G9755" s="2" t="str">
        <f>"SR-13428"</f>
        <v>SR-13428</v>
      </c>
      <c r="H9755" s="2" t="s">
        <v>39814</v>
      </c>
      <c r="I9755" s="2" t="s">
        <v>39815</v>
      </c>
      <c r="K9755" s="2" t="s">
        <v>39816</v>
      </c>
      <c r="L9755" s="2" t="s">
        <v>39817</v>
      </c>
      <c r="M9755" s="2">
        <v>3156.0</v>
      </c>
      <c r="N9755" s="2" t="s">
        <v>4442</v>
      </c>
    </row>
    <row r="9756" ht="15.75" customHeight="1">
      <c r="A9756" s="2">
        <v>2018.0</v>
      </c>
      <c r="B9756" s="2" t="s">
        <v>39818</v>
      </c>
      <c r="C9756" s="2" t="s">
        <v>39819</v>
      </c>
      <c r="D9756" s="2" t="str">
        <f>"317-518-5745"</f>
        <v>317-518-5745</v>
      </c>
      <c r="E9756" s="2" t="s">
        <v>4935</v>
      </c>
      <c r="F9756" s="2" t="s">
        <v>10706</v>
      </c>
      <c r="G9756" s="2" t="str">
        <f>"SR-13548"</f>
        <v>SR-13548</v>
      </c>
      <c r="H9756" s="2" t="s">
        <v>39820</v>
      </c>
      <c r="I9756" s="2" t="s">
        <v>39821</v>
      </c>
      <c r="K9756" s="2" t="s">
        <v>2660</v>
      </c>
      <c r="L9756" s="2" t="s">
        <v>149</v>
      </c>
      <c r="M9756" s="2">
        <v>46038.0</v>
      </c>
      <c r="N9756" s="2" t="s">
        <v>21</v>
      </c>
    </row>
    <row r="9757" ht="15.75" customHeight="1">
      <c r="A9757" s="2">
        <v>2018.0</v>
      </c>
      <c r="B9757" s="2" t="s">
        <v>39818</v>
      </c>
      <c r="C9757" s="2" t="s">
        <v>39822</v>
      </c>
      <c r="D9757" s="2" t="str">
        <f>"3177961614"</f>
        <v>3177961614</v>
      </c>
      <c r="E9757" s="2" t="s">
        <v>39823</v>
      </c>
      <c r="F9757" s="2" t="s">
        <v>39824</v>
      </c>
      <c r="G9757" s="2" t="str">
        <f>"SR-13549"</f>
        <v>SR-13549</v>
      </c>
      <c r="H9757" s="2" t="s">
        <v>39825</v>
      </c>
      <c r="I9757" s="2" t="s">
        <v>39826</v>
      </c>
      <c r="K9757" s="2" t="s">
        <v>1188</v>
      </c>
      <c r="L9757" s="2" t="s">
        <v>149</v>
      </c>
      <c r="M9757" s="2">
        <v>46256.0</v>
      </c>
      <c r="N9757" s="2" t="s">
        <v>21</v>
      </c>
    </row>
    <row r="9758" ht="15.75" customHeight="1">
      <c r="A9758" s="2">
        <v>2018.0</v>
      </c>
      <c r="B9758" s="2" t="s">
        <v>39827</v>
      </c>
      <c r="C9758" s="2" t="s">
        <v>39828</v>
      </c>
      <c r="D9758" s="2" t="str">
        <f>"7122236126"</f>
        <v>7122236126</v>
      </c>
      <c r="E9758" s="2" t="s">
        <v>1918</v>
      </c>
      <c r="F9758" s="2" t="s">
        <v>10257</v>
      </c>
      <c r="G9758" s="2" t="str">
        <f>"SR-13697"</f>
        <v>SR-13697</v>
      </c>
      <c r="H9758" s="2" t="s">
        <v>39829</v>
      </c>
      <c r="I9758" s="2" t="s">
        <v>39830</v>
      </c>
      <c r="K9758" s="2" t="s">
        <v>3392</v>
      </c>
      <c r="L9758" s="2" t="s">
        <v>272</v>
      </c>
      <c r="M9758" s="2">
        <v>66411.0</v>
      </c>
      <c r="N9758" s="2" t="s">
        <v>21</v>
      </c>
    </row>
    <row r="9759" ht="15.75" customHeight="1">
      <c r="A9759" s="2">
        <v>2018.0</v>
      </c>
      <c r="B9759" s="2" t="s">
        <v>39831</v>
      </c>
      <c r="C9759" s="2" t="s">
        <v>39831</v>
      </c>
      <c r="D9759" s="2" t="str">
        <f>"3137902682"</f>
        <v>3137902682</v>
      </c>
      <c r="E9759" s="2" t="s">
        <v>39832</v>
      </c>
      <c r="F9759" s="2" t="s">
        <v>39833</v>
      </c>
      <c r="G9759" s="2" t="str">
        <f>"SR-13516"</f>
        <v>SR-13516</v>
      </c>
      <c r="H9759" s="2" t="s">
        <v>39834</v>
      </c>
      <c r="I9759" s="2" t="s">
        <v>39835</v>
      </c>
      <c r="K9759" s="2" t="s">
        <v>39836</v>
      </c>
      <c r="L9759" s="2" t="s">
        <v>29</v>
      </c>
      <c r="M9759" s="2">
        <v>48195.0</v>
      </c>
      <c r="N9759" s="2" t="s">
        <v>21</v>
      </c>
    </row>
    <row r="9760" ht="15.75" customHeight="1">
      <c r="A9760" s="2">
        <v>2018.0</v>
      </c>
      <c r="B9760" s="2" t="s">
        <v>39837</v>
      </c>
      <c r="C9760" s="2" t="s">
        <v>39838</v>
      </c>
      <c r="D9760" s="2" t="str">
        <f>"505-228-9749"</f>
        <v>505-228-9749</v>
      </c>
      <c r="E9760" s="2" t="s">
        <v>9182</v>
      </c>
      <c r="F9760" s="2" t="s">
        <v>39839</v>
      </c>
      <c r="G9760" s="2" t="str">
        <f>"SR-13698"</f>
        <v>SR-13698</v>
      </c>
      <c r="H9760" s="2" t="s">
        <v>39840</v>
      </c>
      <c r="I9760" s="2" t="s">
        <v>39841</v>
      </c>
      <c r="K9760" s="2" t="s">
        <v>5341</v>
      </c>
      <c r="L9760" s="2" t="s">
        <v>789</v>
      </c>
      <c r="M9760" s="2">
        <v>87047.0</v>
      </c>
      <c r="N9760" s="2" t="s">
        <v>21</v>
      </c>
    </row>
    <row r="9761" ht="15.75" customHeight="1">
      <c r="A9761" s="2">
        <v>2018.0</v>
      </c>
      <c r="B9761" s="2" t="s">
        <v>23301</v>
      </c>
      <c r="C9761" s="2" t="s">
        <v>23302</v>
      </c>
      <c r="D9761" s="2" t="str">
        <f>"7082099696"</f>
        <v>7082099696</v>
      </c>
      <c r="E9761" s="2" t="s">
        <v>6937</v>
      </c>
      <c r="F9761" s="2" t="s">
        <v>23303</v>
      </c>
      <c r="G9761" s="2" t="str">
        <f>"SR-7267"</f>
        <v>SR-7267</v>
      </c>
      <c r="H9761" s="2" t="s">
        <v>23304</v>
      </c>
      <c r="I9761" s="2" t="s">
        <v>23305</v>
      </c>
      <c r="K9761" s="2" t="s">
        <v>23306</v>
      </c>
      <c r="L9761" s="2" t="s">
        <v>105</v>
      </c>
      <c r="M9761" s="2">
        <v>60510.0</v>
      </c>
      <c r="N9761" s="2" t="s">
        <v>21</v>
      </c>
    </row>
    <row r="9762" ht="15.75" customHeight="1">
      <c r="A9762" s="2">
        <v>2018.0</v>
      </c>
      <c r="B9762" s="2" t="s">
        <v>39842</v>
      </c>
      <c r="C9762" s="2" t="s">
        <v>39843</v>
      </c>
      <c r="D9762" s="2" t="str">
        <f>"9367772991"</f>
        <v>9367772991</v>
      </c>
      <c r="E9762" s="2" t="s">
        <v>1274</v>
      </c>
      <c r="F9762" s="2" t="s">
        <v>645</v>
      </c>
      <c r="G9762" s="2" t="str">
        <f>"SR-13221"</f>
        <v>SR-13221</v>
      </c>
      <c r="H9762" s="2" t="s">
        <v>39844</v>
      </c>
      <c r="I9762" s="2" t="s">
        <v>39845</v>
      </c>
      <c r="K9762" s="2" t="s">
        <v>9614</v>
      </c>
      <c r="L9762" s="2" t="s">
        <v>172</v>
      </c>
      <c r="M9762" s="2">
        <v>77304.0</v>
      </c>
      <c r="N9762" s="2" t="s">
        <v>21</v>
      </c>
    </row>
    <row r="9763" ht="15.75" customHeight="1">
      <c r="A9763" s="2">
        <v>2018.0</v>
      </c>
      <c r="B9763" s="2" t="s">
        <v>23202</v>
      </c>
      <c r="C9763" s="2" t="s">
        <v>23203</v>
      </c>
      <c r="D9763" s="2" t="str">
        <f>"337-202-9402"</f>
        <v>337-202-9402</v>
      </c>
      <c r="E9763" s="2" t="s">
        <v>503</v>
      </c>
      <c r="F9763" s="2" t="s">
        <v>1988</v>
      </c>
      <c r="G9763" s="2" t="str">
        <f>"SR-7177"</f>
        <v>SR-7177</v>
      </c>
      <c r="H9763" s="2" t="s">
        <v>23204</v>
      </c>
      <c r="I9763" s="2" t="s">
        <v>23205</v>
      </c>
      <c r="K9763" s="2" t="s">
        <v>3037</v>
      </c>
      <c r="L9763" s="2" t="s">
        <v>715</v>
      </c>
      <c r="M9763" s="2">
        <v>70644.0</v>
      </c>
      <c r="N9763" s="2" t="s">
        <v>21</v>
      </c>
    </row>
    <row r="9764" ht="15.75" customHeight="1">
      <c r="A9764" s="2">
        <v>2018.0</v>
      </c>
      <c r="B9764" s="2" t="s">
        <v>39846</v>
      </c>
      <c r="C9764" s="2" t="s">
        <v>39847</v>
      </c>
      <c r="D9764" s="2" t="str">
        <f>"4327707288"</f>
        <v>4327707288</v>
      </c>
      <c r="E9764" s="2" t="s">
        <v>5906</v>
      </c>
      <c r="F9764" s="2" t="s">
        <v>6494</v>
      </c>
      <c r="G9764" s="2" t="str">
        <f>"SR-13703"</f>
        <v>SR-13703</v>
      </c>
      <c r="H9764" s="2" t="s">
        <v>33461</v>
      </c>
      <c r="I9764" s="2" t="s">
        <v>39848</v>
      </c>
      <c r="K9764" s="2" t="s">
        <v>286</v>
      </c>
      <c r="L9764" s="2" t="s">
        <v>172</v>
      </c>
      <c r="M9764" s="2">
        <v>79706.0</v>
      </c>
      <c r="N9764" s="2" t="s">
        <v>21</v>
      </c>
    </row>
    <row r="9765" ht="15.75" customHeight="1">
      <c r="A9765" s="2">
        <v>2018.0</v>
      </c>
      <c r="B9765" s="2" t="s">
        <v>30835</v>
      </c>
      <c r="C9765" s="2" t="s">
        <v>39849</v>
      </c>
      <c r="D9765" s="2" t="str">
        <f>"740-369-5475"</f>
        <v>740-369-5475</v>
      </c>
      <c r="E9765" s="2" t="s">
        <v>485</v>
      </c>
      <c r="F9765" s="2" t="s">
        <v>30837</v>
      </c>
      <c r="G9765" s="2" t="str">
        <f>"SR-13686"</f>
        <v>SR-13686</v>
      </c>
      <c r="H9765" s="2" t="s">
        <v>39850</v>
      </c>
      <c r="I9765" s="2" t="s">
        <v>30839</v>
      </c>
      <c r="K9765" s="2" t="s">
        <v>10756</v>
      </c>
      <c r="L9765" s="2" t="s">
        <v>344</v>
      </c>
      <c r="M9765" s="2">
        <v>43015.0</v>
      </c>
      <c r="N9765" s="2" t="s">
        <v>21</v>
      </c>
    </row>
    <row r="9766" ht="15.75" customHeight="1">
      <c r="A9766" s="2">
        <v>2018.0</v>
      </c>
      <c r="B9766" s="2" t="s">
        <v>3224</v>
      </c>
      <c r="C9766" s="2" t="s">
        <v>39851</v>
      </c>
      <c r="D9766" s="2" t="str">
        <f>"513-658-3668"</f>
        <v>513-658-3668</v>
      </c>
      <c r="E9766" s="2" t="s">
        <v>678</v>
      </c>
      <c r="F9766" s="2" t="s">
        <v>3226</v>
      </c>
      <c r="G9766" s="2" t="str">
        <f>"SR-13705"</f>
        <v>SR-13705</v>
      </c>
      <c r="H9766" s="2" t="s">
        <v>39852</v>
      </c>
      <c r="I9766" s="2" t="s">
        <v>18474</v>
      </c>
      <c r="K9766" s="2" t="s">
        <v>3229</v>
      </c>
      <c r="L9766" s="2" t="s">
        <v>344</v>
      </c>
      <c r="M9766" s="2">
        <v>45036.0</v>
      </c>
      <c r="N9766" s="2" t="s">
        <v>21</v>
      </c>
    </row>
    <row r="9767" ht="15.75" customHeight="1">
      <c r="A9767" s="2">
        <v>2018.0</v>
      </c>
      <c r="B9767" s="2" t="s">
        <v>39853</v>
      </c>
      <c r="C9767" s="2" t="s">
        <v>39854</v>
      </c>
      <c r="D9767" s="2" t="str">
        <f>"6618584884"</f>
        <v>6618584884</v>
      </c>
      <c r="E9767" s="2" t="s">
        <v>1257</v>
      </c>
      <c r="F9767" s="2" t="s">
        <v>3320</v>
      </c>
      <c r="G9767" s="2" t="str">
        <f>"SR-13706"</f>
        <v>SR-13706</v>
      </c>
      <c r="H9767" s="2" t="s">
        <v>22534</v>
      </c>
      <c r="I9767" s="2" t="s">
        <v>39855</v>
      </c>
      <c r="K9767" s="2" t="s">
        <v>9614</v>
      </c>
      <c r="L9767" s="2" t="s">
        <v>172</v>
      </c>
      <c r="M9767" s="2">
        <v>77306.0</v>
      </c>
      <c r="N9767" s="2" t="s">
        <v>21</v>
      </c>
    </row>
    <row r="9768" ht="15.75" customHeight="1">
      <c r="A9768" s="2">
        <v>2018.0</v>
      </c>
      <c r="B9768" s="2" t="s">
        <v>39856</v>
      </c>
      <c r="C9768" s="2" t="s">
        <v>39856</v>
      </c>
      <c r="D9768" s="2" t="str">
        <f>"8065494079"</f>
        <v>8065494079</v>
      </c>
      <c r="E9768" s="2" t="s">
        <v>39857</v>
      </c>
      <c r="F9768" s="2" t="s">
        <v>39858</v>
      </c>
      <c r="G9768" s="2" t="str">
        <f>"SR-13707"</f>
        <v>SR-13707</v>
      </c>
      <c r="H9768" s="2" t="s">
        <v>39859</v>
      </c>
      <c r="I9768" s="2" t="s">
        <v>39860</v>
      </c>
      <c r="K9768" s="2" t="s">
        <v>29088</v>
      </c>
      <c r="L9768" s="2" t="s">
        <v>172</v>
      </c>
      <c r="M9768" s="2">
        <v>79424.0</v>
      </c>
      <c r="N9768" s="2" t="s">
        <v>21</v>
      </c>
    </row>
    <row r="9769" ht="15.75" customHeight="1">
      <c r="A9769" s="2">
        <v>2018.0</v>
      </c>
      <c r="B9769" s="2" t="s">
        <v>34891</v>
      </c>
      <c r="D9769" s="2" t="str">
        <f>""</f>
        <v/>
      </c>
      <c r="E9769" s="2" t="s">
        <v>167</v>
      </c>
      <c r="F9769" s="2" t="s">
        <v>34892</v>
      </c>
      <c r="G9769" s="2" t="str">
        <f>"SR-11183"</f>
        <v>SR-11183</v>
      </c>
      <c r="H9769" s="2" t="s">
        <v>34893</v>
      </c>
    </row>
    <row r="9770" ht="15.75" customHeight="1">
      <c r="A9770" s="2">
        <v>2018.0</v>
      </c>
      <c r="B9770" s="2" t="s">
        <v>39861</v>
      </c>
      <c r="C9770" s="2" t="s">
        <v>39861</v>
      </c>
      <c r="D9770" s="2" t="str">
        <f>"(719)-229-9481"</f>
        <v>(719)-229-9481</v>
      </c>
      <c r="E9770" s="2" t="s">
        <v>167</v>
      </c>
      <c r="F9770" s="2" t="s">
        <v>39862</v>
      </c>
      <c r="G9770" s="2" t="str">
        <f>"SR-13713"</f>
        <v>SR-13713</v>
      </c>
      <c r="H9770" s="2" t="s">
        <v>39863</v>
      </c>
      <c r="I9770" s="2" t="s">
        <v>39864</v>
      </c>
      <c r="K9770" s="2" t="s">
        <v>809</v>
      </c>
      <c r="L9770" s="2" t="s">
        <v>157</v>
      </c>
      <c r="M9770" s="2">
        <v>80923.0</v>
      </c>
      <c r="N9770" s="2" t="s">
        <v>21</v>
      </c>
    </row>
    <row r="9771" ht="15.75" customHeight="1">
      <c r="A9771" s="2">
        <v>2018.0</v>
      </c>
      <c r="B9771" s="2" t="s">
        <v>27729</v>
      </c>
      <c r="C9771" s="2" t="s">
        <v>39865</v>
      </c>
      <c r="D9771" s="2" t="str">
        <f>"281-416-2383"</f>
        <v>281-416-2383</v>
      </c>
      <c r="E9771" s="2" t="s">
        <v>167</v>
      </c>
      <c r="F9771" s="2" t="s">
        <v>9244</v>
      </c>
      <c r="G9771" s="2" t="str">
        <f>"SR-13699"</f>
        <v>SR-13699</v>
      </c>
      <c r="H9771" s="2" t="s">
        <v>39866</v>
      </c>
      <c r="I9771" s="2" t="s">
        <v>27732</v>
      </c>
      <c r="K9771" s="2" t="s">
        <v>27733</v>
      </c>
      <c r="L9771" s="2" t="s">
        <v>172</v>
      </c>
      <c r="M9771" s="2">
        <v>77459.0</v>
      </c>
      <c r="N9771" s="2" t="s">
        <v>21</v>
      </c>
    </row>
    <row r="9772" ht="15.75" customHeight="1">
      <c r="A9772" s="2">
        <v>2018.0</v>
      </c>
      <c r="B9772" s="2" t="s">
        <v>3962</v>
      </c>
      <c r="C9772" s="2" t="s">
        <v>39867</v>
      </c>
      <c r="D9772" s="2" t="str">
        <f>"813-957-3367"</f>
        <v>813-957-3367</v>
      </c>
      <c r="E9772" s="2" t="s">
        <v>6561</v>
      </c>
      <c r="F9772" s="2" t="s">
        <v>3964</v>
      </c>
      <c r="G9772" s="2" t="str">
        <f>"SR-13716"</f>
        <v>SR-13716</v>
      </c>
      <c r="H9772" s="2" t="s">
        <v>39868</v>
      </c>
      <c r="I9772" s="2" t="s">
        <v>3966</v>
      </c>
      <c r="K9772" s="2" t="s">
        <v>3431</v>
      </c>
      <c r="L9772" s="2" t="s">
        <v>208</v>
      </c>
      <c r="M9772" s="2">
        <v>33629.0</v>
      </c>
      <c r="N9772" s="2" t="s">
        <v>21</v>
      </c>
    </row>
    <row r="9773" ht="15.75" customHeight="1">
      <c r="A9773" s="2">
        <v>2018.0</v>
      </c>
      <c r="B9773" s="2" t="s">
        <v>39869</v>
      </c>
      <c r="C9773" s="2" t="s">
        <v>39869</v>
      </c>
      <c r="D9773" s="2" t="str">
        <f>"248-969-9444"</f>
        <v>248-969-9444</v>
      </c>
      <c r="E9773" s="2" t="s">
        <v>1015</v>
      </c>
      <c r="F9773" s="2" t="s">
        <v>39870</v>
      </c>
      <c r="G9773" s="2" t="str">
        <f>"SR-13715"</f>
        <v>SR-13715</v>
      </c>
      <c r="H9773" s="2" t="s">
        <v>39871</v>
      </c>
      <c r="I9773" s="2" t="s">
        <v>39872</v>
      </c>
      <c r="K9773" s="2" t="s">
        <v>32045</v>
      </c>
      <c r="L9773" s="2" t="s">
        <v>29</v>
      </c>
      <c r="M9773" s="2">
        <v>48455.0</v>
      </c>
      <c r="N9773" s="2" t="s">
        <v>21</v>
      </c>
    </row>
    <row r="9774" ht="15.75" customHeight="1">
      <c r="A9774" s="2">
        <v>2018.0</v>
      </c>
      <c r="B9774" s="2" t="s">
        <v>39873</v>
      </c>
      <c r="C9774" s="2" t="s">
        <v>39874</v>
      </c>
      <c r="D9774" s="2" t="str">
        <f>"8067733199"</f>
        <v>8067733199</v>
      </c>
      <c r="E9774" s="2" t="s">
        <v>39875</v>
      </c>
      <c r="F9774" s="2" t="s">
        <v>9600</v>
      </c>
      <c r="G9774" s="2" t="str">
        <f>"SR-13717"</f>
        <v>SR-13717</v>
      </c>
      <c r="H9774" s="2" t="s">
        <v>39876</v>
      </c>
      <c r="I9774" s="2" t="s">
        <v>39877</v>
      </c>
      <c r="K9774" s="2" t="s">
        <v>1121</v>
      </c>
      <c r="L9774" s="2" t="s">
        <v>172</v>
      </c>
      <c r="M9774" s="2">
        <v>79423.0</v>
      </c>
      <c r="N9774" s="2" t="s">
        <v>21</v>
      </c>
    </row>
    <row r="9775" ht="15.75" customHeight="1">
      <c r="A9775" s="2">
        <v>2018.0</v>
      </c>
      <c r="B9775" s="2" t="s">
        <v>16429</v>
      </c>
      <c r="C9775" s="2" t="s">
        <v>39878</v>
      </c>
      <c r="D9775" s="2" t="str">
        <f>"765-729-6590"</f>
        <v>765-729-6590</v>
      </c>
      <c r="E9775" s="2" t="s">
        <v>339</v>
      </c>
      <c r="F9775" s="2" t="s">
        <v>16431</v>
      </c>
      <c r="G9775" s="2" t="str">
        <f>"SR-13690"</f>
        <v>SR-13690</v>
      </c>
      <c r="H9775" s="2" t="s">
        <v>39879</v>
      </c>
      <c r="I9775" s="2" t="s">
        <v>16433</v>
      </c>
      <c r="K9775" s="2" t="s">
        <v>16434</v>
      </c>
      <c r="L9775" s="2" t="s">
        <v>149</v>
      </c>
      <c r="M9775" s="2">
        <v>47304.0</v>
      </c>
      <c r="N9775" s="2" t="s">
        <v>21</v>
      </c>
    </row>
    <row r="9776" ht="15.75" customHeight="1">
      <c r="A9776" s="2">
        <v>2018.0</v>
      </c>
      <c r="B9776" s="2" t="s">
        <v>30835</v>
      </c>
      <c r="C9776" s="2" t="s">
        <v>39880</v>
      </c>
      <c r="D9776" s="2" t="str">
        <f>"740-369-5475"</f>
        <v>740-369-5475</v>
      </c>
      <c r="E9776" s="2" t="s">
        <v>1548</v>
      </c>
      <c r="F9776" s="2" t="s">
        <v>30837</v>
      </c>
      <c r="G9776" s="2" t="str">
        <f>"SR-13339"</f>
        <v>SR-13339</v>
      </c>
      <c r="H9776" s="2" t="s">
        <v>39881</v>
      </c>
      <c r="I9776" s="2" t="s">
        <v>39801</v>
      </c>
      <c r="K9776" s="2" t="s">
        <v>10756</v>
      </c>
      <c r="L9776" s="2" t="s">
        <v>344</v>
      </c>
      <c r="M9776" s="2">
        <v>43015.0</v>
      </c>
      <c r="N9776" s="2" t="s">
        <v>21</v>
      </c>
    </row>
    <row r="9777" ht="15.75" customHeight="1">
      <c r="A9777" s="2">
        <v>2018.0</v>
      </c>
      <c r="B9777" s="2" t="s">
        <v>39882</v>
      </c>
      <c r="C9777" s="2" t="s">
        <v>39883</v>
      </c>
      <c r="D9777" s="2" t="str">
        <f>"7403621850"</f>
        <v>7403621850</v>
      </c>
      <c r="E9777" s="2" t="s">
        <v>1278</v>
      </c>
      <c r="F9777" s="2" t="s">
        <v>39884</v>
      </c>
      <c r="G9777" s="2" t="str">
        <f>"SR-13724"</f>
        <v>SR-13724</v>
      </c>
      <c r="H9777" s="2" t="s">
        <v>39885</v>
      </c>
      <c r="I9777" s="2" t="s">
        <v>39886</v>
      </c>
      <c r="K9777" s="2" t="s">
        <v>10756</v>
      </c>
      <c r="L9777" s="2" t="s">
        <v>344</v>
      </c>
      <c r="M9777" s="2">
        <v>43015.0</v>
      </c>
      <c r="N9777" s="2" t="s">
        <v>21</v>
      </c>
    </row>
    <row r="9778" ht="15.75" customHeight="1">
      <c r="A9778" s="2">
        <v>2018.0</v>
      </c>
      <c r="B9778" s="2" t="s">
        <v>39887</v>
      </c>
      <c r="C9778" s="2" t="s">
        <v>39888</v>
      </c>
      <c r="D9778" s="2" t="str">
        <f>"8067879454"</f>
        <v>8067879454</v>
      </c>
      <c r="E9778" s="2" t="s">
        <v>26211</v>
      </c>
      <c r="F9778" s="2" t="s">
        <v>3561</v>
      </c>
      <c r="G9778" s="2" t="str">
        <f>"SR-13727"</f>
        <v>SR-13727</v>
      </c>
      <c r="H9778" s="2" t="s">
        <v>39889</v>
      </c>
      <c r="I9778" s="2" t="s">
        <v>39890</v>
      </c>
      <c r="K9778" s="2" t="s">
        <v>1121</v>
      </c>
      <c r="L9778" s="2" t="s">
        <v>172</v>
      </c>
      <c r="M9778" s="2">
        <v>79424.0</v>
      </c>
      <c r="N9778" s="2" t="s">
        <v>21</v>
      </c>
    </row>
    <row r="9779" ht="15.75" customHeight="1">
      <c r="A9779" s="2">
        <v>2018.0</v>
      </c>
      <c r="B9779" s="2" t="s">
        <v>37050</v>
      </c>
      <c r="C9779" s="2" t="s">
        <v>37050</v>
      </c>
      <c r="D9779" s="2" t="str">
        <f>"(440)554-4654"</f>
        <v>(440)554-4654</v>
      </c>
      <c r="E9779" s="2" t="s">
        <v>2314</v>
      </c>
      <c r="F9779" s="2" t="s">
        <v>15674</v>
      </c>
      <c r="G9779" s="2" t="str">
        <f>"SR-10115"</f>
        <v>SR-10115</v>
      </c>
      <c r="H9779" s="2" t="s">
        <v>37051</v>
      </c>
      <c r="I9779" s="2" t="s">
        <v>37052</v>
      </c>
      <c r="K9779" s="2" t="s">
        <v>37053</v>
      </c>
      <c r="L9779" s="2" t="s">
        <v>344</v>
      </c>
      <c r="M9779" s="2">
        <v>44133.0</v>
      </c>
      <c r="N9779" s="2" t="s">
        <v>21</v>
      </c>
    </row>
    <row r="9780" ht="15.75" customHeight="1">
      <c r="A9780" s="2">
        <v>2018.0</v>
      </c>
      <c r="B9780" s="2" t="s">
        <v>34580</v>
      </c>
      <c r="C9780" s="2" t="s">
        <v>39891</v>
      </c>
      <c r="D9780" s="2" t="str">
        <f>"6035696267"</f>
        <v>6035696267</v>
      </c>
      <c r="E9780" s="2" t="s">
        <v>1251</v>
      </c>
      <c r="F9780" s="2" t="s">
        <v>34581</v>
      </c>
      <c r="G9780" s="2" t="str">
        <f>"SR-13718"</f>
        <v>SR-13718</v>
      </c>
      <c r="H9780" s="2" t="s">
        <v>39892</v>
      </c>
      <c r="I9780" s="2" t="s">
        <v>34583</v>
      </c>
      <c r="K9780" s="2" t="s">
        <v>25308</v>
      </c>
      <c r="L9780" s="2" t="s">
        <v>19930</v>
      </c>
      <c r="M9780" s="2">
        <v>3809.0</v>
      </c>
      <c r="N9780" s="2" t="s">
        <v>21</v>
      </c>
    </row>
    <row r="9781" ht="15.75" customHeight="1">
      <c r="A9781" s="2">
        <v>2018.0</v>
      </c>
      <c r="B9781" s="2" t="s">
        <v>39893</v>
      </c>
      <c r="C9781" s="2" t="s">
        <v>39893</v>
      </c>
      <c r="D9781" s="2" t="str">
        <f>"719-424-8648"</f>
        <v>719-424-8648</v>
      </c>
      <c r="E9781" s="2" t="s">
        <v>50</v>
      </c>
      <c r="F9781" s="2" t="s">
        <v>2598</v>
      </c>
      <c r="G9781" s="2" t="str">
        <f>"SR-13729"</f>
        <v>SR-13729</v>
      </c>
      <c r="H9781" s="2" t="s">
        <v>5392</v>
      </c>
      <c r="I9781" s="2" t="s">
        <v>39894</v>
      </c>
      <c r="K9781" s="2" t="s">
        <v>809</v>
      </c>
      <c r="L9781" s="2" t="s">
        <v>157</v>
      </c>
      <c r="M9781" s="2">
        <v>80906.0</v>
      </c>
      <c r="N9781" s="2" t="s">
        <v>21</v>
      </c>
    </row>
    <row r="9782" ht="15.75" customHeight="1">
      <c r="A9782" s="2">
        <v>2018.0</v>
      </c>
      <c r="B9782" s="2" t="s">
        <v>39895</v>
      </c>
      <c r="C9782" s="2" t="s">
        <v>39895</v>
      </c>
      <c r="D9782" s="2" t="str">
        <f>"443-760-5021"</f>
        <v>443-760-5021</v>
      </c>
      <c r="E9782" s="2" t="s">
        <v>14532</v>
      </c>
      <c r="F9782" s="2" t="s">
        <v>19919</v>
      </c>
      <c r="G9782" s="2" t="str">
        <f>"SR-13391"</f>
        <v>SR-13391</v>
      </c>
      <c r="H9782" s="2" t="s">
        <v>39896</v>
      </c>
      <c r="I9782" s="2" t="s">
        <v>39897</v>
      </c>
      <c r="K9782" s="2" t="s">
        <v>18168</v>
      </c>
      <c r="L9782" s="2" t="s">
        <v>1868</v>
      </c>
      <c r="M9782" s="2">
        <v>21234.0</v>
      </c>
      <c r="N9782" s="2" t="s">
        <v>21</v>
      </c>
    </row>
    <row r="9783" ht="15.75" customHeight="1">
      <c r="A9783" s="2">
        <v>2018.0</v>
      </c>
      <c r="B9783" s="2" t="s">
        <v>32473</v>
      </c>
      <c r="C9783" s="2" t="s">
        <v>39898</v>
      </c>
      <c r="D9783" s="2" t="str">
        <f>"406-217-6268"</f>
        <v>406-217-6268</v>
      </c>
      <c r="E9783" s="2" t="s">
        <v>503</v>
      </c>
      <c r="F9783" s="2" t="s">
        <v>32474</v>
      </c>
      <c r="G9783" s="2" t="str">
        <f>"SR-13646"</f>
        <v>SR-13646</v>
      </c>
      <c r="H9783" s="2" t="s">
        <v>39899</v>
      </c>
      <c r="I9783" s="2" t="s">
        <v>39698</v>
      </c>
      <c r="K9783" s="2" t="s">
        <v>39699</v>
      </c>
      <c r="L9783" s="2" t="s">
        <v>2696</v>
      </c>
      <c r="M9783" s="2">
        <v>59414.0</v>
      </c>
      <c r="N9783" s="2" t="s">
        <v>21</v>
      </c>
    </row>
    <row r="9784" ht="15.75" customHeight="1">
      <c r="A9784" s="2">
        <v>2018.0</v>
      </c>
      <c r="B9784" s="2" t="s">
        <v>39900</v>
      </c>
      <c r="C9784" s="2" t="s">
        <v>39901</v>
      </c>
      <c r="D9784" s="2" t="str">
        <f>"9032858551"</f>
        <v>9032858551</v>
      </c>
      <c r="E9784" s="2" t="s">
        <v>5335</v>
      </c>
      <c r="F9784" s="2" t="s">
        <v>39902</v>
      </c>
      <c r="G9784" s="2" t="str">
        <f>"SR-13730"</f>
        <v>SR-13730</v>
      </c>
      <c r="H9784" s="2" t="s">
        <v>39903</v>
      </c>
      <c r="I9784" s="2" t="s">
        <v>39904</v>
      </c>
      <c r="K9784" s="2" t="s">
        <v>6615</v>
      </c>
      <c r="L9784" s="2" t="s">
        <v>172</v>
      </c>
      <c r="M9784" s="2">
        <v>75457.0</v>
      </c>
      <c r="N9784" s="2" t="s">
        <v>21</v>
      </c>
    </row>
    <row r="9785" ht="15.75" customHeight="1">
      <c r="A9785" s="2">
        <v>2018.0</v>
      </c>
      <c r="B9785" s="2" t="s">
        <v>39905</v>
      </c>
      <c r="C9785" s="2" t="s">
        <v>39906</v>
      </c>
      <c r="D9785" s="2" t="str">
        <f>"6055436414"</f>
        <v>6055436414</v>
      </c>
      <c r="E9785" s="2" t="s">
        <v>596</v>
      </c>
      <c r="F9785" s="2" t="s">
        <v>39907</v>
      </c>
      <c r="G9785" s="2" t="str">
        <f>"SR-13662"</f>
        <v>SR-13662</v>
      </c>
      <c r="H9785" s="2" t="s">
        <v>39908</v>
      </c>
      <c r="I9785" s="2" t="s">
        <v>39909</v>
      </c>
      <c r="K9785" s="2" t="s">
        <v>39910</v>
      </c>
      <c r="L9785" s="2" t="s">
        <v>920</v>
      </c>
      <c r="M9785" s="2">
        <v>57107.0</v>
      </c>
      <c r="N9785" s="2" t="s">
        <v>21</v>
      </c>
    </row>
    <row r="9786" ht="15.75" customHeight="1">
      <c r="A9786" s="2">
        <v>2018.0</v>
      </c>
      <c r="B9786" s="2" t="s">
        <v>39911</v>
      </c>
      <c r="C9786" s="2" t="s">
        <v>39912</v>
      </c>
      <c r="D9786" s="2" t="str">
        <f>"8184145883"</f>
        <v>8184145883</v>
      </c>
      <c r="E9786" s="2" t="s">
        <v>4491</v>
      </c>
      <c r="F9786" s="2" t="s">
        <v>3212</v>
      </c>
      <c r="G9786" s="2" t="str">
        <f>"SR-13732"</f>
        <v>SR-13732</v>
      </c>
      <c r="H9786" s="2" t="s">
        <v>39913</v>
      </c>
      <c r="I9786" s="2" t="s">
        <v>39914</v>
      </c>
      <c r="K9786" s="2" t="s">
        <v>39915</v>
      </c>
      <c r="L9786" s="2" t="s">
        <v>222</v>
      </c>
      <c r="M9786" s="2">
        <v>91364.0</v>
      </c>
      <c r="N9786" s="2" t="s">
        <v>21</v>
      </c>
    </row>
    <row r="9787" ht="15.75" customHeight="1">
      <c r="A9787" s="2">
        <v>2018.0</v>
      </c>
      <c r="B9787" s="2" t="s">
        <v>28021</v>
      </c>
      <c r="C9787" s="2" t="s">
        <v>30291</v>
      </c>
      <c r="D9787" s="2" t="str">
        <f>"316-209-3915"</f>
        <v>316-209-3915</v>
      </c>
      <c r="E9787" s="2" t="s">
        <v>453</v>
      </c>
      <c r="F9787" s="2" t="s">
        <v>28024</v>
      </c>
      <c r="G9787" s="2" t="str">
        <f>"SR-10918"</f>
        <v>SR-10918</v>
      </c>
      <c r="H9787" s="2" t="s">
        <v>33500</v>
      </c>
      <c r="I9787" s="2" t="s">
        <v>33501</v>
      </c>
      <c r="K9787" s="2" t="s">
        <v>6539</v>
      </c>
      <c r="L9787" s="2" t="s">
        <v>172</v>
      </c>
      <c r="M9787" s="2">
        <v>76210.0</v>
      </c>
      <c r="N9787" s="2" t="s">
        <v>21</v>
      </c>
    </row>
    <row r="9788" ht="15.75" customHeight="1">
      <c r="A9788" s="2">
        <v>2018.0</v>
      </c>
      <c r="B9788" s="2" t="s">
        <v>39916</v>
      </c>
      <c r="C9788" s="2" t="s">
        <v>39917</v>
      </c>
      <c r="D9788" s="2" t="str">
        <f>"3073678119"</f>
        <v>3073678119</v>
      </c>
      <c r="E9788" s="2" t="s">
        <v>386</v>
      </c>
      <c r="F9788" s="2" t="s">
        <v>39918</v>
      </c>
      <c r="G9788" s="2" t="str">
        <f>"SR-13570"</f>
        <v>SR-13570</v>
      </c>
      <c r="H9788" s="2" t="s">
        <v>39919</v>
      </c>
      <c r="I9788" s="2" t="s">
        <v>39920</v>
      </c>
      <c r="J9788" s="2" t="s">
        <v>39921</v>
      </c>
      <c r="K9788" s="2" t="s">
        <v>39922</v>
      </c>
      <c r="L9788" s="2" t="s">
        <v>1540</v>
      </c>
      <c r="M9788" s="2">
        <v>82941.0</v>
      </c>
      <c r="N9788" s="2" t="s">
        <v>21</v>
      </c>
    </row>
    <row r="9789" ht="15.75" customHeight="1">
      <c r="A9789" s="2">
        <v>2018.0</v>
      </c>
      <c r="B9789" s="2" t="s">
        <v>39923</v>
      </c>
      <c r="C9789" s="2" t="s">
        <v>39923</v>
      </c>
      <c r="D9789" s="2" t="str">
        <f>"8064454475"</f>
        <v>8064454475</v>
      </c>
      <c r="E9789" s="2" t="s">
        <v>2861</v>
      </c>
      <c r="F9789" s="2" t="s">
        <v>39924</v>
      </c>
      <c r="G9789" s="2" t="str">
        <f>"SR-13734"</f>
        <v>SR-13734</v>
      </c>
      <c r="H9789" s="2" t="s">
        <v>39925</v>
      </c>
      <c r="I9789" s="2" t="s">
        <v>39926</v>
      </c>
      <c r="K9789" s="2" t="s">
        <v>1121</v>
      </c>
      <c r="L9789" s="2" t="s">
        <v>172</v>
      </c>
      <c r="M9789" s="2">
        <v>79413.0</v>
      </c>
      <c r="N9789" s="2" t="s">
        <v>21</v>
      </c>
    </row>
    <row r="9790" ht="15.75" customHeight="1">
      <c r="A9790" s="2">
        <v>2018.0</v>
      </c>
      <c r="B9790" s="2" t="s">
        <v>39927</v>
      </c>
      <c r="C9790" s="2" t="s">
        <v>39927</v>
      </c>
      <c r="D9790" s="2" t="str">
        <f>"4062025070"</f>
        <v>4062025070</v>
      </c>
      <c r="E9790" s="2" t="s">
        <v>13630</v>
      </c>
      <c r="F9790" s="2" t="s">
        <v>10322</v>
      </c>
      <c r="G9790" s="2" t="str">
        <f>"SR-13587"</f>
        <v>SR-13587</v>
      </c>
      <c r="H9790" s="2" t="s">
        <v>39928</v>
      </c>
      <c r="I9790" s="2" t="s">
        <v>39929</v>
      </c>
      <c r="K9790" s="2" t="s">
        <v>17600</v>
      </c>
      <c r="L9790" s="2" t="s">
        <v>2696</v>
      </c>
      <c r="M9790" s="2">
        <v>59401.0</v>
      </c>
      <c r="N9790" s="2" t="s">
        <v>21</v>
      </c>
    </row>
    <row r="9791" ht="15.75" customHeight="1">
      <c r="A9791" s="2">
        <v>2018.0</v>
      </c>
      <c r="B9791" s="2" t="s">
        <v>39930</v>
      </c>
      <c r="C9791" s="2" t="s">
        <v>39931</v>
      </c>
      <c r="D9791" s="2" t="str">
        <f>"806-392-6165"</f>
        <v>806-392-6165</v>
      </c>
      <c r="E9791" s="2" t="s">
        <v>678</v>
      </c>
      <c r="F9791" s="2" t="s">
        <v>8115</v>
      </c>
      <c r="G9791" s="2" t="str">
        <f>"SR-13711"</f>
        <v>SR-13711</v>
      </c>
      <c r="H9791" s="2" t="s">
        <v>39932</v>
      </c>
      <c r="I9791" s="2" t="s">
        <v>39933</v>
      </c>
      <c r="K9791" s="2" t="s">
        <v>1121</v>
      </c>
      <c r="L9791" s="2" t="s">
        <v>172</v>
      </c>
      <c r="M9791" s="2">
        <v>79424.0</v>
      </c>
      <c r="N9791" s="2" t="s">
        <v>21</v>
      </c>
    </row>
    <row r="9792" ht="15.75" customHeight="1">
      <c r="A9792" s="2">
        <v>2018.0</v>
      </c>
      <c r="B9792" s="2" t="s">
        <v>39934</v>
      </c>
      <c r="C9792" s="2" t="s">
        <v>39935</v>
      </c>
      <c r="D9792" s="2" t="str">
        <f>"682-323-0996"</f>
        <v>682-323-0996</v>
      </c>
      <c r="E9792" s="2" t="s">
        <v>6170</v>
      </c>
      <c r="F9792" s="2" t="s">
        <v>256</v>
      </c>
      <c r="G9792" s="2" t="str">
        <f>"SR-13315"</f>
        <v>SR-13315</v>
      </c>
      <c r="H9792" s="2" t="s">
        <v>39936</v>
      </c>
      <c r="I9792" s="2" t="s">
        <v>39937</v>
      </c>
      <c r="K9792" s="2" t="s">
        <v>882</v>
      </c>
      <c r="L9792" s="2" t="s">
        <v>172</v>
      </c>
      <c r="M9792" s="2">
        <v>76001.0</v>
      </c>
      <c r="N9792" s="2" t="s">
        <v>21</v>
      </c>
    </row>
    <row r="9793" ht="15.75" customHeight="1">
      <c r="A9793" s="2">
        <v>2018.0</v>
      </c>
      <c r="B9793" s="2" t="s">
        <v>31228</v>
      </c>
      <c r="C9793" s="2" t="s">
        <v>39938</v>
      </c>
      <c r="D9793" s="2" t="str">
        <f>"642102516086"</f>
        <v>642102516086</v>
      </c>
      <c r="E9793" s="2" t="s">
        <v>20299</v>
      </c>
      <c r="F9793" s="2" t="s">
        <v>39939</v>
      </c>
      <c r="G9793" s="2" t="str">
        <f>"SR-13588"</f>
        <v>SR-13588</v>
      </c>
      <c r="H9793" s="2" t="s">
        <v>39940</v>
      </c>
      <c r="I9793" s="2" t="s">
        <v>39941</v>
      </c>
      <c r="K9793" s="2" t="s">
        <v>25356</v>
      </c>
      <c r="N9793" s="2" t="s">
        <v>702</v>
      </c>
    </row>
    <row r="9794" ht="15.75" customHeight="1">
      <c r="A9794" s="2">
        <v>2018.0</v>
      </c>
      <c r="B9794" s="2" t="s">
        <v>11127</v>
      </c>
      <c r="C9794" s="2" t="s">
        <v>39942</v>
      </c>
      <c r="D9794" s="2" t="str">
        <f>"806 543 6114"</f>
        <v>806 543 6114</v>
      </c>
      <c r="E9794" s="2" t="s">
        <v>261</v>
      </c>
      <c r="F9794" s="2" t="s">
        <v>1151</v>
      </c>
      <c r="G9794" s="2" t="str">
        <f>"SR-13065"</f>
        <v>SR-13065</v>
      </c>
      <c r="H9794" s="2" t="s">
        <v>39943</v>
      </c>
      <c r="I9794" s="2" t="s">
        <v>18362</v>
      </c>
      <c r="K9794" s="2" t="s">
        <v>1121</v>
      </c>
      <c r="L9794" s="2" t="s">
        <v>172</v>
      </c>
      <c r="M9794" s="2">
        <v>79416.0</v>
      </c>
      <c r="N9794" s="2" t="s">
        <v>21</v>
      </c>
    </row>
    <row r="9795" ht="15.75" customHeight="1">
      <c r="A9795" s="2">
        <v>2018.0</v>
      </c>
      <c r="B9795" s="2" t="s">
        <v>39944</v>
      </c>
      <c r="C9795" s="2" t="s">
        <v>39945</v>
      </c>
      <c r="D9795" s="2" t="str">
        <f>"(64)21 08601603"</f>
        <v>(64)21 08601603</v>
      </c>
      <c r="E9795" s="2" t="s">
        <v>2814</v>
      </c>
      <c r="F9795" s="2" t="s">
        <v>39946</v>
      </c>
      <c r="G9795" s="2" t="str">
        <f>"SR-13737"</f>
        <v>SR-13737</v>
      </c>
      <c r="H9795" s="2" t="s">
        <v>39947</v>
      </c>
      <c r="I9795" s="2" t="s">
        <v>39948</v>
      </c>
      <c r="J9795" s="2" t="s">
        <v>39949</v>
      </c>
      <c r="K9795" s="2" t="s">
        <v>25356</v>
      </c>
      <c r="M9795" s="2">
        <v>2013.0</v>
      </c>
      <c r="N9795" s="2" t="s">
        <v>702</v>
      </c>
    </row>
    <row r="9796" ht="15.75" customHeight="1">
      <c r="A9796" s="2">
        <v>2018.0</v>
      </c>
      <c r="B9796" s="2" t="s">
        <v>39950</v>
      </c>
      <c r="C9796" s="2" t="s">
        <v>39951</v>
      </c>
      <c r="D9796" s="2" t="str">
        <f>"260-632-9201"</f>
        <v>260-632-9201</v>
      </c>
      <c r="E9796" s="2" t="s">
        <v>2162</v>
      </c>
      <c r="F9796" s="2" t="s">
        <v>39952</v>
      </c>
      <c r="G9796" s="2" t="str">
        <f>"SR-13738"</f>
        <v>SR-13738</v>
      </c>
      <c r="H9796" s="2" t="s">
        <v>39953</v>
      </c>
      <c r="I9796" s="2" t="s">
        <v>39954</v>
      </c>
      <c r="K9796" s="2" t="s">
        <v>34373</v>
      </c>
      <c r="L9796" s="2" t="s">
        <v>149</v>
      </c>
      <c r="M9796" s="2">
        <v>46797.0</v>
      </c>
      <c r="N9796" s="2" t="s">
        <v>21</v>
      </c>
    </row>
    <row r="9797" ht="15.75" customHeight="1">
      <c r="A9797" s="2">
        <v>2018.0</v>
      </c>
      <c r="B9797" s="2" t="s">
        <v>26148</v>
      </c>
      <c r="C9797" s="2" t="s">
        <v>26148</v>
      </c>
      <c r="D9797" s="2" t="str">
        <f>"303-703-4515"</f>
        <v>303-703-4515</v>
      </c>
      <c r="E9797" s="2" t="s">
        <v>2384</v>
      </c>
      <c r="F9797" s="2" t="s">
        <v>962</v>
      </c>
      <c r="G9797" s="2" t="str">
        <f>"SR-13462"</f>
        <v>SR-13462</v>
      </c>
      <c r="H9797" s="2" t="s">
        <v>39955</v>
      </c>
      <c r="I9797" s="2" t="s">
        <v>5547</v>
      </c>
      <c r="K9797" s="2" t="s">
        <v>992</v>
      </c>
      <c r="L9797" s="2" t="s">
        <v>157</v>
      </c>
      <c r="M9797" s="2">
        <v>80122.0</v>
      </c>
      <c r="N9797" s="2" t="s">
        <v>21</v>
      </c>
    </row>
    <row r="9798" ht="15.75" customHeight="1">
      <c r="A9798" s="2">
        <v>2018.0</v>
      </c>
      <c r="B9798" s="2" t="s">
        <v>32619</v>
      </c>
      <c r="C9798" s="2" t="s">
        <v>39956</v>
      </c>
      <c r="D9798" s="2" t="str">
        <f>"269-254-6595"</f>
        <v>269-254-6595</v>
      </c>
      <c r="E9798" s="2" t="s">
        <v>843</v>
      </c>
      <c r="F9798" s="2" t="s">
        <v>32621</v>
      </c>
      <c r="G9798" s="2" t="str">
        <f>"SR-13631"</f>
        <v>SR-13631</v>
      </c>
      <c r="H9798" s="2" t="s">
        <v>39957</v>
      </c>
      <c r="I9798" s="2" t="s">
        <v>39958</v>
      </c>
      <c r="K9798" s="2" t="s">
        <v>13760</v>
      </c>
      <c r="L9798" s="2" t="s">
        <v>29</v>
      </c>
      <c r="M9798" s="2">
        <v>49032.0</v>
      </c>
      <c r="N9798" s="2" t="s">
        <v>21</v>
      </c>
    </row>
    <row r="9799" ht="15.75" customHeight="1">
      <c r="A9799" s="2">
        <v>2018.0</v>
      </c>
      <c r="B9799" s="2" t="s">
        <v>39959</v>
      </c>
      <c r="C9799" s="2" t="s">
        <v>39959</v>
      </c>
      <c r="D9799" s="2" t="str">
        <f>"2604316757"</f>
        <v>2604316757</v>
      </c>
      <c r="E9799" s="2" t="s">
        <v>2031</v>
      </c>
      <c r="F9799" s="2" t="s">
        <v>39960</v>
      </c>
      <c r="G9799" s="2" t="str">
        <f>"SR-13742"</f>
        <v>SR-13742</v>
      </c>
      <c r="H9799" s="2" t="s">
        <v>39961</v>
      </c>
      <c r="I9799" s="2" t="s">
        <v>39962</v>
      </c>
      <c r="K9799" s="2" t="s">
        <v>34373</v>
      </c>
      <c r="L9799" s="2" t="s">
        <v>149</v>
      </c>
      <c r="M9799" s="2">
        <v>46797.0</v>
      </c>
      <c r="N9799" s="2" t="s">
        <v>21</v>
      </c>
    </row>
    <row r="9800" ht="15.75" customHeight="1">
      <c r="A9800" s="2">
        <v>2018.0</v>
      </c>
      <c r="B9800" s="2" t="s">
        <v>37425</v>
      </c>
      <c r="C9800" s="2" t="s">
        <v>39963</v>
      </c>
      <c r="D9800" s="2" t="str">
        <f>"719-761-0741"</f>
        <v>719-761-0741</v>
      </c>
      <c r="E9800" s="2" t="s">
        <v>1585</v>
      </c>
      <c r="F9800" s="2" t="s">
        <v>22485</v>
      </c>
      <c r="G9800" s="2" t="str">
        <f>"SR-13554"</f>
        <v>SR-13554</v>
      </c>
      <c r="H9800" s="2" t="s">
        <v>39964</v>
      </c>
      <c r="I9800" s="2" t="s">
        <v>37427</v>
      </c>
      <c r="K9800" s="2" t="s">
        <v>809</v>
      </c>
      <c r="L9800" s="2" t="s">
        <v>157</v>
      </c>
      <c r="M9800" s="2">
        <v>80908.0</v>
      </c>
      <c r="N9800" s="2" t="s">
        <v>21</v>
      </c>
    </row>
    <row r="9801" ht="15.75" customHeight="1">
      <c r="A9801" s="2">
        <v>2018.0</v>
      </c>
      <c r="B9801" s="2" t="s">
        <v>39965</v>
      </c>
      <c r="C9801" s="2" t="s">
        <v>39966</v>
      </c>
      <c r="D9801" s="2" t="str">
        <f>"2536771090"</f>
        <v>2536771090</v>
      </c>
      <c r="E9801" s="2" t="s">
        <v>678</v>
      </c>
      <c r="F9801" s="2" t="s">
        <v>39967</v>
      </c>
      <c r="G9801" s="2" t="str">
        <f>"SR-4902"</f>
        <v>SR-4902</v>
      </c>
      <c r="H9801" s="2" t="s">
        <v>39968</v>
      </c>
      <c r="I9801" s="2" t="s">
        <v>39969</v>
      </c>
      <c r="K9801" s="2" t="s">
        <v>22513</v>
      </c>
      <c r="L9801" s="2" t="s">
        <v>86</v>
      </c>
      <c r="M9801" s="2">
        <v>98445.0</v>
      </c>
      <c r="N9801" s="2" t="s">
        <v>21</v>
      </c>
    </row>
    <row r="9802" ht="15.75" customHeight="1">
      <c r="A9802" s="2">
        <v>2018.0</v>
      </c>
      <c r="B9802" s="2" t="s">
        <v>39970</v>
      </c>
      <c r="C9802" s="2" t="s">
        <v>39971</v>
      </c>
      <c r="D9802" s="2" t="str">
        <f>"336-599-5282"</f>
        <v>336-599-5282</v>
      </c>
      <c r="E9802" s="2" t="s">
        <v>890</v>
      </c>
      <c r="F9802" s="2" t="s">
        <v>28357</v>
      </c>
      <c r="G9802" s="2" t="str">
        <f>"SR-13594"</f>
        <v>SR-13594</v>
      </c>
      <c r="H9802" s="2" t="s">
        <v>39972</v>
      </c>
      <c r="I9802" s="2" t="s">
        <v>39973</v>
      </c>
      <c r="K9802" s="2" t="s">
        <v>39974</v>
      </c>
      <c r="L9802" s="2" t="s">
        <v>20</v>
      </c>
      <c r="M9802" s="2">
        <v>27574.0</v>
      </c>
      <c r="N9802" s="2" t="s">
        <v>21</v>
      </c>
    </row>
    <row r="9803" ht="15.75" customHeight="1">
      <c r="A9803" s="2">
        <v>2018.0</v>
      </c>
      <c r="B9803" s="2" t="s">
        <v>39975</v>
      </c>
      <c r="C9803" s="2" t="s">
        <v>39975</v>
      </c>
      <c r="D9803" s="2" t="str">
        <f>"6097074385"</f>
        <v>6097074385</v>
      </c>
      <c r="E9803" s="2" t="s">
        <v>19261</v>
      </c>
      <c r="F9803" s="2" t="s">
        <v>39976</v>
      </c>
      <c r="G9803" s="2" t="str">
        <f>"SR-13621"</f>
        <v>SR-13621</v>
      </c>
      <c r="H9803" s="2" t="s">
        <v>39977</v>
      </c>
      <c r="I9803" s="2" t="s">
        <v>39978</v>
      </c>
      <c r="K9803" s="2" t="s">
        <v>1403</v>
      </c>
      <c r="L9803" s="2" t="s">
        <v>20</v>
      </c>
      <c r="M9803" s="2">
        <v>28134.0</v>
      </c>
      <c r="N9803" s="2" t="s">
        <v>21</v>
      </c>
    </row>
    <row r="9804" ht="15.75" customHeight="1">
      <c r="A9804" s="2">
        <v>2018.0</v>
      </c>
      <c r="B9804" s="2" t="s">
        <v>14888</v>
      </c>
      <c r="C9804" s="2" t="s">
        <v>39979</v>
      </c>
      <c r="D9804" s="2" t="str">
        <f>"605-254-7220"</f>
        <v>605-254-7220</v>
      </c>
      <c r="E9804" s="2" t="s">
        <v>39980</v>
      </c>
      <c r="F9804" s="2" t="s">
        <v>14891</v>
      </c>
      <c r="G9804" s="2" t="str">
        <f>"SR-13573"</f>
        <v>SR-13573</v>
      </c>
      <c r="H9804" s="2" t="s">
        <v>39981</v>
      </c>
      <c r="I9804" s="2" t="s">
        <v>14893</v>
      </c>
      <c r="K9804" s="2" t="s">
        <v>6954</v>
      </c>
      <c r="L9804" s="2" t="s">
        <v>920</v>
      </c>
      <c r="M9804" s="2">
        <v>57003.0</v>
      </c>
      <c r="N9804" s="2" t="s">
        <v>21</v>
      </c>
    </row>
    <row r="9805" ht="15.75" customHeight="1">
      <c r="A9805" s="2">
        <v>2018.0</v>
      </c>
      <c r="B9805" s="2" t="s">
        <v>39982</v>
      </c>
      <c r="C9805" s="2" t="s">
        <v>39982</v>
      </c>
      <c r="D9805" s="2" t="str">
        <f>"419-673-5956"</f>
        <v>419-673-5956</v>
      </c>
      <c r="E9805" s="2" t="s">
        <v>385</v>
      </c>
      <c r="F9805" s="2" t="s">
        <v>3144</v>
      </c>
      <c r="G9805" s="2" t="str">
        <f>"SR-13750"</f>
        <v>SR-13750</v>
      </c>
      <c r="H9805" s="2" t="s">
        <v>39983</v>
      </c>
      <c r="I9805" s="2" t="s">
        <v>27840</v>
      </c>
      <c r="K9805" s="2" t="s">
        <v>28</v>
      </c>
      <c r="L9805" s="2" t="s">
        <v>344</v>
      </c>
      <c r="M9805" s="2">
        <v>45810.0</v>
      </c>
      <c r="N9805" s="2" t="s">
        <v>21</v>
      </c>
    </row>
    <row r="9806" ht="15.75" customHeight="1">
      <c r="A9806" s="2">
        <v>2018.0</v>
      </c>
      <c r="B9806" s="2" t="s">
        <v>39984</v>
      </c>
      <c r="C9806" s="2" t="s">
        <v>39985</v>
      </c>
      <c r="D9806" s="2" t="str">
        <f>"7708809032"</f>
        <v>7708809032</v>
      </c>
      <c r="E9806" s="2" t="s">
        <v>2089</v>
      </c>
      <c r="F9806" s="2" t="s">
        <v>4941</v>
      </c>
      <c r="G9806" s="2" t="str">
        <f>"SR-13116"</f>
        <v>SR-13116</v>
      </c>
      <c r="H9806" s="2" t="s">
        <v>39986</v>
      </c>
      <c r="I9806" s="2" t="s">
        <v>39987</v>
      </c>
      <c r="K9806" s="2" t="s">
        <v>4862</v>
      </c>
      <c r="L9806" s="2" t="s">
        <v>200</v>
      </c>
      <c r="M9806" s="2">
        <v>30064.0</v>
      </c>
      <c r="N9806" s="2" t="s">
        <v>21</v>
      </c>
    </row>
    <row r="9807" ht="15.75" customHeight="1">
      <c r="A9807" s="2">
        <v>2018.0</v>
      </c>
      <c r="B9807" s="2" t="s">
        <v>39988</v>
      </c>
      <c r="C9807" s="2" t="s">
        <v>39989</v>
      </c>
      <c r="D9807" s="2" t="str">
        <f>"864-608-7988"</f>
        <v>864-608-7988</v>
      </c>
      <c r="E9807" s="2" t="s">
        <v>1434</v>
      </c>
      <c r="F9807" s="2" t="s">
        <v>39990</v>
      </c>
      <c r="G9807" s="2" t="str">
        <f>"SR-13389"</f>
        <v>SR-13389</v>
      </c>
      <c r="H9807" s="2" t="s">
        <v>39991</v>
      </c>
      <c r="I9807" s="2" t="s">
        <v>39992</v>
      </c>
      <c r="K9807" s="2" t="s">
        <v>3385</v>
      </c>
      <c r="L9807" s="2" t="s">
        <v>55</v>
      </c>
      <c r="M9807" s="2">
        <v>29650.0</v>
      </c>
      <c r="N9807" s="2" t="s">
        <v>21</v>
      </c>
    </row>
    <row r="9808" ht="15.75" customHeight="1">
      <c r="A9808" s="2">
        <v>2018.0</v>
      </c>
      <c r="B9808" s="2" t="s">
        <v>39993</v>
      </c>
      <c r="C9808" s="2" t="s">
        <v>39994</v>
      </c>
      <c r="D9808" s="2" t="str">
        <f>"304-864-5454"</f>
        <v>304-864-5454</v>
      </c>
      <c r="E9808" s="2" t="s">
        <v>57</v>
      </c>
      <c r="F9808" s="2" t="s">
        <v>10417</v>
      </c>
      <c r="G9808" s="2" t="str">
        <f>"SR-13701"</f>
        <v>SR-13701</v>
      </c>
      <c r="H9808" s="2" t="s">
        <v>31958</v>
      </c>
      <c r="I9808" s="2" t="s">
        <v>39995</v>
      </c>
      <c r="K9808" s="2" t="s">
        <v>39996</v>
      </c>
      <c r="L9808" s="2" t="s">
        <v>6449</v>
      </c>
      <c r="M9808" s="2">
        <v>26547.0</v>
      </c>
      <c r="N9808" s="2" t="s">
        <v>21</v>
      </c>
    </row>
    <row r="9809" ht="15.75" customHeight="1">
      <c r="A9809" s="2">
        <v>2018.0</v>
      </c>
      <c r="B9809" s="2" t="s">
        <v>39997</v>
      </c>
      <c r="C9809" s="2" t="s">
        <v>39998</v>
      </c>
      <c r="D9809" s="2" t="str">
        <f>"865-279-9838"</f>
        <v>865-279-9838</v>
      </c>
      <c r="E9809" s="2" t="s">
        <v>39999</v>
      </c>
      <c r="F9809" s="2" t="s">
        <v>40000</v>
      </c>
      <c r="G9809" s="2" t="str">
        <f>"SR-13759"</f>
        <v>SR-13759</v>
      </c>
      <c r="H9809" s="2" t="s">
        <v>40001</v>
      </c>
      <c r="I9809" s="2" t="s">
        <v>40002</v>
      </c>
      <c r="K9809" s="2" t="s">
        <v>6168</v>
      </c>
      <c r="L9809" s="2" t="s">
        <v>279</v>
      </c>
      <c r="M9809" s="2">
        <v>37922.0</v>
      </c>
      <c r="N9809" s="2" t="s">
        <v>21</v>
      </c>
    </row>
    <row r="9810" ht="15.75" customHeight="1">
      <c r="A9810" s="2">
        <v>2018.0</v>
      </c>
      <c r="B9810" s="2" t="s">
        <v>33215</v>
      </c>
      <c r="C9810" s="2" t="s">
        <v>33216</v>
      </c>
      <c r="D9810" s="2" t="str">
        <f>"3194400381"</f>
        <v>3194400381</v>
      </c>
      <c r="E9810" s="2" t="s">
        <v>638</v>
      </c>
      <c r="F9810" s="2" t="s">
        <v>13776</v>
      </c>
      <c r="G9810" s="2" t="str">
        <f>"SR-10180"</f>
        <v>SR-10180</v>
      </c>
      <c r="H9810" s="2" t="s">
        <v>33217</v>
      </c>
      <c r="I9810" s="2" t="s">
        <v>33218</v>
      </c>
      <c r="K9810" s="2" t="s">
        <v>25784</v>
      </c>
      <c r="L9810" s="2" t="s">
        <v>560</v>
      </c>
      <c r="M9810" s="2">
        <v>52328.0</v>
      </c>
      <c r="N9810" s="2" t="s">
        <v>21</v>
      </c>
    </row>
    <row r="9811" ht="15.75" customHeight="1">
      <c r="A9811" s="2">
        <v>2018.0</v>
      </c>
      <c r="B9811" s="2" t="s">
        <v>40003</v>
      </c>
      <c r="D9811" s="2" t="str">
        <f>""</f>
        <v/>
      </c>
      <c r="E9811" s="2" t="s">
        <v>1664</v>
      </c>
      <c r="F9811" s="2" t="s">
        <v>3144</v>
      </c>
      <c r="G9811" s="2" t="str">
        <f>"SR-13764"</f>
        <v>SR-13764</v>
      </c>
      <c r="H9811" s="2" t="s">
        <v>40004</v>
      </c>
      <c r="N9811" s="2" t="s">
        <v>21</v>
      </c>
    </row>
    <row r="9812" ht="15.75" customHeight="1">
      <c r="A9812" s="2">
        <v>2018.0</v>
      </c>
      <c r="B9812" s="2" t="s">
        <v>25027</v>
      </c>
      <c r="C9812" s="2" t="s">
        <v>40005</v>
      </c>
      <c r="D9812" s="2" t="str">
        <f>"8179051678"</f>
        <v>8179051678</v>
      </c>
      <c r="E9812" s="2" t="s">
        <v>1088</v>
      </c>
      <c r="F9812" s="2" t="s">
        <v>5726</v>
      </c>
      <c r="G9812" s="2" t="str">
        <f>"SR-13511"</f>
        <v>SR-13511</v>
      </c>
      <c r="H9812" s="2" t="s">
        <v>40006</v>
      </c>
      <c r="I9812" s="2" t="s">
        <v>5758</v>
      </c>
      <c r="K9812" s="2" t="s">
        <v>5729</v>
      </c>
      <c r="L9812" s="2" t="s">
        <v>172</v>
      </c>
      <c r="M9812" s="2">
        <v>76087.0</v>
      </c>
      <c r="N9812" s="2" t="s">
        <v>21</v>
      </c>
    </row>
    <row r="9813" ht="15.75" customHeight="1">
      <c r="A9813" s="2">
        <v>2018.0</v>
      </c>
      <c r="B9813" s="2" t="s">
        <v>24607</v>
      </c>
      <c r="C9813" s="2" t="s">
        <v>24608</v>
      </c>
      <c r="D9813" s="2" t="str">
        <f>"8296054163"</f>
        <v>8296054163</v>
      </c>
      <c r="E9813" s="2" t="s">
        <v>24609</v>
      </c>
      <c r="F9813" s="2" t="s">
        <v>24610</v>
      </c>
      <c r="G9813" s="2" t="str">
        <f>"SR-7759"</f>
        <v>SR-7759</v>
      </c>
      <c r="H9813" s="2" t="s">
        <v>24611</v>
      </c>
      <c r="I9813" s="2" t="s">
        <v>24612</v>
      </c>
      <c r="J9813" s="2" t="s">
        <v>24613</v>
      </c>
      <c r="K9813" s="2" t="s">
        <v>24614</v>
      </c>
      <c r="L9813" s="2" t="s">
        <v>24615</v>
      </c>
      <c r="M9813" s="2">
        <v>0.0</v>
      </c>
      <c r="N9813" s="2" t="s">
        <v>24616</v>
      </c>
    </row>
    <row r="9814" ht="15.75" customHeight="1">
      <c r="A9814" s="2">
        <v>2018.0</v>
      </c>
      <c r="B9814" s="2" t="s">
        <v>40007</v>
      </c>
      <c r="C9814" s="2" t="s">
        <v>40007</v>
      </c>
      <c r="D9814" s="2" t="str">
        <f>"7856561338"</f>
        <v>7856561338</v>
      </c>
      <c r="E9814" s="2" t="s">
        <v>38540</v>
      </c>
      <c r="F9814" s="2" t="s">
        <v>12931</v>
      </c>
      <c r="G9814" s="2" t="str">
        <f>"SR-13675"</f>
        <v>SR-13675</v>
      </c>
      <c r="H9814" s="2" t="s">
        <v>40008</v>
      </c>
      <c r="I9814" s="2" t="s">
        <v>40009</v>
      </c>
      <c r="K9814" s="2" t="s">
        <v>40010</v>
      </c>
      <c r="L9814" s="2" t="s">
        <v>272</v>
      </c>
      <c r="M9814" s="2">
        <v>67601.0</v>
      </c>
      <c r="N9814" s="2" t="s">
        <v>21</v>
      </c>
    </row>
    <row r="9815" ht="15.75" customHeight="1">
      <c r="A9815" s="2">
        <v>2018.0</v>
      </c>
      <c r="B9815" s="2" t="s">
        <v>40011</v>
      </c>
      <c r="C9815" s="2" t="s">
        <v>40011</v>
      </c>
      <c r="D9815" s="2" t="str">
        <f>"2146798704"</f>
        <v>2146798704</v>
      </c>
      <c r="E9815" s="2" t="s">
        <v>40012</v>
      </c>
      <c r="F9815" s="2" t="s">
        <v>40013</v>
      </c>
      <c r="G9815" s="2" t="str">
        <f>"SR-13731"</f>
        <v>SR-13731</v>
      </c>
      <c r="H9815" s="2" t="s">
        <v>40014</v>
      </c>
      <c r="I9815" s="2" t="s">
        <v>40015</v>
      </c>
      <c r="K9815" s="2" t="s">
        <v>171</v>
      </c>
      <c r="L9815" s="2" t="s">
        <v>172</v>
      </c>
      <c r="M9815" s="2">
        <v>75010.0</v>
      </c>
      <c r="N9815" s="2" t="s">
        <v>21</v>
      </c>
    </row>
    <row r="9816" ht="15.75" customHeight="1">
      <c r="A9816" s="2">
        <v>2018.0</v>
      </c>
      <c r="B9816" s="2" t="s">
        <v>40016</v>
      </c>
      <c r="C9816" s="2" t="s">
        <v>40017</v>
      </c>
      <c r="D9816" s="2" t="str">
        <f>"4029066303"</f>
        <v>4029066303</v>
      </c>
      <c r="E9816" s="2" t="s">
        <v>40018</v>
      </c>
      <c r="F9816" s="2" t="s">
        <v>1151</v>
      </c>
      <c r="G9816" s="2" t="str">
        <f>"SR-13652"</f>
        <v>SR-13652</v>
      </c>
      <c r="H9816" s="2" t="s">
        <v>40019</v>
      </c>
      <c r="I9816" s="2" t="s">
        <v>40020</v>
      </c>
      <c r="K9816" s="2" t="s">
        <v>1470</v>
      </c>
      <c r="L9816" s="2" t="s">
        <v>757</v>
      </c>
      <c r="M9816" s="2">
        <v>68131.0</v>
      </c>
      <c r="N9816" s="2" t="s">
        <v>21</v>
      </c>
    </row>
    <row r="9817" ht="15.75" customHeight="1">
      <c r="A9817" s="2">
        <v>2018.0</v>
      </c>
      <c r="B9817" s="2" t="s">
        <v>24607</v>
      </c>
      <c r="D9817" s="2" t="str">
        <f>""</f>
        <v/>
      </c>
      <c r="E9817" s="2" t="s">
        <v>1810</v>
      </c>
      <c r="F9817" s="2" t="s">
        <v>24646</v>
      </c>
      <c r="G9817" s="2" t="str">
        <f>"SR-13767"</f>
        <v>SR-13767</v>
      </c>
      <c r="H9817" s="2" t="s">
        <v>40021</v>
      </c>
      <c r="N9817" s="2" t="s">
        <v>21</v>
      </c>
    </row>
    <row r="9818" ht="15.75" customHeight="1">
      <c r="A9818" s="2">
        <v>2018.0</v>
      </c>
      <c r="B9818" s="2" t="s">
        <v>19873</v>
      </c>
      <c r="C9818" s="2" t="s">
        <v>40022</v>
      </c>
      <c r="D9818" s="2" t="str">
        <f>"2143568300"</f>
        <v>2143568300</v>
      </c>
      <c r="E9818" s="2" t="s">
        <v>15</v>
      </c>
      <c r="F9818" s="2" t="s">
        <v>9047</v>
      </c>
      <c r="G9818" s="2" t="str">
        <f>"SR-13741"</f>
        <v>SR-13741</v>
      </c>
      <c r="H9818" s="2" t="s">
        <v>40023</v>
      </c>
      <c r="I9818" s="2" t="s">
        <v>40024</v>
      </c>
      <c r="K9818" s="2" t="s">
        <v>7218</v>
      </c>
      <c r="L9818" s="2" t="s">
        <v>200</v>
      </c>
      <c r="M9818" s="2">
        <v>30076.0</v>
      </c>
      <c r="N9818" s="2" t="s">
        <v>21</v>
      </c>
    </row>
    <row r="9819" ht="15.75" customHeight="1">
      <c r="A9819" s="2">
        <v>2018.0</v>
      </c>
      <c r="B9819" s="2" t="s">
        <v>40025</v>
      </c>
      <c r="C9819" s="2" t="s">
        <v>40025</v>
      </c>
      <c r="D9819" s="2" t="str">
        <f>"276-647-4414"</f>
        <v>276-647-4414</v>
      </c>
      <c r="E9819" s="2" t="s">
        <v>1761</v>
      </c>
      <c r="F9819" s="2" t="s">
        <v>283</v>
      </c>
      <c r="G9819" s="2" t="str">
        <f>"SR-13760"</f>
        <v>SR-13760</v>
      </c>
      <c r="H9819" s="2" t="s">
        <v>40026</v>
      </c>
      <c r="I9819" s="2" t="s">
        <v>29981</v>
      </c>
      <c r="K9819" s="2" t="s">
        <v>29982</v>
      </c>
      <c r="L9819" s="2" t="s">
        <v>165</v>
      </c>
      <c r="M9819" s="2">
        <v>24078.0</v>
      </c>
      <c r="N9819" s="2" t="s">
        <v>21</v>
      </c>
    </row>
    <row r="9820" ht="15.75" customHeight="1">
      <c r="A9820" s="2">
        <v>2018.0</v>
      </c>
      <c r="B9820" s="2" t="s">
        <v>40027</v>
      </c>
      <c r="C9820" s="2" t="s">
        <v>40028</v>
      </c>
      <c r="D9820" s="2" t="str">
        <f>"276-732-1329"</f>
        <v>276-732-1329</v>
      </c>
      <c r="E9820" s="2" t="s">
        <v>908</v>
      </c>
      <c r="F9820" s="2" t="s">
        <v>283</v>
      </c>
      <c r="G9820" s="2" t="str">
        <f>"SR-13768"</f>
        <v>SR-13768</v>
      </c>
      <c r="H9820" s="2" t="s">
        <v>37377</v>
      </c>
      <c r="I9820" s="2" t="s">
        <v>40029</v>
      </c>
      <c r="K9820" s="2" t="s">
        <v>29982</v>
      </c>
      <c r="L9820" s="2" t="s">
        <v>165</v>
      </c>
      <c r="M9820" s="2">
        <v>24078.0</v>
      </c>
      <c r="N9820" s="2" t="s">
        <v>21</v>
      </c>
    </row>
    <row r="9821" ht="15.75" customHeight="1">
      <c r="A9821" s="2">
        <v>2018.0</v>
      </c>
      <c r="B9821" s="2" t="s">
        <v>35831</v>
      </c>
      <c r="C9821" s="2" t="s">
        <v>35832</v>
      </c>
      <c r="D9821" s="2" t="str">
        <f>"915-202-4646"</f>
        <v>915-202-4646</v>
      </c>
      <c r="E9821" s="2" t="s">
        <v>339</v>
      </c>
      <c r="F9821" s="2" t="s">
        <v>16181</v>
      </c>
      <c r="G9821" s="2" t="str">
        <f>"SR-11557"</f>
        <v>SR-11557</v>
      </c>
      <c r="H9821" s="2" t="s">
        <v>35833</v>
      </c>
      <c r="I9821" s="2" t="s">
        <v>35834</v>
      </c>
      <c r="K9821" s="2" t="s">
        <v>21247</v>
      </c>
      <c r="L9821" s="2" t="s">
        <v>172</v>
      </c>
      <c r="M9821" s="2">
        <v>79924.0</v>
      </c>
      <c r="N9821" s="2" t="s">
        <v>21</v>
      </c>
    </row>
    <row r="9822" ht="15.75" customHeight="1">
      <c r="A9822" s="2">
        <v>2018.0</v>
      </c>
      <c r="B9822" s="2" t="s">
        <v>40030</v>
      </c>
      <c r="D9822" s="2" t="str">
        <f>""</f>
        <v/>
      </c>
      <c r="E9822" s="2" t="s">
        <v>2941</v>
      </c>
      <c r="F9822" s="2" t="s">
        <v>40031</v>
      </c>
      <c r="G9822" s="2" t="str">
        <f>"SR-5907"</f>
        <v>SR-5907</v>
      </c>
      <c r="H9822" s="2" t="s">
        <v>40032</v>
      </c>
      <c r="N9822" s="2" t="s">
        <v>21</v>
      </c>
    </row>
    <row r="9823" ht="15.75" customHeight="1">
      <c r="A9823" s="2">
        <v>2018.0</v>
      </c>
      <c r="B9823" s="2" t="s">
        <v>23614</v>
      </c>
      <c r="C9823" s="2" t="s">
        <v>23615</v>
      </c>
      <c r="D9823" s="2" t="str">
        <f>"4792828456"</f>
        <v>4792828456</v>
      </c>
      <c r="E9823" s="2" t="s">
        <v>453</v>
      </c>
      <c r="F9823" s="2" t="s">
        <v>6078</v>
      </c>
      <c r="G9823" s="2" t="str">
        <f>"SR-7401"</f>
        <v>SR-7401</v>
      </c>
      <c r="H9823" s="2" t="s">
        <v>23616</v>
      </c>
      <c r="I9823" s="2" t="s">
        <v>23617</v>
      </c>
      <c r="K9823" s="2" t="s">
        <v>14516</v>
      </c>
      <c r="L9823" s="2" t="s">
        <v>1012</v>
      </c>
      <c r="M9823" s="2">
        <v>72712.0</v>
      </c>
      <c r="N9823" s="2" t="s">
        <v>21</v>
      </c>
    </row>
    <row r="9824" ht="15.75" customHeight="1">
      <c r="A9824" s="2">
        <v>2018.0</v>
      </c>
      <c r="B9824" s="2" t="s">
        <v>40033</v>
      </c>
      <c r="C9824" s="2" t="s">
        <v>40034</v>
      </c>
      <c r="D9824" s="2" t="str">
        <f>"864-909-3116"</f>
        <v>864-909-3116</v>
      </c>
      <c r="E9824" s="2" t="s">
        <v>50</v>
      </c>
      <c r="F9824" s="2" t="s">
        <v>40035</v>
      </c>
      <c r="G9824" s="2" t="str">
        <f>"SR-13746"</f>
        <v>SR-13746</v>
      </c>
      <c r="H9824" s="2" t="s">
        <v>40036</v>
      </c>
      <c r="I9824" s="2" t="s">
        <v>40037</v>
      </c>
      <c r="K9824" s="2" t="s">
        <v>11586</v>
      </c>
      <c r="L9824" s="2" t="s">
        <v>55</v>
      </c>
      <c r="M9824" s="2">
        <v>29349.0</v>
      </c>
      <c r="N9824" s="2" t="s">
        <v>21</v>
      </c>
    </row>
    <row r="9825" ht="15.75" customHeight="1">
      <c r="A9825" s="2">
        <v>2018.0</v>
      </c>
      <c r="B9825" s="2" t="s">
        <v>40038</v>
      </c>
      <c r="C9825" s="2" t="s">
        <v>40039</v>
      </c>
      <c r="D9825" s="2" t="str">
        <f>"8642758008"</f>
        <v>8642758008</v>
      </c>
      <c r="E9825" s="2" t="s">
        <v>534</v>
      </c>
      <c r="F9825" s="2" t="s">
        <v>40040</v>
      </c>
      <c r="G9825" s="2" t="str">
        <f>"SR-13765"</f>
        <v>SR-13765</v>
      </c>
      <c r="H9825" s="2" t="s">
        <v>40041</v>
      </c>
      <c r="I9825" s="2" t="s">
        <v>40042</v>
      </c>
      <c r="K9825" s="2" t="s">
        <v>54</v>
      </c>
      <c r="L9825" s="2" t="s">
        <v>55</v>
      </c>
      <c r="M9825" s="2">
        <v>29601.0</v>
      </c>
      <c r="N9825" s="2" t="s">
        <v>21</v>
      </c>
    </row>
    <row r="9826" ht="15.75" customHeight="1">
      <c r="A9826" s="2">
        <v>2018.0</v>
      </c>
      <c r="B9826" s="2" t="s">
        <v>40043</v>
      </c>
      <c r="C9826" s="2" t="s">
        <v>40044</v>
      </c>
      <c r="D9826" s="2" t="str">
        <f>"2085891648"</f>
        <v>2085891648</v>
      </c>
      <c r="E9826" s="2" t="s">
        <v>2083</v>
      </c>
      <c r="F9826" s="2" t="s">
        <v>40045</v>
      </c>
      <c r="G9826" s="2" t="str">
        <f>"SR-13776"</f>
        <v>SR-13776</v>
      </c>
      <c r="H9826" s="2" t="s">
        <v>40046</v>
      </c>
      <c r="I9826" s="2" t="s">
        <v>40047</v>
      </c>
      <c r="K9826" s="2" t="s">
        <v>40048</v>
      </c>
      <c r="L9826" s="2" t="s">
        <v>2613</v>
      </c>
      <c r="M9826" s="2">
        <v>83204.0</v>
      </c>
      <c r="N9826" s="2" t="s">
        <v>21</v>
      </c>
    </row>
    <row r="9827" ht="15.75" customHeight="1">
      <c r="A9827" s="2">
        <v>2018.0</v>
      </c>
      <c r="B9827" s="2" t="s">
        <v>40043</v>
      </c>
      <c r="D9827" s="2" t="str">
        <f>""</f>
        <v/>
      </c>
      <c r="E9827" s="2" t="s">
        <v>6121</v>
      </c>
      <c r="F9827" s="2" t="s">
        <v>40045</v>
      </c>
      <c r="G9827" s="2" t="str">
        <f>"SR-13780"</f>
        <v>SR-13780</v>
      </c>
      <c r="H9827" s="2" t="s">
        <v>40049</v>
      </c>
      <c r="N9827" s="2" t="s">
        <v>21</v>
      </c>
    </row>
    <row r="9828" ht="15.75" customHeight="1">
      <c r="A9828" s="2">
        <v>2018.0</v>
      </c>
      <c r="B9828" s="2" t="s">
        <v>40050</v>
      </c>
      <c r="C9828" s="2" t="s">
        <v>40051</v>
      </c>
      <c r="D9828" s="2" t="str">
        <f>"573-364-3909"</f>
        <v>573-364-3909</v>
      </c>
      <c r="E9828" s="2" t="s">
        <v>590</v>
      </c>
      <c r="F9828" s="2" t="s">
        <v>962</v>
      </c>
      <c r="G9828" s="2" t="str">
        <f>"SR-13720"</f>
        <v>SR-13720</v>
      </c>
      <c r="H9828" s="2" t="s">
        <v>40052</v>
      </c>
      <c r="I9828" s="2" t="s">
        <v>40053</v>
      </c>
      <c r="K9828" s="2" t="s">
        <v>22002</v>
      </c>
      <c r="L9828" s="2" t="s">
        <v>214</v>
      </c>
      <c r="M9828" s="2">
        <v>65401.0</v>
      </c>
      <c r="N9828" s="2" t="s">
        <v>21</v>
      </c>
    </row>
    <row r="9829" ht="15.75" customHeight="1">
      <c r="A9829" s="2">
        <v>2018.0</v>
      </c>
      <c r="B9829" s="2" t="s">
        <v>40054</v>
      </c>
      <c r="C9829" s="2" t="s">
        <v>40055</v>
      </c>
      <c r="D9829" s="2" t="str">
        <f>"305-753-8855"</f>
        <v>305-753-8855</v>
      </c>
      <c r="E9829" s="2" t="s">
        <v>1032</v>
      </c>
      <c r="F9829" s="2" t="s">
        <v>17556</v>
      </c>
      <c r="G9829" s="2" t="str">
        <f>"SR-13778"</f>
        <v>SR-13778</v>
      </c>
      <c r="H9829" s="2" t="s">
        <v>40056</v>
      </c>
      <c r="I9829" s="2" t="s">
        <v>40057</v>
      </c>
      <c r="K9829" s="2" t="s">
        <v>10586</v>
      </c>
      <c r="L9829" s="2" t="s">
        <v>208</v>
      </c>
      <c r="M9829" s="2">
        <v>33315.0</v>
      </c>
      <c r="N9829" s="2" t="s">
        <v>21</v>
      </c>
    </row>
    <row r="9830" ht="15.75" customHeight="1">
      <c r="A9830" s="2">
        <v>2018.0</v>
      </c>
      <c r="B9830" s="2" t="s">
        <v>40058</v>
      </c>
      <c r="C9830" s="2" t="s">
        <v>40059</v>
      </c>
      <c r="D9830" s="2" t="str">
        <f>"4692616865"</f>
        <v>4692616865</v>
      </c>
      <c r="E9830" s="2" t="s">
        <v>417</v>
      </c>
      <c r="F9830" s="2" t="s">
        <v>40060</v>
      </c>
      <c r="G9830" s="2" t="str">
        <f>"SR-13034"</f>
        <v>SR-13034</v>
      </c>
      <c r="H9830" s="2" t="s">
        <v>40061</v>
      </c>
      <c r="I9830" s="2" t="s">
        <v>40062</v>
      </c>
      <c r="K9830" s="2" t="s">
        <v>11763</v>
      </c>
      <c r="L9830" s="2" t="s">
        <v>172</v>
      </c>
      <c r="M9830" s="2">
        <v>75160.0</v>
      </c>
      <c r="N9830" s="2" t="s">
        <v>21</v>
      </c>
    </row>
    <row r="9831" ht="15.75" customHeight="1">
      <c r="A9831" s="2">
        <v>2018.0</v>
      </c>
      <c r="B9831" s="2" t="s">
        <v>40063</v>
      </c>
      <c r="C9831" s="2" t="s">
        <v>40063</v>
      </c>
      <c r="D9831" s="2" t="str">
        <f>"818-917-3775"</f>
        <v>818-917-3775</v>
      </c>
      <c r="E9831" s="2" t="s">
        <v>40064</v>
      </c>
      <c r="F9831" s="2" t="s">
        <v>2373</v>
      </c>
      <c r="G9831" s="2" t="str">
        <f>"SR-13301"</f>
        <v>SR-13301</v>
      </c>
      <c r="H9831" s="2" t="s">
        <v>40065</v>
      </c>
      <c r="I9831" s="2" t="s">
        <v>40066</v>
      </c>
      <c r="K9831" s="2" t="s">
        <v>40067</v>
      </c>
      <c r="L9831" s="2" t="s">
        <v>222</v>
      </c>
      <c r="M9831" s="2">
        <v>91306.0</v>
      </c>
      <c r="N9831" s="2" t="s">
        <v>21</v>
      </c>
    </row>
    <row r="9832" ht="15.75" customHeight="1">
      <c r="A9832" s="2">
        <v>2018.0</v>
      </c>
      <c r="B9832" s="2" t="s">
        <v>40068</v>
      </c>
      <c r="C9832" s="2" t="s">
        <v>40069</v>
      </c>
      <c r="D9832" s="2" t="str">
        <f>"540-317-0627"</f>
        <v>540-317-0627</v>
      </c>
      <c r="E9832" s="2" t="s">
        <v>12401</v>
      </c>
      <c r="F9832" s="2" t="s">
        <v>12769</v>
      </c>
      <c r="G9832" s="2" t="str">
        <f>"SR-13682"</f>
        <v>SR-13682</v>
      </c>
      <c r="H9832" s="2" t="s">
        <v>40070</v>
      </c>
      <c r="I9832" s="2" t="s">
        <v>40071</v>
      </c>
      <c r="K9832" s="2" t="s">
        <v>10305</v>
      </c>
      <c r="L9832" s="2" t="s">
        <v>222</v>
      </c>
      <c r="M9832" s="2">
        <v>95819.0</v>
      </c>
      <c r="N9832" s="2" t="s">
        <v>21</v>
      </c>
    </row>
    <row r="9833" ht="15.75" customHeight="1">
      <c r="A9833" s="2">
        <v>2018.0</v>
      </c>
      <c r="B9833" s="2" t="s">
        <v>23919</v>
      </c>
      <c r="C9833" s="2" t="s">
        <v>40072</v>
      </c>
      <c r="D9833" s="2" t="str">
        <f>"9016743372"</f>
        <v>9016743372</v>
      </c>
      <c r="E9833" s="2" t="s">
        <v>301</v>
      </c>
      <c r="F9833" s="2" t="s">
        <v>23922</v>
      </c>
      <c r="G9833" s="2" t="str">
        <f>"SR-13783"</f>
        <v>SR-13783</v>
      </c>
      <c r="H9833" s="2" t="s">
        <v>40073</v>
      </c>
      <c r="I9833" s="2" t="s">
        <v>40074</v>
      </c>
      <c r="K9833" s="2" t="s">
        <v>9257</v>
      </c>
      <c r="L9833" s="2" t="s">
        <v>279</v>
      </c>
      <c r="M9833" s="2">
        <v>38138.0</v>
      </c>
      <c r="N9833" s="2" t="s">
        <v>21</v>
      </c>
    </row>
    <row r="9834" ht="15.75" customHeight="1">
      <c r="A9834" s="2">
        <v>2018.0</v>
      </c>
      <c r="B9834" s="2" t="s">
        <v>40075</v>
      </c>
      <c r="C9834" s="2" t="s">
        <v>40076</v>
      </c>
      <c r="D9834" s="2" t="str">
        <f>"5207303114"</f>
        <v>5207303114</v>
      </c>
      <c r="E9834" s="2" t="s">
        <v>1185</v>
      </c>
      <c r="F9834" s="2" t="s">
        <v>40077</v>
      </c>
      <c r="G9834" s="2" t="str">
        <f>"SR-13231"</f>
        <v>SR-13231</v>
      </c>
      <c r="H9834" s="2" t="s">
        <v>40078</v>
      </c>
      <c r="I9834" s="2" t="s">
        <v>40079</v>
      </c>
      <c r="K9834" s="2" t="s">
        <v>3431</v>
      </c>
      <c r="L9834" s="2" t="s">
        <v>208</v>
      </c>
      <c r="M9834" s="2">
        <v>33621.0</v>
      </c>
      <c r="N9834" s="2" t="s">
        <v>21</v>
      </c>
    </row>
    <row r="9835" ht="15.75" customHeight="1">
      <c r="A9835" s="2">
        <v>2018.0</v>
      </c>
      <c r="B9835" s="2" t="s">
        <v>40080</v>
      </c>
      <c r="C9835" s="2" t="s">
        <v>40081</v>
      </c>
      <c r="D9835" s="2" t="str">
        <f>"9038756006"</f>
        <v>9038756006</v>
      </c>
      <c r="E9835" s="2" t="s">
        <v>40082</v>
      </c>
      <c r="F9835" s="2" t="s">
        <v>40083</v>
      </c>
      <c r="G9835" s="2" t="str">
        <f>"SR-13785"</f>
        <v>SR-13785</v>
      </c>
      <c r="H9835" s="2" t="s">
        <v>40084</v>
      </c>
      <c r="I9835" s="2" t="s">
        <v>40085</v>
      </c>
      <c r="K9835" s="2" t="s">
        <v>809</v>
      </c>
      <c r="L9835" s="2" t="s">
        <v>157</v>
      </c>
      <c r="M9835" s="2">
        <v>80924.0</v>
      </c>
      <c r="N9835" s="2" t="s">
        <v>21</v>
      </c>
    </row>
    <row r="9836" ht="15.75" customHeight="1">
      <c r="A9836" s="2">
        <v>2018.0</v>
      </c>
      <c r="B9836" s="2" t="s">
        <v>40086</v>
      </c>
      <c r="C9836" s="2" t="s">
        <v>40087</v>
      </c>
      <c r="D9836" s="2" t="str">
        <f>"9707655579"</f>
        <v>9707655579</v>
      </c>
      <c r="E9836" s="2" t="s">
        <v>8427</v>
      </c>
      <c r="F9836" s="2" t="s">
        <v>40088</v>
      </c>
      <c r="G9836" s="2" t="str">
        <f>"SR-13788"</f>
        <v>SR-13788</v>
      </c>
      <c r="H9836" s="2" t="s">
        <v>40089</v>
      </c>
      <c r="I9836" s="2" t="s">
        <v>40090</v>
      </c>
      <c r="K9836" s="2" t="s">
        <v>32284</v>
      </c>
      <c r="L9836" s="2" t="s">
        <v>157</v>
      </c>
      <c r="M9836" s="2">
        <v>81413.0</v>
      </c>
      <c r="N9836" s="2" t="s">
        <v>21</v>
      </c>
    </row>
    <row r="9837" ht="15.75" customHeight="1">
      <c r="A9837" s="2">
        <v>2018.0</v>
      </c>
      <c r="B9837" s="2" t="s">
        <v>40091</v>
      </c>
      <c r="C9837" s="2" t="s">
        <v>40092</v>
      </c>
      <c r="D9837" s="2" t="str">
        <f>"9704172857"</f>
        <v>9704172857</v>
      </c>
      <c r="E9837" s="2" t="s">
        <v>20336</v>
      </c>
      <c r="F9837" s="2" t="s">
        <v>9463</v>
      </c>
      <c r="G9837" s="2" t="str">
        <f>"SR-13537"</f>
        <v>SR-13537</v>
      </c>
      <c r="H9837" s="2" t="s">
        <v>40093</v>
      </c>
      <c r="I9837" s="2" t="s">
        <v>40094</v>
      </c>
      <c r="K9837" s="2" t="s">
        <v>32284</v>
      </c>
      <c r="L9837" s="2" t="s">
        <v>157</v>
      </c>
      <c r="M9837" s="2">
        <v>81413.0</v>
      </c>
      <c r="N9837" s="2" t="s">
        <v>21</v>
      </c>
    </row>
    <row r="9838" ht="15.75" customHeight="1">
      <c r="A9838" s="2">
        <v>2018.0</v>
      </c>
      <c r="B9838" s="2" t="s">
        <v>40095</v>
      </c>
      <c r="C9838" s="2" t="s">
        <v>40096</v>
      </c>
      <c r="D9838" s="2" t="str">
        <f>"5052595748"</f>
        <v>5052595748</v>
      </c>
      <c r="E9838" s="2" t="s">
        <v>2401</v>
      </c>
      <c r="F9838" s="2" t="s">
        <v>5338</v>
      </c>
      <c r="G9838" s="2" t="str">
        <f>"SR-13735"</f>
        <v>SR-13735</v>
      </c>
      <c r="H9838" s="2" t="s">
        <v>40097</v>
      </c>
      <c r="I9838" s="2" t="s">
        <v>25583</v>
      </c>
      <c r="K9838" s="2" t="s">
        <v>5341</v>
      </c>
      <c r="L9838" s="2" t="s">
        <v>789</v>
      </c>
      <c r="M9838" s="2">
        <v>87047.0</v>
      </c>
      <c r="N9838" s="2" t="s">
        <v>21</v>
      </c>
    </row>
    <row r="9839" ht="15.75" customHeight="1">
      <c r="A9839" s="2">
        <v>2018.0</v>
      </c>
      <c r="B9839" s="2" t="s">
        <v>40098</v>
      </c>
      <c r="C9839" s="2" t="s">
        <v>40099</v>
      </c>
      <c r="D9839" s="2" t="str">
        <f>"(954)-637-5450"</f>
        <v>(954)-637-5450</v>
      </c>
      <c r="E9839" s="2" t="s">
        <v>40100</v>
      </c>
      <c r="F9839" s="2" t="s">
        <v>40101</v>
      </c>
      <c r="G9839" s="2" t="str">
        <f>"SR-13424"</f>
        <v>SR-13424</v>
      </c>
      <c r="H9839" s="2" t="s">
        <v>40102</v>
      </c>
      <c r="I9839" s="2" t="s">
        <v>40103</v>
      </c>
      <c r="K9839" s="2" t="s">
        <v>4298</v>
      </c>
      <c r="L9839" s="2" t="s">
        <v>149</v>
      </c>
      <c r="M9839" s="2">
        <v>46825.0</v>
      </c>
      <c r="N9839" s="2" t="s">
        <v>21</v>
      </c>
    </row>
    <row r="9840" ht="15.75" customHeight="1">
      <c r="A9840" s="2">
        <v>2018.0</v>
      </c>
      <c r="B9840" s="2" t="s">
        <v>40104</v>
      </c>
      <c r="C9840" s="2" t="s">
        <v>40104</v>
      </c>
      <c r="D9840" s="2" t="str">
        <f>"(260) 704 3041"</f>
        <v>(260) 704 3041</v>
      </c>
      <c r="E9840" s="2" t="s">
        <v>1548</v>
      </c>
      <c r="F9840" s="2" t="s">
        <v>40105</v>
      </c>
      <c r="G9840" s="2" t="str">
        <f>"SR-13403"</f>
        <v>SR-13403</v>
      </c>
      <c r="H9840" s="2" t="s">
        <v>40106</v>
      </c>
      <c r="I9840" s="2" t="s">
        <v>40107</v>
      </c>
      <c r="K9840" s="2" t="s">
        <v>4298</v>
      </c>
      <c r="L9840" s="2" t="s">
        <v>149</v>
      </c>
      <c r="M9840" s="2">
        <v>46845.0</v>
      </c>
      <c r="N9840" s="2" t="s">
        <v>21</v>
      </c>
    </row>
    <row r="9841" ht="15.75" customHeight="1">
      <c r="A9841" s="2">
        <v>2018.0</v>
      </c>
      <c r="B9841" s="2" t="s">
        <v>40108</v>
      </c>
      <c r="C9841" s="2" t="s">
        <v>40108</v>
      </c>
      <c r="D9841" s="2" t="str">
        <f>"9039229973"</f>
        <v>9039229973</v>
      </c>
      <c r="E9841" s="2" t="s">
        <v>160</v>
      </c>
      <c r="F9841" s="2" t="s">
        <v>34354</v>
      </c>
      <c r="G9841" s="2" t="str">
        <f>"SR-13770"</f>
        <v>SR-13770</v>
      </c>
      <c r="H9841" s="2" t="s">
        <v>40109</v>
      </c>
      <c r="I9841" s="2" t="s">
        <v>40110</v>
      </c>
      <c r="K9841" s="2" t="s">
        <v>40111</v>
      </c>
      <c r="L9841" s="2" t="s">
        <v>1012</v>
      </c>
      <c r="M9841" s="2">
        <v>72770.0</v>
      </c>
      <c r="N9841" s="2" t="s">
        <v>21</v>
      </c>
    </row>
    <row r="9842" ht="15.75" customHeight="1">
      <c r="A9842" s="2">
        <v>2018.0</v>
      </c>
      <c r="B9842" s="2" t="s">
        <v>40112</v>
      </c>
      <c r="C9842" s="2" t="s">
        <v>40112</v>
      </c>
      <c r="D9842" s="2" t="str">
        <f>"2604600061"</f>
        <v>2604600061</v>
      </c>
      <c r="E9842" s="2" t="s">
        <v>5347</v>
      </c>
      <c r="F9842" s="2" t="s">
        <v>40113</v>
      </c>
      <c r="G9842" s="2" t="str">
        <f>"SR-13408"</f>
        <v>SR-13408</v>
      </c>
      <c r="H9842" s="2" t="s">
        <v>40114</v>
      </c>
      <c r="I9842" s="2" t="s">
        <v>40115</v>
      </c>
      <c r="K9842" s="2" t="s">
        <v>6312</v>
      </c>
      <c r="L9842" s="2" t="s">
        <v>149</v>
      </c>
      <c r="M9842" s="2">
        <v>46706.0</v>
      </c>
      <c r="N9842" s="2" t="s">
        <v>21</v>
      </c>
    </row>
    <row r="9843" ht="15.75" customHeight="1">
      <c r="A9843" s="2">
        <v>2018.0</v>
      </c>
      <c r="B9843" s="2" t="s">
        <v>40116</v>
      </c>
      <c r="C9843" s="2" t="s">
        <v>40116</v>
      </c>
      <c r="D9843" s="2" t="str">
        <f>"8632141926"</f>
        <v>8632141926</v>
      </c>
      <c r="E9843" s="2" t="s">
        <v>590</v>
      </c>
      <c r="F9843" s="2" t="s">
        <v>40117</v>
      </c>
      <c r="G9843" s="2" t="str">
        <f>"SR-13714"</f>
        <v>SR-13714</v>
      </c>
      <c r="H9843" s="2" t="s">
        <v>40118</v>
      </c>
      <c r="I9843" s="2" t="s">
        <v>40119</v>
      </c>
      <c r="K9843" s="2" t="s">
        <v>33007</v>
      </c>
      <c r="L9843" s="2" t="s">
        <v>208</v>
      </c>
      <c r="M9843" s="2">
        <v>33875.0</v>
      </c>
      <c r="N9843" s="2" t="s">
        <v>21</v>
      </c>
    </row>
    <row r="9844" ht="15.75" customHeight="1">
      <c r="A9844" s="2">
        <v>2018.0</v>
      </c>
      <c r="B9844" s="2" t="s">
        <v>24158</v>
      </c>
      <c r="C9844" s="2" t="s">
        <v>40120</v>
      </c>
      <c r="D9844" s="2" t="str">
        <f>"919-820-7056"</f>
        <v>919-820-7056</v>
      </c>
      <c r="E9844" s="2" t="s">
        <v>456</v>
      </c>
      <c r="F9844" s="2" t="s">
        <v>24160</v>
      </c>
      <c r="G9844" s="2" t="str">
        <f>"SR-13775"</f>
        <v>SR-13775</v>
      </c>
      <c r="H9844" s="2" t="s">
        <v>40121</v>
      </c>
      <c r="I9844" s="2" t="s">
        <v>24162</v>
      </c>
      <c r="K9844" s="2" t="s">
        <v>2378</v>
      </c>
      <c r="L9844" s="2" t="s">
        <v>20</v>
      </c>
      <c r="M9844" s="2">
        <v>27527.0</v>
      </c>
      <c r="N9844" s="2" t="s">
        <v>21</v>
      </c>
    </row>
    <row r="9845" ht="15.75" customHeight="1">
      <c r="A9845" s="2">
        <v>2018.0</v>
      </c>
      <c r="B9845" s="2" t="s">
        <v>40122</v>
      </c>
      <c r="C9845" s="2" t="s">
        <v>40123</v>
      </c>
      <c r="D9845" s="2" t="str">
        <f>"3083907466"</f>
        <v>3083907466</v>
      </c>
      <c r="E9845" s="2" t="s">
        <v>1548</v>
      </c>
      <c r="F9845" s="2" t="s">
        <v>40124</v>
      </c>
      <c r="G9845" s="2" t="str">
        <f>"SR-13790"</f>
        <v>SR-13790</v>
      </c>
      <c r="H9845" s="2" t="s">
        <v>40125</v>
      </c>
      <c r="I9845" s="2" t="s">
        <v>40126</v>
      </c>
      <c r="K9845" s="2" t="s">
        <v>14870</v>
      </c>
      <c r="L9845" s="2" t="s">
        <v>757</v>
      </c>
      <c r="M9845" s="2">
        <v>68845.0</v>
      </c>
      <c r="N9845" s="2" t="s">
        <v>21</v>
      </c>
    </row>
    <row r="9846" ht="15.75" customHeight="1">
      <c r="A9846" s="2">
        <v>2018.0</v>
      </c>
      <c r="B9846" s="2" t="s">
        <v>40127</v>
      </c>
      <c r="C9846" s="2" t="s">
        <v>40128</v>
      </c>
      <c r="D9846" s="2" t="str">
        <f>"1-252-503-8247"</f>
        <v>1-252-503-8247</v>
      </c>
      <c r="E9846" s="2" t="s">
        <v>15048</v>
      </c>
      <c r="F9846" s="2" t="s">
        <v>40129</v>
      </c>
      <c r="G9846" s="2" t="str">
        <f>"SR-13352"</f>
        <v>SR-13352</v>
      </c>
      <c r="H9846" s="2" t="s">
        <v>40130</v>
      </c>
      <c r="I9846" s="2" t="s">
        <v>40131</v>
      </c>
      <c r="K9846" s="2" t="s">
        <v>40132</v>
      </c>
      <c r="L9846" s="2" t="s">
        <v>20</v>
      </c>
      <c r="M9846" s="2">
        <v>28584.0</v>
      </c>
      <c r="N9846" s="2" t="s">
        <v>21</v>
      </c>
    </row>
    <row r="9847" ht="15.75" customHeight="1">
      <c r="A9847" s="2">
        <v>2018.0</v>
      </c>
      <c r="B9847" s="2" t="s">
        <v>40133</v>
      </c>
      <c r="C9847" s="2" t="s">
        <v>40134</v>
      </c>
      <c r="D9847" s="2" t="str">
        <f>"317-503-7011"</f>
        <v>317-503-7011</v>
      </c>
      <c r="E9847" s="2" t="s">
        <v>9197</v>
      </c>
      <c r="F9847" s="2" t="s">
        <v>40135</v>
      </c>
      <c r="G9847" s="2" t="str">
        <f>"SR-13792"</f>
        <v>SR-13792</v>
      </c>
      <c r="H9847" s="2" t="s">
        <v>40136</v>
      </c>
      <c r="I9847" s="2" t="s">
        <v>40137</v>
      </c>
      <c r="K9847" s="2" t="s">
        <v>3464</v>
      </c>
      <c r="L9847" s="2" t="s">
        <v>149</v>
      </c>
      <c r="M9847" s="2">
        <v>46158.0</v>
      </c>
      <c r="N9847" s="2" t="s">
        <v>21</v>
      </c>
    </row>
    <row r="9848" ht="15.75" customHeight="1">
      <c r="A9848" s="2">
        <v>2018.0</v>
      </c>
      <c r="B9848" s="2" t="s">
        <v>40138</v>
      </c>
      <c r="C9848" s="2" t="s">
        <v>40139</v>
      </c>
      <c r="D9848" s="2" t="str">
        <f>"850-543-1373"</f>
        <v>850-543-1373</v>
      </c>
      <c r="E9848" s="2" t="s">
        <v>6266</v>
      </c>
      <c r="F9848" s="2" t="s">
        <v>1859</v>
      </c>
      <c r="G9848" s="2" t="str">
        <f>"SR-13798"</f>
        <v>SR-13798</v>
      </c>
      <c r="H9848" s="2" t="s">
        <v>40140</v>
      </c>
      <c r="I9848" s="2" t="s">
        <v>40141</v>
      </c>
      <c r="K9848" s="2" t="s">
        <v>1889</v>
      </c>
      <c r="L9848" s="2" t="s">
        <v>157</v>
      </c>
      <c r="M9848" s="2">
        <v>80127.0</v>
      </c>
      <c r="N9848" s="2" t="s">
        <v>21</v>
      </c>
    </row>
    <row r="9849" ht="15.75" customHeight="1">
      <c r="A9849" s="2">
        <v>2018.0</v>
      </c>
      <c r="B9849" s="2" t="s">
        <v>25260</v>
      </c>
      <c r="C9849" s="2" t="s">
        <v>40142</v>
      </c>
      <c r="D9849" s="2" t="str">
        <f>"1-408-763-9225"</f>
        <v>1-408-763-9225</v>
      </c>
      <c r="E9849" s="2" t="s">
        <v>21870</v>
      </c>
      <c r="F9849" s="2" t="s">
        <v>25262</v>
      </c>
      <c r="G9849" s="2" t="str">
        <f>"SR-13083"</f>
        <v>SR-13083</v>
      </c>
      <c r="H9849" s="2" t="s">
        <v>40143</v>
      </c>
      <c r="I9849" s="2" t="s">
        <v>40144</v>
      </c>
      <c r="K9849" s="2" t="s">
        <v>25265</v>
      </c>
      <c r="L9849" s="2" t="s">
        <v>222</v>
      </c>
      <c r="M9849" s="2">
        <v>95020.0</v>
      </c>
      <c r="N9849" s="2" t="s">
        <v>21</v>
      </c>
    </row>
    <row r="9850" ht="15.75" customHeight="1">
      <c r="A9850" s="2">
        <v>2018.0</v>
      </c>
      <c r="B9850" s="2" t="s">
        <v>40145</v>
      </c>
      <c r="C9850" s="2" t="s">
        <v>40146</v>
      </c>
      <c r="D9850" s="2" t="str">
        <f>"516-732-9280"</f>
        <v>516-732-9280</v>
      </c>
      <c r="E9850" s="2" t="s">
        <v>40147</v>
      </c>
      <c r="F9850" s="2" t="s">
        <v>679</v>
      </c>
      <c r="G9850" s="2" t="str">
        <f>"SR-13797"</f>
        <v>SR-13797</v>
      </c>
      <c r="H9850" s="2" t="s">
        <v>40148</v>
      </c>
      <c r="I9850" s="2" t="s">
        <v>40149</v>
      </c>
      <c r="K9850" s="2" t="s">
        <v>40150</v>
      </c>
      <c r="L9850" s="2" t="s">
        <v>142</v>
      </c>
      <c r="M9850" s="2">
        <v>11762.0</v>
      </c>
      <c r="N9850" s="2" t="s">
        <v>21</v>
      </c>
    </row>
    <row r="9851" ht="15.75" customHeight="1">
      <c r="A9851" s="2">
        <v>2018.0</v>
      </c>
      <c r="B9851" s="2" t="s">
        <v>40151</v>
      </c>
      <c r="C9851" s="2" t="s">
        <v>40151</v>
      </c>
      <c r="D9851" s="2" t="str">
        <f>"2605705166"</f>
        <v>2605705166</v>
      </c>
      <c r="E9851" s="2" t="s">
        <v>373</v>
      </c>
      <c r="F9851" s="2" t="s">
        <v>8787</v>
      </c>
      <c r="G9851" s="2" t="str">
        <f>"SR-13681"</f>
        <v>SR-13681</v>
      </c>
      <c r="H9851" s="2" t="s">
        <v>40152</v>
      </c>
      <c r="I9851" s="2" t="s">
        <v>40153</v>
      </c>
      <c r="K9851" s="2" t="s">
        <v>6312</v>
      </c>
      <c r="L9851" s="2" t="s">
        <v>149</v>
      </c>
      <c r="M9851" s="2">
        <v>46706.0</v>
      </c>
      <c r="N9851" s="2" t="s">
        <v>21</v>
      </c>
    </row>
    <row r="9852" ht="15.75" customHeight="1">
      <c r="A9852" s="2">
        <v>2018.0</v>
      </c>
      <c r="B9852" s="2" t="s">
        <v>40154</v>
      </c>
      <c r="C9852" s="2" t="s">
        <v>40154</v>
      </c>
      <c r="D9852" s="2" t="str">
        <f>"612 402 1347"</f>
        <v>612 402 1347</v>
      </c>
      <c r="E9852" s="2" t="s">
        <v>282</v>
      </c>
      <c r="F9852" s="2" t="s">
        <v>39173</v>
      </c>
      <c r="G9852" s="2" t="str">
        <f>"SR-13291"</f>
        <v>SR-13291</v>
      </c>
      <c r="H9852" s="2" t="s">
        <v>40155</v>
      </c>
      <c r="I9852" s="2" t="s">
        <v>39175</v>
      </c>
      <c r="K9852" s="2" t="s">
        <v>33785</v>
      </c>
      <c r="L9852" s="2" t="s">
        <v>62</v>
      </c>
      <c r="M9852" s="2">
        <v>55321.0</v>
      </c>
      <c r="N9852" s="2" t="s">
        <v>21</v>
      </c>
    </row>
    <row r="9853" ht="15.75" customHeight="1">
      <c r="A9853" s="2">
        <v>2018.0</v>
      </c>
      <c r="B9853" s="2" t="s">
        <v>9905</v>
      </c>
      <c r="C9853" s="2" t="s">
        <v>40156</v>
      </c>
      <c r="D9853" s="2" t="str">
        <f>"1-269-479-2870"</f>
        <v>1-269-479-2870</v>
      </c>
      <c r="E9853" s="2" t="s">
        <v>503</v>
      </c>
      <c r="F9853" s="2" t="s">
        <v>17831</v>
      </c>
      <c r="G9853" s="2" t="str">
        <f>"SR-13395"</f>
        <v>SR-13395</v>
      </c>
      <c r="H9853" s="2" t="s">
        <v>40157</v>
      </c>
      <c r="I9853" s="2" t="s">
        <v>40158</v>
      </c>
      <c r="K9853" s="2" t="s">
        <v>9910</v>
      </c>
      <c r="L9853" s="2" t="s">
        <v>29</v>
      </c>
      <c r="M9853" s="2">
        <v>49120.0</v>
      </c>
      <c r="N9853" s="2" t="s">
        <v>21</v>
      </c>
    </row>
    <row r="9854" ht="15.75" customHeight="1">
      <c r="A9854" s="2">
        <v>2018.0</v>
      </c>
      <c r="B9854" s="2" t="s">
        <v>40159</v>
      </c>
      <c r="C9854" s="2" t="s">
        <v>40159</v>
      </c>
      <c r="D9854" s="2" t="str">
        <f>"3077721032"</f>
        <v>3077721032</v>
      </c>
      <c r="E9854" s="2" t="s">
        <v>339</v>
      </c>
      <c r="F9854" s="2" t="s">
        <v>701</v>
      </c>
      <c r="G9854" s="2" t="str">
        <f>"SR-13808"</f>
        <v>SR-13808</v>
      </c>
      <c r="H9854" s="2" t="s">
        <v>40160</v>
      </c>
      <c r="I9854" s="2" t="s">
        <v>40161</v>
      </c>
      <c r="K9854" s="2" t="s">
        <v>10638</v>
      </c>
      <c r="L9854" s="2" t="s">
        <v>1540</v>
      </c>
      <c r="M9854" s="2">
        <v>82007.0</v>
      </c>
      <c r="N9854" s="2" t="s">
        <v>21</v>
      </c>
    </row>
    <row r="9855" ht="15.75" customHeight="1">
      <c r="A9855" s="2">
        <v>2018.0</v>
      </c>
      <c r="B9855" s="2" t="s">
        <v>40162</v>
      </c>
      <c r="C9855" s="2" t="s">
        <v>40163</v>
      </c>
      <c r="D9855" s="2" t="str">
        <f>"901-833-4015"</f>
        <v>901-833-4015</v>
      </c>
      <c r="E9855" s="2" t="s">
        <v>1107</v>
      </c>
      <c r="F9855" s="2" t="s">
        <v>21136</v>
      </c>
      <c r="G9855" s="2" t="str">
        <f>"SR-13018"</f>
        <v>SR-13018</v>
      </c>
      <c r="H9855" s="2" t="s">
        <v>40164</v>
      </c>
      <c r="I9855" s="2" t="s">
        <v>40165</v>
      </c>
      <c r="K9855" s="2" t="s">
        <v>7551</v>
      </c>
      <c r="L9855" s="2" t="s">
        <v>1722</v>
      </c>
      <c r="M9855" s="2">
        <v>38671.0</v>
      </c>
      <c r="N9855" s="2" t="s">
        <v>21</v>
      </c>
    </row>
    <row r="9856" ht="15.75" customHeight="1">
      <c r="A9856" s="2">
        <v>2018.0</v>
      </c>
      <c r="B9856" s="2" t="s">
        <v>40166</v>
      </c>
      <c r="C9856" s="2" t="s">
        <v>40166</v>
      </c>
      <c r="D9856" s="2" t="str">
        <f>"8607726032"</f>
        <v>8607726032</v>
      </c>
      <c r="E9856" s="2" t="s">
        <v>678</v>
      </c>
      <c r="F9856" s="2" t="s">
        <v>23001</v>
      </c>
      <c r="G9856" s="2" t="str">
        <f>"SR-13743"</f>
        <v>SR-13743</v>
      </c>
      <c r="H9856" s="2" t="s">
        <v>40167</v>
      </c>
      <c r="I9856" s="2" t="s">
        <v>26430</v>
      </c>
      <c r="K9856" s="2" t="s">
        <v>26431</v>
      </c>
      <c r="L9856" s="2" t="s">
        <v>4836</v>
      </c>
      <c r="M9856" s="2">
        <v>6339.0</v>
      </c>
      <c r="N9856" s="2" t="s">
        <v>21</v>
      </c>
    </row>
    <row r="9857" ht="15.75" customHeight="1">
      <c r="A9857" s="2">
        <v>2018.0</v>
      </c>
      <c r="B9857" s="2" t="s">
        <v>40168</v>
      </c>
      <c r="C9857" s="2" t="s">
        <v>40168</v>
      </c>
      <c r="D9857" s="2" t="str">
        <f>"9734050908"</f>
        <v>9734050908</v>
      </c>
      <c r="E9857" s="2" t="s">
        <v>1803</v>
      </c>
      <c r="F9857" s="2" t="s">
        <v>1045</v>
      </c>
      <c r="G9857" s="2" t="str">
        <f>"SR-13071"</f>
        <v>SR-13071</v>
      </c>
      <c r="H9857" s="2" t="s">
        <v>40169</v>
      </c>
      <c r="I9857" s="2" t="s">
        <v>40170</v>
      </c>
      <c r="K9857" s="2" t="s">
        <v>40171</v>
      </c>
      <c r="L9857" s="2" t="s">
        <v>179</v>
      </c>
      <c r="M9857" s="2">
        <v>18360.0</v>
      </c>
      <c r="N9857" s="2" t="s">
        <v>21</v>
      </c>
    </row>
    <row r="9858" ht="15.75" customHeight="1">
      <c r="A9858" s="2">
        <v>2018.0</v>
      </c>
      <c r="B9858" s="2" t="s">
        <v>28757</v>
      </c>
      <c r="C9858" s="2" t="s">
        <v>28758</v>
      </c>
      <c r="D9858" s="2" t="str">
        <f>"772-567-0462"</f>
        <v>772-567-0462</v>
      </c>
      <c r="E9858" s="2" t="s">
        <v>239</v>
      </c>
      <c r="F9858" s="2" t="s">
        <v>3903</v>
      </c>
      <c r="G9858" s="2" t="str">
        <f>"SR-8920"</f>
        <v>SR-8920</v>
      </c>
      <c r="H9858" s="2" t="s">
        <v>28759</v>
      </c>
      <c r="I9858" s="2" t="s">
        <v>20329</v>
      </c>
      <c r="K9858" s="2" t="s">
        <v>11560</v>
      </c>
      <c r="L9858" s="2" t="s">
        <v>208</v>
      </c>
      <c r="M9858" s="2">
        <v>32966.0</v>
      </c>
      <c r="N9858" s="2" t="s">
        <v>21</v>
      </c>
    </row>
    <row r="9859" ht="15.75" customHeight="1">
      <c r="A9859" s="2">
        <v>2018.0</v>
      </c>
      <c r="B9859" s="2" t="s">
        <v>40172</v>
      </c>
      <c r="C9859" s="2" t="s">
        <v>40172</v>
      </c>
      <c r="D9859" s="2" t="str">
        <f>"574-334-6784"</f>
        <v>574-334-6784</v>
      </c>
      <c r="E9859" s="2" t="s">
        <v>40173</v>
      </c>
      <c r="F9859" s="2" t="s">
        <v>10215</v>
      </c>
      <c r="G9859" s="2" t="str">
        <f>"SR-13774"</f>
        <v>SR-13774</v>
      </c>
      <c r="H9859" s="2" t="s">
        <v>40174</v>
      </c>
      <c r="I9859" s="2" t="s">
        <v>40175</v>
      </c>
      <c r="K9859" s="2" t="s">
        <v>9910</v>
      </c>
      <c r="L9859" s="2" t="s">
        <v>29</v>
      </c>
      <c r="M9859" s="2">
        <v>49120.0</v>
      </c>
      <c r="N9859" s="2" t="s">
        <v>21</v>
      </c>
    </row>
    <row r="9860" ht="15.75" customHeight="1">
      <c r="A9860" s="2">
        <v>2018.0</v>
      </c>
      <c r="B9860" s="2" t="s">
        <v>40176</v>
      </c>
      <c r="C9860" s="2" t="s">
        <v>40176</v>
      </c>
      <c r="D9860" s="2" t="str">
        <f>"479-418-3610"</f>
        <v>479-418-3610</v>
      </c>
      <c r="E9860" s="2" t="s">
        <v>2851</v>
      </c>
      <c r="F9860" s="2" t="s">
        <v>94</v>
      </c>
      <c r="G9860" s="2" t="str">
        <f>"SR-13641"</f>
        <v>SR-13641</v>
      </c>
      <c r="H9860" s="2" t="s">
        <v>40177</v>
      </c>
      <c r="I9860" s="2" t="s">
        <v>40178</v>
      </c>
      <c r="K9860" s="2" t="s">
        <v>3040</v>
      </c>
      <c r="L9860" s="2" t="s">
        <v>1012</v>
      </c>
      <c r="M9860" s="2">
        <v>72761.0</v>
      </c>
      <c r="N9860" s="2" t="s">
        <v>21</v>
      </c>
    </row>
    <row r="9861" ht="15.75" customHeight="1">
      <c r="A9861" s="2">
        <v>2018.0</v>
      </c>
      <c r="B9861" s="2" t="s">
        <v>40179</v>
      </c>
      <c r="C9861" s="2" t="s">
        <v>40180</v>
      </c>
      <c r="D9861" s="2" t="str">
        <f>"540-855-1611"</f>
        <v>540-855-1611</v>
      </c>
      <c r="E9861" s="2" t="s">
        <v>1141</v>
      </c>
      <c r="F9861" s="2" t="s">
        <v>4888</v>
      </c>
      <c r="G9861" s="2" t="str">
        <f>"SR-13811"</f>
        <v>SR-13811</v>
      </c>
      <c r="H9861" s="2" t="s">
        <v>40181</v>
      </c>
      <c r="I9861" s="2" t="s">
        <v>40182</v>
      </c>
      <c r="K9861" s="2" t="s">
        <v>4577</v>
      </c>
      <c r="L9861" s="2" t="s">
        <v>165</v>
      </c>
      <c r="M9861" s="2">
        <v>24012.0</v>
      </c>
      <c r="N9861" s="2" t="s">
        <v>21</v>
      </c>
    </row>
    <row r="9862" ht="15.75" customHeight="1">
      <c r="A9862" s="2">
        <v>2018.0</v>
      </c>
      <c r="B9862" s="2" t="s">
        <v>40183</v>
      </c>
      <c r="C9862" s="2" t="s">
        <v>40183</v>
      </c>
      <c r="D9862" s="2" t="str">
        <f>"7176794915"</f>
        <v>7176794915</v>
      </c>
      <c r="E9862" s="2" t="s">
        <v>23508</v>
      </c>
      <c r="F9862" s="2" t="s">
        <v>645</v>
      </c>
      <c r="G9862" s="2" t="str">
        <f>"SR-13704"</f>
        <v>SR-13704</v>
      </c>
      <c r="H9862" s="2" t="s">
        <v>40184</v>
      </c>
      <c r="I9862" s="2" t="s">
        <v>40185</v>
      </c>
      <c r="K9862" s="2" t="s">
        <v>12164</v>
      </c>
      <c r="L9862" s="2" t="s">
        <v>179</v>
      </c>
      <c r="M9862" s="2">
        <v>17026.0</v>
      </c>
      <c r="N9862" s="2" t="s">
        <v>21</v>
      </c>
    </row>
    <row r="9863" ht="15.75" customHeight="1">
      <c r="A9863" s="2">
        <v>2018.0</v>
      </c>
      <c r="B9863" s="2" t="s">
        <v>40186</v>
      </c>
      <c r="C9863" s="2" t="s">
        <v>40186</v>
      </c>
      <c r="D9863" s="2" t="str">
        <f>"1-269-985-3024"</f>
        <v>1-269-985-3024</v>
      </c>
      <c r="E9863" s="2" t="s">
        <v>1015</v>
      </c>
      <c r="F9863" s="2" t="s">
        <v>4484</v>
      </c>
      <c r="G9863" s="2" t="str">
        <f>"SR-13800"</f>
        <v>SR-13800</v>
      </c>
      <c r="H9863" s="2" t="s">
        <v>40187</v>
      </c>
      <c r="I9863" s="2" t="s">
        <v>40188</v>
      </c>
      <c r="J9863" s="2" t="s">
        <v>40189</v>
      </c>
      <c r="K9863" s="2" t="s">
        <v>40</v>
      </c>
      <c r="L9863" s="2" t="s">
        <v>29</v>
      </c>
      <c r="M9863" s="2">
        <v>49504.0</v>
      </c>
      <c r="N9863" s="2" t="s">
        <v>21</v>
      </c>
    </row>
    <row r="9864" ht="15.75" customHeight="1">
      <c r="A9864" s="2">
        <v>2018.0</v>
      </c>
      <c r="B9864" s="2" t="s">
        <v>31942</v>
      </c>
      <c r="C9864" s="2" t="s">
        <v>31942</v>
      </c>
      <c r="D9864" s="2" t="str">
        <f t="shared" ref="D9864:D9865" si="165">"6145616226"</f>
        <v>6145616226</v>
      </c>
      <c r="E9864" s="2" t="s">
        <v>2941</v>
      </c>
      <c r="F9864" s="2" t="s">
        <v>31944</v>
      </c>
      <c r="G9864" s="2" t="str">
        <f>"SR-10373"</f>
        <v>SR-10373</v>
      </c>
      <c r="H9864" s="2" t="s">
        <v>31955</v>
      </c>
      <c r="I9864" s="2" t="s">
        <v>31946</v>
      </c>
      <c r="K9864" s="2" t="s">
        <v>343</v>
      </c>
      <c r="L9864" s="2" t="s">
        <v>344</v>
      </c>
      <c r="M9864" s="2">
        <v>43021.0</v>
      </c>
      <c r="N9864" s="2" t="s">
        <v>21</v>
      </c>
    </row>
    <row r="9865" ht="15.75" customHeight="1">
      <c r="A9865" s="2">
        <v>2018.0</v>
      </c>
      <c r="B9865" s="2" t="s">
        <v>31942</v>
      </c>
      <c r="C9865" s="2" t="s">
        <v>31943</v>
      </c>
      <c r="D9865" s="2" t="str">
        <f t="shared" si="165"/>
        <v>6145616226</v>
      </c>
      <c r="E9865" s="2" t="s">
        <v>2162</v>
      </c>
      <c r="F9865" s="2" t="s">
        <v>31944</v>
      </c>
      <c r="G9865" s="2" t="str">
        <f>"SR-10371"</f>
        <v>SR-10371</v>
      </c>
      <c r="H9865" s="2" t="s">
        <v>31945</v>
      </c>
      <c r="I9865" s="2" t="s">
        <v>31946</v>
      </c>
      <c r="K9865" s="2" t="s">
        <v>343</v>
      </c>
      <c r="L9865" s="2" t="s">
        <v>344</v>
      </c>
      <c r="M9865" s="2">
        <v>43021.0</v>
      </c>
      <c r="N9865" s="2" t="s">
        <v>21</v>
      </c>
    </row>
    <row r="9866" ht="15.75" customHeight="1">
      <c r="A9866" s="2">
        <v>2018.0</v>
      </c>
      <c r="B9866" s="2" t="s">
        <v>2910</v>
      </c>
      <c r="C9866" s="2" t="s">
        <v>40190</v>
      </c>
      <c r="D9866" s="2" t="str">
        <f>"9725394571"</f>
        <v>9725394571</v>
      </c>
      <c r="E9866" s="2" t="s">
        <v>1642</v>
      </c>
      <c r="F9866" s="2" t="s">
        <v>2913</v>
      </c>
      <c r="G9866" s="2" t="str">
        <f>"SR-13812"</f>
        <v>SR-13812</v>
      </c>
      <c r="H9866" s="2" t="s">
        <v>40191</v>
      </c>
      <c r="I9866" s="2" t="s">
        <v>40192</v>
      </c>
      <c r="K9866" s="2" t="s">
        <v>2643</v>
      </c>
      <c r="L9866" s="2" t="s">
        <v>172</v>
      </c>
      <c r="M9866" s="2">
        <v>75028.0</v>
      </c>
      <c r="N9866" s="2" t="s">
        <v>21</v>
      </c>
    </row>
    <row r="9867" ht="15.75" customHeight="1">
      <c r="A9867" s="2">
        <v>2018.0</v>
      </c>
      <c r="B9867" s="2" t="s">
        <v>40193</v>
      </c>
      <c r="C9867" s="2" t="s">
        <v>40193</v>
      </c>
      <c r="D9867" s="2" t="str">
        <f>"952-923-0702"</f>
        <v>952-923-0702</v>
      </c>
      <c r="E9867" s="2" t="s">
        <v>1529</v>
      </c>
      <c r="F9867" s="2" t="s">
        <v>8134</v>
      </c>
      <c r="G9867" s="2" t="str">
        <f>"SR-13815"</f>
        <v>SR-13815</v>
      </c>
      <c r="H9867" s="2" t="s">
        <v>40194</v>
      </c>
      <c r="I9867" s="2" t="s">
        <v>40195</v>
      </c>
      <c r="K9867" s="2" t="s">
        <v>834</v>
      </c>
      <c r="L9867" s="2" t="s">
        <v>62</v>
      </c>
      <c r="M9867" s="2">
        <v>55024.0</v>
      </c>
      <c r="N9867" s="2" t="s">
        <v>21</v>
      </c>
    </row>
    <row r="9868" ht="15.75" customHeight="1">
      <c r="A9868" s="2">
        <v>2018.0</v>
      </c>
      <c r="B9868" s="2" t="s">
        <v>40196</v>
      </c>
      <c r="C9868" s="2" t="s">
        <v>40197</v>
      </c>
      <c r="D9868" s="2" t="str">
        <f>"915-219-0214"</f>
        <v>915-219-0214</v>
      </c>
      <c r="E9868" s="2" t="s">
        <v>40198</v>
      </c>
      <c r="F9868" s="2" t="s">
        <v>40199</v>
      </c>
      <c r="G9868" s="2" t="str">
        <f>"SR-13817"</f>
        <v>SR-13817</v>
      </c>
      <c r="H9868" s="2" t="s">
        <v>40200</v>
      </c>
      <c r="I9868" s="2" t="s">
        <v>40201</v>
      </c>
      <c r="K9868" s="2" t="s">
        <v>21247</v>
      </c>
      <c r="L9868" s="2" t="s">
        <v>172</v>
      </c>
      <c r="M9868" s="2">
        <v>79925.0</v>
      </c>
      <c r="N9868" s="2" t="s">
        <v>21</v>
      </c>
    </row>
    <row r="9869" ht="15.75" customHeight="1">
      <c r="A9869" s="2">
        <v>2018.0</v>
      </c>
      <c r="B9869" s="2" t="s">
        <v>40202</v>
      </c>
      <c r="C9869" s="2" t="s">
        <v>40203</v>
      </c>
      <c r="D9869" s="2" t="str">
        <f>"2672186575"</f>
        <v>2672186575</v>
      </c>
      <c r="E9869" s="2" t="s">
        <v>40204</v>
      </c>
      <c r="F9869" s="2" t="s">
        <v>40205</v>
      </c>
      <c r="G9869" s="2" t="str">
        <f>"SR-13818"</f>
        <v>SR-13818</v>
      </c>
      <c r="H9869" s="2" t="s">
        <v>40206</v>
      </c>
      <c r="I9869" s="2" t="s">
        <v>40207</v>
      </c>
      <c r="K9869" s="2" t="s">
        <v>1814</v>
      </c>
      <c r="L9869" s="2" t="s">
        <v>214</v>
      </c>
      <c r="M9869" s="2">
        <v>64131.0</v>
      </c>
      <c r="N9869" s="2" t="s">
        <v>21</v>
      </c>
    </row>
    <row r="9870" ht="15.75" customHeight="1">
      <c r="A9870" s="2">
        <v>2018.0</v>
      </c>
      <c r="B9870" s="2" t="s">
        <v>40208</v>
      </c>
      <c r="C9870" s="2" t="s">
        <v>40209</v>
      </c>
      <c r="D9870" s="2" t="str">
        <f>"910-734-2789"</f>
        <v>910-734-2789</v>
      </c>
      <c r="E9870" s="2" t="s">
        <v>167</v>
      </c>
      <c r="F9870" s="2" t="s">
        <v>40210</v>
      </c>
      <c r="G9870" s="2" t="str">
        <f>"SR-13820"</f>
        <v>SR-13820</v>
      </c>
      <c r="H9870" s="2" t="s">
        <v>40211</v>
      </c>
      <c r="I9870" s="2" t="s">
        <v>40212</v>
      </c>
      <c r="K9870" s="2" t="s">
        <v>40213</v>
      </c>
      <c r="L9870" s="2" t="s">
        <v>20</v>
      </c>
      <c r="M9870" s="2">
        <v>28384.0</v>
      </c>
      <c r="N9870" s="2" t="s">
        <v>21</v>
      </c>
    </row>
    <row r="9871" ht="15.75" customHeight="1">
      <c r="A9871" s="2">
        <v>2018.0</v>
      </c>
      <c r="B9871" s="2" t="s">
        <v>31960</v>
      </c>
      <c r="C9871" s="2" t="s">
        <v>31961</v>
      </c>
      <c r="D9871" s="2" t="str">
        <f>"9108592468"</f>
        <v>9108592468</v>
      </c>
      <c r="E9871" s="2" t="s">
        <v>2306</v>
      </c>
      <c r="F9871" s="2" t="s">
        <v>2548</v>
      </c>
      <c r="G9871" s="2" t="str">
        <f>"SR-10258"</f>
        <v>SR-10258</v>
      </c>
      <c r="H9871" s="2" t="s">
        <v>31962</v>
      </c>
      <c r="I9871" s="2" t="s">
        <v>31963</v>
      </c>
      <c r="K9871" s="2" t="s">
        <v>23449</v>
      </c>
      <c r="L9871" s="2" t="s">
        <v>279</v>
      </c>
      <c r="M9871" s="2">
        <v>37343.0</v>
      </c>
      <c r="N9871" s="2" t="s">
        <v>21</v>
      </c>
    </row>
    <row r="9872" ht="15.75" customHeight="1">
      <c r="A9872" s="2">
        <v>2018.0</v>
      </c>
      <c r="B9872" s="2" t="s">
        <v>40214</v>
      </c>
      <c r="C9872" s="2" t="s">
        <v>40215</v>
      </c>
      <c r="D9872" s="2" t="str">
        <f>"719-482-5970"</f>
        <v>719-482-5970</v>
      </c>
      <c r="E9872" s="2" t="s">
        <v>40216</v>
      </c>
      <c r="F9872" s="2" t="s">
        <v>40217</v>
      </c>
      <c r="G9872" s="2" t="str">
        <f>"SR-13723"</f>
        <v>SR-13723</v>
      </c>
      <c r="H9872" s="2" t="s">
        <v>40218</v>
      </c>
      <c r="I9872" s="2" t="s">
        <v>40219</v>
      </c>
      <c r="K9872" s="2" t="s">
        <v>1398</v>
      </c>
      <c r="L9872" s="2" t="s">
        <v>157</v>
      </c>
      <c r="M9872" s="2">
        <v>80104.0</v>
      </c>
      <c r="N9872" s="2" t="s">
        <v>21</v>
      </c>
    </row>
    <row r="9873" ht="15.75" customHeight="1">
      <c r="A9873" s="2">
        <v>2018.0</v>
      </c>
      <c r="B9873" s="2" t="s">
        <v>40220</v>
      </c>
      <c r="C9873" s="2" t="s">
        <v>40221</v>
      </c>
      <c r="D9873" s="2" t="str">
        <f>"518-795-5414"</f>
        <v>518-795-5414</v>
      </c>
      <c r="E9873" s="2" t="s">
        <v>29808</v>
      </c>
      <c r="F9873" s="2" t="s">
        <v>13397</v>
      </c>
      <c r="G9873" s="2" t="str">
        <f>"SR-13821"</f>
        <v>SR-13821</v>
      </c>
      <c r="H9873" s="2" t="s">
        <v>40222</v>
      </c>
      <c r="I9873" s="2" t="s">
        <v>40223</v>
      </c>
      <c r="K9873" s="2" t="s">
        <v>40224</v>
      </c>
      <c r="L9873" s="2" t="s">
        <v>142</v>
      </c>
      <c r="M9873" s="2">
        <v>12496.0</v>
      </c>
      <c r="N9873" s="2" t="s">
        <v>21</v>
      </c>
    </row>
    <row r="9874" ht="15.75" customHeight="1">
      <c r="A9874" s="2">
        <v>2018.0</v>
      </c>
      <c r="B9874" s="2" t="s">
        <v>38962</v>
      </c>
      <c r="C9874" s="2" t="s">
        <v>40225</v>
      </c>
      <c r="D9874" s="2" t="str">
        <f>"8153192300"</f>
        <v>8153192300</v>
      </c>
      <c r="E9874" s="2" t="s">
        <v>33889</v>
      </c>
      <c r="F9874" s="2" t="s">
        <v>29573</v>
      </c>
      <c r="G9874" s="2" t="str">
        <f>"SR-13388"</f>
        <v>SR-13388</v>
      </c>
      <c r="H9874" s="2" t="s">
        <v>33890</v>
      </c>
      <c r="I9874" s="2" t="s">
        <v>40226</v>
      </c>
      <c r="K9874" s="2" t="s">
        <v>8373</v>
      </c>
      <c r="L9874" s="2" t="s">
        <v>105</v>
      </c>
      <c r="M9874" s="2">
        <v>61008.0</v>
      </c>
      <c r="N9874" s="2" t="s">
        <v>21</v>
      </c>
    </row>
    <row r="9875" ht="15.75" customHeight="1">
      <c r="A9875" s="2">
        <v>2018.0</v>
      </c>
      <c r="B9875" s="2" t="s">
        <v>40227</v>
      </c>
      <c r="C9875" s="2" t="s">
        <v>40228</v>
      </c>
      <c r="D9875" s="2" t="str">
        <f>"3209796279"</f>
        <v>3209796279</v>
      </c>
      <c r="E9875" s="2" t="s">
        <v>40229</v>
      </c>
      <c r="F9875" s="2" t="s">
        <v>690</v>
      </c>
      <c r="G9875" s="2" t="str">
        <f>"SR-13595"</f>
        <v>SR-13595</v>
      </c>
      <c r="H9875" s="2" t="s">
        <v>40230</v>
      </c>
      <c r="I9875" s="2" t="s">
        <v>692</v>
      </c>
      <c r="K9875" s="2" t="s">
        <v>61</v>
      </c>
      <c r="L9875" s="2" t="s">
        <v>62</v>
      </c>
      <c r="M9875" s="2">
        <v>56201.0</v>
      </c>
      <c r="N9875" s="2" t="s">
        <v>21</v>
      </c>
    </row>
    <row r="9876" ht="15.75" customHeight="1">
      <c r="A9876" s="2">
        <v>2018.0</v>
      </c>
      <c r="B9876" s="2" t="s">
        <v>40231</v>
      </c>
      <c r="C9876" s="2" t="s">
        <v>40232</v>
      </c>
      <c r="D9876" s="2" t="str">
        <f>"8452665028"</f>
        <v>8452665028</v>
      </c>
      <c r="E9876" s="2" t="s">
        <v>4968</v>
      </c>
      <c r="F9876" s="2" t="s">
        <v>13790</v>
      </c>
      <c r="G9876" s="2" t="str">
        <f>"SR-13033"</f>
        <v>SR-13033</v>
      </c>
      <c r="H9876" s="2" t="s">
        <v>40233</v>
      </c>
      <c r="I9876" s="2" t="s">
        <v>40234</v>
      </c>
      <c r="K9876" s="2" t="s">
        <v>40235</v>
      </c>
      <c r="L9876" s="2" t="s">
        <v>142</v>
      </c>
      <c r="M9876" s="2">
        <v>12514.0</v>
      </c>
      <c r="N9876" s="2" t="s">
        <v>21</v>
      </c>
    </row>
    <row r="9877" ht="15.75" customHeight="1">
      <c r="A9877" s="2">
        <v>2018.0</v>
      </c>
      <c r="B9877" s="2" t="s">
        <v>40236</v>
      </c>
      <c r="C9877" s="2" t="s">
        <v>40236</v>
      </c>
      <c r="D9877" s="2" t="str">
        <f>"806-679-4501"</f>
        <v>806-679-4501</v>
      </c>
      <c r="E9877" s="2" t="s">
        <v>167</v>
      </c>
      <c r="F9877" s="2" t="s">
        <v>40237</v>
      </c>
      <c r="G9877" s="2" t="str">
        <f>"SR-13540"</f>
        <v>SR-13540</v>
      </c>
      <c r="H9877" s="2" t="s">
        <v>40238</v>
      </c>
      <c r="I9877" s="2" t="s">
        <v>40239</v>
      </c>
      <c r="K9877" s="2" t="s">
        <v>14992</v>
      </c>
      <c r="L9877" s="2" t="s">
        <v>172</v>
      </c>
      <c r="M9877" s="2">
        <v>79114.0</v>
      </c>
      <c r="N9877" s="2" t="s">
        <v>21</v>
      </c>
    </row>
    <row r="9878" ht="15.75" customHeight="1">
      <c r="A9878" s="2">
        <v>2018.0</v>
      </c>
      <c r="B9878" s="2" t="s">
        <v>40240</v>
      </c>
      <c r="C9878" s="2" t="s">
        <v>40240</v>
      </c>
      <c r="D9878" s="2" t="str">
        <f>"4027182909"</f>
        <v>4027182909</v>
      </c>
      <c r="E9878" s="2" t="s">
        <v>203</v>
      </c>
      <c r="F9878" s="2" t="s">
        <v>1848</v>
      </c>
      <c r="G9878" s="2" t="str">
        <f>"SR-13671"</f>
        <v>SR-13671</v>
      </c>
      <c r="H9878" s="2" t="s">
        <v>40241</v>
      </c>
      <c r="I9878" s="2" t="s">
        <v>40242</v>
      </c>
      <c r="K9878" s="2" t="s">
        <v>40243</v>
      </c>
      <c r="L9878" s="2" t="s">
        <v>539</v>
      </c>
      <c r="M9878" s="2">
        <v>36507.0</v>
      </c>
      <c r="N9878" s="2" t="s">
        <v>21</v>
      </c>
    </row>
    <row r="9879" ht="15.75" customHeight="1">
      <c r="A9879" s="2">
        <v>2018.0</v>
      </c>
      <c r="B9879" s="2" t="s">
        <v>40244</v>
      </c>
      <c r="C9879" s="2" t="s">
        <v>40245</v>
      </c>
      <c r="D9879" s="2" t="str">
        <f>"8643227117"</f>
        <v>8643227117</v>
      </c>
      <c r="E9879" s="2" t="s">
        <v>217</v>
      </c>
      <c r="F9879" s="2" t="s">
        <v>3898</v>
      </c>
      <c r="G9879" s="2" t="str">
        <f>"SR-13124"</f>
        <v>SR-13124</v>
      </c>
      <c r="H9879" s="2" t="s">
        <v>40246</v>
      </c>
      <c r="I9879" s="2" t="s">
        <v>3900</v>
      </c>
      <c r="K9879" s="2" t="s">
        <v>3385</v>
      </c>
      <c r="L9879" s="2" t="s">
        <v>55</v>
      </c>
      <c r="M9879" s="2">
        <v>29650.0</v>
      </c>
      <c r="N9879" s="2" t="s">
        <v>21</v>
      </c>
    </row>
    <row r="9880" ht="15.75" customHeight="1">
      <c r="A9880" s="2">
        <v>2018.0</v>
      </c>
      <c r="B9880" s="2" t="s">
        <v>30081</v>
      </c>
      <c r="C9880" s="2" t="s">
        <v>30082</v>
      </c>
      <c r="D9880" s="2" t="str">
        <f t="shared" ref="D9880:D9881" si="166">"‚Ä≠936-465-2866"</f>
        <v>‚Ä≠936-465-2866</v>
      </c>
      <c r="E9880" s="2" t="s">
        <v>1032</v>
      </c>
      <c r="F9880" s="2" t="s">
        <v>30083</v>
      </c>
      <c r="G9880" s="2" t="str">
        <f>"SR-9379"</f>
        <v>SR-9379</v>
      </c>
      <c r="H9880" s="2" t="s">
        <v>30084</v>
      </c>
      <c r="I9880" s="2" t="s">
        <v>30085</v>
      </c>
      <c r="K9880" s="2" t="s">
        <v>7113</v>
      </c>
      <c r="L9880" s="2" t="s">
        <v>172</v>
      </c>
      <c r="M9880" s="2">
        <v>75904.0</v>
      </c>
      <c r="N9880" s="2" t="s">
        <v>21</v>
      </c>
    </row>
    <row r="9881" ht="15.75" customHeight="1">
      <c r="A9881" s="2">
        <v>2018.0</v>
      </c>
      <c r="B9881" s="2" t="s">
        <v>30081</v>
      </c>
      <c r="C9881" s="2" t="s">
        <v>32903</v>
      </c>
      <c r="D9881" s="2" t="str">
        <f t="shared" si="166"/>
        <v>‚Ä≠936-465-2866</v>
      </c>
      <c r="E9881" s="2" t="s">
        <v>1015</v>
      </c>
      <c r="F9881" s="2" t="s">
        <v>30083</v>
      </c>
      <c r="G9881" s="2" t="str">
        <f>"SR-10708"</f>
        <v>SR-10708</v>
      </c>
      <c r="H9881" s="2" t="s">
        <v>32904</v>
      </c>
      <c r="I9881" s="2" t="s">
        <v>30085</v>
      </c>
      <c r="K9881" s="2" t="s">
        <v>7113</v>
      </c>
      <c r="L9881" s="2" t="s">
        <v>172</v>
      </c>
      <c r="M9881" s="2">
        <v>75904.0</v>
      </c>
      <c r="N9881" s="2" t="s">
        <v>21</v>
      </c>
    </row>
    <row r="9882" ht="15.75" customHeight="1">
      <c r="A9882" s="2">
        <v>2018.0</v>
      </c>
      <c r="B9882" s="2" t="s">
        <v>40247</v>
      </c>
      <c r="C9882" s="2" t="s">
        <v>40247</v>
      </c>
      <c r="D9882" s="2" t="str">
        <f>"615-967-7843"</f>
        <v>615-967-7843</v>
      </c>
      <c r="E9882" s="2" t="s">
        <v>1208</v>
      </c>
      <c r="F9882" s="2" t="s">
        <v>40248</v>
      </c>
      <c r="G9882" s="2" t="str">
        <f>"SR-13566"</f>
        <v>SR-13566</v>
      </c>
      <c r="H9882" s="2" t="s">
        <v>40249</v>
      </c>
      <c r="I9882" s="2" t="s">
        <v>40250</v>
      </c>
      <c r="K9882" s="2" t="s">
        <v>40251</v>
      </c>
      <c r="L9882" s="2" t="s">
        <v>279</v>
      </c>
      <c r="M9882" s="2">
        <v>37013.0</v>
      </c>
      <c r="N9882" s="2" t="s">
        <v>21</v>
      </c>
    </row>
    <row r="9883" ht="15.75" customHeight="1">
      <c r="A9883" s="2">
        <v>2018.0</v>
      </c>
      <c r="B9883" s="2" t="s">
        <v>36001</v>
      </c>
      <c r="C9883" s="2" t="s">
        <v>40252</v>
      </c>
      <c r="D9883" s="2" t="str">
        <f>"205-422-3547"</f>
        <v>205-422-3547</v>
      </c>
      <c r="E9883" s="2" t="s">
        <v>1725</v>
      </c>
      <c r="F9883" s="2" t="s">
        <v>639</v>
      </c>
      <c r="G9883" s="2" t="str">
        <f>"SR-13404"</f>
        <v>SR-13404</v>
      </c>
      <c r="H9883" s="2" t="s">
        <v>40253</v>
      </c>
      <c r="I9883" s="2" t="s">
        <v>40254</v>
      </c>
      <c r="K9883" s="2" t="s">
        <v>22576</v>
      </c>
      <c r="L9883" s="2" t="s">
        <v>539</v>
      </c>
      <c r="M9883" s="2">
        <v>35186.0</v>
      </c>
      <c r="N9883" s="2" t="s">
        <v>21</v>
      </c>
    </row>
    <row r="9884" ht="15.75" customHeight="1">
      <c r="A9884" s="2">
        <v>2018.0</v>
      </c>
      <c r="B9884" s="2" t="s">
        <v>40255</v>
      </c>
      <c r="C9884" s="2" t="s">
        <v>40256</v>
      </c>
      <c r="D9884" s="2" t="str">
        <f>"60123271700"</f>
        <v>60123271700</v>
      </c>
      <c r="E9884" s="2" t="s">
        <v>27853</v>
      </c>
      <c r="F9884" s="2" t="s">
        <v>15136</v>
      </c>
      <c r="G9884" s="2" t="str">
        <f>"SR-13823"</f>
        <v>SR-13823</v>
      </c>
      <c r="H9884" s="2" t="s">
        <v>40257</v>
      </c>
      <c r="I9884" s="2" t="s">
        <v>40258</v>
      </c>
      <c r="J9884" s="2" t="s">
        <v>40259</v>
      </c>
      <c r="K9884" s="2" t="s">
        <v>40260</v>
      </c>
      <c r="L9884" s="2" t="s">
        <v>40261</v>
      </c>
      <c r="M9884" s="2">
        <v>40460.0</v>
      </c>
      <c r="N9884" s="2" t="s">
        <v>2075</v>
      </c>
    </row>
    <row r="9885" ht="15.75" customHeight="1">
      <c r="A9885" s="2">
        <v>2018.0</v>
      </c>
      <c r="B9885" s="2" t="s">
        <v>40262</v>
      </c>
      <c r="C9885" s="2" t="s">
        <v>40263</v>
      </c>
      <c r="D9885" s="2" t="str">
        <f>"9287101781"</f>
        <v>9287101781</v>
      </c>
      <c r="E9885" s="2" t="s">
        <v>453</v>
      </c>
      <c r="F9885" s="2" t="s">
        <v>40264</v>
      </c>
      <c r="G9885" s="2" t="str">
        <f>"SR-13831"</f>
        <v>SR-13831</v>
      </c>
      <c r="H9885" s="2" t="s">
        <v>40265</v>
      </c>
      <c r="I9885" s="2" t="s">
        <v>40266</v>
      </c>
      <c r="K9885" s="2" t="s">
        <v>36133</v>
      </c>
      <c r="L9885" s="2" t="s">
        <v>179</v>
      </c>
      <c r="M9885" s="2">
        <v>19335.0</v>
      </c>
      <c r="N9885" s="2" t="s">
        <v>21</v>
      </c>
    </row>
    <row r="9886" ht="15.75" customHeight="1">
      <c r="A9886" s="2">
        <v>2018.0</v>
      </c>
      <c r="B9886" s="2" t="s">
        <v>40267</v>
      </c>
      <c r="C9886" s="2" t="s">
        <v>40268</v>
      </c>
      <c r="D9886" s="2" t="str">
        <f>"5207305635"</f>
        <v>5207305635</v>
      </c>
      <c r="E9886" s="2" t="s">
        <v>16242</v>
      </c>
      <c r="F9886" s="2" t="s">
        <v>2598</v>
      </c>
      <c r="G9886" s="2" t="str">
        <f>"SR-13307"</f>
        <v>SR-13307</v>
      </c>
      <c r="H9886" s="2" t="s">
        <v>40269</v>
      </c>
      <c r="I9886" s="2" t="s">
        <v>40270</v>
      </c>
      <c r="K9886" s="2" t="s">
        <v>5946</v>
      </c>
      <c r="L9886" s="2" t="s">
        <v>422</v>
      </c>
      <c r="M9886" s="2">
        <v>85757.0</v>
      </c>
      <c r="N9886" s="2" t="s">
        <v>21</v>
      </c>
    </row>
    <row r="9887" ht="15.75" customHeight="1">
      <c r="A9887" s="2">
        <v>2018.0</v>
      </c>
      <c r="B9887" s="2" t="s">
        <v>40271</v>
      </c>
      <c r="C9887" s="2" t="s">
        <v>40272</v>
      </c>
      <c r="D9887" s="2" t="str">
        <f>"858-717-3999"</f>
        <v>858-717-3999</v>
      </c>
      <c r="E9887" s="2" t="s">
        <v>40273</v>
      </c>
      <c r="F9887" s="2" t="s">
        <v>40274</v>
      </c>
      <c r="G9887" s="2" t="str">
        <f>"SR-13679"</f>
        <v>SR-13679</v>
      </c>
      <c r="H9887" s="2" t="s">
        <v>40275</v>
      </c>
      <c r="I9887" s="2">
        <v>8285.0</v>
      </c>
      <c r="J9887" s="2" t="s">
        <v>40276</v>
      </c>
      <c r="K9887" s="2" t="s">
        <v>40277</v>
      </c>
      <c r="L9887" s="2" t="s">
        <v>222</v>
      </c>
      <c r="M9887" s="2">
        <v>92123.0</v>
      </c>
      <c r="N9887" s="2" t="s">
        <v>21</v>
      </c>
    </row>
    <row r="9888" ht="15.75" customHeight="1">
      <c r="A9888" s="2">
        <v>2018.0</v>
      </c>
      <c r="B9888" s="2" t="s">
        <v>40278</v>
      </c>
      <c r="C9888" s="2" t="s">
        <v>40278</v>
      </c>
      <c r="D9888" s="2" t="str">
        <f>"8582619835"</f>
        <v>8582619835</v>
      </c>
      <c r="E9888" s="2" t="s">
        <v>301</v>
      </c>
      <c r="F9888" s="2" t="s">
        <v>40279</v>
      </c>
      <c r="G9888" s="2" t="str">
        <f>"SR-13822"</f>
        <v>SR-13822</v>
      </c>
      <c r="H9888" s="2" t="s">
        <v>40280</v>
      </c>
      <c r="I9888" s="2" t="s">
        <v>40281</v>
      </c>
      <c r="K9888" s="2" t="s">
        <v>8250</v>
      </c>
      <c r="L9888" s="2" t="s">
        <v>222</v>
      </c>
      <c r="M9888" s="2">
        <v>92123.0</v>
      </c>
      <c r="N9888" s="2" t="s">
        <v>21</v>
      </c>
    </row>
    <row r="9889" ht="15.75" customHeight="1">
      <c r="A9889" s="2">
        <v>2018.0</v>
      </c>
      <c r="B9889" s="2" t="s">
        <v>40282</v>
      </c>
      <c r="C9889" s="2" t="s">
        <v>40283</v>
      </c>
      <c r="D9889" s="2" t="str">
        <f>"+6012 222 0666"</f>
        <v>+6012 222 0666</v>
      </c>
      <c r="E9889" s="2" t="s">
        <v>40284</v>
      </c>
      <c r="F9889" s="2" t="s">
        <v>2310</v>
      </c>
      <c r="G9889" s="2" t="str">
        <f>"SR-13787"</f>
        <v>SR-13787</v>
      </c>
      <c r="H9889" s="2" t="s">
        <v>40285</v>
      </c>
      <c r="I9889" s="2" t="s">
        <v>40286</v>
      </c>
      <c r="J9889" s="2" t="s">
        <v>40287</v>
      </c>
      <c r="K9889" s="2" t="s">
        <v>40260</v>
      </c>
      <c r="L9889" s="2" t="s">
        <v>40261</v>
      </c>
      <c r="M9889" s="2">
        <v>40170.0</v>
      </c>
      <c r="N9889" s="2" t="s">
        <v>2075</v>
      </c>
    </row>
    <row r="9890" ht="15.75" customHeight="1">
      <c r="A9890" s="2">
        <v>2018.0</v>
      </c>
      <c r="B9890" s="2" t="s">
        <v>40288</v>
      </c>
      <c r="C9890" s="2" t="s">
        <v>40288</v>
      </c>
      <c r="D9890" s="2" t="str">
        <f>"8156019407"</f>
        <v>8156019407</v>
      </c>
      <c r="E9890" s="2" t="s">
        <v>40289</v>
      </c>
      <c r="F9890" s="2" t="s">
        <v>40290</v>
      </c>
      <c r="G9890" s="2" t="str">
        <f>"SR-13691"</f>
        <v>SR-13691</v>
      </c>
      <c r="H9890" s="2" t="s">
        <v>40291</v>
      </c>
      <c r="I9890" s="2" t="s">
        <v>40292</v>
      </c>
      <c r="K9890" s="2" t="s">
        <v>382</v>
      </c>
      <c r="L9890" s="2" t="s">
        <v>105</v>
      </c>
      <c r="M9890" s="2">
        <v>61107.0</v>
      </c>
      <c r="N9890" s="2" t="s">
        <v>21</v>
      </c>
    </row>
    <row r="9891" ht="15.75" customHeight="1">
      <c r="A9891" s="2">
        <v>2018.0</v>
      </c>
      <c r="B9891" s="2" t="s">
        <v>40293</v>
      </c>
      <c r="C9891" s="2" t="s">
        <v>40293</v>
      </c>
      <c r="D9891" s="2" t="str">
        <f>"(541)981-3101"</f>
        <v>(541)981-3101</v>
      </c>
      <c r="E9891" s="2" t="s">
        <v>137</v>
      </c>
      <c r="F9891" s="2" t="s">
        <v>40294</v>
      </c>
      <c r="G9891" s="2" t="str">
        <f>"SR-13156"</f>
        <v>SR-13156</v>
      </c>
      <c r="H9891" s="2" t="s">
        <v>40295</v>
      </c>
      <c r="I9891" s="2" t="s">
        <v>40296</v>
      </c>
      <c r="K9891" s="2" t="s">
        <v>7670</v>
      </c>
      <c r="L9891" s="2" t="s">
        <v>2389</v>
      </c>
      <c r="M9891" s="2">
        <v>97321.0</v>
      </c>
      <c r="N9891" s="2" t="s">
        <v>21</v>
      </c>
    </row>
    <row r="9892" ht="15.75" customHeight="1">
      <c r="A9892" s="2">
        <v>2018.0</v>
      </c>
      <c r="B9892" s="2" t="s">
        <v>40297</v>
      </c>
      <c r="D9892" s="2" t="str">
        <f>""</f>
        <v/>
      </c>
      <c r="E9892" s="2" t="s">
        <v>1208</v>
      </c>
      <c r="F9892" s="2" t="s">
        <v>22584</v>
      </c>
      <c r="G9892" s="2" t="str">
        <f>"SR-13523"</f>
        <v>SR-13523</v>
      </c>
      <c r="H9892" s="2" t="s">
        <v>40298</v>
      </c>
    </row>
    <row r="9893" ht="15.75" customHeight="1">
      <c r="A9893" s="2">
        <v>2018.0</v>
      </c>
      <c r="B9893" s="2" t="s">
        <v>40299</v>
      </c>
      <c r="C9893" s="2" t="s">
        <v>40300</v>
      </c>
      <c r="D9893" s="2" t="str">
        <f>"5059480361"</f>
        <v>5059480361</v>
      </c>
      <c r="E9893" s="2" t="s">
        <v>7009</v>
      </c>
      <c r="F9893" s="2" t="s">
        <v>20600</v>
      </c>
      <c r="G9893" s="2" t="str">
        <f>"SR-13830"</f>
        <v>SR-13830</v>
      </c>
      <c r="H9893" s="2" t="s">
        <v>40301</v>
      </c>
      <c r="I9893" s="2" t="s">
        <v>40302</v>
      </c>
      <c r="K9893" s="2" t="s">
        <v>3705</v>
      </c>
      <c r="L9893" s="2" t="s">
        <v>789</v>
      </c>
      <c r="M9893" s="2">
        <v>87122.0</v>
      </c>
      <c r="N9893" s="2" t="s">
        <v>21</v>
      </c>
    </row>
    <row r="9894" ht="15.75" customHeight="1">
      <c r="A9894" s="2">
        <v>2018.0</v>
      </c>
      <c r="B9894" s="2" t="s">
        <v>39944</v>
      </c>
      <c r="C9894" s="2" t="s">
        <v>40303</v>
      </c>
      <c r="D9894" s="2" t="str">
        <f>"(64)21 08601603"</f>
        <v>(64)21 08601603</v>
      </c>
      <c r="E9894" s="2" t="s">
        <v>1208</v>
      </c>
      <c r="F9894" s="2" t="s">
        <v>39946</v>
      </c>
      <c r="G9894" s="2" t="str">
        <f>"SR-13695"</f>
        <v>SR-13695</v>
      </c>
      <c r="H9894" s="2" t="s">
        <v>40304</v>
      </c>
      <c r="I9894" s="2" t="s">
        <v>40305</v>
      </c>
      <c r="J9894" s="2" t="s">
        <v>39949</v>
      </c>
      <c r="K9894" s="2" t="s">
        <v>25356</v>
      </c>
      <c r="M9894" s="2">
        <v>2013.0</v>
      </c>
      <c r="N9894" s="2" t="s">
        <v>702</v>
      </c>
    </row>
    <row r="9895" ht="15.75" customHeight="1">
      <c r="A9895" s="2">
        <v>2018.0</v>
      </c>
      <c r="B9895" s="2" t="s">
        <v>40306</v>
      </c>
      <c r="C9895" s="2" t="s">
        <v>40307</v>
      </c>
      <c r="D9895" s="2" t="str">
        <f>"913-424-5765"</f>
        <v>913-424-5765</v>
      </c>
      <c r="E9895" s="2" t="s">
        <v>1987</v>
      </c>
      <c r="F9895" s="2" t="s">
        <v>639</v>
      </c>
      <c r="G9895" s="2" t="str">
        <f>"SR-13825"</f>
        <v>SR-13825</v>
      </c>
      <c r="H9895" s="2" t="s">
        <v>40308</v>
      </c>
      <c r="I9895" s="2" t="s">
        <v>40309</v>
      </c>
      <c r="K9895" s="2" t="s">
        <v>1814</v>
      </c>
      <c r="L9895" s="2" t="s">
        <v>272</v>
      </c>
      <c r="M9895" s="2">
        <v>66102.0</v>
      </c>
      <c r="N9895" s="2" t="s">
        <v>21</v>
      </c>
    </row>
    <row r="9896" ht="15.75" customHeight="1">
      <c r="A9896" s="2">
        <v>2018.0</v>
      </c>
      <c r="B9896" s="2" t="s">
        <v>30081</v>
      </c>
      <c r="C9896" s="2" t="s">
        <v>33171</v>
      </c>
      <c r="D9896" s="2" t="str">
        <f>"936-219-4787"</f>
        <v>936-219-4787</v>
      </c>
      <c r="E9896" s="2" t="s">
        <v>33172</v>
      </c>
      <c r="F9896" s="2" t="s">
        <v>30083</v>
      </c>
      <c r="G9896" s="2" t="str">
        <f>"SR-10707"</f>
        <v>SR-10707</v>
      </c>
      <c r="H9896" s="2" t="s">
        <v>33173</v>
      </c>
      <c r="I9896" s="2" t="s">
        <v>30085</v>
      </c>
      <c r="K9896" s="2" t="s">
        <v>7113</v>
      </c>
      <c r="L9896" s="2" t="s">
        <v>172</v>
      </c>
      <c r="M9896" s="2">
        <v>75904.0</v>
      </c>
      <c r="N9896" s="2" t="s">
        <v>21</v>
      </c>
    </row>
    <row r="9897" ht="15.75" customHeight="1">
      <c r="A9897" s="2">
        <v>2018.0</v>
      </c>
      <c r="B9897" s="2" t="s">
        <v>40310</v>
      </c>
      <c r="C9897" s="2" t="s">
        <v>40310</v>
      </c>
      <c r="D9897" s="2" t="str">
        <f>"610-363-7171"</f>
        <v>610-363-7171</v>
      </c>
      <c r="E9897" s="2" t="s">
        <v>225</v>
      </c>
      <c r="F9897" s="2" t="s">
        <v>40311</v>
      </c>
      <c r="G9897" s="2" t="str">
        <f>"SR-13832"</f>
        <v>SR-13832</v>
      </c>
      <c r="H9897" s="2" t="s">
        <v>40312</v>
      </c>
      <c r="I9897" s="2" t="s">
        <v>40313</v>
      </c>
      <c r="K9897" s="2" t="s">
        <v>40314</v>
      </c>
      <c r="L9897" s="2" t="s">
        <v>179</v>
      </c>
      <c r="M9897" s="2">
        <v>19320.0</v>
      </c>
      <c r="N9897" s="2" t="s">
        <v>21</v>
      </c>
    </row>
    <row r="9898" ht="15.75" customHeight="1">
      <c r="A9898" s="2">
        <v>2018.0</v>
      </c>
      <c r="B9898" s="2" t="s">
        <v>40315</v>
      </c>
      <c r="C9898" s="2" t="s">
        <v>40315</v>
      </c>
      <c r="D9898" s="2" t="str">
        <f>"8059078013"</f>
        <v>8059078013</v>
      </c>
      <c r="E9898" s="2" t="s">
        <v>33654</v>
      </c>
      <c r="F9898" s="2" t="s">
        <v>72</v>
      </c>
      <c r="G9898" s="2" t="str">
        <f>"SR-13828"</f>
        <v>SR-13828</v>
      </c>
      <c r="H9898" s="2" t="s">
        <v>40316</v>
      </c>
      <c r="I9898" s="2" t="s">
        <v>40317</v>
      </c>
      <c r="K9898" s="2" t="s">
        <v>40318</v>
      </c>
      <c r="L9898" s="2" t="s">
        <v>222</v>
      </c>
      <c r="M9898" s="2">
        <v>93065.0</v>
      </c>
      <c r="N9898" s="2" t="s">
        <v>21</v>
      </c>
    </row>
    <row r="9899" ht="15.75" customHeight="1">
      <c r="A9899" s="2">
        <v>2018.0</v>
      </c>
      <c r="B9899" s="2" t="s">
        <v>32683</v>
      </c>
      <c r="C9899" s="2" t="s">
        <v>40319</v>
      </c>
      <c r="D9899" s="2" t="str">
        <f>"3065866500"</f>
        <v>3065866500</v>
      </c>
      <c r="E9899" s="2" t="s">
        <v>40320</v>
      </c>
      <c r="F9899" s="2" t="s">
        <v>32686</v>
      </c>
      <c r="G9899" s="2" t="str">
        <f>"SR-13275"</f>
        <v>SR-13275</v>
      </c>
      <c r="H9899" s="2" t="s">
        <v>40321</v>
      </c>
      <c r="I9899" s="2" t="s">
        <v>32688</v>
      </c>
      <c r="K9899" s="2" t="s">
        <v>7336</v>
      </c>
      <c r="N9899" s="2" t="s">
        <v>1602</v>
      </c>
    </row>
    <row r="9900" ht="15.75" customHeight="1">
      <c r="A9900" s="2">
        <v>2018.0</v>
      </c>
      <c r="B9900" s="2" t="s">
        <v>40322</v>
      </c>
      <c r="C9900" s="2" t="s">
        <v>40323</v>
      </c>
      <c r="D9900" s="2" t="str">
        <f>"218-732-1389"</f>
        <v>218-732-1389</v>
      </c>
      <c r="E9900" s="2" t="s">
        <v>8649</v>
      </c>
      <c r="F9900" s="2" t="s">
        <v>5025</v>
      </c>
      <c r="G9900" s="2" t="str">
        <f>"SR-13405"</f>
        <v>SR-13405</v>
      </c>
      <c r="H9900" s="2" t="s">
        <v>40324</v>
      </c>
      <c r="I9900" s="2" t="s">
        <v>40325</v>
      </c>
      <c r="K9900" s="2" t="s">
        <v>11688</v>
      </c>
      <c r="L9900" s="2" t="s">
        <v>62</v>
      </c>
      <c r="M9900" s="2">
        <v>56470.0</v>
      </c>
      <c r="N9900" s="2" t="s">
        <v>21</v>
      </c>
    </row>
    <row r="9901" ht="15.75" customHeight="1">
      <c r="A9901" s="2">
        <v>2018.0</v>
      </c>
      <c r="B9901" s="2" t="s">
        <v>32006</v>
      </c>
      <c r="C9901" s="2" t="s">
        <v>40326</v>
      </c>
      <c r="D9901" s="2" t="str">
        <f>"214-926-8840"</f>
        <v>214-926-8840</v>
      </c>
      <c r="E9901" s="2" t="s">
        <v>4865</v>
      </c>
      <c r="F9901" s="2" t="s">
        <v>6612</v>
      </c>
      <c r="G9901" s="2" t="str">
        <f>"SR-13816"</f>
        <v>SR-13816</v>
      </c>
      <c r="H9901" s="2" t="s">
        <v>40327</v>
      </c>
      <c r="I9901" s="2" t="s">
        <v>32009</v>
      </c>
      <c r="K9901" s="2" t="s">
        <v>1255</v>
      </c>
      <c r="L9901" s="2" t="s">
        <v>172</v>
      </c>
      <c r="M9901" s="2">
        <v>75225.0</v>
      </c>
      <c r="N9901" s="2" t="s">
        <v>21</v>
      </c>
    </row>
    <row r="9902" ht="15.75" customHeight="1">
      <c r="A9902" s="2">
        <v>2018.0</v>
      </c>
      <c r="B9902" s="2" t="s">
        <v>40328</v>
      </c>
      <c r="C9902" s="2" t="s">
        <v>40329</v>
      </c>
      <c r="D9902" s="2" t="str">
        <f>"843-473-9010"</f>
        <v>843-473-9010</v>
      </c>
      <c r="E9902" s="2" t="s">
        <v>36331</v>
      </c>
      <c r="F9902" s="2" t="s">
        <v>40330</v>
      </c>
      <c r="G9902" s="2" t="str">
        <f>"SR-13763"</f>
        <v>SR-13763</v>
      </c>
      <c r="H9902" s="2" t="s">
        <v>40331</v>
      </c>
      <c r="I9902" s="2" t="s">
        <v>40332</v>
      </c>
      <c r="K9902" s="2" t="s">
        <v>26737</v>
      </c>
      <c r="L9902" s="2" t="s">
        <v>55</v>
      </c>
      <c r="M9902" s="2">
        <v>29902.0</v>
      </c>
      <c r="N9902" s="2" t="s">
        <v>21</v>
      </c>
    </row>
    <row r="9903" ht="15.75" customHeight="1">
      <c r="A9903" s="2">
        <v>2018.0</v>
      </c>
      <c r="B9903" s="2" t="s">
        <v>40333</v>
      </c>
      <c r="C9903" s="2" t="s">
        <v>40333</v>
      </c>
      <c r="D9903" s="2" t="str">
        <f>"4065510422"</f>
        <v>4065510422</v>
      </c>
      <c r="E9903" s="2" t="s">
        <v>24</v>
      </c>
      <c r="F9903" s="2" t="s">
        <v>40334</v>
      </c>
      <c r="G9903" s="2" t="str">
        <f>"SR-13710"</f>
        <v>SR-13710</v>
      </c>
      <c r="H9903" s="2" t="s">
        <v>40335</v>
      </c>
      <c r="I9903" s="2" t="s">
        <v>40336</v>
      </c>
      <c r="K9903" s="2" t="s">
        <v>6849</v>
      </c>
      <c r="L9903" s="2" t="s">
        <v>2696</v>
      </c>
      <c r="M9903" s="2">
        <v>59714.0</v>
      </c>
      <c r="N9903" s="2" t="s">
        <v>21</v>
      </c>
    </row>
    <row r="9904" ht="15.75" customHeight="1">
      <c r="A9904" s="2">
        <v>2018.0</v>
      </c>
      <c r="B9904" s="2" t="s">
        <v>40337</v>
      </c>
      <c r="C9904" s="2" t="s">
        <v>40337</v>
      </c>
      <c r="D9904" s="2" t="str">
        <f>"4062243245"</f>
        <v>4062243245</v>
      </c>
      <c r="E9904" s="2" t="s">
        <v>40338</v>
      </c>
      <c r="F9904" s="2" t="s">
        <v>40334</v>
      </c>
      <c r="G9904" s="2" t="str">
        <f>"SR-13709"</f>
        <v>SR-13709</v>
      </c>
      <c r="H9904" s="2" t="s">
        <v>40339</v>
      </c>
      <c r="I9904" s="2" t="s">
        <v>40336</v>
      </c>
      <c r="K9904" s="2" t="s">
        <v>6849</v>
      </c>
      <c r="L9904" s="2" t="s">
        <v>2696</v>
      </c>
      <c r="M9904" s="2">
        <v>59714.0</v>
      </c>
      <c r="N9904" s="2" t="s">
        <v>21</v>
      </c>
    </row>
    <row r="9905" ht="15.75" customHeight="1">
      <c r="A9905" s="2">
        <v>2018.0</v>
      </c>
      <c r="B9905" s="2" t="s">
        <v>40340</v>
      </c>
      <c r="C9905" s="2" t="s">
        <v>40340</v>
      </c>
      <c r="D9905" s="2" t="str">
        <f>"719-637-4304"</f>
        <v>719-637-4304</v>
      </c>
      <c r="E9905" s="2" t="s">
        <v>7145</v>
      </c>
      <c r="F9905" s="2" t="s">
        <v>2302</v>
      </c>
      <c r="G9905" s="2" t="str">
        <f>"SR-13639"</f>
        <v>SR-13639</v>
      </c>
      <c r="H9905" s="2" t="s">
        <v>40341</v>
      </c>
      <c r="I9905" s="2">
        <v>5173.0</v>
      </c>
      <c r="J9905" s="2" t="s">
        <v>40342</v>
      </c>
      <c r="K9905" s="2" t="s">
        <v>809</v>
      </c>
      <c r="L9905" s="2" t="s">
        <v>157</v>
      </c>
      <c r="M9905" s="2">
        <v>80923.0</v>
      </c>
      <c r="N9905" s="2" t="s">
        <v>21</v>
      </c>
    </row>
    <row r="9906" ht="15.75" customHeight="1">
      <c r="A9906" s="2">
        <v>2018.0</v>
      </c>
      <c r="B9906" s="2" t="s">
        <v>40343</v>
      </c>
      <c r="C9906" s="2" t="s">
        <v>40344</v>
      </c>
      <c r="D9906" s="2" t="str">
        <f>"407 702 0017"</f>
        <v>407 702 0017</v>
      </c>
      <c r="E9906" s="2" t="s">
        <v>2361</v>
      </c>
      <c r="F9906" s="2" t="s">
        <v>23474</v>
      </c>
      <c r="G9906" s="2" t="str">
        <f>"SR-13824"</f>
        <v>SR-13824</v>
      </c>
      <c r="H9906" s="2" t="s">
        <v>23475</v>
      </c>
      <c r="I9906" s="2">
        <v>889.0</v>
      </c>
      <c r="J9906" s="2" t="s">
        <v>40345</v>
      </c>
      <c r="K9906" s="2" t="s">
        <v>40346</v>
      </c>
      <c r="L9906" s="2" t="s">
        <v>208</v>
      </c>
      <c r="M9906" s="2">
        <v>32701.0</v>
      </c>
      <c r="N9906" s="2" t="s">
        <v>21</v>
      </c>
    </row>
    <row r="9907" ht="15.75" customHeight="1">
      <c r="A9907" s="2">
        <v>2018.0</v>
      </c>
      <c r="B9907" s="2" t="s">
        <v>40347</v>
      </c>
      <c r="C9907" s="2" t="s">
        <v>40348</v>
      </c>
      <c r="D9907" s="2" t="str">
        <f>"6622364951"</f>
        <v>6622364951</v>
      </c>
      <c r="E9907" s="2" t="s">
        <v>1094</v>
      </c>
      <c r="F9907" s="2" t="s">
        <v>40349</v>
      </c>
      <c r="G9907" s="2" t="str">
        <f>"SR-13837"</f>
        <v>SR-13837</v>
      </c>
      <c r="H9907" s="2" t="s">
        <v>40350</v>
      </c>
      <c r="I9907" s="2" t="s">
        <v>40351</v>
      </c>
      <c r="K9907" s="2" t="s">
        <v>24227</v>
      </c>
      <c r="L9907" s="2" t="s">
        <v>1722</v>
      </c>
      <c r="M9907" s="2">
        <v>38655.0</v>
      </c>
      <c r="N9907" s="2" t="s">
        <v>21</v>
      </c>
    </row>
    <row r="9908" ht="15.75" customHeight="1">
      <c r="A9908" s="2">
        <v>2018.0</v>
      </c>
      <c r="B9908" s="2" t="s">
        <v>40352</v>
      </c>
      <c r="D9908" s="2" t="str">
        <f>""</f>
        <v/>
      </c>
      <c r="E9908" s="2" t="s">
        <v>40353</v>
      </c>
      <c r="F9908" s="2" t="s">
        <v>40354</v>
      </c>
      <c r="G9908" s="2" t="str">
        <f>"SR-13796"</f>
        <v>SR-13796</v>
      </c>
      <c r="H9908" s="2" t="s">
        <v>40355</v>
      </c>
    </row>
    <row r="9909" ht="15.75" customHeight="1">
      <c r="A9909" s="2">
        <v>2018.0</v>
      </c>
      <c r="B9909" s="2" t="s">
        <v>24629</v>
      </c>
      <c r="C9909" s="2" t="s">
        <v>40356</v>
      </c>
      <c r="D9909" s="2" t="str">
        <f>"408-761-0580"</f>
        <v>408-761-0580</v>
      </c>
      <c r="E9909" s="2" t="s">
        <v>40357</v>
      </c>
      <c r="F9909" s="2" t="s">
        <v>9835</v>
      </c>
      <c r="G9909" s="2" t="str">
        <f>"SR-13804"</f>
        <v>SR-13804</v>
      </c>
      <c r="H9909" s="2" t="s">
        <v>40358</v>
      </c>
      <c r="I9909" s="2" t="s">
        <v>40359</v>
      </c>
      <c r="K9909" s="2" t="s">
        <v>40360</v>
      </c>
      <c r="L9909" s="2" t="s">
        <v>222</v>
      </c>
      <c r="M9909" s="2">
        <v>93654.0</v>
      </c>
      <c r="N9909" s="2" t="s">
        <v>21</v>
      </c>
    </row>
    <row r="9910" ht="15.75" customHeight="1">
      <c r="A9910" s="2">
        <v>2018.0</v>
      </c>
      <c r="B9910" s="2" t="s">
        <v>40361</v>
      </c>
      <c r="C9910" s="2" t="s">
        <v>40362</v>
      </c>
      <c r="D9910" s="2" t="str">
        <f>"484-889-2693"</f>
        <v>484-889-2693</v>
      </c>
      <c r="E9910" s="2" t="s">
        <v>659</v>
      </c>
      <c r="F9910" s="2" t="s">
        <v>3561</v>
      </c>
      <c r="G9910" s="2" t="str">
        <f>"SR-13833"</f>
        <v>SR-13833</v>
      </c>
      <c r="H9910" s="2" t="s">
        <v>40363</v>
      </c>
      <c r="I9910" s="2" t="s">
        <v>40364</v>
      </c>
      <c r="K9910" s="2" t="s">
        <v>40365</v>
      </c>
      <c r="L9910" s="2" t="s">
        <v>179</v>
      </c>
      <c r="M9910" s="2">
        <v>19343.0</v>
      </c>
      <c r="N9910" s="2" t="s">
        <v>21</v>
      </c>
    </row>
    <row r="9911" ht="15.75" customHeight="1">
      <c r="A9911" s="2">
        <v>2018.0</v>
      </c>
      <c r="B9911" s="2" t="s">
        <v>40366</v>
      </c>
      <c r="C9911" s="2" t="s">
        <v>40366</v>
      </c>
      <c r="D9911" s="2" t="str">
        <f>"9789957103"</f>
        <v>9789957103</v>
      </c>
      <c r="E9911" s="2" t="s">
        <v>3668</v>
      </c>
      <c r="F9911" s="2" t="s">
        <v>40367</v>
      </c>
      <c r="G9911" s="2" t="str">
        <f>"SR-13694"</f>
        <v>SR-13694</v>
      </c>
      <c r="H9911" s="2" t="s">
        <v>40368</v>
      </c>
      <c r="I9911" s="2" t="s">
        <v>40369</v>
      </c>
      <c r="K9911" s="2" t="s">
        <v>40370</v>
      </c>
      <c r="L9911" s="2" t="s">
        <v>4108</v>
      </c>
      <c r="M9911" s="2">
        <v>2151.0</v>
      </c>
      <c r="N9911" s="2" t="s">
        <v>21</v>
      </c>
    </row>
    <row r="9912" ht="15.75" customHeight="1">
      <c r="A9912" s="2">
        <v>2018.0</v>
      </c>
      <c r="B9912" s="2" t="s">
        <v>40371</v>
      </c>
      <c r="C9912" s="2" t="s">
        <v>40372</v>
      </c>
      <c r="D9912" s="2" t="str">
        <f>"5714885515"</f>
        <v>5714885515</v>
      </c>
      <c r="E9912" s="2" t="s">
        <v>908</v>
      </c>
      <c r="F9912" s="2" t="s">
        <v>1151</v>
      </c>
      <c r="G9912" s="2" t="str">
        <f>"SR-13838"</f>
        <v>SR-13838</v>
      </c>
      <c r="H9912" s="2" t="s">
        <v>40373</v>
      </c>
      <c r="I9912" s="2" t="s">
        <v>40374</v>
      </c>
      <c r="K9912" s="2" t="s">
        <v>40375</v>
      </c>
      <c r="L9912" s="2" t="s">
        <v>165</v>
      </c>
      <c r="M9912" s="2">
        <v>20152.0</v>
      </c>
      <c r="N9912" s="2" t="s">
        <v>21</v>
      </c>
    </row>
    <row r="9913" ht="15.75" customHeight="1">
      <c r="A9913" s="2">
        <v>2018.0</v>
      </c>
      <c r="B9913" s="2" t="s">
        <v>40376</v>
      </c>
      <c r="C9913" s="2" t="s">
        <v>40376</v>
      </c>
      <c r="D9913" s="2" t="str">
        <f>"5412900927"</f>
        <v>5412900927</v>
      </c>
      <c r="E9913" s="2" t="s">
        <v>1288</v>
      </c>
      <c r="F9913" s="2" t="s">
        <v>18752</v>
      </c>
      <c r="G9913" s="2" t="str">
        <f>"SR-13836"</f>
        <v>SR-13836</v>
      </c>
      <c r="H9913" s="2" t="s">
        <v>40377</v>
      </c>
      <c r="I9913" s="2" t="s">
        <v>18754</v>
      </c>
      <c r="K9913" s="2" t="s">
        <v>18755</v>
      </c>
      <c r="L9913" s="2" t="s">
        <v>2389</v>
      </c>
      <c r="M9913" s="2">
        <v>97458.0</v>
      </c>
      <c r="N9913" s="2" t="s">
        <v>21</v>
      </c>
    </row>
    <row r="9914" ht="15.75" customHeight="1">
      <c r="A9914" s="2">
        <v>2018.0</v>
      </c>
      <c r="B9914" s="2" t="s">
        <v>40378</v>
      </c>
      <c r="C9914" s="2" t="s">
        <v>40378</v>
      </c>
      <c r="D9914" s="2" t="str">
        <f>"719-377-1495"</f>
        <v>719-377-1495</v>
      </c>
      <c r="E9914" s="2" t="s">
        <v>17971</v>
      </c>
      <c r="F9914" s="2" t="s">
        <v>40379</v>
      </c>
      <c r="G9914" s="2" t="str">
        <f>"SR-13781"</f>
        <v>SR-13781</v>
      </c>
      <c r="H9914" s="2" t="s">
        <v>40380</v>
      </c>
      <c r="I9914" s="2" t="s">
        <v>40381</v>
      </c>
      <c r="K9914" s="2" t="s">
        <v>809</v>
      </c>
      <c r="L9914" s="2" t="s">
        <v>157</v>
      </c>
      <c r="M9914" s="2">
        <v>80917.0</v>
      </c>
      <c r="N9914" s="2" t="s">
        <v>21</v>
      </c>
    </row>
    <row r="9915" ht="15.75" customHeight="1">
      <c r="A9915" s="2">
        <v>2018.0</v>
      </c>
      <c r="B9915" s="2" t="s">
        <v>10721</v>
      </c>
      <c r="C9915" s="2" t="s">
        <v>40382</v>
      </c>
      <c r="D9915" s="2" t="str">
        <f>"763-428-7451"</f>
        <v>763-428-7451</v>
      </c>
      <c r="E9915" s="2" t="s">
        <v>453</v>
      </c>
      <c r="F9915" s="2" t="s">
        <v>10723</v>
      </c>
      <c r="G9915" s="2" t="str">
        <f>"SR-13136"</f>
        <v>SR-13136</v>
      </c>
      <c r="H9915" s="2" t="s">
        <v>40383</v>
      </c>
      <c r="I9915" s="2" t="s">
        <v>10725</v>
      </c>
      <c r="K9915" s="2" t="s">
        <v>11830</v>
      </c>
      <c r="L9915" s="2" t="s">
        <v>62</v>
      </c>
      <c r="M9915" s="2">
        <v>55376.0</v>
      </c>
      <c r="N9915" s="2" t="s">
        <v>21</v>
      </c>
    </row>
    <row r="9916" ht="15.75" customHeight="1">
      <c r="A9916" s="2">
        <v>2018.0</v>
      </c>
      <c r="B9916" s="2" t="s">
        <v>30896</v>
      </c>
      <c r="C9916" s="2" t="s">
        <v>30897</v>
      </c>
      <c r="D9916" s="2" t="str">
        <f>"4795305007"</f>
        <v>4795305007</v>
      </c>
      <c r="E9916" s="2" t="s">
        <v>9513</v>
      </c>
      <c r="F9916" s="2" t="s">
        <v>30898</v>
      </c>
      <c r="G9916" s="2" t="str">
        <f>"SR-8070"</f>
        <v>SR-8070</v>
      </c>
      <c r="H9916" s="2" t="s">
        <v>30899</v>
      </c>
      <c r="I9916" s="2" t="s">
        <v>30900</v>
      </c>
      <c r="K9916" s="2" t="s">
        <v>3164</v>
      </c>
      <c r="L9916" s="2" t="s">
        <v>1012</v>
      </c>
      <c r="M9916" s="2">
        <v>72704.0</v>
      </c>
      <c r="N9916" s="2" t="s">
        <v>21</v>
      </c>
    </row>
    <row r="9917" ht="15.75" customHeight="1">
      <c r="A9917" s="2">
        <v>2018.0</v>
      </c>
      <c r="B9917" s="2" t="s">
        <v>40384</v>
      </c>
      <c r="D9917" s="2" t="str">
        <f>""</f>
        <v/>
      </c>
      <c r="E9917" s="2" t="s">
        <v>456</v>
      </c>
      <c r="F9917" s="2" t="s">
        <v>967</v>
      </c>
      <c r="G9917" s="2" t="str">
        <f>"SR-13779"</f>
        <v>SR-13779</v>
      </c>
      <c r="H9917" s="2" t="s">
        <v>40385</v>
      </c>
      <c r="N9917" s="2" t="s">
        <v>21</v>
      </c>
    </row>
    <row r="9918" ht="15.75" customHeight="1">
      <c r="A9918" s="2">
        <v>2018.0</v>
      </c>
      <c r="B9918" s="2" t="s">
        <v>40386</v>
      </c>
      <c r="C9918" s="2" t="s">
        <v>40387</v>
      </c>
      <c r="D9918" s="2" t="str">
        <f>"7147978095"</f>
        <v>7147978095</v>
      </c>
      <c r="E9918" s="2" t="s">
        <v>40388</v>
      </c>
      <c r="F9918" s="2" t="s">
        <v>40389</v>
      </c>
      <c r="G9918" s="2" t="str">
        <f>"SR-13840"</f>
        <v>SR-13840</v>
      </c>
      <c r="H9918" s="2" t="s">
        <v>40390</v>
      </c>
      <c r="I9918" s="2" t="s">
        <v>40391</v>
      </c>
      <c r="K9918" s="2" t="s">
        <v>10557</v>
      </c>
      <c r="L9918" s="2" t="s">
        <v>222</v>
      </c>
      <c r="M9918" s="2">
        <v>91730.0</v>
      </c>
      <c r="N9918" s="2" t="s">
        <v>21</v>
      </c>
    </row>
    <row r="9919" ht="15.75" customHeight="1">
      <c r="A9919" s="2">
        <v>2018.0</v>
      </c>
      <c r="B9919" s="2" t="s">
        <v>22325</v>
      </c>
      <c r="C9919" s="2" t="s">
        <v>40392</v>
      </c>
      <c r="D9919" s="2" t="str">
        <f>"5209794565"</f>
        <v>5209794565</v>
      </c>
      <c r="E9919" s="2" t="s">
        <v>137</v>
      </c>
      <c r="F9919" s="2" t="s">
        <v>1175</v>
      </c>
      <c r="G9919" s="2" t="str">
        <f>"SR-13807"</f>
        <v>SR-13807</v>
      </c>
      <c r="H9919" s="2" t="s">
        <v>40393</v>
      </c>
      <c r="I9919" s="2" t="s">
        <v>22329</v>
      </c>
      <c r="K9919" s="2" t="s">
        <v>5946</v>
      </c>
      <c r="L9919" s="2" t="s">
        <v>422</v>
      </c>
      <c r="M9919" s="2">
        <v>85715.0</v>
      </c>
      <c r="N9919" s="2" t="s">
        <v>21</v>
      </c>
    </row>
    <row r="9920" ht="15.75" customHeight="1">
      <c r="A9920" s="2">
        <v>2018.0</v>
      </c>
      <c r="B9920" s="2" t="s">
        <v>39827</v>
      </c>
      <c r="C9920" s="2" t="s">
        <v>40394</v>
      </c>
      <c r="D9920" s="2" t="str">
        <f>"7122232088"</f>
        <v>7122232088</v>
      </c>
      <c r="E9920" s="2" t="s">
        <v>471</v>
      </c>
      <c r="F9920" s="2" t="s">
        <v>10257</v>
      </c>
      <c r="G9920" s="2" t="str">
        <f>"SR-13844"</f>
        <v>SR-13844</v>
      </c>
      <c r="H9920" s="2" t="s">
        <v>40395</v>
      </c>
      <c r="I9920" s="2" t="s">
        <v>40396</v>
      </c>
      <c r="K9920" s="2" t="s">
        <v>3392</v>
      </c>
      <c r="L9920" s="2" t="s">
        <v>272</v>
      </c>
      <c r="M9920" s="2">
        <v>66411.0</v>
      </c>
      <c r="N9920" s="2" t="s">
        <v>21</v>
      </c>
    </row>
    <row r="9921" ht="15.75" customHeight="1">
      <c r="A9921" s="2">
        <v>2018.0</v>
      </c>
      <c r="B9921" s="2" t="s">
        <v>40397</v>
      </c>
      <c r="C9921" s="2" t="s">
        <v>40398</v>
      </c>
      <c r="D9921" s="2" t="str">
        <f>"4102363569"</f>
        <v>4102363569</v>
      </c>
      <c r="E9921" s="2" t="s">
        <v>217</v>
      </c>
      <c r="F9921" s="2" t="s">
        <v>444</v>
      </c>
      <c r="G9921" s="2" t="str">
        <f>"SR-13839"</f>
        <v>SR-13839</v>
      </c>
      <c r="H9921" s="2" t="s">
        <v>40399</v>
      </c>
      <c r="I9921" s="2" t="s">
        <v>40400</v>
      </c>
      <c r="K9921" s="2" t="s">
        <v>421</v>
      </c>
      <c r="L9921" s="2" t="s">
        <v>1868</v>
      </c>
      <c r="M9921" s="2">
        <v>21131.0</v>
      </c>
      <c r="N9921" s="2" t="s">
        <v>21</v>
      </c>
    </row>
    <row r="9922" ht="15.75" customHeight="1">
      <c r="A9922" s="2">
        <v>2018.0</v>
      </c>
      <c r="B9922" s="2" t="s">
        <v>33423</v>
      </c>
      <c r="C9922" s="2" t="s">
        <v>33424</v>
      </c>
      <c r="D9922" s="2" t="str">
        <f>"8708672391"</f>
        <v>8708672391</v>
      </c>
      <c r="E9922" s="2" t="s">
        <v>1614</v>
      </c>
      <c r="F9922" s="2" t="s">
        <v>33425</v>
      </c>
      <c r="G9922" s="2" t="str">
        <f>"SR-10785"</f>
        <v>SR-10785</v>
      </c>
      <c r="H9922" s="2" t="s">
        <v>33426</v>
      </c>
      <c r="I9922" s="2" t="s">
        <v>33427</v>
      </c>
      <c r="K9922" s="2" t="s">
        <v>1312</v>
      </c>
      <c r="L9922" s="2" t="s">
        <v>1012</v>
      </c>
      <c r="M9922" s="2">
        <v>71969.0</v>
      </c>
      <c r="N9922" s="2" t="s">
        <v>21</v>
      </c>
    </row>
    <row r="9923" ht="15.75" customHeight="1">
      <c r="A9923" s="2">
        <v>2018.0</v>
      </c>
      <c r="B9923" s="2" t="s">
        <v>40401</v>
      </c>
      <c r="C9923" s="2" t="s">
        <v>40401</v>
      </c>
      <c r="D9923" s="2" t="str">
        <f>"5853555452"</f>
        <v>5853555452</v>
      </c>
      <c r="E9923" s="2" t="s">
        <v>1039</v>
      </c>
      <c r="F9923" s="2" t="s">
        <v>12358</v>
      </c>
      <c r="G9923" s="2" t="str">
        <f>"SR-13843"</f>
        <v>SR-13843</v>
      </c>
      <c r="H9923" s="2" t="s">
        <v>40402</v>
      </c>
      <c r="I9923" s="2" t="s">
        <v>40403</v>
      </c>
      <c r="K9923" s="2" t="s">
        <v>36996</v>
      </c>
      <c r="L9923" s="2" t="s">
        <v>172</v>
      </c>
      <c r="M9923" s="2">
        <v>75650.0</v>
      </c>
      <c r="N9923" s="2" t="s">
        <v>21</v>
      </c>
    </row>
    <row r="9924" ht="15.75" customHeight="1">
      <c r="A9924" s="2">
        <v>2018.0</v>
      </c>
      <c r="B9924" s="2" t="s">
        <v>40404</v>
      </c>
      <c r="C9924" s="2" t="s">
        <v>40405</v>
      </c>
      <c r="D9924" s="2" t="str">
        <f>"7209409957"</f>
        <v>7209409957</v>
      </c>
      <c r="E9924" s="2" t="s">
        <v>2031</v>
      </c>
      <c r="F9924" s="2" t="s">
        <v>40406</v>
      </c>
      <c r="G9924" s="2" t="str">
        <f>"SR-13733"</f>
        <v>SR-13733</v>
      </c>
      <c r="H9924" s="2" t="s">
        <v>40407</v>
      </c>
      <c r="I9924" s="2" t="s">
        <v>40408</v>
      </c>
      <c r="K9924" s="2" t="s">
        <v>1054</v>
      </c>
      <c r="L9924" s="2" t="s">
        <v>157</v>
      </c>
      <c r="M9924" s="2">
        <v>80138.0</v>
      </c>
      <c r="N9924" s="2" t="s">
        <v>21</v>
      </c>
    </row>
    <row r="9925" ht="15.75" customHeight="1">
      <c r="A9925" s="2">
        <v>2018.0</v>
      </c>
      <c r="B9925" s="2" t="s">
        <v>32511</v>
      </c>
      <c r="C9925" s="2" t="s">
        <v>32512</v>
      </c>
      <c r="D9925" s="2" t="str">
        <f>"407-335-9701"</f>
        <v>407-335-9701</v>
      </c>
      <c r="E9925" s="2" t="s">
        <v>261</v>
      </c>
      <c r="F9925" s="2" t="s">
        <v>3576</v>
      </c>
      <c r="G9925" s="2" t="str">
        <f>"SR-10591"</f>
        <v>SR-10591</v>
      </c>
      <c r="H9925" s="2" t="s">
        <v>4270</v>
      </c>
      <c r="I9925" s="2" t="s">
        <v>32513</v>
      </c>
      <c r="K9925" s="2" t="s">
        <v>32514</v>
      </c>
      <c r="L9925" s="2" t="s">
        <v>208</v>
      </c>
      <c r="M9925" s="2">
        <v>34787.0</v>
      </c>
      <c r="N9925" s="2" t="s">
        <v>21</v>
      </c>
    </row>
    <row r="9926" ht="15.75" customHeight="1">
      <c r="A9926" s="2">
        <v>2018.0</v>
      </c>
      <c r="B9926" s="2" t="s">
        <v>40409</v>
      </c>
      <c r="C9926" s="2" t="s">
        <v>40409</v>
      </c>
      <c r="D9926" s="2" t="str">
        <f>"(505)485-2325"</f>
        <v>(505)485-2325</v>
      </c>
      <c r="E9926" s="2" t="s">
        <v>25433</v>
      </c>
      <c r="F9926" s="2" t="s">
        <v>36818</v>
      </c>
      <c r="G9926" s="2" t="str">
        <f>"SR-13842"</f>
        <v>SR-13842</v>
      </c>
      <c r="H9926" s="2" t="s">
        <v>40410</v>
      </c>
      <c r="I9926" s="2" t="s">
        <v>36820</v>
      </c>
      <c r="K9926" s="2" t="s">
        <v>3705</v>
      </c>
      <c r="L9926" s="2" t="s">
        <v>789</v>
      </c>
      <c r="M9926" s="2">
        <v>87120.0</v>
      </c>
      <c r="N9926" s="2" t="s">
        <v>21</v>
      </c>
    </row>
    <row r="9927" ht="15.75" customHeight="1">
      <c r="A9927" s="2">
        <v>2018.0</v>
      </c>
      <c r="B9927" s="2" t="s">
        <v>21766</v>
      </c>
      <c r="C9927" s="2" t="s">
        <v>40411</v>
      </c>
      <c r="D9927" s="2" t="str">
        <f>"720-325-0966"</f>
        <v>720-325-0966</v>
      </c>
      <c r="E9927" s="2" t="s">
        <v>40412</v>
      </c>
      <c r="F9927" s="2" t="s">
        <v>2138</v>
      </c>
      <c r="G9927" s="2" t="str">
        <f>"SR-13184"</f>
        <v>SR-13184</v>
      </c>
      <c r="H9927" s="2" t="s">
        <v>40413</v>
      </c>
      <c r="I9927" s="2" t="s">
        <v>2140</v>
      </c>
      <c r="K9927" s="2" t="s">
        <v>1054</v>
      </c>
      <c r="L9927" s="2" t="s">
        <v>157</v>
      </c>
      <c r="M9927" s="2">
        <v>80138.0</v>
      </c>
      <c r="N9927" s="2" t="s">
        <v>21</v>
      </c>
    </row>
    <row r="9928" ht="15.75" customHeight="1">
      <c r="A9928" s="2">
        <v>2018.0</v>
      </c>
      <c r="B9928" s="2" t="s">
        <v>40414</v>
      </c>
      <c r="C9928" s="2" t="s">
        <v>40414</v>
      </c>
      <c r="D9928" s="2" t="str">
        <f>"(805)-498-5424"</f>
        <v>(805)-498-5424</v>
      </c>
      <c r="E9928" s="2" t="s">
        <v>2243</v>
      </c>
      <c r="F9928" s="2" t="s">
        <v>40415</v>
      </c>
      <c r="G9928" s="2" t="str">
        <f>"SR-13847"</f>
        <v>SR-13847</v>
      </c>
      <c r="H9928" s="2" t="s">
        <v>40416</v>
      </c>
      <c r="I9928" s="2" t="s">
        <v>40417</v>
      </c>
      <c r="K9928" s="2" t="s">
        <v>3245</v>
      </c>
      <c r="L9928" s="2" t="s">
        <v>222</v>
      </c>
      <c r="M9928" s="2">
        <v>91320.0</v>
      </c>
      <c r="N9928" s="2" t="s">
        <v>21</v>
      </c>
    </row>
    <row r="9929" ht="15.75" customHeight="1">
      <c r="A9929" s="2">
        <v>2018.0</v>
      </c>
      <c r="B9929" s="2" t="s">
        <v>40418</v>
      </c>
      <c r="C9929" s="2" t="s">
        <v>40418</v>
      </c>
      <c r="D9929" s="2" t="str">
        <f>"803-417-7672"</f>
        <v>803-417-7672</v>
      </c>
      <c r="E9929" s="2" t="s">
        <v>7145</v>
      </c>
      <c r="F9929" s="2" t="s">
        <v>40419</v>
      </c>
      <c r="G9929" s="2" t="str">
        <f>"SR-13845"</f>
        <v>SR-13845</v>
      </c>
      <c r="H9929" s="2" t="s">
        <v>40420</v>
      </c>
      <c r="I9929" s="2" t="s">
        <v>40421</v>
      </c>
      <c r="K9929" s="2" t="s">
        <v>40422</v>
      </c>
      <c r="L9929" s="2" t="s">
        <v>55</v>
      </c>
      <c r="M9929" s="2">
        <v>29715.0</v>
      </c>
      <c r="N9929" s="2" t="s">
        <v>21</v>
      </c>
    </row>
    <row r="9930" ht="15.75" customHeight="1">
      <c r="A9930" s="2">
        <v>2018.0</v>
      </c>
      <c r="B9930" s="2" t="s">
        <v>18514</v>
      </c>
      <c r="C9930" s="2" t="s">
        <v>18515</v>
      </c>
      <c r="D9930" s="2" t="str">
        <f>"719-494-1525"</f>
        <v>719-494-1525</v>
      </c>
      <c r="E9930" s="2" t="s">
        <v>678</v>
      </c>
      <c r="F9930" s="2" t="s">
        <v>18516</v>
      </c>
      <c r="G9930" s="2" t="str">
        <f>"SR-5702"</f>
        <v>SR-5702</v>
      </c>
      <c r="H9930" s="2" t="s">
        <v>18517</v>
      </c>
      <c r="I9930" s="2" t="s">
        <v>18518</v>
      </c>
      <c r="K9930" s="2" t="s">
        <v>975</v>
      </c>
      <c r="L9930" s="2" t="s">
        <v>157</v>
      </c>
      <c r="M9930" s="2">
        <v>80831.0</v>
      </c>
      <c r="N9930" s="2" t="s">
        <v>21</v>
      </c>
    </row>
    <row r="9931" ht="15.75" customHeight="1">
      <c r="A9931" s="2">
        <v>2018.0</v>
      </c>
      <c r="B9931" s="2" t="s">
        <v>40423</v>
      </c>
      <c r="C9931" s="2" t="s">
        <v>40423</v>
      </c>
      <c r="D9931" s="2" t="str">
        <f>"7124413831"</f>
        <v>7124413831</v>
      </c>
      <c r="E9931" s="2" t="s">
        <v>2263</v>
      </c>
      <c r="F9931" s="2" t="s">
        <v>40424</v>
      </c>
      <c r="G9931" s="2" t="str">
        <f>"SR-13795"</f>
        <v>SR-13795</v>
      </c>
      <c r="H9931" s="2" t="s">
        <v>40425</v>
      </c>
      <c r="I9931" s="2" t="s">
        <v>40426</v>
      </c>
      <c r="K9931" s="2" t="s">
        <v>2779</v>
      </c>
      <c r="L9931" s="2" t="s">
        <v>560</v>
      </c>
      <c r="M9931" s="2">
        <v>51250.0</v>
      </c>
      <c r="N9931" s="2" t="s">
        <v>21</v>
      </c>
    </row>
    <row r="9932" ht="15.75" customHeight="1">
      <c r="A9932" s="2">
        <v>2018.0</v>
      </c>
      <c r="B9932" s="2" t="s">
        <v>18514</v>
      </c>
      <c r="C9932" s="2" t="s">
        <v>18515</v>
      </c>
      <c r="D9932" s="2" t="str">
        <f>"719-494-1525"</f>
        <v>719-494-1525</v>
      </c>
      <c r="E9932" s="2" t="s">
        <v>1946</v>
      </c>
      <c r="F9932" s="2" t="s">
        <v>18516</v>
      </c>
      <c r="G9932" s="2" t="str">
        <f>"SR-13850"</f>
        <v>SR-13850</v>
      </c>
      <c r="H9932" s="2" t="s">
        <v>40427</v>
      </c>
      <c r="I9932" s="2" t="s">
        <v>18518</v>
      </c>
      <c r="K9932" s="2" t="s">
        <v>975</v>
      </c>
      <c r="L9932" s="2" t="s">
        <v>157</v>
      </c>
      <c r="M9932" s="2">
        <v>80831.0</v>
      </c>
      <c r="N9932" s="2" t="s">
        <v>21</v>
      </c>
    </row>
    <row r="9933" ht="15.75" customHeight="1">
      <c r="A9933" s="2">
        <v>2018.0</v>
      </c>
      <c r="B9933" s="2" t="s">
        <v>22551</v>
      </c>
      <c r="C9933" s="2" t="s">
        <v>40428</v>
      </c>
      <c r="D9933" s="2" t="str">
        <f>"5138017053"</f>
        <v>5138017053</v>
      </c>
      <c r="E9933" s="2" t="s">
        <v>417</v>
      </c>
      <c r="F9933" s="2" t="s">
        <v>486</v>
      </c>
      <c r="G9933" s="2" t="str">
        <f>"SR-13851"</f>
        <v>SR-13851</v>
      </c>
      <c r="H9933" s="2" t="s">
        <v>40429</v>
      </c>
      <c r="I9933" s="2" t="s">
        <v>40430</v>
      </c>
      <c r="K9933" s="2" t="s">
        <v>15597</v>
      </c>
      <c r="L9933" s="2" t="s">
        <v>1722</v>
      </c>
      <c r="M9933" s="2">
        <v>38652.0</v>
      </c>
      <c r="N9933" s="2" t="s">
        <v>21</v>
      </c>
    </row>
    <row r="9934" ht="15.75" customHeight="1">
      <c r="A9934" s="2">
        <v>2018.0</v>
      </c>
      <c r="B9934" s="2" t="s">
        <v>17757</v>
      </c>
      <c r="C9934" s="2" t="s">
        <v>40431</v>
      </c>
      <c r="D9934" s="2" t="str">
        <f>"719-749-2982"</f>
        <v>719-749-2982</v>
      </c>
      <c r="E9934" s="2" t="s">
        <v>6966</v>
      </c>
      <c r="F9934" s="2" t="s">
        <v>17759</v>
      </c>
      <c r="G9934" s="2" t="str">
        <f>"SR-13803"</f>
        <v>SR-13803</v>
      </c>
      <c r="H9934" s="2" t="s">
        <v>40432</v>
      </c>
      <c r="I9934" s="2" t="s">
        <v>40433</v>
      </c>
      <c r="K9934" s="2" t="s">
        <v>975</v>
      </c>
      <c r="L9934" s="2" t="s">
        <v>157</v>
      </c>
      <c r="M9934" s="2">
        <v>80831.0</v>
      </c>
      <c r="N9934" s="2" t="s">
        <v>21</v>
      </c>
    </row>
    <row r="9935" ht="15.75" customHeight="1">
      <c r="A9935" s="2">
        <v>2018.0</v>
      </c>
      <c r="B9935" s="2" t="s">
        <v>40434</v>
      </c>
      <c r="C9935" s="2" t="s">
        <v>40435</v>
      </c>
      <c r="D9935" s="2" t="str">
        <f>"719-359-3653"</f>
        <v>719-359-3653</v>
      </c>
      <c r="E9935" s="2" t="s">
        <v>2250</v>
      </c>
      <c r="F9935" s="2" t="s">
        <v>32990</v>
      </c>
      <c r="G9935" s="2" t="str">
        <f>"SR-13852"</f>
        <v>SR-13852</v>
      </c>
      <c r="H9935" s="2" t="s">
        <v>40436</v>
      </c>
      <c r="I9935" s="2" t="s">
        <v>40437</v>
      </c>
      <c r="K9935" s="2" t="s">
        <v>809</v>
      </c>
      <c r="L9935" s="2" t="s">
        <v>157</v>
      </c>
      <c r="M9935" s="2">
        <v>80922.0</v>
      </c>
      <c r="N9935" s="2" t="s">
        <v>21</v>
      </c>
    </row>
    <row r="9936" ht="15.75" customHeight="1">
      <c r="A9936" s="2">
        <v>2018.0</v>
      </c>
      <c r="B9936" s="2" t="s">
        <v>36764</v>
      </c>
      <c r="C9936" s="2" t="s">
        <v>36764</v>
      </c>
      <c r="D9936" s="2" t="str">
        <f>"6823045660"</f>
        <v>6823045660</v>
      </c>
      <c r="E9936" s="2" t="s">
        <v>453</v>
      </c>
      <c r="F9936" s="2" t="s">
        <v>26029</v>
      </c>
      <c r="G9936" s="2" t="str">
        <f>"SR-11862"</f>
        <v>SR-11862</v>
      </c>
      <c r="H9936" s="2" t="s">
        <v>36765</v>
      </c>
      <c r="I9936" s="2" t="s">
        <v>36766</v>
      </c>
      <c r="K9936" s="2" t="s">
        <v>2421</v>
      </c>
      <c r="L9936" s="2" t="s">
        <v>3618</v>
      </c>
      <c r="M9936" s="2">
        <v>8022.0</v>
      </c>
      <c r="N9936" s="2" t="s">
        <v>21</v>
      </c>
    </row>
    <row r="9937" ht="15.75" customHeight="1">
      <c r="A9937" s="2">
        <v>2018.0</v>
      </c>
      <c r="B9937" s="2" t="s">
        <v>40438</v>
      </c>
      <c r="C9937" s="2" t="s">
        <v>40438</v>
      </c>
      <c r="D9937" s="2" t="str">
        <f>"757 324-9112"</f>
        <v>757 324-9112</v>
      </c>
      <c r="E9937" s="2" t="s">
        <v>40439</v>
      </c>
      <c r="F9937" s="2" t="s">
        <v>3269</v>
      </c>
      <c r="G9937" s="2" t="str">
        <f>"SR-13633"</f>
        <v>SR-13633</v>
      </c>
      <c r="H9937" s="2" t="s">
        <v>40440</v>
      </c>
      <c r="I9937" s="2" t="s">
        <v>40441</v>
      </c>
      <c r="K9937" s="2" t="s">
        <v>9576</v>
      </c>
      <c r="L9937" s="2" t="s">
        <v>165</v>
      </c>
      <c r="M9937" s="2">
        <v>23320.0</v>
      </c>
      <c r="N9937" s="2" t="s">
        <v>21</v>
      </c>
    </row>
    <row r="9938" ht="15.75" customHeight="1">
      <c r="A9938" s="2">
        <v>2018.0</v>
      </c>
      <c r="B9938" s="2" t="s">
        <v>40434</v>
      </c>
      <c r="C9938" s="2" t="s">
        <v>40442</v>
      </c>
      <c r="D9938" s="2" t="str">
        <f>"719-388-3905"</f>
        <v>719-388-3905</v>
      </c>
      <c r="E9938" s="2" t="s">
        <v>38858</v>
      </c>
      <c r="F9938" s="2" t="s">
        <v>32990</v>
      </c>
      <c r="G9938" s="2" t="str">
        <f>"SR-13855"</f>
        <v>SR-13855</v>
      </c>
      <c r="H9938" s="2" t="s">
        <v>40443</v>
      </c>
      <c r="I9938" s="2" t="s">
        <v>40437</v>
      </c>
      <c r="K9938" s="2" t="s">
        <v>809</v>
      </c>
      <c r="L9938" s="2" t="s">
        <v>157</v>
      </c>
      <c r="M9938" s="2">
        <v>80922.0</v>
      </c>
      <c r="N9938" s="2" t="s">
        <v>21</v>
      </c>
    </row>
    <row r="9939" ht="15.75" customHeight="1">
      <c r="A9939" s="2">
        <v>2018.0</v>
      </c>
      <c r="B9939" s="2" t="s">
        <v>40444</v>
      </c>
      <c r="C9939" s="2" t="s">
        <v>40444</v>
      </c>
      <c r="D9939" s="2" t="str">
        <f>"6265135151"</f>
        <v>6265135151</v>
      </c>
      <c r="E9939" s="2" t="s">
        <v>124</v>
      </c>
      <c r="F9939" s="2" t="s">
        <v>40445</v>
      </c>
      <c r="G9939" s="2" t="str">
        <f>"SR-13849"</f>
        <v>SR-13849</v>
      </c>
      <c r="H9939" s="2" t="s">
        <v>40446</v>
      </c>
      <c r="I9939" s="2" t="s">
        <v>40447</v>
      </c>
      <c r="K9939" s="2" t="s">
        <v>40448</v>
      </c>
      <c r="L9939" s="2" t="s">
        <v>222</v>
      </c>
      <c r="M9939" s="2">
        <v>91773.0</v>
      </c>
      <c r="N9939" s="2" t="s">
        <v>21</v>
      </c>
    </row>
    <row r="9940" ht="15.75" customHeight="1">
      <c r="A9940" s="2">
        <v>2018.0</v>
      </c>
      <c r="B9940" s="2" t="s">
        <v>40449</v>
      </c>
      <c r="C9940" s="2" t="s">
        <v>40449</v>
      </c>
      <c r="D9940" s="2" t="str">
        <f>"5622980662"</f>
        <v>5622980662</v>
      </c>
      <c r="E9940" s="2" t="s">
        <v>40450</v>
      </c>
      <c r="F9940" s="2" t="s">
        <v>40451</v>
      </c>
      <c r="G9940" s="2" t="str">
        <f>"SR-13853"</f>
        <v>SR-13853</v>
      </c>
      <c r="H9940" s="2" t="s">
        <v>40452</v>
      </c>
      <c r="I9940" s="2" t="s">
        <v>40453</v>
      </c>
      <c r="K9940" s="2" t="s">
        <v>28689</v>
      </c>
      <c r="L9940" s="2" t="s">
        <v>222</v>
      </c>
      <c r="M9940" s="2">
        <v>90706.0</v>
      </c>
      <c r="N9940" s="2" t="s">
        <v>21</v>
      </c>
    </row>
    <row r="9941" ht="15.75" customHeight="1">
      <c r="A9941" s="2">
        <v>2018.0</v>
      </c>
      <c r="B9941" s="2" t="s">
        <v>40454</v>
      </c>
      <c r="C9941" s="2" t="s">
        <v>40454</v>
      </c>
      <c r="D9941" s="2" t="str">
        <f>"805 795 8134"</f>
        <v>805 795 8134</v>
      </c>
      <c r="E9941" s="2" t="s">
        <v>14824</v>
      </c>
      <c r="F9941" s="2" t="s">
        <v>40415</v>
      </c>
      <c r="G9941" s="2" t="str">
        <f>"SR-13848"</f>
        <v>SR-13848</v>
      </c>
      <c r="H9941" s="2" t="s">
        <v>40455</v>
      </c>
      <c r="I9941" s="2" t="s">
        <v>40456</v>
      </c>
      <c r="K9941" s="2" t="s">
        <v>3245</v>
      </c>
      <c r="L9941" s="2" t="s">
        <v>222</v>
      </c>
      <c r="M9941" s="2">
        <v>91320.0</v>
      </c>
      <c r="N9941" s="2" t="s">
        <v>21</v>
      </c>
    </row>
    <row r="9942" ht="15.75" customHeight="1">
      <c r="A9942" s="2">
        <v>2018.0</v>
      </c>
      <c r="B9942" s="2" t="s">
        <v>40457</v>
      </c>
      <c r="C9942" s="2" t="s">
        <v>40457</v>
      </c>
      <c r="D9942" s="2" t="str">
        <f>"864-609-7359"</f>
        <v>864-609-7359</v>
      </c>
      <c r="E9942" s="2" t="s">
        <v>584</v>
      </c>
      <c r="F9942" s="2" t="s">
        <v>3382</v>
      </c>
      <c r="G9942" s="2" t="str">
        <f>"SR-13014"</f>
        <v>SR-13014</v>
      </c>
      <c r="H9942" s="2" t="s">
        <v>40458</v>
      </c>
      <c r="I9942" s="2" t="s">
        <v>3384</v>
      </c>
      <c r="K9942" s="2" t="s">
        <v>3385</v>
      </c>
      <c r="L9942" s="2" t="s">
        <v>55</v>
      </c>
      <c r="M9942" s="2">
        <v>29650.0</v>
      </c>
      <c r="N9942" s="2" t="s">
        <v>21</v>
      </c>
    </row>
    <row r="9943" ht="15.75" customHeight="1">
      <c r="A9943" s="2">
        <v>2018.0</v>
      </c>
      <c r="B9943" s="2" t="s">
        <v>40459</v>
      </c>
      <c r="C9943" s="2" t="s">
        <v>40460</v>
      </c>
      <c r="D9943" s="2" t="str">
        <f>"575-489-6200"</f>
        <v>575-489-6200</v>
      </c>
      <c r="E9943" s="2" t="s">
        <v>40461</v>
      </c>
      <c r="F9943" s="2" t="s">
        <v>3156</v>
      </c>
      <c r="G9943" s="2" t="str">
        <f>"SR-13265"</f>
        <v>SR-13265</v>
      </c>
      <c r="H9943" s="2" t="s">
        <v>40462</v>
      </c>
      <c r="I9943" s="2" t="s">
        <v>40463</v>
      </c>
      <c r="K9943" s="2" t="s">
        <v>40464</v>
      </c>
      <c r="L9943" s="2" t="s">
        <v>789</v>
      </c>
      <c r="M9943" s="2">
        <v>88310.0</v>
      </c>
      <c r="N9943" s="2" t="s">
        <v>21</v>
      </c>
    </row>
    <row r="9944" ht="15.75" customHeight="1">
      <c r="A9944" s="2">
        <v>2018.0</v>
      </c>
      <c r="B9944" s="2" t="s">
        <v>25226</v>
      </c>
      <c r="C9944" s="2" t="s">
        <v>25227</v>
      </c>
      <c r="D9944" s="2" t="str">
        <f>"4056846119"</f>
        <v>4056846119</v>
      </c>
      <c r="E9944" s="2" t="s">
        <v>2681</v>
      </c>
      <c r="F9944" s="2" t="s">
        <v>25228</v>
      </c>
      <c r="G9944" s="2" t="str">
        <f>"SR-7851"</f>
        <v>SR-7851</v>
      </c>
      <c r="H9944" s="2" t="s">
        <v>25229</v>
      </c>
      <c r="I9944" s="2" t="s">
        <v>25230</v>
      </c>
      <c r="K9944" s="2" t="s">
        <v>2870</v>
      </c>
      <c r="L9944" s="2" t="s">
        <v>840</v>
      </c>
      <c r="M9944" s="2">
        <v>73026.0</v>
      </c>
      <c r="N9944" s="2" t="s">
        <v>21</v>
      </c>
    </row>
    <row r="9945" ht="15.75" customHeight="1">
      <c r="A9945" s="2">
        <v>2018.0</v>
      </c>
      <c r="B9945" s="2" t="s">
        <v>40465</v>
      </c>
      <c r="C9945" s="2" t="s">
        <v>40466</v>
      </c>
      <c r="D9945" s="2" t="str">
        <f>"7178080963"</f>
        <v>7178080963</v>
      </c>
      <c r="E9945" s="2" t="s">
        <v>9010</v>
      </c>
      <c r="F9945" s="2" t="s">
        <v>718</v>
      </c>
      <c r="G9945" s="2" t="str">
        <f>"SR-13859"</f>
        <v>SR-13859</v>
      </c>
      <c r="H9945" s="2" t="s">
        <v>40467</v>
      </c>
      <c r="I9945" s="2" t="s">
        <v>40468</v>
      </c>
      <c r="K9945" s="2" t="s">
        <v>40469</v>
      </c>
      <c r="L9945" s="2" t="s">
        <v>4885</v>
      </c>
      <c r="M9945" s="2">
        <v>19701.0</v>
      </c>
      <c r="N9945" s="2" t="s">
        <v>21</v>
      </c>
    </row>
    <row r="9946" ht="15.75" customHeight="1">
      <c r="A9946" s="2">
        <v>2018.0</v>
      </c>
      <c r="B9946" s="2" t="s">
        <v>33749</v>
      </c>
      <c r="C9946" s="2" t="s">
        <v>33750</v>
      </c>
      <c r="D9946" s="2" t="str">
        <f>"4104996059"</f>
        <v>4104996059</v>
      </c>
      <c r="E9946" s="2" t="s">
        <v>3196</v>
      </c>
      <c r="F9946" s="2" t="s">
        <v>26681</v>
      </c>
      <c r="G9946" s="2" t="str">
        <f>"SR-10935"</f>
        <v>SR-10935</v>
      </c>
      <c r="H9946" s="2" t="s">
        <v>33751</v>
      </c>
      <c r="I9946" s="2" t="s">
        <v>33752</v>
      </c>
      <c r="K9946" s="2" t="s">
        <v>33753</v>
      </c>
      <c r="L9946" s="2" t="s">
        <v>1868</v>
      </c>
      <c r="M9946" s="2">
        <v>21234.0</v>
      </c>
      <c r="N9946" s="2" t="s">
        <v>21</v>
      </c>
    </row>
    <row r="9947" ht="15.75" customHeight="1">
      <c r="A9947" s="2">
        <v>2018.0</v>
      </c>
      <c r="B9947" s="2" t="s">
        <v>35129</v>
      </c>
      <c r="C9947" s="2" t="s">
        <v>35130</v>
      </c>
      <c r="D9947" s="2" t="str">
        <f>"240-538-1288"</f>
        <v>240-538-1288</v>
      </c>
      <c r="E9947" s="2" t="s">
        <v>160</v>
      </c>
      <c r="F9947" s="2" t="s">
        <v>1034</v>
      </c>
      <c r="G9947" s="2" t="str">
        <f>"SR-11266"</f>
        <v>SR-11266</v>
      </c>
      <c r="H9947" s="2" t="s">
        <v>35131</v>
      </c>
      <c r="I9947" s="2" t="s">
        <v>35132</v>
      </c>
      <c r="K9947" s="2" t="s">
        <v>27885</v>
      </c>
      <c r="L9947" s="2" t="s">
        <v>1868</v>
      </c>
      <c r="M9947" s="2">
        <v>20650.0</v>
      </c>
      <c r="N9947" s="2" t="s">
        <v>21</v>
      </c>
    </row>
    <row r="9948" ht="15.75" customHeight="1">
      <c r="A9948" s="2">
        <v>2018.0</v>
      </c>
      <c r="B9948" s="2" t="s">
        <v>29952</v>
      </c>
      <c r="C9948" s="2" t="s">
        <v>40470</v>
      </c>
      <c r="D9948" s="2" t="str">
        <f>"8174588584"</f>
        <v>8174588584</v>
      </c>
      <c r="E9948" s="2" t="s">
        <v>40471</v>
      </c>
      <c r="F9948" s="2" t="s">
        <v>28430</v>
      </c>
      <c r="G9948" s="2" t="str">
        <f>"SR-13181"</f>
        <v>SR-13181</v>
      </c>
      <c r="H9948" s="2" t="s">
        <v>40472</v>
      </c>
      <c r="I9948" s="2" t="s">
        <v>29955</v>
      </c>
      <c r="K9948" s="2" t="s">
        <v>5729</v>
      </c>
      <c r="L9948" s="2" t="s">
        <v>172</v>
      </c>
      <c r="M9948" s="2">
        <v>76088.0</v>
      </c>
      <c r="N9948" s="2" t="s">
        <v>21</v>
      </c>
    </row>
    <row r="9949" ht="15.75" customHeight="1">
      <c r="A9949" s="2">
        <v>2018.0</v>
      </c>
      <c r="B9949" s="2" t="s">
        <v>40473</v>
      </c>
      <c r="C9949" s="2" t="s">
        <v>40473</v>
      </c>
      <c r="D9949" s="2" t="str">
        <f>"770-376-1195"</f>
        <v>770-376-1195</v>
      </c>
      <c r="E9949" s="2" t="s">
        <v>1928</v>
      </c>
      <c r="F9949" s="2" t="s">
        <v>283</v>
      </c>
      <c r="G9949" s="2" t="str">
        <f>"SR-13835"</f>
        <v>SR-13835</v>
      </c>
      <c r="H9949" s="2" t="s">
        <v>40474</v>
      </c>
      <c r="I9949" s="2" t="s">
        <v>40475</v>
      </c>
      <c r="K9949" s="2" t="s">
        <v>3164</v>
      </c>
      <c r="L9949" s="2" t="s">
        <v>200</v>
      </c>
      <c r="M9949" s="2">
        <v>30214.0</v>
      </c>
      <c r="N9949" s="2" t="s">
        <v>21</v>
      </c>
    </row>
    <row r="9950" ht="15.75" customHeight="1">
      <c r="A9950" s="2">
        <v>2018.0</v>
      </c>
      <c r="B9950" s="2" t="s">
        <v>40476</v>
      </c>
      <c r="C9950" s="2" t="s">
        <v>40476</v>
      </c>
      <c r="D9950" s="2" t="str">
        <f>"208-855-2600"</f>
        <v>208-855-2600</v>
      </c>
      <c r="E9950" s="2" t="s">
        <v>1311</v>
      </c>
      <c r="F9950" s="2" t="s">
        <v>40477</v>
      </c>
      <c r="G9950" s="2" t="str">
        <f>"SR-13533"</f>
        <v>SR-13533</v>
      </c>
      <c r="H9950" s="2" t="s">
        <v>40478</v>
      </c>
      <c r="I9950" s="2" t="s">
        <v>40479</v>
      </c>
      <c r="K9950" s="2" t="s">
        <v>7574</v>
      </c>
      <c r="L9950" s="2" t="s">
        <v>86</v>
      </c>
      <c r="M9950" s="2">
        <v>98230.0</v>
      </c>
      <c r="N9950" s="2" t="s">
        <v>21</v>
      </c>
    </row>
    <row r="9951" ht="15.75" customHeight="1">
      <c r="A9951" s="2">
        <v>2018.0</v>
      </c>
      <c r="B9951" s="2" t="s">
        <v>40196</v>
      </c>
      <c r="C9951" s="2" t="s">
        <v>40480</v>
      </c>
      <c r="D9951" s="2" t="str">
        <f>"915-443-5143"</f>
        <v>915-443-5143</v>
      </c>
      <c r="E9951" s="2" t="s">
        <v>25668</v>
      </c>
      <c r="F9951" s="2" t="s">
        <v>40199</v>
      </c>
      <c r="G9951" s="2" t="str">
        <f>"SR-13867"</f>
        <v>SR-13867</v>
      </c>
      <c r="H9951" s="2" t="s">
        <v>40481</v>
      </c>
      <c r="I9951" s="2" t="s">
        <v>40482</v>
      </c>
      <c r="K9951" s="2" t="s">
        <v>21247</v>
      </c>
      <c r="L9951" s="2" t="s">
        <v>172</v>
      </c>
      <c r="M9951" s="2">
        <v>79925.0</v>
      </c>
      <c r="N9951" s="2" t="s">
        <v>21</v>
      </c>
    </row>
    <row r="9952" ht="15.75" customHeight="1">
      <c r="A9952" s="2">
        <v>2018.0</v>
      </c>
      <c r="B9952" s="2" t="s">
        <v>40483</v>
      </c>
      <c r="C9952" s="2" t="s">
        <v>40484</v>
      </c>
      <c r="D9952" s="2" t="str">
        <f>"9498991447"</f>
        <v>9498991447</v>
      </c>
      <c r="E9952" s="2" t="s">
        <v>843</v>
      </c>
      <c r="F9952" s="2" t="s">
        <v>25025</v>
      </c>
      <c r="G9952" s="2" t="str">
        <f>"SR-7548"</f>
        <v>SR-7548</v>
      </c>
      <c r="H9952" s="2" t="s">
        <v>25026</v>
      </c>
      <c r="I9952" s="2" t="s">
        <v>40485</v>
      </c>
      <c r="K9952" s="2" t="s">
        <v>3065</v>
      </c>
      <c r="L9952" s="2" t="s">
        <v>222</v>
      </c>
      <c r="M9952" s="2">
        <v>92688.0</v>
      </c>
      <c r="N9952" s="2" t="s">
        <v>21</v>
      </c>
    </row>
    <row r="9953" ht="15.75" customHeight="1">
      <c r="A9953" s="2">
        <v>2018.0</v>
      </c>
      <c r="B9953" s="2" t="s">
        <v>40486</v>
      </c>
      <c r="C9953" s="2" t="s">
        <v>40487</v>
      </c>
      <c r="D9953" s="2" t="str">
        <f>"3037740866"</f>
        <v>3037740866</v>
      </c>
      <c r="E9953" s="2" t="s">
        <v>7476</v>
      </c>
      <c r="F9953" s="2" t="s">
        <v>4788</v>
      </c>
      <c r="G9953" s="2" t="str">
        <f>"SR-13476"</f>
        <v>SR-13476</v>
      </c>
      <c r="H9953" s="2" t="s">
        <v>40488</v>
      </c>
      <c r="I9953" s="2" t="s">
        <v>40489</v>
      </c>
      <c r="K9953" s="2" t="s">
        <v>2317</v>
      </c>
      <c r="L9953" s="2" t="s">
        <v>157</v>
      </c>
      <c r="M9953" s="2">
        <v>80504.0</v>
      </c>
      <c r="N9953" s="2" t="s">
        <v>21</v>
      </c>
    </row>
    <row r="9954" ht="15.75" customHeight="1">
      <c r="A9954" s="2">
        <v>2018.0</v>
      </c>
      <c r="B9954" s="2" t="s">
        <v>40490</v>
      </c>
      <c r="C9954" s="2" t="s">
        <v>40490</v>
      </c>
      <c r="D9954" s="2" t="str">
        <f>"9702191574"</f>
        <v>9702191574</v>
      </c>
      <c r="E9954" s="2" t="s">
        <v>3061</v>
      </c>
      <c r="F9954" s="2" t="s">
        <v>15594</v>
      </c>
      <c r="G9954" s="2" t="str">
        <f>"SR-13865"</f>
        <v>SR-13865</v>
      </c>
      <c r="H9954" s="2" t="s">
        <v>40491</v>
      </c>
      <c r="I9954" s="2" t="s">
        <v>40492</v>
      </c>
      <c r="K9954" s="2" t="s">
        <v>1520</v>
      </c>
      <c r="L9954" s="2" t="s">
        <v>157</v>
      </c>
      <c r="M9954" s="2">
        <v>80014.0</v>
      </c>
      <c r="N9954" s="2" t="s">
        <v>21</v>
      </c>
    </row>
    <row r="9955" ht="15.75" customHeight="1">
      <c r="A9955" s="2">
        <v>2018.0</v>
      </c>
      <c r="B9955" s="2" t="s">
        <v>5509</v>
      </c>
      <c r="C9955" s="2" t="s">
        <v>40493</v>
      </c>
      <c r="D9955" s="2" t="str">
        <f>"2056392299"</f>
        <v>2056392299</v>
      </c>
      <c r="E9955" s="2" t="s">
        <v>2941</v>
      </c>
      <c r="F9955" s="2" t="s">
        <v>3978</v>
      </c>
      <c r="G9955" s="2" t="str">
        <f>"SR-13534"</f>
        <v>SR-13534</v>
      </c>
      <c r="H9955" s="2" t="s">
        <v>40494</v>
      </c>
      <c r="I9955" s="2" t="s">
        <v>20100</v>
      </c>
      <c r="K9955" s="2" t="s">
        <v>5513</v>
      </c>
      <c r="L9955" s="2" t="s">
        <v>539</v>
      </c>
      <c r="M9955" s="2">
        <v>35173.0</v>
      </c>
      <c r="N9955" s="2" t="s">
        <v>21</v>
      </c>
    </row>
    <row r="9956" ht="15.75" customHeight="1">
      <c r="A9956" s="2">
        <v>2018.0</v>
      </c>
      <c r="B9956" s="2" t="s">
        <v>5509</v>
      </c>
      <c r="C9956" s="2" t="s">
        <v>40495</v>
      </c>
      <c r="D9956" s="2" t="str">
        <f>"(205) 936-6253"</f>
        <v>(205) 936-6253</v>
      </c>
      <c r="E9956" s="2" t="s">
        <v>453</v>
      </c>
      <c r="F9956" s="2" t="s">
        <v>3978</v>
      </c>
      <c r="G9956" s="2" t="str">
        <f>"SR-13834"</f>
        <v>SR-13834</v>
      </c>
      <c r="H9956" s="2" t="s">
        <v>40496</v>
      </c>
      <c r="I9956" s="2" t="s">
        <v>40497</v>
      </c>
      <c r="K9956" s="2" t="s">
        <v>5513</v>
      </c>
      <c r="L9956" s="2" t="s">
        <v>539</v>
      </c>
      <c r="M9956" s="2">
        <v>35173.0</v>
      </c>
      <c r="N9956" s="2" t="s">
        <v>21</v>
      </c>
    </row>
    <row r="9957" ht="15.75" customHeight="1">
      <c r="A9957" s="2">
        <v>2018.0</v>
      </c>
      <c r="B9957" s="2" t="s">
        <v>40498</v>
      </c>
      <c r="D9957" s="2" t="str">
        <f>""</f>
        <v/>
      </c>
      <c r="E9957" s="2" t="s">
        <v>40499</v>
      </c>
      <c r="F9957" s="2" t="s">
        <v>6760</v>
      </c>
      <c r="G9957" s="2" t="str">
        <f>"SR-13223"</f>
        <v>SR-13223</v>
      </c>
      <c r="H9957" s="2" t="s">
        <v>40500</v>
      </c>
    </row>
    <row r="9958" ht="15.75" customHeight="1">
      <c r="A9958" s="2">
        <v>2018.0</v>
      </c>
      <c r="B9958" s="2" t="s">
        <v>40501</v>
      </c>
      <c r="C9958" s="2" t="s">
        <v>40502</v>
      </c>
      <c r="D9958" s="2" t="str">
        <f>"7144230777"</f>
        <v>7144230777</v>
      </c>
      <c r="E9958" s="2" t="s">
        <v>3977</v>
      </c>
      <c r="F9958" s="2" t="s">
        <v>40503</v>
      </c>
      <c r="G9958" s="2" t="str">
        <f>"SR-13876"</f>
        <v>SR-13876</v>
      </c>
      <c r="H9958" s="2" t="s">
        <v>40504</v>
      </c>
      <c r="I9958" s="2" t="s">
        <v>40505</v>
      </c>
      <c r="K9958" s="2" t="s">
        <v>12334</v>
      </c>
      <c r="L9958" s="2" t="s">
        <v>222</v>
      </c>
      <c r="M9958" s="2">
        <v>92886.0</v>
      </c>
      <c r="N9958" s="2" t="s">
        <v>21</v>
      </c>
    </row>
    <row r="9959" ht="15.75" customHeight="1">
      <c r="A9959" s="2">
        <v>2018.0</v>
      </c>
      <c r="B9959" s="2" t="s">
        <v>40506</v>
      </c>
      <c r="C9959" s="2" t="s">
        <v>40507</v>
      </c>
      <c r="D9959" s="2" t="str">
        <f>"9126679222"</f>
        <v>9126679222</v>
      </c>
      <c r="E9959" s="2" t="s">
        <v>1263</v>
      </c>
      <c r="F9959" s="2" t="s">
        <v>3320</v>
      </c>
      <c r="G9959" s="2" t="str">
        <f>"SR-13880"</f>
        <v>SR-13880</v>
      </c>
      <c r="H9959" s="2" t="s">
        <v>40508</v>
      </c>
      <c r="I9959" s="2" t="s">
        <v>40509</v>
      </c>
      <c r="K9959" s="2" t="s">
        <v>1239</v>
      </c>
      <c r="L9959" s="2" t="s">
        <v>200</v>
      </c>
      <c r="M9959" s="2">
        <v>31406.0</v>
      </c>
      <c r="N9959" s="2" t="s">
        <v>21</v>
      </c>
    </row>
    <row r="9960" ht="15.75" customHeight="1">
      <c r="A9960" s="2">
        <v>2018.0</v>
      </c>
      <c r="B9960" s="2" t="s">
        <v>40510</v>
      </c>
      <c r="C9960" s="2" t="s">
        <v>40511</v>
      </c>
      <c r="D9960" s="2" t="str">
        <f>"818-437-1681"</f>
        <v>818-437-1681</v>
      </c>
      <c r="E9960" s="2" t="s">
        <v>6937</v>
      </c>
      <c r="F9960" s="2" t="s">
        <v>40512</v>
      </c>
      <c r="G9960" s="2" t="str">
        <f>"SR-13382"</f>
        <v>SR-13382</v>
      </c>
      <c r="H9960" s="2" t="s">
        <v>40513</v>
      </c>
      <c r="I9960" s="2" t="s">
        <v>40514</v>
      </c>
      <c r="K9960" s="2" t="s">
        <v>40515</v>
      </c>
      <c r="L9960" s="2" t="s">
        <v>222</v>
      </c>
      <c r="M9960" s="2">
        <v>91103.0</v>
      </c>
      <c r="N9960" s="2" t="s">
        <v>21</v>
      </c>
    </row>
    <row r="9961" ht="15.75" customHeight="1">
      <c r="A9961" s="2">
        <v>2018.0</v>
      </c>
      <c r="B9961" s="2" t="s">
        <v>40516</v>
      </c>
      <c r="C9961" s="2" t="s">
        <v>40517</v>
      </c>
      <c r="D9961" s="2" t="str">
        <f>"5407505201"</f>
        <v>5407505201</v>
      </c>
      <c r="E9961" s="2" t="s">
        <v>288</v>
      </c>
      <c r="F9961" s="2" t="s">
        <v>94</v>
      </c>
      <c r="G9961" s="2" t="str">
        <f>"SR-13881"</f>
        <v>SR-13881</v>
      </c>
      <c r="H9961" s="2" t="s">
        <v>10924</v>
      </c>
      <c r="I9961" s="2" t="s">
        <v>9876</v>
      </c>
      <c r="K9961" s="2" t="s">
        <v>9877</v>
      </c>
      <c r="L9961" s="2" t="s">
        <v>165</v>
      </c>
      <c r="M9961" s="2">
        <v>24060.0</v>
      </c>
      <c r="N9961" s="2" t="s">
        <v>21</v>
      </c>
    </row>
    <row r="9962" ht="15.75" customHeight="1">
      <c r="A9962" s="2">
        <v>2018.0</v>
      </c>
      <c r="B9962" s="2" t="s">
        <v>40518</v>
      </c>
      <c r="C9962" s="2" t="s">
        <v>40519</v>
      </c>
      <c r="D9962" s="2" t="str">
        <f>"989-453-2424"</f>
        <v>989-453-2424</v>
      </c>
      <c r="E9962" s="2" t="s">
        <v>2243</v>
      </c>
      <c r="F9962" s="2" t="s">
        <v>309</v>
      </c>
      <c r="G9962" s="2" t="str">
        <f>"SR-12138"</f>
        <v>SR-12138</v>
      </c>
      <c r="H9962" s="2" t="s">
        <v>40520</v>
      </c>
      <c r="I9962" s="2" t="s">
        <v>40521</v>
      </c>
      <c r="K9962" s="2" t="s">
        <v>40522</v>
      </c>
      <c r="L9962" s="2" t="s">
        <v>29</v>
      </c>
      <c r="M9962" s="2">
        <v>48755.0</v>
      </c>
      <c r="N9962" s="2" t="s">
        <v>21</v>
      </c>
    </row>
    <row r="9963" ht="15.75" customHeight="1">
      <c r="A9963" s="2">
        <v>2018.0</v>
      </c>
      <c r="B9963" s="2" t="s">
        <v>40404</v>
      </c>
      <c r="C9963" s="2" t="s">
        <v>40523</v>
      </c>
      <c r="D9963" s="2" t="str">
        <f>"720-940-9957"</f>
        <v>720-940-9957</v>
      </c>
      <c r="E9963" s="2" t="s">
        <v>5116</v>
      </c>
      <c r="F9963" s="2" t="s">
        <v>40406</v>
      </c>
      <c r="G9963" s="2" t="str">
        <f>"SR-13846"</f>
        <v>SR-13846</v>
      </c>
      <c r="H9963" s="2" t="s">
        <v>40524</v>
      </c>
      <c r="I9963" s="2" t="s">
        <v>40408</v>
      </c>
      <c r="K9963" s="2" t="s">
        <v>1054</v>
      </c>
      <c r="L9963" s="2" t="s">
        <v>157</v>
      </c>
      <c r="M9963" s="2">
        <v>80138.0</v>
      </c>
      <c r="N9963" s="2" t="s">
        <v>21</v>
      </c>
    </row>
    <row r="9964" ht="15.75" customHeight="1">
      <c r="A9964" s="2">
        <v>2018.0</v>
      </c>
      <c r="B9964" s="2" t="s">
        <v>40525</v>
      </c>
      <c r="C9964" s="2" t="s">
        <v>40526</v>
      </c>
      <c r="D9964" s="2" t="str">
        <f>"9402059233"</f>
        <v>9402059233</v>
      </c>
      <c r="E9964" s="2" t="s">
        <v>72</v>
      </c>
      <c r="F9964" s="2" t="s">
        <v>13964</v>
      </c>
      <c r="G9964" s="2" t="str">
        <f>"SR-13886"</f>
        <v>SR-13886</v>
      </c>
      <c r="H9964" s="2" t="s">
        <v>40527</v>
      </c>
      <c r="I9964" s="2" t="s">
        <v>40528</v>
      </c>
      <c r="K9964" s="2" t="s">
        <v>18128</v>
      </c>
      <c r="L9964" s="2" t="s">
        <v>172</v>
      </c>
      <c r="M9964" s="2">
        <v>76205.0</v>
      </c>
      <c r="N9964" s="2" t="s">
        <v>21</v>
      </c>
    </row>
    <row r="9965" ht="15.75" customHeight="1">
      <c r="A9965" s="2">
        <v>2018.0</v>
      </c>
      <c r="B9965" s="2" t="s">
        <v>40529</v>
      </c>
      <c r="C9965" s="2" t="s">
        <v>40530</v>
      </c>
      <c r="D9965" s="2" t="str">
        <f>"540-449-9980"</f>
        <v>540-449-9980</v>
      </c>
      <c r="E9965" s="2" t="s">
        <v>339</v>
      </c>
      <c r="F9965" s="2" t="s">
        <v>40531</v>
      </c>
      <c r="G9965" s="2" t="str">
        <f>"SR-13883"</f>
        <v>SR-13883</v>
      </c>
      <c r="H9965" s="2" t="s">
        <v>40532</v>
      </c>
      <c r="I9965" s="2" t="s">
        <v>40533</v>
      </c>
      <c r="K9965" s="2" t="s">
        <v>9877</v>
      </c>
      <c r="L9965" s="2" t="s">
        <v>165</v>
      </c>
      <c r="M9965" s="2">
        <v>24060.0</v>
      </c>
      <c r="N9965" s="2" t="s">
        <v>21</v>
      </c>
    </row>
    <row r="9966" ht="15.75" customHeight="1">
      <c r="A9966" s="2">
        <v>2018.0</v>
      </c>
      <c r="B9966" s="2" t="s">
        <v>40534</v>
      </c>
      <c r="C9966" s="2" t="s">
        <v>40535</v>
      </c>
      <c r="D9966" s="2" t="str">
        <f>"502-232-0581"</f>
        <v>502-232-0581</v>
      </c>
      <c r="E9966" s="2" t="s">
        <v>684</v>
      </c>
      <c r="F9966" s="2" t="s">
        <v>40536</v>
      </c>
      <c r="G9966" s="2" t="str">
        <f>"SR-13814"</f>
        <v>SR-13814</v>
      </c>
      <c r="H9966" s="2" t="s">
        <v>40537</v>
      </c>
      <c r="I9966" s="2" t="s">
        <v>40538</v>
      </c>
      <c r="K9966" s="2" t="s">
        <v>40539</v>
      </c>
      <c r="L9966" s="2" t="s">
        <v>149</v>
      </c>
      <c r="M9966" s="2">
        <v>47429.0</v>
      </c>
      <c r="N9966" s="2" t="s">
        <v>21</v>
      </c>
    </row>
    <row r="9967" ht="15.75" customHeight="1">
      <c r="A9967" s="2">
        <v>2018.0</v>
      </c>
      <c r="B9967" s="2" t="s">
        <v>40540</v>
      </c>
      <c r="C9967" s="2" t="s">
        <v>40541</v>
      </c>
      <c r="D9967" s="2" t="str">
        <f>"6466411668"</f>
        <v>6466411668</v>
      </c>
      <c r="E9967" s="2" t="s">
        <v>40542</v>
      </c>
      <c r="F9967" s="2" t="s">
        <v>40543</v>
      </c>
      <c r="G9967" s="2" t="str">
        <f>"SR-13604"</f>
        <v>SR-13604</v>
      </c>
      <c r="H9967" s="2" t="s">
        <v>40544</v>
      </c>
      <c r="I9967" s="2" t="s">
        <v>40545</v>
      </c>
      <c r="K9967" s="2" t="s">
        <v>26685</v>
      </c>
      <c r="L9967" s="2" t="s">
        <v>142</v>
      </c>
      <c r="M9967" s="2">
        <v>10314.0</v>
      </c>
      <c r="N9967" s="2" t="s">
        <v>21</v>
      </c>
    </row>
    <row r="9968" ht="15.75" customHeight="1">
      <c r="A9968" s="2">
        <v>2018.0</v>
      </c>
      <c r="B9968" s="2" t="s">
        <v>26765</v>
      </c>
      <c r="D9968" s="2" t="str">
        <f>""</f>
        <v/>
      </c>
      <c r="E9968" s="2" t="s">
        <v>645</v>
      </c>
      <c r="F9968" s="2" t="s">
        <v>22584</v>
      </c>
      <c r="G9968" s="2" t="str">
        <f>"SR-7981"</f>
        <v>SR-7981</v>
      </c>
      <c r="H9968" s="2" t="s">
        <v>26766</v>
      </c>
      <c r="N9968" s="2" t="s">
        <v>21</v>
      </c>
    </row>
    <row r="9969" ht="15.75" customHeight="1">
      <c r="A9969" s="2">
        <v>2018.0</v>
      </c>
      <c r="B9969" s="2" t="s">
        <v>40546</v>
      </c>
      <c r="C9969" s="2" t="s">
        <v>40546</v>
      </c>
      <c r="D9969" s="2" t="str">
        <f>"6362951086"</f>
        <v>6362951086</v>
      </c>
      <c r="E9969" s="2" t="s">
        <v>4300</v>
      </c>
      <c r="F9969" s="2" t="s">
        <v>40547</v>
      </c>
      <c r="G9969" s="2" t="str">
        <f>"SR-13885"</f>
        <v>SR-13885</v>
      </c>
      <c r="H9969" s="2" t="s">
        <v>40548</v>
      </c>
      <c r="I9969" s="2" t="s">
        <v>40549</v>
      </c>
      <c r="K9969" s="2" t="s">
        <v>1141</v>
      </c>
      <c r="L9969" s="2" t="s">
        <v>172</v>
      </c>
      <c r="M9969" s="2">
        <v>78736.0</v>
      </c>
      <c r="N9969" s="2" t="s">
        <v>21</v>
      </c>
    </row>
    <row r="9970" ht="15.75" customHeight="1">
      <c r="A9970" s="2">
        <v>2018.0</v>
      </c>
      <c r="B9970" s="2" t="s">
        <v>40550</v>
      </c>
      <c r="C9970" s="2" t="s">
        <v>40550</v>
      </c>
      <c r="D9970" s="2" t="str">
        <f>"405-686-8283"</f>
        <v>405-686-8283</v>
      </c>
      <c r="E9970" s="2" t="s">
        <v>160</v>
      </c>
      <c r="F9970" s="2" t="s">
        <v>40551</v>
      </c>
      <c r="G9970" s="2" t="str">
        <f>"SR-13882"</f>
        <v>SR-13882</v>
      </c>
      <c r="H9970" s="2" t="s">
        <v>40552</v>
      </c>
      <c r="I9970" s="2" t="s">
        <v>40553</v>
      </c>
      <c r="K9970" s="2" t="s">
        <v>2870</v>
      </c>
      <c r="L9970" s="2" t="s">
        <v>840</v>
      </c>
      <c r="M9970" s="2">
        <v>73072.0</v>
      </c>
      <c r="N9970" s="2" t="s">
        <v>21</v>
      </c>
    </row>
    <row r="9971" ht="15.75" customHeight="1">
      <c r="A9971" s="2">
        <v>2018.0</v>
      </c>
      <c r="B9971" s="2" t="s">
        <v>10306</v>
      </c>
      <c r="C9971" s="2" t="s">
        <v>40554</v>
      </c>
      <c r="D9971" s="2" t="str">
        <f>"605-353-1233"</f>
        <v>605-353-1233</v>
      </c>
      <c r="E9971" s="2" t="s">
        <v>282</v>
      </c>
      <c r="F9971" s="2" t="s">
        <v>10308</v>
      </c>
      <c r="G9971" s="2" t="str">
        <f>"SR-13684"</f>
        <v>SR-13684</v>
      </c>
      <c r="H9971" s="2" t="s">
        <v>40555</v>
      </c>
      <c r="I9971" s="2" t="s">
        <v>10310</v>
      </c>
      <c r="K9971" s="2" t="s">
        <v>10311</v>
      </c>
      <c r="L9971" s="2" t="s">
        <v>920</v>
      </c>
      <c r="M9971" s="2">
        <v>57386.0</v>
      </c>
      <c r="N9971" s="2" t="s">
        <v>21</v>
      </c>
    </row>
    <row r="9972" ht="15.75" customHeight="1">
      <c r="A9972" s="2">
        <v>2018.0</v>
      </c>
      <c r="B9972" s="2" t="s">
        <v>40556</v>
      </c>
      <c r="C9972" s="2" t="s">
        <v>40557</v>
      </c>
      <c r="D9972" s="2" t="str">
        <f>"916-960-9691"</f>
        <v>916-960-9691</v>
      </c>
      <c r="E9972" s="2" t="s">
        <v>2126</v>
      </c>
      <c r="F9972" s="2" t="s">
        <v>40558</v>
      </c>
      <c r="G9972" s="2" t="str">
        <f>"SR-13889"</f>
        <v>SR-13889</v>
      </c>
      <c r="H9972" s="2" t="s">
        <v>40559</v>
      </c>
      <c r="I9972" s="2" t="s">
        <v>40560</v>
      </c>
      <c r="K9972" s="2" t="s">
        <v>572</v>
      </c>
      <c r="L9972" s="2" t="s">
        <v>222</v>
      </c>
      <c r="M9972" s="2">
        <v>95648.0</v>
      </c>
      <c r="N9972" s="2" t="s">
        <v>21</v>
      </c>
    </row>
    <row r="9973" ht="15.75" customHeight="1">
      <c r="A9973" s="2">
        <v>2018.0</v>
      </c>
      <c r="B9973" s="2" t="s">
        <v>40561</v>
      </c>
      <c r="C9973" s="2" t="s">
        <v>40562</v>
      </c>
      <c r="D9973" s="2" t="str">
        <f>"2088820423"</f>
        <v>2088820423</v>
      </c>
      <c r="E9973" s="2" t="s">
        <v>40563</v>
      </c>
      <c r="F9973" s="2" t="s">
        <v>40564</v>
      </c>
      <c r="G9973" s="2" t="str">
        <f>"SR-13756"</f>
        <v>SR-13756</v>
      </c>
      <c r="H9973" s="2" t="s">
        <v>40565</v>
      </c>
      <c r="I9973" s="2" t="s">
        <v>40566</v>
      </c>
      <c r="K9973" s="2" t="s">
        <v>17102</v>
      </c>
      <c r="L9973" s="2" t="s">
        <v>2613</v>
      </c>
      <c r="M9973" s="2">
        <v>83843.0</v>
      </c>
      <c r="N9973" s="2" t="s">
        <v>21</v>
      </c>
    </row>
    <row r="9974" ht="15.75" customHeight="1">
      <c r="A9974" s="2">
        <v>2018.0</v>
      </c>
      <c r="B9974" s="2" t="s">
        <v>40567</v>
      </c>
      <c r="C9974" s="2" t="s">
        <v>40567</v>
      </c>
      <c r="D9974" s="2" t="str">
        <f>"9106508911"</f>
        <v>9106508911</v>
      </c>
      <c r="E9974" s="2" t="s">
        <v>1725</v>
      </c>
      <c r="F9974" s="2" t="s">
        <v>31148</v>
      </c>
      <c r="G9974" s="2" t="str">
        <f>"SR-13190"</f>
        <v>SR-13190</v>
      </c>
      <c r="H9974" s="2" t="s">
        <v>31152</v>
      </c>
      <c r="I9974" s="2" t="s">
        <v>31150</v>
      </c>
      <c r="K9974" s="2" t="s">
        <v>451</v>
      </c>
      <c r="L9974" s="2" t="s">
        <v>20</v>
      </c>
      <c r="M9974" s="2">
        <v>28540.0</v>
      </c>
      <c r="N9974" s="2" t="s">
        <v>21</v>
      </c>
    </row>
    <row r="9975" ht="15.75" customHeight="1">
      <c r="A9975" s="2">
        <v>2018.0</v>
      </c>
      <c r="B9975" s="2" t="s">
        <v>40568</v>
      </c>
      <c r="C9975" s="2" t="s">
        <v>40569</v>
      </c>
      <c r="D9975" s="2" t="str">
        <f>"706-416-9846"</f>
        <v>706-416-9846</v>
      </c>
      <c r="E9975" s="2" t="s">
        <v>2336</v>
      </c>
      <c r="F9975" s="2" t="s">
        <v>9272</v>
      </c>
      <c r="G9975" s="2" t="str">
        <f>"SR-13869"</f>
        <v>SR-13869</v>
      </c>
      <c r="H9975" s="2" t="s">
        <v>40570</v>
      </c>
      <c r="I9975" s="2" t="s">
        <v>9274</v>
      </c>
      <c r="K9975" s="2" t="s">
        <v>4814</v>
      </c>
      <c r="L9975" s="2" t="s">
        <v>200</v>
      </c>
      <c r="M9975" s="2">
        <v>30240.0</v>
      </c>
      <c r="N9975" s="2" t="s">
        <v>21</v>
      </c>
    </row>
    <row r="9976" ht="15.75" customHeight="1">
      <c r="A9976" s="2">
        <v>2018.0</v>
      </c>
      <c r="B9976" s="2" t="s">
        <v>40571</v>
      </c>
      <c r="C9976" s="2" t="s">
        <v>40571</v>
      </c>
      <c r="D9976" s="2" t="str">
        <f>"319-573-7566"</f>
        <v>319-573-7566</v>
      </c>
      <c r="E9976" s="2" t="s">
        <v>7145</v>
      </c>
      <c r="F9976" s="2" t="s">
        <v>40572</v>
      </c>
      <c r="G9976" s="2" t="str">
        <f>"SR-13875"</f>
        <v>SR-13875</v>
      </c>
      <c r="H9976" s="2" t="s">
        <v>40573</v>
      </c>
      <c r="I9976" s="2" t="s">
        <v>40574</v>
      </c>
      <c r="K9976" s="2" t="s">
        <v>28366</v>
      </c>
      <c r="L9976" s="2" t="s">
        <v>560</v>
      </c>
      <c r="M9976" s="2">
        <v>52345.0</v>
      </c>
      <c r="N9976" s="2" t="s">
        <v>21</v>
      </c>
    </row>
    <row r="9977" ht="15.75" customHeight="1">
      <c r="A9977" s="2">
        <v>2018.0</v>
      </c>
      <c r="B9977" s="2" t="s">
        <v>40575</v>
      </c>
      <c r="C9977" s="2" t="s">
        <v>40575</v>
      </c>
      <c r="D9977" s="2" t="str">
        <f>"6462488690"</f>
        <v>6462488690</v>
      </c>
      <c r="E9977" s="2" t="s">
        <v>3555</v>
      </c>
      <c r="F9977" s="2" t="s">
        <v>21049</v>
      </c>
      <c r="G9977" s="2" t="str">
        <f>"SR-13890"</f>
        <v>SR-13890</v>
      </c>
      <c r="H9977" s="2" t="s">
        <v>40576</v>
      </c>
      <c r="I9977" s="2" t="s">
        <v>40577</v>
      </c>
      <c r="J9977" s="2" t="s">
        <v>40578</v>
      </c>
      <c r="K9977" s="2" t="s">
        <v>15498</v>
      </c>
      <c r="L9977" s="2" t="s">
        <v>142</v>
      </c>
      <c r="M9977" s="2">
        <v>11214.0</v>
      </c>
      <c r="N9977" s="2" t="s">
        <v>21</v>
      </c>
    </row>
    <row r="9978" ht="15.75" customHeight="1">
      <c r="A9978" s="2">
        <v>2018.0</v>
      </c>
      <c r="B9978" s="2" t="s">
        <v>31147</v>
      </c>
      <c r="C9978" s="2" t="s">
        <v>31147</v>
      </c>
      <c r="D9978" s="2" t="str">
        <f>"9103332034"</f>
        <v>9103332034</v>
      </c>
      <c r="E9978" s="2" t="s">
        <v>718</v>
      </c>
      <c r="F9978" s="2" t="s">
        <v>31148</v>
      </c>
      <c r="G9978" s="2" t="str">
        <f>"SR-13897"</f>
        <v>SR-13897</v>
      </c>
      <c r="H9978" s="2" t="s">
        <v>31149</v>
      </c>
      <c r="I9978" s="2" t="s">
        <v>31150</v>
      </c>
      <c r="K9978" s="2" t="s">
        <v>451</v>
      </c>
      <c r="L9978" s="2" t="s">
        <v>20</v>
      </c>
      <c r="M9978" s="2">
        <v>28540.0</v>
      </c>
      <c r="N9978" s="2" t="s">
        <v>21</v>
      </c>
    </row>
    <row r="9979" ht="15.75" customHeight="1">
      <c r="A9979" s="2">
        <v>2018.0</v>
      </c>
      <c r="B9979" s="2" t="s">
        <v>265</v>
      </c>
      <c r="C9979" s="2" t="s">
        <v>40579</v>
      </c>
      <c r="D9979" s="2" t="str">
        <f>"7852137900"</f>
        <v>7852137900</v>
      </c>
      <c r="E9979" s="2" t="s">
        <v>4406</v>
      </c>
      <c r="F9979" s="2" t="s">
        <v>268</v>
      </c>
      <c r="G9979" s="2" t="str">
        <f>"SR-13892"</f>
        <v>SR-13892</v>
      </c>
      <c r="H9979" s="2" t="s">
        <v>40580</v>
      </c>
      <c r="I9979" s="2" t="s">
        <v>40581</v>
      </c>
      <c r="K9979" s="2" t="s">
        <v>271</v>
      </c>
      <c r="L9979" s="2" t="s">
        <v>272</v>
      </c>
      <c r="M9979" s="2">
        <v>66614.0</v>
      </c>
      <c r="N9979" s="2" t="s">
        <v>21</v>
      </c>
    </row>
    <row r="9980" ht="15.75" customHeight="1">
      <c r="A9980" s="2">
        <v>2018.0</v>
      </c>
      <c r="B9980" s="2" t="s">
        <v>40582</v>
      </c>
      <c r="C9980" s="2" t="s">
        <v>40583</v>
      </c>
      <c r="D9980" s="2" t="str">
        <f>"4054744871"</f>
        <v>4054744871</v>
      </c>
      <c r="E9980" s="2" t="s">
        <v>1713</v>
      </c>
      <c r="F9980" s="2" t="s">
        <v>40584</v>
      </c>
      <c r="G9980" s="2" t="str">
        <f>"SR-13891"</f>
        <v>SR-13891</v>
      </c>
      <c r="H9980" s="2" t="s">
        <v>40585</v>
      </c>
      <c r="I9980" s="2" t="s">
        <v>40586</v>
      </c>
      <c r="K9980" s="2" t="s">
        <v>2870</v>
      </c>
      <c r="L9980" s="2" t="s">
        <v>840</v>
      </c>
      <c r="M9980" s="2">
        <v>73072.0</v>
      </c>
      <c r="N9980" s="2" t="s">
        <v>21</v>
      </c>
    </row>
    <row r="9981" ht="15.75" customHeight="1">
      <c r="A9981" s="2">
        <v>2018.0</v>
      </c>
      <c r="B9981" s="2" t="s">
        <v>40587</v>
      </c>
      <c r="C9981" s="2" t="s">
        <v>40587</v>
      </c>
      <c r="D9981" s="2" t="str">
        <f>"610-732-8383"</f>
        <v>610-732-8383</v>
      </c>
      <c r="E9981" s="2" t="s">
        <v>373</v>
      </c>
      <c r="F9981" s="2" t="s">
        <v>40588</v>
      </c>
      <c r="G9981" s="2" t="str">
        <f>"SR-13899"</f>
        <v>SR-13899</v>
      </c>
      <c r="H9981" s="2" t="s">
        <v>40589</v>
      </c>
      <c r="I9981" s="2" t="s">
        <v>40590</v>
      </c>
      <c r="K9981" s="2" t="s">
        <v>14929</v>
      </c>
      <c r="L9981" s="2" t="s">
        <v>179</v>
      </c>
      <c r="M9981" s="2">
        <v>19380.0</v>
      </c>
      <c r="N9981" s="2" t="s">
        <v>21</v>
      </c>
    </row>
    <row r="9982" ht="15.75" customHeight="1">
      <c r="A9982" s="2">
        <v>2018.0</v>
      </c>
      <c r="B9982" s="2" t="s">
        <v>40591</v>
      </c>
      <c r="C9982" s="2" t="s">
        <v>40592</v>
      </c>
      <c r="D9982" s="2" t="str">
        <f>"719-924-6137"</f>
        <v>719-924-6137</v>
      </c>
      <c r="E9982" s="2" t="s">
        <v>6170</v>
      </c>
      <c r="F9982" s="2" t="s">
        <v>7396</v>
      </c>
      <c r="G9982" s="2" t="str">
        <f>"SR-13772"</f>
        <v>SR-13772</v>
      </c>
      <c r="H9982" s="2" t="s">
        <v>40593</v>
      </c>
      <c r="I9982" s="2" t="s">
        <v>40594</v>
      </c>
      <c r="K9982" s="2" t="s">
        <v>1255</v>
      </c>
      <c r="L9982" s="2" t="s">
        <v>2389</v>
      </c>
      <c r="M9982" s="2">
        <v>97338.0</v>
      </c>
      <c r="N9982" s="2" t="s">
        <v>21</v>
      </c>
    </row>
    <row r="9983" ht="15.75" customHeight="1">
      <c r="A9983" s="2">
        <v>2018.0</v>
      </c>
      <c r="B9983" s="2" t="s">
        <v>40595</v>
      </c>
      <c r="C9983" s="2" t="s">
        <v>40595</v>
      </c>
      <c r="D9983" s="2" t="str">
        <f>"612-"</f>
        <v>612-</v>
      </c>
      <c r="E9983" s="2" t="s">
        <v>23284</v>
      </c>
      <c r="F9983" s="2" t="s">
        <v>40596</v>
      </c>
      <c r="G9983" s="2" t="str">
        <f>"SR-13794"</f>
        <v>SR-13794</v>
      </c>
      <c r="H9983" s="2" t="s">
        <v>40597</v>
      </c>
      <c r="I9983" s="2" t="s">
        <v>40598</v>
      </c>
      <c r="K9983" s="2" t="s">
        <v>8609</v>
      </c>
      <c r="L9983" s="2" t="s">
        <v>62</v>
      </c>
      <c r="M9983" s="2">
        <v>55369.0</v>
      </c>
      <c r="N9983" s="2" t="s">
        <v>21</v>
      </c>
    </row>
    <row r="9984" ht="15.75" customHeight="1">
      <c r="A9984" s="2">
        <v>2018.0</v>
      </c>
      <c r="B9984" s="2" t="s">
        <v>40599</v>
      </c>
      <c r="C9984" s="2" t="s">
        <v>27614</v>
      </c>
      <c r="D9984" s="2" t="str">
        <f>"702-234-3157"</f>
        <v>702-234-3157</v>
      </c>
      <c r="E9984" s="2" t="s">
        <v>137</v>
      </c>
      <c r="F9984" s="2" t="s">
        <v>27615</v>
      </c>
      <c r="G9984" s="2" t="str">
        <f>"SR-13902"</f>
        <v>SR-13902</v>
      </c>
      <c r="H9984" s="2" t="s">
        <v>27616</v>
      </c>
      <c r="I9984" s="2" t="s">
        <v>27617</v>
      </c>
      <c r="K9984" s="2" t="s">
        <v>3128</v>
      </c>
      <c r="L9984" s="2" t="s">
        <v>1419</v>
      </c>
      <c r="M9984" s="2">
        <v>89142.0</v>
      </c>
      <c r="N9984" s="2" t="s">
        <v>21</v>
      </c>
    </row>
    <row r="9985" ht="15.75" customHeight="1">
      <c r="A9985" s="2">
        <v>2018.0</v>
      </c>
      <c r="B9985" s="2" t="s">
        <v>35143</v>
      </c>
      <c r="C9985" s="2" t="s">
        <v>40600</v>
      </c>
      <c r="D9985" s="2" t="str">
        <f>"9054071614"</f>
        <v>9054071614</v>
      </c>
      <c r="E9985" s="2" t="s">
        <v>843</v>
      </c>
      <c r="F9985" s="2" t="s">
        <v>35145</v>
      </c>
      <c r="G9985" s="2" t="str">
        <f>"SR-13893"</f>
        <v>SR-13893</v>
      </c>
      <c r="H9985" s="2" t="s">
        <v>40601</v>
      </c>
      <c r="I9985" s="2" t="s">
        <v>35147</v>
      </c>
      <c r="K9985" s="2" t="s">
        <v>6075</v>
      </c>
      <c r="L9985" s="2" t="s">
        <v>2015</v>
      </c>
      <c r="M9985" s="2" t="s">
        <v>35148</v>
      </c>
      <c r="N9985" s="2" t="s">
        <v>1602</v>
      </c>
    </row>
    <row r="9986" ht="15.75" customHeight="1">
      <c r="A9986" s="2">
        <v>2018.0</v>
      </c>
      <c r="B9986" s="2" t="s">
        <v>40602</v>
      </c>
      <c r="C9986" s="2" t="s">
        <v>40602</v>
      </c>
      <c r="D9986" s="2" t="str">
        <f>"6102410817"</f>
        <v>6102410817</v>
      </c>
      <c r="E9986" s="2" t="s">
        <v>167</v>
      </c>
      <c r="F9986" s="2" t="s">
        <v>40588</v>
      </c>
      <c r="G9986" s="2" t="str">
        <f>"SR-13903"</f>
        <v>SR-13903</v>
      </c>
      <c r="H9986" s="2" t="s">
        <v>40603</v>
      </c>
      <c r="I9986" s="2" t="s">
        <v>40590</v>
      </c>
      <c r="K9986" s="2" t="s">
        <v>14929</v>
      </c>
      <c r="L9986" s="2" t="s">
        <v>179</v>
      </c>
      <c r="M9986" s="2">
        <v>19380.0</v>
      </c>
      <c r="N9986" s="2" t="s">
        <v>21</v>
      </c>
    </row>
    <row r="9987" ht="15.75" customHeight="1">
      <c r="A9987" s="2">
        <v>2018.0</v>
      </c>
      <c r="B9987" s="2" t="s">
        <v>40604</v>
      </c>
      <c r="C9987" s="2" t="s">
        <v>40605</v>
      </c>
      <c r="D9987" s="2" t="str">
        <f>"712-348-9050"</f>
        <v>712-348-9050</v>
      </c>
      <c r="E9987" s="2" t="s">
        <v>3196</v>
      </c>
      <c r="F9987" s="2" t="s">
        <v>40606</v>
      </c>
      <c r="G9987" s="2" t="str">
        <f>"SR-10476"</f>
        <v>SR-10476</v>
      </c>
      <c r="H9987" s="2" t="s">
        <v>40607</v>
      </c>
      <c r="I9987" s="2" t="s">
        <v>40608</v>
      </c>
      <c r="K9987" s="2" t="s">
        <v>40609</v>
      </c>
      <c r="L9987" s="2" t="s">
        <v>560</v>
      </c>
      <c r="M9987" s="2">
        <v>51201.0</v>
      </c>
      <c r="N9987" s="2" t="s">
        <v>21</v>
      </c>
    </row>
    <row r="9988" ht="15.75" customHeight="1">
      <c r="A9988" s="2">
        <v>2018.0</v>
      </c>
      <c r="B9988" s="2" t="s">
        <v>40610</v>
      </c>
      <c r="C9988" s="2" t="s">
        <v>40611</v>
      </c>
      <c r="D9988" s="2" t="str">
        <f>"505-974-2325"</f>
        <v>505-974-2325</v>
      </c>
      <c r="E9988" s="2" t="s">
        <v>339</v>
      </c>
      <c r="F9988" s="2" t="s">
        <v>529</v>
      </c>
      <c r="G9988" s="2" t="str">
        <f>"SR-13894"</f>
        <v>SR-13894</v>
      </c>
      <c r="H9988" s="2" t="s">
        <v>40612</v>
      </c>
      <c r="I9988" s="2" t="s">
        <v>40613</v>
      </c>
      <c r="K9988" s="2" t="s">
        <v>3705</v>
      </c>
      <c r="L9988" s="2" t="s">
        <v>789</v>
      </c>
      <c r="M9988" s="2">
        <v>87114.0</v>
      </c>
      <c r="N9988" s="2" t="s">
        <v>21</v>
      </c>
    </row>
    <row r="9989" ht="15.75" customHeight="1">
      <c r="A9989" s="2">
        <v>2018.0</v>
      </c>
      <c r="B9989" s="2" t="s">
        <v>40614</v>
      </c>
      <c r="C9989" s="2" t="s">
        <v>40614</v>
      </c>
      <c r="D9989" s="2" t="str">
        <f>"7279161211"</f>
        <v>7279161211</v>
      </c>
      <c r="E9989" s="2" t="s">
        <v>373</v>
      </c>
      <c r="F9989" s="2" t="s">
        <v>5911</v>
      </c>
      <c r="G9989" s="2" t="str">
        <f>"SR-13904"</f>
        <v>SR-13904</v>
      </c>
      <c r="H9989" s="2" t="s">
        <v>40615</v>
      </c>
      <c r="I9989" s="2" t="s">
        <v>40616</v>
      </c>
      <c r="K9989" s="2" t="s">
        <v>309</v>
      </c>
      <c r="L9989" s="2" t="s">
        <v>1419</v>
      </c>
      <c r="M9989" s="2">
        <v>89052.0</v>
      </c>
      <c r="N9989" s="2" t="s">
        <v>21</v>
      </c>
    </row>
    <row r="9990" ht="15.75" customHeight="1">
      <c r="A9990" s="2">
        <v>2018.0</v>
      </c>
      <c r="B9990" s="2" t="s">
        <v>40617</v>
      </c>
      <c r="C9990" s="2" t="s">
        <v>40617</v>
      </c>
      <c r="D9990" s="2" t="str">
        <f>"(910)-202-4933"</f>
        <v>(910)-202-4933</v>
      </c>
      <c r="E9990" s="2" t="s">
        <v>2681</v>
      </c>
      <c r="F9990" s="2" t="s">
        <v>22382</v>
      </c>
      <c r="G9990" s="2" t="str">
        <f>"SR-13900"</f>
        <v>SR-13900</v>
      </c>
      <c r="H9990" s="2" t="s">
        <v>40618</v>
      </c>
      <c r="I9990" s="2" t="s">
        <v>40619</v>
      </c>
      <c r="K9990" s="2" t="s">
        <v>11784</v>
      </c>
      <c r="L9990" s="2" t="s">
        <v>20</v>
      </c>
      <c r="M9990" s="2">
        <v>28408.0</v>
      </c>
      <c r="N9990" s="2" t="s">
        <v>21</v>
      </c>
    </row>
    <row r="9991" ht="15.75" customHeight="1">
      <c r="A9991" s="2">
        <v>2018.0</v>
      </c>
      <c r="B9991" s="2" t="s">
        <v>40620</v>
      </c>
      <c r="C9991" s="2" t="s">
        <v>40621</v>
      </c>
      <c r="D9991" s="2" t="str">
        <f>"5203011477"</f>
        <v>5203011477</v>
      </c>
      <c r="E9991" s="2" t="s">
        <v>485</v>
      </c>
      <c r="F9991" s="2" t="s">
        <v>40622</v>
      </c>
      <c r="G9991" s="2" t="str">
        <f>"SR-13906"</f>
        <v>SR-13906</v>
      </c>
      <c r="H9991" s="2" t="s">
        <v>40623</v>
      </c>
      <c r="I9991" s="2" t="s">
        <v>40624</v>
      </c>
      <c r="K9991" s="2" t="s">
        <v>5946</v>
      </c>
      <c r="L9991" s="2" t="s">
        <v>422</v>
      </c>
      <c r="M9991" s="2">
        <v>85747.0</v>
      </c>
      <c r="N9991" s="2" t="s">
        <v>21</v>
      </c>
    </row>
    <row r="9992" ht="15.75" customHeight="1">
      <c r="A9992" s="2">
        <v>2018.0</v>
      </c>
      <c r="B9992" s="2" t="s">
        <v>23202</v>
      </c>
      <c r="C9992" s="2" t="s">
        <v>40625</v>
      </c>
      <c r="D9992" s="2" t="str">
        <f>"337-396-2204"</f>
        <v>337-396-2204</v>
      </c>
      <c r="E9992" s="2" t="s">
        <v>2361</v>
      </c>
      <c r="F9992" s="2" t="s">
        <v>1988</v>
      </c>
      <c r="G9992" s="2" t="str">
        <f>"SR-13898"</f>
        <v>SR-13898</v>
      </c>
      <c r="H9992" s="2" t="s">
        <v>40626</v>
      </c>
      <c r="I9992" s="2" t="s">
        <v>40627</v>
      </c>
      <c r="K9992" s="2" t="s">
        <v>3037</v>
      </c>
      <c r="L9992" s="2" t="s">
        <v>715</v>
      </c>
      <c r="M9992" s="2">
        <v>70644.0</v>
      </c>
      <c r="N9992" s="2" t="s">
        <v>21</v>
      </c>
    </row>
    <row r="9993" ht="15.75" customHeight="1">
      <c r="A9993" s="2">
        <v>2018.0</v>
      </c>
      <c r="B9993" s="2" t="s">
        <v>40628</v>
      </c>
      <c r="C9993" s="2" t="s">
        <v>40629</v>
      </c>
      <c r="D9993" s="2" t="str">
        <f>"3199299120"</f>
        <v>3199299120</v>
      </c>
      <c r="E9993" s="2" t="s">
        <v>1450</v>
      </c>
      <c r="F9993" s="2" t="s">
        <v>40630</v>
      </c>
      <c r="G9993" s="2" t="str">
        <f>"SR-13907"</f>
        <v>SR-13907</v>
      </c>
      <c r="H9993" s="2" t="s">
        <v>40631</v>
      </c>
      <c r="I9993" s="2" t="s">
        <v>40632</v>
      </c>
      <c r="K9993" s="2" t="s">
        <v>3273</v>
      </c>
      <c r="L9993" s="2" t="s">
        <v>560</v>
      </c>
      <c r="M9993" s="2">
        <v>52405.0</v>
      </c>
      <c r="N9993" s="2" t="s">
        <v>21</v>
      </c>
    </row>
    <row r="9994" ht="15.75" customHeight="1">
      <c r="A9994" s="2">
        <v>2018.0</v>
      </c>
      <c r="B9994" s="2" t="s">
        <v>40633</v>
      </c>
      <c r="C9994" s="2" t="s">
        <v>40634</v>
      </c>
      <c r="D9994" s="2" t="str">
        <f>"252-637-1948"</f>
        <v>252-637-1948</v>
      </c>
      <c r="E9994" s="2" t="s">
        <v>261</v>
      </c>
      <c r="F9994" s="2" t="s">
        <v>22382</v>
      </c>
      <c r="G9994" s="2" t="str">
        <f>"SR-13909"</f>
        <v>SR-13909</v>
      </c>
      <c r="H9994" s="2" t="s">
        <v>40635</v>
      </c>
      <c r="I9994" s="2" t="s">
        <v>40636</v>
      </c>
      <c r="K9994" s="2" t="s">
        <v>40637</v>
      </c>
      <c r="L9994" s="2" t="s">
        <v>20</v>
      </c>
      <c r="M9994" s="2">
        <v>28560.0</v>
      </c>
      <c r="N9994" s="2" t="s">
        <v>21</v>
      </c>
    </row>
    <row r="9995" ht="15.75" customHeight="1">
      <c r="A9995" s="2">
        <v>2018.0</v>
      </c>
      <c r="B9995" s="2" t="s">
        <v>40638</v>
      </c>
      <c r="D9995" s="2" t="str">
        <f>"4068735357"</f>
        <v>4068735357</v>
      </c>
      <c r="E9995" s="2" t="s">
        <v>1208</v>
      </c>
      <c r="F9995" s="2" t="s">
        <v>33990</v>
      </c>
      <c r="G9995" s="2" t="str">
        <f>"SR-10063"</f>
        <v>SR-10063</v>
      </c>
      <c r="H9995" s="2" t="s">
        <v>40639</v>
      </c>
      <c r="I9995" s="2" t="s">
        <v>40640</v>
      </c>
      <c r="K9995" s="2" t="s">
        <v>88</v>
      </c>
      <c r="L9995" s="2" t="s">
        <v>1540</v>
      </c>
      <c r="M9995" s="2">
        <v>82414.0</v>
      </c>
      <c r="N9995" s="2" t="s">
        <v>21</v>
      </c>
    </row>
    <row r="9996" ht="15.75" customHeight="1">
      <c r="A9996" s="2">
        <v>2018.0</v>
      </c>
      <c r="B9996" s="2" t="s">
        <v>40641</v>
      </c>
      <c r="C9996" s="2" t="s">
        <v>40641</v>
      </c>
      <c r="D9996" s="2" t="str">
        <f>"3477404146"</f>
        <v>3477404146</v>
      </c>
      <c r="E9996" s="2" t="s">
        <v>5760</v>
      </c>
      <c r="F9996" s="2" t="s">
        <v>2753</v>
      </c>
      <c r="G9996" s="2" t="str">
        <f>"SR-13862"</f>
        <v>SR-13862</v>
      </c>
      <c r="H9996" s="2" t="s">
        <v>40642</v>
      </c>
      <c r="I9996" s="2" t="s">
        <v>40643</v>
      </c>
      <c r="K9996" s="2" t="s">
        <v>37001</v>
      </c>
      <c r="L9996" s="2" t="s">
        <v>142</v>
      </c>
      <c r="M9996" s="2">
        <v>11223.0</v>
      </c>
      <c r="N9996" s="2" t="s">
        <v>21</v>
      </c>
    </row>
    <row r="9997" ht="15.75" customHeight="1">
      <c r="A9997" s="2">
        <v>2018.0</v>
      </c>
      <c r="B9997" s="2" t="s">
        <v>40644</v>
      </c>
      <c r="C9997" s="2" t="s">
        <v>40644</v>
      </c>
      <c r="D9997" s="2" t="str">
        <f>"(501)-404-8161"</f>
        <v>(501)-404-8161</v>
      </c>
      <c r="E9997" s="2" t="s">
        <v>908</v>
      </c>
      <c r="F9997" s="2" t="s">
        <v>94</v>
      </c>
      <c r="G9997" s="2" t="str">
        <f>"SR-13901"</f>
        <v>SR-13901</v>
      </c>
      <c r="H9997" s="2" t="s">
        <v>32587</v>
      </c>
      <c r="I9997" s="2" t="s">
        <v>40645</v>
      </c>
      <c r="K9997" s="2" t="s">
        <v>3040</v>
      </c>
      <c r="L9997" s="2" t="s">
        <v>1012</v>
      </c>
      <c r="M9997" s="2">
        <v>72761.0</v>
      </c>
      <c r="N9997" s="2" t="s">
        <v>21</v>
      </c>
    </row>
    <row r="9998" ht="15.75" customHeight="1">
      <c r="A9998" s="2">
        <v>2018.0</v>
      </c>
      <c r="B9998" s="2" t="s">
        <v>40646</v>
      </c>
      <c r="C9998" s="2" t="s">
        <v>40647</v>
      </c>
      <c r="D9998" s="2" t="str">
        <f>"865 924 7639"</f>
        <v>865 924 7639</v>
      </c>
      <c r="E9998" s="2" t="s">
        <v>40648</v>
      </c>
      <c r="F9998" s="2" t="s">
        <v>40649</v>
      </c>
      <c r="G9998" s="2" t="str">
        <f>"SR-13905"</f>
        <v>SR-13905</v>
      </c>
      <c r="H9998" s="2" t="s">
        <v>40650</v>
      </c>
      <c r="I9998" s="2" t="s">
        <v>40651</v>
      </c>
      <c r="K9998" s="2" t="s">
        <v>40652</v>
      </c>
      <c r="L9998" s="2" t="s">
        <v>279</v>
      </c>
      <c r="M9998" s="2">
        <v>37840.0</v>
      </c>
      <c r="N9998" s="2" t="s">
        <v>21</v>
      </c>
    </row>
    <row r="9999" ht="15.75" customHeight="1">
      <c r="A9999" s="2">
        <v>2018.0</v>
      </c>
      <c r="B9999" s="2" t="s">
        <v>7800</v>
      </c>
      <c r="C9999" s="2" t="s">
        <v>40653</v>
      </c>
      <c r="D9999" s="2" t="str">
        <f>"9123528796"</f>
        <v>9123528796</v>
      </c>
      <c r="E9999" s="2" t="s">
        <v>580</v>
      </c>
      <c r="F9999" s="2" t="s">
        <v>7801</v>
      </c>
      <c r="G9999" s="2" t="str">
        <f>"SR-13911"</f>
        <v>SR-13911</v>
      </c>
      <c r="H9999" s="2" t="s">
        <v>40654</v>
      </c>
      <c r="I9999" s="2" t="s">
        <v>40655</v>
      </c>
      <c r="K9999" s="2" t="s">
        <v>1239</v>
      </c>
      <c r="L9999" s="2" t="s">
        <v>200</v>
      </c>
      <c r="M9999" s="2">
        <v>31406.0</v>
      </c>
      <c r="N9999" s="2" t="s">
        <v>21</v>
      </c>
    </row>
    <row r="10000" ht="15.75" customHeight="1">
      <c r="A10000" s="2">
        <v>2018.0</v>
      </c>
      <c r="B10000" s="2" t="s">
        <v>18467</v>
      </c>
      <c r="C10000" s="2" t="s">
        <v>40656</v>
      </c>
      <c r="D10000" s="2" t="str">
        <f>"307-322-9696"</f>
        <v>307-322-9696</v>
      </c>
      <c r="E10000" s="2" t="s">
        <v>1156</v>
      </c>
      <c r="F10000" s="2" t="s">
        <v>7466</v>
      </c>
      <c r="G10000" s="2" t="str">
        <f>"SR-13914"</f>
        <v>SR-13914</v>
      </c>
      <c r="H10000" s="2" t="s">
        <v>40657</v>
      </c>
      <c r="I10000" s="2" t="s">
        <v>40658</v>
      </c>
      <c r="K10000" s="2" t="s">
        <v>18471</v>
      </c>
      <c r="L10000" s="2" t="s">
        <v>1540</v>
      </c>
      <c r="M10000" s="2">
        <v>82201.0</v>
      </c>
      <c r="N10000" s="2" t="s">
        <v>21</v>
      </c>
    </row>
    <row r="10001" ht="15.75" customHeight="1">
      <c r="A10001" s="2">
        <v>2018.0</v>
      </c>
      <c r="B10001" s="2" t="s">
        <v>40633</v>
      </c>
      <c r="C10001" s="2" t="s">
        <v>40659</v>
      </c>
      <c r="D10001" s="2" t="str">
        <f>"252-637-1948"</f>
        <v>252-637-1948</v>
      </c>
      <c r="E10001" s="2" t="s">
        <v>1208</v>
      </c>
      <c r="F10001" s="2" t="s">
        <v>22382</v>
      </c>
      <c r="G10001" s="2" t="str">
        <f>"SR-13912"</f>
        <v>SR-13912</v>
      </c>
      <c r="H10001" s="2" t="s">
        <v>40660</v>
      </c>
      <c r="I10001" s="2" t="s">
        <v>40661</v>
      </c>
      <c r="K10001" s="2" t="s">
        <v>40637</v>
      </c>
      <c r="L10001" s="2" t="s">
        <v>20</v>
      </c>
      <c r="M10001" s="2">
        <v>28560.0</v>
      </c>
      <c r="N10001" s="2" t="s">
        <v>21</v>
      </c>
    </row>
    <row r="10002" ht="15.75" customHeight="1">
      <c r="A10002" s="2">
        <v>2018.0</v>
      </c>
      <c r="B10002" s="2" t="s">
        <v>25736</v>
      </c>
      <c r="C10002" s="2" t="s">
        <v>25737</v>
      </c>
      <c r="D10002" s="2" t="str">
        <f>"6158540452"</f>
        <v>6158540452</v>
      </c>
      <c r="E10002" s="2" t="s">
        <v>2947</v>
      </c>
      <c r="F10002" s="2" t="s">
        <v>690</v>
      </c>
      <c r="G10002" s="2" t="str">
        <f>"SR-8091"</f>
        <v>SR-8091</v>
      </c>
      <c r="H10002" s="2" t="s">
        <v>25738</v>
      </c>
      <c r="I10002" s="2" t="s">
        <v>19153</v>
      </c>
      <c r="K10002" s="2" t="s">
        <v>731</v>
      </c>
      <c r="L10002" s="2" t="s">
        <v>279</v>
      </c>
      <c r="M10002" s="2">
        <v>37215.0</v>
      </c>
      <c r="N10002" s="2" t="s">
        <v>21</v>
      </c>
    </row>
    <row r="10003" ht="15.75" customHeight="1">
      <c r="A10003" s="2">
        <v>2018.0</v>
      </c>
      <c r="B10003" s="2" t="s">
        <v>33777</v>
      </c>
      <c r="C10003" s="2" t="s">
        <v>33778</v>
      </c>
      <c r="D10003" s="2" t="str">
        <f>"903-675-5312"</f>
        <v>903-675-5312</v>
      </c>
      <c r="E10003" s="2" t="s">
        <v>4401</v>
      </c>
      <c r="F10003" s="2" t="s">
        <v>2429</v>
      </c>
      <c r="G10003" s="2" t="str">
        <f>"SR-10993"</f>
        <v>SR-10993</v>
      </c>
      <c r="H10003" s="2" t="s">
        <v>33779</v>
      </c>
      <c r="I10003" s="2" t="s">
        <v>33780</v>
      </c>
      <c r="K10003" s="2" t="s">
        <v>5108</v>
      </c>
      <c r="L10003" s="2" t="s">
        <v>172</v>
      </c>
      <c r="M10003" s="2">
        <v>75752.0</v>
      </c>
      <c r="N10003" s="2" t="s">
        <v>21</v>
      </c>
    </row>
    <row r="10004" ht="15.75" customHeight="1">
      <c r="A10004" s="2">
        <v>2018.0</v>
      </c>
      <c r="B10004" s="2" t="s">
        <v>40662</v>
      </c>
      <c r="C10004" s="2" t="s">
        <v>40663</v>
      </c>
      <c r="D10004" s="2" t="str">
        <f>"616 401 6787"</f>
        <v>616 401 6787</v>
      </c>
      <c r="E10004" s="2" t="s">
        <v>485</v>
      </c>
      <c r="F10004" s="2" t="s">
        <v>40664</v>
      </c>
      <c r="G10004" s="2" t="str">
        <f>"SR-12178"</f>
        <v>SR-12178</v>
      </c>
      <c r="H10004" s="2" t="s">
        <v>40665</v>
      </c>
      <c r="I10004" s="2" t="s">
        <v>40666</v>
      </c>
      <c r="K10004" s="2" t="s">
        <v>31335</v>
      </c>
      <c r="L10004" s="2" t="s">
        <v>29</v>
      </c>
      <c r="M10004" s="2">
        <v>49401.0</v>
      </c>
      <c r="N10004" s="2" t="s">
        <v>21</v>
      </c>
    </row>
    <row r="10005" ht="15.75" customHeight="1">
      <c r="A10005" s="2">
        <v>2018.0</v>
      </c>
      <c r="B10005" s="2" t="s">
        <v>40667</v>
      </c>
      <c r="C10005" s="2" t="s">
        <v>40668</v>
      </c>
      <c r="D10005" s="2" t="str">
        <f>"719 481-1194"</f>
        <v>719 481-1194</v>
      </c>
      <c r="E10005" s="2" t="s">
        <v>40669</v>
      </c>
      <c r="F10005" s="2" t="s">
        <v>40670</v>
      </c>
      <c r="G10005" s="2" t="str">
        <f>"SR-13024"</f>
        <v>SR-13024</v>
      </c>
      <c r="H10005" s="2" t="s">
        <v>40671</v>
      </c>
      <c r="I10005" s="2" t="s">
        <v>40672</v>
      </c>
      <c r="K10005" s="2" t="s">
        <v>809</v>
      </c>
      <c r="L10005" s="2" t="s">
        <v>157</v>
      </c>
      <c r="M10005" s="2">
        <v>80921.0</v>
      </c>
      <c r="N10005" s="2" t="s">
        <v>21</v>
      </c>
    </row>
    <row r="10006" ht="15.75" customHeight="1">
      <c r="A10006" s="2">
        <v>2018.0</v>
      </c>
      <c r="B10006" s="2" t="s">
        <v>40673</v>
      </c>
      <c r="C10006" s="2" t="s">
        <v>40674</v>
      </c>
      <c r="D10006" s="2" t="str">
        <f>"19132632414"</f>
        <v>19132632414</v>
      </c>
      <c r="E10006" s="2" t="s">
        <v>843</v>
      </c>
      <c r="F10006" s="2" t="s">
        <v>40675</v>
      </c>
      <c r="G10006" s="2" t="str">
        <f>"SR-13527"</f>
        <v>SR-13527</v>
      </c>
      <c r="H10006" s="2" t="s">
        <v>40676</v>
      </c>
      <c r="I10006" s="2" t="s">
        <v>40677</v>
      </c>
      <c r="K10006" s="2" t="s">
        <v>4514</v>
      </c>
      <c r="L10006" s="2" t="s">
        <v>272</v>
      </c>
      <c r="M10006" s="2">
        <v>66203.0</v>
      </c>
      <c r="N10006" s="2" t="s">
        <v>21</v>
      </c>
    </row>
    <row r="10007" ht="15.75" customHeight="1">
      <c r="A10007" s="2">
        <v>2018.0</v>
      </c>
      <c r="B10007" s="2" t="s">
        <v>40678</v>
      </c>
      <c r="C10007" s="2" t="s">
        <v>40678</v>
      </c>
      <c r="D10007" s="2" t="str">
        <f>"8642856215"</f>
        <v>8642856215</v>
      </c>
      <c r="E10007" s="2" t="s">
        <v>25433</v>
      </c>
      <c r="F10007" s="2" t="s">
        <v>10019</v>
      </c>
      <c r="G10007" s="2" t="str">
        <f>"SR-13920"</f>
        <v>SR-13920</v>
      </c>
      <c r="H10007" s="2" t="s">
        <v>40679</v>
      </c>
      <c r="I10007" s="2" t="s">
        <v>40680</v>
      </c>
      <c r="K10007" s="2" t="s">
        <v>2474</v>
      </c>
      <c r="L10007" s="2" t="s">
        <v>55</v>
      </c>
      <c r="M10007" s="2">
        <v>29334.0</v>
      </c>
      <c r="N10007" s="2" t="s">
        <v>21</v>
      </c>
    </row>
    <row r="10008" ht="15.75" customHeight="1">
      <c r="A10008" s="2">
        <v>2018.0</v>
      </c>
      <c r="B10008" s="2" t="s">
        <v>36455</v>
      </c>
      <c r="C10008" s="2" t="s">
        <v>36456</v>
      </c>
      <c r="D10008" s="2" t="str">
        <f>"954-405-0380"</f>
        <v>954-405-0380</v>
      </c>
      <c r="E10008" s="2" t="s">
        <v>1257</v>
      </c>
      <c r="F10008" s="2" t="s">
        <v>36457</v>
      </c>
      <c r="G10008" s="2" t="str">
        <f>"SR-11556"</f>
        <v>SR-11556</v>
      </c>
      <c r="H10008" s="2" t="s">
        <v>36458</v>
      </c>
      <c r="I10008" s="2" t="s">
        <v>36459</v>
      </c>
      <c r="K10008" s="2" t="s">
        <v>7313</v>
      </c>
      <c r="L10008" s="2" t="s">
        <v>208</v>
      </c>
      <c r="M10008" s="2">
        <v>33021.0</v>
      </c>
      <c r="N10008" s="2" t="s">
        <v>21</v>
      </c>
    </row>
    <row r="10009" ht="15.75" customHeight="1">
      <c r="A10009" s="2">
        <v>2018.0</v>
      </c>
      <c r="B10009" s="2" t="s">
        <v>24308</v>
      </c>
      <c r="C10009" s="2" t="s">
        <v>40681</v>
      </c>
      <c r="D10009" s="2" t="str">
        <f>"682-309-9259"</f>
        <v>682-309-9259</v>
      </c>
      <c r="E10009" s="2" t="s">
        <v>705</v>
      </c>
      <c r="F10009" s="2" t="s">
        <v>24310</v>
      </c>
      <c r="G10009" s="2" t="str">
        <f>"SR-13244"</f>
        <v>SR-13244</v>
      </c>
      <c r="H10009" s="2" t="s">
        <v>40682</v>
      </c>
      <c r="I10009" s="2" t="s">
        <v>40683</v>
      </c>
      <c r="K10009" s="2" t="s">
        <v>6017</v>
      </c>
      <c r="L10009" s="2" t="s">
        <v>172</v>
      </c>
      <c r="M10009" s="2">
        <v>76008.0</v>
      </c>
      <c r="N10009" s="2" t="s">
        <v>21</v>
      </c>
    </row>
    <row r="10010" ht="15.75" customHeight="1">
      <c r="A10010" s="2">
        <v>2018.0</v>
      </c>
      <c r="B10010" s="2" t="s">
        <v>40684</v>
      </c>
      <c r="C10010" s="2" t="s">
        <v>40685</v>
      </c>
      <c r="D10010" s="2" t="str">
        <f>"972-804-3535"</f>
        <v>972-804-3535</v>
      </c>
      <c r="E10010" s="2" t="s">
        <v>13914</v>
      </c>
      <c r="F10010" s="2" t="s">
        <v>1190</v>
      </c>
      <c r="G10010" s="2" t="str">
        <f>"SR-13922"</f>
        <v>SR-13922</v>
      </c>
      <c r="H10010" s="2" t="s">
        <v>40686</v>
      </c>
      <c r="I10010" s="2" t="s">
        <v>40687</v>
      </c>
      <c r="K10010" s="2" t="s">
        <v>29233</v>
      </c>
      <c r="L10010" s="2" t="s">
        <v>172</v>
      </c>
      <c r="M10010" s="2">
        <v>76226.0</v>
      </c>
      <c r="N10010" s="2" t="s">
        <v>21</v>
      </c>
    </row>
    <row r="10011" ht="15.75" customHeight="1">
      <c r="A10011" s="2">
        <v>2018.0</v>
      </c>
      <c r="B10011" s="2" t="s">
        <v>36455</v>
      </c>
      <c r="C10011" s="2" t="s">
        <v>40688</v>
      </c>
      <c r="D10011" s="2" t="str">
        <f>"9544050381"</f>
        <v>9544050381</v>
      </c>
      <c r="E10011" s="2" t="s">
        <v>6869</v>
      </c>
      <c r="F10011" s="2" t="s">
        <v>36457</v>
      </c>
      <c r="G10011" s="2" t="str">
        <f>"SR-13926"</f>
        <v>SR-13926</v>
      </c>
      <c r="H10011" s="2" t="s">
        <v>40689</v>
      </c>
      <c r="I10011" s="2" t="s">
        <v>36459</v>
      </c>
      <c r="K10011" s="2" t="s">
        <v>7313</v>
      </c>
      <c r="L10011" s="2" t="s">
        <v>208</v>
      </c>
      <c r="M10011" s="2">
        <v>33021.0</v>
      </c>
      <c r="N10011" s="2" t="s">
        <v>21</v>
      </c>
    </row>
    <row r="10012" ht="15.75" customHeight="1">
      <c r="A10012" s="2">
        <v>2018.0</v>
      </c>
      <c r="B10012" s="2" t="s">
        <v>5330</v>
      </c>
      <c r="C10012" s="2" t="s">
        <v>40690</v>
      </c>
      <c r="D10012" s="2" t="str">
        <f>"513-398-6538"</f>
        <v>513-398-6538</v>
      </c>
      <c r="E10012" s="2" t="s">
        <v>2988</v>
      </c>
      <c r="F10012" s="2" t="s">
        <v>448</v>
      </c>
      <c r="G10012" s="2" t="str">
        <f>"SR-13878"</f>
        <v>SR-13878</v>
      </c>
      <c r="H10012" s="2" t="s">
        <v>40691</v>
      </c>
      <c r="I10012" s="2" t="s">
        <v>40692</v>
      </c>
      <c r="K10012" s="2" t="s">
        <v>5335</v>
      </c>
      <c r="L10012" s="2" t="s">
        <v>344</v>
      </c>
      <c r="M10012" s="2">
        <v>45040.0</v>
      </c>
      <c r="N10012" s="2" t="s">
        <v>21</v>
      </c>
    </row>
    <row r="10013" ht="15.75" customHeight="1">
      <c r="A10013" s="2">
        <v>2018.0</v>
      </c>
      <c r="B10013" s="2" t="s">
        <v>29441</v>
      </c>
      <c r="C10013" s="2" t="s">
        <v>29441</v>
      </c>
      <c r="D10013" s="2" t="str">
        <f>"740-524-0646"</f>
        <v>740-524-0646</v>
      </c>
      <c r="E10013" s="2" t="s">
        <v>29460</v>
      </c>
      <c r="F10013" s="2" t="s">
        <v>29443</v>
      </c>
      <c r="G10013" s="2" t="str">
        <f>"SR-9169"</f>
        <v>SR-9169</v>
      </c>
      <c r="H10013" s="2" t="s">
        <v>29461</v>
      </c>
      <c r="I10013" s="2" t="s">
        <v>29445</v>
      </c>
      <c r="K10013" s="2" t="s">
        <v>10756</v>
      </c>
      <c r="L10013" s="2" t="s">
        <v>344</v>
      </c>
      <c r="M10013" s="2">
        <v>43015.0</v>
      </c>
      <c r="N10013" s="2" t="s">
        <v>21</v>
      </c>
    </row>
    <row r="10014" ht="15.75" customHeight="1">
      <c r="A10014" s="2">
        <v>2018.0</v>
      </c>
      <c r="B10014" s="2" t="s">
        <v>5564</v>
      </c>
      <c r="C10014" s="2" t="s">
        <v>40693</v>
      </c>
      <c r="D10014" s="2" t="str">
        <f>"205-472-0118"</f>
        <v>205-472-0118</v>
      </c>
      <c r="E10014" s="2" t="s">
        <v>2438</v>
      </c>
      <c r="F10014" s="2" t="s">
        <v>711</v>
      </c>
      <c r="G10014" s="2" t="str">
        <f>"SR-13826"</f>
        <v>SR-13826</v>
      </c>
      <c r="H10014" s="2" t="s">
        <v>40694</v>
      </c>
      <c r="I10014" s="2" t="s">
        <v>40695</v>
      </c>
      <c r="K10014" s="2" t="s">
        <v>5568</v>
      </c>
      <c r="L10014" s="2" t="s">
        <v>539</v>
      </c>
      <c r="M10014" s="2">
        <v>35131.0</v>
      </c>
      <c r="N10014" s="2" t="s">
        <v>21</v>
      </c>
    </row>
    <row r="10015" ht="15.75" customHeight="1">
      <c r="A10015" s="2">
        <v>2018.0</v>
      </c>
      <c r="B10015" s="2" t="s">
        <v>40696</v>
      </c>
      <c r="C10015" s="2" t="s">
        <v>40697</v>
      </c>
      <c r="D10015" s="2" t="str">
        <f>"5055075015"</f>
        <v>5055075015</v>
      </c>
      <c r="E10015" s="2" t="s">
        <v>23759</v>
      </c>
      <c r="F10015" s="2" t="s">
        <v>40698</v>
      </c>
      <c r="G10015" s="2" t="str">
        <f>"SR-13927"</f>
        <v>SR-13927</v>
      </c>
      <c r="H10015" s="2" t="s">
        <v>40699</v>
      </c>
      <c r="I10015" s="2" t="s">
        <v>40700</v>
      </c>
      <c r="K10015" s="2" t="s">
        <v>3705</v>
      </c>
      <c r="L10015" s="2" t="s">
        <v>789</v>
      </c>
      <c r="M10015" s="2">
        <v>87120.0</v>
      </c>
      <c r="N10015" s="2" t="s">
        <v>21</v>
      </c>
    </row>
    <row r="10016" ht="15.75" customHeight="1">
      <c r="A10016" s="2">
        <v>2018.0</v>
      </c>
      <c r="B10016" s="2" t="s">
        <v>7302</v>
      </c>
      <c r="C10016" s="2" t="s">
        <v>40701</v>
      </c>
      <c r="D10016" s="2" t="str">
        <f>"270-872-9379"</f>
        <v>270-872-9379</v>
      </c>
      <c r="E10016" s="2" t="s">
        <v>40702</v>
      </c>
      <c r="F10016" s="2" t="s">
        <v>7303</v>
      </c>
      <c r="G10016" s="2" t="str">
        <f>"SR-13609"</f>
        <v>SR-13609</v>
      </c>
      <c r="H10016" s="2" t="s">
        <v>40703</v>
      </c>
      <c r="I10016" s="2" t="s">
        <v>7309</v>
      </c>
      <c r="K10016" s="2" t="s">
        <v>7306</v>
      </c>
      <c r="L10016" s="2" t="s">
        <v>1236</v>
      </c>
      <c r="M10016" s="2">
        <v>40175.0</v>
      </c>
      <c r="N10016" s="2" t="s">
        <v>21</v>
      </c>
    </row>
    <row r="10017" ht="15.75" customHeight="1">
      <c r="A10017" s="2">
        <v>2018.0</v>
      </c>
      <c r="B10017" s="2" t="s">
        <v>40704</v>
      </c>
      <c r="D10017" s="2" t="str">
        <f>"4127155248"</f>
        <v>4127155248</v>
      </c>
      <c r="E10017" s="2" t="s">
        <v>4111</v>
      </c>
      <c r="F10017" s="2" t="s">
        <v>778</v>
      </c>
      <c r="G10017" s="2" t="str">
        <f>"SR-13562"</f>
        <v>SR-13562</v>
      </c>
      <c r="H10017" s="2" t="s">
        <v>26644</v>
      </c>
      <c r="I10017" s="2" t="s">
        <v>40705</v>
      </c>
      <c r="K10017" s="2" t="s">
        <v>40706</v>
      </c>
      <c r="L10017" s="2" t="s">
        <v>179</v>
      </c>
      <c r="M10017" s="2">
        <v>15108.0</v>
      </c>
      <c r="N10017" s="2" t="s">
        <v>21</v>
      </c>
    </row>
    <row r="10018" ht="15.75" customHeight="1">
      <c r="A10018" s="2">
        <v>2018.0</v>
      </c>
      <c r="B10018" s="2" t="s">
        <v>40707</v>
      </c>
      <c r="C10018" s="2" t="s">
        <v>40707</v>
      </c>
      <c r="D10018" s="2" t="str">
        <f>"570-265-3085"</f>
        <v>570-265-3085</v>
      </c>
      <c r="E10018" s="2" t="s">
        <v>40708</v>
      </c>
      <c r="F10018" s="2" t="s">
        <v>40709</v>
      </c>
      <c r="G10018" s="2" t="str">
        <f>"SR-13921"</f>
        <v>SR-13921</v>
      </c>
      <c r="H10018" s="2" t="s">
        <v>40710</v>
      </c>
      <c r="I10018" s="2" t="s">
        <v>40711</v>
      </c>
      <c r="K10018" s="2" t="s">
        <v>40712</v>
      </c>
      <c r="L10018" s="2" t="s">
        <v>179</v>
      </c>
      <c r="M10018" s="2">
        <v>18853.0</v>
      </c>
      <c r="N10018" s="2" t="s">
        <v>21</v>
      </c>
    </row>
    <row r="10019" ht="15.75" customHeight="1">
      <c r="A10019" s="2">
        <v>2018.0</v>
      </c>
      <c r="B10019" s="2" t="s">
        <v>40713</v>
      </c>
      <c r="C10019" s="2" t="s">
        <v>40714</v>
      </c>
      <c r="D10019" s="2" t="str">
        <f>"5303333473"</f>
        <v>5303333473</v>
      </c>
      <c r="E10019" s="2" t="s">
        <v>339</v>
      </c>
      <c r="F10019" s="2" t="s">
        <v>17832</v>
      </c>
      <c r="G10019" s="2" t="str">
        <f>"SR-13755"</f>
        <v>SR-13755</v>
      </c>
      <c r="H10019" s="2" t="s">
        <v>40715</v>
      </c>
      <c r="I10019" s="2" t="s">
        <v>40716</v>
      </c>
      <c r="K10019" s="2" t="s">
        <v>3954</v>
      </c>
      <c r="L10019" s="2" t="s">
        <v>222</v>
      </c>
      <c r="M10019" s="2">
        <v>93657.0</v>
      </c>
      <c r="N10019" s="2" t="s">
        <v>21</v>
      </c>
    </row>
    <row r="10020" ht="15.75" customHeight="1">
      <c r="A10020" s="2">
        <v>2018.0</v>
      </c>
      <c r="B10020" s="2" t="s">
        <v>36194</v>
      </c>
      <c r="C10020" s="2" t="s">
        <v>36194</v>
      </c>
      <c r="D10020" s="2" t="str">
        <f>"2815125611"</f>
        <v>2815125611</v>
      </c>
      <c r="E10020" s="2" t="s">
        <v>36195</v>
      </c>
      <c r="F10020" s="2" t="s">
        <v>36196</v>
      </c>
      <c r="G10020" s="2" t="str">
        <f>"SR-13736"</f>
        <v>SR-13736</v>
      </c>
      <c r="H10020" s="2" t="s">
        <v>36197</v>
      </c>
      <c r="I10020" s="2" t="s">
        <v>36198</v>
      </c>
      <c r="K10020" s="2" t="s">
        <v>4216</v>
      </c>
      <c r="L10020" s="2" t="s">
        <v>172</v>
      </c>
      <c r="M10020" s="2">
        <v>77406.0</v>
      </c>
      <c r="N10020" s="2" t="s">
        <v>21</v>
      </c>
    </row>
    <row r="10021" ht="15.75" customHeight="1">
      <c r="A10021" s="2">
        <v>2018.0</v>
      </c>
      <c r="B10021" s="2" t="s">
        <v>40717</v>
      </c>
      <c r="C10021" s="2" t="s">
        <v>40717</v>
      </c>
      <c r="D10021" s="2" t="str">
        <f>"4232311670"</f>
        <v>4232311670</v>
      </c>
      <c r="E10021" s="2" t="s">
        <v>4136</v>
      </c>
      <c r="F10021" s="2" t="s">
        <v>40718</v>
      </c>
      <c r="G10021" s="2" t="str">
        <f>"SR-13935"</f>
        <v>SR-13935</v>
      </c>
      <c r="H10021" s="2" t="s">
        <v>40719</v>
      </c>
      <c r="I10021" s="2" t="s">
        <v>40720</v>
      </c>
      <c r="K10021" s="2" t="s">
        <v>21028</v>
      </c>
      <c r="L10021" s="2" t="s">
        <v>279</v>
      </c>
      <c r="M10021" s="2">
        <v>37877.0</v>
      </c>
      <c r="N10021" s="2" t="s">
        <v>21</v>
      </c>
    </row>
    <row r="10022" ht="15.75" customHeight="1">
      <c r="A10022" s="2">
        <v>2018.0</v>
      </c>
      <c r="B10022" s="2" t="s">
        <v>40721</v>
      </c>
      <c r="C10022" s="2" t="s">
        <v>40722</v>
      </c>
      <c r="D10022" s="2" t="str">
        <f>"2147940347"</f>
        <v>2147940347</v>
      </c>
      <c r="E10022" s="2" t="s">
        <v>137</v>
      </c>
      <c r="F10022" s="2" t="s">
        <v>40723</v>
      </c>
      <c r="G10022" s="2" t="str">
        <f>"SR-13931"</f>
        <v>SR-13931</v>
      </c>
      <c r="H10022" s="2" t="s">
        <v>40724</v>
      </c>
      <c r="I10022" s="2" t="s">
        <v>40725</v>
      </c>
      <c r="K10022" s="2" t="s">
        <v>1255</v>
      </c>
      <c r="L10022" s="2" t="s">
        <v>172</v>
      </c>
      <c r="M10022" s="2">
        <v>75230.0</v>
      </c>
      <c r="N10022" s="2" t="s">
        <v>21</v>
      </c>
    </row>
    <row r="10023" ht="15.75" customHeight="1">
      <c r="A10023" s="2">
        <v>2018.0</v>
      </c>
      <c r="B10023" s="2" t="s">
        <v>40726</v>
      </c>
      <c r="C10023" s="2" t="s">
        <v>40727</v>
      </c>
      <c r="D10023" s="2" t="str">
        <f>"425-247-4302"</f>
        <v>425-247-4302</v>
      </c>
      <c r="E10023" s="2" t="s">
        <v>5760</v>
      </c>
      <c r="F10023" s="2" t="s">
        <v>40728</v>
      </c>
      <c r="G10023" s="2" t="str">
        <f>"SR-13829"</f>
        <v>SR-13829</v>
      </c>
      <c r="H10023" s="2" t="s">
        <v>40729</v>
      </c>
      <c r="I10023" s="2" t="s">
        <v>40730</v>
      </c>
      <c r="K10023" s="2" t="s">
        <v>7873</v>
      </c>
      <c r="L10023" s="2" t="s">
        <v>86</v>
      </c>
      <c r="M10023" s="2">
        <v>98008.0</v>
      </c>
      <c r="N10023" s="2" t="s">
        <v>21</v>
      </c>
    </row>
    <row r="10024" ht="15.75" customHeight="1">
      <c r="A10024" s="2">
        <v>2018.0</v>
      </c>
      <c r="B10024" s="2" t="s">
        <v>25484</v>
      </c>
      <c r="C10024" s="2" t="s">
        <v>33073</v>
      </c>
      <c r="D10024" s="2" t="str">
        <f>"803-905-8068"</f>
        <v>803-905-8068</v>
      </c>
      <c r="E10024" s="2" t="s">
        <v>250</v>
      </c>
      <c r="F10024" s="2" t="s">
        <v>847</v>
      </c>
      <c r="G10024" s="2" t="str">
        <f>"SR-9921"</f>
        <v>SR-9921</v>
      </c>
      <c r="H10024" s="2" t="s">
        <v>33074</v>
      </c>
      <c r="I10024" s="2" t="s">
        <v>25487</v>
      </c>
      <c r="K10024" s="2" t="s">
        <v>25488</v>
      </c>
      <c r="L10024" s="2" t="s">
        <v>55</v>
      </c>
      <c r="M10024" s="2">
        <v>29150.0</v>
      </c>
      <c r="N10024" s="2" t="s">
        <v>21</v>
      </c>
    </row>
    <row r="10025" ht="15.75" customHeight="1">
      <c r="A10025" s="2">
        <v>2018.0</v>
      </c>
      <c r="B10025" s="2" t="s">
        <v>40731</v>
      </c>
      <c r="C10025" s="2" t="s">
        <v>40731</v>
      </c>
      <c r="D10025" s="2" t="str">
        <f>"805-444-7243"</f>
        <v>805-444-7243</v>
      </c>
      <c r="E10025" s="2" t="s">
        <v>843</v>
      </c>
      <c r="F10025" s="2" t="s">
        <v>1517</v>
      </c>
      <c r="G10025" s="2" t="str">
        <f>"SR-13932"</f>
        <v>SR-13932</v>
      </c>
      <c r="H10025" s="2" t="s">
        <v>40732</v>
      </c>
      <c r="I10025" s="2" t="s">
        <v>40733</v>
      </c>
      <c r="K10025" s="2" t="s">
        <v>1194</v>
      </c>
      <c r="L10025" s="2" t="s">
        <v>222</v>
      </c>
      <c r="M10025" s="2">
        <v>93065.0</v>
      </c>
      <c r="N10025" s="2" t="s">
        <v>21</v>
      </c>
    </row>
    <row r="10026" ht="15.75" customHeight="1">
      <c r="A10026" s="2">
        <v>2018.0</v>
      </c>
      <c r="B10026" s="2" t="s">
        <v>12041</v>
      </c>
      <c r="C10026" s="2" t="s">
        <v>35643</v>
      </c>
      <c r="D10026" s="2" t="str">
        <f>"9157909690"</f>
        <v>9157909690</v>
      </c>
      <c r="E10026" s="2" t="s">
        <v>13731</v>
      </c>
      <c r="F10026" s="2" t="s">
        <v>35644</v>
      </c>
      <c r="G10026" s="2" t="str">
        <f>"SR-11483"</f>
        <v>SR-11483</v>
      </c>
      <c r="H10026" s="2" t="s">
        <v>35645</v>
      </c>
      <c r="I10026" s="2" t="s">
        <v>35646</v>
      </c>
      <c r="J10026" s="2" t="s">
        <v>12046</v>
      </c>
      <c r="K10026" s="2" t="s">
        <v>12047</v>
      </c>
      <c r="L10026" s="2" t="s">
        <v>172</v>
      </c>
      <c r="M10026" s="2">
        <v>79838.0</v>
      </c>
      <c r="N10026" s="2" t="s">
        <v>21</v>
      </c>
    </row>
    <row r="10027" ht="15.75" customHeight="1">
      <c r="A10027" s="2">
        <v>2018.0</v>
      </c>
      <c r="B10027" s="2" t="s">
        <v>40734</v>
      </c>
      <c r="C10027" s="2" t="s">
        <v>40734</v>
      </c>
      <c r="D10027" s="2" t="str">
        <f>"3862953902"</f>
        <v>3862953902</v>
      </c>
      <c r="E10027" s="2" t="s">
        <v>124</v>
      </c>
      <c r="F10027" s="2" t="s">
        <v>8278</v>
      </c>
      <c r="G10027" s="2" t="str">
        <f>"SR-13939"</f>
        <v>SR-13939</v>
      </c>
      <c r="H10027" s="2" t="s">
        <v>40735</v>
      </c>
      <c r="I10027" s="2" t="s">
        <v>40736</v>
      </c>
      <c r="K10027" s="2" t="s">
        <v>1315</v>
      </c>
      <c r="L10027" s="2" t="s">
        <v>200</v>
      </c>
      <c r="M10027" s="2">
        <v>29627.0</v>
      </c>
      <c r="N10027" s="2" t="s">
        <v>21</v>
      </c>
    </row>
    <row r="10028" ht="15.75" customHeight="1">
      <c r="A10028" s="2">
        <v>2018.0</v>
      </c>
      <c r="B10028" s="2" t="s">
        <v>40737</v>
      </c>
      <c r="C10028" s="2" t="s">
        <v>40738</v>
      </c>
      <c r="D10028" s="2" t="str">
        <f>"9106850960"</f>
        <v>9106850960</v>
      </c>
      <c r="E10028" s="2" t="s">
        <v>977</v>
      </c>
      <c r="F10028" s="2" t="s">
        <v>40739</v>
      </c>
      <c r="G10028" s="2" t="str">
        <f>"SR-13628"</f>
        <v>SR-13628</v>
      </c>
      <c r="H10028" s="2" t="s">
        <v>40740</v>
      </c>
      <c r="I10028" s="2" t="s">
        <v>40741</v>
      </c>
      <c r="K10028" s="2" t="s">
        <v>21169</v>
      </c>
      <c r="L10028" s="2" t="s">
        <v>20</v>
      </c>
      <c r="M10028" s="2">
        <v>28443.0</v>
      </c>
      <c r="N10028" s="2" t="s">
        <v>21</v>
      </c>
    </row>
    <row r="10029" ht="15.75" customHeight="1">
      <c r="A10029" s="2">
        <v>2018.0</v>
      </c>
      <c r="B10029" s="2" t="s">
        <v>33526</v>
      </c>
      <c r="C10029" s="2" t="s">
        <v>33527</v>
      </c>
      <c r="D10029" s="2" t="str">
        <f>"805-512-4110"</f>
        <v>805-512-4110</v>
      </c>
      <c r="E10029" s="2" t="s">
        <v>5134</v>
      </c>
      <c r="F10029" s="2" t="s">
        <v>6088</v>
      </c>
      <c r="G10029" s="2" t="str">
        <f>"SR-10930"</f>
        <v>SR-10930</v>
      </c>
      <c r="H10029" s="2" t="s">
        <v>33528</v>
      </c>
      <c r="I10029" s="2" t="s">
        <v>33529</v>
      </c>
      <c r="K10029" s="2" t="s">
        <v>3245</v>
      </c>
      <c r="L10029" s="2" t="s">
        <v>222</v>
      </c>
      <c r="M10029" s="2">
        <v>91320.0</v>
      </c>
      <c r="N10029" s="2" t="s">
        <v>21</v>
      </c>
    </row>
    <row r="10030" ht="15.75" customHeight="1">
      <c r="A10030" s="2">
        <v>2018.0</v>
      </c>
      <c r="B10030" s="2" t="s">
        <v>40742</v>
      </c>
      <c r="C10030" s="2" t="s">
        <v>40743</v>
      </c>
      <c r="D10030" s="2" t="str">
        <f>"8154098111"</f>
        <v>8154098111</v>
      </c>
      <c r="E10030" s="2" t="s">
        <v>29458</v>
      </c>
      <c r="F10030" s="2" t="s">
        <v>22708</v>
      </c>
      <c r="G10030" s="2" t="str">
        <f>"SR-13747"</f>
        <v>SR-13747</v>
      </c>
      <c r="H10030" s="2" t="s">
        <v>40744</v>
      </c>
      <c r="I10030" s="2" t="s">
        <v>40745</v>
      </c>
      <c r="K10030" s="2" t="s">
        <v>40746</v>
      </c>
      <c r="L10030" s="2" t="s">
        <v>105</v>
      </c>
      <c r="M10030" s="2">
        <v>61065.0</v>
      </c>
      <c r="N10030" s="2" t="s">
        <v>21</v>
      </c>
    </row>
    <row r="10031" ht="15.75" customHeight="1">
      <c r="A10031" s="2">
        <v>2018.0</v>
      </c>
      <c r="B10031" s="2" t="s">
        <v>40747</v>
      </c>
      <c r="C10031" s="2" t="s">
        <v>40748</v>
      </c>
      <c r="D10031" s="2" t="str">
        <f>"8063410149"</f>
        <v>8063410149</v>
      </c>
      <c r="E10031" s="2" t="s">
        <v>13309</v>
      </c>
      <c r="F10031" s="2" t="s">
        <v>31805</v>
      </c>
      <c r="G10031" s="2" t="str">
        <f>"SR-13854"</f>
        <v>SR-13854</v>
      </c>
      <c r="H10031" s="2" t="s">
        <v>40749</v>
      </c>
      <c r="I10031" s="2" t="s">
        <v>40750</v>
      </c>
      <c r="K10031" s="2" t="s">
        <v>14992</v>
      </c>
      <c r="L10031" s="2" t="s">
        <v>172</v>
      </c>
      <c r="M10031" s="2">
        <v>79106.0</v>
      </c>
      <c r="N10031" s="2" t="s">
        <v>21</v>
      </c>
    </row>
    <row r="10032" ht="15.75" customHeight="1">
      <c r="A10032" s="2">
        <v>2018.0</v>
      </c>
      <c r="B10032" s="2" t="s">
        <v>40751</v>
      </c>
      <c r="C10032" s="2" t="s">
        <v>40752</v>
      </c>
      <c r="D10032" s="2" t="str">
        <f>"9516168509"</f>
        <v>9516168509</v>
      </c>
      <c r="E10032" s="2" t="s">
        <v>40753</v>
      </c>
      <c r="F10032" s="2" t="s">
        <v>40754</v>
      </c>
      <c r="G10032" s="2" t="str">
        <f>"SR-13519"</f>
        <v>SR-13519</v>
      </c>
      <c r="H10032" s="2" t="s">
        <v>40755</v>
      </c>
      <c r="I10032" s="2" t="s">
        <v>40756</v>
      </c>
      <c r="K10032" s="2" t="s">
        <v>9348</v>
      </c>
      <c r="L10032" s="2" t="s">
        <v>222</v>
      </c>
      <c r="M10032" s="2">
        <v>92508.0</v>
      </c>
      <c r="N10032" s="2" t="s">
        <v>21</v>
      </c>
    </row>
    <row r="10033" ht="15.75" customHeight="1">
      <c r="A10033" s="2">
        <v>2018.0</v>
      </c>
      <c r="B10033" s="2" t="s">
        <v>40757</v>
      </c>
      <c r="C10033" s="2" t="s">
        <v>40758</v>
      </c>
      <c r="D10033" s="2" t="str">
        <f>"3475892737"</f>
        <v>3475892737</v>
      </c>
      <c r="E10033" s="2" t="s">
        <v>2598</v>
      </c>
      <c r="F10033" s="2" t="s">
        <v>847</v>
      </c>
      <c r="G10033" s="2" t="str">
        <f>"SR-13863"</f>
        <v>SR-13863</v>
      </c>
      <c r="H10033" s="2" t="s">
        <v>40759</v>
      </c>
      <c r="I10033" s="2" t="s">
        <v>40760</v>
      </c>
      <c r="J10033" s="2" t="s">
        <v>40761</v>
      </c>
      <c r="K10033" s="2" t="s">
        <v>26685</v>
      </c>
      <c r="L10033" s="2" t="s">
        <v>142</v>
      </c>
      <c r="M10033" s="2">
        <v>10314.0</v>
      </c>
      <c r="N10033" s="2" t="s">
        <v>21</v>
      </c>
    </row>
    <row r="10034" ht="15.75" customHeight="1">
      <c r="A10034" s="2">
        <v>2018.0</v>
      </c>
      <c r="B10034" s="2" t="s">
        <v>6031</v>
      </c>
      <c r="C10034" s="2" t="s">
        <v>35149</v>
      </c>
      <c r="D10034" s="2" t="str">
        <f>"317-603-1236"</f>
        <v>317-603-1236</v>
      </c>
      <c r="E10034" s="2" t="s">
        <v>705</v>
      </c>
      <c r="F10034" s="2" t="s">
        <v>6032</v>
      </c>
      <c r="G10034" s="2" t="str">
        <f>"SR-11316"</f>
        <v>SR-11316</v>
      </c>
      <c r="H10034" s="2" t="s">
        <v>35150</v>
      </c>
      <c r="I10034" s="2" t="s">
        <v>6034</v>
      </c>
      <c r="K10034" s="2" t="s">
        <v>5258</v>
      </c>
      <c r="L10034" s="2" t="s">
        <v>149</v>
      </c>
      <c r="M10034" s="2">
        <v>46034.0</v>
      </c>
      <c r="N10034" s="2" t="s">
        <v>21</v>
      </c>
    </row>
    <row r="10035" ht="15.75" customHeight="1">
      <c r="A10035" s="2">
        <v>2018.0</v>
      </c>
      <c r="B10035" s="2" t="s">
        <v>40762</v>
      </c>
      <c r="C10035" s="2" t="s">
        <v>40763</v>
      </c>
      <c r="D10035" s="2" t="str">
        <f>"407-782-5750"</f>
        <v>407-782-5750</v>
      </c>
      <c r="E10035" s="2" t="s">
        <v>453</v>
      </c>
      <c r="F10035" s="2" t="s">
        <v>22206</v>
      </c>
      <c r="G10035" s="2" t="str">
        <f>"SR-13761"</f>
        <v>SR-13761</v>
      </c>
      <c r="H10035" s="2" t="s">
        <v>40764</v>
      </c>
      <c r="I10035" s="2" t="s">
        <v>40765</v>
      </c>
      <c r="K10035" s="2" t="s">
        <v>24227</v>
      </c>
      <c r="L10035" s="2" t="s">
        <v>179</v>
      </c>
      <c r="M10035" s="2">
        <v>19363.0</v>
      </c>
      <c r="N10035" s="2" t="s">
        <v>21</v>
      </c>
    </row>
    <row r="10036" ht="15.75" customHeight="1">
      <c r="A10036" s="2">
        <v>2018.0</v>
      </c>
      <c r="B10036" s="2" t="s">
        <v>40766</v>
      </c>
      <c r="C10036" s="2" t="s">
        <v>40767</v>
      </c>
      <c r="D10036" s="2" t="str">
        <f>"570 395 9380"</f>
        <v>570 395 9380</v>
      </c>
      <c r="E10036" s="2" t="s">
        <v>4871</v>
      </c>
      <c r="F10036" s="2" t="s">
        <v>19404</v>
      </c>
      <c r="G10036" s="2" t="str">
        <f>"SR-13944"</f>
        <v>SR-13944</v>
      </c>
      <c r="H10036" s="2" t="s">
        <v>40768</v>
      </c>
      <c r="I10036" s="2" t="s">
        <v>40769</v>
      </c>
      <c r="K10036" s="2" t="s">
        <v>40770</v>
      </c>
      <c r="L10036" s="2" t="s">
        <v>179</v>
      </c>
      <c r="M10036" s="2">
        <v>18851.0</v>
      </c>
      <c r="N10036" s="2" t="s">
        <v>21</v>
      </c>
    </row>
    <row r="10037" ht="15.75" customHeight="1">
      <c r="A10037" s="2">
        <v>2018.0</v>
      </c>
      <c r="B10037" s="2" t="s">
        <v>40771</v>
      </c>
      <c r="D10037" s="2" t="str">
        <f>""</f>
        <v/>
      </c>
      <c r="E10037" s="2" t="s">
        <v>678</v>
      </c>
      <c r="F10037" s="2" t="s">
        <v>543</v>
      </c>
      <c r="G10037" s="2" t="str">
        <f>"SR-13938"</f>
        <v>SR-13938</v>
      </c>
      <c r="H10037" s="2" t="s">
        <v>40772</v>
      </c>
      <c r="N10037" s="2" t="s">
        <v>21</v>
      </c>
    </row>
    <row r="10038" ht="15.75" customHeight="1">
      <c r="A10038" s="2">
        <v>2018.0</v>
      </c>
      <c r="B10038" s="2" t="s">
        <v>40773</v>
      </c>
      <c r="C10038" s="2" t="s">
        <v>40774</v>
      </c>
      <c r="D10038" s="2" t="str">
        <f>"715-651-5444"</f>
        <v>715-651-5444</v>
      </c>
      <c r="E10038" s="2" t="s">
        <v>167</v>
      </c>
      <c r="F10038" s="2" t="s">
        <v>2350</v>
      </c>
      <c r="G10038" s="2" t="str">
        <f>"SR-13910"</f>
        <v>SR-13910</v>
      </c>
      <c r="H10038" s="2" t="s">
        <v>7131</v>
      </c>
      <c r="I10038" s="2" t="s">
        <v>40775</v>
      </c>
      <c r="K10038" s="2" t="s">
        <v>40776</v>
      </c>
      <c r="L10038" s="2" t="s">
        <v>165</v>
      </c>
      <c r="M10038" s="2">
        <v>22630.0</v>
      </c>
      <c r="N10038" s="2" t="s">
        <v>21</v>
      </c>
    </row>
    <row r="10039" ht="15.75" customHeight="1">
      <c r="A10039" s="2">
        <v>2018.0</v>
      </c>
      <c r="B10039" s="2" t="s">
        <v>34849</v>
      </c>
      <c r="C10039" s="2" t="s">
        <v>34850</v>
      </c>
      <c r="D10039" s="2" t="str">
        <f>"970-510-0923"</f>
        <v>970-510-0923</v>
      </c>
      <c r="E10039" s="2" t="s">
        <v>24</v>
      </c>
      <c r="F10039" s="2" t="s">
        <v>17913</v>
      </c>
      <c r="G10039" s="2" t="str">
        <f>"SR-11242"</f>
        <v>SR-11242</v>
      </c>
      <c r="H10039" s="2" t="s">
        <v>34851</v>
      </c>
      <c r="I10039" s="2" t="s">
        <v>34852</v>
      </c>
      <c r="K10039" s="2" t="s">
        <v>7578</v>
      </c>
      <c r="L10039" s="2" t="s">
        <v>157</v>
      </c>
      <c r="M10039" s="2">
        <v>80118.0</v>
      </c>
      <c r="N10039" s="2" t="s">
        <v>21</v>
      </c>
    </row>
    <row r="10040" ht="15.75" customHeight="1">
      <c r="A10040" s="2">
        <v>2018.0</v>
      </c>
      <c r="B10040" s="2" t="s">
        <v>40777</v>
      </c>
      <c r="C10040" s="2" t="s">
        <v>40778</v>
      </c>
      <c r="D10040" s="2" t="str">
        <f>"8584373302"</f>
        <v>8584373302</v>
      </c>
      <c r="E10040" s="2" t="s">
        <v>40779</v>
      </c>
      <c r="F10040" s="2" t="s">
        <v>40780</v>
      </c>
      <c r="G10040" s="2" t="str">
        <f>"SR-13802"</f>
        <v>SR-13802</v>
      </c>
      <c r="H10040" s="2" t="s">
        <v>40781</v>
      </c>
      <c r="I10040" s="2" t="s">
        <v>40782</v>
      </c>
      <c r="J10040" s="2" t="s">
        <v>40783</v>
      </c>
      <c r="K10040" s="2" t="s">
        <v>8250</v>
      </c>
      <c r="L10040" s="2" t="s">
        <v>222</v>
      </c>
      <c r="M10040" s="2">
        <v>92126.0</v>
      </c>
      <c r="N10040" s="2" t="s">
        <v>21</v>
      </c>
    </row>
    <row r="10041" ht="15.75" customHeight="1">
      <c r="A10041" s="2">
        <v>2018.0</v>
      </c>
      <c r="B10041" s="2" t="s">
        <v>40784</v>
      </c>
      <c r="C10041" s="2" t="s">
        <v>40785</v>
      </c>
      <c r="D10041" s="2" t="str">
        <f>"567-204-0508"</f>
        <v>567-204-0508</v>
      </c>
      <c r="E10041" s="2" t="s">
        <v>456</v>
      </c>
      <c r="F10041" s="2" t="s">
        <v>2847</v>
      </c>
      <c r="G10041" s="2" t="str">
        <f>"SR-13813"</f>
        <v>SR-13813</v>
      </c>
      <c r="H10041" s="2" t="s">
        <v>40786</v>
      </c>
      <c r="I10041" s="2" t="s">
        <v>40787</v>
      </c>
      <c r="K10041" s="2" t="s">
        <v>32013</v>
      </c>
      <c r="L10041" s="2" t="s">
        <v>344</v>
      </c>
      <c r="M10041" s="2">
        <v>45807.0</v>
      </c>
      <c r="N10041" s="2" t="s">
        <v>21</v>
      </c>
    </row>
    <row r="10042" ht="15.75" customHeight="1">
      <c r="A10042" s="2">
        <v>2018.0</v>
      </c>
      <c r="B10042" s="2" t="s">
        <v>40788</v>
      </c>
      <c r="C10042" s="2" t="s">
        <v>40789</v>
      </c>
      <c r="D10042" s="2" t="str">
        <f>"305-205-6851"</f>
        <v>305-205-6851</v>
      </c>
      <c r="E10042" s="2" t="s">
        <v>10949</v>
      </c>
      <c r="F10042" s="2" t="s">
        <v>7689</v>
      </c>
      <c r="G10042" s="2" t="str">
        <f>"SR-13782"</f>
        <v>SR-13782</v>
      </c>
      <c r="H10042" s="2" t="s">
        <v>40790</v>
      </c>
      <c r="I10042" s="2" t="s">
        <v>40791</v>
      </c>
      <c r="K10042" s="2" t="s">
        <v>2211</v>
      </c>
      <c r="L10042" s="2" t="s">
        <v>208</v>
      </c>
      <c r="M10042" s="2">
        <v>33165.0</v>
      </c>
      <c r="N10042" s="2" t="s">
        <v>21</v>
      </c>
    </row>
    <row r="10043" ht="15.75" customHeight="1">
      <c r="A10043" s="2">
        <v>2018.0</v>
      </c>
      <c r="B10043" s="2" t="s">
        <v>40792</v>
      </c>
      <c r="C10043" s="2" t="s">
        <v>40793</v>
      </c>
      <c r="D10043" s="2" t="str">
        <f>"4140-489-6751"</f>
        <v>4140-489-6751</v>
      </c>
      <c r="E10043" s="2" t="s">
        <v>8693</v>
      </c>
      <c r="F10043" s="2" t="s">
        <v>40794</v>
      </c>
      <c r="G10043" s="2" t="str">
        <f>"SR-13945"</f>
        <v>SR-13945</v>
      </c>
      <c r="H10043" s="2" t="s">
        <v>40795</v>
      </c>
      <c r="I10043" s="2" t="s">
        <v>40796</v>
      </c>
      <c r="K10043" s="2" t="s">
        <v>40797</v>
      </c>
      <c r="L10043" s="2" t="s">
        <v>1868</v>
      </c>
      <c r="M10043" s="2">
        <v>21784.0</v>
      </c>
      <c r="N10043" s="2" t="s">
        <v>21</v>
      </c>
    </row>
    <row r="10044" ht="15.75" customHeight="1">
      <c r="A10044" s="2">
        <v>2018.0</v>
      </c>
      <c r="B10044" s="2" t="s">
        <v>27531</v>
      </c>
      <c r="C10044" s="2" t="s">
        <v>40798</v>
      </c>
      <c r="D10044" s="2" t="str">
        <f>"512-876-0469"</f>
        <v>512-876-0469</v>
      </c>
      <c r="E10044" s="2" t="s">
        <v>282</v>
      </c>
      <c r="F10044" s="2" t="s">
        <v>27533</v>
      </c>
      <c r="G10044" s="2" t="str">
        <f>"SR-9062"</f>
        <v>SR-9062</v>
      </c>
      <c r="H10044" s="2" t="s">
        <v>40799</v>
      </c>
      <c r="I10044" s="2" t="s">
        <v>27535</v>
      </c>
      <c r="K10044" s="2" t="s">
        <v>27536</v>
      </c>
      <c r="L10044" s="2" t="s">
        <v>172</v>
      </c>
      <c r="M10044" s="2">
        <v>78642.0</v>
      </c>
      <c r="N10044" s="2" t="s">
        <v>21</v>
      </c>
    </row>
    <row r="10045" ht="15.75" customHeight="1">
      <c r="A10045" s="2">
        <v>2018.0</v>
      </c>
      <c r="B10045" s="2" t="s">
        <v>40800</v>
      </c>
      <c r="C10045" s="2" t="s">
        <v>40801</v>
      </c>
      <c r="D10045" s="2" t="str">
        <f>"352-213-7318"</f>
        <v>352-213-7318</v>
      </c>
      <c r="E10045" s="2" t="s">
        <v>2243</v>
      </c>
      <c r="F10045" s="2" t="s">
        <v>24289</v>
      </c>
      <c r="G10045" s="2" t="str">
        <f>"SR-13950"</f>
        <v>SR-13950</v>
      </c>
      <c r="H10045" s="2" t="s">
        <v>40802</v>
      </c>
      <c r="I10045" s="2" t="s">
        <v>40803</v>
      </c>
      <c r="K10045" s="2" t="s">
        <v>4425</v>
      </c>
      <c r="L10045" s="2" t="s">
        <v>208</v>
      </c>
      <c r="M10045" s="2">
        <v>32669.0</v>
      </c>
      <c r="N10045" s="2" t="s">
        <v>21</v>
      </c>
    </row>
    <row r="10046" ht="15.75" customHeight="1">
      <c r="A10046" s="2">
        <v>2018.0</v>
      </c>
      <c r="B10046" s="2" t="s">
        <v>40804</v>
      </c>
      <c r="C10046" s="2" t="s">
        <v>40805</v>
      </c>
      <c r="D10046" s="2" t="str">
        <f>"949-293-3102"</f>
        <v>949-293-3102</v>
      </c>
      <c r="E10046" s="2" t="s">
        <v>2891</v>
      </c>
      <c r="F10046" s="2" t="s">
        <v>40806</v>
      </c>
      <c r="G10046" s="2" t="str">
        <f>"SR-13952"</f>
        <v>SR-13952</v>
      </c>
      <c r="H10046" s="2" t="s">
        <v>40807</v>
      </c>
      <c r="I10046" s="2" t="s">
        <v>40808</v>
      </c>
      <c r="K10046" s="2" t="s">
        <v>18685</v>
      </c>
      <c r="L10046" s="2" t="s">
        <v>222</v>
      </c>
      <c r="M10046" s="2">
        <v>92694.0</v>
      </c>
      <c r="N10046" s="2" t="s">
        <v>21</v>
      </c>
    </row>
    <row r="10047" ht="15.75" customHeight="1">
      <c r="A10047" s="2">
        <v>2018.0</v>
      </c>
      <c r="B10047" s="2" t="s">
        <v>35638</v>
      </c>
      <c r="C10047" s="2" t="s">
        <v>35639</v>
      </c>
      <c r="D10047" s="2" t="str">
        <f>"915-346-8532"</f>
        <v>915-346-8532</v>
      </c>
      <c r="E10047" s="2" t="s">
        <v>35640</v>
      </c>
      <c r="F10047" s="2" t="s">
        <v>12784</v>
      </c>
      <c r="G10047" s="2" t="str">
        <f>"SR-11476"</f>
        <v>SR-11476</v>
      </c>
      <c r="H10047" s="2" t="s">
        <v>35641</v>
      </c>
      <c r="I10047" s="2" t="s">
        <v>35642</v>
      </c>
      <c r="J10047" s="2" t="s">
        <v>12787</v>
      </c>
      <c r="K10047" s="2" t="s">
        <v>12788</v>
      </c>
      <c r="L10047" s="2" t="s">
        <v>172</v>
      </c>
      <c r="M10047" s="2">
        <v>79853.0</v>
      </c>
      <c r="N10047" s="2" t="s">
        <v>21</v>
      </c>
    </row>
    <row r="10048" ht="15.75" customHeight="1">
      <c r="A10048" s="2">
        <v>2018.0</v>
      </c>
      <c r="B10048" s="2" t="s">
        <v>35285</v>
      </c>
      <c r="C10048" s="2" t="s">
        <v>35285</v>
      </c>
      <c r="D10048" s="2" t="str">
        <f>"(405)618-7695"</f>
        <v>(405)618-7695</v>
      </c>
      <c r="E10048" s="2" t="s">
        <v>261</v>
      </c>
      <c r="F10048" s="2" t="s">
        <v>1040</v>
      </c>
      <c r="G10048" s="2" t="str">
        <f>"SR-9964"</f>
        <v>SR-9964</v>
      </c>
      <c r="H10048" s="2" t="s">
        <v>9654</v>
      </c>
      <c r="I10048" s="2" t="s">
        <v>3741</v>
      </c>
      <c r="K10048" s="2" t="s">
        <v>2870</v>
      </c>
      <c r="L10048" s="2" t="s">
        <v>840</v>
      </c>
      <c r="M10048" s="2">
        <v>73072.0</v>
      </c>
      <c r="N10048" s="2" t="s">
        <v>21</v>
      </c>
    </row>
    <row r="10049" ht="15.75" customHeight="1">
      <c r="A10049" s="2">
        <v>2018.0</v>
      </c>
      <c r="B10049" s="2" t="s">
        <v>34849</v>
      </c>
      <c r="C10049" s="2" t="s">
        <v>40809</v>
      </c>
      <c r="D10049" s="2" t="str">
        <f>"7208794733"</f>
        <v>7208794733</v>
      </c>
      <c r="E10049" s="2" t="s">
        <v>40810</v>
      </c>
      <c r="F10049" s="2" t="s">
        <v>17913</v>
      </c>
      <c r="G10049" s="2" t="str">
        <f>"SR-13951"</f>
        <v>SR-13951</v>
      </c>
      <c r="H10049" s="2" t="s">
        <v>40811</v>
      </c>
      <c r="I10049" s="2" t="s">
        <v>40812</v>
      </c>
      <c r="K10049" s="2" t="s">
        <v>7578</v>
      </c>
      <c r="L10049" s="2" t="s">
        <v>157</v>
      </c>
      <c r="M10049" s="2">
        <v>80118.0</v>
      </c>
      <c r="N10049" s="2" t="s">
        <v>21</v>
      </c>
    </row>
    <row r="10050" ht="15.75" customHeight="1">
      <c r="A10050" s="2">
        <v>2018.0</v>
      </c>
      <c r="B10050" s="2" t="s">
        <v>6828</v>
      </c>
      <c r="C10050" s="2" t="s">
        <v>40813</v>
      </c>
      <c r="D10050" s="2" t="str">
        <f>"612-719-2209"</f>
        <v>612-719-2209</v>
      </c>
      <c r="E10050" s="2" t="s">
        <v>678</v>
      </c>
      <c r="F10050" s="2" t="s">
        <v>2906</v>
      </c>
      <c r="G10050" s="2" t="str">
        <f>"SR-13664"</f>
        <v>SR-13664</v>
      </c>
      <c r="H10050" s="2" t="s">
        <v>40814</v>
      </c>
      <c r="I10050" s="2" t="s">
        <v>2908</v>
      </c>
      <c r="K10050" s="2" t="s">
        <v>2909</v>
      </c>
      <c r="L10050" s="2" t="s">
        <v>62</v>
      </c>
      <c r="M10050" s="2">
        <v>55441.0</v>
      </c>
      <c r="N10050" s="2" t="s">
        <v>21</v>
      </c>
    </row>
    <row r="10051" ht="15.75" customHeight="1">
      <c r="A10051" s="2">
        <v>2018.0</v>
      </c>
      <c r="B10051" s="2" t="s">
        <v>40815</v>
      </c>
      <c r="C10051" s="2" t="s">
        <v>40816</v>
      </c>
      <c r="D10051" s="2" t="str">
        <f>"270-724-1672"</f>
        <v>270-724-1672</v>
      </c>
      <c r="E10051" s="2" t="s">
        <v>34353</v>
      </c>
      <c r="F10051" s="2" t="s">
        <v>40817</v>
      </c>
      <c r="G10051" s="2" t="str">
        <f>"SR-13954"</f>
        <v>SR-13954</v>
      </c>
      <c r="H10051" s="2" t="s">
        <v>40818</v>
      </c>
      <c r="I10051" s="2" t="s">
        <v>40819</v>
      </c>
      <c r="K10051" s="2" t="s">
        <v>309</v>
      </c>
      <c r="L10051" s="2" t="s">
        <v>1236</v>
      </c>
      <c r="M10051" s="2">
        <v>42420.0</v>
      </c>
      <c r="N10051" s="2" t="s">
        <v>21</v>
      </c>
    </row>
    <row r="10052" ht="15.75" customHeight="1">
      <c r="A10052" s="2">
        <v>2018.0</v>
      </c>
      <c r="B10052" s="2" t="s">
        <v>40820</v>
      </c>
      <c r="C10052" s="2" t="s">
        <v>40821</v>
      </c>
      <c r="D10052" s="2" t="str">
        <f>"2255056068"</f>
        <v>2255056068</v>
      </c>
      <c r="E10052" s="2" t="s">
        <v>301</v>
      </c>
      <c r="F10052" s="2" t="s">
        <v>4750</v>
      </c>
      <c r="G10052" s="2" t="str">
        <f>"SR-13941"</f>
        <v>SR-13941</v>
      </c>
      <c r="H10052" s="2" t="s">
        <v>40822</v>
      </c>
      <c r="I10052" s="2" t="s">
        <v>40823</v>
      </c>
      <c r="K10052" s="2" t="s">
        <v>1791</v>
      </c>
      <c r="L10052" s="2" t="s">
        <v>715</v>
      </c>
      <c r="M10052" s="2">
        <v>70722.0</v>
      </c>
      <c r="N10052" s="2" t="s">
        <v>21</v>
      </c>
    </row>
    <row r="10053" ht="15.75" customHeight="1">
      <c r="A10053" s="2">
        <v>2018.0</v>
      </c>
      <c r="B10053" s="2" t="s">
        <v>40824</v>
      </c>
      <c r="C10053" s="2" t="s">
        <v>40824</v>
      </c>
      <c r="D10053" s="2" t="str">
        <f>"7276445606"</f>
        <v>7276445606</v>
      </c>
      <c r="E10053" s="2" t="s">
        <v>11200</v>
      </c>
      <c r="F10053" s="2" t="s">
        <v>40825</v>
      </c>
      <c r="G10053" s="2" t="str">
        <f>"SR-13963"</f>
        <v>SR-13963</v>
      </c>
      <c r="H10053" s="2" t="s">
        <v>40826</v>
      </c>
      <c r="I10053" s="2" t="s">
        <v>40827</v>
      </c>
      <c r="K10053" s="2" t="s">
        <v>414</v>
      </c>
      <c r="L10053" s="2" t="s">
        <v>208</v>
      </c>
      <c r="M10053" s="2">
        <v>33777.0</v>
      </c>
      <c r="N10053" s="2" t="s">
        <v>21</v>
      </c>
    </row>
    <row r="10054" ht="15.75" customHeight="1">
      <c r="A10054" s="2">
        <v>2018.0</v>
      </c>
      <c r="B10054" s="2" t="s">
        <v>35638</v>
      </c>
      <c r="D10054" s="2" t="str">
        <f>""</f>
        <v/>
      </c>
      <c r="E10054" s="2" t="s">
        <v>40828</v>
      </c>
      <c r="F10054" s="2" t="s">
        <v>12784</v>
      </c>
      <c r="G10054" s="2" t="str">
        <f>"SR-13960"</f>
        <v>SR-13960</v>
      </c>
      <c r="H10054" s="2" t="s">
        <v>40829</v>
      </c>
      <c r="N10054" s="2" t="s">
        <v>21</v>
      </c>
    </row>
    <row r="10055" ht="15.75" customHeight="1">
      <c r="A10055" s="2">
        <v>2018.0</v>
      </c>
      <c r="B10055" s="2" t="s">
        <v>40830</v>
      </c>
      <c r="C10055" s="2" t="s">
        <v>40831</v>
      </c>
      <c r="D10055" s="2" t="str">
        <f>"520-241-4792"</f>
        <v>520-241-4792</v>
      </c>
      <c r="E10055" s="2" t="s">
        <v>3778</v>
      </c>
      <c r="F10055" s="2" t="s">
        <v>278</v>
      </c>
      <c r="G10055" s="2" t="str">
        <f>"SR-13771"</f>
        <v>SR-13771</v>
      </c>
      <c r="H10055" s="2" t="s">
        <v>40832</v>
      </c>
      <c r="I10055" s="2" t="s">
        <v>40833</v>
      </c>
      <c r="K10055" s="2" t="s">
        <v>5946</v>
      </c>
      <c r="L10055" s="2" t="s">
        <v>422</v>
      </c>
      <c r="M10055" s="2">
        <v>85710.0</v>
      </c>
      <c r="N10055" s="2" t="s">
        <v>21</v>
      </c>
    </row>
    <row r="10056" ht="15.75" customHeight="1">
      <c r="A10056" s="2">
        <v>2018.0</v>
      </c>
      <c r="B10056" s="2" t="s">
        <v>23489</v>
      </c>
      <c r="C10056" s="2" t="s">
        <v>40834</v>
      </c>
      <c r="D10056" s="2" t="str">
        <f>"9187646375"</f>
        <v>9187646375</v>
      </c>
      <c r="E10056" s="2" t="s">
        <v>3037</v>
      </c>
      <c r="F10056" s="2" t="s">
        <v>23491</v>
      </c>
      <c r="G10056" s="2" t="str">
        <f>"SR-12127"</f>
        <v>SR-12127</v>
      </c>
      <c r="H10056" s="2" t="s">
        <v>40835</v>
      </c>
      <c r="I10056" s="2" t="s">
        <v>23493</v>
      </c>
      <c r="K10056" s="2" t="s">
        <v>11595</v>
      </c>
      <c r="L10056" s="2" t="s">
        <v>840</v>
      </c>
      <c r="M10056" s="2">
        <v>74055.0</v>
      </c>
      <c r="N10056" s="2" t="s">
        <v>21</v>
      </c>
    </row>
    <row r="10057" ht="15.75" customHeight="1">
      <c r="A10057" s="2">
        <v>2018.0</v>
      </c>
      <c r="B10057" s="2" t="s">
        <v>20149</v>
      </c>
      <c r="C10057" s="2" t="s">
        <v>33698</v>
      </c>
      <c r="D10057" s="2" t="str">
        <f>"325-236-3791"</f>
        <v>325-236-3791</v>
      </c>
      <c r="E10057" s="2" t="s">
        <v>33699</v>
      </c>
      <c r="F10057" s="2" t="s">
        <v>3978</v>
      </c>
      <c r="G10057" s="2" t="str">
        <f>"SR-10050"</f>
        <v>SR-10050</v>
      </c>
      <c r="H10057" s="2" t="s">
        <v>33700</v>
      </c>
      <c r="I10057" s="2" t="s">
        <v>33701</v>
      </c>
      <c r="K10057" s="2" t="s">
        <v>20153</v>
      </c>
      <c r="L10057" s="2" t="s">
        <v>172</v>
      </c>
      <c r="M10057" s="2">
        <v>79545.0</v>
      </c>
      <c r="N10057" s="2" t="s">
        <v>21</v>
      </c>
    </row>
    <row r="10058" ht="15.75" customHeight="1">
      <c r="A10058" s="2">
        <v>2018.0</v>
      </c>
      <c r="B10058" s="2" t="s">
        <v>40836</v>
      </c>
      <c r="C10058" s="2" t="s">
        <v>40836</v>
      </c>
      <c r="D10058" s="2" t="str">
        <f>"4057807266"</f>
        <v>4057807266</v>
      </c>
      <c r="E10058" s="2" t="s">
        <v>843</v>
      </c>
      <c r="F10058" s="2" t="s">
        <v>40837</v>
      </c>
      <c r="G10058" s="2" t="str">
        <f>"SR-13953"</f>
        <v>SR-13953</v>
      </c>
      <c r="H10058" s="2" t="s">
        <v>40838</v>
      </c>
      <c r="I10058" s="2" t="s">
        <v>40839</v>
      </c>
      <c r="K10058" s="2" t="s">
        <v>11711</v>
      </c>
      <c r="L10058" s="2" t="s">
        <v>840</v>
      </c>
      <c r="M10058" s="2">
        <v>74074.0</v>
      </c>
      <c r="N10058" s="2" t="s">
        <v>21</v>
      </c>
    </row>
    <row r="10059" ht="15.75" customHeight="1">
      <c r="A10059" s="2">
        <v>2018.0</v>
      </c>
      <c r="B10059" s="2" t="s">
        <v>29184</v>
      </c>
      <c r="C10059" s="2" t="s">
        <v>40840</v>
      </c>
      <c r="D10059" s="2" t="str">
        <f>"9495471297"</f>
        <v>9495471297</v>
      </c>
      <c r="E10059" s="2" t="s">
        <v>1848</v>
      </c>
      <c r="F10059" s="2" t="s">
        <v>3645</v>
      </c>
      <c r="G10059" s="2" t="str">
        <f>"SR-9743"</f>
        <v>SR-9743</v>
      </c>
      <c r="H10059" s="2" t="s">
        <v>40841</v>
      </c>
      <c r="I10059" s="2" t="s">
        <v>40842</v>
      </c>
      <c r="K10059" s="2" t="s">
        <v>28572</v>
      </c>
      <c r="L10059" s="2" t="s">
        <v>222</v>
      </c>
      <c r="M10059" s="2">
        <v>92629.0</v>
      </c>
      <c r="N10059" s="2" t="s">
        <v>21</v>
      </c>
    </row>
    <row r="10060" ht="15.75" customHeight="1">
      <c r="A10060" s="2">
        <v>2018.0</v>
      </c>
      <c r="B10060" s="2" t="s">
        <v>40843</v>
      </c>
      <c r="C10060" s="2" t="s">
        <v>40844</v>
      </c>
      <c r="D10060" s="2" t="str">
        <f>"9096068601"</f>
        <v>9096068601</v>
      </c>
      <c r="E10060" s="2" t="s">
        <v>30489</v>
      </c>
      <c r="F10060" s="2" t="s">
        <v>40845</v>
      </c>
      <c r="G10060" s="2" t="str">
        <f>"SR-13967"</f>
        <v>SR-13967</v>
      </c>
      <c r="H10060" s="2" t="s">
        <v>40846</v>
      </c>
      <c r="I10060" s="2" t="s">
        <v>40847</v>
      </c>
      <c r="K10060" s="2" t="s">
        <v>40848</v>
      </c>
      <c r="L10060" s="2" t="s">
        <v>222</v>
      </c>
      <c r="M10060" s="2">
        <v>91709.0</v>
      </c>
      <c r="N10060" s="2" t="s">
        <v>21</v>
      </c>
    </row>
    <row r="10061" ht="15.75" customHeight="1">
      <c r="A10061" s="2">
        <v>2018.0</v>
      </c>
      <c r="B10061" s="2" t="s">
        <v>40849</v>
      </c>
      <c r="C10061" s="2" t="s">
        <v>40850</v>
      </c>
      <c r="D10061" s="2" t="str">
        <f>"915-787-0983"</f>
        <v>915-787-0983</v>
      </c>
      <c r="E10061" s="2" t="s">
        <v>19603</v>
      </c>
      <c r="F10061" s="2" t="s">
        <v>40851</v>
      </c>
      <c r="G10061" s="2" t="str">
        <f>"SR-13958"</f>
        <v>SR-13958</v>
      </c>
      <c r="H10061" s="2" t="s">
        <v>40852</v>
      </c>
      <c r="I10061" s="2" t="s">
        <v>40853</v>
      </c>
      <c r="K10061" s="2" t="s">
        <v>40854</v>
      </c>
      <c r="L10061" s="2" t="s">
        <v>172</v>
      </c>
      <c r="M10061" s="2">
        <v>79928.0</v>
      </c>
      <c r="N10061" s="2" t="s">
        <v>21</v>
      </c>
    </row>
    <row r="10062" ht="15.75" customHeight="1">
      <c r="A10062" s="2">
        <v>2018.0</v>
      </c>
      <c r="B10062" s="2" t="s">
        <v>4608</v>
      </c>
      <c r="C10062" s="2" t="s">
        <v>33772</v>
      </c>
      <c r="D10062" s="2" t="str">
        <f>"2245673483"</f>
        <v>2245673483</v>
      </c>
      <c r="E10062" s="2" t="s">
        <v>261</v>
      </c>
      <c r="F10062" s="2" t="s">
        <v>4610</v>
      </c>
      <c r="G10062" s="2" t="str">
        <f>"SR-3884"</f>
        <v>SR-3884</v>
      </c>
      <c r="H10062" s="2" t="s">
        <v>33773</v>
      </c>
      <c r="I10062" s="2" t="s">
        <v>33774</v>
      </c>
      <c r="K10062" s="2" t="s">
        <v>4613</v>
      </c>
      <c r="L10062" s="2" t="s">
        <v>105</v>
      </c>
      <c r="M10062" s="2">
        <v>60047.0</v>
      </c>
      <c r="N10062" s="2" t="s">
        <v>21</v>
      </c>
    </row>
    <row r="10063" ht="15.75" customHeight="1">
      <c r="A10063" s="2">
        <v>2018.0</v>
      </c>
      <c r="B10063" s="2" t="s">
        <v>33620</v>
      </c>
      <c r="C10063" s="2" t="s">
        <v>33621</v>
      </c>
      <c r="D10063" s="2" t="str">
        <f>"9373771444"</f>
        <v>9373771444</v>
      </c>
      <c r="E10063" s="2" t="s">
        <v>1141</v>
      </c>
      <c r="F10063" s="2" t="s">
        <v>6869</v>
      </c>
      <c r="G10063" s="2" t="str">
        <f>"SR-10960"</f>
        <v>SR-10960</v>
      </c>
      <c r="H10063" s="2" t="s">
        <v>33622</v>
      </c>
      <c r="I10063" s="2" t="s">
        <v>30140</v>
      </c>
      <c r="K10063" s="2" t="s">
        <v>33623</v>
      </c>
      <c r="L10063" s="2" t="s">
        <v>344</v>
      </c>
      <c r="M10063" s="2">
        <v>45168.0</v>
      </c>
      <c r="N10063" s="2" t="s">
        <v>21</v>
      </c>
    </row>
    <row r="10064" ht="15.75" customHeight="1">
      <c r="A10064" s="2">
        <v>2018.0</v>
      </c>
      <c r="B10064" s="2" t="s">
        <v>40855</v>
      </c>
      <c r="C10064" s="2" t="s">
        <v>40856</v>
      </c>
      <c r="D10064" s="2" t="str">
        <f>"970-731-2788"</f>
        <v>970-731-2788</v>
      </c>
      <c r="E10064" s="2" t="s">
        <v>2243</v>
      </c>
      <c r="F10064" s="2" t="s">
        <v>40857</v>
      </c>
      <c r="G10064" s="2" t="str">
        <f>"SR-13873"</f>
        <v>SR-13873</v>
      </c>
      <c r="H10064" s="2" t="s">
        <v>40858</v>
      </c>
      <c r="I10064" s="2" t="s">
        <v>40859</v>
      </c>
      <c r="K10064" s="2" t="s">
        <v>40860</v>
      </c>
      <c r="L10064" s="2" t="s">
        <v>157</v>
      </c>
      <c r="M10064" s="2">
        <v>81147.0</v>
      </c>
      <c r="N10064" s="2" t="s">
        <v>21</v>
      </c>
    </row>
    <row r="10065" ht="15.75" customHeight="1">
      <c r="A10065" s="2">
        <v>2018.0</v>
      </c>
      <c r="B10065" s="2" t="s">
        <v>40861</v>
      </c>
      <c r="C10065" s="2" t="s">
        <v>40862</v>
      </c>
      <c r="D10065" s="2" t="str">
        <f>"3098380670"</f>
        <v>3098380670</v>
      </c>
      <c r="E10065" s="2" t="s">
        <v>2314</v>
      </c>
      <c r="F10065" s="2" t="s">
        <v>40863</v>
      </c>
      <c r="G10065" s="2" t="str">
        <f>"SR-13546"</f>
        <v>SR-13546</v>
      </c>
      <c r="H10065" s="2" t="s">
        <v>40864</v>
      </c>
      <c r="I10065" s="2" t="s">
        <v>40865</v>
      </c>
      <c r="K10065" s="2" t="s">
        <v>40866</v>
      </c>
      <c r="L10065" s="2" t="s">
        <v>105</v>
      </c>
      <c r="M10065" s="2">
        <v>61536.0</v>
      </c>
      <c r="N10065" s="2" t="s">
        <v>21</v>
      </c>
    </row>
    <row r="10066" ht="15.75" customHeight="1">
      <c r="A10066" s="2">
        <v>2018.0</v>
      </c>
      <c r="B10066" s="2" t="s">
        <v>17119</v>
      </c>
      <c r="D10066" s="2" t="str">
        <f>""</f>
        <v/>
      </c>
      <c r="E10066" s="2" t="s">
        <v>955</v>
      </c>
      <c r="F10066" s="2" t="s">
        <v>1405</v>
      </c>
      <c r="G10066" s="2" t="str">
        <f>"SR-10061"</f>
        <v>SR-10061</v>
      </c>
      <c r="H10066" s="2" t="s">
        <v>40867</v>
      </c>
      <c r="N10066" s="2" t="s">
        <v>21</v>
      </c>
    </row>
    <row r="10067" ht="15.75" customHeight="1">
      <c r="A10067" s="2">
        <v>2018.0</v>
      </c>
      <c r="B10067" s="2" t="s">
        <v>40868</v>
      </c>
      <c r="C10067" s="2" t="s">
        <v>40868</v>
      </c>
      <c r="D10067" s="2" t="str">
        <f>"2246882690"</f>
        <v>2246882690</v>
      </c>
      <c r="E10067" s="2" t="s">
        <v>137</v>
      </c>
      <c r="F10067" s="2" t="s">
        <v>40869</v>
      </c>
      <c r="G10067" s="2" t="str">
        <f>"SR-13940"</f>
        <v>SR-13940</v>
      </c>
      <c r="H10067" s="2" t="s">
        <v>40870</v>
      </c>
      <c r="I10067" s="2" t="s">
        <v>40871</v>
      </c>
      <c r="K10067" s="2" t="s">
        <v>15931</v>
      </c>
      <c r="L10067" s="2" t="s">
        <v>105</v>
      </c>
      <c r="M10067" s="2">
        <v>60142.0</v>
      </c>
      <c r="N10067" s="2" t="s">
        <v>21</v>
      </c>
    </row>
    <row r="10068" ht="15.75" customHeight="1">
      <c r="A10068" s="2">
        <v>2018.0</v>
      </c>
      <c r="B10068" s="2" t="s">
        <v>34589</v>
      </c>
      <c r="C10068" s="2" t="s">
        <v>34615</v>
      </c>
      <c r="D10068" s="2" t="str">
        <f>"256-374-2385"</f>
        <v>256-374-2385</v>
      </c>
      <c r="E10068" s="2" t="s">
        <v>705</v>
      </c>
      <c r="F10068" s="2" t="s">
        <v>3320</v>
      </c>
      <c r="G10068" s="2" t="str">
        <f>"SR-11188"</f>
        <v>SR-11188</v>
      </c>
      <c r="H10068" s="2" t="s">
        <v>34616</v>
      </c>
      <c r="I10068" s="2" t="s">
        <v>34617</v>
      </c>
      <c r="K10068" s="2" t="s">
        <v>5108</v>
      </c>
      <c r="L10068" s="2" t="s">
        <v>539</v>
      </c>
      <c r="M10068" s="2">
        <v>35611.0</v>
      </c>
      <c r="N10068" s="2" t="s">
        <v>21</v>
      </c>
    </row>
    <row r="10069" ht="15.75" customHeight="1">
      <c r="A10069" s="2">
        <v>2018.0</v>
      </c>
      <c r="B10069" s="2" t="s">
        <v>40872</v>
      </c>
      <c r="C10069" s="2" t="s">
        <v>40873</v>
      </c>
      <c r="D10069" s="2" t="str">
        <f>"303-963-6349"</f>
        <v>303-963-6349</v>
      </c>
      <c r="E10069" s="2" t="s">
        <v>417</v>
      </c>
      <c r="F10069" s="2" t="s">
        <v>15730</v>
      </c>
      <c r="G10069" s="2" t="str">
        <f>"SR-13971"</f>
        <v>SR-13971</v>
      </c>
      <c r="H10069" s="2" t="s">
        <v>40874</v>
      </c>
      <c r="I10069" s="2" t="s">
        <v>40875</v>
      </c>
      <c r="K10069" s="2" t="s">
        <v>18005</v>
      </c>
      <c r="L10069" s="2" t="s">
        <v>157</v>
      </c>
      <c r="M10069" s="2">
        <v>80108.0</v>
      </c>
      <c r="N10069" s="2" t="s">
        <v>21</v>
      </c>
    </row>
    <row r="10070" ht="15.75" customHeight="1">
      <c r="A10070" s="2">
        <v>2018.0</v>
      </c>
      <c r="B10070" s="2" t="s">
        <v>15926</v>
      </c>
      <c r="C10070" s="2" t="s">
        <v>40876</v>
      </c>
      <c r="D10070" s="2" t="str">
        <f>"8478997247"</f>
        <v>8478997247</v>
      </c>
      <c r="E10070" s="2" t="s">
        <v>644</v>
      </c>
      <c r="F10070" s="2" t="s">
        <v>15928</v>
      </c>
      <c r="G10070" s="2" t="str">
        <f>"SR-13968"</f>
        <v>SR-13968</v>
      </c>
      <c r="H10070" s="2" t="s">
        <v>40877</v>
      </c>
      <c r="I10070" s="2" t="s">
        <v>40878</v>
      </c>
      <c r="K10070" s="2" t="s">
        <v>15931</v>
      </c>
      <c r="L10070" s="2" t="s">
        <v>105</v>
      </c>
      <c r="M10070" s="2">
        <v>60142.0</v>
      </c>
      <c r="N10070" s="2" t="s">
        <v>21</v>
      </c>
    </row>
    <row r="10071" ht="15.75" customHeight="1">
      <c r="A10071" s="2">
        <v>2018.0</v>
      </c>
      <c r="B10071" s="2" t="s">
        <v>40879</v>
      </c>
      <c r="C10071" s="2" t="s">
        <v>40880</v>
      </c>
      <c r="D10071" s="2" t="str">
        <f>"8156014383"</f>
        <v>8156014383</v>
      </c>
      <c r="E10071" s="2" t="s">
        <v>3342</v>
      </c>
      <c r="F10071" s="2" t="s">
        <v>40881</v>
      </c>
      <c r="G10071" s="2" t="str">
        <f>"SR-13567"</f>
        <v>SR-13567</v>
      </c>
      <c r="H10071" s="2" t="s">
        <v>40882</v>
      </c>
      <c r="I10071" s="2" t="s">
        <v>40883</v>
      </c>
      <c r="K10071" s="2" t="s">
        <v>382</v>
      </c>
      <c r="L10071" s="2" t="s">
        <v>105</v>
      </c>
      <c r="M10071" s="2">
        <v>61107.0</v>
      </c>
      <c r="N10071" s="2" t="s">
        <v>21</v>
      </c>
    </row>
    <row r="10072" ht="15.75" customHeight="1">
      <c r="A10072" s="2">
        <v>2018.0</v>
      </c>
      <c r="B10072" s="2" t="s">
        <v>40884</v>
      </c>
      <c r="C10072" s="2" t="s">
        <v>40885</v>
      </c>
      <c r="D10072" s="2" t="str">
        <f>"803 547-3228"</f>
        <v>803 547-3228</v>
      </c>
      <c r="E10072" s="2" t="s">
        <v>7754</v>
      </c>
      <c r="F10072" s="2" t="s">
        <v>40886</v>
      </c>
      <c r="G10072" s="2" t="str">
        <f>"SR-13973"</f>
        <v>SR-13973</v>
      </c>
      <c r="H10072" s="2" t="s">
        <v>40887</v>
      </c>
      <c r="I10072" s="2" t="s">
        <v>40888</v>
      </c>
      <c r="K10072" s="2" t="s">
        <v>40422</v>
      </c>
      <c r="L10072" s="2" t="s">
        <v>55</v>
      </c>
      <c r="M10072" s="2">
        <v>29707.0</v>
      </c>
      <c r="N10072" s="2" t="s">
        <v>21</v>
      </c>
    </row>
    <row r="10073" ht="15.75" customHeight="1">
      <c r="A10073" s="2">
        <v>2018.0</v>
      </c>
      <c r="B10073" s="2" t="s">
        <v>40889</v>
      </c>
      <c r="C10073" s="2" t="s">
        <v>40890</v>
      </c>
      <c r="D10073" s="2" t="str">
        <f>"6167063242"</f>
        <v>6167063242</v>
      </c>
      <c r="E10073" s="2" t="s">
        <v>931</v>
      </c>
      <c r="F10073" s="2" t="s">
        <v>19115</v>
      </c>
      <c r="G10073" s="2" t="str">
        <f>"SR-13956"</f>
        <v>SR-13956</v>
      </c>
      <c r="H10073" s="2" t="s">
        <v>40891</v>
      </c>
      <c r="I10073" s="2" t="s">
        <v>19117</v>
      </c>
      <c r="K10073" s="2" t="s">
        <v>16428</v>
      </c>
      <c r="L10073" s="2" t="s">
        <v>29</v>
      </c>
      <c r="M10073" s="2">
        <v>49426.0</v>
      </c>
      <c r="N10073" s="2" t="s">
        <v>21</v>
      </c>
    </row>
    <row r="10074" ht="15.75" customHeight="1">
      <c r="A10074" s="2">
        <v>2018.0</v>
      </c>
      <c r="B10074" s="2" t="s">
        <v>40892</v>
      </c>
      <c r="C10074" s="2" t="s">
        <v>40893</v>
      </c>
      <c r="D10074" s="2" t="str">
        <f>"347 574 7809"</f>
        <v>347 574 7809</v>
      </c>
      <c r="E10074" s="2" t="s">
        <v>40894</v>
      </c>
      <c r="F10074" s="2" t="s">
        <v>796</v>
      </c>
      <c r="G10074" s="2" t="str">
        <f>"SR-13872"</f>
        <v>SR-13872</v>
      </c>
      <c r="H10074" s="2" t="s">
        <v>40895</v>
      </c>
      <c r="I10074" s="2" t="s">
        <v>40896</v>
      </c>
      <c r="K10074" s="2" t="s">
        <v>26685</v>
      </c>
      <c r="L10074" s="2" t="s">
        <v>142</v>
      </c>
      <c r="M10074" s="2">
        <v>10314.0</v>
      </c>
      <c r="N10074" s="2" t="s">
        <v>21</v>
      </c>
    </row>
    <row r="10075" ht="15.75" customHeight="1">
      <c r="A10075" s="2">
        <v>2018.0</v>
      </c>
      <c r="B10075" s="2" t="s">
        <v>4608</v>
      </c>
      <c r="C10075" s="2" t="s">
        <v>40897</v>
      </c>
      <c r="D10075" s="2" t="str">
        <f>"224-563-7541"</f>
        <v>224-563-7541</v>
      </c>
      <c r="E10075" s="2" t="s">
        <v>453</v>
      </c>
      <c r="F10075" s="2" t="s">
        <v>4610</v>
      </c>
      <c r="G10075" s="2" t="str">
        <f>"SR-13976"</f>
        <v>SR-13976</v>
      </c>
      <c r="H10075" s="2" t="s">
        <v>40898</v>
      </c>
      <c r="I10075" s="2" t="s">
        <v>33774</v>
      </c>
      <c r="K10075" s="2" t="s">
        <v>4613</v>
      </c>
      <c r="L10075" s="2" t="s">
        <v>105</v>
      </c>
      <c r="M10075" s="2">
        <v>60047.0</v>
      </c>
      <c r="N10075" s="2" t="s">
        <v>21</v>
      </c>
    </row>
    <row r="10076" ht="15.75" customHeight="1">
      <c r="A10076" s="2">
        <v>2018.0</v>
      </c>
      <c r="B10076" s="2" t="s">
        <v>40899</v>
      </c>
      <c r="C10076" s="2" t="s">
        <v>40899</v>
      </c>
      <c r="D10076" s="2" t="str">
        <f>"(281)797-3141"</f>
        <v>(281)797-3141</v>
      </c>
      <c r="E10076" s="2" t="s">
        <v>40900</v>
      </c>
      <c r="F10076" s="2" t="s">
        <v>40901</v>
      </c>
      <c r="G10076" s="2" t="str">
        <f>"SR-13857"</f>
        <v>SR-13857</v>
      </c>
      <c r="H10076" s="2" t="s">
        <v>40902</v>
      </c>
      <c r="I10076" s="2" t="s">
        <v>40903</v>
      </c>
      <c r="K10076" s="2" t="s">
        <v>3524</v>
      </c>
      <c r="L10076" s="2" t="s">
        <v>172</v>
      </c>
      <c r="M10076" s="2">
        <v>77549.0</v>
      </c>
      <c r="N10076" s="2" t="s">
        <v>21</v>
      </c>
    </row>
    <row r="10077" ht="15.75" customHeight="1">
      <c r="A10077" s="2">
        <v>2018.0</v>
      </c>
      <c r="B10077" s="2" t="s">
        <v>40904</v>
      </c>
      <c r="C10077" s="2" t="s">
        <v>40904</v>
      </c>
      <c r="D10077" s="2" t="str">
        <f>"8172660296"</f>
        <v>8172660296</v>
      </c>
      <c r="E10077" s="2" t="s">
        <v>8693</v>
      </c>
      <c r="F10077" s="2" t="s">
        <v>1799</v>
      </c>
      <c r="G10077" s="2" t="str">
        <f>"SR-13917"</f>
        <v>SR-13917</v>
      </c>
      <c r="H10077" s="2" t="s">
        <v>40905</v>
      </c>
      <c r="I10077" s="2" t="s">
        <v>40906</v>
      </c>
      <c r="K10077" s="2" t="s">
        <v>1260</v>
      </c>
      <c r="L10077" s="2" t="s">
        <v>172</v>
      </c>
      <c r="M10077" s="2">
        <v>76108.0</v>
      </c>
      <c r="N10077" s="2" t="s">
        <v>21</v>
      </c>
    </row>
    <row r="10078" ht="15.75" customHeight="1">
      <c r="A10078" s="2">
        <v>2018.0</v>
      </c>
      <c r="B10078" s="2" t="s">
        <v>40907</v>
      </c>
      <c r="C10078" s="2" t="s">
        <v>40908</v>
      </c>
      <c r="D10078" s="2" t="str">
        <f>"901-277-6262"</f>
        <v>901-277-6262</v>
      </c>
      <c r="E10078" s="2" t="s">
        <v>3196</v>
      </c>
      <c r="F10078" s="2" t="s">
        <v>10561</v>
      </c>
      <c r="G10078" s="2" t="str">
        <f>"SR-13980"</f>
        <v>SR-13980</v>
      </c>
      <c r="H10078" s="2" t="s">
        <v>40909</v>
      </c>
      <c r="I10078" s="2" t="s">
        <v>40910</v>
      </c>
      <c r="K10078" s="2" t="s">
        <v>22064</v>
      </c>
      <c r="L10078" s="2" t="s">
        <v>279</v>
      </c>
      <c r="M10078" s="2">
        <v>38016.0</v>
      </c>
      <c r="N10078" s="2" t="s">
        <v>21</v>
      </c>
    </row>
    <row r="10079" ht="15.75" customHeight="1">
      <c r="A10079" s="2">
        <v>2018.0</v>
      </c>
      <c r="B10079" s="2" t="s">
        <v>28640</v>
      </c>
      <c r="C10079" s="2" t="s">
        <v>40911</v>
      </c>
      <c r="D10079" s="2" t="str">
        <f>"9078412593"</f>
        <v>9078412593</v>
      </c>
      <c r="E10079" s="2" t="s">
        <v>16852</v>
      </c>
      <c r="F10079" s="2" t="s">
        <v>9835</v>
      </c>
      <c r="G10079" s="2" t="str">
        <f>"SR-13969"</f>
        <v>SR-13969</v>
      </c>
      <c r="H10079" s="2" t="s">
        <v>40912</v>
      </c>
      <c r="I10079" s="2" t="s">
        <v>40913</v>
      </c>
      <c r="K10079" s="2" t="s">
        <v>24289</v>
      </c>
      <c r="L10079" s="2" t="s">
        <v>70</v>
      </c>
      <c r="M10079" s="2">
        <v>99645.0</v>
      </c>
      <c r="N10079" s="2" t="s">
        <v>21</v>
      </c>
    </row>
    <row r="10080" ht="15.75" customHeight="1">
      <c r="A10080" s="2">
        <v>2018.0</v>
      </c>
      <c r="B10080" s="2" t="s">
        <v>40914</v>
      </c>
      <c r="C10080" s="2" t="s">
        <v>40914</v>
      </c>
      <c r="D10080" s="2" t="str">
        <f>"7198223441"</f>
        <v>7198223441</v>
      </c>
      <c r="E10080" s="2" t="s">
        <v>1263</v>
      </c>
      <c r="F10080" s="2" t="s">
        <v>40915</v>
      </c>
      <c r="G10080" s="2" t="str">
        <f>"SR-13870"</f>
        <v>SR-13870</v>
      </c>
      <c r="H10080" s="2" t="s">
        <v>40916</v>
      </c>
      <c r="I10080" s="2" t="s">
        <v>40917</v>
      </c>
      <c r="K10080" s="2" t="s">
        <v>809</v>
      </c>
      <c r="L10080" s="2" t="s">
        <v>157</v>
      </c>
      <c r="M10080" s="2">
        <v>80920.0</v>
      </c>
      <c r="N10080" s="2" t="s">
        <v>21</v>
      </c>
    </row>
    <row r="10081" ht="15.75" customHeight="1">
      <c r="A10081" s="2">
        <v>2018.0</v>
      </c>
      <c r="B10081" s="2" t="s">
        <v>40918</v>
      </c>
      <c r="C10081" s="2" t="s">
        <v>40919</v>
      </c>
      <c r="D10081" s="2" t="str">
        <f>"(626)261-1127"</f>
        <v>(626)261-1127</v>
      </c>
      <c r="E10081" s="2" t="s">
        <v>40920</v>
      </c>
      <c r="F10081" s="2" t="s">
        <v>984</v>
      </c>
      <c r="G10081" s="2" t="str">
        <f>"SR-13966"</f>
        <v>SR-13966</v>
      </c>
      <c r="H10081" s="2" t="s">
        <v>40921</v>
      </c>
      <c r="I10081" s="2" t="s">
        <v>40922</v>
      </c>
      <c r="K10081" s="2" t="s">
        <v>24742</v>
      </c>
      <c r="L10081" s="2" t="s">
        <v>222</v>
      </c>
      <c r="M10081" s="2">
        <v>91724.0</v>
      </c>
      <c r="N10081" s="2" t="s">
        <v>21</v>
      </c>
    </row>
    <row r="10082" ht="15.75" customHeight="1">
      <c r="A10082" s="2">
        <v>2018.0</v>
      </c>
      <c r="B10082" s="2" t="s">
        <v>35430</v>
      </c>
      <c r="C10082" s="2" t="s">
        <v>35431</v>
      </c>
      <c r="D10082" s="2" t="str">
        <f>"434-987-2213"</f>
        <v>434-987-2213</v>
      </c>
      <c r="E10082" s="2" t="s">
        <v>217</v>
      </c>
      <c r="F10082" s="2" t="s">
        <v>35432</v>
      </c>
      <c r="G10082" s="2" t="str">
        <f>"SR-11197"</f>
        <v>SR-11197</v>
      </c>
      <c r="H10082" s="2" t="s">
        <v>35433</v>
      </c>
      <c r="I10082" s="2" t="s">
        <v>35434</v>
      </c>
      <c r="K10082" s="2" t="s">
        <v>11041</v>
      </c>
      <c r="L10082" s="2" t="s">
        <v>165</v>
      </c>
      <c r="M10082" s="2">
        <v>22901.0</v>
      </c>
      <c r="N10082" s="2" t="s">
        <v>21</v>
      </c>
    </row>
    <row r="10083" ht="15.75" customHeight="1">
      <c r="A10083" s="2">
        <v>2018.0</v>
      </c>
      <c r="B10083" s="2" t="s">
        <v>40923</v>
      </c>
      <c r="C10083" s="2" t="s">
        <v>40924</v>
      </c>
      <c r="D10083" s="2" t="str">
        <f>"805-358-4610"</f>
        <v>805-358-4610</v>
      </c>
      <c r="E10083" s="2" t="s">
        <v>40925</v>
      </c>
      <c r="F10083" s="2" t="s">
        <v>40926</v>
      </c>
      <c r="G10083" s="2" t="str">
        <f>"SR-13799"</f>
        <v>SR-13799</v>
      </c>
      <c r="H10083" s="2" t="s">
        <v>40927</v>
      </c>
      <c r="I10083" s="2" t="s">
        <v>40928</v>
      </c>
      <c r="K10083" s="2" t="s">
        <v>5168</v>
      </c>
      <c r="L10083" s="2" t="s">
        <v>222</v>
      </c>
      <c r="M10083" s="2">
        <v>91320.0</v>
      </c>
      <c r="N10083" s="2" t="s">
        <v>21</v>
      </c>
    </row>
    <row r="10084" ht="15.75" customHeight="1">
      <c r="A10084" s="2">
        <v>2018.0</v>
      </c>
      <c r="B10084" s="2" t="s">
        <v>40929</v>
      </c>
      <c r="C10084" s="2" t="s">
        <v>40929</v>
      </c>
      <c r="D10084" s="2" t="str">
        <f>"9036300023"</f>
        <v>9036300023</v>
      </c>
      <c r="E10084" s="2" t="s">
        <v>1946</v>
      </c>
      <c r="F10084" s="2" t="s">
        <v>40930</v>
      </c>
      <c r="G10084" s="2" t="str">
        <f>"SR-13978"</f>
        <v>SR-13978</v>
      </c>
      <c r="H10084" s="2" t="s">
        <v>40931</v>
      </c>
      <c r="I10084" s="2" t="s">
        <v>40932</v>
      </c>
      <c r="K10084" s="2" t="s">
        <v>465</v>
      </c>
      <c r="L10084" s="2" t="s">
        <v>172</v>
      </c>
      <c r="M10084" s="2">
        <v>75707.0</v>
      </c>
      <c r="N10084" s="2" t="s">
        <v>21</v>
      </c>
    </row>
    <row r="10085" ht="15.75" customHeight="1">
      <c r="A10085" s="2">
        <v>2018.0</v>
      </c>
      <c r="B10085" s="2" t="s">
        <v>40933</v>
      </c>
      <c r="C10085" s="2" t="s">
        <v>40933</v>
      </c>
      <c r="D10085" s="2" t="str">
        <f>"7147978107"</f>
        <v>7147978107</v>
      </c>
      <c r="E10085" s="2" t="s">
        <v>50</v>
      </c>
      <c r="F10085" s="2" t="s">
        <v>22792</v>
      </c>
      <c r="G10085" s="2" t="str">
        <f>"SR-13871"</f>
        <v>SR-13871</v>
      </c>
      <c r="H10085" s="2" t="s">
        <v>40934</v>
      </c>
      <c r="I10085" s="2" t="s">
        <v>40935</v>
      </c>
      <c r="J10085" s="2" t="s">
        <v>40936</v>
      </c>
      <c r="K10085" s="2" t="s">
        <v>10557</v>
      </c>
      <c r="L10085" s="2" t="s">
        <v>222</v>
      </c>
      <c r="M10085" s="2">
        <v>91730.0</v>
      </c>
      <c r="N10085" s="2" t="s">
        <v>21</v>
      </c>
    </row>
    <row r="10086" ht="15.75" customHeight="1">
      <c r="A10086" s="2">
        <v>2018.0</v>
      </c>
      <c r="B10086" s="2" t="s">
        <v>40937</v>
      </c>
      <c r="C10086" s="2" t="s">
        <v>40938</v>
      </c>
      <c r="D10086" s="2" t="str">
        <f>"5123949559"</f>
        <v>5123949559</v>
      </c>
      <c r="E10086" s="2" t="s">
        <v>40939</v>
      </c>
      <c r="F10086" s="2" t="s">
        <v>40105</v>
      </c>
      <c r="G10086" s="2" t="str">
        <f>"SR-13884"</f>
        <v>SR-13884</v>
      </c>
      <c r="H10086" s="2" t="s">
        <v>40940</v>
      </c>
      <c r="I10086" s="2" t="s">
        <v>40941</v>
      </c>
      <c r="K10086" s="2" t="s">
        <v>1141</v>
      </c>
      <c r="L10086" s="2" t="s">
        <v>172</v>
      </c>
      <c r="M10086" s="2">
        <v>78749.0</v>
      </c>
      <c r="N10086" s="2" t="s">
        <v>21</v>
      </c>
    </row>
    <row r="10087" ht="15.75" customHeight="1">
      <c r="A10087" s="2">
        <v>2018.0</v>
      </c>
      <c r="B10087" s="2" t="s">
        <v>37258</v>
      </c>
      <c r="C10087" s="2" t="s">
        <v>40942</v>
      </c>
      <c r="D10087" s="2" t="str">
        <f>"7197990832"</f>
        <v>7197990832</v>
      </c>
      <c r="E10087" s="2" t="s">
        <v>167</v>
      </c>
      <c r="F10087" s="2" t="s">
        <v>24563</v>
      </c>
      <c r="G10087" s="2" t="str">
        <f>"SR-11568"</f>
        <v>SR-11568</v>
      </c>
      <c r="H10087" s="2" t="s">
        <v>40943</v>
      </c>
      <c r="I10087" s="2" t="s">
        <v>37261</v>
      </c>
      <c r="K10087" s="2" t="s">
        <v>809</v>
      </c>
      <c r="L10087" s="2" t="s">
        <v>157</v>
      </c>
      <c r="M10087" s="2">
        <v>80907.0</v>
      </c>
      <c r="N10087" s="2" t="s">
        <v>21</v>
      </c>
    </row>
    <row r="10088" ht="15.75" customHeight="1">
      <c r="A10088" s="2">
        <v>2018.0</v>
      </c>
      <c r="B10088" s="2" t="s">
        <v>34167</v>
      </c>
      <c r="C10088" s="2" t="s">
        <v>40944</v>
      </c>
      <c r="D10088" s="2" t="str">
        <f>"9492959189"</f>
        <v>9492959189</v>
      </c>
      <c r="E10088" s="2" t="s">
        <v>1245</v>
      </c>
      <c r="F10088" s="2" t="s">
        <v>16181</v>
      </c>
      <c r="G10088" s="2" t="str">
        <f>"SR-9520"</f>
        <v>SR-9520</v>
      </c>
      <c r="H10088" s="2" t="s">
        <v>40945</v>
      </c>
      <c r="I10088" s="2" t="s">
        <v>34170</v>
      </c>
      <c r="K10088" s="2" t="s">
        <v>9670</v>
      </c>
      <c r="L10088" s="2" t="s">
        <v>222</v>
      </c>
      <c r="M10088" s="2">
        <v>92673.0</v>
      </c>
      <c r="N10088" s="2" t="s">
        <v>21</v>
      </c>
    </row>
    <row r="10089" ht="15.75" customHeight="1">
      <c r="A10089" s="2">
        <v>2018.0</v>
      </c>
      <c r="B10089" s="2" t="s">
        <v>40946</v>
      </c>
      <c r="C10089" s="2" t="s">
        <v>40947</v>
      </c>
      <c r="D10089" s="2" t="str">
        <f>"4086231289"</f>
        <v>4086231289</v>
      </c>
      <c r="E10089" s="2" t="s">
        <v>955</v>
      </c>
      <c r="F10089" s="2" t="s">
        <v>40948</v>
      </c>
      <c r="G10089" s="2" t="str">
        <f>"SR-13979"</f>
        <v>SR-13979</v>
      </c>
      <c r="H10089" s="2" t="s">
        <v>40949</v>
      </c>
      <c r="I10089" s="2" t="s">
        <v>40950</v>
      </c>
      <c r="K10089" s="2" t="s">
        <v>40951</v>
      </c>
      <c r="L10089" s="2" t="s">
        <v>222</v>
      </c>
      <c r="M10089" s="2">
        <v>95046.0</v>
      </c>
      <c r="N10089" s="2" t="s">
        <v>21</v>
      </c>
    </row>
    <row r="10090" ht="15.75" customHeight="1">
      <c r="A10090" s="2">
        <v>2018.0</v>
      </c>
      <c r="B10090" s="2" t="s">
        <v>37258</v>
      </c>
      <c r="C10090" s="2" t="s">
        <v>37259</v>
      </c>
      <c r="D10090" s="2" t="str">
        <f>"7197993010"</f>
        <v>7197993010</v>
      </c>
      <c r="E10090" s="2" t="s">
        <v>2089</v>
      </c>
      <c r="F10090" s="2" t="s">
        <v>24563</v>
      </c>
      <c r="G10090" s="2" t="str">
        <f>"SR-12049"</f>
        <v>SR-12049</v>
      </c>
      <c r="H10090" s="2" t="s">
        <v>37260</v>
      </c>
      <c r="I10090" s="2" t="s">
        <v>37261</v>
      </c>
      <c r="K10090" s="2" t="s">
        <v>809</v>
      </c>
      <c r="L10090" s="2" t="s">
        <v>157</v>
      </c>
      <c r="M10090" s="2">
        <v>80907.0</v>
      </c>
      <c r="N10090" s="2" t="s">
        <v>21</v>
      </c>
    </row>
    <row r="10091" ht="15.75" customHeight="1">
      <c r="A10091" s="2">
        <v>2018.0</v>
      </c>
      <c r="B10091" s="2" t="s">
        <v>40830</v>
      </c>
      <c r="C10091" s="2" t="s">
        <v>40952</v>
      </c>
      <c r="D10091" s="2" t="str">
        <f>"5203339374"</f>
        <v>5203339374</v>
      </c>
      <c r="E10091" s="2" t="s">
        <v>38191</v>
      </c>
      <c r="F10091" s="2" t="s">
        <v>278</v>
      </c>
      <c r="G10091" s="2" t="str">
        <f>"SR-13933"</f>
        <v>SR-13933</v>
      </c>
      <c r="H10091" s="2" t="s">
        <v>40953</v>
      </c>
      <c r="I10091" s="2" t="s">
        <v>8469</v>
      </c>
      <c r="K10091" s="2" t="s">
        <v>5946</v>
      </c>
      <c r="L10091" s="2" t="s">
        <v>422</v>
      </c>
      <c r="M10091" s="2">
        <v>85710.0</v>
      </c>
      <c r="N10091" s="2" t="s">
        <v>21</v>
      </c>
    </row>
    <row r="10092" ht="15.75" customHeight="1">
      <c r="A10092" s="2">
        <v>2018.0</v>
      </c>
      <c r="B10092" s="2" t="s">
        <v>31036</v>
      </c>
      <c r="D10092" s="2" t="str">
        <f>""</f>
        <v/>
      </c>
      <c r="E10092" s="2" t="s">
        <v>3434</v>
      </c>
      <c r="F10092" s="2" t="s">
        <v>711</v>
      </c>
      <c r="G10092" s="2" t="str">
        <f>"SR-9988"</f>
        <v>SR-9988</v>
      </c>
      <c r="H10092" s="2" t="s">
        <v>31037</v>
      </c>
      <c r="N10092" s="2" t="s">
        <v>21</v>
      </c>
    </row>
    <row r="10093" ht="15.75" customHeight="1">
      <c r="A10093" s="2">
        <v>2018.0</v>
      </c>
      <c r="B10093" s="2" t="s">
        <v>35119</v>
      </c>
      <c r="C10093" s="2" t="s">
        <v>35120</v>
      </c>
      <c r="D10093" s="2" t="str">
        <f>"6266166111"</f>
        <v>6266166111</v>
      </c>
      <c r="E10093" s="2" t="s">
        <v>35121</v>
      </c>
      <c r="F10093" s="2" t="s">
        <v>14417</v>
      </c>
      <c r="G10093" s="2" t="str">
        <f>"SR-11004"</f>
        <v>SR-11004</v>
      </c>
      <c r="H10093" s="2" t="s">
        <v>35122</v>
      </c>
      <c r="I10093" s="2" t="s">
        <v>35123</v>
      </c>
      <c r="K10093" s="2" t="s">
        <v>13889</v>
      </c>
      <c r="L10093" s="2" t="s">
        <v>222</v>
      </c>
      <c r="M10093" s="2">
        <v>92373.0</v>
      </c>
      <c r="N10093" s="2" t="s">
        <v>21</v>
      </c>
    </row>
    <row r="10094" ht="15.75" customHeight="1">
      <c r="A10094" s="2">
        <v>2018.0</v>
      </c>
      <c r="B10094" s="2" t="s">
        <v>39984</v>
      </c>
      <c r="C10094" s="2" t="s">
        <v>40954</v>
      </c>
      <c r="D10094" s="2" t="str">
        <f>"6783146967"</f>
        <v>6783146967</v>
      </c>
      <c r="E10094" s="2" t="s">
        <v>40955</v>
      </c>
      <c r="F10094" s="2" t="s">
        <v>21448</v>
      </c>
      <c r="G10094" s="2" t="str">
        <f>"SR-13068"</f>
        <v>SR-13068</v>
      </c>
      <c r="H10094" s="2" t="s">
        <v>40956</v>
      </c>
      <c r="I10094" s="2" t="s">
        <v>40957</v>
      </c>
      <c r="K10094" s="2" t="s">
        <v>4862</v>
      </c>
      <c r="L10094" s="2" t="s">
        <v>200</v>
      </c>
      <c r="M10094" s="2">
        <v>30060.0</v>
      </c>
      <c r="N10094" s="2" t="s">
        <v>21</v>
      </c>
    </row>
    <row r="10095" ht="15.75" customHeight="1">
      <c r="A10095" s="2">
        <v>2018.0</v>
      </c>
      <c r="B10095" s="2" t="s">
        <v>40958</v>
      </c>
      <c r="C10095" s="2" t="s">
        <v>40959</v>
      </c>
      <c r="D10095" s="2" t="str">
        <f>"9035206564"</f>
        <v>9035206564</v>
      </c>
      <c r="E10095" s="2" t="s">
        <v>908</v>
      </c>
      <c r="F10095" s="2" t="s">
        <v>40930</v>
      </c>
      <c r="G10095" s="2" t="str">
        <f>"SR-13988"</f>
        <v>SR-13988</v>
      </c>
      <c r="H10095" s="2" t="s">
        <v>40960</v>
      </c>
      <c r="I10095" s="2" t="s">
        <v>40961</v>
      </c>
      <c r="K10095" s="2" t="s">
        <v>465</v>
      </c>
      <c r="L10095" s="2" t="s">
        <v>172</v>
      </c>
      <c r="M10095" s="2">
        <v>75707.0</v>
      </c>
      <c r="N10095" s="2" t="s">
        <v>21</v>
      </c>
    </row>
    <row r="10096" ht="15.75" customHeight="1">
      <c r="A10096" s="2">
        <v>2018.0</v>
      </c>
      <c r="B10096" s="2" t="s">
        <v>40962</v>
      </c>
      <c r="C10096" s="2" t="s">
        <v>40962</v>
      </c>
      <c r="D10096" s="2" t="str">
        <f>"4026602000"</f>
        <v>4026602000</v>
      </c>
      <c r="E10096" s="2" t="s">
        <v>1108</v>
      </c>
      <c r="F10096" s="2" t="s">
        <v>40963</v>
      </c>
      <c r="G10096" s="2" t="str">
        <f>"SR-13989"</f>
        <v>SR-13989</v>
      </c>
      <c r="H10096" s="2" t="s">
        <v>40964</v>
      </c>
      <c r="I10096" s="2" t="s">
        <v>40965</v>
      </c>
      <c r="K10096" s="2" t="s">
        <v>30390</v>
      </c>
      <c r="L10096" s="2" t="s">
        <v>757</v>
      </c>
      <c r="M10096" s="2">
        <v>68020.0</v>
      </c>
      <c r="N10096" s="2" t="s">
        <v>21</v>
      </c>
    </row>
    <row r="10097" ht="15.75" customHeight="1">
      <c r="A10097" s="2">
        <v>2018.0</v>
      </c>
      <c r="B10097" s="2" t="s">
        <v>22652</v>
      </c>
      <c r="C10097" s="2" t="s">
        <v>40966</v>
      </c>
      <c r="D10097" s="2" t="str">
        <f>"2283245115"</f>
        <v>2283245115</v>
      </c>
      <c r="E10097" s="2" t="s">
        <v>40967</v>
      </c>
      <c r="F10097" s="2" t="s">
        <v>1257</v>
      </c>
      <c r="G10097" s="2" t="str">
        <f>"SR-13044"</f>
        <v>SR-13044</v>
      </c>
      <c r="H10097" s="2" t="s">
        <v>40968</v>
      </c>
      <c r="I10097" s="2" t="s">
        <v>40969</v>
      </c>
      <c r="K10097" s="2" t="s">
        <v>22656</v>
      </c>
      <c r="L10097" s="2" t="s">
        <v>1722</v>
      </c>
      <c r="M10097" s="2">
        <v>39571.0</v>
      </c>
      <c r="N10097" s="2" t="s">
        <v>21</v>
      </c>
    </row>
    <row r="10098" ht="15.75" customHeight="1">
      <c r="A10098" s="2">
        <v>2018.0</v>
      </c>
      <c r="B10098" s="2" t="s">
        <v>40970</v>
      </c>
      <c r="C10098" s="2" t="s">
        <v>40971</v>
      </c>
      <c r="D10098" s="2" t="str">
        <f>"9852760603"</f>
        <v>9852760603</v>
      </c>
      <c r="E10098" s="2" t="s">
        <v>6202</v>
      </c>
      <c r="F10098" s="2" t="s">
        <v>17389</v>
      </c>
      <c r="G10098" s="2" t="str">
        <f>"SR-13929"</f>
        <v>SR-13929</v>
      </c>
      <c r="H10098" s="2" t="s">
        <v>40972</v>
      </c>
      <c r="I10098" s="2" t="s">
        <v>40973</v>
      </c>
      <c r="K10098" s="2" t="s">
        <v>40974</v>
      </c>
      <c r="L10098" s="2" t="s">
        <v>715</v>
      </c>
      <c r="M10098" s="2">
        <v>70433.0</v>
      </c>
      <c r="N10098" s="2" t="s">
        <v>21</v>
      </c>
    </row>
    <row r="10099" ht="15.75" customHeight="1">
      <c r="A10099" s="2">
        <v>2018.0</v>
      </c>
      <c r="B10099" s="2" t="s">
        <v>3569</v>
      </c>
      <c r="C10099" s="2" t="s">
        <v>40975</v>
      </c>
      <c r="D10099" s="2" t="str">
        <f>"4797873987"</f>
        <v>4797873987</v>
      </c>
      <c r="E10099" s="2" t="s">
        <v>40976</v>
      </c>
      <c r="F10099" s="2" t="s">
        <v>3570</v>
      </c>
      <c r="G10099" s="2" t="str">
        <f>"SR-13928"</f>
        <v>SR-13928</v>
      </c>
      <c r="H10099" s="2" t="s">
        <v>40977</v>
      </c>
      <c r="I10099" s="2" t="s">
        <v>40978</v>
      </c>
      <c r="K10099" s="2" t="s">
        <v>14516</v>
      </c>
      <c r="L10099" s="2" t="s">
        <v>1012</v>
      </c>
      <c r="M10099" s="2">
        <v>72712.0</v>
      </c>
      <c r="N10099" s="2" t="s">
        <v>21</v>
      </c>
    </row>
    <row r="10100" ht="15.75" customHeight="1">
      <c r="A10100" s="2">
        <v>2018.0</v>
      </c>
      <c r="B10100" s="2" t="s">
        <v>40979</v>
      </c>
      <c r="C10100" s="2" t="s">
        <v>40980</v>
      </c>
      <c r="D10100" s="2" t="str">
        <f>"952-949-1195"</f>
        <v>952-949-1195</v>
      </c>
      <c r="E10100" s="2" t="s">
        <v>261</v>
      </c>
      <c r="F10100" s="2" t="s">
        <v>40981</v>
      </c>
      <c r="G10100" s="2" t="str">
        <f>"SR-13998"</f>
        <v>SR-13998</v>
      </c>
      <c r="H10100" s="2" t="s">
        <v>40982</v>
      </c>
      <c r="I10100" s="2" t="s">
        <v>40983</v>
      </c>
      <c r="K10100" s="2" t="s">
        <v>1490</v>
      </c>
      <c r="L10100" s="2" t="s">
        <v>62</v>
      </c>
      <c r="M10100" s="2">
        <v>55347.0</v>
      </c>
      <c r="N10100" s="2" t="s">
        <v>21</v>
      </c>
    </row>
    <row r="10101" ht="15.75" customHeight="1">
      <c r="A10101" s="2">
        <v>2018.0</v>
      </c>
      <c r="B10101" s="2" t="s">
        <v>40984</v>
      </c>
      <c r="C10101" s="2" t="s">
        <v>40984</v>
      </c>
      <c r="D10101" s="2" t="str">
        <f>"8133170625"</f>
        <v>8133170625</v>
      </c>
      <c r="E10101" s="2" t="s">
        <v>1263</v>
      </c>
      <c r="F10101" s="2" t="s">
        <v>40985</v>
      </c>
      <c r="G10101" s="2" t="str">
        <f>"SR-14001"</f>
        <v>SR-14001</v>
      </c>
      <c r="H10101" s="2" t="s">
        <v>40986</v>
      </c>
      <c r="I10101" s="2" t="s">
        <v>40987</v>
      </c>
      <c r="K10101" s="2" t="s">
        <v>3431</v>
      </c>
      <c r="L10101" s="2" t="s">
        <v>208</v>
      </c>
      <c r="M10101" s="2">
        <v>33637.0</v>
      </c>
      <c r="N10101" s="2" t="s">
        <v>21</v>
      </c>
    </row>
    <row r="10102" ht="15.75" customHeight="1">
      <c r="A10102" s="2">
        <v>2018.0</v>
      </c>
      <c r="D10102" s="2" t="str">
        <f>""</f>
        <v/>
      </c>
      <c r="G10102" s="2" t="str">
        <f>"SR-"</f>
        <v>SR-</v>
      </c>
      <c r="H10102" s="2" t="s">
        <v>40988</v>
      </c>
    </row>
    <row r="10103" ht="15.75" customHeight="1">
      <c r="A10103" s="2">
        <v>2018.0</v>
      </c>
      <c r="B10103" s="2" t="s">
        <v>40989</v>
      </c>
      <c r="C10103" s="2" t="s">
        <v>40990</v>
      </c>
      <c r="D10103" s="2" t="str">
        <f>"417-298-9904"</f>
        <v>417-298-9904</v>
      </c>
      <c r="E10103" s="2" t="s">
        <v>4322</v>
      </c>
      <c r="F10103" s="2" t="s">
        <v>256</v>
      </c>
      <c r="G10103" s="2" t="str">
        <f>"SR-13908"</f>
        <v>SR-13908</v>
      </c>
      <c r="H10103" s="2" t="s">
        <v>40991</v>
      </c>
      <c r="I10103" s="2" t="s">
        <v>40992</v>
      </c>
      <c r="K10103" s="2" t="s">
        <v>1091</v>
      </c>
      <c r="L10103" s="2" t="s">
        <v>214</v>
      </c>
      <c r="M10103" s="2">
        <v>65613.0</v>
      </c>
      <c r="N10103" s="2" t="s">
        <v>21</v>
      </c>
    </row>
    <row r="10104" ht="15.75" customHeight="1">
      <c r="A10104" s="2">
        <v>2018.0</v>
      </c>
      <c r="B10104" s="2" t="s">
        <v>40993</v>
      </c>
      <c r="C10104" s="2" t="s">
        <v>40993</v>
      </c>
      <c r="D10104" s="2" t="str">
        <f>"3204442310"</f>
        <v>3204442310</v>
      </c>
      <c r="E10104" s="2" t="s">
        <v>40994</v>
      </c>
      <c r="F10104" s="2" t="s">
        <v>16356</v>
      </c>
      <c r="G10104" s="2" t="str">
        <f>"SR-13680"</f>
        <v>SR-13680</v>
      </c>
      <c r="H10104" s="2" t="s">
        <v>40995</v>
      </c>
      <c r="I10104" s="2" t="s">
        <v>40996</v>
      </c>
      <c r="K10104" s="2" t="s">
        <v>7445</v>
      </c>
      <c r="L10104" s="2" t="s">
        <v>279</v>
      </c>
      <c r="M10104" s="2">
        <v>37174.0</v>
      </c>
      <c r="N10104" s="2" t="s">
        <v>21</v>
      </c>
    </row>
    <row r="10105" ht="15.75" customHeight="1">
      <c r="A10105" s="2">
        <v>2018.0</v>
      </c>
      <c r="B10105" s="2" t="s">
        <v>40997</v>
      </c>
      <c r="C10105" s="2" t="s">
        <v>40998</v>
      </c>
      <c r="D10105" s="2" t="str">
        <f>"6627220907"</f>
        <v>6627220907</v>
      </c>
      <c r="E10105" s="2" t="s">
        <v>57</v>
      </c>
      <c r="F10105" s="2" t="s">
        <v>457</v>
      </c>
      <c r="G10105" s="2" t="str">
        <f>"SR-13986"</f>
        <v>SR-13986</v>
      </c>
      <c r="H10105" s="2" t="s">
        <v>40999</v>
      </c>
      <c r="I10105" s="2" t="s">
        <v>41000</v>
      </c>
      <c r="K10105" s="2" t="s">
        <v>1901</v>
      </c>
      <c r="L10105" s="2" t="s">
        <v>1722</v>
      </c>
      <c r="M10105" s="2">
        <v>39759.0</v>
      </c>
      <c r="N10105" s="2" t="s">
        <v>21</v>
      </c>
    </row>
    <row r="10106" ht="15.75" customHeight="1">
      <c r="A10106" s="2">
        <v>2018.0</v>
      </c>
      <c r="B10106" s="2" t="s">
        <v>41001</v>
      </c>
      <c r="C10106" s="2" t="s">
        <v>41001</v>
      </c>
      <c r="D10106" s="2" t="str">
        <f>"6149069977"</f>
        <v>6149069977</v>
      </c>
      <c r="E10106" s="2" t="s">
        <v>12973</v>
      </c>
      <c r="F10106" s="2" t="s">
        <v>10790</v>
      </c>
      <c r="G10106" s="2" t="str">
        <f>"SR-14004"</f>
        <v>SR-14004</v>
      </c>
      <c r="H10106" s="2" t="s">
        <v>41002</v>
      </c>
      <c r="I10106" s="2" t="s">
        <v>41003</v>
      </c>
      <c r="K10106" s="2" t="s">
        <v>7645</v>
      </c>
      <c r="L10106" s="2" t="s">
        <v>208</v>
      </c>
      <c r="M10106" s="2">
        <v>32259.0</v>
      </c>
      <c r="N10106" s="2" t="s">
        <v>21</v>
      </c>
    </row>
    <row r="10107" ht="15.75" customHeight="1">
      <c r="A10107" s="2">
        <v>2018.0</v>
      </c>
      <c r="B10107" s="2" t="s">
        <v>34328</v>
      </c>
      <c r="C10107" s="2" t="s">
        <v>34329</v>
      </c>
      <c r="D10107" s="2" t="str">
        <f t="shared" ref="D10107:D10108" si="167">"8285247176"</f>
        <v>8285247176</v>
      </c>
      <c r="E10107" s="2" t="s">
        <v>580</v>
      </c>
      <c r="F10107" s="2" t="s">
        <v>34330</v>
      </c>
      <c r="G10107" s="2" t="str">
        <f>"SR-11117"</f>
        <v>SR-11117</v>
      </c>
      <c r="H10107" s="2" t="s">
        <v>34331</v>
      </c>
      <c r="I10107" s="2" t="s">
        <v>34332</v>
      </c>
      <c r="K10107" s="2" t="s">
        <v>278</v>
      </c>
      <c r="L10107" s="2" t="s">
        <v>20</v>
      </c>
      <c r="M10107" s="2">
        <v>28734.0</v>
      </c>
      <c r="N10107" s="2" t="s">
        <v>21</v>
      </c>
    </row>
    <row r="10108" ht="15.75" customHeight="1">
      <c r="A10108" s="2">
        <v>2018.0</v>
      </c>
      <c r="B10108" s="2" t="s">
        <v>34328</v>
      </c>
      <c r="C10108" s="2" t="s">
        <v>41004</v>
      </c>
      <c r="D10108" s="2" t="str">
        <f t="shared" si="167"/>
        <v>8285247176</v>
      </c>
      <c r="E10108" s="2" t="s">
        <v>19884</v>
      </c>
      <c r="F10108" s="2" t="s">
        <v>32126</v>
      </c>
      <c r="G10108" s="2" t="str">
        <f>"SR-14007"</f>
        <v>SR-14007</v>
      </c>
      <c r="H10108" s="2" t="s">
        <v>32127</v>
      </c>
      <c r="I10108" s="2" t="s">
        <v>34332</v>
      </c>
      <c r="K10108" s="2" t="s">
        <v>278</v>
      </c>
      <c r="L10108" s="2" t="s">
        <v>20</v>
      </c>
      <c r="M10108" s="2">
        <v>28734.0</v>
      </c>
      <c r="N10108" s="2" t="s">
        <v>21</v>
      </c>
    </row>
    <row r="10109" ht="15.75" customHeight="1">
      <c r="A10109" s="2">
        <v>2018.0</v>
      </c>
      <c r="B10109" s="2" t="s">
        <v>41005</v>
      </c>
      <c r="C10109" s="2" t="s">
        <v>41005</v>
      </c>
      <c r="D10109" s="2" t="str">
        <f>"205-789-3449"</f>
        <v>205-789-3449</v>
      </c>
      <c r="E10109" s="2" t="s">
        <v>40320</v>
      </c>
      <c r="F10109" s="2" t="s">
        <v>4648</v>
      </c>
      <c r="G10109" s="2" t="str">
        <f>"SR-13300"</f>
        <v>SR-13300</v>
      </c>
      <c r="H10109" s="2" t="s">
        <v>41006</v>
      </c>
      <c r="I10109" s="2" t="s">
        <v>41007</v>
      </c>
      <c r="K10109" s="2" t="s">
        <v>1173</v>
      </c>
      <c r="L10109" s="2" t="s">
        <v>539</v>
      </c>
      <c r="M10109" s="2">
        <v>35242.0</v>
      </c>
      <c r="N10109" s="2" t="s">
        <v>21</v>
      </c>
    </row>
    <row r="10110" ht="15.75" customHeight="1">
      <c r="A10110" s="2">
        <v>2018.0</v>
      </c>
      <c r="B10110" s="2" t="s">
        <v>41008</v>
      </c>
      <c r="C10110" s="2" t="s">
        <v>41008</v>
      </c>
      <c r="D10110" s="2" t="str">
        <f>"2054107034"</f>
        <v>2054107034</v>
      </c>
      <c r="E10110" s="2" t="s">
        <v>41009</v>
      </c>
      <c r="F10110" s="2" t="s">
        <v>4648</v>
      </c>
      <c r="G10110" s="2" t="str">
        <f>"SR-13995"</f>
        <v>SR-13995</v>
      </c>
      <c r="H10110" s="2" t="s">
        <v>41010</v>
      </c>
      <c r="I10110" s="2" t="s">
        <v>41007</v>
      </c>
      <c r="K10110" s="2" t="s">
        <v>1173</v>
      </c>
      <c r="L10110" s="2" t="s">
        <v>539</v>
      </c>
      <c r="M10110" s="2">
        <v>35242.0</v>
      </c>
      <c r="N10110" s="2" t="s">
        <v>21</v>
      </c>
    </row>
    <row r="10111" ht="15.75" customHeight="1">
      <c r="A10111" s="2">
        <v>2018.0</v>
      </c>
      <c r="B10111" s="2" t="s">
        <v>35448</v>
      </c>
      <c r="C10111" s="2" t="s">
        <v>37897</v>
      </c>
      <c r="D10111" s="2" t="str">
        <f>"6517469240"</f>
        <v>6517469240</v>
      </c>
      <c r="E10111" s="2" t="s">
        <v>181</v>
      </c>
      <c r="F10111" s="2" t="s">
        <v>226</v>
      </c>
      <c r="G10111" s="2" t="str">
        <f>"SR-13752"</f>
        <v>SR-13752</v>
      </c>
      <c r="H10111" s="2" t="s">
        <v>41011</v>
      </c>
      <c r="I10111" s="2" t="s">
        <v>37899</v>
      </c>
      <c r="K10111" s="2" t="s">
        <v>1260</v>
      </c>
      <c r="L10111" s="2" t="s">
        <v>172</v>
      </c>
      <c r="M10111" s="2">
        <v>76109.0</v>
      </c>
      <c r="N10111" s="2" t="s">
        <v>21</v>
      </c>
    </row>
    <row r="10112" ht="15.75" customHeight="1">
      <c r="A10112" s="2">
        <v>2018.0</v>
      </c>
      <c r="B10112" s="2" t="s">
        <v>41012</v>
      </c>
      <c r="D10112" s="2" t="str">
        <f>""</f>
        <v/>
      </c>
      <c r="E10112" s="2" t="s">
        <v>2988</v>
      </c>
      <c r="F10112" s="2" t="s">
        <v>41013</v>
      </c>
      <c r="G10112" s="2" t="str">
        <f>"SR-13982"</f>
        <v>SR-13982</v>
      </c>
      <c r="H10112" s="2" t="s">
        <v>41014</v>
      </c>
      <c r="N10112" s="2" t="s">
        <v>21</v>
      </c>
    </row>
    <row r="10113" ht="15.75" customHeight="1">
      <c r="A10113" s="2">
        <v>2018.0</v>
      </c>
      <c r="B10113" s="2" t="s">
        <v>41015</v>
      </c>
      <c r="C10113" s="2" t="s">
        <v>41016</v>
      </c>
      <c r="D10113" s="2" t="str">
        <f>"580-247-5760"</f>
        <v>580-247-5760</v>
      </c>
      <c r="E10113" s="2" t="s">
        <v>6490</v>
      </c>
      <c r="F10113" s="2" t="s">
        <v>4652</v>
      </c>
      <c r="G10113" s="2" t="str">
        <f>"SR-14017"</f>
        <v>SR-14017</v>
      </c>
      <c r="H10113" s="2" t="s">
        <v>41017</v>
      </c>
      <c r="I10113" s="2" t="s">
        <v>41018</v>
      </c>
      <c r="K10113" s="2" t="s">
        <v>256</v>
      </c>
      <c r="L10113" s="2" t="s">
        <v>840</v>
      </c>
      <c r="M10113" s="2">
        <v>73030.0</v>
      </c>
      <c r="N10113" s="2" t="s">
        <v>21</v>
      </c>
    </row>
    <row r="10114" ht="15.75" customHeight="1">
      <c r="A10114" s="2">
        <v>2018.0</v>
      </c>
      <c r="B10114" s="2" t="s">
        <v>35448</v>
      </c>
      <c r="C10114" s="2" t="s">
        <v>37897</v>
      </c>
      <c r="D10114" s="2" t="str">
        <f>"6517469240"</f>
        <v>6517469240</v>
      </c>
      <c r="E10114" s="2" t="s">
        <v>1141</v>
      </c>
      <c r="F10114" s="2" t="s">
        <v>5051</v>
      </c>
      <c r="G10114" s="2" t="str">
        <f>"SR-14019"</f>
        <v>SR-14019</v>
      </c>
      <c r="H10114" s="2" t="s">
        <v>41019</v>
      </c>
      <c r="I10114" s="2" t="s">
        <v>41020</v>
      </c>
      <c r="K10114" s="2" t="s">
        <v>1260</v>
      </c>
      <c r="L10114" s="2" t="s">
        <v>172</v>
      </c>
      <c r="M10114" s="2">
        <v>76107.0</v>
      </c>
      <c r="N10114" s="2" t="s">
        <v>21</v>
      </c>
    </row>
    <row r="10115" ht="15.75" customHeight="1">
      <c r="A10115" s="2">
        <v>2018.0</v>
      </c>
      <c r="B10115" s="2" t="s">
        <v>40734</v>
      </c>
      <c r="C10115" s="2" t="s">
        <v>41021</v>
      </c>
      <c r="D10115" s="2" t="str">
        <f>"3862953902"</f>
        <v>3862953902</v>
      </c>
      <c r="E10115" s="2" t="s">
        <v>2162</v>
      </c>
      <c r="F10115" s="2" t="s">
        <v>8278</v>
      </c>
      <c r="G10115" s="2" t="str">
        <f>"SR-14021"</f>
        <v>SR-14021</v>
      </c>
      <c r="H10115" s="2" t="s">
        <v>41022</v>
      </c>
      <c r="I10115" s="2" t="s">
        <v>41023</v>
      </c>
      <c r="K10115" s="2" t="s">
        <v>1315</v>
      </c>
      <c r="L10115" s="2" t="s">
        <v>55</v>
      </c>
      <c r="M10115" s="2">
        <v>29627.0</v>
      </c>
      <c r="N10115" s="2" t="s">
        <v>21</v>
      </c>
    </row>
    <row r="10116" ht="15.75" customHeight="1">
      <c r="A10116" s="2">
        <v>2018.0</v>
      </c>
      <c r="B10116" s="2" t="s">
        <v>41024</v>
      </c>
      <c r="C10116" s="2" t="s">
        <v>41024</v>
      </c>
      <c r="D10116" s="2" t="str">
        <f>"8068910969"</f>
        <v>8068910969</v>
      </c>
      <c r="E10116" s="2" t="s">
        <v>705</v>
      </c>
      <c r="F10116" s="2" t="s">
        <v>29564</v>
      </c>
      <c r="G10116" s="2" t="str">
        <f>"SR-14006"</f>
        <v>SR-14006</v>
      </c>
      <c r="H10116" s="2" t="s">
        <v>29565</v>
      </c>
      <c r="I10116" s="2" t="s">
        <v>41025</v>
      </c>
      <c r="K10116" s="2" t="s">
        <v>9467</v>
      </c>
      <c r="L10116" s="2" t="s">
        <v>172</v>
      </c>
      <c r="M10116" s="2">
        <v>79346.0</v>
      </c>
      <c r="N10116" s="2" t="s">
        <v>21</v>
      </c>
    </row>
    <row r="10117" ht="15.75" customHeight="1">
      <c r="A10117" s="2">
        <v>2018.0</v>
      </c>
      <c r="B10117" s="2" t="s">
        <v>41026</v>
      </c>
      <c r="C10117" s="2" t="s">
        <v>41026</v>
      </c>
      <c r="D10117" s="2" t="str">
        <f>"317-360-1195"</f>
        <v>317-360-1195</v>
      </c>
      <c r="E10117" s="2" t="s">
        <v>12166</v>
      </c>
      <c r="F10117" s="2" t="s">
        <v>5255</v>
      </c>
      <c r="G10117" s="2" t="str">
        <f>"SR-13949"</f>
        <v>SR-13949</v>
      </c>
      <c r="H10117" s="2" t="s">
        <v>41027</v>
      </c>
      <c r="I10117" s="2" t="s">
        <v>41028</v>
      </c>
      <c r="K10117" s="2" t="s">
        <v>41029</v>
      </c>
      <c r="L10117" s="2" t="s">
        <v>214</v>
      </c>
      <c r="M10117" s="2">
        <v>64061.0</v>
      </c>
      <c r="N10117" s="2" t="s">
        <v>21</v>
      </c>
    </row>
    <row r="10118" ht="15.75" customHeight="1">
      <c r="A10118" s="2">
        <v>2018.0</v>
      </c>
      <c r="B10118" s="2" t="s">
        <v>29952</v>
      </c>
      <c r="C10118" s="2" t="s">
        <v>31075</v>
      </c>
      <c r="D10118" s="2" t="str">
        <f>"682-804-0462"</f>
        <v>682-804-0462</v>
      </c>
      <c r="E10118" s="2" t="s">
        <v>1725</v>
      </c>
      <c r="F10118" s="2" t="s">
        <v>28430</v>
      </c>
      <c r="G10118" s="2" t="str">
        <f>"SR-10012"</f>
        <v>SR-10012</v>
      </c>
      <c r="H10118" s="2" t="s">
        <v>31076</v>
      </c>
      <c r="I10118" s="2" t="s">
        <v>29955</v>
      </c>
      <c r="K10118" s="2" t="s">
        <v>5729</v>
      </c>
      <c r="L10118" s="2" t="s">
        <v>172</v>
      </c>
      <c r="M10118" s="2">
        <v>76088.0</v>
      </c>
      <c r="N10118" s="2" t="s">
        <v>21</v>
      </c>
    </row>
    <row r="10119" ht="15.75" customHeight="1">
      <c r="A10119" s="2">
        <v>2018.0</v>
      </c>
      <c r="B10119" s="2" t="s">
        <v>41030</v>
      </c>
      <c r="C10119" s="2" t="s">
        <v>41030</v>
      </c>
      <c r="D10119" s="2" t="str">
        <f>"817-629-4071"</f>
        <v>817-629-4071</v>
      </c>
      <c r="E10119" s="2" t="s">
        <v>1022</v>
      </c>
      <c r="F10119" s="2" t="s">
        <v>3269</v>
      </c>
      <c r="G10119" s="2" t="str">
        <f>"SR-13947"</f>
        <v>SR-13947</v>
      </c>
      <c r="H10119" s="2" t="s">
        <v>41031</v>
      </c>
      <c r="I10119" s="2" t="s">
        <v>41032</v>
      </c>
      <c r="K10119" s="2" t="s">
        <v>5729</v>
      </c>
      <c r="L10119" s="2" t="s">
        <v>172</v>
      </c>
      <c r="M10119" s="2">
        <v>76086.0</v>
      </c>
      <c r="N10119" s="2" t="s">
        <v>21</v>
      </c>
    </row>
    <row r="10120" ht="15.75" customHeight="1">
      <c r="A10120" s="2">
        <v>2018.0</v>
      </c>
      <c r="B10120" s="2" t="s">
        <v>41033</v>
      </c>
      <c r="C10120" s="2" t="s">
        <v>41034</v>
      </c>
      <c r="D10120" s="2" t="str">
        <f>"8326471721"</f>
        <v>8326471721</v>
      </c>
      <c r="E10120" s="2" t="s">
        <v>373</v>
      </c>
      <c r="F10120" s="2" t="s">
        <v>41035</v>
      </c>
      <c r="G10120" s="2" t="str">
        <f>"SR-10748"</f>
        <v>SR-10748</v>
      </c>
      <c r="H10120" s="2" t="s">
        <v>41036</v>
      </c>
      <c r="I10120" s="2" t="s">
        <v>41037</v>
      </c>
      <c r="K10120" s="2" t="s">
        <v>3006</v>
      </c>
      <c r="L10120" s="2" t="s">
        <v>172</v>
      </c>
      <c r="M10120" s="2">
        <v>77396.0</v>
      </c>
      <c r="N10120" s="2" t="s">
        <v>21</v>
      </c>
    </row>
    <row r="10121" ht="15.75" customHeight="1">
      <c r="A10121" s="2">
        <v>2018.0</v>
      </c>
      <c r="B10121" s="2" t="s">
        <v>41038</v>
      </c>
      <c r="C10121" s="2" t="s">
        <v>41039</v>
      </c>
      <c r="D10121" s="2" t="str">
        <f>"303-809-0282"</f>
        <v>303-809-0282</v>
      </c>
      <c r="E10121" s="2" t="s">
        <v>404</v>
      </c>
      <c r="F10121" s="2" t="s">
        <v>41040</v>
      </c>
      <c r="G10121" s="2" t="str">
        <f>"SR-14044"</f>
        <v>SR-14044</v>
      </c>
      <c r="H10121" s="2" t="s">
        <v>41041</v>
      </c>
      <c r="I10121" s="2" t="s">
        <v>41042</v>
      </c>
      <c r="K10121" s="2" t="s">
        <v>682</v>
      </c>
      <c r="L10121" s="2" t="s">
        <v>157</v>
      </c>
      <c r="M10121" s="2">
        <v>80129.0</v>
      </c>
      <c r="N10121" s="2" t="s">
        <v>21</v>
      </c>
    </row>
    <row r="10122" ht="15.75" customHeight="1">
      <c r="A10122" s="2">
        <v>2018.0</v>
      </c>
      <c r="B10122" s="2" t="s">
        <v>35404</v>
      </c>
      <c r="C10122" s="2" t="s">
        <v>41043</v>
      </c>
      <c r="D10122" s="2" t="str">
        <f>"601-879-3854"</f>
        <v>601-879-3854</v>
      </c>
      <c r="E10122" s="2" t="s">
        <v>3597</v>
      </c>
      <c r="F10122" s="2" t="s">
        <v>35407</v>
      </c>
      <c r="G10122" s="2" t="str">
        <f>"SR-14065"</f>
        <v>SR-14065</v>
      </c>
      <c r="H10122" s="2" t="s">
        <v>41044</v>
      </c>
      <c r="I10122" s="2" t="s">
        <v>35409</v>
      </c>
      <c r="K10122" s="2" t="s">
        <v>11219</v>
      </c>
      <c r="L10122" s="2" t="s">
        <v>1722</v>
      </c>
      <c r="M10122" s="2">
        <v>39071.0</v>
      </c>
      <c r="N10122" s="2" t="s">
        <v>21</v>
      </c>
    </row>
    <row r="10123" ht="15.75" customHeight="1">
      <c r="A10123" s="2">
        <v>2018.0</v>
      </c>
      <c r="B10123" s="2" t="s">
        <v>41045</v>
      </c>
      <c r="C10123" s="2" t="s">
        <v>41046</v>
      </c>
      <c r="D10123" s="2" t="str">
        <f>"817-923-9393"</f>
        <v>817-923-9393</v>
      </c>
      <c r="E10123" s="2" t="s">
        <v>19353</v>
      </c>
      <c r="F10123" s="2" t="s">
        <v>41047</v>
      </c>
      <c r="G10123" s="2" t="str">
        <f>"SR-14069"</f>
        <v>SR-14069</v>
      </c>
      <c r="H10123" s="2" t="s">
        <v>41048</v>
      </c>
      <c r="I10123" s="2" t="s">
        <v>41049</v>
      </c>
      <c r="K10123" s="2" t="s">
        <v>1260</v>
      </c>
      <c r="L10123" s="2" t="s">
        <v>172</v>
      </c>
      <c r="M10123" s="2">
        <v>76110.0</v>
      </c>
      <c r="N10123" s="2" t="s">
        <v>21</v>
      </c>
    </row>
    <row r="10124" ht="15.75" customHeight="1">
      <c r="A10124" s="2">
        <v>2018.0</v>
      </c>
      <c r="B10124" s="2" t="s">
        <v>41050</v>
      </c>
      <c r="C10124" s="2" t="s">
        <v>41050</v>
      </c>
      <c r="D10124" s="2" t="str">
        <f>"5158032455"</f>
        <v>5158032455</v>
      </c>
      <c r="E10124" s="2" t="s">
        <v>644</v>
      </c>
      <c r="F10124" s="2" t="s">
        <v>23449</v>
      </c>
      <c r="G10124" s="2" t="str">
        <f>"SR-14037"</f>
        <v>SR-14037</v>
      </c>
      <c r="H10124" s="2" t="s">
        <v>41051</v>
      </c>
      <c r="I10124" s="2" t="s">
        <v>41052</v>
      </c>
      <c r="K10124" s="2" t="s">
        <v>16743</v>
      </c>
      <c r="L10124" s="2" t="s">
        <v>560</v>
      </c>
      <c r="M10124" s="2">
        <v>50061.0</v>
      </c>
      <c r="N10124" s="2" t="s">
        <v>21</v>
      </c>
    </row>
    <row r="10125" ht="15.75" customHeight="1">
      <c r="A10125" s="2">
        <v>2018.0</v>
      </c>
      <c r="B10125" s="2" t="s">
        <v>41053</v>
      </c>
      <c r="C10125" s="2" t="s">
        <v>41053</v>
      </c>
      <c r="D10125" s="2" t="str">
        <f>"7139075277"</f>
        <v>7139075277</v>
      </c>
      <c r="E10125" s="2" t="s">
        <v>955</v>
      </c>
      <c r="F10125" s="2" t="s">
        <v>1151</v>
      </c>
      <c r="G10125" s="2" t="str">
        <f>"SR-13937"</f>
        <v>SR-13937</v>
      </c>
      <c r="H10125" s="2" t="s">
        <v>41054</v>
      </c>
      <c r="I10125" s="2" t="s">
        <v>41055</v>
      </c>
      <c r="K10125" s="2" t="s">
        <v>444</v>
      </c>
      <c r="L10125" s="2" t="s">
        <v>172</v>
      </c>
      <c r="M10125" s="2">
        <v>77042.0</v>
      </c>
      <c r="N10125" s="2" t="s">
        <v>21</v>
      </c>
    </row>
    <row r="10126" ht="15.75" customHeight="1">
      <c r="A10126" s="2">
        <v>2018.0</v>
      </c>
      <c r="B10126" s="2" t="s">
        <v>41056</v>
      </c>
      <c r="C10126" s="2" t="s">
        <v>41056</v>
      </c>
      <c r="D10126" s="2" t="str">
        <f>"817-690-3779"</f>
        <v>817-690-3779</v>
      </c>
      <c r="E10126" s="2" t="s">
        <v>41057</v>
      </c>
      <c r="F10126" s="2" t="s">
        <v>41058</v>
      </c>
      <c r="G10126" s="2" t="str">
        <f>"SR-14074"</f>
        <v>SR-14074</v>
      </c>
      <c r="H10126" s="2" t="s">
        <v>41059</v>
      </c>
      <c r="I10126" s="2" t="s">
        <v>41060</v>
      </c>
      <c r="K10126" s="2" t="s">
        <v>41061</v>
      </c>
      <c r="L10126" s="2" t="s">
        <v>172</v>
      </c>
      <c r="M10126" s="2">
        <v>76060.0</v>
      </c>
      <c r="N10126" s="2" t="s">
        <v>21</v>
      </c>
    </row>
    <row r="10127" ht="15.75" customHeight="1">
      <c r="A10127" s="2">
        <v>2018.0</v>
      </c>
      <c r="B10127" s="2" t="s">
        <v>41062</v>
      </c>
      <c r="C10127" s="2" t="s">
        <v>41063</v>
      </c>
      <c r="D10127" s="2" t="str">
        <f>"806-290-3489"</f>
        <v>806-290-3489</v>
      </c>
      <c r="E10127" s="2" t="s">
        <v>41064</v>
      </c>
      <c r="F10127" s="2" t="s">
        <v>1150</v>
      </c>
      <c r="G10127" s="2" t="str">
        <f>"SR-14043"</f>
        <v>SR-14043</v>
      </c>
      <c r="H10127" s="2" t="s">
        <v>41065</v>
      </c>
      <c r="I10127" s="2" t="s">
        <v>41066</v>
      </c>
      <c r="K10127" s="2" t="s">
        <v>14992</v>
      </c>
      <c r="L10127" s="2" t="s">
        <v>172</v>
      </c>
      <c r="M10127" s="2">
        <v>79124.0</v>
      </c>
      <c r="N10127" s="2" t="s">
        <v>21</v>
      </c>
    </row>
    <row r="10128" ht="15.75" customHeight="1">
      <c r="A10128" s="2">
        <v>2018.0</v>
      </c>
      <c r="B10128" s="2" t="s">
        <v>41067</v>
      </c>
      <c r="C10128" s="2" t="s">
        <v>41067</v>
      </c>
      <c r="D10128" s="2" t="str">
        <f>"503-882-5760"</f>
        <v>503-882-5760</v>
      </c>
      <c r="E10128" s="2" t="s">
        <v>651</v>
      </c>
      <c r="F10128" s="2" t="s">
        <v>1859</v>
      </c>
      <c r="G10128" s="2" t="str">
        <f>"SR-14030"</f>
        <v>SR-14030</v>
      </c>
      <c r="H10128" s="2" t="s">
        <v>41068</v>
      </c>
      <c r="I10128" s="2" t="s">
        <v>41069</v>
      </c>
      <c r="K10128" s="2" t="s">
        <v>221</v>
      </c>
      <c r="L10128" s="2" t="s">
        <v>30007</v>
      </c>
      <c r="M10128" s="2">
        <v>9096.0</v>
      </c>
      <c r="N10128" s="2" t="s">
        <v>21</v>
      </c>
    </row>
    <row r="10129" ht="15.75" customHeight="1">
      <c r="A10129" s="2">
        <v>2018.0</v>
      </c>
      <c r="B10129" s="2" t="s">
        <v>41070</v>
      </c>
      <c r="C10129" s="2" t="s">
        <v>41071</v>
      </c>
      <c r="D10129" s="2" t="str">
        <f>"8179035471"</f>
        <v>8179035471</v>
      </c>
      <c r="E10129" s="2" t="s">
        <v>1141</v>
      </c>
      <c r="F10129" s="2" t="s">
        <v>41072</v>
      </c>
      <c r="G10129" s="2" t="str">
        <f>"SR-13970"</f>
        <v>SR-13970</v>
      </c>
      <c r="H10129" s="2" t="s">
        <v>41073</v>
      </c>
      <c r="I10129" s="2" t="s">
        <v>41074</v>
      </c>
      <c r="K10129" s="2" t="s">
        <v>20269</v>
      </c>
      <c r="L10129" s="2" t="s">
        <v>172</v>
      </c>
      <c r="M10129" s="2">
        <v>76043.0</v>
      </c>
      <c r="N10129" s="2" t="s">
        <v>21</v>
      </c>
    </row>
    <row r="10130" ht="15.75" customHeight="1">
      <c r="A10130" s="2">
        <v>2018.0</v>
      </c>
      <c r="B10130" s="2" t="s">
        <v>41075</v>
      </c>
      <c r="C10130" s="2" t="s">
        <v>41075</v>
      </c>
      <c r="D10130" s="2" t="str">
        <f>"7208403811"</f>
        <v>7208403811</v>
      </c>
      <c r="E10130" s="2" t="s">
        <v>41076</v>
      </c>
      <c r="F10130" s="2" t="s">
        <v>41077</v>
      </c>
      <c r="G10130" s="2" t="str">
        <f>"SR-14071"</f>
        <v>SR-14071</v>
      </c>
      <c r="H10130" s="2" t="s">
        <v>41078</v>
      </c>
      <c r="I10130" s="2" t="s">
        <v>41079</v>
      </c>
      <c r="K10130" s="2" t="s">
        <v>682</v>
      </c>
      <c r="L10130" s="2" t="s">
        <v>157</v>
      </c>
      <c r="M10130" s="2">
        <v>80129.0</v>
      </c>
      <c r="N10130" s="2" t="s">
        <v>21</v>
      </c>
    </row>
    <row r="10131" ht="15.75" customHeight="1">
      <c r="A10131" s="2">
        <v>2018.0</v>
      </c>
      <c r="B10131" s="2" t="s">
        <v>41080</v>
      </c>
      <c r="C10131" s="2" t="s">
        <v>41081</v>
      </c>
      <c r="D10131" s="2" t="str">
        <f>"714-227-0883"</f>
        <v>714-227-0883</v>
      </c>
      <c r="E10131" s="2" t="s">
        <v>3597</v>
      </c>
      <c r="F10131" s="2" t="s">
        <v>41082</v>
      </c>
      <c r="G10131" s="2" t="str">
        <f>"SR-13930"</f>
        <v>SR-13930</v>
      </c>
      <c r="H10131" s="2" t="s">
        <v>41083</v>
      </c>
      <c r="I10131" s="2" t="s">
        <v>41084</v>
      </c>
      <c r="K10131" s="2" t="s">
        <v>22503</v>
      </c>
      <c r="L10131" s="2" t="s">
        <v>2389</v>
      </c>
      <c r="M10131" s="2">
        <v>97702.0</v>
      </c>
      <c r="N10131" s="2" t="s">
        <v>21</v>
      </c>
    </row>
    <row r="10132" ht="15.75" customHeight="1">
      <c r="A10132" s="2">
        <v>2018.0</v>
      </c>
      <c r="B10132" s="2" t="s">
        <v>25209</v>
      </c>
      <c r="C10132" s="2" t="s">
        <v>41085</v>
      </c>
      <c r="D10132" s="2" t="str">
        <f>"7014251520"</f>
        <v>7014251520</v>
      </c>
      <c r="E10132" s="2" t="s">
        <v>1088</v>
      </c>
      <c r="F10132" s="2" t="s">
        <v>4492</v>
      </c>
      <c r="G10132" s="2" t="str">
        <f>"SR-14060"</f>
        <v>SR-14060</v>
      </c>
      <c r="H10132" s="2" t="s">
        <v>41086</v>
      </c>
      <c r="I10132" s="2" t="s">
        <v>25213</v>
      </c>
      <c r="K10132" s="2" t="s">
        <v>4495</v>
      </c>
      <c r="L10132" s="2" t="s">
        <v>2534</v>
      </c>
      <c r="M10132" s="2">
        <v>58554.0</v>
      </c>
      <c r="N10132" s="2" t="s">
        <v>21</v>
      </c>
    </row>
    <row r="10133" ht="15.75" customHeight="1">
      <c r="A10133" s="2">
        <v>2018.0</v>
      </c>
      <c r="B10133" s="2" t="s">
        <v>41087</v>
      </c>
      <c r="C10133" s="2" t="s">
        <v>41087</v>
      </c>
      <c r="D10133" s="2" t="str">
        <f>"772-299-8275"</f>
        <v>772-299-8275</v>
      </c>
      <c r="E10133" s="2" t="s">
        <v>339</v>
      </c>
      <c r="F10133" s="2" t="s">
        <v>9047</v>
      </c>
      <c r="G10133" s="2" t="str">
        <f>"SR-14107"</f>
        <v>SR-14107</v>
      </c>
      <c r="H10133" s="2" t="s">
        <v>27366</v>
      </c>
      <c r="I10133" s="2" t="s">
        <v>41088</v>
      </c>
      <c r="K10133" s="2" t="s">
        <v>11560</v>
      </c>
      <c r="L10133" s="2" t="s">
        <v>208</v>
      </c>
      <c r="M10133" s="2">
        <v>32963.0</v>
      </c>
      <c r="N10133" s="2" t="s">
        <v>21</v>
      </c>
    </row>
    <row r="10134" ht="15.75" customHeight="1">
      <c r="A10134" s="2">
        <v>2018.0</v>
      </c>
      <c r="B10134" s="2" t="s">
        <v>41089</v>
      </c>
      <c r="C10134" s="2" t="s">
        <v>41089</v>
      </c>
      <c r="D10134" s="2" t="str">
        <f>"7722175300"</f>
        <v>7722175300</v>
      </c>
      <c r="E10134" s="2" t="s">
        <v>843</v>
      </c>
      <c r="F10134" s="2" t="s">
        <v>9047</v>
      </c>
      <c r="G10134" s="2" t="str">
        <f>"SR-14105"</f>
        <v>SR-14105</v>
      </c>
      <c r="H10134" s="2" t="s">
        <v>27352</v>
      </c>
      <c r="I10134" s="2" t="s">
        <v>27353</v>
      </c>
      <c r="K10134" s="2" t="s">
        <v>11560</v>
      </c>
      <c r="L10134" s="2" t="s">
        <v>208</v>
      </c>
      <c r="M10134" s="2">
        <v>32963.0</v>
      </c>
      <c r="N10134" s="2" t="s">
        <v>21</v>
      </c>
    </row>
    <row r="10135" ht="15.75" customHeight="1">
      <c r="A10135" s="2">
        <v>2018.0</v>
      </c>
      <c r="B10135" s="2" t="s">
        <v>35448</v>
      </c>
      <c r="C10135" s="2" t="s">
        <v>41090</v>
      </c>
      <c r="D10135" s="2" t="str">
        <f>"6517469240"</f>
        <v>6517469240</v>
      </c>
      <c r="E10135" s="2" t="s">
        <v>41091</v>
      </c>
      <c r="F10135" s="2" t="s">
        <v>256</v>
      </c>
      <c r="G10135" s="2" t="str">
        <f>"SR-14009"</f>
        <v>SR-14009</v>
      </c>
      <c r="H10135" s="2" t="s">
        <v>41092</v>
      </c>
      <c r="I10135" s="2" t="s">
        <v>37899</v>
      </c>
      <c r="K10135" s="2" t="s">
        <v>1260</v>
      </c>
      <c r="L10135" s="2" t="s">
        <v>172</v>
      </c>
      <c r="M10135" s="2">
        <v>76107.0</v>
      </c>
      <c r="N10135" s="2" t="s">
        <v>21</v>
      </c>
    </row>
    <row r="10136" ht="15.75" customHeight="1">
      <c r="A10136" s="2">
        <v>2018.0</v>
      </c>
      <c r="B10136" s="2" t="s">
        <v>41093</v>
      </c>
      <c r="C10136" s="2" t="s">
        <v>41094</v>
      </c>
      <c r="D10136" s="2" t="str">
        <f>"385 6305606"</f>
        <v>385 6305606</v>
      </c>
      <c r="E10136" s="2" t="s">
        <v>100</v>
      </c>
      <c r="F10136" s="2" t="s">
        <v>2084</v>
      </c>
      <c r="G10136" s="2" t="str">
        <f>"SR-14059"</f>
        <v>SR-14059</v>
      </c>
      <c r="H10136" s="2" t="s">
        <v>41095</v>
      </c>
      <c r="I10136" s="2" t="s">
        <v>41096</v>
      </c>
      <c r="K10136" s="2" t="s">
        <v>41097</v>
      </c>
      <c r="L10136" s="2" t="s">
        <v>763</v>
      </c>
      <c r="M10136" s="2">
        <v>84107.0</v>
      </c>
      <c r="N10136" s="2" t="s">
        <v>21</v>
      </c>
    </row>
    <row r="10137" ht="15.75" customHeight="1">
      <c r="A10137" s="2">
        <v>2018.0</v>
      </c>
      <c r="B10137" s="2" t="s">
        <v>41098</v>
      </c>
      <c r="C10137" s="2" t="s">
        <v>41098</v>
      </c>
      <c r="D10137" s="2" t="str">
        <f>"8285772534"</f>
        <v>8285772534</v>
      </c>
      <c r="E10137" s="2" t="s">
        <v>41099</v>
      </c>
      <c r="F10137" s="2" t="s">
        <v>41100</v>
      </c>
      <c r="G10137" s="2" t="str">
        <f>"SR-14115"</f>
        <v>SR-14115</v>
      </c>
      <c r="H10137" s="2" t="s">
        <v>41101</v>
      </c>
      <c r="I10137" s="2" t="s">
        <v>41102</v>
      </c>
      <c r="K10137" s="2" t="s">
        <v>1889</v>
      </c>
      <c r="L10137" s="2" t="s">
        <v>157</v>
      </c>
      <c r="M10137" s="2">
        <v>80123.0</v>
      </c>
      <c r="N10137" s="2" t="s">
        <v>21</v>
      </c>
    </row>
    <row r="10138" ht="15.75" customHeight="1">
      <c r="A10138" s="2">
        <v>2018.0</v>
      </c>
      <c r="B10138" s="2" t="s">
        <v>8846</v>
      </c>
      <c r="C10138" s="2" t="s">
        <v>26127</v>
      </c>
      <c r="D10138" s="2" t="str">
        <f>"5209079946"</f>
        <v>5209079946</v>
      </c>
      <c r="E10138" s="2" t="s">
        <v>26128</v>
      </c>
      <c r="F10138" s="2" t="s">
        <v>8847</v>
      </c>
      <c r="G10138" s="2" t="str">
        <f>"SR-7175"</f>
        <v>SR-7175</v>
      </c>
      <c r="H10138" s="2" t="s">
        <v>26129</v>
      </c>
      <c r="I10138" s="2" t="s">
        <v>8849</v>
      </c>
      <c r="K10138" s="2" t="s">
        <v>5946</v>
      </c>
      <c r="L10138" s="2" t="s">
        <v>422</v>
      </c>
      <c r="M10138" s="2">
        <v>85750.0</v>
      </c>
      <c r="N10138" s="2" t="s">
        <v>21</v>
      </c>
    </row>
    <row r="10139" ht="15.75" customHeight="1">
      <c r="A10139" s="2">
        <v>2018.0</v>
      </c>
      <c r="B10139" s="2" t="s">
        <v>41103</v>
      </c>
      <c r="C10139" s="2" t="s">
        <v>41103</v>
      </c>
      <c r="D10139" s="2" t="str">
        <f>"772-302-0101"</f>
        <v>772-302-0101</v>
      </c>
      <c r="E10139" s="2" t="s">
        <v>1263</v>
      </c>
      <c r="F10139" s="2" t="s">
        <v>9047</v>
      </c>
      <c r="G10139" s="2" t="str">
        <f>"SR-14117"</f>
        <v>SR-14117</v>
      </c>
      <c r="H10139" s="2" t="s">
        <v>27360</v>
      </c>
      <c r="I10139" s="2" t="s">
        <v>41104</v>
      </c>
      <c r="K10139" s="2" t="s">
        <v>11560</v>
      </c>
      <c r="L10139" s="2" t="s">
        <v>208</v>
      </c>
      <c r="M10139" s="2">
        <v>32963.0</v>
      </c>
      <c r="N10139" s="2" t="s">
        <v>21</v>
      </c>
    </row>
    <row r="10140" ht="15.75" customHeight="1">
      <c r="A10140" s="2">
        <v>2018.0</v>
      </c>
      <c r="B10140" s="2" t="s">
        <v>41105</v>
      </c>
      <c r="C10140" s="2" t="s">
        <v>41106</v>
      </c>
      <c r="D10140" s="2" t="str">
        <f>"727-249-7090"</f>
        <v>727-249-7090</v>
      </c>
      <c r="E10140" s="2" t="s">
        <v>225</v>
      </c>
      <c r="F10140" s="2" t="s">
        <v>41107</v>
      </c>
      <c r="G10140" s="2" t="str">
        <f>"SR-9283"</f>
        <v>SR-9283</v>
      </c>
      <c r="H10140" s="2" t="s">
        <v>41108</v>
      </c>
      <c r="I10140" s="2" t="s">
        <v>41109</v>
      </c>
      <c r="K10140" s="2" t="s">
        <v>30847</v>
      </c>
      <c r="L10140" s="2" t="s">
        <v>208</v>
      </c>
      <c r="M10140" s="2">
        <v>33715.0</v>
      </c>
      <c r="N10140" s="2" t="s">
        <v>21</v>
      </c>
    </row>
    <row r="10141" ht="15.75" customHeight="1">
      <c r="A10141" s="2">
        <v>2018.0</v>
      </c>
      <c r="B10141" s="2" t="s">
        <v>41110</v>
      </c>
      <c r="C10141" s="2" t="s">
        <v>41110</v>
      </c>
      <c r="D10141" s="2" t="str">
        <f>"(541)333-2498"</f>
        <v>(541)333-2498</v>
      </c>
      <c r="E10141" s="2" t="s">
        <v>811</v>
      </c>
      <c r="F10141" s="2" t="s">
        <v>6371</v>
      </c>
      <c r="G10141" s="2" t="str">
        <f>"SR-13801"</f>
        <v>SR-13801</v>
      </c>
      <c r="H10141" s="2" t="s">
        <v>41111</v>
      </c>
      <c r="I10141" s="2" t="s">
        <v>41112</v>
      </c>
      <c r="K10141" s="2" t="s">
        <v>6374</v>
      </c>
      <c r="L10141" s="2" t="s">
        <v>2389</v>
      </c>
      <c r="M10141" s="2">
        <v>97029.0</v>
      </c>
      <c r="N10141" s="2" t="s">
        <v>21</v>
      </c>
    </row>
    <row r="10142" ht="15.75" customHeight="1">
      <c r="A10142" s="2">
        <v>2018.0</v>
      </c>
      <c r="B10142" s="2" t="s">
        <v>41105</v>
      </c>
      <c r="C10142" s="2" t="s">
        <v>41113</v>
      </c>
      <c r="D10142" s="2" t="str">
        <f>"727-599-1635"</f>
        <v>727-599-1635</v>
      </c>
      <c r="E10142" s="2" t="s">
        <v>34997</v>
      </c>
      <c r="F10142" s="2" t="s">
        <v>41107</v>
      </c>
      <c r="G10142" s="2" t="str">
        <f>"SR-9278"</f>
        <v>SR-9278</v>
      </c>
      <c r="H10142" s="2" t="s">
        <v>41114</v>
      </c>
      <c r="I10142" s="2" t="s">
        <v>41109</v>
      </c>
      <c r="K10142" s="2" t="s">
        <v>30847</v>
      </c>
      <c r="L10142" s="2" t="s">
        <v>208</v>
      </c>
      <c r="M10142" s="2">
        <v>33715.0</v>
      </c>
      <c r="N10142" s="2" t="s">
        <v>21</v>
      </c>
    </row>
    <row r="10143" ht="15.75" customHeight="1">
      <c r="A10143" s="2">
        <v>2018.0</v>
      </c>
      <c r="B10143" s="2" t="s">
        <v>41115</v>
      </c>
      <c r="C10143" s="2" t="s">
        <v>41115</v>
      </c>
      <c r="D10143" s="2" t="str">
        <f>"9062311789"</f>
        <v>9062311789</v>
      </c>
      <c r="E10143" s="2" t="s">
        <v>15</v>
      </c>
      <c r="F10143" s="2" t="s">
        <v>5490</v>
      </c>
      <c r="G10143" s="2" t="str">
        <f>"SR-13996"</f>
        <v>SR-13996</v>
      </c>
      <c r="H10143" s="2" t="s">
        <v>41116</v>
      </c>
      <c r="I10143" s="2" t="s">
        <v>41117</v>
      </c>
      <c r="K10143" s="2" t="s">
        <v>10066</v>
      </c>
      <c r="L10143" s="2" t="s">
        <v>29</v>
      </c>
      <c r="M10143" s="2">
        <v>49931.0</v>
      </c>
      <c r="N10143" s="2" t="s">
        <v>21</v>
      </c>
    </row>
    <row r="10144" ht="15.75" customHeight="1">
      <c r="A10144" s="2">
        <v>2018.0</v>
      </c>
      <c r="B10144" s="2" t="s">
        <v>41118</v>
      </c>
      <c r="C10144" s="2" t="s">
        <v>41119</v>
      </c>
      <c r="D10144" s="2" t="str">
        <f>"2065424842"</f>
        <v>2065424842</v>
      </c>
      <c r="E10144" s="2" t="s">
        <v>50</v>
      </c>
      <c r="F10144" s="2" t="s">
        <v>41120</v>
      </c>
      <c r="G10144" s="2" t="str">
        <f>"SR-13861"</f>
        <v>SR-13861</v>
      </c>
      <c r="H10144" s="2" t="s">
        <v>41121</v>
      </c>
      <c r="I10144" s="2" t="s">
        <v>41122</v>
      </c>
      <c r="K10144" s="2" t="s">
        <v>1004</v>
      </c>
      <c r="L10144" s="2" t="s">
        <v>86</v>
      </c>
      <c r="M10144" s="2">
        <v>98177.0</v>
      </c>
      <c r="N10144" s="2" t="s">
        <v>21</v>
      </c>
    </row>
    <row r="10145" ht="15.75" customHeight="1">
      <c r="A10145" s="2">
        <v>2018.0</v>
      </c>
      <c r="B10145" s="2" t="s">
        <v>41123</v>
      </c>
      <c r="C10145" s="2" t="s">
        <v>41124</v>
      </c>
      <c r="D10145" s="2" t="str">
        <f>"909 536 6717"</f>
        <v>909 536 6717</v>
      </c>
      <c r="E10145" s="2" t="s">
        <v>23508</v>
      </c>
      <c r="F10145" s="2" t="s">
        <v>41125</v>
      </c>
      <c r="G10145" s="2" t="str">
        <f>"SR-14108"</f>
        <v>SR-14108</v>
      </c>
      <c r="H10145" s="2" t="s">
        <v>41126</v>
      </c>
      <c r="I10145" s="2" t="s">
        <v>41127</v>
      </c>
      <c r="K10145" s="2" t="s">
        <v>15522</v>
      </c>
      <c r="L10145" s="2" t="s">
        <v>222</v>
      </c>
      <c r="M10145" s="2">
        <v>91710.0</v>
      </c>
      <c r="N10145" s="2" t="s">
        <v>21</v>
      </c>
    </row>
    <row r="10146" ht="15.75" customHeight="1">
      <c r="A10146" s="2">
        <v>2018.0</v>
      </c>
      <c r="B10146" s="2" t="s">
        <v>41128</v>
      </c>
      <c r="C10146" s="2" t="s">
        <v>41129</v>
      </c>
      <c r="D10146" s="2" t="str">
        <f>"7274343731"</f>
        <v>7274343731</v>
      </c>
      <c r="E10146" s="2" t="s">
        <v>1440</v>
      </c>
      <c r="F10146" s="2" t="s">
        <v>41107</v>
      </c>
      <c r="G10146" s="2" t="str">
        <f>"SR-14133"</f>
        <v>SR-14133</v>
      </c>
      <c r="H10146" s="2" t="s">
        <v>41130</v>
      </c>
      <c r="I10146" s="2" t="s">
        <v>41131</v>
      </c>
      <c r="K10146" s="2" t="s">
        <v>41132</v>
      </c>
      <c r="L10146" s="2" t="s">
        <v>1236</v>
      </c>
      <c r="M10146" s="2">
        <v>40383.0</v>
      </c>
      <c r="N10146" s="2" t="s">
        <v>21</v>
      </c>
    </row>
    <row r="10147" ht="15.75" customHeight="1">
      <c r="A10147" s="2">
        <v>2018.0</v>
      </c>
      <c r="B10147" s="2" t="s">
        <v>41133</v>
      </c>
      <c r="C10147" s="2" t="s">
        <v>41133</v>
      </c>
      <c r="D10147" s="2" t="str">
        <f>"(301)5230947"</f>
        <v>(301)5230947</v>
      </c>
      <c r="E10147" s="2" t="s">
        <v>339</v>
      </c>
      <c r="F10147" s="2" t="s">
        <v>41134</v>
      </c>
      <c r="G10147" s="2" t="str">
        <f>"SR-14135"</f>
        <v>SR-14135</v>
      </c>
      <c r="H10147" s="2" t="s">
        <v>41135</v>
      </c>
      <c r="I10147" s="2" t="s">
        <v>41136</v>
      </c>
      <c r="K10147" s="2" t="s">
        <v>15616</v>
      </c>
      <c r="L10147" s="2" t="s">
        <v>62</v>
      </c>
      <c r="M10147" s="2">
        <v>56377.0</v>
      </c>
      <c r="N10147" s="2" t="s">
        <v>21</v>
      </c>
    </row>
    <row r="10148" ht="15.75" customHeight="1">
      <c r="A10148" s="2">
        <v>2018.0</v>
      </c>
      <c r="B10148" s="2" t="s">
        <v>41133</v>
      </c>
      <c r="C10148" s="2" t="s">
        <v>41133</v>
      </c>
      <c r="D10148" s="2" t="str">
        <f>"(240)6019244"</f>
        <v>(240)6019244</v>
      </c>
      <c r="E10148" s="2" t="s">
        <v>843</v>
      </c>
      <c r="F10148" s="2" t="s">
        <v>41134</v>
      </c>
      <c r="G10148" s="2" t="str">
        <f>"SR-14136"</f>
        <v>SR-14136</v>
      </c>
      <c r="H10148" s="2" t="s">
        <v>41137</v>
      </c>
      <c r="I10148" s="2" t="s">
        <v>41138</v>
      </c>
      <c r="K10148" s="2" t="s">
        <v>15616</v>
      </c>
      <c r="L10148" s="2" t="s">
        <v>62</v>
      </c>
      <c r="M10148" s="2">
        <v>56377.0</v>
      </c>
      <c r="N10148" s="2" t="s">
        <v>21</v>
      </c>
    </row>
    <row r="10149" ht="15.75" customHeight="1">
      <c r="A10149" s="2">
        <v>2018.0</v>
      </c>
      <c r="B10149" s="2" t="s">
        <v>41139</v>
      </c>
      <c r="C10149" s="2" t="s">
        <v>41140</v>
      </c>
      <c r="D10149" s="2" t="str">
        <f>"816-820-1590"</f>
        <v>816-820-1590</v>
      </c>
      <c r="E10149" s="2" t="s">
        <v>5760</v>
      </c>
      <c r="F10149" s="2" t="s">
        <v>41141</v>
      </c>
      <c r="G10149" s="2" t="str">
        <f>"SR-4731"</f>
        <v>SR-4731</v>
      </c>
      <c r="H10149" s="2" t="s">
        <v>41142</v>
      </c>
      <c r="I10149" s="2" t="s">
        <v>41143</v>
      </c>
      <c r="K10149" s="2" t="s">
        <v>3103</v>
      </c>
      <c r="L10149" s="2" t="s">
        <v>272</v>
      </c>
      <c r="M10149" s="2">
        <v>66212.0</v>
      </c>
      <c r="N10149" s="2" t="s">
        <v>21</v>
      </c>
    </row>
    <row r="10150" ht="15.75" customHeight="1">
      <c r="A10150" s="2">
        <v>2018.0</v>
      </c>
      <c r="B10150" s="2" t="s">
        <v>24186</v>
      </c>
      <c r="C10150" s="2" t="s">
        <v>41144</v>
      </c>
      <c r="D10150" s="2" t="str">
        <f>"3609813091"</f>
        <v>3609813091</v>
      </c>
      <c r="E10150" s="2" t="s">
        <v>7930</v>
      </c>
      <c r="F10150" s="2" t="s">
        <v>24188</v>
      </c>
      <c r="G10150" s="2" t="str">
        <f>"SR-14149"</f>
        <v>SR-14149</v>
      </c>
      <c r="H10150" s="2" t="s">
        <v>41145</v>
      </c>
      <c r="I10150" s="2" t="s">
        <v>41146</v>
      </c>
      <c r="K10150" s="2" t="s">
        <v>3114</v>
      </c>
      <c r="L10150" s="2" t="s">
        <v>222</v>
      </c>
      <c r="M10150" s="2">
        <v>95765.0</v>
      </c>
      <c r="N10150" s="2" t="s">
        <v>21</v>
      </c>
    </row>
    <row r="10151" ht="15.75" customHeight="1">
      <c r="A10151" s="2">
        <v>2018.0</v>
      </c>
      <c r="B10151" s="2" t="s">
        <v>41147</v>
      </c>
      <c r="C10151" s="2" t="s">
        <v>41148</v>
      </c>
      <c r="D10151" s="2" t="str">
        <f>"972-515-9692"</f>
        <v>972-515-9692</v>
      </c>
      <c r="E10151" s="2" t="s">
        <v>41149</v>
      </c>
      <c r="F10151" s="2" t="s">
        <v>4750</v>
      </c>
      <c r="G10151" s="2" t="str">
        <f>"SR-14126"</f>
        <v>SR-14126</v>
      </c>
      <c r="H10151" s="2" t="s">
        <v>41150</v>
      </c>
      <c r="I10151" s="2" t="s">
        <v>41151</v>
      </c>
      <c r="K10151" s="2" t="s">
        <v>2934</v>
      </c>
      <c r="L10151" s="2" t="s">
        <v>172</v>
      </c>
      <c r="M10151" s="2">
        <v>75137.0</v>
      </c>
      <c r="N10151" s="2" t="s">
        <v>21</v>
      </c>
    </row>
    <row r="10152" ht="15.75" customHeight="1">
      <c r="A10152" s="2">
        <v>2018.0</v>
      </c>
      <c r="B10152" s="2" t="s">
        <v>41152</v>
      </c>
      <c r="C10152" s="2" t="s">
        <v>41152</v>
      </c>
      <c r="D10152" s="2" t="str">
        <f>"9518522605"</f>
        <v>9518522605</v>
      </c>
      <c r="E10152" s="2" t="s">
        <v>6937</v>
      </c>
      <c r="F10152" s="2" t="s">
        <v>41153</v>
      </c>
      <c r="G10152" s="2" t="str">
        <f>"SR-14048"</f>
        <v>SR-14048</v>
      </c>
      <c r="H10152" s="2" t="s">
        <v>41154</v>
      </c>
      <c r="I10152" s="2" t="s">
        <v>41155</v>
      </c>
      <c r="K10152" s="2" t="s">
        <v>1564</v>
      </c>
      <c r="L10152" s="2" t="s">
        <v>2389</v>
      </c>
      <c r="M10152" s="2">
        <v>97756.0</v>
      </c>
      <c r="N10152" s="2" t="s">
        <v>21</v>
      </c>
    </row>
    <row r="10153" ht="15.75" customHeight="1">
      <c r="A10153" s="2">
        <v>2018.0</v>
      </c>
      <c r="B10153" s="2" t="s">
        <v>41156</v>
      </c>
      <c r="C10153" s="2" t="s">
        <v>41156</v>
      </c>
      <c r="D10153" s="2" t="str">
        <f t="shared" ref="D10153:D10154" si="168">"8599483285"</f>
        <v>8599483285</v>
      </c>
      <c r="E10153" s="2" t="s">
        <v>2306</v>
      </c>
      <c r="F10153" s="2" t="s">
        <v>41157</v>
      </c>
      <c r="G10153" s="2" t="str">
        <f>"SR-14155"</f>
        <v>SR-14155</v>
      </c>
      <c r="H10153" s="2" t="s">
        <v>41158</v>
      </c>
      <c r="I10153" s="2" t="s">
        <v>41159</v>
      </c>
      <c r="K10153" s="2" t="s">
        <v>254</v>
      </c>
      <c r="L10153" s="2" t="s">
        <v>1236</v>
      </c>
      <c r="M10153" s="2">
        <v>40505.0</v>
      </c>
      <c r="N10153" s="2" t="s">
        <v>21</v>
      </c>
    </row>
    <row r="10154" ht="15.75" customHeight="1">
      <c r="A10154" s="2">
        <v>2018.0</v>
      </c>
      <c r="B10154" s="2" t="s">
        <v>41160</v>
      </c>
      <c r="C10154" s="2" t="s">
        <v>41160</v>
      </c>
      <c r="D10154" s="2" t="str">
        <f t="shared" si="168"/>
        <v>8599483285</v>
      </c>
      <c r="E10154" s="2" t="s">
        <v>678</v>
      </c>
      <c r="F10154" s="2" t="s">
        <v>41157</v>
      </c>
      <c r="G10154" s="2" t="str">
        <f>"SR-14156"</f>
        <v>SR-14156</v>
      </c>
      <c r="H10154" s="2" t="s">
        <v>41161</v>
      </c>
      <c r="I10154" s="2" t="s">
        <v>41159</v>
      </c>
      <c r="K10154" s="2" t="s">
        <v>254</v>
      </c>
      <c r="L10154" s="2" t="s">
        <v>1236</v>
      </c>
      <c r="M10154" s="2">
        <v>40505.0</v>
      </c>
      <c r="N10154" s="2" t="s">
        <v>21</v>
      </c>
    </row>
    <row r="10155" ht="15.75" customHeight="1">
      <c r="A10155" s="2">
        <v>2018.0</v>
      </c>
      <c r="B10155" s="2" t="s">
        <v>41162</v>
      </c>
      <c r="C10155" s="2" t="s">
        <v>41163</v>
      </c>
      <c r="D10155" s="2" t="str">
        <f>"859-948-3285"</f>
        <v>859-948-3285</v>
      </c>
      <c r="E10155" s="2" t="s">
        <v>1288</v>
      </c>
      <c r="F10155" s="2" t="s">
        <v>41157</v>
      </c>
      <c r="G10155" s="2" t="str">
        <f>"SR-14157"</f>
        <v>SR-14157</v>
      </c>
      <c r="H10155" s="2" t="s">
        <v>41164</v>
      </c>
      <c r="I10155" s="2" t="s">
        <v>41159</v>
      </c>
      <c r="K10155" s="2" t="s">
        <v>254</v>
      </c>
      <c r="L10155" s="2" t="s">
        <v>1236</v>
      </c>
      <c r="M10155" s="2">
        <v>40505.0</v>
      </c>
      <c r="N10155" s="2" t="s">
        <v>21</v>
      </c>
    </row>
    <row r="10156" ht="15.75" customHeight="1">
      <c r="A10156" s="2">
        <v>2018.0</v>
      </c>
      <c r="B10156" s="2" t="s">
        <v>41165</v>
      </c>
      <c r="D10156" s="2" t="str">
        <f>""</f>
        <v/>
      </c>
      <c r="E10156" s="2" t="s">
        <v>2752</v>
      </c>
      <c r="F10156" s="2" t="s">
        <v>41166</v>
      </c>
      <c r="G10156" s="2" t="str">
        <f>"SR-13590"</f>
        <v>SR-13590</v>
      </c>
      <c r="H10156" s="2" t="s">
        <v>41167</v>
      </c>
      <c r="N10156" s="2" t="s">
        <v>21</v>
      </c>
    </row>
    <row r="10157" ht="15.75" customHeight="1">
      <c r="A10157" s="2">
        <v>2018.0</v>
      </c>
      <c r="B10157" s="2" t="s">
        <v>41168</v>
      </c>
      <c r="C10157" s="2" t="s">
        <v>41168</v>
      </c>
      <c r="D10157" s="2" t="str">
        <f>"4325281295"</f>
        <v>4325281295</v>
      </c>
      <c r="E10157" s="2" t="s">
        <v>385</v>
      </c>
      <c r="F10157" s="2" t="s">
        <v>41169</v>
      </c>
      <c r="G10157" s="2" t="str">
        <f>"SR-14090"</f>
        <v>SR-14090</v>
      </c>
      <c r="H10157" s="2" t="s">
        <v>41170</v>
      </c>
      <c r="I10157" s="2" t="s">
        <v>41171</v>
      </c>
      <c r="K10157" s="2" t="s">
        <v>286</v>
      </c>
      <c r="L10157" s="2" t="s">
        <v>172</v>
      </c>
      <c r="M10157" s="2">
        <v>79707.0</v>
      </c>
      <c r="N10157" s="2" t="s">
        <v>21</v>
      </c>
    </row>
    <row r="10158" ht="15.75" customHeight="1">
      <c r="A10158" s="2">
        <v>2018.0</v>
      </c>
      <c r="B10158" s="2" t="s">
        <v>41172</v>
      </c>
      <c r="C10158" s="2" t="s">
        <v>41173</v>
      </c>
      <c r="D10158" s="2" t="str">
        <f>"6267336077"</f>
        <v>6267336077</v>
      </c>
      <c r="E10158" s="2" t="s">
        <v>2632</v>
      </c>
      <c r="F10158" s="2" t="s">
        <v>41174</v>
      </c>
      <c r="G10158" s="2" t="str">
        <f>"SR-14150"</f>
        <v>SR-14150</v>
      </c>
      <c r="H10158" s="2" t="s">
        <v>41175</v>
      </c>
      <c r="I10158" s="2" t="s">
        <v>41176</v>
      </c>
      <c r="K10158" s="2" t="s">
        <v>7320</v>
      </c>
      <c r="L10158" s="2" t="s">
        <v>222</v>
      </c>
      <c r="M10158" s="2">
        <v>91740.0</v>
      </c>
      <c r="N10158" s="2" t="s">
        <v>21</v>
      </c>
    </row>
    <row r="10159" ht="15.75" customHeight="1">
      <c r="A10159" s="2">
        <v>2018.0</v>
      </c>
      <c r="B10159" s="2" t="s">
        <v>24078</v>
      </c>
      <c r="C10159" s="2" t="s">
        <v>41177</v>
      </c>
      <c r="D10159" s="2" t="str">
        <f>"580-678-1408"</f>
        <v>580-678-1408</v>
      </c>
      <c r="E10159" s="2" t="s">
        <v>261</v>
      </c>
      <c r="F10159" s="2" t="s">
        <v>1209</v>
      </c>
      <c r="G10159" s="2" t="str">
        <f>"SR-14163"</f>
        <v>SR-14163</v>
      </c>
      <c r="H10159" s="2" t="s">
        <v>41178</v>
      </c>
      <c r="I10159" s="2" t="s">
        <v>24081</v>
      </c>
      <c r="K10159" s="2" t="s">
        <v>17344</v>
      </c>
      <c r="L10159" s="2" t="s">
        <v>840</v>
      </c>
      <c r="M10159" s="2">
        <v>73505.0</v>
      </c>
      <c r="N10159" s="2" t="s">
        <v>21</v>
      </c>
    </row>
    <row r="10160" ht="15.75" customHeight="1">
      <c r="A10160" s="2">
        <v>2018.0</v>
      </c>
      <c r="B10160" s="2" t="s">
        <v>41179</v>
      </c>
      <c r="C10160" s="2" t="s">
        <v>41180</v>
      </c>
      <c r="D10160" s="2" t="str">
        <f>"541-233-6719"</f>
        <v>541-233-6719</v>
      </c>
      <c r="E10160" s="2" t="s">
        <v>29453</v>
      </c>
      <c r="F10160" s="2" t="s">
        <v>41181</v>
      </c>
      <c r="G10160" s="2" t="str">
        <f>"SR-14146"</f>
        <v>SR-14146</v>
      </c>
      <c r="H10160" s="2" t="s">
        <v>41182</v>
      </c>
      <c r="I10160" s="2" t="s">
        <v>41183</v>
      </c>
      <c r="K10160" s="2" t="s">
        <v>19356</v>
      </c>
      <c r="L10160" s="2" t="s">
        <v>2389</v>
      </c>
      <c r="M10160" s="2">
        <v>97754.0</v>
      </c>
      <c r="N10160" s="2" t="s">
        <v>21</v>
      </c>
    </row>
    <row r="10161" ht="15.75" customHeight="1">
      <c r="A10161" s="2">
        <v>2018.0</v>
      </c>
      <c r="B10161" s="2" t="s">
        <v>40946</v>
      </c>
      <c r="C10161" s="2" t="s">
        <v>41184</v>
      </c>
      <c r="D10161" s="2" t="str">
        <f>"4086231289"</f>
        <v>4086231289</v>
      </c>
      <c r="E10161" s="2" t="s">
        <v>137</v>
      </c>
      <c r="F10161" s="2" t="s">
        <v>40948</v>
      </c>
      <c r="G10161" s="2" t="str">
        <f>"SR-13983"</f>
        <v>SR-13983</v>
      </c>
      <c r="H10161" s="2" t="s">
        <v>41185</v>
      </c>
      <c r="I10161" s="2" t="s">
        <v>40950</v>
      </c>
      <c r="K10161" s="2" t="s">
        <v>40951</v>
      </c>
      <c r="L10161" s="2" t="s">
        <v>222</v>
      </c>
      <c r="M10161" s="2">
        <v>95046.0</v>
      </c>
      <c r="N10161" s="2" t="s">
        <v>21</v>
      </c>
    </row>
    <row r="10162" ht="15.75" customHeight="1">
      <c r="A10162" s="2">
        <v>2018.0</v>
      </c>
      <c r="B10162" s="2" t="s">
        <v>41186</v>
      </c>
      <c r="C10162" s="2" t="s">
        <v>41187</v>
      </c>
      <c r="D10162" s="2" t="str">
        <f>"6591507089"</f>
        <v>6591507089</v>
      </c>
      <c r="E10162" s="2" t="s">
        <v>644</v>
      </c>
      <c r="F10162" s="2" t="s">
        <v>3062</v>
      </c>
      <c r="G10162" s="2" t="str">
        <f>"SR-14165"</f>
        <v>SR-14165</v>
      </c>
      <c r="H10162" s="2" t="s">
        <v>41188</v>
      </c>
      <c r="I10162" s="2" t="s">
        <v>41189</v>
      </c>
      <c r="K10162" s="2" t="s">
        <v>8433</v>
      </c>
      <c r="M10162" s="2">
        <v>680453.0</v>
      </c>
      <c r="N10162" s="2" t="s">
        <v>8433</v>
      </c>
    </row>
    <row r="10163" ht="15.75" customHeight="1">
      <c r="A10163" s="2">
        <v>2018.0</v>
      </c>
      <c r="B10163" s="2" t="s">
        <v>34715</v>
      </c>
      <c r="C10163" s="2" t="s">
        <v>34716</v>
      </c>
      <c r="D10163" s="2" t="str">
        <f>"4029290959"</f>
        <v>4029290959</v>
      </c>
      <c r="E10163" s="2" t="s">
        <v>34717</v>
      </c>
      <c r="F10163" s="2" t="s">
        <v>34718</v>
      </c>
      <c r="G10163" s="2" t="str">
        <f>"SR-11190"</f>
        <v>SR-11190</v>
      </c>
      <c r="H10163" s="2" t="s">
        <v>34719</v>
      </c>
      <c r="I10163" s="2" t="s">
        <v>34720</v>
      </c>
      <c r="K10163" s="2" t="s">
        <v>5732</v>
      </c>
      <c r="L10163" s="2" t="s">
        <v>757</v>
      </c>
      <c r="M10163" s="2">
        <v>68745.0</v>
      </c>
      <c r="N10163" s="2" t="s">
        <v>21</v>
      </c>
    </row>
    <row r="10164" ht="15.75" customHeight="1">
      <c r="A10164" s="2">
        <v>2018.0</v>
      </c>
      <c r="B10164" s="2" t="s">
        <v>41186</v>
      </c>
      <c r="C10164" s="2" t="s">
        <v>41190</v>
      </c>
      <c r="D10164" s="2" t="str">
        <f>"65-91502432"</f>
        <v>65-91502432</v>
      </c>
      <c r="E10164" s="2" t="s">
        <v>41191</v>
      </c>
      <c r="F10164" s="2" t="s">
        <v>3062</v>
      </c>
      <c r="G10164" s="2" t="str">
        <f>"SR-14127"</f>
        <v>SR-14127</v>
      </c>
      <c r="H10164" s="2" t="s">
        <v>41192</v>
      </c>
      <c r="I10164" s="2" t="s">
        <v>41189</v>
      </c>
      <c r="K10164" s="2" t="s">
        <v>8433</v>
      </c>
      <c r="M10164" s="2">
        <v>680453.0</v>
      </c>
      <c r="N10164" s="2" t="s">
        <v>8433</v>
      </c>
    </row>
    <row r="10165" ht="15.75" customHeight="1">
      <c r="A10165" s="2">
        <v>2018.0</v>
      </c>
      <c r="B10165" s="2" t="s">
        <v>41193</v>
      </c>
      <c r="C10165" s="2" t="s">
        <v>41194</v>
      </c>
      <c r="D10165" s="2" t="str">
        <f>"419-606-5253"</f>
        <v>419-606-5253</v>
      </c>
      <c r="E10165" s="2" t="s">
        <v>1761</v>
      </c>
      <c r="F10165" s="2" t="s">
        <v>41195</v>
      </c>
      <c r="G10165" s="2" t="str">
        <f>"SR-14158"</f>
        <v>SR-14158</v>
      </c>
      <c r="H10165" s="2" t="s">
        <v>41196</v>
      </c>
      <c r="I10165" s="2" t="s">
        <v>41197</v>
      </c>
      <c r="K10165" s="2" t="s">
        <v>1154</v>
      </c>
      <c r="L10165" s="2" t="s">
        <v>344</v>
      </c>
      <c r="M10165" s="2">
        <v>44805.0</v>
      </c>
      <c r="N10165" s="2" t="s">
        <v>21</v>
      </c>
    </row>
    <row r="10166" ht="15.75" customHeight="1">
      <c r="A10166" s="2">
        <v>2018.0</v>
      </c>
      <c r="B10166" s="2" t="s">
        <v>41193</v>
      </c>
      <c r="C10166" s="2" t="s">
        <v>41193</v>
      </c>
      <c r="D10166" s="2" t="str">
        <f>"330-465-4923"</f>
        <v>330-465-4923</v>
      </c>
      <c r="E10166" s="2" t="s">
        <v>580</v>
      </c>
      <c r="F10166" s="2" t="s">
        <v>41195</v>
      </c>
      <c r="G10166" s="2" t="str">
        <f>"SR-14159"</f>
        <v>SR-14159</v>
      </c>
      <c r="H10166" s="2" t="s">
        <v>41198</v>
      </c>
      <c r="I10166" s="2" t="s">
        <v>41199</v>
      </c>
      <c r="K10166" s="2" t="s">
        <v>1154</v>
      </c>
      <c r="L10166" s="2" t="s">
        <v>344</v>
      </c>
      <c r="M10166" s="2">
        <v>44805.0</v>
      </c>
      <c r="N10166" s="2" t="s">
        <v>21</v>
      </c>
    </row>
    <row r="10167" ht="15.75" customHeight="1">
      <c r="A10167" s="2">
        <v>2018.0</v>
      </c>
      <c r="B10167" s="2" t="s">
        <v>41200</v>
      </c>
      <c r="C10167" s="2" t="s">
        <v>41201</v>
      </c>
      <c r="D10167" s="2" t="str">
        <f>"256-502-2380"</f>
        <v>256-502-2380</v>
      </c>
      <c r="E10167" s="2" t="s">
        <v>217</v>
      </c>
      <c r="F10167" s="2" t="s">
        <v>12086</v>
      </c>
      <c r="G10167" s="2" t="str">
        <f>"SR-14202"</f>
        <v>SR-14202</v>
      </c>
      <c r="H10167" s="2" t="s">
        <v>41202</v>
      </c>
      <c r="I10167" s="2" t="s">
        <v>41203</v>
      </c>
      <c r="K10167" s="2" t="s">
        <v>30302</v>
      </c>
      <c r="L10167" s="2" t="s">
        <v>539</v>
      </c>
      <c r="M10167" s="2">
        <v>35640.0</v>
      </c>
      <c r="N10167" s="2" t="s">
        <v>21</v>
      </c>
    </row>
    <row r="10168" ht="15.75" customHeight="1">
      <c r="A10168" s="2">
        <v>2018.0</v>
      </c>
      <c r="B10168" s="2" t="s">
        <v>41204</v>
      </c>
      <c r="C10168" s="2" t="s">
        <v>41205</v>
      </c>
      <c r="D10168" s="2" t="str">
        <f>"8134312085"</f>
        <v>8134312085</v>
      </c>
      <c r="E10168" s="2" t="s">
        <v>1094</v>
      </c>
      <c r="F10168" s="2" t="s">
        <v>41206</v>
      </c>
      <c r="G10168" s="2" t="str">
        <f>"SR-13427"</f>
        <v>SR-13427</v>
      </c>
      <c r="H10168" s="2" t="s">
        <v>41207</v>
      </c>
      <c r="I10168" s="2" t="s">
        <v>41208</v>
      </c>
      <c r="K10168" s="2" t="s">
        <v>3431</v>
      </c>
      <c r="L10168" s="2" t="s">
        <v>208</v>
      </c>
      <c r="M10168" s="2">
        <v>33626.0</v>
      </c>
      <c r="N10168" s="2" t="s">
        <v>21</v>
      </c>
    </row>
    <row r="10169" ht="15.75" customHeight="1">
      <c r="A10169" s="2">
        <v>2018.0</v>
      </c>
      <c r="B10169" s="2" t="s">
        <v>41209</v>
      </c>
      <c r="C10169" s="2" t="s">
        <v>41210</v>
      </c>
      <c r="D10169" s="2" t="str">
        <f>"7192442069"</f>
        <v>7192442069</v>
      </c>
      <c r="E10169" s="2" t="s">
        <v>922</v>
      </c>
      <c r="F10169" s="2" t="s">
        <v>3903</v>
      </c>
      <c r="G10169" s="2" t="str">
        <f>"SR-14214"</f>
        <v>SR-14214</v>
      </c>
      <c r="H10169" s="2" t="s">
        <v>41211</v>
      </c>
      <c r="I10169" s="2" t="s">
        <v>41212</v>
      </c>
      <c r="K10169" s="2" t="s">
        <v>809</v>
      </c>
      <c r="L10169" s="2" t="s">
        <v>157</v>
      </c>
      <c r="M10169" s="2">
        <v>80921.0</v>
      </c>
      <c r="N10169" s="2" t="s">
        <v>21</v>
      </c>
    </row>
    <row r="10170" ht="15.75" customHeight="1">
      <c r="A10170" s="2">
        <v>2018.0</v>
      </c>
      <c r="B10170" s="2" t="s">
        <v>41213</v>
      </c>
      <c r="C10170" s="2" t="s">
        <v>41214</v>
      </c>
      <c r="D10170" s="2" t="str">
        <f>"9738978705"</f>
        <v>9738978705</v>
      </c>
      <c r="E10170" s="2" t="s">
        <v>1548</v>
      </c>
      <c r="F10170" s="2" t="s">
        <v>3614</v>
      </c>
      <c r="G10170" s="2" t="str">
        <f>"SR-14216"</f>
        <v>SR-14216</v>
      </c>
      <c r="H10170" s="2" t="s">
        <v>41215</v>
      </c>
      <c r="I10170" s="2" t="s">
        <v>3616</v>
      </c>
      <c r="K10170" s="2" t="s">
        <v>3617</v>
      </c>
      <c r="L10170" s="2" t="s">
        <v>3618</v>
      </c>
      <c r="M10170" s="2">
        <v>7456.0</v>
      </c>
      <c r="N10170" s="2" t="s">
        <v>21</v>
      </c>
    </row>
    <row r="10171" ht="15.75" customHeight="1">
      <c r="A10171" s="2">
        <v>2018.0</v>
      </c>
      <c r="B10171" s="2" t="s">
        <v>41216</v>
      </c>
      <c r="C10171" s="2" t="s">
        <v>41217</v>
      </c>
      <c r="D10171" s="2" t="str">
        <f>"2143922287"</f>
        <v>2143922287</v>
      </c>
      <c r="E10171" s="2" t="s">
        <v>3037</v>
      </c>
      <c r="F10171" s="2" t="s">
        <v>1648</v>
      </c>
      <c r="G10171" s="2" t="str">
        <f>"SR-14219"</f>
        <v>SR-14219</v>
      </c>
      <c r="H10171" s="2" t="s">
        <v>41218</v>
      </c>
      <c r="I10171" s="2" t="s">
        <v>41219</v>
      </c>
      <c r="K10171" s="2" t="s">
        <v>171</v>
      </c>
      <c r="L10171" s="2" t="s">
        <v>172</v>
      </c>
      <c r="M10171" s="2">
        <v>75006.0</v>
      </c>
      <c r="N10171" s="2" t="s">
        <v>21</v>
      </c>
    </row>
    <row r="10172" ht="15.75" customHeight="1">
      <c r="A10172" s="2">
        <v>2018.0</v>
      </c>
      <c r="B10172" s="2" t="s">
        <v>41220</v>
      </c>
      <c r="C10172" s="2" t="s">
        <v>41221</v>
      </c>
      <c r="D10172" s="2" t="str">
        <f>"214-709-0605"</f>
        <v>214-709-0605</v>
      </c>
      <c r="E10172" s="2" t="s">
        <v>41222</v>
      </c>
      <c r="F10172" s="2" t="s">
        <v>7079</v>
      </c>
      <c r="G10172" s="2" t="str">
        <f>"SR-14218"</f>
        <v>SR-14218</v>
      </c>
      <c r="H10172" s="2" t="s">
        <v>41223</v>
      </c>
      <c r="I10172" s="2" t="s">
        <v>41224</v>
      </c>
      <c r="K10172" s="2" t="s">
        <v>5011</v>
      </c>
      <c r="L10172" s="2" t="s">
        <v>172</v>
      </c>
      <c r="M10172" s="2">
        <v>75035.0</v>
      </c>
      <c r="N10172" s="2" t="s">
        <v>21</v>
      </c>
    </row>
    <row r="10173" ht="15.75" customHeight="1">
      <c r="A10173" s="2">
        <v>2018.0</v>
      </c>
      <c r="B10173" s="2" t="s">
        <v>41225</v>
      </c>
      <c r="C10173" s="2" t="s">
        <v>41226</v>
      </c>
      <c r="D10173" s="2" t="str">
        <f>"6122724804"</f>
        <v>6122724804</v>
      </c>
      <c r="E10173" s="2" t="s">
        <v>1725</v>
      </c>
      <c r="F10173" s="2" t="s">
        <v>41227</v>
      </c>
      <c r="G10173" s="2" t="str">
        <f>"SR-14220"</f>
        <v>SR-14220</v>
      </c>
      <c r="H10173" s="2" t="s">
        <v>41228</v>
      </c>
      <c r="I10173" s="2" t="s">
        <v>41229</v>
      </c>
      <c r="K10173" s="2" t="s">
        <v>1073</v>
      </c>
      <c r="L10173" s="2" t="s">
        <v>62</v>
      </c>
      <c r="M10173" s="2">
        <v>55410.0</v>
      </c>
      <c r="N10173" s="2" t="s">
        <v>21</v>
      </c>
    </row>
    <row r="10174" ht="15.75" customHeight="1">
      <c r="A10174" s="2">
        <v>2018.0</v>
      </c>
      <c r="B10174" s="2" t="s">
        <v>41230</v>
      </c>
      <c r="C10174" s="2" t="s">
        <v>41231</v>
      </c>
      <c r="D10174" s="2" t="str">
        <f>"6157679705"</f>
        <v>6157679705</v>
      </c>
      <c r="E10174" s="2" t="s">
        <v>1257</v>
      </c>
      <c r="F10174" s="2" t="s">
        <v>11982</v>
      </c>
      <c r="G10174" s="2" t="str">
        <f>"SR-14148"</f>
        <v>SR-14148</v>
      </c>
      <c r="H10174" s="2" t="s">
        <v>41232</v>
      </c>
      <c r="I10174" s="2" t="s">
        <v>41233</v>
      </c>
      <c r="K10174" s="2" t="s">
        <v>9868</v>
      </c>
      <c r="L10174" s="2" t="s">
        <v>279</v>
      </c>
      <c r="M10174" s="2">
        <v>37027.0</v>
      </c>
      <c r="N10174" s="2" t="s">
        <v>21</v>
      </c>
    </row>
    <row r="10175" ht="15.75" customHeight="1">
      <c r="A10175" s="2">
        <v>2018.0</v>
      </c>
      <c r="B10175" s="2" t="s">
        <v>41234</v>
      </c>
      <c r="C10175" s="2" t="s">
        <v>41235</v>
      </c>
      <c r="D10175" s="2" t="str">
        <f>"(423) 646-4163"</f>
        <v>(423) 646-4163</v>
      </c>
      <c r="E10175" s="2" t="s">
        <v>843</v>
      </c>
      <c r="F10175" s="2" t="s">
        <v>2174</v>
      </c>
      <c r="G10175" s="2" t="str">
        <f>"SR-13789"</f>
        <v>SR-13789</v>
      </c>
      <c r="H10175" s="2" t="s">
        <v>41236</v>
      </c>
      <c r="I10175" s="2" t="s">
        <v>41237</v>
      </c>
      <c r="K10175" s="2" t="s">
        <v>5493</v>
      </c>
      <c r="L10175" s="2" t="s">
        <v>279</v>
      </c>
      <c r="M10175" s="2">
        <v>37621.0</v>
      </c>
      <c r="N10175" s="2" t="s">
        <v>21</v>
      </c>
    </row>
    <row r="10176" ht="15.75" customHeight="1">
      <c r="A10176" s="2">
        <v>2018.0</v>
      </c>
      <c r="B10176" s="2" t="s">
        <v>41238</v>
      </c>
      <c r="D10176" s="2" t="str">
        <f>""</f>
        <v/>
      </c>
      <c r="E10176" s="2" t="s">
        <v>3878</v>
      </c>
      <c r="F10176" s="2" t="s">
        <v>41239</v>
      </c>
      <c r="G10176" s="2" t="str">
        <f>"SR-14229"</f>
        <v>SR-14229</v>
      </c>
      <c r="H10176" s="2" t="s">
        <v>41240</v>
      </c>
      <c r="N10176" s="2" t="s">
        <v>21</v>
      </c>
    </row>
    <row r="10177" ht="15.75" customHeight="1">
      <c r="A10177" s="2">
        <v>2018.0</v>
      </c>
      <c r="B10177" s="2" t="s">
        <v>41241</v>
      </c>
      <c r="C10177" s="2" t="s">
        <v>41242</v>
      </c>
      <c r="D10177" s="2" t="str">
        <f>"8043140503"</f>
        <v>8043140503</v>
      </c>
      <c r="E10177" s="2" t="s">
        <v>160</v>
      </c>
      <c r="F10177" s="2" t="s">
        <v>529</v>
      </c>
      <c r="G10177" s="2" t="str">
        <f>"SR-14232"</f>
        <v>SR-14232</v>
      </c>
      <c r="H10177" s="2" t="s">
        <v>41243</v>
      </c>
      <c r="I10177" s="2" t="s">
        <v>41244</v>
      </c>
      <c r="K10177" s="2" t="s">
        <v>11953</v>
      </c>
      <c r="L10177" s="2" t="s">
        <v>165</v>
      </c>
      <c r="M10177" s="2">
        <v>23141.0</v>
      </c>
      <c r="N10177" s="2" t="s">
        <v>21</v>
      </c>
    </row>
    <row r="10178" ht="15.75" customHeight="1">
      <c r="A10178" s="2">
        <v>2018.0</v>
      </c>
      <c r="B10178" s="2" t="s">
        <v>20264</v>
      </c>
      <c r="C10178" s="2" t="s">
        <v>41245</v>
      </c>
      <c r="D10178" s="2" t="str">
        <f>"2548977370"</f>
        <v>2548977370</v>
      </c>
      <c r="E10178" s="2" t="s">
        <v>72</v>
      </c>
      <c r="F10178" s="2" t="s">
        <v>41246</v>
      </c>
      <c r="G10178" s="2" t="str">
        <f>"SR-14234"</f>
        <v>SR-14234</v>
      </c>
      <c r="H10178" s="2" t="s">
        <v>41247</v>
      </c>
      <c r="I10178" s="2" t="s">
        <v>41248</v>
      </c>
      <c r="K10178" s="2" t="s">
        <v>20269</v>
      </c>
      <c r="L10178" s="2" t="s">
        <v>172</v>
      </c>
      <c r="M10178" s="2">
        <v>76043.0</v>
      </c>
      <c r="N10178" s="2" t="s">
        <v>21</v>
      </c>
    </row>
    <row r="10179" ht="15.75" customHeight="1">
      <c r="A10179" s="2">
        <v>2018.0</v>
      </c>
      <c r="B10179" s="2" t="s">
        <v>41249</v>
      </c>
      <c r="D10179" s="2" t="str">
        <f>""</f>
        <v/>
      </c>
      <c r="E10179" s="2" t="s">
        <v>15</v>
      </c>
      <c r="F10179" s="2" t="s">
        <v>35456</v>
      </c>
      <c r="G10179" s="2" t="str">
        <f>"SR-14170"</f>
        <v>SR-14170</v>
      </c>
      <c r="H10179" s="2" t="s">
        <v>41250</v>
      </c>
    </row>
    <row r="10180" ht="15.75" customHeight="1">
      <c r="A10180" s="2">
        <v>2018.0</v>
      </c>
      <c r="B10180" s="2" t="s">
        <v>41251</v>
      </c>
      <c r="C10180" s="2" t="s">
        <v>41252</v>
      </c>
      <c r="D10180" s="2" t="str">
        <f>"757 478-8674"</f>
        <v>757 478-8674</v>
      </c>
      <c r="E10180" s="2" t="s">
        <v>1141</v>
      </c>
      <c r="F10180" s="2" t="s">
        <v>41253</v>
      </c>
      <c r="G10180" s="2" t="str">
        <f>"SR-14203"</f>
        <v>SR-14203</v>
      </c>
      <c r="H10180" s="2" t="s">
        <v>41254</v>
      </c>
      <c r="I10180" s="2" t="s">
        <v>41255</v>
      </c>
      <c r="K10180" s="2" t="s">
        <v>9576</v>
      </c>
      <c r="L10180" s="2" t="s">
        <v>165</v>
      </c>
      <c r="M10180" s="2">
        <v>23322.0</v>
      </c>
      <c r="N10180" s="2" t="s">
        <v>21</v>
      </c>
    </row>
    <row r="10181" ht="15.75" customHeight="1">
      <c r="A10181" s="2">
        <v>2018.0</v>
      </c>
      <c r="B10181" s="2" t="s">
        <v>41256</v>
      </c>
      <c r="C10181" s="2" t="s">
        <v>41256</v>
      </c>
      <c r="D10181" s="2" t="str">
        <f>"2504628564"</f>
        <v>2504628564</v>
      </c>
      <c r="E10181" s="2" t="s">
        <v>3434</v>
      </c>
      <c r="F10181" s="2" t="s">
        <v>3903</v>
      </c>
      <c r="G10181" s="2" t="str">
        <f>"SR-14143"</f>
        <v>SR-14143</v>
      </c>
      <c r="H10181" s="2" t="s">
        <v>41257</v>
      </c>
      <c r="I10181" s="2" t="s">
        <v>41258</v>
      </c>
      <c r="K10181" s="2" t="s">
        <v>41259</v>
      </c>
      <c r="L10181" s="2" t="s">
        <v>41260</v>
      </c>
      <c r="M10181" s="2" t="s">
        <v>41261</v>
      </c>
      <c r="N10181" s="2" t="s">
        <v>1602</v>
      </c>
    </row>
    <row r="10182" ht="15.75" customHeight="1">
      <c r="A10182" s="2">
        <v>2018.0</v>
      </c>
      <c r="B10182" s="2" t="s">
        <v>41262</v>
      </c>
      <c r="C10182" s="2" t="s">
        <v>41262</v>
      </c>
      <c r="D10182" s="2" t="str">
        <f>"9703716446"</f>
        <v>9703716446</v>
      </c>
      <c r="E10182" s="2" t="s">
        <v>534</v>
      </c>
      <c r="F10182" s="2" t="s">
        <v>718</v>
      </c>
      <c r="G10182" s="2" t="str">
        <f>"SR-14237"</f>
        <v>SR-14237</v>
      </c>
      <c r="H10182" s="2" t="s">
        <v>719</v>
      </c>
      <c r="I10182" s="2" t="s">
        <v>41263</v>
      </c>
      <c r="K10182" s="2" t="s">
        <v>1756</v>
      </c>
      <c r="L10182" s="2" t="s">
        <v>157</v>
      </c>
      <c r="M10182" s="2">
        <v>80620.0</v>
      </c>
      <c r="N10182" s="2" t="s">
        <v>21</v>
      </c>
    </row>
    <row r="10183" ht="15.75" customHeight="1">
      <c r="A10183" s="2">
        <v>2018.0</v>
      </c>
      <c r="B10183" s="2" t="s">
        <v>32790</v>
      </c>
      <c r="C10183" s="2" t="s">
        <v>32791</v>
      </c>
      <c r="D10183" s="2" t="str">
        <f>"6017205496"</f>
        <v>6017205496</v>
      </c>
      <c r="E10183" s="2" t="s">
        <v>4501</v>
      </c>
      <c r="F10183" s="2" t="s">
        <v>21586</v>
      </c>
      <c r="G10183" s="2" t="str">
        <f>"SR-10653"</f>
        <v>SR-10653</v>
      </c>
      <c r="H10183" s="2" t="s">
        <v>22344</v>
      </c>
      <c r="I10183" s="2" t="s">
        <v>32792</v>
      </c>
      <c r="K10183" s="2" t="s">
        <v>11219</v>
      </c>
      <c r="L10183" s="2" t="s">
        <v>1722</v>
      </c>
      <c r="M10183" s="2">
        <v>39071.0</v>
      </c>
      <c r="N10183" s="2" t="s">
        <v>21</v>
      </c>
    </row>
    <row r="10184" ht="15.75" customHeight="1">
      <c r="A10184" s="2">
        <v>2018.0</v>
      </c>
      <c r="B10184" s="2" t="s">
        <v>41264</v>
      </c>
      <c r="C10184" s="2" t="s">
        <v>41265</v>
      </c>
      <c r="D10184" s="2" t="str">
        <f>"6366341329"</f>
        <v>6366341329</v>
      </c>
      <c r="E10184" s="2" t="s">
        <v>41266</v>
      </c>
      <c r="F10184" s="2" t="s">
        <v>34581</v>
      </c>
      <c r="G10184" s="2" t="str">
        <f>"SR-14251"</f>
        <v>SR-14251</v>
      </c>
      <c r="H10184" s="2" t="s">
        <v>41267</v>
      </c>
      <c r="I10184" s="2" t="s">
        <v>41268</v>
      </c>
      <c r="K10184" s="2" t="s">
        <v>682</v>
      </c>
      <c r="L10184" s="2" t="s">
        <v>157</v>
      </c>
      <c r="M10184" s="2">
        <v>80126.0</v>
      </c>
      <c r="N10184" s="2" t="s">
        <v>21</v>
      </c>
    </row>
    <row r="10185" ht="15.75" customHeight="1">
      <c r="A10185" s="2">
        <v>2018.0</v>
      </c>
      <c r="B10185" s="2" t="s">
        <v>19486</v>
      </c>
      <c r="C10185" s="2" t="s">
        <v>41269</v>
      </c>
      <c r="D10185" s="2" t="str">
        <f>"346-310-0916"</f>
        <v>346-310-0916</v>
      </c>
      <c r="E10185" s="2" t="s">
        <v>339</v>
      </c>
      <c r="F10185" s="2" t="s">
        <v>3842</v>
      </c>
      <c r="G10185" s="2" t="str">
        <f>"SR-14154"</f>
        <v>SR-14154</v>
      </c>
      <c r="H10185" s="2" t="s">
        <v>41270</v>
      </c>
      <c r="I10185" s="2" t="s">
        <v>41271</v>
      </c>
      <c r="K10185" s="2" t="s">
        <v>6499</v>
      </c>
      <c r="L10185" s="2" t="s">
        <v>172</v>
      </c>
      <c r="M10185" s="2">
        <v>77493.0</v>
      </c>
      <c r="N10185" s="2" t="s">
        <v>21</v>
      </c>
    </row>
    <row r="10186" ht="15.75" customHeight="1">
      <c r="A10186" s="2">
        <v>2018.0</v>
      </c>
      <c r="B10186" s="2" t="s">
        <v>41272</v>
      </c>
      <c r="C10186" s="2" t="s">
        <v>41273</v>
      </c>
      <c r="D10186" s="2" t="str">
        <f>"615-713-6487"</f>
        <v>615-713-6487</v>
      </c>
      <c r="E10186" s="2" t="s">
        <v>6170</v>
      </c>
      <c r="F10186" s="2" t="s">
        <v>1151</v>
      </c>
      <c r="G10186" s="2" t="str">
        <f>"SR-14267"</f>
        <v>SR-14267</v>
      </c>
      <c r="H10186" s="2" t="s">
        <v>41274</v>
      </c>
      <c r="I10186" s="2" t="s">
        <v>41275</v>
      </c>
      <c r="K10186" s="2" t="s">
        <v>3286</v>
      </c>
      <c r="L10186" s="2" t="s">
        <v>279</v>
      </c>
      <c r="M10186" s="2">
        <v>37055.0</v>
      </c>
      <c r="N10186" s="2" t="s">
        <v>21</v>
      </c>
    </row>
    <row r="10187" ht="15.75" customHeight="1">
      <c r="A10187" s="2">
        <v>2018.0</v>
      </c>
      <c r="B10187" s="2" t="s">
        <v>41276</v>
      </c>
      <c r="C10187" s="2" t="s">
        <v>41277</v>
      </c>
      <c r="D10187" s="2" t="str">
        <f>"417-593-6073"</f>
        <v>417-593-6073</v>
      </c>
      <c r="E10187" s="2" t="s">
        <v>41278</v>
      </c>
      <c r="F10187" s="2" t="s">
        <v>41279</v>
      </c>
      <c r="G10187" s="2" t="str">
        <f>"SR-14091"</f>
        <v>SR-14091</v>
      </c>
      <c r="H10187" s="2" t="s">
        <v>41280</v>
      </c>
      <c r="I10187" s="2" t="s">
        <v>41281</v>
      </c>
      <c r="K10187" s="2" t="s">
        <v>229</v>
      </c>
      <c r="L10187" s="2" t="s">
        <v>214</v>
      </c>
      <c r="M10187" s="2">
        <v>65775.0</v>
      </c>
      <c r="N10187" s="2" t="s">
        <v>21</v>
      </c>
    </row>
    <row r="10188" ht="15.75" customHeight="1">
      <c r="A10188" s="2">
        <v>2018.0</v>
      </c>
      <c r="B10188" s="2" t="s">
        <v>41282</v>
      </c>
      <c r="C10188" s="2" t="s">
        <v>41282</v>
      </c>
      <c r="D10188" s="2" t="str">
        <f>"865-336-0322"</f>
        <v>865-336-0322</v>
      </c>
      <c r="E10188" s="2" t="s">
        <v>678</v>
      </c>
      <c r="F10188" s="2" t="s">
        <v>41283</v>
      </c>
      <c r="G10188" s="2" t="str">
        <f>"SR-14254"</f>
        <v>SR-14254</v>
      </c>
      <c r="H10188" s="2" t="s">
        <v>41284</v>
      </c>
      <c r="I10188" s="2" t="s">
        <v>41285</v>
      </c>
      <c r="K10188" s="2" t="s">
        <v>22167</v>
      </c>
      <c r="L10188" s="2" t="s">
        <v>279</v>
      </c>
      <c r="M10188" s="2">
        <v>37803.0</v>
      </c>
      <c r="N10188" s="2" t="s">
        <v>21</v>
      </c>
    </row>
    <row r="10189" ht="15.75" customHeight="1">
      <c r="A10189" s="2">
        <v>2018.0</v>
      </c>
      <c r="B10189" s="2" t="s">
        <v>41286</v>
      </c>
      <c r="C10189" s="2" t="s">
        <v>41287</v>
      </c>
      <c r="D10189" s="2" t="str">
        <f>"7193519213"</f>
        <v>7193519213</v>
      </c>
      <c r="E10189" s="2" t="s">
        <v>6059</v>
      </c>
      <c r="F10189" s="2" t="s">
        <v>7730</v>
      </c>
      <c r="G10189" s="2" t="str">
        <f>"SR-14244"</f>
        <v>SR-14244</v>
      </c>
      <c r="H10189" s="2" t="s">
        <v>41288</v>
      </c>
      <c r="I10189" s="2" t="s">
        <v>41289</v>
      </c>
      <c r="K10189" s="2" t="s">
        <v>507</v>
      </c>
      <c r="L10189" s="2" t="s">
        <v>157</v>
      </c>
      <c r="M10189" s="2">
        <v>80132.0</v>
      </c>
      <c r="N10189" s="2" t="s">
        <v>21</v>
      </c>
    </row>
    <row r="10190" ht="15.75" customHeight="1">
      <c r="A10190" s="2">
        <v>2018.0</v>
      </c>
      <c r="B10190" s="2" t="s">
        <v>41286</v>
      </c>
      <c r="C10190" s="2" t="s">
        <v>41290</v>
      </c>
      <c r="D10190" s="2" t="str">
        <f>"303-898-7456"</f>
        <v>303-898-7456</v>
      </c>
      <c r="E10190" s="2" t="s">
        <v>562</v>
      </c>
      <c r="F10190" s="2" t="s">
        <v>7730</v>
      </c>
      <c r="G10190" s="2" t="str">
        <f>"SR-14243"</f>
        <v>SR-14243</v>
      </c>
      <c r="H10190" s="2" t="s">
        <v>8641</v>
      </c>
      <c r="I10190" s="2" t="s">
        <v>41289</v>
      </c>
      <c r="K10190" s="2" t="s">
        <v>507</v>
      </c>
      <c r="L10190" s="2" t="s">
        <v>157</v>
      </c>
      <c r="M10190" s="2">
        <v>80132.0</v>
      </c>
      <c r="N10190" s="2" t="s">
        <v>21</v>
      </c>
    </row>
    <row r="10191" ht="15.75" customHeight="1">
      <c r="A10191" s="2">
        <v>2018.0</v>
      </c>
      <c r="B10191" s="2" t="s">
        <v>41291</v>
      </c>
      <c r="C10191" s="2" t="s">
        <v>41291</v>
      </c>
      <c r="D10191" s="2" t="str">
        <f>"2565298547"</f>
        <v>2565298547</v>
      </c>
      <c r="E10191" s="2" t="s">
        <v>988</v>
      </c>
      <c r="F10191" s="2" t="s">
        <v>41292</v>
      </c>
      <c r="G10191" s="2" t="str">
        <f>"SR-14269"</f>
        <v>SR-14269</v>
      </c>
      <c r="H10191" s="2" t="s">
        <v>41293</v>
      </c>
      <c r="I10191" s="2" t="s">
        <v>41294</v>
      </c>
      <c r="K10191" s="2" t="s">
        <v>41295</v>
      </c>
      <c r="L10191" s="2" t="s">
        <v>539</v>
      </c>
      <c r="M10191" s="2">
        <v>35763.0</v>
      </c>
      <c r="N10191" s="2" t="s">
        <v>21</v>
      </c>
    </row>
    <row r="10192" ht="15.75" customHeight="1">
      <c r="A10192" s="2">
        <v>2018.0</v>
      </c>
      <c r="B10192" s="2" t="s">
        <v>41296</v>
      </c>
      <c r="C10192" s="2" t="s">
        <v>41296</v>
      </c>
      <c r="D10192" s="2" t="str">
        <f>"4238923516"</f>
        <v>4238923516</v>
      </c>
      <c r="E10192" s="2" t="s">
        <v>8039</v>
      </c>
      <c r="F10192" s="2" t="s">
        <v>41297</v>
      </c>
      <c r="G10192" s="2" t="str">
        <f>"SR-14275"</f>
        <v>SR-14275</v>
      </c>
      <c r="H10192" s="2" t="s">
        <v>41298</v>
      </c>
      <c r="I10192" s="2" t="s">
        <v>41299</v>
      </c>
      <c r="K10192" s="2" t="s">
        <v>3975</v>
      </c>
      <c r="L10192" s="2" t="s">
        <v>279</v>
      </c>
      <c r="M10192" s="2">
        <v>37421.0</v>
      </c>
      <c r="N10192" s="2" t="s">
        <v>21</v>
      </c>
    </row>
    <row r="10193" ht="15.75" customHeight="1">
      <c r="A10193" s="2">
        <v>2018.0</v>
      </c>
      <c r="B10193" s="2" t="s">
        <v>41300</v>
      </c>
      <c r="C10193" s="2" t="s">
        <v>41300</v>
      </c>
      <c r="D10193" s="2" t="str">
        <f>"8432915944"</f>
        <v>8432915944</v>
      </c>
      <c r="E10193" s="2" t="s">
        <v>3434</v>
      </c>
      <c r="F10193" s="2" t="s">
        <v>41301</v>
      </c>
      <c r="G10193" s="2" t="str">
        <f>"SR-14279"</f>
        <v>SR-14279</v>
      </c>
      <c r="H10193" s="2" t="s">
        <v>41302</v>
      </c>
      <c r="I10193" s="2" t="s">
        <v>41303</v>
      </c>
      <c r="K10193" s="2" t="s">
        <v>1932</v>
      </c>
      <c r="L10193" s="2" t="s">
        <v>55</v>
      </c>
      <c r="M10193" s="2">
        <v>29486.0</v>
      </c>
      <c r="N10193" s="2" t="s">
        <v>21</v>
      </c>
    </row>
    <row r="10194" ht="15.75" customHeight="1">
      <c r="A10194" s="2">
        <v>2018.0</v>
      </c>
      <c r="B10194" s="2" t="s">
        <v>41304</v>
      </c>
      <c r="C10194" s="2" t="s">
        <v>41305</v>
      </c>
      <c r="D10194" s="2" t="str">
        <f>"907-262-6798"</f>
        <v>907-262-6798</v>
      </c>
      <c r="E10194" s="2" t="s">
        <v>41306</v>
      </c>
      <c r="F10194" s="2" t="s">
        <v>1363</v>
      </c>
      <c r="G10194" s="2" t="str">
        <f>"SR-14273"</f>
        <v>SR-14273</v>
      </c>
      <c r="H10194" s="2" t="s">
        <v>41307</v>
      </c>
      <c r="I10194" s="2" t="s">
        <v>1365</v>
      </c>
      <c r="K10194" s="2" t="s">
        <v>1336</v>
      </c>
      <c r="L10194" s="2" t="s">
        <v>70</v>
      </c>
      <c r="M10194" s="2">
        <v>99669.0</v>
      </c>
      <c r="N10194" s="2" t="s">
        <v>21</v>
      </c>
    </row>
    <row r="10195" ht="15.75" customHeight="1">
      <c r="A10195" s="2">
        <v>2018.0</v>
      </c>
      <c r="B10195" s="2" t="s">
        <v>41308</v>
      </c>
      <c r="C10195" s="2" t="s">
        <v>41309</v>
      </c>
      <c r="D10195" s="2" t="str">
        <f>"214 563-0981"</f>
        <v>214 563-0981</v>
      </c>
      <c r="E10195" s="2" t="s">
        <v>41310</v>
      </c>
      <c r="F10195" s="2" t="s">
        <v>5637</v>
      </c>
      <c r="G10195" s="2" t="str">
        <f>"SR-14282"</f>
        <v>SR-14282</v>
      </c>
      <c r="H10195" s="2" t="s">
        <v>41311</v>
      </c>
      <c r="I10195" s="2" t="s">
        <v>41312</v>
      </c>
      <c r="K10195" s="2" t="s">
        <v>1255</v>
      </c>
      <c r="L10195" s="2" t="s">
        <v>172</v>
      </c>
      <c r="M10195" s="2">
        <v>75229.0</v>
      </c>
      <c r="N10195" s="2" t="s">
        <v>21</v>
      </c>
    </row>
    <row r="10196" ht="15.75" customHeight="1">
      <c r="A10196" s="2">
        <v>2018.0</v>
      </c>
      <c r="B10196" s="2" t="s">
        <v>41313</v>
      </c>
      <c r="C10196" s="2" t="s">
        <v>41314</v>
      </c>
      <c r="D10196" s="2" t="str">
        <f>"3178343018"</f>
        <v>3178343018</v>
      </c>
      <c r="E10196" s="2" t="s">
        <v>580</v>
      </c>
      <c r="F10196" s="2" t="s">
        <v>5248</v>
      </c>
      <c r="G10196" s="2" t="str">
        <f>"SR-14283"</f>
        <v>SR-14283</v>
      </c>
      <c r="H10196" s="2" t="s">
        <v>41315</v>
      </c>
      <c r="I10196" s="2" t="s">
        <v>41316</v>
      </c>
      <c r="K10196" s="2" t="s">
        <v>3464</v>
      </c>
      <c r="L10196" s="2" t="s">
        <v>149</v>
      </c>
      <c r="M10196" s="2">
        <v>46158.0</v>
      </c>
      <c r="N10196" s="2" t="s">
        <v>21</v>
      </c>
    </row>
    <row r="10197" ht="15.75" customHeight="1">
      <c r="A10197" s="2">
        <v>2018.0</v>
      </c>
      <c r="B10197" s="2" t="s">
        <v>41317</v>
      </c>
      <c r="C10197" s="2" t="s">
        <v>41318</v>
      </c>
      <c r="D10197" s="2" t="str">
        <f>"4047477232"</f>
        <v>4047477232</v>
      </c>
      <c r="E10197" s="2" t="s">
        <v>596</v>
      </c>
      <c r="F10197" s="2" t="s">
        <v>41319</v>
      </c>
      <c r="G10197" s="2" t="str">
        <f>"SR-14289"</f>
        <v>SR-14289</v>
      </c>
      <c r="H10197" s="2" t="s">
        <v>41320</v>
      </c>
      <c r="I10197" s="2" t="s">
        <v>41321</v>
      </c>
      <c r="K10197" s="2" t="s">
        <v>18294</v>
      </c>
      <c r="L10197" s="2" t="s">
        <v>200</v>
      </c>
      <c r="M10197" s="2">
        <v>30265.0</v>
      </c>
      <c r="N10197" s="2" t="s">
        <v>21</v>
      </c>
    </row>
    <row r="10198" ht="15.75" customHeight="1">
      <c r="A10198" s="2">
        <v>2018.0</v>
      </c>
      <c r="B10198" s="2" t="s">
        <v>41322</v>
      </c>
      <c r="C10198" s="2" t="s">
        <v>41322</v>
      </c>
      <c r="D10198" s="2" t="str">
        <f>"6614872129"</f>
        <v>6614872129</v>
      </c>
      <c r="E10198" s="2" t="s">
        <v>2083</v>
      </c>
      <c r="F10198" s="2" t="s">
        <v>6532</v>
      </c>
      <c r="G10198" s="2" t="str">
        <f>"SR-14295"</f>
        <v>SR-14295</v>
      </c>
      <c r="H10198" s="2" t="s">
        <v>41323</v>
      </c>
      <c r="I10198" s="2" t="s">
        <v>41324</v>
      </c>
      <c r="K10198" s="2" t="s">
        <v>11198</v>
      </c>
      <c r="L10198" s="2" t="s">
        <v>222</v>
      </c>
      <c r="M10198" s="2">
        <v>99314.0</v>
      </c>
      <c r="N10198" s="2" t="s">
        <v>21</v>
      </c>
    </row>
    <row r="10199" ht="15.75" customHeight="1">
      <c r="A10199" s="2">
        <v>2018.0</v>
      </c>
      <c r="B10199" s="2" t="s">
        <v>25283</v>
      </c>
      <c r="C10199" s="2" t="s">
        <v>41325</v>
      </c>
      <c r="D10199" s="2" t="str">
        <f>"2149802523"</f>
        <v>2149802523</v>
      </c>
      <c r="E10199" s="2" t="s">
        <v>41326</v>
      </c>
      <c r="F10199" s="2" t="s">
        <v>25286</v>
      </c>
      <c r="G10199" s="2" t="str">
        <f>"SR-14062"</f>
        <v>SR-14062</v>
      </c>
      <c r="H10199" s="2" t="s">
        <v>41327</v>
      </c>
      <c r="I10199" s="2" t="s">
        <v>41328</v>
      </c>
      <c r="K10199" s="2" t="s">
        <v>5011</v>
      </c>
      <c r="L10199" s="2" t="s">
        <v>172</v>
      </c>
      <c r="M10199" s="2">
        <v>75035.0</v>
      </c>
      <c r="N10199" s="2" t="s">
        <v>21</v>
      </c>
    </row>
    <row r="10200" ht="15.75" customHeight="1">
      <c r="A10200" s="2">
        <v>2018.0</v>
      </c>
      <c r="B10200" s="2" t="s">
        <v>41329</v>
      </c>
      <c r="C10200" s="2" t="s">
        <v>41330</v>
      </c>
      <c r="D10200" s="2" t="str">
        <f>"202-657-8822"</f>
        <v>202-657-8822</v>
      </c>
      <c r="E10200" s="2" t="s">
        <v>4769</v>
      </c>
      <c r="F10200" s="2" t="s">
        <v>1864</v>
      </c>
      <c r="G10200" s="2" t="str">
        <f>"SR-13991"</f>
        <v>SR-13991</v>
      </c>
      <c r="H10200" s="2" t="s">
        <v>41331</v>
      </c>
      <c r="I10200" s="2" t="s">
        <v>1866</v>
      </c>
      <c r="K10200" s="2" t="s">
        <v>1867</v>
      </c>
      <c r="L10200" s="2" t="s">
        <v>1868</v>
      </c>
      <c r="M10200" s="2">
        <v>20705.0</v>
      </c>
      <c r="N10200" s="2" t="s">
        <v>21</v>
      </c>
    </row>
    <row r="10201" ht="15.75" customHeight="1">
      <c r="A10201" s="2">
        <v>2018.0</v>
      </c>
      <c r="B10201" s="2" t="s">
        <v>23371</v>
      </c>
      <c r="C10201" s="2" t="s">
        <v>41332</v>
      </c>
      <c r="D10201" s="2" t="str">
        <f>"719-227-1655"</f>
        <v>719-227-1655</v>
      </c>
      <c r="E10201" s="2" t="s">
        <v>705</v>
      </c>
      <c r="F10201" s="2" t="s">
        <v>2429</v>
      </c>
      <c r="G10201" s="2" t="str">
        <f>"SR-13997"</f>
        <v>SR-13997</v>
      </c>
      <c r="H10201" s="2" t="s">
        <v>24333</v>
      </c>
      <c r="I10201" s="2" t="s">
        <v>41333</v>
      </c>
      <c r="K10201" s="2" t="s">
        <v>6998</v>
      </c>
      <c r="L10201" s="2" t="s">
        <v>157</v>
      </c>
      <c r="M10201" s="2">
        <v>80829.0</v>
      </c>
      <c r="N10201" s="2" t="s">
        <v>21</v>
      </c>
    </row>
    <row r="10202" ht="15.75" customHeight="1">
      <c r="A10202" s="2">
        <v>2018.0</v>
      </c>
      <c r="B10202" s="2" t="s">
        <v>41334</v>
      </c>
      <c r="C10202" s="2" t="s">
        <v>41334</v>
      </c>
      <c r="D10202" s="2" t="str">
        <f>"6158565558"</f>
        <v>6158565558</v>
      </c>
      <c r="E10202" s="2" t="s">
        <v>41335</v>
      </c>
      <c r="F10202" s="2" t="s">
        <v>41336</v>
      </c>
      <c r="G10202" s="2" t="str">
        <f>"SR-14236"</f>
        <v>SR-14236</v>
      </c>
      <c r="H10202" s="2" t="s">
        <v>41337</v>
      </c>
      <c r="I10202" s="2" t="s">
        <v>41338</v>
      </c>
      <c r="K10202" s="2" t="s">
        <v>3286</v>
      </c>
      <c r="L10202" s="2" t="s">
        <v>279</v>
      </c>
      <c r="M10202" s="2">
        <v>37055.0</v>
      </c>
      <c r="N10202" s="2" t="s">
        <v>21</v>
      </c>
    </row>
    <row r="10203" ht="15.75" customHeight="1">
      <c r="A10203" s="2">
        <v>2018.0</v>
      </c>
      <c r="B10203" s="2" t="s">
        <v>41339</v>
      </c>
      <c r="C10203" s="2" t="s">
        <v>41340</v>
      </c>
      <c r="D10203" s="2" t="str">
        <f>"717-856-0600"</f>
        <v>717-856-0600</v>
      </c>
      <c r="E10203" s="2" t="s">
        <v>7123</v>
      </c>
      <c r="F10203" s="2" t="s">
        <v>3231</v>
      </c>
      <c r="G10203" s="2" t="str">
        <f>"SR-14208"</f>
        <v>SR-14208</v>
      </c>
      <c r="H10203" s="2" t="s">
        <v>41341</v>
      </c>
      <c r="I10203" s="2" t="s">
        <v>41342</v>
      </c>
      <c r="K10203" s="2" t="s">
        <v>1759</v>
      </c>
      <c r="L10203" s="2" t="s">
        <v>1012</v>
      </c>
      <c r="M10203" s="2">
        <v>72227.0</v>
      </c>
      <c r="N10203" s="2" t="s">
        <v>21</v>
      </c>
    </row>
    <row r="10204" ht="15.75" customHeight="1">
      <c r="A10204" s="2">
        <v>2018.0</v>
      </c>
      <c r="B10204" s="2" t="s">
        <v>41343</v>
      </c>
      <c r="C10204" s="2" t="s">
        <v>41343</v>
      </c>
      <c r="D10204" s="2" t="str">
        <f>"9054640042"</f>
        <v>9054640042</v>
      </c>
      <c r="E10204" s="2" t="s">
        <v>13609</v>
      </c>
      <c r="F10204" s="2" t="s">
        <v>41344</v>
      </c>
      <c r="G10204" s="2" t="str">
        <f>"SR-14293"</f>
        <v>SR-14293</v>
      </c>
      <c r="H10204" s="2" t="s">
        <v>41345</v>
      </c>
      <c r="I10204" s="2" t="s">
        <v>41346</v>
      </c>
      <c r="K10204" s="2" t="s">
        <v>34250</v>
      </c>
      <c r="L10204" s="2" t="s">
        <v>2015</v>
      </c>
      <c r="M10204" s="2" t="s">
        <v>41347</v>
      </c>
      <c r="N10204" s="2" t="s">
        <v>1602</v>
      </c>
    </row>
    <row r="10205" ht="15.75" customHeight="1">
      <c r="A10205" s="2">
        <v>2018.0</v>
      </c>
      <c r="B10205" s="2" t="s">
        <v>41348</v>
      </c>
      <c r="C10205" s="2" t="s">
        <v>41349</v>
      </c>
      <c r="D10205" s="2" t="str">
        <f>"5704901570"</f>
        <v>5704901570</v>
      </c>
      <c r="E10205" s="2" t="s">
        <v>13107</v>
      </c>
      <c r="F10205" s="2" t="s">
        <v>41350</v>
      </c>
      <c r="G10205" s="2" t="str">
        <f>"SR-14302"</f>
        <v>SR-14302</v>
      </c>
      <c r="H10205" s="2" t="s">
        <v>41351</v>
      </c>
      <c r="I10205" s="2" t="s">
        <v>41352</v>
      </c>
      <c r="K10205" s="2" t="s">
        <v>41353</v>
      </c>
      <c r="L10205" s="2" t="s">
        <v>179</v>
      </c>
      <c r="M10205" s="2">
        <v>17801.0</v>
      </c>
      <c r="N10205" s="2" t="s">
        <v>21</v>
      </c>
    </row>
    <row r="10206" ht="15.75" customHeight="1">
      <c r="A10206" s="2">
        <v>2018.0</v>
      </c>
      <c r="B10206" s="2" t="s">
        <v>41354</v>
      </c>
      <c r="C10206" s="2" t="s">
        <v>41355</v>
      </c>
      <c r="D10206" s="2" t="str">
        <f>"281-782-7429"</f>
        <v>281-782-7429</v>
      </c>
      <c r="E10206" s="2" t="s">
        <v>471</v>
      </c>
      <c r="F10206" s="2" t="s">
        <v>41356</v>
      </c>
      <c r="G10206" s="2" t="str">
        <f>"SR-14011"</f>
        <v>SR-14011</v>
      </c>
      <c r="H10206" s="2" t="s">
        <v>41357</v>
      </c>
      <c r="I10206" s="2" t="s">
        <v>41358</v>
      </c>
      <c r="K10206" s="2" t="s">
        <v>538</v>
      </c>
      <c r="L10206" s="2" t="s">
        <v>172</v>
      </c>
      <c r="M10206" s="2">
        <v>77316.0</v>
      </c>
      <c r="N10206" s="2" t="s">
        <v>21</v>
      </c>
    </row>
    <row r="10207" ht="15.75" customHeight="1">
      <c r="A10207" s="2">
        <v>2018.0</v>
      </c>
      <c r="B10207" s="2" t="s">
        <v>37235</v>
      </c>
      <c r="C10207" s="2" t="s">
        <v>37235</v>
      </c>
      <c r="D10207" s="2" t="str">
        <f>"8326285133"</f>
        <v>8326285133</v>
      </c>
      <c r="E10207" s="2" t="s">
        <v>37236</v>
      </c>
      <c r="F10207" s="2" t="s">
        <v>5105</v>
      </c>
      <c r="G10207" s="2" t="str">
        <f>"SR-12033"</f>
        <v>SR-12033</v>
      </c>
      <c r="H10207" s="2" t="s">
        <v>37237</v>
      </c>
      <c r="I10207" s="2" t="s">
        <v>37238</v>
      </c>
      <c r="K10207" s="2" t="s">
        <v>22621</v>
      </c>
      <c r="L10207" s="2" t="s">
        <v>172</v>
      </c>
      <c r="M10207" s="2">
        <v>77583.0</v>
      </c>
      <c r="N10207" s="2" t="s">
        <v>21</v>
      </c>
    </row>
    <row r="10208" ht="15.75" customHeight="1">
      <c r="A10208" s="2">
        <v>2018.0</v>
      </c>
      <c r="B10208" s="2" t="s">
        <v>41359</v>
      </c>
      <c r="C10208" s="2" t="s">
        <v>41360</v>
      </c>
      <c r="D10208" s="2" t="str">
        <f>"3368348244"</f>
        <v>3368348244</v>
      </c>
      <c r="E10208" s="2" t="s">
        <v>955</v>
      </c>
      <c r="F10208" s="2" t="s">
        <v>1101</v>
      </c>
      <c r="G10208" s="2" t="str">
        <f>"SR-14308"</f>
        <v>SR-14308</v>
      </c>
      <c r="H10208" s="2" t="s">
        <v>19020</v>
      </c>
      <c r="I10208" s="2" t="s">
        <v>41361</v>
      </c>
      <c r="K10208" s="2" t="s">
        <v>7609</v>
      </c>
      <c r="L10208" s="2" t="s">
        <v>20</v>
      </c>
      <c r="M10208" s="2">
        <v>27265.0</v>
      </c>
      <c r="N10208" s="2" t="s">
        <v>21</v>
      </c>
    </row>
    <row r="10209" ht="15.75" customHeight="1">
      <c r="A10209" s="2">
        <v>2018.0</v>
      </c>
      <c r="B10209" s="2" t="s">
        <v>41362</v>
      </c>
      <c r="C10209" s="2" t="s">
        <v>41363</v>
      </c>
      <c r="D10209" s="2" t="str">
        <f>"336-553-8053"</f>
        <v>336-553-8053</v>
      </c>
      <c r="E10209" s="2" t="s">
        <v>975</v>
      </c>
      <c r="F10209" s="2" t="s">
        <v>9392</v>
      </c>
      <c r="G10209" s="2" t="str">
        <f>"SR-14309"</f>
        <v>SR-14309</v>
      </c>
      <c r="H10209" s="2" t="s">
        <v>41364</v>
      </c>
      <c r="I10209" s="2" t="s">
        <v>9394</v>
      </c>
      <c r="K10209" s="2" t="s">
        <v>5837</v>
      </c>
      <c r="L10209" s="2" t="s">
        <v>20</v>
      </c>
      <c r="M10209" s="2">
        <v>27407.0</v>
      </c>
      <c r="N10209" s="2" t="s">
        <v>21</v>
      </c>
    </row>
    <row r="10210" ht="15.75" customHeight="1">
      <c r="A10210" s="2">
        <v>2018.0</v>
      </c>
      <c r="B10210" s="2" t="s">
        <v>41365</v>
      </c>
      <c r="C10210" s="2" t="s">
        <v>41366</v>
      </c>
      <c r="D10210" s="2" t="str">
        <f>"8326436102"</f>
        <v>8326436102</v>
      </c>
      <c r="E10210" s="2" t="s">
        <v>2167</v>
      </c>
      <c r="F10210" s="2" t="s">
        <v>41367</v>
      </c>
      <c r="G10210" s="2" t="str">
        <f>"SR-14288"</f>
        <v>SR-14288</v>
      </c>
      <c r="H10210" s="2" t="s">
        <v>41368</v>
      </c>
      <c r="I10210" s="2" t="s">
        <v>41369</v>
      </c>
      <c r="K10210" s="2" t="s">
        <v>3524</v>
      </c>
      <c r="L10210" s="2" t="s">
        <v>172</v>
      </c>
      <c r="M10210" s="2">
        <v>77546.0</v>
      </c>
      <c r="N10210" s="2" t="s">
        <v>21</v>
      </c>
    </row>
    <row r="10211" ht="15.75" customHeight="1">
      <c r="A10211" s="2">
        <v>2018.0</v>
      </c>
      <c r="B10211" s="2" t="s">
        <v>41370</v>
      </c>
      <c r="C10211" s="2" t="s">
        <v>41371</v>
      </c>
      <c r="D10211" s="2" t="str">
        <f>"7192161000"</f>
        <v>7192161000</v>
      </c>
      <c r="E10211" s="2" t="s">
        <v>12491</v>
      </c>
      <c r="F10211" s="2" t="s">
        <v>41372</v>
      </c>
      <c r="G10211" s="2" t="str">
        <f>"SR-14318"</f>
        <v>SR-14318</v>
      </c>
      <c r="H10211" s="2" t="s">
        <v>41373</v>
      </c>
      <c r="I10211" s="2" t="s">
        <v>41374</v>
      </c>
      <c r="K10211" s="2" t="s">
        <v>809</v>
      </c>
      <c r="L10211" s="2" t="s">
        <v>157</v>
      </c>
      <c r="M10211" s="2">
        <v>80921.0</v>
      </c>
      <c r="N10211" s="2" t="s">
        <v>21</v>
      </c>
    </row>
    <row r="10212" ht="15.75" customHeight="1">
      <c r="A10212" s="2">
        <v>2018.0</v>
      </c>
      <c r="B10212" s="2" t="s">
        <v>41375</v>
      </c>
      <c r="C10212" s="2" t="s">
        <v>41376</v>
      </c>
      <c r="D10212" s="2" t="str">
        <f>"520-546-2277"</f>
        <v>520-546-2277</v>
      </c>
      <c r="E10212" s="2" t="s">
        <v>261</v>
      </c>
      <c r="F10212" s="2" t="s">
        <v>256</v>
      </c>
      <c r="G10212" s="2" t="str">
        <f>"SR-14315"</f>
        <v>SR-14315</v>
      </c>
      <c r="H10212" s="2" t="s">
        <v>10192</v>
      </c>
      <c r="I10212" s="2" t="s">
        <v>41377</v>
      </c>
      <c r="K10212" s="2" t="s">
        <v>5946</v>
      </c>
      <c r="L10212" s="2" t="s">
        <v>422</v>
      </c>
      <c r="M10212" s="2">
        <v>85749.0</v>
      </c>
      <c r="N10212" s="2" t="s">
        <v>21</v>
      </c>
    </row>
    <row r="10213" ht="15.75" customHeight="1">
      <c r="A10213" s="2">
        <v>2018.0</v>
      </c>
      <c r="B10213" s="2" t="s">
        <v>41378</v>
      </c>
      <c r="C10213" s="2" t="s">
        <v>41379</v>
      </c>
      <c r="D10213" s="2" t="str">
        <f>"806-445-1605"</f>
        <v>806-445-1605</v>
      </c>
      <c r="E10213" s="2" t="s">
        <v>10706</v>
      </c>
      <c r="F10213" s="2" t="s">
        <v>5962</v>
      </c>
      <c r="G10213" s="2" t="str">
        <f>"SR-14325"</f>
        <v>SR-14325</v>
      </c>
      <c r="H10213" s="2" t="s">
        <v>41380</v>
      </c>
      <c r="I10213" s="2" t="s">
        <v>41381</v>
      </c>
      <c r="K10213" s="2" t="s">
        <v>1121</v>
      </c>
      <c r="L10213" s="2" t="s">
        <v>172</v>
      </c>
      <c r="M10213" s="2">
        <v>79424.0</v>
      </c>
      <c r="N10213" s="2" t="s">
        <v>21</v>
      </c>
    </row>
    <row r="10214" ht="15.75" customHeight="1">
      <c r="A10214" s="2">
        <v>2018.0</v>
      </c>
      <c r="B10214" s="2" t="s">
        <v>41382</v>
      </c>
      <c r="C10214" s="2" t="s">
        <v>41382</v>
      </c>
      <c r="D10214" s="2" t="str">
        <f>"850-619-2087"</f>
        <v>850-619-2087</v>
      </c>
      <c r="E10214" s="2" t="s">
        <v>13281</v>
      </c>
      <c r="F10214" s="2" t="s">
        <v>8255</v>
      </c>
      <c r="G10214" s="2" t="str">
        <f>"SR-14312"</f>
        <v>SR-14312</v>
      </c>
      <c r="H10214" s="2" t="s">
        <v>41383</v>
      </c>
      <c r="I10214" s="2" t="s">
        <v>41384</v>
      </c>
      <c r="K10214" s="2" t="s">
        <v>22425</v>
      </c>
      <c r="L10214" s="2" t="s">
        <v>208</v>
      </c>
      <c r="M10214" s="2">
        <v>32504.0</v>
      </c>
      <c r="N10214" s="2" t="s">
        <v>21</v>
      </c>
    </row>
    <row r="10215" ht="15.75" customHeight="1">
      <c r="A10215" s="2">
        <v>2018.0</v>
      </c>
      <c r="B10215" s="2" t="s">
        <v>34891</v>
      </c>
      <c r="D10215" s="2" t="str">
        <f>""</f>
        <v/>
      </c>
      <c r="E10215" s="2" t="s">
        <v>6937</v>
      </c>
      <c r="F10215" s="2" t="s">
        <v>34892</v>
      </c>
      <c r="G10215" s="2" t="str">
        <f>"SR-13719"</f>
        <v>SR-13719</v>
      </c>
      <c r="H10215" s="2" t="s">
        <v>41385</v>
      </c>
    </row>
    <row r="10216" ht="15.75" customHeight="1">
      <c r="A10216" s="2">
        <v>2018.0</v>
      </c>
      <c r="B10216" s="2" t="s">
        <v>41386</v>
      </c>
      <c r="C10216" s="2" t="s">
        <v>41387</v>
      </c>
      <c r="D10216" s="2" t="str">
        <f>"2085732020"</f>
        <v>2085732020</v>
      </c>
      <c r="E10216" s="2" t="s">
        <v>1389</v>
      </c>
      <c r="F10216" s="2" t="s">
        <v>41388</v>
      </c>
      <c r="G10216" s="2" t="str">
        <f>"SR-13999"</f>
        <v>SR-13999</v>
      </c>
      <c r="H10216" s="2" t="s">
        <v>41389</v>
      </c>
      <c r="I10216" s="2" t="s">
        <v>41390</v>
      </c>
      <c r="K10216" s="2" t="s">
        <v>41391</v>
      </c>
      <c r="L10216" s="2" t="s">
        <v>2613</v>
      </c>
      <c r="M10216" s="2">
        <v>83616.0</v>
      </c>
      <c r="N10216" s="2" t="s">
        <v>21</v>
      </c>
    </row>
    <row r="10217" ht="15.75" customHeight="1">
      <c r="A10217" s="2">
        <v>2018.0</v>
      </c>
      <c r="B10217" s="2" t="s">
        <v>41392</v>
      </c>
      <c r="C10217" s="2" t="s">
        <v>41392</v>
      </c>
      <c r="D10217" s="2" t="str">
        <f>"3258122497"</f>
        <v>3258122497</v>
      </c>
      <c r="E10217" s="2" t="s">
        <v>41393</v>
      </c>
      <c r="F10217" s="2" t="s">
        <v>950</v>
      </c>
      <c r="G10217" s="2" t="str">
        <f>"SR-14337"</f>
        <v>SR-14337</v>
      </c>
      <c r="H10217" s="2" t="s">
        <v>41394</v>
      </c>
      <c r="I10217" s="2" t="s">
        <v>41395</v>
      </c>
      <c r="K10217" s="2" t="s">
        <v>4279</v>
      </c>
      <c r="L10217" s="2" t="s">
        <v>172</v>
      </c>
      <c r="M10217" s="2">
        <v>76904.0</v>
      </c>
      <c r="N10217" s="2" t="s">
        <v>21</v>
      </c>
    </row>
    <row r="10218" ht="15.75" customHeight="1">
      <c r="A10218" s="2">
        <v>2018.0</v>
      </c>
      <c r="B10218" s="2" t="s">
        <v>41396</v>
      </c>
      <c r="C10218" s="2" t="s">
        <v>41397</v>
      </c>
      <c r="D10218" s="2" t="str">
        <f>"7122993661"</f>
        <v>7122993661</v>
      </c>
      <c r="E10218" s="2" t="s">
        <v>2912</v>
      </c>
      <c r="F10218" s="2" t="s">
        <v>37220</v>
      </c>
      <c r="G10218" s="2" t="str">
        <f>"SR-14333"</f>
        <v>SR-14333</v>
      </c>
      <c r="H10218" s="2" t="s">
        <v>41398</v>
      </c>
      <c r="I10218" s="2" t="s">
        <v>41399</v>
      </c>
      <c r="K10218" s="2" t="s">
        <v>8673</v>
      </c>
      <c r="L10218" s="2" t="s">
        <v>560</v>
      </c>
      <c r="M10218" s="2">
        <v>50588.0</v>
      </c>
      <c r="N10218" s="2" t="s">
        <v>21</v>
      </c>
    </row>
    <row r="10219" ht="15.75" customHeight="1">
      <c r="A10219" s="2">
        <v>2018.0</v>
      </c>
      <c r="B10219" s="2" t="s">
        <v>41400</v>
      </c>
      <c r="C10219" s="2" t="s">
        <v>41401</v>
      </c>
      <c r="D10219" s="2" t="str">
        <f>"214-517-9558"</f>
        <v>214-517-9558</v>
      </c>
      <c r="E10219" s="2" t="s">
        <v>29586</v>
      </c>
      <c r="F10219" s="2" t="s">
        <v>2429</v>
      </c>
      <c r="G10219" s="2" t="str">
        <f>"SR-14339"</f>
        <v>SR-14339</v>
      </c>
      <c r="H10219" s="2" t="s">
        <v>41402</v>
      </c>
      <c r="I10219" s="2" t="s">
        <v>41403</v>
      </c>
      <c r="K10219" s="2" t="s">
        <v>2643</v>
      </c>
      <c r="L10219" s="2" t="s">
        <v>172</v>
      </c>
      <c r="M10219" s="2">
        <v>75028.0</v>
      </c>
      <c r="N10219" s="2" t="s">
        <v>21</v>
      </c>
    </row>
    <row r="10220" ht="15.75" customHeight="1">
      <c r="A10220" s="2">
        <v>2018.0</v>
      </c>
      <c r="B10220" s="2" t="s">
        <v>41404</v>
      </c>
      <c r="C10220" s="2" t="s">
        <v>41405</v>
      </c>
      <c r="D10220" s="2" t="str">
        <f>"6012783169"</f>
        <v>6012783169</v>
      </c>
      <c r="E10220" s="2" t="s">
        <v>7476</v>
      </c>
      <c r="F10220" s="2" t="s">
        <v>41406</v>
      </c>
      <c r="G10220" s="2" t="str">
        <f>"SR-14187"</f>
        <v>SR-14187</v>
      </c>
      <c r="H10220" s="2" t="s">
        <v>41407</v>
      </c>
      <c r="I10220" s="2" t="s">
        <v>41408</v>
      </c>
      <c r="K10220" s="2" t="s">
        <v>2147</v>
      </c>
      <c r="L10220" s="2" t="s">
        <v>1722</v>
      </c>
      <c r="M10220" s="2">
        <v>39047.0</v>
      </c>
      <c r="N10220" s="2" t="s">
        <v>21</v>
      </c>
    </row>
    <row r="10221" ht="15.75" customHeight="1">
      <c r="A10221" s="2">
        <v>2018.0</v>
      </c>
      <c r="B10221" s="2" t="s">
        <v>41409</v>
      </c>
      <c r="C10221" s="2" t="s">
        <v>41410</v>
      </c>
      <c r="D10221" s="2" t="str">
        <f>"9032168458"</f>
        <v>9032168458</v>
      </c>
      <c r="E10221" s="2" t="s">
        <v>9672</v>
      </c>
      <c r="F10221" s="2" t="s">
        <v>41411</v>
      </c>
      <c r="G10221" s="2" t="str">
        <f>"SR-14328"</f>
        <v>SR-14328</v>
      </c>
      <c r="H10221" s="2" t="s">
        <v>41412</v>
      </c>
      <c r="I10221" s="2" t="s">
        <v>41413</v>
      </c>
      <c r="K10221" s="2" t="s">
        <v>41414</v>
      </c>
      <c r="M10221" s="2">
        <v>646.0</v>
      </c>
      <c r="N10221" s="2" t="s">
        <v>31541</v>
      </c>
    </row>
    <row r="10222" ht="15.75" customHeight="1">
      <c r="A10222" s="2">
        <v>2018.0</v>
      </c>
      <c r="B10222" s="2" t="s">
        <v>41415</v>
      </c>
      <c r="C10222" s="2" t="s">
        <v>41415</v>
      </c>
      <c r="D10222" s="2" t="str">
        <f>"7249676386"</f>
        <v>7249676386</v>
      </c>
      <c r="E10222" s="2" t="s">
        <v>41416</v>
      </c>
      <c r="F10222" s="2" t="s">
        <v>16749</v>
      </c>
      <c r="G10222" s="2" t="str">
        <f>"SR-13581"</f>
        <v>SR-13581</v>
      </c>
      <c r="H10222" s="2" t="s">
        <v>41417</v>
      </c>
      <c r="I10222" s="2" t="s">
        <v>41418</v>
      </c>
      <c r="K10222" s="2" t="s">
        <v>41419</v>
      </c>
      <c r="L10222" s="2" t="s">
        <v>179</v>
      </c>
      <c r="M10222" s="2">
        <v>16127.0</v>
      </c>
      <c r="N10222" s="2" t="s">
        <v>21</v>
      </c>
    </row>
    <row r="10223" ht="15.75" customHeight="1">
      <c r="A10223" s="2">
        <v>2018.0</v>
      </c>
      <c r="B10223" s="2" t="s">
        <v>41420</v>
      </c>
      <c r="C10223" s="2" t="s">
        <v>41421</v>
      </c>
      <c r="D10223" s="2" t="str">
        <f>"8654061770"</f>
        <v>8654061770</v>
      </c>
      <c r="E10223" s="2" t="s">
        <v>977</v>
      </c>
      <c r="F10223" s="2" t="s">
        <v>41422</v>
      </c>
      <c r="G10223" s="2" t="str">
        <f>"SR-14313"</f>
        <v>SR-14313</v>
      </c>
      <c r="H10223" s="2" t="s">
        <v>41423</v>
      </c>
      <c r="I10223" s="2" t="s">
        <v>41424</v>
      </c>
      <c r="K10223" s="2" t="s">
        <v>22167</v>
      </c>
      <c r="L10223" s="2" t="s">
        <v>279</v>
      </c>
      <c r="M10223" s="2">
        <v>37801.0</v>
      </c>
      <c r="N10223" s="2" t="s">
        <v>21</v>
      </c>
    </row>
    <row r="10224" ht="15.75" customHeight="1">
      <c r="A10224" s="2">
        <v>2018.0</v>
      </c>
      <c r="B10224" s="2" t="s">
        <v>41425</v>
      </c>
      <c r="C10224" s="2" t="s">
        <v>41426</v>
      </c>
      <c r="D10224" s="2" t="str">
        <f>"8177713298"</f>
        <v>8177713298</v>
      </c>
      <c r="E10224" s="2" t="s">
        <v>2361</v>
      </c>
      <c r="F10224" s="2" t="s">
        <v>41427</v>
      </c>
      <c r="G10224" s="2" t="str">
        <f>"SR-14145"</f>
        <v>SR-14145</v>
      </c>
      <c r="H10224" s="2" t="s">
        <v>41428</v>
      </c>
      <c r="I10224" s="2" t="s">
        <v>41429</v>
      </c>
      <c r="K10224" s="2" t="s">
        <v>41430</v>
      </c>
      <c r="L10224" s="2" t="s">
        <v>172</v>
      </c>
      <c r="M10224" s="2">
        <v>76066.0</v>
      </c>
      <c r="N10224" s="2" t="s">
        <v>21</v>
      </c>
    </row>
    <row r="10225" ht="15.75" customHeight="1">
      <c r="A10225" s="2">
        <v>2018.0</v>
      </c>
      <c r="B10225" s="2" t="s">
        <v>41431</v>
      </c>
      <c r="C10225" s="2" t="s">
        <v>41432</v>
      </c>
      <c r="D10225" s="2" t="str">
        <f>"770-545-3335"</f>
        <v>770-545-3335</v>
      </c>
      <c r="E10225" s="2" t="s">
        <v>1257</v>
      </c>
      <c r="F10225" s="2" t="s">
        <v>41433</v>
      </c>
      <c r="G10225" s="2" t="str">
        <f>"SR-14344"</f>
        <v>SR-14344</v>
      </c>
      <c r="H10225" s="2" t="s">
        <v>41434</v>
      </c>
      <c r="I10225" s="2" t="s">
        <v>41435</v>
      </c>
      <c r="K10225" s="2" t="s">
        <v>41436</v>
      </c>
      <c r="L10225" s="2" t="s">
        <v>200</v>
      </c>
      <c r="M10225" s="2">
        <v>30043.0</v>
      </c>
      <c r="N10225" s="2" t="s">
        <v>21</v>
      </c>
    </row>
    <row r="10226" ht="15.75" customHeight="1">
      <c r="A10226" s="2">
        <v>2018.0</v>
      </c>
      <c r="B10226" s="2" t="s">
        <v>41437</v>
      </c>
      <c r="C10226" s="2" t="s">
        <v>41438</v>
      </c>
      <c r="D10226" s="2" t="str">
        <f>"8482544600"</f>
        <v>8482544600</v>
      </c>
      <c r="E10226" s="2" t="s">
        <v>1208</v>
      </c>
      <c r="F10226" s="2" t="s">
        <v>25721</v>
      </c>
      <c r="G10226" s="2" t="str">
        <f>"SR-14299"</f>
        <v>SR-14299</v>
      </c>
      <c r="H10226" s="2" t="s">
        <v>41439</v>
      </c>
      <c r="I10226" s="2" t="s">
        <v>41440</v>
      </c>
      <c r="K10226" s="2" t="s">
        <v>41441</v>
      </c>
      <c r="L10226" s="2" t="s">
        <v>3618</v>
      </c>
      <c r="M10226" s="2">
        <v>7734.0</v>
      </c>
      <c r="N10226" s="2" t="s">
        <v>21</v>
      </c>
    </row>
    <row r="10227" ht="15.75" customHeight="1">
      <c r="A10227" s="2">
        <v>2018.0</v>
      </c>
      <c r="B10227" s="2" t="s">
        <v>41442</v>
      </c>
      <c r="C10227" s="2" t="s">
        <v>41442</v>
      </c>
      <c r="D10227" s="2" t="str">
        <f>"423-316-1251"</f>
        <v>423-316-1251</v>
      </c>
      <c r="E10227" s="2" t="s">
        <v>1022</v>
      </c>
      <c r="F10227" s="2" t="s">
        <v>14694</v>
      </c>
      <c r="G10227" s="2" t="str">
        <f>"SR-14207"</f>
        <v>SR-14207</v>
      </c>
      <c r="H10227" s="2" t="s">
        <v>41443</v>
      </c>
      <c r="I10227" s="2" t="s">
        <v>41444</v>
      </c>
      <c r="K10227" s="2" t="s">
        <v>23449</v>
      </c>
      <c r="L10227" s="2" t="s">
        <v>279</v>
      </c>
      <c r="M10227" s="2">
        <v>37343.0</v>
      </c>
      <c r="N10227" s="2" t="s">
        <v>21</v>
      </c>
    </row>
    <row r="10228" ht="15.75" customHeight="1">
      <c r="A10228" s="2">
        <v>2018.0</v>
      </c>
      <c r="B10228" s="2" t="s">
        <v>41445</v>
      </c>
      <c r="C10228" s="2" t="s">
        <v>41445</v>
      </c>
      <c r="D10228" s="2" t="str">
        <f>"706-676-7000"</f>
        <v>706-676-7000</v>
      </c>
      <c r="E10228" s="2" t="s">
        <v>41446</v>
      </c>
      <c r="F10228" s="2" t="s">
        <v>41447</v>
      </c>
      <c r="G10228" s="2" t="str">
        <f>"SR-14350"</f>
        <v>SR-14350</v>
      </c>
      <c r="H10228" s="2" t="s">
        <v>41448</v>
      </c>
      <c r="I10228" s="2" t="s">
        <v>41449</v>
      </c>
      <c r="K10228" s="2" t="s">
        <v>22278</v>
      </c>
      <c r="L10228" s="2" t="s">
        <v>200</v>
      </c>
      <c r="M10228" s="2">
        <v>30161.0</v>
      </c>
      <c r="N10228" s="2" t="s">
        <v>21</v>
      </c>
    </row>
    <row r="10229" ht="15.75" customHeight="1">
      <c r="A10229" s="2">
        <v>2018.0</v>
      </c>
      <c r="B10229" s="2" t="s">
        <v>41450</v>
      </c>
      <c r="C10229" s="2" t="s">
        <v>41451</v>
      </c>
      <c r="D10229" s="2" t="str">
        <f>"785-764-6177"</f>
        <v>785-764-6177</v>
      </c>
      <c r="E10229" s="2" t="s">
        <v>4224</v>
      </c>
      <c r="F10229" s="2" t="s">
        <v>41452</v>
      </c>
      <c r="G10229" s="2" t="str">
        <f>"SR-13758"</f>
        <v>SR-13758</v>
      </c>
      <c r="H10229" s="2" t="s">
        <v>41453</v>
      </c>
      <c r="I10229" s="2" t="s">
        <v>41454</v>
      </c>
      <c r="J10229" s="2" t="s">
        <v>41455</v>
      </c>
      <c r="K10229" s="2" t="s">
        <v>572</v>
      </c>
      <c r="L10229" s="2" t="s">
        <v>757</v>
      </c>
      <c r="M10229" s="2">
        <v>68504.0</v>
      </c>
      <c r="N10229" s="2" t="s">
        <v>21</v>
      </c>
    </row>
    <row r="10230" ht="15.75" customHeight="1">
      <c r="A10230" s="2">
        <v>2018.0</v>
      </c>
      <c r="B10230" s="2" t="s">
        <v>41456</v>
      </c>
      <c r="C10230" s="2" t="s">
        <v>41456</v>
      </c>
      <c r="D10230" s="2" t="str">
        <f>"6154231389"</f>
        <v>6154231389</v>
      </c>
      <c r="E10230" s="2" t="s">
        <v>6937</v>
      </c>
      <c r="F10230" s="2" t="s">
        <v>41457</v>
      </c>
      <c r="G10230" s="2" t="str">
        <f>"SR-14196"</f>
        <v>SR-14196</v>
      </c>
      <c r="H10230" s="2" t="s">
        <v>41458</v>
      </c>
      <c r="I10230" s="2" t="s">
        <v>41459</v>
      </c>
      <c r="K10230" s="2" t="s">
        <v>12405</v>
      </c>
      <c r="L10230" s="2" t="s">
        <v>279</v>
      </c>
      <c r="M10230" s="2">
        <v>37128.0</v>
      </c>
      <c r="N10230" s="2" t="s">
        <v>21</v>
      </c>
    </row>
    <row r="10231" ht="15.75" customHeight="1">
      <c r="A10231" s="2">
        <v>2018.0</v>
      </c>
      <c r="B10231" s="2" t="s">
        <v>41460</v>
      </c>
      <c r="C10231" s="2" t="s">
        <v>41461</v>
      </c>
      <c r="D10231" s="2" t="str">
        <f>"6152009165"</f>
        <v>6152009165</v>
      </c>
      <c r="E10231" s="2" t="s">
        <v>1483</v>
      </c>
      <c r="F10231" s="2" t="s">
        <v>41462</v>
      </c>
      <c r="G10231" s="2" t="str">
        <f>"SR-14303"</f>
        <v>SR-14303</v>
      </c>
      <c r="H10231" s="2" t="s">
        <v>41463</v>
      </c>
      <c r="I10231" s="2" t="s">
        <v>41464</v>
      </c>
      <c r="K10231" s="2" t="s">
        <v>14304</v>
      </c>
      <c r="L10231" s="2" t="s">
        <v>279</v>
      </c>
      <c r="M10231" s="2">
        <v>37135.0</v>
      </c>
      <c r="N10231" s="2" t="s">
        <v>21</v>
      </c>
    </row>
    <row r="10232" ht="15.75" customHeight="1">
      <c r="A10232" s="2">
        <v>2018.0</v>
      </c>
      <c r="B10232" s="2" t="s">
        <v>41465</v>
      </c>
      <c r="C10232" s="2" t="s">
        <v>41465</v>
      </c>
      <c r="D10232" s="2" t="str">
        <f>"6187710143"</f>
        <v>6187710143</v>
      </c>
      <c r="E10232" s="2" t="s">
        <v>15298</v>
      </c>
      <c r="F10232" s="2" t="s">
        <v>41466</v>
      </c>
      <c r="G10232" s="2" t="str">
        <f>"SR-14224"</f>
        <v>SR-14224</v>
      </c>
      <c r="H10232" s="2" t="s">
        <v>41467</v>
      </c>
      <c r="I10232" s="2" t="s">
        <v>41468</v>
      </c>
      <c r="K10232" s="2" t="s">
        <v>41469</v>
      </c>
      <c r="L10232" s="2" t="s">
        <v>105</v>
      </c>
      <c r="M10232" s="2">
        <v>62908.0</v>
      </c>
      <c r="N10232" s="2" t="s">
        <v>21</v>
      </c>
    </row>
    <row r="10233" ht="15.75" customHeight="1">
      <c r="A10233" s="2">
        <v>2018.0</v>
      </c>
      <c r="B10233" s="2" t="s">
        <v>41470</v>
      </c>
      <c r="C10233" s="2" t="s">
        <v>41470</v>
      </c>
      <c r="D10233" s="2" t="str">
        <f>"7316088484"</f>
        <v>7316088484</v>
      </c>
      <c r="E10233" s="2" t="s">
        <v>41471</v>
      </c>
      <c r="F10233" s="2" t="s">
        <v>41472</v>
      </c>
      <c r="G10233" s="2" t="str">
        <f>"SR-14199"</f>
        <v>SR-14199</v>
      </c>
      <c r="H10233" s="2" t="s">
        <v>41473</v>
      </c>
      <c r="I10233" s="2" t="s">
        <v>41474</v>
      </c>
      <c r="K10233" s="2" t="s">
        <v>1257</v>
      </c>
      <c r="L10233" s="2" t="s">
        <v>279</v>
      </c>
      <c r="M10233" s="2">
        <v>38305.0</v>
      </c>
      <c r="N10233" s="2" t="s">
        <v>21</v>
      </c>
    </row>
    <row r="10234" ht="15.75" customHeight="1">
      <c r="A10234" s="2">
        <v>2018.0</v>
      </c>
      <c r="B10234" s="2" t="s">
        <v>41475</v>
      </c>
      <c r="C10234" s="2" t="s">
        <v>41475</v>
      </c>
      <c r="D10234" s="2" t="str">
        <f>"6154409308"</f>
        <v>6154409308</v>
      </c>
      <c r="E10234" s="2" t="s">
        <v>250</v>
      </c>
      <c r="F10234" s="2" t="s">
        <v>26572</v>
      </c>
      <c r="G10234" s="2" t="str">
        <f>"SR-14262"</f>
        <v>SR-14262</v>
      </c>
      <c r="H10234" s="2" t="s">
        <v>41476</v>
      </c>
      <c r="I10234" s="2" t="s">
        <v>41477</v>
      </c>
      <c r="K10234" s="2" t="s">
        <v>9868</v>
      </c>
      <c r="L10234" s="2" t="s">
        <v>279</v>
      </c>
      <c r="M10234" s="2">
        <v>37027.0</v>
      </c>
      <c r="N10234" s="2" t="s">
        <v>21</v>
      </c>
    </row>
    <row r="10235" ht="15.75" customHeight="1">
      <c r="A10235" s="2">
        <v>2018.0</v>
      </c>
      <c r="B10235" s="2" t="s">
        <v>41478</v>
      </c>
      <c r="C10235" s="2" t="s">
        <v>41478</v>
      </c>
      <c r="D10235" s="2" t="str">
        <f>"7196400357"</f>
        <v>7196400357</v>
      </c>
      <c r="E10235" s="2" t="s">
        <v>14036</v>
      </c>
      <c r="F10235" s="2" t="s">
        <v>19752</v>
      </c>
      <c r="G10235" s="2" t="str">
        <f>"SR-14228"</f>
        <v>SR-14228</v>
      </c>
      <c r="H10235" s="2" t="s">
        <v>41479</v>
      </c>
      <c r="I10235" s="2" t="s">
        <v>41480</v>
      </c>
      <c r="K10235" s="2" t="s">
        <v>111</v>
      </c>
      <c r="L10235" s="2" t="s">
        <v>272</v>
      </c>
      <c r="M10235" s="2">
        <v>66968.0</v>
      </c>
      <c r="N10235" s="2" t="s">
        <v>21</v>
      </c>
    </row>
    <row r="10236" ht="15.75" customHeight="1">
      <c r="A10236" s="2">
        <v>2018.0</v>
      </c>
      <c r="B10236" s="2" t="s">
        <v>41481</v>
      </c>
      <c r="C10236" s="2" t="s">
        <v>41482</v>
      </c>
      <c r="D10236" s="2" t="str">
        <f>"949-705-7799"</f>
        <v>949-705-7799</v>
      </c>
      <c r="E10236" s="2" t="s">
        <v>16875</v>
      </c>
      <c r="F10236" s="2" t="s">
        <v>41483</v>
      </c>
      <c r="G10236" s="2" t="str">
        <f>"SR-14343"</f>
        <v>SR-14343</v>
      </c>
      <c r="H10236" s="2" t="s">
        <v>41484</v>
      </c>
      <c r="I10236" s="2" t="s">
        <v>41485</v>
      </c>
      <c r="K10236" s="2" t="s">
        <v>3065</v>
      </c>
      <c r="L10236" s="2" t="s">
        <v>222</v>
      </c>
      <c r="M10236" s="2">
        <v>92688.0</v>
      </c>
      <c r="N10236" s="2" t="s">
        <v>21</v>
      </c>
    </row>
    <row r="10237" ht="15.75" customHeight="1">
      <c r="A10237" s="2">
        <v>2018.0</v>
      </c>
      <c r="B10237" s="2" t="s">
        <v>41486</v>
      </c>
      <c r="C10237" s="2" t="s">
        <v>41486</v>
      </c>
      <c r="D10237" s="2" t="str">
        <f>"214 505 3354"</f>
        <v>214 505 3354</v>
      </c>
      <c r="E10237" s="2" t="s">
        <v>1434</v>
      </c>
      <c r="F10237" s="2" t="s">
        <v>3762</v>
      </c>
      <c r="G10237" s="2" t="str">
        <f>"SR-14034"</f>
        <v>SR-14034</v>
      </c>
      <c r="H10237" s="2" t="s">
        <v>41487</v>
      </c>
      <c r="I10237" s="2" t="s">
        <v>3764</v>
      </c>
      <c r="K10237" s="2" t="s">
        <v>1255</v>
      </c>
      <c r="L10237" s="2" t="s">
        <v>172</v>
      </c>
      <c r="M10237" s="2">
        <v>75214.0</v>
      </c>
      <c r="N10237" s="2" t="s">
        <v>21</v>
      </c>
    </row>
    <row r="10238" ht="15.75" customHeight="1">
      <c r="A10238" s="2">
        <v>2018.0</v>
      </c>
      <c r="B10238" s="2" t="s">
        <v>36916</v>
      </c>
      <c r="C10238" s="2" t="s">
        <v>36964</v>
      </c>
      <c r="D10238" s="2" t="str">
        <f>"347.653.8713"</f>
        <v>347.653.8713</v>
      </c>
      <c r="E10238" s="2" t="s">
        <v>36965</v>
      </c>
      <c r="F10238" s="2" t="s">
        <v>36918</v>
      </c>
      <c r="G10238" s="2" t="str">
        <f>"SR-7215"</f>
        <v>SR-7215</v>
      </c>
      <c r="H10238" s="2" t="s">
        <v>36966</v>
      </c>
      <c r="I10238" s="2" t="s">
        <v>36920</v>
      </c>
      <c r="J10238" s="2" t="s">
        <v>36921</v>
      </c>
      <c r="K10238" s="2" t="s">
        <v>36922</v>
      </c>
      <c r="L10238" s="2" t="s">
        <v>142</v>
      </c>
      <c r="M10238" s="2">
        <v>11692.0</v>
      </c>
      <c r="N10238" s="2" t="s">
        <v>21</v>
      </c>
    </row>
    <row r="10239" ht="15.75" customHeight="1">
      <c r="A10239" s="2">
        <v>2018.0</v>
      </c>
      <c r="B10239" s="2" t="s">
        <v>41488</v>
      </c>
      <c r="C10239" s="2" t="s">
        <v>41489</v>
      </c>
      <c r="D10239" s="2" t="str">
        <f>"281 655-4134"</f>
        <v>281 655-4134</v>
      </c>
      <c r="E10239" s="2" t="s">
        <v>12973</v>
      </c>
      <c r="F10239" s="2" t="s">
        <v>11388</v>
      </c>
      <c r="G10239" s="2" t="str">
        <f>"SR-14366"</f>
        <v>SR-14366</v>
      </c>
      <c r="H10239" s="2" t="s">
        <v>41490</v>
      </c>
      <c r="I10239" s="2" t="s">
        <v>41491</v>
      </c>
      <c r="K10239" s="2" t="s">
        <v>5855</v>
      </c>
      <c r="L10239" s="2" t="s">
        <v>172</v>
      </c>
      <c r="M10239" s="2">
        <v>77379.0</v>
      </c>
      <c r="N10239" s="2" t="s">
        <v>21</v>
      </c>
    </row>
    <row r="10240" ht="15.75" customHeight="1">
      <c r="A10240" s="2">
        <v>2018.0</v>
      </c>
      <c r="B10240" s="2" t="s">
        <v>41492</v>
      </c>
      <c r="C10240" s="2" t="s">
        <v>41492</v>
      </c>
      <c r="D10240" s="2" t="str">
        <f>"(731) 676-9900"</f>
        <v>(731) 676-9900</v>
      </c>
      <c r="E10240" s="2" t="s">
        <v>1702</v>
      </c>
      <c r="F10240" s="2" t="s">
        <v>1150</v>
      </c>
      <c r="G10240" s="2" t="str">
        <f>"SR-14371"</f>
        <v>SR-14371</v>
      </c>
      <c r="H10240" s="2" t="s">
        <v>41493</v>
      </c>
      <c r="I10240" s="2" t="s">
        <v>41494</v>
      </c>
      <c r="K10240" s="2" t="s">
        <v>41495</v>
      </c>
      <c r="L10240" s="2" t="s">
        <v>279</v>
      </c>
      <c r="M10240" s="2">
        <v>38024.0</v>
      </c>
      <c r="N10240" s="2" t="s">
        <v>21</v>
      </c>
    </row>
    <row r="10241" ht="15.75" customHeight="1">
      <c r="A10241" s="2">
        <v>2018.0</v>
      </c>
      <c r="B10241" s="2" t="s">
        <v>41496</v>
      </c>
      <c r="C10241" s="2" t="s">
        <v>41497</v>
      </c>
      <c r="D10241" s="2" t="str">
        <f>"541 210 4099"</f>
        <v>541 210 4099</v>
      </c>
      <c r="E10241" s="2" t="s">
        <v>2752</v>
      </c>
      <c r="F10241" s="2" t="s">
        <v>30740</v>
      </c>
      <c r="G10241" s="2" t="str">
        <f>"SR-14369"</f>
        <v>SR-14369</v>
      </c>
      <c r="H10241" s="2" t="s">
        <v>41498</v>
      </c>
      <c r="I10241" s="2" t="s">
        <v>41499</v>
      </c>
      <c r="K10241" s="2" t="s">
        <v>22936</v>
      </c>
      <c r="L10241" s="2" t="s">
        <v>2389</v>
      </c>
      <c r="M10241" s="2">
        <v>97504.0</v>
      </c>
      <c r="N10241" s="2" t="s">
        <v>21</v>
      </c>
    </row>
    <row r="10242" ht="15.75" customHeight="1">
      <c r="A10242" s="2">
        <v>2018.0</v>
      </c>
      <c r="B10242" s="2" t="s">
        <v>41496</v>
      </c>
      <c r="C10242" s="2" t="s">
        <v>41500</v>
      </c>
      <c r="D10242" s="2" t="str">
        <f>"5412104099"</f>
        <v>5412104099</v>
      </c>
      <c r="E10242" s="2" t="s">
        <v>590</v>
      </c>
      <c r="F10242" s="2" t="s">
        <v>30740</v>
      </c>
      <c r="G10242" s="2" t="str">
        <f>"SR-14359"</f>
        <v>SR-14359</v>
      </c>
      <c r="H10242" s="2" t="s">
        <v>41501</v>
      </c>
      <c r="I10242" s="2" t="s">
        <v>41499</v>
      </c>
      <c r="K10242" s="2" t="s">
        <v>22936</v>
      </c>
      <c r="L10242" s="2" t="s">
        <v>2389</v>
      </c>
      <c r="M10242" s="2">
        <v>97504.0</v>
      </c>
      <c r="N10242" s="2" t="s">
        <v>21</v>
      </c>
    </row>
    <row r="10243" ht="15.75" customHeight="1">
      <c r="A10243" s="2">
        <v>2018.0</v>
      </c>
      <c r="B10243" s="2" t="s">
        <v>41502</v>
      </c>
      <c r="C10243" s="2" t="s">
        <v>41503</v>
      </c>
      <c r="D10243" s="2" t="str">
        <f>"609-864-6795"</f>
        <v>609-864-6795</v>
      </c>
      <c r="E10243" s="2" t="s">
        <v>705</v>
      </c>
      <c r="F10243" s="2" t="s">
        <v>41504</v>
      </c>
      <c r="G10243" s="2" t="str">
        <f>"SR-14327"</f>
        <v>SR-14327</v>
      </c>
      <c r="H10243" s="2" t="s">
        <v>41505</v>
      </c>
      <c r="I10243" s="2" t="s">
        <v>41506</v>
      </c>
      <c r="K10243" s="2" t="s">
        <v>31402</v>
      </c>
      <c r="L10243" s="2" t="s">
        <v>3618</v>
      </c>
      <c r="M10243" s="2">
        <v>8691.0</v>
      </c>
      <c r="N10243" s="2" t="s">
        <v>21</v>
      </c>
    </row>
    <row r="10244" ht="15.75" customHeight="1">
      <c r="A10244" s="2">
        <v>2018.0</v>
      </c>
      <c r="B10244" s="2" t="s">
        <v>32989</v>
      </c>
      <c r="C10244" s="2" t="s">
        <v>32989</v>
      </c>
      <c r="D10244" s="2" t="str">
        <f>"205-706-6272"</f>
        <v>205-706-6272</v>
      </c>
      <c r="E10244" s="2" t="s">
        <v>3878</v>
      </c>
      <c r="F10244" s="2" t="s">
        <v>32990</v>
      </c>
      <c r="G10244" s="2" t="str">
        <f>"SR-10735"</f>
        <v>SR-10735</v>
      </c>
      <c r="H10244" s="2" t="s">
        <v>32991</v>
      </c>
      <c r="I10244" s="2" t="s">
        <v>32992</v>
      </c>
      <c r="K10244" s="2" t="s">
        <v>404</v>
      </c>
      <c r="L10244" s="2" t="s">
        <v>165</v>
      </c>
      <c r="M10244" s="2">
        <v>22310.0</v>
      </c>
      <c r="N10244" s="2" t="s">
        <v>21</v>
      </c>
    </row>
    <row r="10245" ht="15.75" customHeight="1">
      <c r="A10245" s="2">
        <v>2018.0</v>
      </c>
      <c r="B10245" s="2" t="s">
        <v>41507</v>
      </c>
      <c r="C10245" s="2" t="s">
        <v>41508</v>
      </c>
      <c r="D10245" s="2" t="str">
        <f>"7276569561"</f>
        <v>7276569561</v>
      </c>
      <c r="E10245" s="2" t="s">
        <v>4968</v>
      </c>
      <c r="F10245" s="2" t="s">
        <v>41509</v>
      </c>
      <c r="G10245" s="2" t="str">
        <f>"SR-14383"</f>
        <v>SR-14383</v>
      </c>
      <c r="H10245" s="2" t="s">
        <v>41510</v>
      </c>
      <c r="I10245" s="2" t="s">
        <v>41511</v>
      </c>
      <c r="K10245" s="2" t="s">
        <v>414</v>
      </c>
      <c r="L10245" s="2" t="s">
        <v>208</v>
      </c>
      <c r="M10245" s="2">
        <v>33773.0</v>
      </c>
      <c r="N10245" s="2" t="s">
        <v>21</v>
      </c>
    </row>
    <row r="10246" ht="15.75" customHeight="1">
      <c r="A10246" s="2">
        <v>2018.0</v>
      </c>
      <c r="B10246" s="2" t="s">
        <v>41512</v>
      </c>
      <c r="C10246" s="2" t="s">
        <v>41513</v>
      </c>
      <c r="D10246" s="2" t="str">
        <f>"270-401-8142"</f>
        <v>270-401-8142</v>
      </c>
      <c r="E10246" s="2" t="s">
        <v>119</v>
      </c>
      <c r="F10246" s="2" t="s">
        <v>2174</v>
      </c>
      <c r="G10246" s="2" t="str">
        <f>"SR-14357"</f>
        <v>SR-14357</v>
      </c>
      <c r="H10246" s="2" t="s">
        <v>41514</v>
      </c>
      <c r="I10246" s="2" t="s">
        <v>41515</v>
      </c>
      <c r="K10246" s="2" t="s">
        <v>1133</v>
      </c>
      <c r="L10246" s="2" t="s">
        <v>1236</v>
      </c>
      <c r="M10246" s="2">
        <v>42740.0</v>
      </c>
      <c r="N10246" s="2" t="s">
        <v>21</v>
      </c>
    </row>
    <row r="10247" ht="15.75" customHeight="1">
      <c r="A10247" s="2">
        <v>2018.0</v>
      </c>
      <c r="B10247" s="2" t="s">
        <v>12104</v>
      </c>
      <c r="C10247" s="2" t="s">
        <v>41516</v>
      </c>
      <c r="D10247" s="2" t="str">
        <f>"803-215-7440"</f>
        <v>803-215-7440</v>
      </c>
      <c r="E10247" s="2" t="s">
        <v>2378</v>
      </c>
      <c r="F10247" s="2" t="s">
        <v>12105</v>
      </c>
      <c r="G10247" s="2" t="str">
        <f>"SR-13205"</f>
        <v>SR-13205</v>
      </c>
      <c r="H10247" s="2" t="s">
        <v>41517</v>
      </c>
      <c r="I10247" s="2" t="s">
        <v>41518</v>
      </c>
      <c r="K10247" s="2" t="s">
        <v>13414</v>
      </c>
      <c r="L10247" s="2" t="s">
        <v>200</v>
      </c>
      <c r="M10247" s="2">
        <v>30082.0</v>
      </c>
      <c r="N10247" s="2" t="s">
        <v>21</v>
      </c>
    </row>
    <row r="10248" ht="15.75" customHeight="1">
      <c r="A10248" s="2">
        <v>2018.0</v>
      </c>
      <c r="B10248" s="2" t="s">
        <v>41519</v>
      </c>
      <c r="C10248" s="2" t="s">
        <v>41519</v>
      </c>
      <c r="D10248" s="2" t="str">
        <f>"907-230-6708"</f>
        <v>907-230-6708</v>
      </c>
      <c r="E10248" s="2" t="s">
        <v>11986</v>
      </c>
      <c r="F10248" s="2" t="s">
        <v>41520</v>
      </c>
      <c r="G10248" s="2" t="str">
        <f>"SR-14377"</f>
        <v>SR-14377</v>
      </c>
      <c r="H10248" s="2" t="s">
        <v>41521</v>
      </c>
      <c r="I10248" s="2" t="s">
        <v>41522</v>
      </c>
      <c r="K10248" s="2" t="s">
        <v>1336</v>
      </c>
      <c r="L10248" s="2" t="s">
        <v>70</v>
      </c>
      <c r="M10248" s="2">
        <v>99669.0</v>
      </c>
      <c r="N10248" s="2" t="s">
        <v>21</v>
      </c>
    </row>
    <row r="10249" ht="15.75" customHeight="1">
      <c r="A10249" s="2">
        <v>2018.0</v>
      </c>
      <c r="B10249" s="2" t="s">
        <v>41523</v>
      </c>
      <c r="C10249" s="2" t="s">
        <v>41524</v>
      </c>
      <c r="D10249" s="2" t="str">
        <f>"615-812-3330"</f>
        <v>615-812-3330</v>
      </c>
      <c r="E10249" s="2" t="s">
        <v>167</v>
      </c>
      <c r="F10249" s="2" t="s">
        <v>41525</v>
      </c>
      <c r="G10249" s="2" t="str">
        <f>"SR-14391"</f>
        <v>SR-14391</v>
      </c>
      <c r="H10249" s="2" t="s">
        <v>41526</v>
      </c>
      <c r="I10249" s="2" t="s">
        <v>41527</v>
      </c>
      <c r="J10249" s="2" t="s">
        <v>41528</v>
      </c>
      <c r="K10249" s="2" t="s">
        <v>9868</v>
      </c>
      <c r="L10249" s="2" t="s">
        <v>279</v>
      </c>
      <c r="M10249" s="2">
        <v>37027.0</v>
      </c>
      <c r="N10249" s="2" t="s">
        <v>21</v>
      </c>
    </row>
    <row r="10250" ht="15.75" customHeight="1">
      <c r="A10250" s="2">
        <v>2018.0</v>
      </c>
      <c r="B10250" s="2" t="s">
        <v>41529</v>
      </c>
      <c r="D10250" s="2" t="str">
        <f>""</f>
        <v/>
      </c>
      <c r="E10250" s="2" t="s">
        <v>9985</v>
      </c>
      <c r="F10250" s="2" t="s">
        <v>41530</v>
      </c>
      <c r="G10250" s="2" t="str">
        <f>"SR-14348"</f>
        <v>SR-14348</v>
      </c>
      <c r="H10250" s="2" t="s">
        <v>41531</v>
      </c>
      <c r="N10250" s="2" t="s">
        <v>21</v>
      </c>
    </row>
    <row r="10251" ht="15.75" customHeight="1">
      <c r="A10251" s="2">
        <v>2018.0</v>
      </c>
      <c r="B10251" s="2" t="s">
        <v>41532</v>
      </c>
      <c r="C10251" s="2" t="s">
        <v>41533</v>
      </c>
      <c r="D10251" s="2" t="str">
        <f>"8702733675"</f>
        <v>8702733675</v>
      </c>
      <c r="E10251" s="2" t="s">
        <v>24251</v>
      </c>
      <c r="F10251" s="2" t="s">
        <v>275</v>
      </c>
      <c r="G10251" s="2" t="str">
        <f>"SR-13936"</f>
        <v>SR-13936</v>
      </c>
      <c r="H10251" s="2" t="s">
        <v>41534</v>
      </c>
      <c r="I10251" s="2" t="s">
        <v>41535</v>
      </c>
      <c r="K10251" s="2" t="s">
        <v>4250</v>
      </c>
      <c r="L10251" s="2" t="s">
        <v>1012</v>
      </c>
      <c r="M10251" s="2">
        <v>72404.0</v>
      </c>
      <c r="N10251" s="2" t="s">
        <v>21</v>
      </c>
    </row>
    <row r="10252" ht="15.75" customHeight="1">
      <c r="A10252" s="2">
        <v>2018.0</v>
      </c>
      <c r="B10252" s="2" t="s">
        <v>41532</v>
      </c>
      <c r="C10252" s="2" t="s">
        <v>41536</v>
      </c>
      <c r="D10252" s="2" t="str">
        <f>"(870) 819-1332"</f>
        <v>(870) 819-1332</v>
      </c>
      <c r="E10252" s="2" t="s">
        <v>453</v>
      </c>
      <c r="F10252" s="2" t="s">
        <v>275</v>
      </c>
      <c r="G10252" s="2" t="str">
        <f>"SR-14394"</f>
        <v>SR-14394</v>
      </c>
      <c r="H10252" s="2" t="s">
        <v>41537</v>
      </c>
      <c r="I10252" s="2" t="s">
        <v>41535</v>
      </c>
      <c r="K10252" s="2" t="s">
        <v>4250</v>
      </c>
      <c r="L10252" s="2" t="s">
        <v>1012</v>
      </c>
      <c r="M10252" s="2">
        <v>72404.0</v>
      </c>
      <c r="N10252" s="2" t="s">
        <v>21</v>
      </c>
    </row>
    <row r="10253" ht="15.75" customHeight="1">
      <c r="A10253" s="2">
        <v>2018.0</v>
      </c>
      <c r="B10253" s="2" t="s">
        <v>41538</v>
      </c>
      <c r="C10253" s="2" t="s">
        <v>41538</v>
      </c>
      <c r="D10253" s="2" t="str">
        <f>"423-271-0927"</f>
        <v>423-271-0927</v>
      </c>
      <c r="E10253" s="2" t="s">
        <v>41539</v>
      </c>
      <c r="F10253" s="2" t="s">
        <v>41530</v>
      </c>
      <c r="G10253" s="2" t="str">
        <f>"SR-14349"</f>
        <v>SR-14349</v>
      </c>
      <c r="H10253" s="2" t="s">
        <v>41540</v>
      </c>
      <c r="I10253" s="2" t="s">
        <v>41541</v>
      </c>
      <c r="K10253" s="2" t="s">
        <v>185</v>
      </c>
      <c r="L10253" s="2" t="s">
        <v>279</v>
      </c>
      <c r="M10253" s="2">
        <v>37329.0</v>
      </c>
      <c r="N10253" s="2" t="s">
        <v>21</v>
      </c>
    </row>
    <row r="10254" ht="15.75" customHeight="1">
      <c r="A10254" s="2">
        <v>2018.0</v>
      </c>
      <c r="B10254" s="2" t="s">
        <v>41542</v>
      </c>
      <c r="C10254" s="2" t="s">
        <v>41543</v>
      </c>
      <c r="D10254" s="2" t="str">
        <f>"4173212115"</f>
        <v>4173212115</v>
      </c>
      <c r="E10254" s="2" t="s">
        <v>3305</v>
      </c>
      <c r="F10254" s="2" t="s">
        <v>24289</v>
      </c>
      <c r="G10254" s="2" t="str">
        <f>"SR-14041"</f>
        <v>SR-14041</v>
      </c>
      <c r="H10254" s="2" t="s">
        <v>41544</v>
      </c>
      <c r="I10254" s="2" t="s">
        <v>41545</v>
      </c>
      <c r="K10254" s="2" t="s">
        <v>9343</v>
      </c>
      <c r="L10254" s="2" t="s">
        <v>214</v>
      </c>
      <c r="M10254" s="2">
        <v>64772.0</v>
      </c>
      <c r="N10254" s="2" t="s">
        <v>21</v>
      </c>
    </row>
    <row r="10255" ht="15.75" customHeight="1">
      <c r="A10255" s="2">
        <v>2018.0</v>
      </c>
      <c r="B10255" s="2" t="s">
        <v>41546</v>
      </c>
      <c r="C10255" s="2" t="s">
        <v>41546</v>
      </c>
      <c r="D10255" s="2" t="str">
        <f>"9402088387"</f>
        <v>9402088387</v>
      </c>
      <c r="E10255" s="2" t="s">
        <v>41547</v>
      </c>
      <c r="F10255" s="2" t="s">
        <v>41548</v>
      </c>
      <c r="G10255" s="2" t="str">
        <f>"SR-14341"</f>
        <v>SR-14341</v>
      </c>
      <c r="H10255" s="2" t="s">
        <v>41549</v>
      </c>
      <c r="I10255" s="2" t="s">
        <v>41550</v>
      </c>
      <c r="K10255" s="2" t="s">
        <v>18128</v>
      </c>
      <c r="L10255" s="2" t="s">
        <v>172</v>
      </c>
      <c r="M10255" s="2">
        <v>76226.0</v>
      </c>
      <c r="N10255" s="2" t="s">
        <v>21</v>
      </c>
    </row>
    <row r="10256" ht="15.75" customHeight="1">
      <c r="A10256" s="2">
        <v>2018.0</v>
      </c>
      <c r="B10256" s="2" t="s">
        <v>41551</v>
      </c>
      <c r="C10256" s="2" t="s">
        <v>41551</v>
      </c>
      <c r="D10256" s="2" t="str">
        <f>"3193250805"</f>
        <v>3193250805</v>
      </c>
      <c r="E10256" s="2" t="s">
        <v>41552</v>
      </c>
      <c r="F10256" s="2" t="s">
        <v>41553</v>
      </c>
      <c r="G10256" s="2" t="str">
        <f>"SR-14225"</f>
        <v>SR-14225</v>
      </c>
      <c r="H10256" s="2" t="s">
        <v>41554</v>
      </c>
      <c r="I10256" s="2" t="s">
        <v>41555</v>
      </c>
      <c r="K10256" s="2" t="s">
        <v>20234</v>
      </c>
      <c r="L10256" s="2" t="s">
        <v>560</v>
      </c>
      <c r="M10256" s="2">
        <v>52325.0</v>
      </c>
      <c r="N10256" s="2" t="s">
        <v>21</v>
      </c>
    </row>
    <row r="10257" ht="15.75" customHeight="1">
      <c r="A10257" s="2">
        <v>2018.0</v>
      </c>
      <c r="B10257" s="2" t="s">
        <v>41556</v>
      </c>
      <c r="C10257" s="2" t="s">
        <v>41557</v>
      </c>
      <c r="D10257" s="2" t="str">
        <f>"717-786-7079"</f>
        <v>717-786-7079</v>
      </c>
      <c r="E10257" s="2" t="s">
        <v>41558</v>
      </c>
      <c r="F10257" s="2" t="s">
        <v>10840</v>
      </c>
      <c r="G10257" s="2" t="str">
        <f>"SR-14287"</f>
        <v>SR-14287</v>
      </c>
      <c r="H10257" s="2" t="s">
        <v>41559</v>
      </c>
      <c r="I10257" s="2" t="s">
        <v>41560</v>
      </c>
      <c r="K10257" s="2" t="s">
        <v>41561</v>
      </c>
      <c r="L10257" s="2" t="s">
        <v>179</v>
      </c>
      <c r="M10257" s="2">
        <v>17566.0</v>
      </c>
      <c r="N10257" s="2" t="s">
        <v>21</v>
      </c>
    </row>
    <row r="10258" ht="15.75" customHeight="1">
      <c r="A10258" s="2">
        <v>2018.0</v>
      </c>
      <c r="B10258" s="2" t="s">
        <v>41562</v>
      </c>
      <c r="C10258" s="2" t="s">
        <v>41562</v>
      </c>
      <c r="D10258" s="2" t="str">
        <f>"630 746 3592"</f>
        <v>630 746 3592</v>
      </c>
      <c r="E10258" s="2" t="s">
        <v>282</v>
      </c>
      <c r="F10258" s="2" t="s">
        <v>41563</v>
      </c>
      <c r="G10258" s="2" t="str">
        <f>"SR-14407"</f>
        <v>SR-14407</v>
      </c>
      <c r="H10258" s="2" t="s">
        <v>41564</v>
      </c>
      <c r="I10258" s="2" t="s">
        <v>41565</v>
      </c>
      <c r="K10258" s="2" t="s">
        <v>41566</v>
      </c>
      <c r="L10258" s="2" t="s">
        <v>105</v>
      </c>
      <c r="M10258" s="2">
        <v>60515.0</v>
      </c>
      <c r="N10258" s="2" t="s">
        <v>21</v>
      </c>
    </row>
    <row r="10259" ht="15.75" customHeight="1">
      <c r="A10259" s="2">
        <v>2018.0</v>
      </c>
      <c r="B10259" s="2" t="s">
        <v>41567</v>
      </c>
      <c r="C10259" s="2" t="s">
        <v>41568</v>
      </c>
      <c r="D10259" s="2" t="str">
        <f>"(719) 347-1094"</f>
        <v>(719) 347-1094</v>
      </c>
      <c r="E10259" s="2" t="s">
        <v>41569</v>
      </c>
      <c r="F10259" s="2" t="s">
        <v>7537</v>
      </c>
      <c r="G10259" s="2" t="str">
        <f>"SR-14409"</f>
        <v>SR-14409</v>
      </c>
      <c r="H10259" s="2" t="s">
        <v>41570</v>
      </c>
      <c r="I10259" s="2" t="s">
        <v>41571</v>
      </c>
      <c r="K10259" s="2" t="s">
        <v>975</v>
      </c>
      <c r="L10259" s="2" t="s">
        <v>157</v>
      </c>
      <c r="M10259" s="2">
        <v>80831.0</v>
      </c>
      <c r="N10259" s="2" t="s">
        <v>21</v>
      </c>
    </row>
    <row r="10260" ht="15.75" customHeight="1">
      <c r="A10260" s="2">
        <v>2018.0</v>
      </c>
      <c r="B10260" s="2" t="s">
        <v>41572</v>
      </c>
      <c r="C10260" s="2" t="s">
        <v>41572</v>
      </c>
      <c r="D10260" s="2" t="str">
        <f>"3193893342"</f>
        <v>3193893342</v>
      </c>
      <c r="E10260" s="2" t="s">
        <v>12166</v>
      </c>
      <c r="F10260" s="2" t="s">
        <v>24017</v>
      </c>
      <c r="G10260" s="2" t="str">
        <f>"SR-14413"</f>
        <v>SR-14413</v>
      </c>
      <c r="H10260" s="2" t="s">
        <v>41573</v>
      </c>
      <c r="I10260" s="2" t="s">
        <v>41574</v>
      </c>
      <c r="K10260" s="2" t="s">
        <v>507</v>
      </c>
      <c r="L10260" s="2" t="s">
        <v>157</v>
      </c>
      <c r="M10260" s="2">
        <v>80132.0</v>
      </c>
      <c r="N10260" s="2" t="s">
        <v>21</v>
      </c>
    </row>
    <row r="10261" ht="15.75" customHeight="1">
      <c r="A10261" s="2">
        <v>2018.0</v>
      </c>
      <c r="B10261" s="2" t="s">
        <v>41575</v>
      </c>
      <c r="C10261" s="2" t="s">
        <v>41576</v>
      </c>
      <c r="D10261" s="2" t="str">
        <f>"4176121707"</f>
        <v>4176121707</v>
      </c>
      <c r="E10261" s="2" t="s">
        <v>2162</v>
      </c>
      <c r="F10261" s="2" t="s">
        <v>41577</v>
      </c>
      <c r="G10261" s="2" t="str">
        <f>"SR-14347"</f>
        <v>SR-14347</v>
      </c>
      <c r="H10261" s="2" t="s">
        <v>41578</v>
      </c>
      <c r="I10261" s="2" t="s">
        <v>41579</v>
      </c>
      <c r="K10261" s="2" t="s">
        <v>3239</v>
      </c>
      <c r="L10261" s="2" t="s">
        <v>214</v>
      </c>
      <c r="M10261" s="2">
        <v>65809.0</v>
      </c>
      <c r="N10261" s="2" t="s">
        <v>21</v>
      </c>
    </row>
    <row r="10262" ht="15.75" customHeight="1">
      <c r="A10262" s="2">
        <v>2018.0</v>
      </c>
      <c r="B10262" s="2" t="s">
        <v>41580</v>
      </c>
      <c r="C10262" s="2" t="s">
        <v>41581</v>
      </c>
      <c r="D10262" s="2" t="str">
        <f>"5156742335"</f>
        <v>5156742335</v>
      </c>
      <c r="E10262" s="2" t="s">
        <v>386</v>
      </c>
      <c r="F10262" s="2" t="s">
        <v>1993</v>
      </c>
      <c r="G10262" s="2" t="str">
        <f>"SR-14415"</f>
        <v>SR-14415</v>
      </c>
      <c r="H10262" s="2" t="s">
        <v>41582</v>
      </c>
      <c r="I10262" s="2" t="s">
        <v>1995</v>
      </c>
      <c r="K10262" s="2" t="s">
        <v>1996</v>
      </c>
      <c r="L10262" s="2" t="s">
        <v>560</v>
      </c>
      <c r="M10262" s="2">
        <v>50310.0</v>
      </c>
      <c r="N10262" s="2" t="s">
        <v>21</v>
      </c>
    </row>
    <row r="10263" ht="15.75" customHeight="1">
      <c r="A10263" s="2">
        <v>2018.0</v>
      </c>
      <c r="B10263" s="2" t="s">
        <v>9556</v>
      </c>
      <c r="C10263" s="2" t="s">
        <v>41583</v>
      </c>
      <c r="D10263" s="2" t="str">
        <f>"9319824057"</f>
        <v>9319824057</v>
      </c>
      <c r="E10263" s="2" t="s">
        <v>417</v>
      </c>
      <c r="F10263" s="2" t="s">
        <v>591</v>
      </c>
      <c r="G10263" s="2" t="str">
        <f>"SR-14376"</f>
        <v>SR-14376</v>
      </c>
      <c r="H10263" s="2" t="s">
        <v>41584</v>
      </c>
      <c r="I10263" s="2" t="s">
        <v>41585</v>
      </c>
      <c r="K10263" s="2" t="s">
        <v>2750</v>
      </c>
      <c r="L10263" s="2" t="s">
        <v>279</v>
      </c>
      <c r="M10263" s="2">
        <v>38401.0</v>
      </c>
      <c r="N10263" s="2" t="s">
        <v>21</v>
      </c>
    </row>
    <row r="10264" ht="15.75" customHeight="1">
      <c r="A10264" s="2">
        <v>2018.0</v>
      </c>
      <c r="B10264" s="2" t="s">
        <v>41586</v>
      </c>
      <c r="C10264" s="2" t="s">
        <v>41587</v>
      </c>
      <c r="D10264" s="2" t="str">
        <f>"615-738-8928"</f>
        <v>615-738-8928</v>
      </c>
      <c r="E10264" s="2" t="s">
        <v>678</v>
      </c>
      <c r="F10264" s="2" t="s">
        <v>41588</v>
      </c>
      <c r="G10264" s="2" t="str">
        <f>"SR-14410"</f>
        <v>SR-14410</v>
      </c>
      <c r="H10264" s="2" t="s">
        <v>41589</v>
      </c>
      <c r="I10264" s="2" t="s">
        <v>41590</v>
      </c>
      <c r="K10264" s="2" t="s">
        <v>3286</v>
      </c>
      <c r="L10264" s="2" t="s">
        <v>279</v>
      </c>
      <c r="M10264" s="2">
        <v>37055.0</v>
      </c>
      <c r="N10264" s="2" t="s">
        <v>21</v>
      </c>
    </row>
    <row r="10265" ht="15.75" customHeight="1">
      <c r="A10265" s="2">
        <v>2018.0</v>
      </c>
      <c r="B10265" s="2" t="s">
        <v>41591</v>
      </c>
      <c r="C10265" s="2" t="s">
        <v>41591</v>
      </c>
      <c r="D10265" s="2" t="str">
        <f>"6159958537"</f>
        <v>6159958537</v>
      </c>
      <c r="E10265" s="2" t="s">
        <v>41592</v>
      </c>
      <c r="F10265" s="2" t="s">
        <v>41593</v>
      </c>
      <c r="G10265" s="2" t="str">
        <f>"SR-14418"</f>
        <v>SR-14418</v>
      </c>
      <c r="H10265" s="2" t="s">
        <v>41594</v>
      </c>
      <c r="I10265" s="2" t="s">
        <v>41595</v>
      </c>
      <c r="K10265" s="2" t="s">
        <v>41596</v>
      </c>
      <c r="L10265" s="2" t="s">
        <v>279</v>
      </c>
      <c r="M10265" s="2">
        <v>37128.0</v>
      </c>
      <c r="N10265" s="2" t="s">
        <v>21</v>
      </c>
    </row>
    <row r="10266" ht="15.75" customHeight="1">
      <c r="A10266" s="2">
        <v>2018.0</v>
      </c>
      <c r="B10266" s="2" t="s">
        <v>5363</v>
      </c>
      <c r="C10266" s="2" t="s">
        <v>41597</v>
      </c>
      <c r="D10266" s="2" t="str">
        <f>"(619) 922-2145"</f>
        <v>(619) 922-2145</v>
      </c>
      <c r="E10266" s="2" t="s">
        <v>12491</v>
      </c>
      <c r="F10266" s="2" t="s">
        <v>5365</v>
      </c>
      <c r="G10266" s="2" t="str">
        <f>"SR-14424"</f>
        <v>SR-14424</v>
      </c>
      <c r="H10266" s="2" t="s">
        <v>41598</v>
      </c>
      <c r="I10266" s="2" t="s">
        <v>8672</v>
      </c>
      <c r="K10266" s="2" t="s">
        <v>8673</v>
      </c>
      <c r="L10266" s="2" t="s">
        <v>222</v>
      </c>
      <c r="M10266" s="2">
        <v>92040.0</v>
      </c>
      <c r="N10266" s="2" t="s">
        <v>21</v>
      </c>
    </row>
    <row r="10267" ht="15.75" customHeight="1">
      <c r="A10267" s="2">
        <v>2018.0</v>
      </c>
      <c r="B10267" s="2" t="s">
        <v>41599</v>
      </c>
      <c r="C10267" s="2" t="s">
        <v>41600</v>
      </c>
      <c r="D10267" s="2" t="str">
        <f>"9317294423"</f>
        <v>9317294423</v>
      </c>
      <c r="E10267" s="2" t="s">
        <v>908</v>
      </c>
      <c r="F10267" s="2" t="s">
        <v>10295</v>
      </c>
      <c r="G10267" s="2" t="str">
        <f>"SR-14429"</f>
        <v>SR-14429</v>
      </c>
      <c r="H10267" s="2" t="s">
        <v>41601</v>
      </c>
      <c r="I10267" s="2" t="s">
        <v>41602</v>
      </c>
      <c r="K10267" s="2" t="s">
        <v>41603</v>
      </c>
      <c r="L10267" s="2" t="s">
        <v>279</v>
      </c>
      <c r="M10267" s="2">
        <v>37033.0</v>
      </c>
      <c r="N10267" s="2" t="s">
        <v>21</v>
      </c>
    </row>
    <row r="10268" ht="15.75" customHeight="1">
      <c r="A10268" s="2">
        <v>2018.0</v>
      </c>
      <c r="B10268" s="2" t="s">
        <v>41604</v>
      </c>
      <c r="C10268" s="2" t="s">
        <v>41605</v>
      </c>
      <c r="D10268" s="2" t="str">
        <f>"3154164052"</f>
        <v>3154164052</v>
      </c>
      <c r="E10268" s="2" t="s">
        <v>678</v>
      </c>
      <c r="F10268" s="2" t="s">
        <v>863</v>
      </c>
      <c r="G10268" s="2" t="str">
        <f>"SR-14431"</f>
        <v>SR-14431</v>
      </c>
      <c r="H10268" s="2" t="s">
        <v>41606</v>
      </c>
      <c r="I10268" s="2" t="s">
        <v>41607</v>
      </c>
      <c r="K10268" s="2" t="s">
        <v>2951</v>
      </c>
      <c r="L10268" s="2" t="s">
        <v>142</v>
      </c>
      <c r="M10268" s="2">
        <v>13215.0</v>
      </c>
      <c r="N10268" s="2" t="s">
        <v>21</v>
      </c>
    </row>
    <row r="10269" ht="15.75" customHeight="1">
      <c r="A10269" s="2">
        <v>2018.0</v>
      </c>
      <c r="B10269" s="2" t="s">
        <v>41599</v>
      </c>
      <c r="C10269" s="2" t="s">
        <v>41608</v>
      </c>
      <c r="D10269" s="2" t="str">
        <f>"9316267220"</f>
        <v>9316267220</v>
      </c>
      <c r="E10269" s="2" t="s">
        <v>1263</v>
      </c>
      <c r="F10269" s="2" t="s">
        <v>10295</v>
      </c>
      <c r="G10269" s="2" t="str">
        <f>"SR-14434"</f>
        <v>SR-14434</v>
      </c>
      <c r="H10269" s="2" t="s">
        <v>41609</v>
      </c>
      <c r="I10269" s="2" t="s">
        <v>41610</v>
      </c>
      <c r="K10269" s="2" t="s">
        <v>41603</v>
      </c>
      <c r="L10269" s="2" t="s">
        <v>279</v>
      </c>
      <c r="M10269" s="2">
        <v>37033.0</v>
      </c>
      <c r="N10269" s="2" t="s">
        <v>21</v>
      </c>
    </row>
    <row r="10270" ht="15.75" customHeight="1">
      <c r="A10270" s="2">
        <v>2018.0</v>
      </c>
      <c r="B10270" s="2" t="s">
        <v>41611</v>
      </c>
      <c r="C10270" s="2" t="s">
        <v>41612</v>
      </c>
      <c r="D10270" s="2" t="str">
        <f>"270-366-6611"</f>
        <v>270-366-6611</v>
      </c>
      <c r="E10270" s="2" t="s">
        <v>36331</v>
      </c>
      <c r="F10270" s="2" t="s">
        <v>41613</v>
      </c>
      <c r="G10270" s="2" t="str">
        <f>"SR-14436"</f>
        <v>SR-14436</v>
      </c>
      <c r="H10270" s="2" t="s">
        <v>41614</v>
      </c>
      <c r="I10270" s="2" t="s">
        <v>41615</v>
      </c>
      <c r="K10270" s="2" t="s">
        <v>36418</v>
      </c>
      <c r="L10270" s="2" t="s">
        <v>1236</v>
      </c>
      <c r="M10270" s="2">
        <v>42003.0</v>
      </c>
      <c r="N10270" s="2" t="s">
        <v>21</v>
      </c>
    </row>
    <row r="10271" ht="15.75" customHeight="1">
      <c r="A10271" s="2">
        <v>2018.0</v>
      </c>
      <c r="B10271" s="2" t="s">
        <v>41616</v>
      </c>
      <c r="C10271" s="2" t="s">
        <v>41617</v>
      </c>
      <c r="D10271" s="2" t="str">
        <f>"303-882-8256"</f>
        <v>303-882-8256</v>
      </c>
      <c r="E10271" s="2" t="s">
        <v>12075</v>
      </c>
      <c r="F10271" s="2" t="s">
        <v>41618</v>
      </c>
      <c r="G10271" s="2" t="str">
        <f>"SR-14419"</f>
        <v>SR-14419</v>
      </c>
      <c r="H10271" s="2" t="s">
        <v>41619</v>
      </c>
      <c r="I10271" s="2" t="s">
        <v>41620</v>
      </c>
      <c r="K10271" s="2" t="s">
        <v>1398</v>
      </c>
      <c r="L10271" s="2" t="s">
        <v>157</v>
      </c>
      <c r="M10271" s="2">
        <v>80109.0</v>
      </c>
      <c r="N10271" s="2" t="s">
        <v>21</v>
      </c>
    </row>
    <row r="10272" ht="15.75" customHeight="1">
      <c r="A10272" s="2">
        <v>2018.0</v>
      </c>
      <c r="B10272" s="2" t="s">
        <v>41621</v>
      </c>
      <c r="C10272" s="2" t="s">
        <v>41622</v>
      </c>
      <c r="D10272" s="2" t="str">
        <f>"719-494-7332"</f>
        <v>719-494-7332</v>
      </c>
      <c r="E10272" s="2" t="s">
        <v>282</v>
      </c>
      <c r="F10272" s="2" t="s">
        <v>41623</v>
      </c>
      <c r="G10272" s="2" t="str">
        <f>"SR-14384"</f>
        <v>SR-14384</v>
      </c>
      <c r="H10272" s="2" t="s">
        <v>41624</v>
      </c>
      <c r="I10272" s="2" t="s">
        <v>41625</v>
      </c>
      <c r="K10272" s="2" t="s">
        <v>809</v>
      </c>
      <c r="L10272" s="2" t="s">
        <v>157</v>
      </c>
      <c r="M10272" s="2">
        <v>80918.0</v>
      </c>
      <c r="N10272" s="2" t="s">
        <v>21</v>
      </c>
    </row>
    <row r="10273" ht="15.75" customHeight="1">
      <c r="A10273" s="2">
        <v>2018.0</v>
      </c>
      <c r="B10273" s="2" t="s">
        <v>41621</v>
      </c>
      <c r="C10273" s="2" t="s">
        <v>41626</v>
      </c>
      <c r="D10273" s="2" t="str">
        <f>"719-722-4078"</f>
        <v>719-722-4078</v>
      </c>
      <c r="E10273" s="2" t="s">
        <v>1208</v>
      </c>
      <c r="F10273" s="2" t="s">
        <v>41623</v>
      </c>
      <c r="G10273" s="2" t="str">
        <f>"SR-14386"</f>
        <v>SR-14386</v>
      </c>
      <c r="H10273" s="2" t="s">
        <v>41627</v>
      </c>
      <c r="I10273" s="2" t="s">
        <v>41625</v>
      </c>
      <c r="K10273" s="2" t="s">
        <v>809</v>
      </c>
      <c r="L10273" s="2" t="s">
        <v>157</v>
      </c>
      <c r="M10273" s="2">
        <v>80918.0</v>
      </c>
      <c r="N10273" s="2" t="s">
        <v>21</v>
      </c>
    </row>
    <row r="10274" ht="15.75" customHeight="1">
      <c r="A10274" s="2">
        <v>2018.0</v>
      </c>
      <c r="B10274" s="2" t="s">
        <v>41628</v>
      </c>
      <c r="C10274" s="2" t="s">
        <v>41628</v>
      </c>
      <c r="D10274" s="2" t="str">
        <f>"7408562375"</f>
        <v>7408562375</v>
      </c>
      <c r="E10274" s="2" t="s">
        <v>824</v>
      </c>
      <c r="F10274" s="2" t="s">
        <v>41629</v>
      </c>
      <c r="G10274" s="2" t="str">
        <f>"SR-14404"</f>
        <v>SR-14404</v>
      </c>
      <c r="H10274" s="2" t="s">
        <v>41630</v>
      </c>
      <c r="I10274" s="2" t="s">
        <v>41631</v>
      </c>
      <c r="K10274" s="2" t="s">
        <v>5108</v>
      </c>
      <c r="L10274" s="2" t="s">
        <v>344</v>
      </c>
      <c r="M10274" s="2">
        <v>45701.0</v>
      </c>
      <c r="N10274" s="2" t="s">
        <v>21</v>
      </c>
    </row>
    <row r="10275" ht="15.75" customHeight="1">
      <c r="A10275" s="2">
        <v>2018.0</v>
      </c>
      <c r="B10275" s="2" t="s">
        <v>41632</v>
      </c>
      <c r="C10275" s="2" t="s">
        <v>41632</v>
      </c>
      <c r="D10275" s="2" t="str">
        <f>"601-966-8667"</f>
        <v>601-966-8667</v>
      </c>
      <c r="E10275" s="2" t="s">
        <v>1682</v>
      </c>
      <c r="F10275" s="2" t="s">
        <v>41633</v>
      </c>
      <c r="G10275" s="2" t="str">
        <f>"SR-14440"</f>
        <v>SR-14440</v>
      </c>
      <c r="H10275" s="2" t="s">
        <v>41634</v>
      </c>
      <c r="I10275" s="2" t="s">
        <v>41635</v>
      </c>
      <c r="K10275" s="2" t="s">
        <v>1257</v>
      </c>
      <c r="L10275" s="2" t="s">
        <v>1722</v>
      </c>
      <c r="M10275" s="2">
        <v>39211.0</v>
      </c>
      <c r="N10275" s="2" t="s">
        <v>21</v>
      </c>
    </row>
    <row r="10276" ht="15.75" customHeight="1">
      <c r="A10276" s="2">
        <v>2018.0</v>
      </c>
      <c r="B10276" s="2" t="s">
        <v>41636</v>
      </c>
      <c r="C10276" s="2" t="s">
        <v>41637</v>
      </c>
      <c r="D10276" s="2" t="str">
        <f>"403-479-3789"</f>
        <v>403-479-3789</v>
      </c>
      <c r="E10276" s="2" t="s">
        <v>922</v>
      </c>
      <c r="F10276" s="2" t="s">
        <v>41638</v>
      </c>
      <c r="G10276" s="2" t="str">
        <f>"SR-14439"</f>
        <v>SR-14439</v>
      </c>
      <c r="H10276" s="2" t="s">
        <v>41639</v>
      </c>
      <c r="I10276" s="2" t="s">
        <v>41640</v>
      </c>
      <c r="K10276" s="2" t="s">
        <v>36033</v>
      </c>
      <c r="L10276" s="2" t="s">
        <v>6726</v>
      </c>
      <c r="M10276" s="2" t="s">
        <v>41641</v>
      </c>
      <c r="N10276" s="2" t="s">
        <v>1602</v>
      </c>
    </row>
    <row r="10277" ht="15.75" customHeight="1">
      <c r="A10277" s="2">
        <v>2018.0</v>
      </c>
      <c r="B10277" s="2" t="s">
        <v>41642</v>
      </c>
      <c r="C10277" s="2" t="s">
        <v>41643</v>
      </c>
      <c r="D10277" s="2" t="str">
        <f>"5036616549"</f>
        <v>5036616549</v>
      </c>
      <c r="E10277" s="2" t="s">
        <v>29677</v>
      </c>
      <c r="F10277" s="2" t="s">
        <v>701</v>
      </c>
      <c r="G10277" s="2" t="str">
        <f>"SR-14441"</f>
        <v>SR-14441</v>
      </c>
      <c r="H10277" s="2" t="s">
        <v>41644</v>
      </c>
      <c r="I10277" s="2" t="s">
        <v>41645</v>
      </c>
      <c r="K10277" s="2" t="s">
        <v>41646</v>
      </c>
      <c r="L10277" s="2" t="s">
        <v>2389</v>
      </c>
      <c r="M10277" s="2">
        <v>97030.0</v>
      </c>
      <c r="N10277" s="2" t="s">
        <v>21</v>
      </c>
    </row>
    <row r="10278" ht="15.75" customHeight="1">
      <c r="A10278" s="2">
        <v>2018.0</v>
      </c>
      <c r="B10278" s="2" t="s">
        <v>41647</v>
      </c>
      <c r="C10278" s="2" t="s">
        <v>41647</v>
      </c>
      <c r="D10278" s="2" t="str">
        <f>"2709998073"</f>
        <v>2709998073</v>
      </c>
      <c r="E10278" s="2" t="s">
        <v>4865</v>
      </c>
      <c r="F10278" s="2" t="s">
        <v>41648</v>
      </c>
      <c r="G10278" s="2" t="str">
        <f>"SR-14442"</f>
        <v>SR-14442</v>
      </c>
      <c r="H10278" s="2" t="s">
        <v>41649</v>
      </c>
      <c r="I10278" s="2" t="s">
        <v>41650</v>
      </c>
      <c r="K10278" s="2" t="s">
        <v>41651</v>
      </c>
      <c r="L10278" s="2" t="s">
        <v>1236</v>
      </c>
      <c r="M10278" s="2">
        <v>42261.0</v>
      </c>
      <c r="N10278" s="2" t="s">
        <v>21</v>
      </c>
    </row>
    <row r="10279" ht="15.75" customHeight="1">
      <c r="A10279" s="2">
        <v>2018.0</v>
      </c>
      <c r="B10279" s="2" t="s">
        <v>41652</v>
      </c>
      <c r="C10279" s="2" t="s">
        <v>41653</v>
      </c>
      <c r="D10279" s="2" t="str">
        <f>"816-572-2447"</f>
        <v>816-572-2447</v>
      </c>
      <c r="E10279" s="2" t="s">
        <v>41654</v>
      </c>
      <c r="F10279" s="2" t="s">
        <v>41655</v>
      </c>
      <c r="G10279" s="2" t="str">
        <f>"SR-14310"</f>
        <v>SR-14310</v>
      </c>
      <c r="H10279" s="2" t="s">
        <v>41656</v>
      </c>
      <c r="I10279" s="2" t="s">
        <v>41657</v>
      </c>
      <c r="K10279" s="2" t="s">
        <v>30245</v>
      </c>
      <c r="L10279" s="2" t="s">
        <v>214</v>
      </c>
      <c r="M10279" s="2">
        <v>64086.0</v>
      </c>
      <c r="N10279" s="2" t="s">
        <v>21</v>
      </c>
    </row>
    <row r="10280" ht="15.75" customHeight="1">
      <c r="A10280" s="2">
        <v>2018.0</v>
      </c>
      <c r="B10280" s="2" t="s">
        <v>41658</v>
      </c>
      <c r="C10280" s="2" t="s">
        <v>41658</v>
      </c>
      <c r="D10280" s="2" t="str">
        <f>"3033198954"</f>
        <v>3033198954</v>
      </c>
      <c r="E10280" s="2" t="s">
        <v>41659</v>
      </c>
      <c r="F10280" s="2" t="s">
        <v>30729</v>
      </c>
      <c r="G10280" s="2" t="str">
        <f>"SR-14438"</f>
        <v>SR-14438</v>
      </c>
      <c r="H10280" s="2" t="s">
        <v>41660</v>
      </c>
      <c r="I10280" s="2" t="s">
        <v>41661</v>
      </c>
      <c r="K10280" s="2" t="s">
        <v>18005</v>
      </c>
      <c r="L10280" s="2" t="s">
        <v>157</v>
      </c>
      <c r="M10280" s="2">
        <v>80108.0</v>
      </c>
      <c r="N10280" s="2" t="s">
        <v>21</v>
      </c>
    </row>
    <row r="10281" ht="15.75" customHeight="1">
      <c r="A10281" s="2">
        <v>2018.0</v>
      </c>
      <c r="B10281" s="2" t="s">
        <v>17004</v>
      </c>
      <c r="C10281" s="2" t="s">
        <v>41662</v>
      </c>
      <c r="D10281" s="2" t="str">
        <f>"8133471051"</f>
        <v>8133471051</v>
      </c>
      <c r="E10281" s="2" t="s">
        <v>1007</v>
      </c>
      <c r="F10281" s="2" t="s">
        <v>17006</v>
      </c>
      <c r="G10281" s="2" t="str">
        <f>"SR-14447"</f>
        <v>SR-14447</v>
      </c>
      <c r="H10281" s="2" t="s">
        <v>41663</v>
      </c>
      <c r="I10281" s="2" t="s">
        <v>17008</v>
      </c>
      <c r="K10281" s="2" t="s">
        <v>2147</v>
      </c>
      <c r="L10281" s="2" t="s">
        <v>208</v>
      </c>
      <c r="M10281" s="2">
        <v>33510.0</v>
      </c>
      <c r="N10281" s="2" t="s">
        <v>21</v>
      </c>
    </row>
    <row r="10282" ht="15.75" customHeight="1">
      <c r="A10282" s="2">
        <v>2018.0</v>
      </c>
      <c r="B10282" s="2" t="s">
        <v>41664</v>
      </c>
      <c r="C10282" s="2" t="s">
        <v>41665</v>
      </c>
      <c r="D10282" s="2" t="str">
        <f>"9494222439"</f>
        <v>9494222439</v>
      </c>
      <c r="E10282" s="2" t="s">
        <v>26038</v>
      </c>
      <c r="F10282" s="2" t="s">
        <v>41666</v>
      </c>
      <c r="G10282" s="2" t="str">
        <f>"SR-14249"</f>
        <v>SR-14249</v>
      </c>
      <c r="H10282" s="2" t="s">
        <v>41667</v>
      </c>
      <c r="I10282" s="2" t="s">
        <v>41668</v>
      </c>
      <c r="K10282" s="2" t="s">
        <v>11684</v>
      </c>
      <c r="L10282" s="2" t="s">
        <v>222</v>
      </c>
      <c r="M10282" s="2">
        <v>92705.0</v>
      </c>
      <c r="N10282" s="2" t="s">
        <v>21</v>
      </c>
    </row>
    <row r="10283" ht="15.75" customHeight="1">
      <c r="A10283" s="2">
        <v>2018.0</v>
      </c>
      <c r="B10283" s="2" t="s">
        <v>41669</v>
      </c>
      <c r="C10283" s="2" t="s">
        <v>41670</v>
      </c>
      <c r="D10283" s="2" t="str">
        <f>"4435436097"</f>
        <v>4435436097</v>
      </c>
      <c r="E10283" s="2" t="s">
        <v>977</v>
      </c>
      <c r="F10283" s="2" t="s">
        <v>21662</v>
      </c>
      <c r="G10283" s="2" t="str">
        <f>"SR-14142"</f>
        <v>SR-14142</v>
      </c>
      <c r="H10283" s="2" t="s">
        <v>41671</v>
      </c>
      <c r="I10283" s="2" t="s">
        <v>41672</v>
      </c>
      <c r="K10283" s="2" t="s">
        <v>21665</v>
      </c>
      <c r="L10283" s="2" t="s">
        <v>1868</v>
      </c>
      <c r="M10283" s="2">
        <v>21128.0</v>
      </c>
      <c r="N10283" s="2" t="s">
        <v>21</v>
      </c>
    </row>
    <row r="10284" ht="15.75" customHeight="1">
      <c r="A10284" s="2">
        <v>2018.0</v>
      </c>
      <c r="B10284" s="2" t="s">
        <v>41673</v>
      </c>
      <c r="C10284" s="2" t="s">
        <v>41673</v>
      </c>
      <c r="D10284" s="2" t="str">
        <f>"2819749669"</f>
        <v>2819749669</v>
      </c>
      <c r="E10284" s="2" t="s">
        <v>1356</v>
      </c>
      <c r="F10284" s="2" t="s">
        <v>41674</v>
      </c>
      <c r="G10284" s="2" t="str">
        <f>"SR-14446"</f>
        <v>SR-14446</v>
      </c>
      <c r="H10284" s="2" t="s">
        <v>41675</v>
      </c>
      <c r="I10284" s="2" t="s">
        <v>41676</v>
      </c>
      <c r="K10284" s="2" t="s">
        <v>444</v>
      </c>
      <c r="L10284" s="2" t="s">
        <v>172</v>
      </c>
      <c r="M10284" s="2">
        <v>77069.0</v>
      </c>
      <c r="N10284" s="2" t="s">
        <v>21</v>
      </c>
    </row>
    <row r="10285" ht="15.75" customHeight="1">
      <c r="A10285" s="2">
        <v>2018.0</v>
      </c>
      <c r="B10285" s="2" t="s">
        <v>41677</v>
      </c>
      <c r="C10285" s="2" t="s">
        <v>41677</v>
      </c>
      <c r="D10285" s="2" t="str">
        <f>"8638016732"</f>
        <v>8638016732</v>
      </c>
      <c r="E10285" s="2" t="s">
        <v>1767</v>
      </c>
      <c r="F10285" s="2" t="s">
        <v>16714</v>
      </c>
      <c r="G10285" s="2" t="str">
        <f>"SR-14450"</f>
        <v>SR-14450</v>
      </c>
      <c r="H10285" s="2" t="s">
        <v>41678</v>
      </c>
      <c r="I10285" s="2" t="s">
        <v>16716</v>
      </c>
      <c r="K10285" s="2" t="s">
        <v>16717</v>
      </c>
      <c r="L10285" s="2" t="s">
        <v>208</v>
      </c>
      <c r="M10285" s="2">
        <v>34974.0</v>
      </c>
      <c r="N10285" s="2" t="s">
        <v>21</v>
      </c>
    </row>
    <row r="10286" ht="15.75" customHeight="1">
      <c r="A10286" s="2">
        <v>2018.0</v>
      </c>
      <c r="B10286" s="2" t="s">
        <v>41679</v>
      </c>
      <c r="D10286" s="2" t="str">
        <f>""</f>
        <v/>
      </c>
      <c r="E10286" s="2" t="s">
        <v>1548</v>
      </c>
      <c r="F10286" s="2" t="s">
        <v>4098</v>
      </c>
      <c r="G10286" s="2" t="str">
        <f>"SR-14399"</f>
        <v>SR-14399</v>
      </c>
      <c r="H10286" s="2" t="s">
        <v>41680</v>
      </c>
    </row>
    <row r="10287" ht="15.75" customHeight="1">
      <c r="A10287" s="2">
        <v>2018.0</v>
      </c>
      <c r="B10287" s="2" t="s">
        <v>41681</v>
      </c>
      <c r="C10287" s="2" t="s">
        <v>41682</v>
      </c>
      <c r="D10287" s="2" t="str">
        <f>"720-556-3427"</f>
        <v>720-556-3427</v>
      </c>
      <c r="E10287" s="2" t="s">
        <v>137</v>
      </c>
      <c r="F10287" s="2" t="s">
        <v>29522</v>
      </c>
      <c r="G10287" s="2" t="str">
        <f>"SR-14448"</f>
        <v>SR-14448</v>
      </c>
      <c r="H10287" s="2" t="s">
        <v>41683</v>
      </c>
      <c r="I10287" s="2" t="s">
        <v>41684</v>
      </c>
      <c r="K10287" s="2" t="s">
        <v>682</v>
      </c>
      <c r="L10287" s="2" t="s">
        <v>157</v>
      </c>
      <c r="M10287" s="2">
        <v>80130.0</v>
      </c>
      <c r="N10287" s="2" t="s">
        <v>21</v>
      </c>
    </row>
    <row r="10288" ht="15.75" customHeight="1">
      <c r="A10288" s="2">
        <v>2018.0</v>
      </c>
      <c r="B10288" s="2" t="s">
        <v>41685</v>
      </c>
      <c r="C10288" s="2" t="s">
        <v>41686</v>
      </c>
      <c r="D10288" s="2" t="str">
        <f>"606-875-3024"</f>
        <v>606-875-3024</v>
      </c>
      <c r="E10288" s="2" t="s">
        <v>8159</v>
      </c>
      <c r="F10288" s="2" t="s">
        <v>41687</v>
      </c>
      <c r="G10288" s="2" t="str">
        <f>"SR-14453"</f>
        <v>SR-14453</v>
      </c>
      <c r="H10288" s="2" t="s">
        <v>41688</v>
      </c>
      <c r="I10288" s="2" t="s">
        <v>41689</v>
      </c>
      <c r="K10288" s="2" t="s">
        <v>23501</v>
      </c>
      <c r="L10288" s="2" t="s">
        <v>1236</v>
      </c>
      <c r="M10288" s="2">
        <v>42503.0</v>
      </c>
      <c r="N10288" s="2" t="s">
        <v>21</v>
      </c>
    </row>
    <row r="10289" ht="15.75" customHeight="1">
      <c r="A10289" s="2">
        <v>2018.0</v>
      </c>
      <c r="B10289" s="2" t="s">
        <v>41690</v>
      </c>
      <c r="C10289" s="2" t="s">
        <v>41690</v>
      </c>
      <c r="D10289" s="2" t="str">
        <f>"2705859898"</f>
        <v>2705859898</v>
      </c>
      <c r="E10289" s="2" t="s">
        <v>534</v>
      </c>
      <c r="F10289" s="2" t="s">
        <v>41691</v>
      </c>
      <c r="G10289" s="2" t="str">
        <f>"SR-14452"</f>
        <v>SR-14452</v>
      </c>
      <c r="H10289" s="2" t="s">
        <v>41692</v>
      </c>
      <c r="I10289" s="2" t="s">
        <v>41693</v>
      </c>
      <c r="K10289" s="2" t="s">
        <v>41694</v>
      </c>
      <c r="L10289" s="2" t="s">
        <v>1236</v>
      </c>
      <c r="M10289" s="2">
        <v>42553.0</v>
      </c>
      <c r="N10289" s="2" t="s">
        <v>21</v>
      </c>
    </row>
    <row r="10290" ht="15.75" customHeight="1">
      <c r="A10290" s="2">
        <v>2018.0</v>
      </c>
      <c r="B10290" s="2" t="s">
        <v>41695</v>
      </c>
      <c r="C10290" s="2" t="s">
        <v>41696</v>
      </c>
      <c r="D10290" s="2" t="str">
        <f>"6189721979"</f>
        <v>6189721979</v>
      </c>
      <c r="E10290" s="2" t="s">
        <v>8887</v>
      </c>
      <c r="F10290" s="2" t="s">
        <v>41697</v>
      </c>
      <c r="G10290" s="2" t="str">
        <f>"SR-14449"</f>
        <v>SR-14449</v>
      </c>
      <c r="H10290" s="2" t="s">
        <v>41698</v>
      </c>
      <c r="I10290" s="2" t="s">
        <v>41699</v>
      </c>
      <c r="K10290" s="2" t="s">
        <v>41700</v>
      </c>
      <c r="L10290" s="2" t="s">
        <v>105</v>
      </c>
      <c r="M10290" s="2">
        <v>62021.0</v>
      </c>
      <c r="N10290" s="2" t="s">
        <v>21</v>
      </c>
    </row>
    <row r="10291" ht="15.75" customHeight="1">
      <c r="A10291" s="2">
        <v>2018.0</v>
      </c>
      <c r="B10291" s="2" t="s">
        <v>41701</v>
      </c>
      <c r="C10291" s="2" t="s">
        <v>41702</v>
      </c>
      <c r="D10291" s="2" t="str">
        <f>"618-691-8449"</f>
        <v>618-691-8449</v>
      </c>
      <c r="E10291" s="2" t="s">
        <v>13585</v>
      </c>
      <c r="F10291" s="2" t="s">
        <v>41703</v>
      </c>
      <c r="G10291" s="2" t="str">
        <f>"SR-14372"</f>
        <v>SR-14372</v>
      </c>
      <c r="H10291" s="2" t="s">
        <v>41704</v>
      </c>
      <c r="I10291" s="2" t="s">
        <v>41705</v>
      </c>
      <c r="K10291" s="2" t="s">
        <v>41706</v>
      </c>
      <c r="L10291" s="2" t="s">
        <v>105</v>
      </c>
      <c r="M10291" s="2">
        <v>62243.0</v>
      </c>
      <c r="N10291" s="2" t="s">
        <v>21</v>
      </c>
    </row>
    <row r="10292" ht="15.75" customHeight="1">
      <c r="A10292" s="2">
        <v>2018.0</v>
      </c>
      <c r="B10292" s="2" t="s">
        <v>41707</v>
      </c>
      <c r="C10292" s="2" t="s">
        <v>41708</v>
      </c>
      <c r="D10292" s="2" t="str">
        <f>"627573578"</f>
        <v>627573578</v>
      </c>
      <c r="E10292" s="2" t="s">
        <v>41709</v>
      </c>
      <c r="F10292" s="2" t="s">
        <v>12666</v>
      </c>
      <c r="G10292" s="2" t="str">
        <f>"SR-14455"</f>
        <v>SR-14455</v>
      </c>
      <c r="H10292" s="2" t="s">
        <v>41710</v>
      </c>
      <c r="I10292" s="2" t="s">
        <v>41711</v>
      </c>
      <c r="K10292" s="2" t="s">
        <v>4724</v>
      </c>
      <c r="L10292" s="2" t="s">
        <v>208</v>
      </c>
      <c r="M10292" s="2">
        <v>32836.0</v>
      </c>
      <c r="N10292" s="2" t="s">
        <v>21</v>
      </c>
    </row>
    <row r="10293" ht="15.75" customHeight="1">
      <c r="A10293" s="2">
        <v>2018.0</v>
      </c>
      <c r="B10293" s="2" t="s">
        <v>41712</v>
      </c>
      <c r="C10293" s="2" t="s">
        <v>41713</v>
      </c>
      <c r="D10293" s="2" t="str">
        <f>"5412808372"</f>
        <v>5412808372</v>
      </c>
      <c r="E10293" s="2" t="s">
        <v>651</v>
      </c>
      <c r="F10293" s="2" t="s">
        <v>41714</v>
      </c>
      <c r="G10293" s="2" t="str">
        <f>"SR-14458"</f>
        <v>SR-14458</v>
      </c>
      <c r="H10293" s="2" t="s">
        <v>41715</v>
      </c>
      <c r="I10293" s="2" t="s">
        <v>41716</v>
      </c>
      <c r="K10293" s="2" t="s">
        <v>22503</v>
      </c>
      <c r="L10293" s="2" t="s">
        <v>2389</v>
      </c>
      <c r="M10293" s="2">
        <v>97702.0</v>
      </c>
      <c r="N10293" s="2" t="s">
        <v>21</v>
      </c>
    </row>
    <row r="10294" ht="15.75" customHeight="1">
      <c r="A10294" s="2">
        <v>2018.0</v>
      </c>
      <c r="B10294" s="2" t="s">
        <v>41717</v>
      </c>
      <c r="C10294" s="2" t="s">
        <v>41718</v>
      </c>
      <c r="D10294" s="2" t="str">
        <f>"5153308521"</f>
        <v>5153308521</v>
      </c>
      <c r="E10294" s="2" t="s">
        <v>100</v>
      </c>
      <c r="F10294" s="2" t="s">
        <v>33956</v>
      </c>
      <c r="G10294" s="2" t="str">
        <f>"SR-14461"</f>
        <v>SR-14461</v>
      </c>
      <c r="H10294" s="2" t="s">
        <v>41719</v>
      </c>
      <c r="I10294" s="2" t="s">
        <v>33958</v>
      </c>
      <c r="K10294" s="2" t="s">
        <v>12994</v>
      </c>
      <c r="L10294" s="2" t="s">
        <v>560</v>
      </c>
      <c r="M10294" s="2">
        <v>50072.0</v>
      </c>
      <c r="N10294" s="2" t="s">
        <v>21</v>
      </c>
    </row>
    <row r="10295" ht="15.75" customHeight="1">
      <c r="A10295" s="2">
        <v>2018.0</v>
      </c>
      <c r="B10295" s="2" t="s">
        <v>30062</v>
      </c>
      <c r="C10295" s="2" t="s">
        <v>41720</v>
      </c>
      <c r="D10295" s="2" t="str">
        <f>"850-284-2342"</f>
        <v>850-284-2342</v>
      </c>
      <c r="E10295" s="2" t="s">
        <v>41721</v>
      </c>
      <c r="F10295" s="2" t="s">
        <v>41722</v>
      </c>
      <c r="G10295" s="2" t="str">
        <f>"SR-14085"</f>
        <v>SR-14085</v>
      </c>
      <c r="H10295" s="2" t="s">
        <v>41723</v>
      </c>
      <c r="I10295" s="2" t="s">
        <v>30065</v>
      </c>
      <c r="K10295" s="2" t="s">
        <v>2007</v>
      </c>
      <c r="L10295" s="2" t="s">
        <v>208</v>
      </c>
      <c r="M10295" s="2">
        <v>32309.0</v>
      </c>
      <c r="N10295" s="2" t="s">
        <v>21</v>
      </c>
    </row>
    <row r="10296" ht="15.75" customHeight="1">
      <c r="A10296" s="2">
        <v>2018.0</v>
      </c>
      <c r="B10296" s="2" t="s">
        <v>41724</v>
      </c>
      <c r="C10296" s="2" t="s">
        <v>41725</v>
      </c>
      <c r="D10296" s="2" t="str">
        <f>"7065315152"</f>
        <v>7065315152</v>
      </c>
      <c r="E10296" s="2" t="s">
        <v>239</v>
      </c>
      <c r="F10296" s="2" t="s">
        <v>5310</v>
      </c>
      <c r="G10296" s="2" t="str">
        <f>"SR-14393"</f>
        <v>SR-14393</v>
      </c>
      <c r="H10296" s="2" t="s">
        <v>41726</v>
      </c>
      <c r="I10296" s="2" t="s">
        <v>41727</v>
      </c>
      <c r="K10296" s="2" t="s">
        <v>21389</v>
      </c>
      <c r="L10296" s="2" t="s">
        <v>200</v>
      </c>
      <c r="M10296" s="2">
        <v>30528.0</v>
      </c>
      <c r="N10296" s="2" t="s">
        <v>21</v>
      </c>
    </row>
    <row r="10297" ht="15.75" customHeight="1">
      <c r="A10297" s="2">
        <v>2018.0</v>
      </c>
      <c r="B10297" s="2" t="s">
        <v>41728</v>
      </c>
      <c r="C10297" s="2" t="s">
        <v>41728</v>
      </c>
      <c r="D10297" s="2" t="str">
        <f>"952-737-7962"</f>
        <v>952-737-7962</v>
      </c>
      <c r="E10297" s="2" t="s">
        <v>10825</v>
      </c>
      <c r="F10297" s="2" t="s">
        <v>4011</v>
      </c>
      <c r="G10297" s="2" t="str">
        <f>"SR-14437"</f>
        <v>SR-14437</v>
      </c>
      <c r="H10297" s="2" t="s">
        <v>41729</v>
      </c>
      <c r="I10297" s="2" t="s">
        <v>41730</v>
      </c>
      <c r="K10297" s="2" t="s">
        <v>30375</v>
      </c>
      <c r="L10297" s="2" t="s">
        <v>62</v>
      </c>
      <c r="M10297" s="2">
        <v>55331.0</v>
      </c>
      <c r="N10297" s="2" t="s">
        <v>21</v>
      </c>
    </row>
    <row r="10298" ht="15.75" customHeight="1">
      <c r="A10298" s="2">
        <v>2018.0</v>
      </c>
      <c r="B10298" s="2" t="s">
        <v>29258</v>
      </c>
      <c r="C10298" s="2" t="s">
        <v>29258</v>
      </c>
      <c r="D10298" s="2" t="str">
        <f>"(250) 846-9606"</f>
        <v>(250) 846-9606</v>
      </c>
      <c r="E10298" s="2" t="s">
        <v>23508</v>
      </c>
      <c r="F10298" s="2" t="s">
        <v>29259</v>
      </c>
      <c r="G10298" s="2" t="str">
        <f>"SR-8796"</f>
        <v>SR-8796</v>
      </c>
      <c r="H10298" s="2" t="s">
        <v>29260</v>
      </c>
      <c r="I10298" s="2" t="s">
        <v>29261</v>
      </c>
      <c r="K10298" s="2" t="s">
        <v>29262</v>
      </c>
      <c r="L10298" s="2" t="s">
        <v>29263</v>
      </c>
      <c r="M10298" s="2" t="s">
        <v>29264</v>
      </c>
      <c r="N10298" s="2" t="s">
        <v>1602</v>
      </c>
    </row>
    <row r="10299" ht="15.75" customHeight="1">
      <c r="A10299" s="2">
        <v>2018.0</v>
      </c>
      <c r="B10299" s="2" t="s">
        <v>41731</v>
      </c>
      <c r="C10299" s="2" t="s">
        <v>41732</v>
      </c>
      <c r="D10299" s="2" t="str">
        <f>"8137203997"</f>
        <v>8137203997</v>
      </c>
      <c r="E10299" s="2" t="s">
        <v>6007</v>
      </c>
      <c r="F10299" s="2" t="s">
        <v>1496</v>
      </c>
      <c r="G10299" s="2" t="str">
        <f>"SR-14387"</f>
        <v>SR-14387</v>
      </c>
      <c r="H10299" s="2" t="s">
        <v>41733</v>
      </c>
      <c r="I10299" s="2" t="s">
        <v>41734</v>
      </c>
      <c r="K10299" s="2" t="s">
        <v>41735</v>
      </c>
      <c r="L10299" s="2" t="s">
        <v>208</v>
      </c>
      <c r="M10299" s="2">
        <v>33566.0</v>
      </c>
      <c r="N10299" s="2" t="s">
        <v>21</v>
      </c>
    </row>
    <row r="10300" ht="15.75" customHeight="1">
      <c r="A10300" s="2">
        <v>2018.0</v>
      </c>
      <c r="B10300" s="2" t="s">
        <v>41736</v>
      </c>
      <c r="D10300" s="2" t="str">
        <f>""</f>
        <v/>
      </c>
      <c r="E10300" s="2" t="s">
        <v>580</v>
      </c>
      <c r="F10300" s="2" t="s">
        <v>8612</v>
      </c>
      <c r="G10300" s="2" t="str">
        <f>"SR-13858"</f>
        <v>SR-13858</v>
      </c>
      <c r="H10300" s="2" t="s">
        <v>41737</v>
      </c>
    </row>
    <row r="10301" ht="15.75" customHeight="1">
      <c r="A10301" s="2">
        <v>2018.0</v>
      </c>
      <c r="B10301" s="2" t="s">
        <v>41738</v>
      </c>
      <c r="C10301" s="2" t="s">
        <v>41739</v>
      </c>
      <c r="D10301" s="2" t="str">
        <f>"5157837940"</f>
        <v>5157837940</v>
      </c>
      <c r="E10301" s="2" t="s">
        <v>3305</v>
      </c>
      <c r="F10301" s="2" t="s">
        <v>2429</v>
      </c>
      <c r="G10301" s="2" t="str">
        <f>"SR-14468"</f>
        <v>SR-14468</v>
      </c>
      <c r="H10301" s="2" t="s">
        <v>41740</v>
      </c>
      <c r="I10301" s="2" t="s">
        <v>41741</v>
      </c>
      <c r="K10301" s="2" t="s">
        <v>1996</v>
      </c>
      <c r="L10301" s="2" t="s">
        <v>560</v>
      </c>
      <c r="M10301" s="2">
        <v>50310.0</v>
      </c>
      <c r="N10301" s="2" t="s">
        <v>21</v>
      </c>
    </row>
    <row r="10302" ht="15.75" customHeight="1">
      <c r="A10302" s="2">
        <v>2018.0</v>
      </c>
      <c r="B10302" s="2" t="s">
        <v>41742</v>
      </c>
      <c r="C10302" s="2" t="s">
        <v>41743</v>
      </c>
      <c r="D10302" s="2" t="str">
        <f>"6152003443"</f>
        <v>6152003443</v>
      </c>
      <c r="E10302" s="2" t="s">
        <v>11478</v>
      </c>
      <c r="F10302" s="2" t="s">
        <v>41744</v>
      </c>
      <c r="G10302" s="2" t="str">
        <f>"SR-14474"</f>
        <v>SR-14474</v>
      </c>
      <c r="H10302" s="2" t="s">
        <v>41745</v>
      </c>
      <c r="I10302" s="2" t="s">
        <v>41746</v>
      </c>
      <c r="K10302" s="2" t="s">
        <v>11803</v>
      </c>
      <c r="L10302" s="2" t="s">
        <v>279</v>
      </c>
      <c r="M10302" s="2">
        <v>37122.0</v>
      </c>
      <c r="N10302" s="2" t="s">
        <v>21</v>
      </c>
    </row>
    <row r="10303" ht="15.75" customHeight="1">
      <c r="A10303" s="2">
        <v>2018.0</v>
      </c>
      <c r="B10303" s="2" t="s">
        <v>41747</v>
      </c>
      <c r="C10303" s="2" t="s">
        <v>41747</v>
      </c>
      <c r="D10303" s="2" t="str">
        <f>"8562345521"</f>
        <v>8562345521</v>
      </c>
      <c r="E10303" s="2" t="s">
        <v>29407</v>
      </c>
      <c r="F10303" s="2" t="s">
        <v>41748</v>
      </c>
      <c r="G10303" s="2" t="str">
        <f>"SR-13762"</f>
        <v>SR-13762</v>
      </c>
      <c r="H10303" s="2" t="s">
        <v>41749</v>
      </c>
      <c r="I10303" s="2" t="s">
        <v>41750</v>
      </c>
      <c r="K10303" s="2" t="s">
        <v>15032</v>
      </c>
      <c r="L10303" s="2" t="s">
        <v>3618</v>
      </c>
      <c r="M10303" s="2">
        <v>8054.0</v>
      </c>
      <c r="N10303" s="2" t="s">
        <v>21</v>
      </c>
    </row>
    <row r="10304" ht="15.75" customHeight="1">
      <c r="A10304" s="2">
        <v>2018.0</v>
      </c>
      <c r="B10304" s="2" t="s">
        <v>41751</v>
      </c>
      <c r="C10304" s="2" t="s">
        <v>41752</v>
      </c>
      <c r="D10304" s="2" t="str">
        <f>"626-629-9800"</f>
        <v>626-629-9800</v>
      </c>
      <c r="E10304" s="2" t="s">
        <v>203</v>
      </c>
      <c r="F10304" s="2" t="s">
        <v>41753</v>
      </c>
      <c r="G10304" s="2" t="str">
        <f>"SR-14473"</f>
        <v>SR-14473</v>
      </c>
      <c r="H10304" s="2" t="s">
        <v>41754</v>
      </c>
      <c r="I10304" s="2" t="s">
        <v>41755</v>
      </c>
      <c r="K10304" s="2" t="s">
        <v>24136</v>
      </c>
      <c r="L10304" s="2" t="s">
        <v>222</v>
      </c>
      <c r="M10304" s="2">
        <v>92602.0</v>
      </c>
      <c r="N10304" s="2" t="s">
        <v>21</v>
      </c>
    </row>
    <row r="10305" ht="15.75" customHeight="1">
      <c r="A10305" s="2">
        <v>2018.0</v>
      </c>
      <c r="B10305" s="2" t="s">
        <v>41756</v>
      </c>
      <c r="C10305" s="2" t="s">
        <v>41757</v>
      </c>
      <c r="D10305" s="2" t="str">
        <f>"315-395-7538"</f>
        <v>315-395-7538</v>
      </c>
      <c r="E10305" s="2" t="s">
        <v>22056</v>
      </c>
      <c r="F10305" s="2" t="s">
        <v>41758</v>
      </c>
      <c r="G10305" s="2" t="str">
        <f>"SR-14444"</f>
        <v>SR-14444</v>
      </c>
      <c r="H10305" s="2" t="s">
        <v>41759</v>
      </c>
      <c r="I10305" s="2" t="s">
        <v>41760</v>
      </c>
      <c r="K10305" s="2" t="s">
        <v>5258</v>
      </c>
      <c r="L10305" s="2" t="s">
        <v>142</v>
      </c>
      <c r="M10305" s="2">
        <v>13039.0</v>
      </c>
      <c r="N10305" s="2" t="s">
        <v>21</v>
      </c>
    </row>
    <row r="10306" ht="15.75" customHeight="1">
      <c r="A10306" s="2">
        <v>2018.0</v>
      </c>
      <c r="B10306" s="2" t="s">
        <v>41761</v>
      </c>
      <c r="C10306" s="2" t="s">
        <v>41762</v>
      </c>
      <c r="D10306" s="2" t="str">
        <f>"949-278-4227"</f>
        <v>949-278-4227</v>
      </c>
      <c r="E10306" s="2" t="s">
        <v>373</v>
      </c>
      <c r="F10306" s="2" t="s">
        <v>41753</v>
      </c>
      <c r="G10306" s="2" t="str">
        <f>"SR-14400"</f>
        <v>SR-14400</v>
      </c>
      <c r="H10306" s="2" t="s">
        <v>41763</v>
      </c>
      <c r="I10306" s="2" t="s">
        <v>41755</v>
      </c>
      <c r="K10306" s="2" t="s">
        <v>24136</v>
      </c>
      <c r="L10306" s="2" t="s">
        <v>222</v>
      </c>
      <c r="M10306" s="2">
        <v>92602.0</v>
      </c>
      <c r="N10306" s="2" t="s">
        <v>21</v>
      </c>
    </row>
    <row r="10307" ht="15.75" customHeight="1">
      <c r="A10307" s="2">
        <v>2018.0</v>
      </c>
      <c r="B10307" s="2" t="s">
        <v>41764</v>
      </c>
      <c r="C10307" s="2" t="s">
        <v>41765</v>
      </c>
      <c r="D10307" s="2" t="str">
        <f>"641 -841-0602"</f>
        <v>641 -841-0602</v>
      </c>
      <c r="E10307" s="2" t="s">
        <v>72</v>
      </c>
      <c r="F10307" s="2" t="s">
        <v>2413</v>
      </c>
      <c r="G10307" s="2" t="str">
        <f>"SR-14476"</f>
        <v>SR-14476</v>
      </c>
      <c r="H10307" s="2" t="s">
        <v>41766</v>
      </c>
      <c r="I10307" s="2" t="s">
        <v>41767</v>
      </c>
      <c r="K10307" s="2" t="s">
        <v>3212</v>
      </c>
      <c r="L10307" s="2" t="s">
        <v>560</v>
      </c>
      <c r="M10307" s="2">
        <v>50208.0</v>
      </c>
      <c r="N10307" s="2" t="s">
        <v>21</v>
      </c>
    </row>
    <row r="10308" ht="15.75" customHeight="1">
      <c r="A10308" s="2">
        <v>2018.0</v>
      </c>
      <c r="B10308" s="2" t="s">
        <v>41768</v>
      </c>
      <c r="C10308" s="2" t="s">
        <v>41769</v>
      </c>
      <c r="D10308" s="2" t="str">
        <f>"6186248006"</f>
        <v>6186248006</v>
      </c>
      <c r="E10308" s="2" t="s">
        <v>2401</v>
      </c>
      <c r="F10308" s="2" t="s">
        <v>4501</v>
      </c>
      <c r="G10308" s="2" t="str">
        <f>"SR-14256"</f>
        <v>SR-14256</v>
      </c>
      <c r="H10308" s="2" t="s">
        <v>41770</v>
      </c>
      <c r="I10308" s="2" t="s">
        <v>4503</v>
      </c>
      <c r="K10308" s="2" t="s">
        <v>4504</v>
      </c>
      <c r="L10308" s="2" t="s">
        <v>105</v>
      </c>
      <c r="M10308" s="2">
        <v>62074.0</v>
      </c>
      <c r="N10308" s="2" t="s">
        <v>21</v>
      </c>
    </row>
    <row r="10309" ht="15.75" customHeight="1">
      <c r="A10309" s="2">
        <v>2018.0</v>
      </c>
      <c r="B10309" s="2" t="s">
        <v>41771</v>
      </c>
      <c r="C10309" s="2" t="s">
        <v>41772</v>
      </c>
      <c r="D10309" s="2" t="str">
        <f>"813-955-1639"</f>
        <v>813-955-1639</v>
      </c>
      <c r="E10309" s="2" t="s">
        <v>41773</v>
      </c>
      <c r="F10309" s="2" t="s">
        <v>9115</v>
      </c>
      <c r="G10309" s="2" t="str">
        <f>"SR-14294"</f>
        <v>SR-14294</v>
      </c>
      <c r="H10309" s="2" t="s">
        <v>41774</v>
      </c>
      <c r="I10309" s="2" t="s">
        <v>41775</v>
      </c>
      <c r="J10309" s="2" t="s">
        <v>23597</v>
      </c>
      <c r="K10309" s="2" t="s">
        <v>32928</v>
      </c>
      <c r="L10309" s="2" t="s">
        <v>208</v>
      </c>
      <c r="M10309" s="2">
        <v>33578.0</v>
      </c>
      <c r="N10309" s="2" t="s">
        <v>21</v>
      </c>
    </row>
    <row r="10310" ht="15.75" customHeight="1">
      <c r="A10310" s="2">
        <v>2018.0</v>
      </c>
      <c r="B10310" s="2" t="s">
        <v>41776</v>
      </c>
      <c r="C10310" s="2" t="s">
        <v>41777</v>
      </c>
      <c r="D10310" s="2" t="str">
        <f>"423-761-6694"</f>
        <v>423-761-6694</v>
      </c>
      <c r="E10310" s="2" t="s">
        <v>261</v>
      </c>
      <c r="F10310" s="2" t="s">
        <v>962</v>
      </c>
      <c r="G10310" s="2" t="str">
        <f>"SR-14320"</f>
        <v>SR-14320</v>
      </c>
      <c r="H10310" s="2" t="s">
        <v>13887</v>
      </c>
      <c r="I10310" s="2" t="s">
        <v>41778</v>
      </c>
      <c r="K10310" s="2" t="s">
        <v>29951</v>
      </c>
      <c r="L10310" s="2" t="s">
        <v>279</v>
      </c>
      <c r="M10310" s="2">
        <v>37317.0</v>
      </c>
      <c r="N10310" s="2" t="s">
        <v>21</v>
      </c>
    </row>
    <row r="10311" ht="15.75" customHeight="1">
      <c r="A10311" s="2">
        <v>2018.0</v>
      </c>
      <c r="B10311" s="2" t="s">
        <v>41425</v>
      </c>
      <c r="C10311" s="2" t="s">
        <v>41779</v>
      </c>
      <c r="D10311" s="2" t="str">
        <f>"9035139740"</f>
        <v>9035139740</v>
      </c>
      <c r="E10311" s="2" t="s">
        <v>678</v>
      </c>
      <c r="F10311" s="2" t="s">
        <v>41427</v>
      </c>
      <c r="G10311" s="2" t="str">
        <f>"SR-14138"</f>
        <v>SR-14138</v>
      </c>
      <c r="H10311" s="2" t="s">
        <v>41780</v>
      </c>
      <c r="I10311" s="2" t="s">
        <v>41429</v>
      </c>
      <c r="K10311" s="2" t="s">
        <v>41430</v>
      </c>
      <c r="L10311" s="2" t="s">
        <v>172</v>
      </c>
      <c r="M10311" s="2">
        <v>76066.0</v>
      </c>
      <c r="N10311" s="2" t="s">
        <v>21</v>
      </c>
    </row>
    <row r="10312" ht="15.75" customHeight="1">
      <c r="A10312" s="2">
        <v>2018.0</v>
      </c>
      <c r="B10312" s="2" t="s">
        <v>41781</v>
      </c>
      <c r="C10312" s="2" t="s">
        <v>41781</v>
      </c>
      <c r="D10312" s="2" t="str">
        <f>"915-490-5283"</f>
        <v>915-490-5283</v>
      </c>
      <c r="E10312" s="2" t="s">
        <v>931</v>
      </c>
      <c r="F10312" s="2" t="s">
        <v>5121</v>
      </c>
      <c r="G10312" s="2" t="str">
        <f>"SR-14483"</f>
        <v>SR-14483</v>
      </c>
      <c r="H10312" s="2" t="s">
        <v>41782</v>
      </c>
      <c r="I10312" s="2" t="s">
        <v>41783</v>
      </c>
      <c r="K10312" s="2" t="s">
        <v>21247</v>
      </c>
      <c r="L10312" s="2" t="s">
        <v>172</v>
      </c>
      <c r="M10312" s="2">
        <v>79922.0</v>
      </c>
      <c r="N10312" s="2" t="s">
        <v>21</v>
      </c>
    </row>
    <row r="10313" ht="15.75" customHeight="1">
      <c r="A10313" s="2">
        <v>2018.0</v>
      </c>
      <c r="B10313" s="2" t="s">
        <v>41784</v>
      </c>
      <c r="C10313" s="2" t="s">
        <v>41784</v>
      </c>
      <c r="D10313" s="2" t="str">
        <f>"5756543762"</f>
        <v>5756543762</v>
      </c>
      <c r="E10313" s="2" t="s">
        <v>41785</v>
      </c>
      <c r="F10313" s="2" t="s">
        <v>11822</v>
      </c>
      <c r="G10313" s="2" t="str">
        <f>"SR-14056"</f>
        <v>SR-14056</v>
      </c>
      <c r="H10313" s="2" t="s">
        <v>41786</v>
      </c>
      <c r="I10313" s="2" t="s">
        <v>41787</v>
      </c>
      <c r="K10313" s="2" t="s">
        <v>19375</v>
      </c>
      <c r="L10313" s="2" t="s">
        <v>789</v>
      </c>
      <c r="M10313" s="2">
        <v>88061.0</v>
      </c>
      <c r="N10313" s="2" t="s">
        <v>21</v>
      </c>
    </row>
    <row r="10314" ht="15.75" customHeight="1">
      <c r="A10314" s="2">
        <v>2018.0</v>
      </c>
      <c r="B10314" s="2" t="s">
        <v>41788</v>
      </c>
      <c r="C10314" s="2" t="s">
        <v>41789</v>
      </c>
      <c r="D10314" s="2" t="str">
        <f>"6602534089"</f>
        <v>6602534089</v>
      </c>
      <c r="E10314" s="2" t="s">
        <v>503</v>
      </c>
      <c r="F10314" s="2" t="s">
        <v>386</v>
      </c>
      <c r="G10314" s="2" t="str">
        <f>"SR-14489"</f>
        <v>SR-14489</v>
      </c>
      <c r="H10314" s="2" t="s">
        <v>41790</v>
      </c>
      <c r="I10314" s="2" t="s">
        <v>41791</v>
      </c>
      <c r="K10314" s="2" t="s">
        <v>41792</v>
      </c>
      <c r="L10314" s="2" t="s">
        <v>214</v>
      </c>
      <c r="M10314" s="2">
        <v>64482.0</v>
      </c>
      <c r="N10314" s="2" t="s">
        <v>21</v>
      </c>
    </row>
    <row r="10315" ht="15.75" customHeight="1">
      <c r="A10315" s="2">
        <v>2018.0</v>
      </c>
      <c r="B10315" s="2" t="s">
        <v>41788</v>
      </c>
      <c r="C10315" s="2" t="s">
        <v>41793</v>
      </c>
      <c r="D10315" s="2" t="str">
        <f>"6602531048"</f>
        <v>6602531048</v>
      </c>
      <c r="E10315" s="2" t="s">
        <v>11981</v>
      </c>
      <c r="F10315" s="2" t="s">
        <v>41794</v>
      </c>
      <c r="G10315" s="2" t="str">
        <f>"SR-14490"</f>
        <v>SR-14490</v>
      </c>
      <c r="H10315" s="2" t="s">
        <v>41795</v>
      </c>
      <c r="I10315" s="2" t="s">
        <v>41796</v>
      </c>
      <c r="K10315" s="2" t="s">
        <v>41792</v>
      </c>
      <c r="L10315" s="2" t="s">
        <v>214</v>
      </c>
      <c r="M10315" s="2">
        <v>64482.0</v>
      </c>
      <c r="N10315" s="2" t="s">
        <v>21</v>
      </c>
    </row>
    <row r="10316" ht="15.75" customHeight="1">
      <c r="A10316" s="2">
        <v>2018.0</v>
      </c>
      <c r="B10316" s="2" t="s">
        <v>41797</v>
      </c>
      <c r="C10316" s="2" t="s">
        <v>41798</v>
      </c>
      <c r="D10316" s="2" t="str">
        <f>"3215053128"</f>
        <v>3215053128</v>
      </c>
      <c r="E10316" s="2" t="s">
        <v>2941</v>
      </c>
      <c r="F10316" s="2" t="s">
        <v>41799</v>
      </c>
      <c r="G10316" s="2" t="str">
        <f>"SR-14324"</f>
        <v>SR-14324</v>
      </c>
      <c r="H10316" s="2" t="s">
        <v>41800</v>
      </c>
      <c r="I10316" s="2" t="s">
        <v>41801</v>
      </c>
      <c r="K10316" s="2" t="s">
        <v>41802</v>
      </c>
      <c r="L10316" s="2" t="s">
        <v>208</v>
      </c>
      <c r="M10316" s="2">
        <v>32904.0</v>
      </c>
      <c r="N10316" s="2" t="s">
        <v>21</v>
      </c>
    </row>
    <row r="10317" ht="15.75" customHeight="1">
      <c r="A10317" s="2">
        <v>2018.0</v>
      </c>
      <c r="B10317" s="2" t="s">
        <v>41803</v>
      </c>
      <c r="C10317" s="2" t="s">
        <v>41804</v>
      </c>
      <c r="D10317" s="2" t="str">
        <f>"17313529516"</f>
        <v>17313529516</v>
      </c>
      <c r="E10317" s="2" t="s">
        <v>72</v>
      </c>
      <c r="F10317" s="2" t="s">
        <v>41805</v>
      </c>
      <c r="G10317" s="2" t="str">
        <f>"SR-14495"</f>
        <v>SR-14495</v>
      </c>
      <c r="H10317" s="2" t="s">
        <v>41806</v>
      </c>
      <c r="I10317" s="2" t="s">
        <v>41807</v>
      </c>
      <c r="K10317" s="2" t="s">
        <v>1034</v>
      </c>
      <c r="L10317" s="2" t="s">
        <v>279</v>
      </c>
      <c r="M10317" s="2">
        <v>38231.0</v>
      </c>
      <c r="N10317" s="2" t="s">
        <v>21</v>
      </c>
    </row>
    <row r="10318" ht="15.75" customHeight="1">
      <c r="A10318" s="2">
        <v>2018.0</v>
      </c>
      <c r="B10318" s="2" t="s">
        <v>41808</v>
      </c>
      <c r="D10318" s="2" t="str">
        <f>""</f>
        <v/>
      </c>
      <c r="E10318" s="2" t="s">
        <v>2309</v>
      </c>
      <c r="F10318" s="2" t="s">
        <v>41809</v>
      </c>
      <c r="G10318" s="2" t="str">
        <f>"SR-13531"</f>
        <v>SR-13531</v>
      </c>
      <c r="H10318" s="2" t="s">
        <v>41810</v>
      </c>
      <c r="N10318" s="2" t="s">
        <v>21</v>
      </c>
    </row>
    <row r="10319" ht="15.75" customHeight="1">
      <c r="A10319" s="2">
        <v>2018.0</v>
      </c>
      <c r="B10319" s="2" t="s">
        <v>41811</v>
      </c>
      <c r="C10319" s="2" t="s">
        <v>41812</v>
      </c>
      <c r="D10319" s="2" t="str">
        <f>"732-864-6863"</f>
        <v>732-864-6863</v>
      </c>
      <c r="E10319" s="2" t="s">
        <v>8353</v>
      </c>
      <c r="F10319" s="2" t="s">
        <v>41813</v>
      </c>
      <c r="G10319" s="2" t="str">
        <f>"SR-14352"</f>
        <v>SR-14352</v>
      </c>
      <c r="H10319" s="2" t="s">
        <v>41814</v>
      </c>
      <c r="I10319" s="2" t="s">
        <v>41815</v>
      </c>
      <c r="K10319" s="2" t="s">
        <v>41816</v>
      </c>
      <c r="L10319" s="2" t="s">
        <v>3618</v>
      </c>
      <c r="M10319" s="2">
        <v>7747.0</v>
      </c>
      <c r="N10319" s="2" t="s">
        <v>21</v>
      </c>
    </row>
    <row r="10320" ht="15.75" customHeight="1">
      <c r="A10320" s="2">
        <v>2018.0</v>
      </c>
      <c r="B10320" s="2" t="s">
        <v>41817</v>
      </c>
      <c r="C10320" s="2" t="s">
        <v>41817</v>
      </c>
      <c r="D10320" s="2" t="str">
        <f>"4256916154"</f>
        <v>4256916154</v>
      </c>
      <c r="E10320" s="2" t="s">
        <v>2162</v>
      </c>
      <c r="F10320" s="2" t="s">
        <v>41818</v>
      </c>
      <c r="G10320" s="2" t="str">
        <f>"SR-14463"</f>
        <v>SR-14463</v>
      </c>
      <c r="H10320" s="2" t="s">
        <v>41819</v>
      </c>
      <c r="I10320" s="2" t="s">
        <v>41820</v>
      </c>
      <c r="J10320" s="2" t="s">
        <v>41821</v>
      </c>
      <c r="K10320" s="2" t="s">
        <v>26614</v>
      </c>
      <c r="L10320" s="2" t="s">
        <v>157</v>
      </c>
      <c r="M10320" s="2">
        <v>80401.0</v>
      </c>
      <c r="N10320" s="2" t="s">
        <v>21</v>
      </c>
    </row>
    <row r="10321" ht="15.75" customHeight="1">
      <c r="A10321" s="2">
        <v>2018.0</v>
      </c>
      <c r="B10321" s="2" t="s">
        <v>15039</v>
      </c>
      <c r="C10321" s="2" t="s">
        <v>15039</v>
      </c>
      <c r="D10321" s="2" t="str">
        <f>"(209)777-4710"</f>
        <v>(209)777-4710</v>
      </c>
      <c r="E10321" s="2" t="s">
        <v>2752</v>
      </c>
      <c r="F10321" s="2" t="s">
        <v>15042</v>
      </c>
      <c r="G10321" s="2" t="str">
        <f>"SR-14477"</f>
        <v>SR-14477</v>
      </c>
      <c r="H10321" s="2" t="s">
        <v>41822</v>
      </c>
      <c r="I10321" s="2" t="s">
        <v>29617</v>
      </c>
      <c r="K10321" s="2" t="s">
        <v>29618</v>
      </c>
      <c r="L10321" s="2" t="s">
        <v>222</v>
      </c>
      <c r="M10321" s="2">
        <v>93610.0</v>
      </c>
      <c r="N10321" s="2" t="s">
        <v>21</v>
      </c>
    </row>
    <row r="10322" ht="15.75" customHeight="1">
      <c r="A10322" s="2">
        <v>2018.0</v>
      </c>
      <c r="B10322" s="2" t="s">
        <v>41823</v>
      </c>
      <c r="C10322" s="2" t="s">
        <v>41824</v>
      </c>
      <c r="D10322" s="2" t="str">
        <f>"(405)837-0332"</f>
        <v>(405)837-0332</v>
      </c>
      <c r="E10322" s="2" t="s">
        <v>862</v>
      </c>
      <c r="F10322" s="2" t="s">
        <v>283</v>
      </c>
      <c r="G10322" s="2" t="str">
        <f>"SR-14362"</f>
        <v>SR-14362</v>
      </c>
      <c r="H10322" s="2" t="s">
        <v>41825</v>
      </c>
      <c r="I10322" s="2" t="s">
        <v>41826</v>
      </c>
      <c r="K10322" s="2" t="s">
        <v>2870</v>
      </c>
      <c r="L10322" s="2" t="s">
        <v>840</v>
      </c>
      <c r="M10322" s="2">
        <v>73071.0</v>
      </c>
      <c r="N10322" s="2" t="s">
        <v>21</v>
      </c>
    </row>
    <row r="10323" ht="15.75" customHeight="1">
      <c r="A10323" s="2">
        <v>2018.0</v>
      </c>
      <c r="B10323" s="2" t="s">
        <v>41823</v>
      </c>
      <c r="C10323" s="2" t="s">
        <v>41827</v>
      </c>
      <c r="D10323" s="2" t="str">
        <f>"405-317-7516"</f>
        <v>405-317-7516</v>
      </c>
      <c r="E10323" s="2" t="s">
        <v>908</v>
      </c>
      <c r="F10323" s="2" t="s">
        <v>283</v>
      </c>
      <c r="G10323" s="2" t="str">
        <f>"SR-14501"</f>
        <v>SR-14501</v>
      </c>
      <c r="H10323" s="2" t="s">
        <v>37377</v>
      </c>
      <c r="I10323" s="2" t="s">
        <v>41826</v>
      </c>
      <c r="K10323" s="2" t="s">
        <v>2870</v>
      </c>
      <c r="L10323" s="2" t="s">
        <v>840</v>
      </c>
      <c r="M10323" s="2">
        <v>73071.0</v>
      </c>
      <c r="N10323" s="2" t="s">
        <v>21</v>
      </c>
    </row>
    <row r="10324" ht="15.75" customHeight="1">
      <c r="A10324" s="2">
        <v>2018.0</v>
      </c>
      <c r="B10324" s="2" t="s">
        <v>41828</v>
      </c>
      <c r="C10324" s="2" t="s">
        <v>41829</v>
      </c>
      <c r="D10324" s="2" t="str">
        <f>"9892174247"</f>
        <v>9892174247</v>
      </c>
      <c r="E10324" s="2" t="s">
        <v>7864</v>
      </c>
      <c r="F10324" s="2" t="s">
        <v>41830</v>
      </c>
      <c r="G10324" s="2" t="str">
        <f>"SR-14334"</f>
        <v>SR-14334</v>
      </c>
      <c r="H10324" s="2" t="s">
        <v>41831</v>
      </c>
      <c r="I10324" s="2" t="s">
        <v>41832</v>
      </c>
      <c r="K10324" s="2" t="s">
        <v>2732</v>
      </c>
      <c r="L10324" s="2" t="s">
        <v>105</v>
      </c>
      <c r="M10324" s="2">
        <v>61568.0</v>
      </c>
      <c r="N10324" s="2" t="s">
        <v>21</v>
      </c>
    </row>
    <row r="10325" ht="15.75" customHeight="1">
      <c r="A10325" s="2">
        <v>2018.0</v>
      </c>
      <c r="B10325" s="2" t="s">
        <v>41833</v>
      </c>
      <c r="C10325" s="2" t="s">
        <v>41833</v>
      </c>
      <c r="D10325" s="2" t="str">
        <f>"7314417346"</f>
        <v>7314417346</v>
      </c>
      <c r="E10325" s="2" t="s">
        <v>2167</v>
      </c>
      <c r="F10325" s="2" t="s">
        <v>41834</v>
      </c>
      <c r="G10325" s="2" t="str">
        <f>"SR-14445"</f>
        <v>SR-14445</v>
      </c>
      <c r="H10325" s="2" t="s">
        <v>41835</v>
      </c>
      <c r="I10325" s="2" t="s">
        <v>41836</v>
      </c>
      <c r="K10325" s="2" t="s">
        <v>15626</v>
      </c>
      <c r="L10325" s="2" t="s">
        <v>279</v>
      </c>
      <c r="M10325" s="2">
        <v>38320.0</v>
      </c>
      <c r="N10325" s="2" t="s">
        <v>21</v>
      </c>
    </row>
    <row r="10326" ht="15.75" customHeight="1">
      <c r="A10326" s="2">
        <v>2018.0</v>
      </c>
      <c r="B10326" s="2" t="s">
        <v>33989</v>
      </c>
      <c r="C10326" s="2" t="s">
        <v>33989</v>
      </c>
      <c r="D10326" s="2" t="str">
        <f>"3072503028"</f>
        <v>3072503028</v>
      </c>
      <c r="E10326" s="2" t="s">
        <v>447</v>
      </c>
      <c r="F10326" s="2" t="s">
        <v>33990</v>
      </c>
      <c r="G10326" s="2" t="str">
        <f>"SR-11027"</f>
        <v>SR-11027</v>
      </c>
      <c r="H10326" s="2" t="s">
        <v>33991</v>
      </c>
      <c r="I10326" s="2" t="s">
        <v>33992</v>
      </c>
      <c r="K10326" s="2" t="s">
        <v>88</v>
      </c>
      <c r="L10326" s="2" t="s">
        <v>1540</v>
      </c>
      <c r="M10326" s="2">
        <v>82414.0</v>
      </c>
      <c r="N10326" s="2" t="s">
        <v>21</v>
      </c>
    </row>
    <row r="10327" ht="15.75" customHeight="1">
      <c r="A10327" s="2">
        <v>2018.0</v>
      </c>
      <c r="B10327" s="2" t="s">
        <v>41837</v>
      </c>
      <c r="C10327" s="2" t="s">
        <v>41838</v>
      </c>
      <c r="D10327" s="2" t="str">
        <f>"2078443573"</f>
        <v>2078443573</v>
      </c>
      <c r="E10327" s="2" t="s">
        <v>160</v>
      </c>
      <c r="F10327" s="2" t="s">
        <v>1756</v>
      </c>
      <c r="G10327" s="2" t="str">
        <f>"SR-14504"</f>
        <v>SR-14504</v>
      </c>
      <c r="H10327" s="2" t="s">
        <v>41839</v>
      </c>
      <c r="I10327" s="2" t="s">
        <v>34870</v>
      </c>
      <c r="K10327" s="2" t="s">
        <v>21677</v>
      </c>
      <c r="L10327" s="2" t="s">
        <v>3737</v>
      </c>
      <c r="M10327" s="2">
        <v>4079.0</v>
      </c>
      <c r="N10327" s="2" t="s">
        <v>21</v>
      </c>
    </row>
    <row r="10328" ht="15.75" customHeight="1">
      <c r="A10328" s="2">
        <v>2018.0</v>
      </c>
      <c r="B10328" s="2" t="s">
        <v>41840</v>
      </c>
      <c r="C10328" s="2" t="s">
        <v>41840</v>
      </c>
      <c r="D10328" s="2" t="str">
        <f>"9516625068"</f>
        <v>9516625068</v>
      </c>
      <c r="E10328" s="2" t="s">
        <v>2243</v>
      </c>
      <c r="F10328" s="2" t="s">
        <v>41841</v>
      </c>
      <c r="G10328" s="2" t="str">
        <f>"SR-14521"</f>
        <v>SR-14521</v>
      </c>
      <c r="H10328" s="2" t="s">
        <v>41842</v>
      </c>
      <c r="I10328" s="2" t="s">
        <v>41843</v>
      </c>
      <c r="K10328" s="2" t="s">
        <v>9348</v>
      </c>
      <c r="L10328" s="2" t="s">
        <v>222</v>
      </c>
      <c r="M10328" s="2">
        <v>92506.0</v>
      </c>
      <c r="N10328" s="2" t="s">
        <v>21</v>
      </c>
    </row>
    <row r="10329" ht="15.75" customHeight="1">
      <c r="A10329" s="2">
        <v>2018.0</v>
      </c>
      <c r="B10329" s="2" t="s">
        <v>41844</v>
      </c>
      <c r="C10329" s="2" t="s">
        <v>41845</v>
      </c>
      <c r="D10329" s="2" t="str">
        <f>"9546834041"</f>
        <v>9546834041</v>
      </c>
      <c r="E10329" s="2" t="s">
        <v>705</v>
      </c>
      <c r="F10329" s="2" t="s">
        <v>6030</v>
      </c>
      <c r="G10329" s="2" t="str">
        <f>"SR-14487"</f>
        <v>SR-14487</v>
      </c>
      <c r="H10329" s="2" t="s">
        <v>41846</v>
      </c>
      <c r="I10329" s="2" t="s">
        <v>41847</v>
      </c>
      <c r="K10329" s="2" t="s">
        <v>15800</v>
      </c>
      <c r="L10329" s="2" t="s">
        <v>208</v>
      </c>
      <c r="M10329" s="2">
        <v>33029.0</v>
      </c>
      <c r="N10329" s="2" t="s">
        <v>21</v>
      </c>
    </row>
    <row r="10330" ht="15.75" customHeight="1">
      <c r="A10330" s="2">
        <v>2018.0</v>
      </c>
      <c r="B10330" s="2" t="s">
        <v>41848</v>
      </c>
      <c r="C10330" s="2" t="s">
        <v>41848</v>
      </c>
      <c r="D10330" s="2" t="str">
        <f>"630-715-6090"</f>
        <v>630-715-6090</v>
      </c>
      <c r="E10330" s="2" t="s">
        <v>6121</v>
      </c>
      <c r="F10330" s="2" t="s">
        <v>21161</v>
      </c>
      <c r="G10330" s="2" t="str">
        <f>"SR-14511"</f>
        <v>SR-14511</v>
      </c>
      <c r="H10330" s="2" t="s">
        <v>41849</v>
      </c>
      <c r="I10330" s="2" t="s">
        <v>41850</v>
      </c>
      <c r="K10330" s="2" t="s">
        <v>1520</v>
      </c>
      <c r="L10330" s="2" t="s">
        <v>105</v>
      </c>
      <c r="M10330" s="2">
        <v>60505.0</v>
      </c>
      <c r="N10330" s="2" t="s">
        <v>21</v>
      </c>
    </row>
    <row r="10331" ht="15.75" customHeight="1">
      <c r="A10331" s="2">
        <v>2018.0</v>
      </c>
      <c r="B10331" s="2" t="s">
        <v>41851</v>
      </c>
      <c r="C10331" s="2" t="s">
        <v>41851</v>
      </c>
      <c r="D10331" s="2" t="str">
        <f>"7316149966"</f>
        <v>7316149966</v>
      </c>
      <c r="E10331" s="2" t="s">
        <v>41852</v>
      </c>
      <c r="F10331" s="2" t="s">
        <v>831</v>
      </c>
      <c r="G10331" s="2" t="str">
        <f>"SR-14181"</f>
        <v>SR-14181</v>
      </c>
      <c r="H10331" s="2" t="s">
        <v>41853</v>
      </c>
      <c r="I10331" s="2" t="s">
        <v>41854</v>
      </c>
      <c r="K10331" s="2" t="s">
        <v>23544</v>
      </c>
      <c r="L10331" s="2" t="s">
        <v>279</v>
      </c>
      <c r="M10331" s="2">
        <v>38242.0</v>
      </c>
      <c r="N10331" s="2" t="s">
        <v>21</v>
      </c>
    </row>
    <row r="10332" ht="15.75" customHeight="1">
      <c r="A10332" s="2">
        <v>2018.0</v>
      </c>
      <c r="B10332" s="2" t="s">
        <v>41855</v>
      </c>
      <c r="C10332" s="2" t="s">
        <v>41856</v>
      </c>
      <c r="D10332" s="2" t="str">
        <f>"901-498-9445"</f>
        <v>901-498-9445</v>
      </c>
      <c r="E10332" s="2" t="s">
        <v>511</v>
      </c>
      <c r="F10332" s="2" t="s">
        <v>2598</v>
      </c>
      <c r="G10332" s="2" t="str">
        <f>"SR-14532"</f>
        <v>SR-14532</v>
      </c>
      <c r="H10332" s="2" t="s">
        <v>41857</v>
      </c>
      <c r="I10332" s="2" t="s">
        <v>41858</v>
      </c>
      <c r="K10332" s="2" t="s">
        <v>5437</v>
      </c>
      <c r="L10332" s="2" t="s">
        <v>279</v>
      </c>
      <c r="M10332" s="2">
        <v>38135.0</v>
      </c>
      <c r="N10332" s="2" t="s">
        <v>21</v>
      </c>
    </row>
    <row r="10333" ht="15.75" customHeight="1">
      <c r="A10333" s="2">
        <v>2018.0</v>
      </c>
      <c r="B10333" s="2" t="s">
        <v>41859</v>
      </c>
      <c r="C10333" s="2" t="s">
        <v>41860</v>
      </c>
      <c r="D10333" s="2" t="str">
        <f>"720-545-5571"</f>
        <v>720-545-5571</v>
      </c>
      <c r="E10333" s="2" t="s">
        <v>1980</v>
      </c>
      <c r="F10333" s="2" t="s">
        <v>41861</v>
      </c>
      <c r="G10333" s="2" t="str">
        <f>"SR-14433"</f>
        <v>SR-14433</v>
      </c>
      <c r="H10333" s="2" t="s">
        <v>41862</v>
      </c>
      <c r="I10333" s="2" t="s">
        <v>41863</v>
      </c>
      <c r="K10333" s="2" t="s">
        <v>1054</v>
      </c>
      <c r="L10333" s="2" t="s">
        <v>157</v>
      </c>
      <c r="M10333" s="2">
        <v>80134.0</v>
      </c>
      <c r="N10333" s="2" t="s">
        <v>21</v>
      </c>
    </row>
    <row r="10334" ht="15.75" customHeight="1">
      <c r="A10334" s="2">
        <v>2018.0</v>
      </c>
      <c r="B10334" s="2" t="s">
        <v>35696</v>
      </c>
      <c r="C10334" s="2" t="s">
        <v>35697</v>
      </c>
      <c r="D10334" s="2" t="str">
        <f>"(915) 822-1417"</f>
        <v>(915) 822-1417</v>
      </c>
      <c r="E10334" s="2" t="s">
        <v>3173</v>
      </c>
      <c r="F10334" s="2" t="s">
        <v>35698</v>
      </c>
      <c r="G10334" s="2" t="str">
        <f>"SR-11413"</f>
        <v>SR-11413</v>
      </c>
      <c r="H10334" s="2" t="s">
        <v>35699</v>
      </c>
      <c r="I10334" s="2" t="s">
        <v>35700</v>
      </c>
      <c r="K10334" s="2" t="s">
        <v>21247</v>
      </c>
      <c r="L10334" s="2" t="s">
        <v>172</v>
      </c>
      <c r="M10334" s="2">
        <v>79934.0</v>
      </c>
      <c r="N10334" s="2" t="s">
        <v>21</v>
      </c>
    </row>
    <row r="10335" ht="15.75" customHeight="1">
      <c r="A10335" s="2">
        <v>2018.0</v>
      </c>
      <c r="B10335" s="2" t="s">
        <v>41864</v>
      </c>
      <c r="C10335" s="2" t="s">
        <v>41865</v>
      </c>
      <c r="D10335" s="2" t="str">
        <f>"6305537122"</f>
        <v>6305537122</v>
      </c>
      <c r="E10335" s="2" t="s">
        <v>81</v>
      </c>
      <c r="F10335" s="2" t="s">
        <v>962</v>
      </c>
      <c r="G10335" s="2" t="str">
        <f>"SR-14491"</f>
        <v>SR-14491</v>
      </c>
      <c r="H10335" s="2" t="s">
        <v>41866</v>
      </c>
      <c r="I10335" s="2" t="s">
        <v>41867</v>
      </c>
      <c r="K10335" s="2" t="s">
        <v>41868</v>
      </c>
      <c r="L10335" s="2" t="s">
        <v>105</v>
      </c>
      <c r="M10335" s="2">
        <v>60560.0</v>
      </c>
      <c r="N10335" s="2" t="s">
        <v>21</v>
      </c>
    </row>
    <row r="10336" ht="15.75" customHeight="1">
      <c r="A10336" s="2">
        <v>2018.0</v>
      </c>
      <c r="B10336" s="2" t="s">
        <v>41869</v>
      </c>
      <c r="C10336" s="2" t="s">
        <v>41870</v>
      </c>
      <c r="D10336" s="2" t="str">
        <f>"952-250-9647"</f>
        <v>952-250-9647</v>
      </c>
      <c r="E10336" s="2" t="s">
        <v>41871</v>
      </c>
      <c r="F10336" s="2" t="s">
        <v>737</v>
      </c>
      <c r="G10336" s="2" t="str">
        <f>"SR-14534"</f>
        <v>SR-14534</v>
      </c>
      <c r="H10336" s="2" t="s">
        <v>41872</v>
      </c>
      <c r="I10336" s="2" t="s">
        <v>41873</v>
      </c>
      <c r="K10336" s="2" t="s">
        <v>9930</v>
      </c>
      <c r="L10336" s="2" t="s">
        <v>62</v>
      </c>
      <c r="M10336" s="2">
        <v>55343.0</v>
      </c>
      <c r="N10336" s="2" t="s">
        <v>21</v>
      </c>
    </row>
    <row r="10337" ht="15.75" customHeight="1">
      <c r="A10337" s="2">
        <v>2018.0</v>
      </c>
      <c r="B10337" s="2" t="s">
        <v>41874</v>
      </c>
      <c r="C10337" s="2" t="s">
        <v>41875</v>
      </c>
      <c r="D10337" s="2" t="str">
        <f>"6185248960"</f>
        <v>6185248960</v>
      </c>
      <c r="E10337" s="2" t="s">
        <v>1263</v>
      </c>
      <c r="F10337" s="2" t="s">
        <v>14691</v>
      </c>
      <c r="G10337" s="2" t="str">
        <f>"SR-14538"</f>
        <v>SR-14538</v>
      </c>
      <c r="H10337" s="2" t="s">
        <v>41876</v>
      </c>
      <c r="I10337" s="2" t="s">
        <v>41877</v>
      </c>
      <c r="K10337" s="2" t="s">
        <v>41878</v>
      </c>
      <c r="L10337" s="2" t="s">
        <v>105</v>
      </c>
      <c r="M10337" s="2">
        <v>62960.0</v>
      </c>
      <c r="N10337" s="2" t="s">
        <v>21</v>
      </c>
    </row>
    <row r="10338" ht="15.75" customHeight="1">
      <c r="A10338" s="2">
        <v>2018.0</v>
      </c>
      <c r="B10338" s="2" t="s">
        <v>41879</v>
      </c>
      <c r="C10338" s="2" t="s">
        <v>41880</v>
      </c>
      <c r="D10338" s="2" t="str">
        <f>"205-243-9998"</f>
        <v>205-243-9998</v>
      </c>
      <c r="E10338" s="2" t="s">
        <v>41881</v>
      </c>
      <c r="F10338" s="2" t="s">
        <v>41882</v>
      </c>
      <c r="G10338" s="2" t="str">
        <f>"SR-14539"</f>
        <v>SR-14539</v>
      </c>
      <c r="H10338" s="2" t="s">
        <v>41883</v>
      </c>
      <c r="I10338" s="2" t="s">
        <v>41884</v>
      </c>
      <c r="K10338" s="2" t="s">
        <v>41885</v>
      </c>
      <c r="L10338" s="2" t="s">
        <v>539</v>
      </c>
      <c r="M10338" s="2">
        <v>35209.0</v>
      </c>
      <c r="N10338" s="2" t="s">
        <v>21</v>
      </c>
    </row>
    <row r="10339" ht="15.75" customHeight="1">
      <c r="A10339" s="2">
        <v>2018.0</v>
      </c>
      <c r="B10339" s="2" t="s">
        <v>41886</v>
      </c>
      <c r="C10339" s="2" t="s">
        <v>41887</v>
      </c>
      <c r="D10339" s="2" t="str">
        <f>"612-804-6953"</f>
        <v>612-804-6953</v>
      </c>
      <c r="E10339" s="2" t="s">
        <v>2361</v>
      </c>
      <c r="F10339" s="2" t="s">
        <v>519</v>
      </c>
      <c r="G10339" s="2" t="str">
        <f>"SR-14542"</f>
        <v>SR-14542</v>
      </c>
      <c r="H10339" s="2" t="s">
        <v>41888</v>
      </c>
      <c r="I10339" s="2" t="s">
        <v>41889</v>
      </c>
      <c r="K10339" s="2" t="s">
        <v>1019</v>
      </c>
      <c r="L10339" s="2" t="s">
        <v>62</v>
      </c>
      <c r="M10339" s="2">
        <v>55438.0</v>
      </c>
      <c r="N10339" s="2" t="s">
        <v>21</v>
      </c>
    </row>
    <row r="10340" ht="15.75" customHeight="1">
      <c r="A10340" s="2">
        <v>2018.0</v>
      </c>
      <c r="B10340" s="2" t="s">
        <v>41890</v>
      </c>
      <c r="C10340" s="2" t="s">
        <v>41891</v>
      </c>
      <c r="D10340" s="2" t="str">
        <f>"865-232-9254"</f>
        <v>865-232-9254</v>
      </c>
      <c r="E10340" s="2" t="s">
        <v>6718</v>
      </c>
      <c r="F10340" s="2" t="s">
        <v>41892</v>
      </c>
      <c r="G10340" s="2" t="str">
        <f>"SR-14536"</f>
        <v>SR-14536</v>
      </c>
      <c r="H10340" s="2" t="s">
        <v>41893</v>
      </c>
      <c r="I10340" s="2" t="s">
        <v>41894</v>
      </c>
      <c r="K10340" s="2" t="s">
        <v>6168</v>
      </c>
      <c r="L10340" s="2" t="s">
        <v>279</v>
      </c>
      <c r="M10340" s="2">
        <v>37932.0</v>
      </c>
      <c r="N10340" s="2" t="s">
        <v>21</v>
      </c>
    </row>
    <row r="10341" ht="15.75" customHeight="1">
      <c r="A10341" s="2">
        <v>2018.0</v>
      </c>
      <c r="B10341" s="2" t="s">
        <v>41895</v>
      </c>
      <c r="C10341" s="2" t="s">
        <v>41896</v>
      </c>
      <c r="D10341" s="2" t="str">
        <f>"205 253 6704"</f>
        <v>205 253 6704</v>
      </c>
      <c r="E10341" s="2" t="s">
        <v>2965</v>
      </c>
      <c r="F10341" s="2" t="s">
        <v>2972</v>
      </c>
      <c r="G10341" s="2" t="str">
        <f>"SR-14543"</f>
        <v>SR-14543</v>
      </c>
      <c r="H10341" s="2" t="s">
        <v>41897</v>
      </c>
      <c r="I10341" s="2" t="s">
        <v>41898</v>
      </c>
      <c r="K10341" s="2" t="s">
        <v>41899</v>
      </c>
      <c r="L10341" s="2" t="s">
        <v>539</v>
      </c>
      <c r="M10341" s="2">
        <v>35226.0</v>
      </c>
      <c r="N10341" s="2" t="s">
        <v>21</v>
      </c>
    </row>
    <row r="10342" ht="15.75" customHeight="1">
      <c r="A10342" s="2">
        <v>2018.0</v>
      </c>
      <c r="B10342" s="2" t="s">
        <v>41900</v>
      </c>
      <c r="C10342" s="2" t="s">
        <v>41901</v>
      </c>
      <c r="D10342" s="2" t="str">
        <f>"731-254-0044"</f>
        <v>731-254-0044</v>
      </c>
      <c r="E10342" s="2" t="s">
        <v>17518</v>
      </c>
      <c r="F10342" s="2" t="s">
        <v>41902</v>
      </c>
      <c r="G10342" s="2" t="str">
        <f>"SR-14541"</f>
        <v>SR-14541</v>
      </c>
      <c r="H10342" s="2" t="s">
        <v>41903</v>
      </c>
      <c r="I10342" s="2" t="s">
        <v>41904</v>
      </c>
      <c r="K10342" s="2" t="s">
        <v>41905</v>
      </c>
      <c r="L10342" s="2" t="s">
        <v>279</v>
      </c>
      <c r="M10342" s="2">
        <v>38075.0</v>
      </c>
      <c r="N10342" s="2" t="s">
        <v>21</v>
      </c>
    </row>
    <row r="10343" ht="15.75" customHeight="1">
      <c r="A10343" s="2">
        <v>2018.0</v>
      </c>
      <c r="B10343" s="2" t="s">
        <v>41906</v>
      </c>
      <c r="C10343" s="2" t="s">
        <v>41907</v>
      </c>
      <c r="D10343" s="2" t="str">
        <f>"2282245351"</f>
        <v>2282245351</v>
      </c>
      <c r="E10343" s="2" t="s">
        <v>282</v>
      </c>
      <c r="F10343" s="2" t="s">
        <v>5561</v>
      </c>
      <c r="G10343" s="2" t="str">
        <f>"SR-14292"</f>
        <v>SR-14292</v>
      </c>
      <c r="H10343" s="2" t="s">
        <v>41908</v>
      </c>
      <c r="I10343" s="2" t="s">
        <v>41909</v>
      </c>
      <c r="K10343" s="2" t="s">
        <v>41910</v>
      </c>
      <c r="L10343" s="2" t="s">
        <v>1722</v>
      </c>
      <c r="M10343" s="2">
        <v>39573.0</v>
      </c>
      <c r="N10343" s="2" t="s">
        <v>21</v>
      </c>
    </row>
    <row r="10344" ht="15.75" customHeight="1">
      <c r="A10344" s="2">
        <v>2018.0</v>
      </c>
      <c r="B10344" s="2" t="s">
        <v>41911</v>
      </c>
      <c r="D10344" s="2" t="str">
        <f>""</f>
        <v/>
      </c>
      <c r="E10344" s="2" t="s">
        <v>1007</v>
      </c>
      <c r="F10344" s="2" t="s">
        <v>41912</v>
      </c>
      <c r="G10344" s="2" t="str">
        <f>"SR-14545"</f>
        <v>SR-14545</v>
      </c>
      <c r="H10344" s="2" t="s">
        <v>41913</v>
      </c>
    </row>
    <row r="10345" ht="15.75" customHeight="1">
      <c r="A10345" s="2">
        <v>2018.0</v>
      </c>
      <c r="B10345" s="2" t="s">
        <v>41914</v>
      </c>
      <c r="C10345" s="2" t="s">
        <v>41914</v>
      </c>
      <c r="D10345" s="2" t="str">
        <f>"307-250-0050"</f>
        <v>307-250-0050</v>
      </c>
      <c r="E10345" s="2" t="s">
        <v>261</v>
      </c>
      <c r="F10345" s="2" t="s">
        <v>33990</v>
      </c>
      <c r="G10345" s="2" t="str">
        <f>"SR-14547"</f>
        <v>SR-14547</v>
      </c>
      <c r="H10345" s="2" t="s">
        <v>41915</v>
      </c>
      <c r="I10345" s="2" t="s">
        <v>41916</v>
      </c>
      <c r="K10345" s="2" t="s">
        <v>88</v>
      </c>
      <c r="L10345" s="2" t="s">
        <v>1540</v>
      </c>
      <c r="M10345" s="2">
        <v>82414.0</v>
      </c>
      <c r="N10345" s="2" t="s">
        <v>21</v>
      </c>
    </row>
    <row r="10346" ht="15.75" customHeight="1">
      <c r="A10346" s="2">
        <v>2018.0</v>
      </c>
      <c r="B10346" s="2" t="s">
        <v>41917</v>
      </c>
      <c r="C10346" s="2" t="s">
        <v>41917</v>
      </c>
      <c r="D10346" s="2" t="str">
        <f>"4235368866"</f>
        <v>4235368866</v>
      </c>
      <c r="E10346" s="2" t="s">
        <v>41918</v>
      </c>
      <c r="F10346" s="2" t="s">
        <v>41919</v>
      </c>
      <c r="G10346" s="2" t="str">
        <f>"SR-14331"</f>
        <v>SR-14331</v>
      </c>
      <c r="H10346" s="2" t="s">
        <v>41920</v>
      </c>
      <c r="I10346" s="2" t="s">
        <v>41921</v>
      </c>
      <c r="K10346" s="2" t="s">
        <v>41922</v>
      </c>
      <c r="L10346" s="2" t="s">
        <v>279</v>
      </c>
      <c r="M10346" s="2">
        <v>37874.0</v>
      </c>
      <c r="N10346" s="2" t="s">
        <v>21</v>
      </c>
    </row>
    <row r="10347" ht="15.75" customHeight="1">
      <c r="A10347" s="2">
        <v>2018.0</v>
      </c>
      <c r="B10347" s="2" t="s">
        <v>41923</v>
      </c>
      <c r="C10347" s="2" t="s">
        <v>41923</v>
      </c>
      <c r="D10347" s="2" t="str">
        <f>"731-927-0080"</f>
        <v>731-927-0080</v>
      </c>
      <c r="E10347" s="2" t="s">
        <v>3037</v>
      </c>
      <c r="F10347" s="2" t="s">
        <v>12105</v>
      </c>
      <c r="G10347" s="2" t="str">
        <f>"SR-14492"</f>
        <v>SR-14492</v>
      </c>
      <c r="H10347" s="2" t="s">
        <v>41924</v>
      </c>
      <c r="I10347" s="2" t="s">
        <v>41925</v>
      </c>
      <c r="K10347" s="2" t="s">
        <v>1257</v>
      </c>
      <c r="L10347" s="2" t="s">
        <v>279</v>
      </c>
      <c r="M10347" s="2">
        <v>38305.0</v>
      </c>
      <c r="N10347" s="2" t="s">
        <v>21</v>
      </c>
    </row>
    <row r="10348" ht="15.75" customHeight="1">
      <c r="A10348" s="2">
        <v>2018.0</v>
      </c>
      <c r="B10348" s="2" t="s">
        <v>41926</v>
      </c>
      <c r="C10348" s="2" t="s">
        <v>41926</v>
      </c>
      <c r="D10348" s="2" t="str">
        <f>"7314262692"</f>
        <v>7314262692</v>
      </c>
      <c r="E10348" s="2" t="s">
        <v>72</v>
      </c>
      <c r="F10348" s="2" t="s">
        <v>1151</v>
      </c>
      <c r="G10348" s="2" t="str">
        <f>"SR-14488"</f>
        <v>SR-14488</v>
      </c>
      <c r="H10348" s="2" t="s">
        <v>22717</v>
      </c>
      <c r="I10348" s="2" t="s">
        <v>41927</v>
      </c>
      <c r="K10348" s="2" t="s">
        <v>1257</v>
      </c>
      <c r="L10348" s="2" t="s">
        <v>279</v>
      </c>
      <c r="M10348" s="2">
        <v>38305.0</v>
      </c>
      <c r="N10348" s="2" t="s">
        <v>21</v>
      </c>
    </row>
    <row r="10349" ht="15.75" customHeight="1">
      <c r="A10349" s="2">
        <v>2018.0</v>
      </c>
      <c r="B10349" s="2" t="s">
        <v>41928</v>
      </c>
      <c r="C10349" s="2" t="s">
        <v>41929</v>
      </c>
      <c r="D10349" s="2" t="str">
        <f>"6622552762"</f>
        <v>6622552762</v>
      </c>
      <c r="E10349" s="2" t="s">
        <v>651</v>
      </c>
      <c r="F10349" s="2" t="s">
        <v>41930</v>
      </c>
      <c r="G10349" s="2" t="str">
        <f>"SR-12216"</f>
        <v>SR-12216</v>
      </c>
      <c r="H10349" s="2" t="s">
        <v>41931</v>
      </c>
      <c r="I10349" s="2" t="s">
        <v>41932</v>
      </c>
      <c r="K10349" s="2" t="s">
        <v>2432</v>
      </c>
      <c r="L10349" s="2" t="s">
        <v>1722</v>
      </c>
      <c r="M10349" s="2">
        <v>38801.0</v>
      </c>
      <c r="N10349" s="2" t="s">
        <v>21</v>
      </c>
    </row>
    <row r="10350" ht="15.75" customHeight="1">
      <c r="A10350" s="2">
        <v>2018.0</v>
      </c>
      <c r="B10350" s="2" t="s">
        <v>41933</v>
      </c>
      <c r="C10350" s="2" t="s">
        <v>41934</v>
      </c>
      <c r="D10350" s="2" t="str">
        <f>"7576926434"</f>
        <v>7576926434</v>
      </c>
      <c r="E10350" s="2" t="s">
        <v>57</v>
      </c>
      <c r="F10350" s="2" t="s">
        <v>41935</v>
      </c>
      <c r="G10350" s="2" t="str">
        <f>"SR-14548"</f>
        <v>SR-14548</v>
      </c>
      <c r="H10350" s="2" t="s">
        <v>41936</v>
      </c>
      <c r="I10350" s="2" t="s">
        <v>41937</v>
      </c>
      <c r="K10350" s="2" t="s">
        <v>8475</v>
      </c>
      <c r="L10350" s="2" t="s">
        <v>165</v>
      </c>
      <c r="M10350" s="2">
        <v>23188.0</v>
      </c>
      <c r="N10350" s="2" t="s">
        <v>21</v>
      </c>
    </row>
    <row r="10351" ht="15.75" customHeight="1">
      <c r="A10351" s="2">
        <v>2018.0</v>
      </c>
      <c r="B10351" s="2" t="s">
        <v>41938</v>
      </c>
      <c r="C10351" s="2" t="s">
        <v>41939</v>
      </c>
      <c r="D10351" s="2" t="str">
        <f>"6154251080"</f>
        <v>6154251080</v>
      </c>
      <c r="E10351" s="2" t="s">
        <v>41940</v>
      </c>
      <c r="F10351" s="2" t="s">
        <v>41941</v>
      </c>
      <c r="G10351" s="2" t="str">
        <f>"SR-14378"</f>
        <v>SR-14378</v>
      </c>
      <c r="H10351" s="2" t="s">
        <v>41942</v>
      </c>
      <c r="I10351" s="2" t="s">
        <v>41943</v>
      </c>
      <c r="K10351" s="2" t="s">
        <v>40251</v>
      </c>
      <c r="L10351" s="2" t="s">
        <v>279</v>
      </c>
      <c r="M10351" s="2">
        <v>37013.0</v>
      </c>
      <c r="N10351" s="2" t="s">
        <v>21</v>
      </c>
    </row>
    <row r="10352" ht="15.75" customHeight="1">
      <c r="A10352" s="2">
        <v>2018.0</v>
      </c>
      <c r="B10352" s="2" t="s">
        <v>41944</v>
      </c>
      <c r="C10352" s="2" t="s">
        <v>41945</v>
      </c>
      <c r="D10352" s="2" t="str">
        <f>"9016046573"</f>
        <v>9016046573</v>
      </c>
      <c r="E10352" s="2" t="s">
        <v>12012</v>
      </c>
      <c r="F10352" s="2" t="s">
        <v>256</v>
      </c>
      <c r="G10352" s="2" t="str">
        <f>"SR-14555"</f>
        <v>SR-14555</v>
      </c>
      <c r="H10352" s="2" t="s">
        <v>41946</v>
      </c>
      <c r="I10352" s="2" t="s">
        <v>41947</v>
      </c>
      <c r="K10352" s="2" t="s">
        <v>22040</v>
      </c>
      <c r="L10352" s="2" t="s">
        <v>279</v>
      </c>
      <c r="M10352" s="2">
        <v>38060.0</v>
      </c>
      <c r="N10352" s="2" t="s">
        <v>21</v>
      </c>
    </row>
    <row r="10353" ht="15.75" customHeight="1">
      <c r="A10353" s="2">
        <v>2018.0</v>
      </c>
      <c r="B10353" s="2" t="s">
        <v>41948</v>
      </c>
      <c r="D10353" s="2" t="str">
        <f>""</f>
        <v/>
      </c>
      <c r="E10353" s="2" t="s">
        <v>456</v>
      </c>
      <c r="F10353" s="2" t="s">
        <v>41949</v>
      </c>
      <c r="G10353" s="2" t="str">
        <f>"SR-14480"</f>
        <v>SR-14480</v>
      </c>
      <c r="H10353" s="2" t="s">
        <v>41950</v>
      </c>
      <c r="N10353" s="2" t="s">
        <v>21</v>
      </c>
    </row>
    <row r="10354" ht="15.75" customHeight="1">
      <c r="A10354" s="2">
        <v>2018.0</v>
      </c>
      <c r="B10354" s="2" t="s">
        <v>41951</v>
      </c>
      <c r="C10354" s="2" t="s">
        <v>41952</v>
      </c>
      <c r="D10354" s="2" t="str">
        <f>"813-424-0954"</f>
        <v>813-424-0954</v>
      </c>
      <c r="E10354" s="2" t="s">
        <v>41953</v>
      </c>
      <c r="F10354" s="2" t="s">
        <v>5808</v>
      </c>
      <c r="G10354" s="2" t="str">
        <f>"SR-14572"</f>
        <v>SR-14572</v>
      </c>
      <c r="H10354" s="2" t="s">
        <v>41954</v>
      </c>
      <c r="I10354" s="2" t="s">
        <v>41955</v>
      </c>
      <c r="K10354" s="2" t="s">
        <v>3431</v>
      </c>
      <c r="L10354" s="2" t="s">
        <v>208</v>
      </c>
      <c r="M10354" s="2">
        <v>33624.0</v>
      </c>
      <c r="N10354" s="2" t="s">
        <v>21</v>
      </c>
    </row>
    <row r="10355" ht="15.75" customHeight="1">
      <c r="A10355" s="2">
        <v>2018.0</v>
      </c>
      <c r="B10355" s="2" t="s">
        <v>41951</v>
      </c>
      <c r="C10355" s="2" t="s">
        <v>41956</v>
      </c>
      <c r="D10355" s="2" t="str">
        <f>"813-389-7403"</f>
        <v>813-389-7403</v>
      </c>
      <c r="E10355" s="2" t="s">
        <v>41957</v>
      </c>
      <c r="F10355" s="2" t="s">
        <v>3323</v>
      </c>
      <c r="G10355" s="2" t="str">
        <f>"SR-14574"</f>
        <v>SR-14574</v>
      </c>
      <c r="H10355" s="2" t="s">
        <v>41958</v>
      </c>
      <c r="I10355" s="2" t="s">
        <v>41959</v>
      </c>
      <c r="K10355" s="2" t="s">
        <v>3431</v>
      </c>
      <c r="L10355" s="2" t="s">
        <v>208</v>
      </c>
      <c r="M10355" s="2">
        <v>33624.0</v>
      </c>
      <c r="N10355" s="2" t="s">
        <v>21</v>
      </c>
    </row>
    <row r="10356" ht="15.75" customHeight="1">
      <c r="A10356" s="2">
        <v>2018.0</v>
      </c>
      <c r="B10356" s="2" t="s">
        <v>41960</v>
      </c>
      <c r="C10356" s="2" t="s">
        <v>41961</v>
      </c>
      <c r="D10356" s="2" t="str">
        <f>"719-651-3271"</f>
        <v>719-651-3271</v>
      </c>
      <c r="E10356" s="2" t="s">
        <v>23911</v>
      </c>
      <c r="F10356" s="2" t="s">
        <v>41962</v>
      </c>
      <c r="G10356" s="2" t="str">
        <f>"SR-14576"</f>
        <v>SR-14576</v>
      </c>
      <c r="H10356" s="2" t="s">
        <v>41963</v>
      </c>
      <c r="I10356" s="2" t="s">
        <v>41964</v>
      </c>
      <c r="K10356" s="2" t="s">
        <v>809</v>
      </c>
      <c r="L10356" s="2" t="s">
        <v>157</v>
      </c>
      <c r="M10356" s="2">
        <v>80909.0</v>
      </c>
      <c r="N10356" s="2" t="s">
        <v>21</v>
      </c>
    </row>
    <row r="10357" ht="15.75" customHeight="1">
      <c r="A10357" s="2">
        <v>2018.0</v>
      </c>
      <c r="B10357" s="2" t="s">
        <v>41965</v>
      </c>
      <c r="C10357" s="2" t="s">
        <v>41966</v>
      </c>
      <c r="D10357" s="2" t="str">
        <f>"303-726-9550"</f>
        <v>303-726-9550</v>
      </c>
      <c r="E10357" s="2" t="s">
        <v>39130</v>
      </c>
      <c r="F10357" s="2" t="s">
        <v>41967</v>
      </c>
      <c r="G10357" s="2" t="str">
        <f>"SR-14578"</f>
        <v>SR-14578</v>
      </c>
      <c r="H10357" s="2" t="s">
        <v>41968</v>
      </c>
      <c r="I10357" s="2" t="s">
        <v>41969</v>
      </c>
      <c r="K10357" s="2" t="s">
        <v>41970</v>
      </c>
      <c r="L10357" s="2" t="s">
        <v>157</v>
      </c>
      <c r="M10357" s="2">
        <v>80121.0</v>
      </c>
      <c r="N10357" s="2" t="s">
        <v>21</v>
      </c>
    </row>
    <row r="10358" ht="15.75" customHeight="1">
      <c r="A10358" s="2">
        <v>2018.0</v>
      </c>
      <c r="B10358" s="2" t="s">
        <v>41971</v>
      </c>
      <c r="C10358" s="2" t="s">
        <v>41972</v>
      </c>
      <c r="D10358" s="2" t="str">
        <f>"0425254010"</f>
        <v>0425254010</v>
      </c>
      <c r="E10358" s="2" t="s">
        <v>41973</v>
      </c>
      <c r="F10358" s="2" t="s">
        <v>41974</v>
      </c>
      <c r="G10358" s="2" t="str">
        <f>"SR-14503"</f>
        <v>SR-14503</v>
      </c>
      <c r="H10358" s="2" t="s">
        <v>41975</v>
      </c>
      <c r="I10358" s="2" t="s">
        <v>41976</v>
      </c>
      <c r="J10358" s="2" t="s">
        <v>41977</v>
      </c>
      <c r="K10358" s="2" t="s">
        <v>1251</v>
      </c>
      <c r="L10358" s="2" t="s">
        <v>41978</v>
      </c>
      <c r="M10358" s="2">
        <v>2112.0</v>
      </c>
      <c r="N10358" s="2" t="s">
        <v>4442</v>
      </c>
    </row>
    <row r="10359" ht="15.75" customHeight="1">
      <c r="A10359" s="2">
        <v>2018.0</v>
      </c>
      <c r="B10359" s="2" t="s">
        <v>41979</v>
      </c>
      <c r="C10359" s="2" t="s">
        <v>41980</v>
      </c>
      <c r="D10359" s="2" t="str">
        <f>"5703270731"</f>
        <v>5703270731</v>
      </c>
      <c r="E10359" s="2" t="s">
        <v>34097</v>
      </c>
      <c r="F10359" s="2" t="s">
        <v>41981</v>
      </c>
      <c r="G10359" s="2" t="str">
        <f>"SR-14551"</f>
        <v>SR-14551</v>
      </c>
      <c r="H10359" s="2" t="s">
        <v>41982</v>
      </c>
      <c r="I10359" s="2" t="s">
        <v>41983</v>
      </c>
      <c r="K10359" s="2" t="s">
        <v>41984</v>
      </c>
      <c r="L10359" s="2" t="s">
        <v>179</v>
      </c>
      <c r="M10359" s="2">
        <v>17754.0</v>
      </c>
      <c r="N10359" s="2" t="s">
        <v>21</v>
      </c>
    </row>
    <row r="10360" ht="15.75" customHeight="1">
      <c r="A10360" s="2">
        <v>2018.0</v>
      </c>
      <c r="B10360" s="2" t="s">
        <v>41985</v>
      </c>
      <c r="C10360" s="2" t="s">
        <v>41985</v>
      </c>
      <c r="D10360" s="2" t="str">
        <f>"8565364531"</f>
        <v>8565364531</v>
      </c>
      <c r="E10360" s="2" t="s">
        <v>1208</v>
      </c>
      <c r="F10360" s="2" t="s">
        <v>10571</v>
      </c>
      <c r="G10360" s="2" t="str">
        <f>"SR-14137"</f>
        <v>SR-14137</v>
      </c>
      <c r="H10360" s="2" t="s">
        <v>41986</v>
      </c>
      <c r="I10360" s="2" t="s">
        <v>41987</v>
      </c>
      <c r="K10360" s="2" t="s">
        <v>41988</v>
      </c>
      <c r="L10360" s="2" t="s">
        <v>3618</v>
      </c>
      <c r="M10360" s="2">
        <v>8077.0</v>
      </c>
      <c r="N10360" s="2" t="s">
        <v>21</v>
      </c>
    </row>
    <row r="10361" ht="15.75" customHeight="1">
      <c r="A10361" s="2">
        <v>2018.0</v>
      </c>
      <c r="B10361" s="2" t="s">
        <v>41989</v>
      </c>
      <c r="C10361" s="2" t="s">
        <v>41989</v>
      </c>
      <c r="D10361" s="2" t="str">
        <f>"2709705310"</f>
        <v>2709705310</v>
      </c>
      <c r="E10361" s="2" t="s">
        <v>1251</v>
      </c>
      <c r="F10361" s="2" t="s">
        <v>9036</v>
      </c>
      <c r="G10361" s="2" t="str">
        <f>"SR-14571"</f>
        <v>SR-14571</v>
      </c>
      <c r="H10361" s="2" t="s">
        <v>41990</v>
      </c>
      <c r="I10361" s="2" t="s">
        <v>41991</v>
      </c>
      <c r="K10361" s="2" t="s">
        <v>821</v>
      </c>
      <c r="L10361" s="2" t="s">
        <v>1236</v>
      </c>
      <c r="M10361" s="2">
        <v>42051.0</v>
      </c>
      <c r="N10361" s="2" t="s">
        <v>21</v>
      </c>
    </row>
    <row r="10362" ht="15.75" customHeight="1">
      <c r="A10362" s="2">
        <v>2018.0</v>
      </c>
      <c r="B10362" s="2" t="s">
        <v>41992</v>
      </c>
      <c r="C10362" s="2" t="s">
        <v>41992</v>
      </c>
      <c r="D10362" s="2" t="str">
        <f>"423 782 0732"</f>
        <v>423 782 0732</v>
      </c>
      <c r="E10362" s="2" t="s">
        <v>2412</v>
      </c>
      <c r="F10362" s="2" t="s">
        <v>4675</v>
      </c>
      <c r="G10362" s="2" t="str">
        <f>"SR-14583"</f>
        <v>SR-14583</v>
      </c>
      <c r="H10362" s="2" t="s">
        <v>41993</v>
      </c>
      <c r="I10362" s="2" t="s">
        <v>41994</v>
      </c>
      <c r="K10362" s="2" t="s">
        <v>5493</v>
      </c>
      <c r="L10362" s="2" t="s">
        <v>279</v>
      </c>
      <c r="M10362" s="2">
        <v>37620.0</v>
      </c>
      <c r="N10362" s="2" t="s">
        <v>21</v>
      </c>
    </row>
    <row r="10363" ht="15.75" customHeight="1">
      <c r="A10363" s="2">
        <v>2018.0</v>
      </c>
      <c r="B10363" s="2" t="s">
        <v>41995</v>
      </c>
      <c r="C10363" s="2" t="s">
        <v>41996</v>
      </c>
      <c r="D10363" s="2" t="str">
        <f>"5127790256"</f>
        <v>5127790256</v>
      </c>
      <c r="E10363" s="2" t="s">
        <v>9619</v>
      </c>
      <c r="F10363" s="2" t="s">
        <v>41997</v>
      </c>
      <c r="G10363" s="2" t="str">
        <f>"SR-13868"</f>
        <v>SR-13868</v>
      </c>
      <c r="H10363" s="2" t="s">
        <v>41998</v>
      </c>
      <c r="I10363" s="2" t="s">
        <v>41999</v>
      </c>
      <c r="K10363" s="2" t="s">
        <v>1141</v>
      </c>
      <c r="L10363" s="2" t="s">
        <v>172</v>
      </c>
      <c r="M10363" s="2">
        <v>78727.0</v>
      </c>
      <c r="N10363" s="2" t="s">
        <v>21</v>
      </c>
    </row>
    <row r="10364" ht="15.75" customHeight="1">
      <c r="A10364" s="2">
        <v>2018.0</v>
      </c>
      <c r="B10364" s="2" t="s">
        <v>42000</v>
      </c>
      <c r="C10364" s="2" t="s">
        <v>42001</v>
      </c>
      <c r="D10364" s="2" t="str">
        <f>"402-851-3010"</f>
        <v>402-851-3010</v>
      </c>
      <c r="E10364" s="2" t="s">
        <v>705</v>
      </c>
      <c r="F10364" s="2" t="s">
        <v>42002</v>
      </c>
      <c r="G10364" s="2" t="str">
        <f>"SR-14470"</f>
        <v>SR-14470</v>
      </c>
      <c r="H10364" s="2" t="s">
        <v>42003</v>
      </c>
      <c r="I10364" s="2" t="s">
        <v>42004</v>
      </c>
      <c r="K10364" s="2" t="s">
        <v>11726</v>
      </c>
      <c r="L10364" s="2" t="s">
        <v>757</v>
      </c>
      <c r="M10364" s="2">
        <v>68701.0</v>
      </c>
      <c r="N10364" s="2" t="s">
        <v>21</v>
      </c>
    </row>
    <row r="10365" ht="15.75" customHeight="1">
      <c r="A10365" s="2">
        <v>2018.0</v>
      </c>
      <c r="B10365" s="2" t="s">
        <v>42005</v>
      </c>
      <c r="C10365" s="2" t="s">
        <v>42005</v>
      </c>
      <c r="D10365" s="2" t="str">
        <f>"217-530-2226"</f>
        <v>217-530-2226</v>
      </c>
      <c r="E10365" s="2" t="s">
        <v>42006</v>
      </c>
      <c r="F10365" s="2" t="s">
        <v>1257</v>
      </c>
      <c r="G10365" s="2" t="str">
        <f>"SR-14567"</f>
        <v>SR-14567</v>
      </c>
      <c r="H10365" s="2" t="s">
        <v>42007</v>
      </c>
      <c r="I10365" s="2" t="s">
        <v>42008</v>
      </c>
      <c r="K10365" s="2" t="s">
        <v>17916</v>
      </c>
      <c r="L10365" s="2" t="s">
        <v>105</v>
      </c>
      <c r="M10365" s="2">
        <v>61834.0</v>
      </c>
      <c r="N10365" s="2" t="s">
        <v>21</v>
      </c>
    </row>
    <row r="10366" ht="15.75" customHeight="1">
      <c r="A10366" s="2">
        <v>2018.0</v>
      </c>
      <c r="B10366" s="2" t="s">
        <v>42009</v>
      </c>
      <c r="C10366" s="2" t="s">
        <v>42009</v>
      </c>
      <c r="D10366" s="2" t="str">
        <f>"7165973773"</f>
        <v>7165973773</v>
      </c>
      <c r="E10366" s="2" t="s">
        <v>1015</v>
      </c>
      <c r="F10366" s="2" t="s">
        <v>645</v>
      </c>
      <c r="G10366" s="2" t="str">
        <f>"SR-14564"</f>
        <v>SR-14564</v>
      </c>
      <c r="H10366" s="2" t="s">
        <v>27296</v>
      </c>
      <c r="I10366" s="2" t="s">
        <v>42010</v>
      </c>
      <c r="K10366" s="2" t="s">
        <v>33882</v>
      </c>
      <c r="L10366" s="2" t="s">
        <v>142</v>
      </c>
      <c r="M10366" s="2">
        <v>14031.0</v>
      </c>
      <c r="N10366" s="2" t="s">
        <v>21</v>
      </c>
    </row>
    <row r="10367" ht="15.75" customHeight="1">
      <c r="A10367" s="2">
        <v>2018.0</v>
      </c>
      <c r="B10367" s="2" t="s">
        <v>42011</v>
      </c>
      <c r="C10367" s="2" t="s">
        <v>42012</v>
      </c>
      <c r="D10367" s="2" t="str">
        <f>"407 558-8419"</f>
        <v>407 558-8419</v>
      </c>
      <c r="E10367" s="2" t="s">
        <v>1664</v>
      </c>
      <c r="F10367" s="2" t="s">
        <v>42013</v>
      </c>
      <c r="G10367" s="2" t="str">
        <f>"SR-14577"</f>
        <v>SR-14577</v>
      </c>
      <c r="H10367" s="2" t="s">
        <v>42014</v>
      </c>
      <c r="I10367" s="2" t="s">
        <v>42015</v>
      </c>
      <c r="K10367" s="2" t="s">
        <v>4724</v>
      </c>
      <c r="L10367" s="2" t="s">
        <v>208</v>
      </c>
      <c r="M10367" s="2">
        <v>32818.0</v>
      </c>
      <c r="N10367" s="2" t="s">
        <v>21</v>
      </c>
    </row>
    <row r="10368" ht="15.75" customHeight="1">
      <c r="A10368" s="2">
        <v>2018.0</v>
      </c>
      <c r="B10368" s="2" t="s">
        <v>42016</v>
      </c>
      <c r="C10368" s="2" t="s">
        <v>42017</v>
      </c>
      <c r="D10368" s="2" t="str">
        <f>"731 334 9473"</f>
        <v>731 334 9473</v>
      </c>
      <c r="E10368" s="2" t="s">
        <v>2851</v>
      </c>
      <c r="F10368" s="2" t="s">
        <v>10173</v>
      </c>
      <c r="G10368" s="2" t="str">
        <f>"SR-14585"</f>
        <v>SR-14585</v>
      </c>
      <c r="H10368" s="2" t="s">
        <v>42018</v>
      </c>
      <c r="I10368" s="2" t="s">
        <v>42019</v>
      </c>
      <c r="K10368" s="2" t="s">
        <v>41495</v>
      </c>
      <c r="L10368" s="2" t="s">
        <v>279</v>
      </c>
      <c r="M10368" s="2">
        <v>38024.0</v>
      </c>
      <c r="N10368" s="2" t="s">
        <v>21</v>
      </c>
    </row>
    <row r="10369" ht="15.75" customHeight="1">
      <c r="A10369" s="2">
        <v>2018.0</v>
      </c>
      <c r="B10369" s="2" t="s">
        <v>42020</v>
      </c>
      <c r="C10369" s="2" t="s">
        <v>42021</v>
      </c>
      <c r="D10369" s="2" t="str">
        <f>"7172253247"</f>
        <v>7172253247</v>
      </c>
      <c r="E10369" s="2" t="s">
        <v>6539</v>
      </c>
      <c r="F10369" s="2" t="s">
        <v>42022</v>
      </c>
      <c r="G10369" s="2" t="str">
        <f>"SR-14563"</f>
        <v>SR-14563</v>
      </c>
      <c r="H10369" s="2" t="s">
        <v>42023</v>
      </c>
      <c r="I10369" s="2" t="s">
        <v>42024</v>
      </c>
      <c r="K10369" s="2" t="s">
        <v>42025</v>
      </c>
      <c r="L10369" s="2" t="s">
        <v>179</v>
      </c>
      <c r="M10369" s="2">
        <v>17362.0</v>
      </c>
      <c r="N10369" s="2" t="s">
        <v>21</v>
      </c>
    </row>
    <row r="10370" ht="15.75" customHeight="1">
      <c r="A10370" s="2">
        <v>2018.0</v>
      </c>
      <c r="B10370" s="2" t="s">
        <v>42026</v>
      </c>
      <c r="C10370" s="2" t="s">
        <v>42027</v>
      </c>
      <c r="D10370" s="2" t="str">
        <f>"6155980801"</f>
        <v>6155980801</v>
      </c>
      <c r="E10370" s="2" t="s">
        <v>3597</v>
      </c>
      <c r="F10370" s="2" t="s">
        <v>42028</v>
      </c>
      <c r="G10370" s="2" t="str">
        <f>"SR-14039"</f>
        <v>SR-14039</v>
      </c>
      <c r="H10370" s="2" t="s">
        <v>42029</v>
      </c>
      <c r="I10370" s="2" t="s">
        <v>42030</v>
      </c>
      <c r="K10370" s="2" t="s">
        <v>9868</v>
      </c>
      <c r="L10370" s="2" t="s">
        <v>279</v>
      </c>
      <c r="M10370" s="2">
        <v>37027.0</v>
      </c>
      <c r="N10370" s="2" t="s">
        <v>21</v>
      </c>
    </row>
    <row r="10371" ht="15.75" customHeight="1">
      <c r="A10371" s="2">
        <v>2018.0</v>
      </c>
      <c r="B10371" s="2" t="s">
        <v>42031</v>
      </c>
      <c r="C10371" s="2" t="s">
        <v>42032</v>
      </c>
      <c r="D10371" s="2" t="str">
        <f>"7195283969"</f>
        <v>7195283969</v>
      </c>
      <c r="E10371" s="2" t="s">
        <v>1554</v>
      </c>
      <c r="F10371" s="2" t="s">
        <v>42033</v>
      </c>
      <c r="G10371" s="2" t="str">
        <f>"SR-14525"</f>
        <v>SR-14525</v>
      </c>
      <c r="H10371" s="2" t="s">
        <v>42034</v>
      </c>
      <c r="I10371" s="2" t="s">
        <v>42035</v>
      </c>
      <c r="K10371" s="2" t="s">
        <v>12320</v>
      </c>
      <c r="L10371" s="2" t="s">
        <v>157</v>
      </c>
      <c r="M10371" s="2">
        <v>81039.0</v>
      </c>
      <c r="N10371" s="2" t="s">
        <v>21</v>
      </c>
    </row>
    <row r="10372" ht="15.75" customHeight="1">
      <c r="A10372" s="2">
        <v>2018.0</v>
      </c>
      <c r="B10372" s="2" t="s">
        <v>42036</v>
      </c>
      <c r="C10372" s="2" t="s">
        <v>42037</v>
      </c>
      <c r="D10372" s="2" t="str">
        <f>"7197224040"</f>
        <v>7197224040</v>
      </c>
      <c r="E10372" s="2" t="s">
        <v>1713</v>
      </c>
      <c r="F10372" s="2" t="s">
        <v>42038</v>
      </c>
      <c r="G10372" s="2" t="str">
        <f>"SR-13009"</f>
        <v>SR-13009</v>
      </c>
      <c r="H10372" s="2" t="s">
        <v>42039</v>
      </c>
      <c r="I10372" s="2" t="s">
        <v>42040</v>
      </c>
      <c r="K10372" s="2" t="s">
        <v>507</v>
      </c>
      <c r="L10372" s="2" t="s">
        <v>157</v>
      </c>
      <c r="M10372" s="2">
        <v>80132.0</v>
      </c>
      <c r="N10372" s="2" t="s">
        <v>21</v>
      </c>
    </row>
    <row r="10373" ht="15.75" customHeight="1">
      <c r="A10373" s="2">
        <v>2018.0</v>
      </c>
      <c r="B10373" s="2" t="s">
        <v>42041</v>
      </c>
      <c r="C10373" s="2" t="s">
        <v>42042</v>
      </c>
      <c r="D10373" s="2" t="str">
        <f>"615-638-9530"</f>
        <v>615-638-9530</v>
      </c>
      <c r="E10373" s="2" t="s">
        <v>6170</v>
      </c>
      <c r="F10373" s="2" t="s">
        <v>42043</v>
      </c>
      <c r="G10373" s="2" t="str">
        <f>"SR-14160"</f>
        <v>SR-14160</v>
      </c>
      <c r="H10373" s="2" t="s">
        <v>42044</v>
      </c>
      <c r="I10373" s="2" t="s">
        <v>42045</v>
      </c>
      <c r="K10373" s="2" t="s">
        <v>42046</v>
      </c>
      <c r="L10373" s="2" t="s">
        <v>279</v>
      </c>
      <c r="M10373" s="2">
        <v>37128.0</v>
      </c>
      <c r="N10373" s="2" t="s">
        <v>21</v>
      </c>
    </row>
    <row r="10374" ht="15.75" customHeight="1">
      <c r="A10374" s="2">
        <v>2018.0</v>
      </c>
      <c r="B10374" s="2" t="s">
        <v>42047</v>
      </c>
      <c r="C10374" s="2" t="s">
        <v>42048</v>
      </c>
      <c r="D10374" s="2" t="str">
        <f>"509-492-1615"</f>
        <v>509-492-1615</v>
      </c>
      <c r="E10374" s="2" t="s">
        <v>7095</v>
      </c>
      <c r="F10374" s="2" t="s">
        <v>42049</v>
      </c>
      <c r="G10374" s="2" t="str">
        <f>"SR-14581"</f>
        <v>SR-14581</v>
      </c>
      <c r="H10374" s="2" t="s">
        <v>42050</v>
      </c>
      <c r="I10374" s="2" t="s">
        <v>42051</v>
      </c>
      <c r="K10374" s="2" t="s">
        <v>9516</v>
      </c>
      <c r="L10374" s="2" t="s">
        <v>86</v>
      </c>
      <c r="M10374" s="2">
        <v>99301.0</v>
      </c>
      <c r="N10374" s="2" t="s">
        <v>21</v>
      </c>
    </row>
    <row r="10375" ht="15.75" customHeight="1">
      <c r="A10375" s="2">
        <v>2018.0</v>
      </c>
      <c r="B10375" s="2" t="s">
        <v>42052</v>
      </c>
      <c r="C10375" s="2" t="s">
        <v>42052</v>
      </c>
      <c r="D10375" s="2" t="str">
        <f>"0049721811627"</f>
        <v>0049721811627</v>
      </c>
      <c r="E10375" s="2" t="s">
        <v>24063</v>
      </c>
      <c r="F10375" s="2" t="s">
        <v>320</v>
      </c>
      <c r="G10375" s="2" t="str">
        <f>"SR-14566"</f>
        <v>SR-14566</v>
      </c>
      <c r="H10375" s="2" t="s">
        <v>42053</v>
      </c>
      <c r="I10375" s="2" t="s">
        <v>42054</v>
      </c>
      <c r="K10375" s="2" t="s">
        <v>42055</v>
      </c>
      <c r="M10375" s="2">
        <v>76135.0</v>
      </c>
      <c r="N10375" s="2" t="s">
        <v>30008</v>
      </c>
    </row>
    <row r="10376" ht="15.75" customHeight="1">
      <c r="A10376" s="2">
        <v>2018.0</v>
      </c>
      <c r="B10376" s="2" t="s">
        <v>42056</v>
      </c>
      <c r="C10376" s="2" t="s">
        <v>42057</v>
      </c>
      <c r="D10376" s="2" t="str">
        <f>"828-713-3383"</f>
        <v>828-713-3383</v>
      </c>
      <c r="E10376" s="2" t="s">
        <v>1007</v>
      </c>
      <c r="F10376" s="2" t="s">
        <v>42058</v>
      </c>
      <c r="G10376" s="2" t="str">
        <f>"SR-14257"</f>
        <v>SR-14257</v>
      </c>
      <c r="H10376" s="2" t="s">
        <v>42059</v>
      </c>
      <c r="I10376" s="2" t="s">
        <v>42060</v>
      </c>
      <c r="K10376" s="2" t="s">
        <v>42061</v>
      </c>
      <c r="L10376" s="2" t="s">
        <v>20</v>
      </c>
      <c r="M10376" s="2">
        <v>28711.0</v>
      </c>
      <c r="N10376" s="2" t="s">
        <v>21</v>
      </c>
    </row>
    <row r="10377" ht="15.75" customHeight="1">
      <c r="A10377" s="2">
        <v>2018.0</v>
      </c>
      <c r="B10377" s="2" t="s">
        <v>42062</v>
      </c>
      <c r="C10377" s="2" t="s">
        <v>42062</v>
      </c>
      <c r="D10377" s="2" t="str">
        <f>"0811132-49"</f>
        <v>0811132-49</v>
      </c>
      <c r="E10377" s="2" t="s">
        <v>42063</v>
      </c>
      <c r="F10377" s="2" t="s">
        <v>42064</v>
      </c>
      <c r="G10377" s="2" t="str">
        <f>"SR-14076"</f>
        <v>SR-14076</v>
      </c>
      <c r="H10377" s="2" t="s">
        <v>42065</v>
      </c>
      <c r="I10377" s="2" t="s">
        <v>42066</v>
      </c>
      <c r="K10377" s="2" t="s">
        <v>42067</v>
      </c>
      <c r="L10377" s="2" t="s">
        <v>42068</v>
      </c>
      <c r="M10377" s="2">
        <v>12720.0</v>
      </c>
      <c r="N10377" s="2" t="s">
        <v>42069</v>
      </c>
    </row>
    <row r="10378" ht="15.75" customHeight="1">
      <c r="A10378" s="2">
        <v>2018.0</v>
      </c>
      <c r="B10378" s="2" t="s">
        <v>42070</v>
      </c>
      <c r="C10378" s="2" t="s">
        <v>42071</v>
      </c>
      <c r="D10378" s="2" t="str">
        <f>"3158913079"</f>
        <v>3158913079</v>
      </c>
      <c r="E10378" s="2" t="s">
        <v>225</v>
      </c>
      <c r="F10378" s="2" t="s">
        <v>962</v>
      </c>
      <c r="G10378" s="2" t="str">
        <f>"SR-13987"</f>
        <v>SR-13987</v>
      </c>
      <c r="H10378" s="2" t="s">
        <v>26989</v>
      </c>
      <c r="I10378" s="2" t="s">
        <v>42072</v>
      </c>
      <c r="K10378" s="2" t="s">
        <v>33825</v>
      </c>
      <c r="L10378" s="2" t="s">
        <v>142</v>
      </c>
      <c r="M10378" s="2">
        <v>13416.0</v>
      </c>
      <c r="N10378" s="2" t="s">
        <v>21</v>
      </c>
    </row>
    <row r="10379" ht="15.75" customHeight="1">
      <c r="A10379" s="2">
        <v>2018.0</v>
      </c>
      <c r="B10379" s="2" t="s">
        <v>42073</v>
      </c>
      <c r="C10379" s="2" t="s">
        <v>42074</v>
      </c>
      <c r="D10379" s="2" t="str">
        <f>"405-443-8388"</f>
        <v>405-443-8388</v>
      </c>
      <c r="E10379" s="2" t="s">
        <v>453</v>
      </c>
      <c r="F10379" s="2" t="s">
        <v>5575</v>
      </c>
      <c r="G10379" s="2" t="str">
        <f>"SR-14544"</f>
        <v>SR-14544</v>
      </c>
      <c r="H10379" s="2" t="s">
        <v>42075</v>
      </c>
      <c r="I10379" s="2" t="s">
        <v>42076</v>
      </c>
      <c r="K10379" s="2" t="s">
        <v>2870</v>
      </c>
      <c r="L10379" s="2" t="s">
        <v>840</v>
      </c>
      <c r="M10379" s="2">
        <v>73072.0</v>
      </c>
      <c r="N10379" s="2" t="s">
        <v>21</v>
      </c>
    </row>
    <row r="10380" ht="15.75" customHeight="1">
      <c r="A10380" s="2">
        <v>2018.0</v>
      </c>
      <c r="B10380" s="2" t="s">
        <v>42077</v>
      </c>
      <c r="C10380" s="2" t="s">
        <v>42078</v>
      </c>
      <c r="D10380" s="2" t="str">
        <f>"7319266625"</f>
        <v>7319266625</v>
      </c>
      <c r="E10380" s="2" t="s">
        <v>9924</v>
      </c>
      <c r="F10380" s="2" t="s">
        <v>42079</v>
      </c>
      <c r="G10380" s="2" t="str">
        <f>"SR-14595"</f>
        <v>SR-14595</v>
      </c>
      <c r="H10380" s="2" t="s">
        <v>42080</v>
      </c>
      <c r="I10380" s="2" t="s">
        <v>42081</v>
      </c>
      <c r="K10380" s="2" t="s">
        <v>1257</v>
      </c>
      <c r="L10380" s="2" t="s">
        <v>279</v>
      </c>
      <c r="M10380" s="2">
        <v>38305.0</v>
      </c>
      <c r="N10380" s="2" t="s">
        <v>21</v>
      </c>
    </row>
    <row r="10381" ht="15.75" customHeight="1">
      <c r="A10381" s="2">
        <v>2018.0</v>
      </c>
      <c r="B10381" s="2" t="s">
        <v>42082</v>
      </c>
      <c r="C10381" s="2" t="s">
        <v>42082</v>
      </c>
      <c r="D10381" s="2" t="str">
        <f>"4032080425"</f>
        <v>4032080425</v>
      </c>
      <c r="E10381" s="2" t="s">
        <v>217</v>
      </c>
      <c r="F10381" s="2" t="s">
        <v>42083</v>
      </c>
      <c r="G10381" s="2" t="str">
        <f>"SR-14554"</f>
        <v>SR-14554</v>
      </c>
      <c r="H10381" s="2" t="s">
        <v>42084</v>
      </c>
      <c r="I10381" s="2" t="s">
        <v>42085</v>
      </c>
      <c r="K10381" s="2" t="s">
        <v>42086</v>
      </c>
      <c r="L10381" s="2" t="s">
        <v>2397</v>
      </c>
      <c r="M10381" s="2" t="s">
        <v>42087</v>
      </c>
      <c r="N10381" s="2" t="s">
        <v>1602</v>
      </c>
    </row>
    <row r="10382" ht="15.75" customHeight="1">
      <c r="A10382" s="2">
        <v>2018.0</v>
      </c>
      <c r="B10382" s="2" t="s">
        <v>42088</v>
      </c>
      <c r="C10382" s="2" t="s">
        <v>42089</v>
      </c>
      <c r="D10382" s="2" t="str">
        <f>"2059360155"</f>
        <v>2059360155</v>
      </c>
      <c r="E10382" s="2" t="s">
        <v>42090</v>
      </c>
      <c r="F10382" s="2" t="s">
        <v>2279</v>
      </c>
      <c r="G10382" s="2" t="str">
        <f>"SR-14430"</f>
        <v>SR-14430</v>
      </c>
      <c r="H10382" s="2" t="s">
        <v>42091</v>
      </c>
      <c r="I10382" s="2" t="s">
        <v>42092</v>
      </c>
      <c r="K10382" s="2" t="s">
        <v>22576</v>
      </c>
      <c r="L10382" s="2" t="s">
        <v>539</v>
      </c>
      <c r="M10382" s="2">
        <v>35186.0</v>
      </c>
      <c r="N10382" s="2" t="s">
        <v>21</v>
      </c>
    </row>
    <row r="10383" ht="15.75" customHeight="1">
      <c r="A10383" s="2">
        <v>2018.0</v>
      </c>
      <c r="B10383" s="2" t="s">
        <v>42093</v>
      </c>
      <c r="C10383" s="2" t="s">
        <v>42094</v>
      </c>
      <c r="D10383" s="2" t="str">
        <f>"4232316113"</f>
        <v>4232316113</v>
      </c>
      <c r="E10383" s="2" t="s">
        <v>167</v>
      </c>
      <c r="F10383" s="2" t="s">
        <v>24286</v>
      </c>
      <c r="G10383" s="2" t="str">
        <f>"SR-14346"</f>
        <v>SR-14346</v>
      </c>
      <c r="H10383" s="2" t="s">
        <v>42095</v>
      </c>
      <c r="I10383" s="2" t="s">
        <v>42096</v>
      </c>
      <c r="K10383" s="2" t="s">
        <v>7445</v>
      </c>
      <c r="L10383" s="2" t="s">
        <v>279</v>
      </c>
      <c r="M10383" s="2">
        <v>37174.0</v>
      </c>
      <c r="N10383" s="2" t="s">
        <v>21</v>
      </c>
    </row>
    <row r="10384" ht="15.75" customHeight="1">
      <c r="A10384" s="2">
        <v>2018.0</v>
      </c>
      <c r="B10384" s="2" t="s">
        <v>34028</v>
      </c>
      <c r="C10384" s="2" t="s">
        <v>42097</v>
      </c>
      <c r="D10384" s="2" t="str">
        <f>"407-921-9150"</f>
        <v>407-921-9150</v>
      </c>
      <c r="E10384" s="2" t="s">
        <v>225</v>
      </c>
      <c r="F10384" s="2" t="s">
        <v>12309</v>
      </c>
      <c r="G10384" s="2" t="str">
        <f>"SR-14587"</f>
        <v>SR-14587</v>
      </c>
      <c r="H10384" s="2" t="s">
        <v>42098</v>
      </c>
      <c r="I10384" s="2" t="s">
        <v>42099</v>
      </c>
      <c r="K10384" s="2" t="s">
        <v>34032</v>
      </c>
      <c r="L10384" s="2" t="s">
        <v>208</v>
      </c>
      <c r="M10384" s="2">
        <v>32714.0</v>
      </c>
      <c r="N10384" s="2" t="s">
        <v>21</v>
      </c>
    </row>
    <row r="10385" ht="15.75" customHeight="1">
      <c r="A10385" s="2">
        <v>2018.0</v>
      </c>
      <c r="B10385" s="2" t="s">
        <v>42100</v>
      </c>
      <c r="C10385" s="2" t="s">
        <v>42101</v>
      </c>
      <c r="D10385" s="2" t="str">
        <f>"859-516-8021"</f>
        <v>859-516-8021</v>
      </c>
      <c r="E10385" s="2" t="s">
        <v>453</v>
      </c>
      <c r="F10385" s="2" t="s">
        <v>42102</v>
      </c>
      <c r="G10385" s="2" t="str">
        <f>"SR-14573"</f>
        <v>SR-14573</v>
      </c>
      <c r="H10385" s="2" t="s">
        <v>42103</v>
      </c>
      <c r="I10385" s="2" t="s">
        <v>42104</v>
      </c>
      <c r="K10385" s="2" t="s">
        <v>42105</v>
      </c>
      <c r="L10385" s="2" t="s">
        <v>1236</v>
      </c>
      <c r="M10385" s="2">
        <v>40437.0</v>
      </c>
      <c r="N10385" s="2" t="s">
        <v>21</v>
      </c>
    </row>
    <row r="10386" ht="15.75" customHeight="1">
      <c r="A10386" s="2">
        <v>2018.0</v>
      </c>
      <c r="B10386" s="2" t="s">
        <v>42106</v>
      </c>
      <c r="C10386" s="2" t="s">
        <v>42107</v>
      </c>
      <c r="D10386" s="2" t="str">
        <f>"570-692-0113"</f>
        <v>570-692-0113</v>
      </c>
      <c r="E10386" s="2" t="s">
        <v>6244</v>
      </c>
      <c r="F10386" s="2" t="s">
        <v>1101</v>
      </c>
      <c r="G10386" s="2" t="str">
        <f>"SR-14596"</f>
        <v>SR-14596</v>
      </c>
      <c r="H10386" s="2" t="s">
        <v>42108</v>
      </c>
      <c r="I10386" s="2" t="s">
        <v>42109</v>
      </c>
      <c r="K10386" s="2" t="s">
        <v>41984</v>
      </c>
      <c r="L10386" s="2" t="s">
        <v>179</v>
      </c>
      <c r="M10386" s="2">
        <v>17754.0</v>
      </c>
      <c r="N10386" s="2" t="s">
        <v>21</v>
      </c>
    </row>
    <row r="10387" ht="15.75" customHeight="1">
      <c r="A10387" s="2">
        <v>2018.0</v>
      </c>
      <c r="B10387" s="2" t="s">
        <v>42110</v>
      </c>
      <c r="C10387" s="2" t="s">
        <v>42110</v>
      </c>
      <c r="D10387" s="2" t="str">
        <f>"5709165753"</f>
        <v>5709165753</v>
      </c>
      <c r="E10387" s="2" t="s">
        <v>217</v>
      </c>
      <c r="F10387" s="2" t="s">
        <v>30729</v>
      </c>
      <c r="G10387" s="2" t="str">
        <f>"SR-14603"</f>
        <v>SR-14603</v>
      </c>
      <c r="H10387" s="2" t="s">
        <v>42111</v>
      </c>
      <c r="I10387" s="2" t="s">
        <v>42112</v>
      </c>
      <c r="K10387" s="2" t="s">
        <v>42113</v>
      </c>
      <c r="L10387" s="2" t="s">
        <v>179</v>
      </c>
      <c r="M10387" s="2">
        <v>17737.0</v>
      </c>
      <c r="N10387" s="2" t="s">
        <v>21</v>
      </c>
    </row>
    <row r="10388" ht="15.75" customHeight="1">
      <c r="A10388" s="2">
        <v>2018.0</v>
      </c>
      <c r="B10388" s="2" t="s">
        <v>36916</v>
      </c>
      <c r="C10388" s="2" t="s">
        <v>36917</v>
      </c>
      <c r="D10388" s="2" t="str">
        <f>"347.653.8879"</f>
        <v>347.653.8879</v>
      </c>
      <c r="E10388" s="2" t="s">
        <v>57</v>
      </c>
      <c r="F10388" s="2" t="s">
        <v>36918</v>
      </c>
      <c r="G10388" s="2" t="str">
        <f>"SR-11900"</f>
        <v>SR-11900</v>
      </c>
      <c r="H10388" s="2" t="s">
        <v>36919</v>
      </c>
      <c r="I10388" s="2" t="s">
        <v>36920</v>
      </c>
      <c r="J10388" s="2" t="s">
        <v>36921</v>
      </c>
      <c r="K10388" s="2" t="s">
        <v>36922</v>
      </c>
      <c r="L10388" s="2" t="s">
        <v>142</v>
      </c>
      <c r="M10388" s="2">
        <v>11692.0</v>
      </c>
      <c r="N10388" s="2" t="s">
        <v>21</v>
      </c>
    </row>
    <row r="10389" ht="15.75" customHeight="1">
      <c r="A10389" s="2">
        <v>2018.0</v>
      </c>
      <c r="B10389" s="2" t="s">
        <v>42114</v>
      </c>
      <c r="C10389" s="2" t="s">
        <v>42114</v>
      </c>
      <c r="D10389" s="2" t="str">
        <f>"7312393985"</f>
        <v>7312393985</v>
      </c>
      <c r="E10389" s="2" t="s">
        <v>6059</v>
      </c>
      <c r="F10389" s="2" t="s">
        <v>42115</v>
      </c>
      <c r="G10389" s="2" t="str">
        <f>"SR-14414"</f>
        <v>SR-14414</v>
      </c>
      <c r="H10389" s="2" t="s">
        <v>42116</v>
      </c>
      <c r="I10389" s="2" t="s">
        <v>42117</v>
      </c>
      <c r="K10389" s="2" t="s">
        <v>42118</v>
      </c>
      <c r="L10389" s="2" t="s">
        <v>279</v>
      </c>
      <c r="M10389" s="2">
        <v>38367.0</v>
      </c>
      <c r="N10389" s="2" t="s">
        <v>21</v>
      </c>
    </row>
    <row r="10390" ht="15.75" customHeight="1">
      <c r="A10390" s="2">
        <v>2018.0</v>
      </c>
      <c r="B10390" s="2" t="s">
        <v>42119</v>
      </c>
      <c r="C10390" s="2" t="s">
        <v>42120</v>
      </c>
      <c r="D10390" s="2" t="str">
        <f>"7192634494"</f>
        <v>7192634494</v>
      </c>
      <c r="E10390" s="2" t="s">
        <v>580</v>
      </c>
      <c r="F10390" s="2" t="s">
        <v>26449</v>
      </c>
      <c r="G10390" s="2" t="str">
        <f>"SR-14602"</f>
        <v>SR-14602</v>
      </c>
      <c r="H10390" s="2" t="s">
        <v>42121</v>
      </c>
      <c r="I10390" s="2" t="s">
        <v>42122</v>
      </c>
      <c r="K10390" s="2" t="s">
        <v>12320</v>
      </c>
      <c r="L10390" s="2" t="s">
        <v>157</v>
      </c>
      <c r="M10390" s="2">
        <v>81039.0</v>
      </c>
      <c r="N10390" s="2" t="s">
        <v>21</v>
      </c>
    </row>
    <row r="10391" ht="15.75" customHeight="1">
      <c r="A10391" s="2">
        <v>2018.0</v>
      </c>
      <c r="B10391" s="2" t="s">
        <v>42123</v>
      </c>
      <c r="C10391" s="2" t="s">
        <v>42124</v>
      </c>
      <c r="D10391" s="2" t="str">
        <f>"734.709.5028"</f>
        <v>734.709.5028</v>
      </c>
      <c r="E10391" s="2" t="s">
        <v>301</v>
      </c>
      <c r="F10391" s="2" t="s">
        <v>42125</v>
      </c>
      <c r="G10391" s="2" t="str">
        <f>"SR-9568"</f>
        <v>SR-9568</v>
      </c>
      <c r="H10391" s="2" t="s">
        <v>42126</v>
      </c>
      <c r="I10391" s="2" t="s">
        <v>42127</v>
      </c>
      <c r="K10391" s="2" t="s">
        <v>11963</v>
      </c>
      <c r="L10391" s="2" t="s">
        <v>29</v>
      </c>
      <c r="M10391" s="2">
        <v>48187.0</v>
      </c>
      <c r="N10391" s="2" t="s">
        <v>21</v>
      </c>
    </row>
    <row r="10392" ht="15.75" customHeight="1">
      <c r="A10392" s="2">
        <v>2018.0</v>
      </c>
      <c r="B10392" s="2" t="s">
        <v>42128</v>
      </c>
      <c r="D10392" s="2" t="str">
        <f>""</f>
        <v/>
      </c>
      <c r="E10392" s="2" t="s">
        <v>3693</v>
      </c>
      <c r="F10392" s="2" t="s">
        <v>11233</v>
      </c>
      <c r="G10392" s="2" t="str">
        <f>"SR-14608"</f>
        <v>SR-14608</v>
      </c>
      <c r="H10392" s="2" t="s">
        <v>42129</v>
      </c>
      <c r="N10392" s="2" t="s">
        <v>21</v>
      </c>
    </row>
    <row r="10393" ht="15.75" customHeight="1">
      <c r="A10393" s="2">
        <v>2018.0</v>
      </c>
      <c r="B10393" s="2" t="s">
        <v>42130</v>
      </c>
      <c r="C10393" s="2" t="s">
        <v>42131</v>
      </c>
      <c r="D10393" s="2" t="str">
        <f>"(598)-9-552-7417"</f>
        <v>(598)-9-552-7417</v>
      </c>
      <c r="E10393" s="2" t="s">
        <v>3434</v>
      </c>
      <c r="F10393" s="2" t="s">
        <v>42132</v>
      </c>
      <c r="G10393" s="2" t="str">
        <f>"SR-14593"</f>
        <v>SR-14593</v>
      </c>
      <c r="H10393" s="2" t="s">
        <v>42133</v>
      </c>
      <c r="I10393" s="2" t="s">
        <v>42134</v>
      </c>
      <c r="K10393" s="2" t="s">
        <v>10823</v>
      </c>
      <c r="L10393" s="2" t="s">
        <v>2613</v>
      </c>
      <c r="M10393" s="2">
        <v>83709.0</v>
      </c>
      <c r="N10393" s="2" t="s">
        <v>21</v>
      </c>
    </row>
    <row r="10394" ht="15.75" customHeight="1">
      <c r="A10394" s="2">
        <v>2018.0</v>
      </c>
      <c r="B10394" s="2" t="s">
        <v>42135</v>
      </c>
      <c r="C10394" s="2" t="s">
        <v>42136</v>
      </c>
      <c r="D10394" s="2" t="str">
        <f>"7725325038"</f>
        <v>7725325038</v>
      </c>
      <c r="E10394" s="2" t="s">
        <v>23284</v>
      </c>
      <c r="F10394" s="2" t="s">
        <v>711</v>
      </c>
      <c r="G10394" s="2" t="str">
        <f>"SR-14580"</f>
        <v>SR-14580</v>
      </c>
      <c r="H10394" s="2" t="s">
        <v>42137</v>
      </c>
      <c r="I10394" s="2" t="s">
        <v>42138</v>
      </c>
      <c r="K10394" s="2" t="s">
        <v>37949</v>
      </c>
      <c r="L10394" s="2" t="s">
        <v>715</v>
      </c>
      <c r="M10394" s="2">
        <v>71105.0</v>
      </c>
      <c r="N10394" s="2" t="s">
        <v>21</v>
      </c>
    </row>
    <row r="10395" ht="15.75" customHeight="1">
      <c r="A10395" s="2">
        <v>2018.0</v>
      </c>
      <c r="B10395" s="2" t="s">
        <v>42139</v>
      </c>
      <c r="C10395" s="2" t="s">
        <v>42139</v>
      </c>
      <c r="D10395" s="2" t="str">
        <f>"508-816-5322"</f>
        <v>508-816-5322</v>
      </c>
      <c r="E10395" s="2" t="s">
        <v>1767</v>
      </c>
      <c r="F10395" s="2" t="s">
        <v>2852</v>
      </c>
      <c r="G10395" s="2" t="str">
        <f>"SR-14570"</f>
        <v>SR-14570</v>
      </c>
      <c r="H10395" s="2" t="s">
        <v>42140</v>
      </c>
      <c r="I10395" s="2" t="s">
        <v>42141</v>
      </c>
      <c r="K10395" s="2" t="s">
        <v>42142</v>
      </c>
      <c r="L10395" s="2" t="s">
        <v>4108</v>
      </c>
      <c r="M10395" s="2">
        <v>1701.0</v>
      </c>
      <c r="N10395" s="2" t="s">
        <v>21</v>
      </c>
    </row>
    <row r="10396" ht="15.75" customHeight="1">
      <c r="A10396" s="2">
        <v>2018.0</v>
      </c>
      <c r="B10396" s="2" t="s">
        <v>42143</v>
      </c>
      <c r="C10396" s="2" t="s">
        <v>42144</v>
      </c>
      <c r="D10396" s="2" t="str">
        <f>"9015790757"</f>
        <v>9015790757</v>
      </c>
      <c r="E10396" s="2" t="s">
        <v>6059</v>
      </c>
      <c r="F10396" s="2" t="s">
        <v>737</v>
      </c>
      <c r="G10396" s="2" t="str">
        <f>"SR-14590"</f>
        <v>SR-14590</v>
      </c>
      <c r="H10396" s="2" t="s">
        <v>42145</v>
      </c>
      <c r="I10396" s="2" t="s">
        <v>42146</v>
      </c>
      <c r="K10396" s="2" t="s">
        <v>5437</v>
      </c>
      <c r="L10396" s="2" t="s">
        <v>279</v>
      </c>
      <c r="M10396" s="2">
        <v>38135.0</v>
      </c>
      <c r="N10396" s="2" t="s">
        <v>21</v>
      </c>
    </row>
    <row r="10397" ht="15.75" customHeight="1">
      <c r="A10397" s="2">
        <v>2018.0</v>
      </c>
      <c r="B10397" s="2" t="s">
        <v>42147</v>
      </c>
      <c r="C10397" s="2" t="s">
        <v>42148</v>
      </c>
      <c r="D10397" s="2" t="str">
        <f>"7622011494"</f>
        <v>7622011494</v>
      </c>
      <c r="E10397" s="2" t="s">
        <v>42149</v>
      </c>
      <c r="F10397" s="2" t="s">
        <v>1960</v>
      </c>
      <c r="G10397" s="2" t="str">
        <f>"SR-14083"</f>
        <v>SR-14083</v>
      </c>
      <c r="H10397" s="2" t="s">
        <v>42150</v>
      </c>
      <c r="I10397" s="2" t="s">
        <v>13326</v>
      </c>
      <c r="K10397" s="2" t="s">
        <v>4569</v>
      </c>
      <c r="L10397" s="2" t="s">
        <v>200</v>
      </c>
      <c r="M10397" s="2">
        <v>30736.0</v>
      </c>
      <c r="N10397" s="2" t="s">
        <v>21</v>
      </c>
    </row>
    <row r="10398" ht="15.75" customHeight="1">
      <c r="A10398" s="2">
        <v>2018.0</v>
      </c>
      <c r="B10398" s="2" t="s">
        <v>42151</v>
      </c>
      <c r="C10398" s="2" t="s">
        <v>42151</v>
      </c>
      <c r="D10398" s="2" t="str">
        <f>"7018867421"</f>
        <v>7018867421</v>
      </c>
      <c r="E10398" s="2" t="s">
        <v>20726</v>
      </c>
      <c r="F10398" s="2" t="s">
        <v>42152</v>
      </c>
      <c r="G10398" s="2" t="str">
        <f>"SR-14617"</f>
        <v>SR-14617</v>
      </c>
      <c r="H10398" s="2" t="s">
        <v>42153</v>
      </c>
      <c r="I10398" s="2" t="s">
        <v>42154</v>
      </c>
      <c r="K10398" s="2" t="s">
        <v>42155</v>
      </c>
      <c r="L10398" s="2" t="s">
        <v>2534</v>
      </c>
      <c r="M10398" s="2">
        <v>58265.0</v>
      </c>
      <c r="N10398" s="2" t="s">
        <v>21</v>
      </c>
    </row>
    <row r="10399" ht="15.75" customHeight="1">
      <c r="A10399" s="2">
        <v>2018.0</v>
      </c>
      <c r="B10399" s="2" t="s">
        <v>42156</v>
      </c>
      <c r="C10399" s="2" t="s">
        <v>42157</v>
      </c>
      <c r="D10399" s="2" t="str">
        <f>"7708330411"</f>
        <v>7708330411</v>
      </c>
      <c r="E10399" s="2" t="s">
        <v>42158</v>
      </c>
      <c r="F10399" s="2" t="s">
        <v>26583</v>
      </c>
      <c r="G10399" s="2" t="str">
        <f>"SR-14204"</f>
        <v>SR-14204</v>
      </c>
      <c r="H10399" s="2" t="s">
        <v>42159</v>
      </c>
      <c r="I10399" s="2" t="s">
        <v>42160</v>
      </c>
      <c r="K10399" s="2" t="s">
        <v>4988</v>
      </c>
      <c r="L10399" s="2" t="s">
        <v>200</v>
      </c>
      <c r="M10399" s="2">
        <v>30144.0</v>
      </c>
      <c r="N10399" s="2" t="s">
        <v>21</v>
      </c>
    </row>
    <row r="10400" ht="15.75" customHeight="1">
      <c r="A10400" s="2">
        <v>2018.0</v>
      </c>
      <c r="B10400" s="2" t="s">
        <v>42161</v>
      </c>
      <c r="C10400" s="2" t="s">
        <v>42162</v>
      </c>
      <c r="D10400" s="2" t="str">
        <f>"850-371-1224"</f>
        <v>850-371-1224</v>
      </c>
      <c r="E10400" s="2" t="s">
        <v>705</v>
      </c>
      <c r="F10400" s="2" t="s">
        <v>847</v>
      </c>
      <c r="G10400" s="2" t="str">
        <f>"SR-14557"</f>
        <v>SR-14557</v>
      </c>
      <c r="H10400" s="2" t="s">
        <v>42163</v>
      </c>
      <c r="I10400" s="2" t="s">
        <v>42164</v>
      </c>
      <c r="K10400" s="2" t="s">
        <v>2007</v>
      </c>
      <c r="L10400" s="2" t="s">
        <v>208</v>
      </c>
      <c r="M10400" s="2">
        <v>32317.0</v>
      </c>
      <c r="N10400" s="2" t="s">
        <v>21</v>
      </c>
    </row>
    <row r="10401" ht="15.75" customHeight="1">
      <c r="A10401" s="2">
        <v>2018.0</v>
      </c>
      <c r="B10401" s="2" t="s">
        <v>42165</v>
      </c>
      <c r="C10401" s="2" t="s">
        <v>42165</v>
      </c>
      <c r="D10401" s="2" t="str">
        <f>"618-638-6183"</f>
        <v>618-638-6183</v>
      </c>
      <c r="E10401" s="2" t="s">
        <v>217</v>
      </c>
      <c r="F10401" s="2" t="s">
        <v>42166</v>
      </c>
      <c r="G10401" s="2" t="str">
        <f>"SR-14588"</f>
        <v>SR-14588</v>
      </c>
      <c r="H10401" s="2" t="s">
        <v>42167</v>
      </c>
      <c r="I10401" s="2" t="s">
        <v>42168</v>
      </c>
      <c r="K10401" s="2" t="s">
        <v>41878</v>
      </c>
      <c r="L10401" s="2" t="s">
        <v>105</v>
      </c>
      <c r="M10401" s="2">
        <v>62960.0</v>
      </c>
      <c r="N10401" s="2" t="s">
        <v>21</v>
      </c>
    </row>
    <row r="10402" ht="15.75" customHeight="1">
      <c r="A10402" s="2">
        <v>2018.0</v>
      </c>
      <c r="B10402" s="2" t="s">
        <v>26108</v>
      </c>
      <c r="C10402" s="2" t="s">
        <v>42169</v>
      </c>
      <c r="D10402" s="2" t="str">
        <f>"423-826-6891"</f>
        <v>423-826-6891</v>
      </c>
      <c r="E10402" s="2" t="s">
        <v>2306</v>
      </c>
      <c r="F10402" s="2" t="s">
        <v>26109</v>
      </c>
      <c r="G10402" s="2" t="str">
        <f>"SR-14613"</f>
        <v>SR-14613</v>
      </c>
      <c r="H10402" s="2" t="s">
        <v>42170</v>
      </c>
      <c r="I10402" s="2" t="s">
        <v>42171</v>
      </c>
      <c r="K10402" s="2" t="s">
        <v>23449</v>
      </c>
      <c r="L10402" s="2" t="s">
        <v>279</v>
      </c>
      <c r="M10402" s="2">
        <v>37343.0</v>
      </c>
      <c r="N10402" s="2" t="s">
        <v>21</v>
      </c>
    </row>
    <row r="10403" ht="15.75" customHeight="1">
      <c r="A10403" s="2">
        <v>2018.0</v>
      </c>
      <c r="B10403" s="2" t="s">
        <v>42172</v>
      </c>
      <c r="C10403" s="2" t="s">
        <v>42173</v>
      </c>
      <c r="D10403" s="2" t="str">
        <f>"731-803-3303"</f>
        <v>731-803-3303</v>
      </c>
      <c r="E10403" s="2" t="s">
        <v>42174</v>
      </c>
      <c r="F10403" s="2" t="s">
        <v>42175</v>
      </c>
      <c r="G10403" s="2" t="str">
        <f>"SR-14620"</f>
        <v>SR-14620</v>
      </c>
      <c r="H10403" s="2" t="s">
        <v>42176</v>
      </c>
      <c r="I10403" s="2" t="s">
        <v>42177</v>
      </c>
      <c r="K10403" s="2" t="s">
        <v>42178</v>
      </c>
      <c r="L10403" s="2" t="s">
        <v>279</v>
      </c>
      <c r="M10403" s="2">
        <v>38305.0</v>
      </c>
      <c r="N10403" s="2" t="s">
        <v>21</v>
      </c>
    </row>
    <row r="10404" ht="15.75" customHeight="1">
      <c r="A10404" s="2">
        <v>2018.0</v>
      </c>
      <c r="B10404" s="2" t="s">
        <v>36059</v>
      </c>
      <c r="C10404" s="2" t="s">
        <v>36059</v>
      </c>
      <c r="D10404" s="2" t="str">
        <f>"9413785923"</f>
        <v>9413785923</v>
      </c>
      <c r="E10404" s="2" t="s">
        <v>6202</v>
      </c>
      <c r="F10404" s="2" t="s">
        <v>36060</v>
      </c>
      <c r="G10404" s="2" t="str">
        <f>"SR-11620"</f>
        <v>SR-11620</v>
      </c>
      <c r="H10404" s="2" t="s">
        <v>36061</v>
      </c>
      <c r="I10404" s="2" t="s">
        <v>36062</v>
      </c>
      <c r="K10404" s="2" t="s">
        <v>207</v>
      </c>
      <c r="L10404" s="2" t="s">
        <v>208</v>
      </c>
      <c r="M10404" s="2">
        <v>34232.0</v>
      </c>
      <c r="N10404" s="2" t="s">
        <v>21</v>
      </c>
    </row>
    <row r="10405" ht="15.75" customHeight="1">
      <c r="A10405" s="2">
        <v>2018.0</v>
      </c>
      <c r="B10405" s="2" t="s">
        <v>41911</v>
      </c>
      <c r="D10405" s="2" t="str">
        <f t="shared" ref="D10405:D10406" si="169">""</f>
        <v/>
      </c>
      <c r="E10405" s="2" t="s">
        <v>385</v>
      </c>
      <c r="F10405" s="2" t="s">
        <v>41912</v>
      </c>
      <c r="G10405" s="2" t="str">
        <f>"SR-8129"</f>
        <v>SR-8129</v>
      </c>
      <c r="H10405" s="2" t="s">
        <v>42179</v>
      </c>
    </row>
    <row r="10406" ht="15.75" customHeight="1">
      <c r="A10406" s="2">
        <v>2018.0</v>
      </c>
      <c r="B10406" s="2" t="s">
        <v>42180</v>
      </c>
      <c r="D10406" s="2" t="str">
        <f t="shared" si="169"/>
        <v/>
      </c>
      <c r="E10406" s="2" t="s">
        <v>417</v>
      </c>
      <c r="F10406" s="2" t="s">
        <v>26583</v>
      </c>
      <c r="G10406" s="2" t="str">
        <f>"SR-14522"</f>
        <v>SR-14522</v>
      </c>
      <c r="H10406" s="2" t="s">
        <v>42181</v>
      </c>
      <c r="N10406" s="2" t="s">
        <v>21</v>
      </c>
    </row>
    <row r="10407" ht="15.75" customHeight="1">
      <c r="A10407" s="2">
        <v>2018.0</v>
      </c>
      <c r="B10407" s="2" t="s">
        <v>42182</v>
      </c>
      <c r="C10407" s="2" t="s">
        <v>42182</v>
      </c>
      <c r="D10407" s="2" t="str">
        <f>"(901) 240-3930"</f>
        <v>(901) 240-3930</v>
      </c>
      <c r="E10407" s="2" t="s">
        <v>6059</v>
      </c>
      <c r="F10407" s="2" t="s">
        <v>42183</v>
      </c>
      <c r="G10407" s="2" t="str">
        <f>"SR-14364"</f>
        <v>SR-14364</v>
      </c>
      <c r="H10407" s="2" t="s">
        <v>42184</v>
      </c>
      <c r="I10407" s="2" t="s">
        <v>42185</v>
      </c>
      <c r="K10407" s="2" t="s">
        <v>882</v>
      </c>
      <c r="L10407" s="2" t="s">
        <v>279</v>
      </c>
      <c r="M10407" s="2">
        <v>38002.0</v>
      </c>
      <c r="N10407" s="2" t="s">
        <v>21</v>
      </c>
    </row>
    <row r="10408" ht="15.75" customHeight="1">
      <c r="A10408" s="2">
        <v>2018.0</v>
      </c>
      <c r="B10408" s="2" t="s">
        <v>42186</v>
      </c>
      <c r="C10408" s="2" t="s">
        <v>42187</v>
      </c>
      <c r="D10408" s="2" t="str">
        <f>"2054905248"</f>
        <v>2054905248</v>
      </c>
      <c r="E10408" s="2" t="s">
        <v>18715</v>
      </c>
      <c r="F10408" s="2" t="s">
        <v>42188</v>
      </c>
      <c r="G10408" s="2" t="str">
        <f>"SR-13696"</f>
        <v>SR-13696</v>
      </c>
      <c r="H10408" s="2" t="s">
        <v>42189</v>
      </c>
      <c r="I10408" s="2" t="s">
        <v>42190</v>
      </c>
      <c r="K10408" s="2" t="s">
        <v>4437</v>
      </c>
      <c r="L10408" s="2" t="s">
        <v>539</v>
      </c>
      <c r="M10408" s="2">
        <v>35043.0</v>
      </c>
      <c r="N10408" s="2" t="s">
        <v>21</v>
      </c>
    </row>
    <row r="10409" ht="15.75" customHeight="1">
      <c r="A10409" s="2">
        <v>2018.0</v>
      </c>
      <c r="B10409" s="2" t="s">
        <v>42191</v>
      </c>
      <c r="C10409" s="2" t="s">
        <v>42192</v>
      </c>
      <c r="D10409" s="2" t="str">
        <f>"8653237136"</f>
        <v>8653237136</v>
      </c>
      <c r="E10409" s="2" t="s">
        <v>1251</v>
      </c>
      <c r="F10409" s="2" t="s">
        <v>42193</v>
      </c>
      <c r="G10409" s="2" t="str">
        <f>"SR-14531"</f>
        <v>SR-14531</v>
      </c>
      <c r="H10409" s="2" t="s">
        <v>42194</v>
      </c>
      <c r="I10409" s="2" t="s">
        <v>42195</v>
      </c>
      <c r="K10409" s="2" t="s">
        <v>42196</v>
      </c>
      <c r="L10409" s="2" t="s">
        <v>279</v>
      </c>
      <c r="M10409" s="2">
        <v>37754.0</v>
      </c>
      <c r="N10409" s="2" t="s">
        <v>21</v>
      </c>
    </row>
    <row r="10410" ht="15.75" customHeight="1">
      <c r="A10410" s="2">
        <v>2018.0</v>
      </c>
      <c r="B10410" s="2" t="s">
        <v>42197</v>
      </c>
      <c r="C10410" s="2" t="s">
        <v>42198</v>
      </c>
      <c r="D10410" s="2" t="str">
        <f>"920-530-4216"</f>
        <v>920-530-4216</v>
      </c>
      <c r="E10410" s="2" t="s">
        <v>32016</v>
      </c>
      <c r="F10410" s="2" t="s">
        <v>42199</v>
      </c>
      <c r="G10410" s="2" t="str">
        <f>"SR-14621"</f>
        <v>SR-14621</v>
      </c>
      <c r="H10410" s="2" t="s">
        <v>42200</v>
      </c>
      <c r="I10410" s="2" t="s">
        <v>42201</v>
      </c>
      <c r="K10410" s="2" t="s">
        <v>42202</v>
      </c>
      <c r="L10410" s="2" t="s">
        <v>193</v>
      </c>
      <c r="M10410" s="2">
        <v>54115.0</v>
      </c>
      <c r="N10410" s="2" t="s">
        <v>21</v>
      </c>
    </row>
    <row r="10411" ht="15.75" customHeight="1">
      <c r="A10411" s="2">
        <v>2018.0</v>
      </c>
      <c r="B10411" s="2" t="s">
        <v>42203</v>
      </c>
      <c r="C10411" s="2" t="s">
        <v>42203</v>
      </c>
      <c r="D10411" s="2" t="str">
        <f>"731-635-8319"</f>
        <v>731-635-8319</v>
      </c>
      <c r="E10411" s="2" t="s">
        <v>17908</v>
      </c>
      <c r="F10411" s="2" t="s">
        <v>42204</v>
      </c>
      <c r="G10411" s="2" t="str">
        <f>"SR-14242"</f>
        <v>SR-14242</v>
      </c>
      <c r="H10411" s="2" t="s">
        <v>42205</v>
      </c>
      <c r="I10411" s="2" t="s">
        <v>42206</v>
      </c>
      <c r="K10411" s="2" t="s">
        <v>42207</v>
      </c>
      <c r="L10411" s="2" t="s">
        <v>279</v>
      </c>
      <c r="M10411" s="2">
        <v>38063.0</v>
      </c>
      <c r="N10411" s="2" t="s">
        <v>21</v>
      </c>
    </row>
    <row r="10412" ht="15.75" customHeight="1">
      <c r="A10412" s="2">
        <v>2018.0</v>
      </c>
      <c r="B10412" s="2" t="s">
        <v>42208</v>
      </c>
      <c r="C10412" s="2" t="s">
        <v>42209</v>
      </c>
      <c r="D10412" s="2" t="str">
        <f>"406-540-2592"</f>
        <v>406-540-2592</v>
      </c>
      <c r="E10412" s="2" t="s">
        <v>42210</v>
      </c>
      <c r="F10412" s="2" t="s">
        <v>4675</v>
      </c>
      <c r="G10412" s="2" t="str">
        <f>"SR-14013"</f>
        <v>SR-14013</v>
      </c>
      <c r="H10412" s="2" t="s">
        <v>42211</v>
      </c>
      <c r="I10412" s="2" t="s">
        <v>42212</v>
      </c>
      <c r="K10412" s="2" t="s">
        <v>2695</v>
      </c>
      <c r="L10412" s="2" t="s">
        <v>2696</v>
      </c>
      <c r="M10412" s="2">
        <v>59749.0</v>
      </c>
      <c r="N10412" s="2" t="s">
        <v>21</v>
      </c>
    </row>
    <row r="10413" ht="15.75" customHeight="1">
      <c r="A10413" s="2">
        <v>2018.0</v>
      </c>
      <c r="B10413" s="2" t="s">
        <v>42213</v>
      </c>
      <c r="C10413" s="2" t="s">
        <v>42214</v>
      </c>
      <c r="D10413" s="2" t="str">
        <f>"302-545-9874"</f>
        <v>302-545-9874</v>
      </c>
      <c r="E10413" s="2" t="s">
        <v>915</v>
      </c>
      <c r="F10413" s="2" t="s">
        <v>7997</v>
      </c>
      <c r="G10413" s="2" t="str">
        <f>"SR-14615"</f>
        <v>SR-14615</v>
      </c>
      <c r="H10413" s="2" t="s">
        <v>42215</v>
      </c>
      <c r="I10413" s="2" t="s">
        <v>42216</v>
      </c>
      <c r="K10413" s="2" t="s">
        <v>8000</v>
      </c>
      <c r="L10413" s="2" t="s">
        <v>1868</v>
      </c>
      <c r="M10413" s="2">
        <v>21921.0</v>
      </c>
      <c r="N10413" s="2" t="s">
        <v>21</v>
      </c>
    </row>
    <row r="10414" ht="15.75" customHeight="1">
      <c r="A10414" s="2">
        <v>2018.0</v>
      </c>
      <c r="B10414" s="2" t="s">
        <v>36059</v>
      </c>
      <c r="C10414" s="2" t="s">
        <v>36063</v>
      </c>
      <c r="D10414" s="2" t="str">
        <f>"9413785923"</f>
        <v>9413785923</v>
      </c>
      <c r="E10414" s="2" t="s">
        <v>3305</v>
      </c>
      <c r="F10414" s="2" t="s">
        <v>36060</v>
      </c>
      <c r="G10414" s="2" t="str">
        <f>"SR-11622"</f>
        <v>SR-11622</v>
      </c>
      <c r="H10414" s="2" t="s">
        <v>36064</v>
      </c>
      <c r="I10414" s="2" t="s">
        <v>36062</v>
      </c>
      <c r="K10414" s="2" t="s">
        <v>207</v>
      </c>
      <c r="L10414" s="2" t="s">
        <v>208</v>
      </c>
      <c r="M10414" s="2">
        <v>34232.0</v>
      </c>
      <c r="N10414" s="2" t="s">
        <v>21</v>
      </c>
    </row>
    <row r="10415" ht="15.75" customHeight="1">
      <c r="A10415" s="2">
        <v>2018.0</v>
      </c>
      <c r="B10415" s="2" t="s">
        <v>42217</v>
      </c>
      <c r="C10415" s="2" t="s">
        <v>42218</v>
      </c>
      <c r="D10415" s="2" t="str">
        <f>"309-347-4714"</f>
        <v>309-347-4714</v>
      </c>
      <c r="E10415" s="2" t="s">
        <v>18430</v>
      </c>
      <c r="F10415" s="2" t="s">
        <v>16369</v>
      </c>
      <c r="G10415" s="2" t="str">
        <f>"SR-14600"</f>
        <v>SR-14600</v>
      </c>
      <c r="H10415" s="2" t="s">
        <v>42219</v>
      </c>
      <c r="I10415" s="2" t="s">
        <v>42220</v>
      </c>
      <c r="K10415" s="2" t="s">
        <v>9788</v>
      </c>
      <c r="L10415" s="2" t="s">
        <v>105</v>
      </c>
      <c r="M10415" s="2">
        <v>61554.0</v>
      </c>
      <c r="N10415" s="2" t="s">
        <v>21</v>
      </c>
    </row>
    <row r="10416" ht="15.75" customHeight="1">
      <c r="A10416" s="2">
        <v>2018.0</v>
      </c>
      <c r="B10416" s="2" t="s">
        <v>42221</v>
      </c>
      <c r="C10416" s="2" t="s">
        <v>42221</v>
      </c>
      <c r="D10416" s="2" t="str">
        <f>"8064743057"</f>
        <v>8064743057</v>
      </c>
      <c r="E10416" s="2" t="s">
        <v>456</v>
      </c>
      <c r="F10416" s="2" t="s">
        <v>1312</v>
      </c>
      <c r="G10416" s="2" t="str">
        <f>"SR-14623"</f>
        <v>SR-14623</v>
      </c>
      <c r="H10416" s="2" t="s">
        <v>42222</v>
      </c>
      <c r="I10416" s="2" t="s">
        <v>42223</v>
      </c>
      <c r="K10416" s="2" t="s">
        <v>1121</v>
      </c>
      <c r="L10416" s="2" t="s">
        <v>172</v>
      </c>
      <c r="M10416" s="2">
        <v>79416.0</v>
      </c>
      <c r="N10416" s="2" t="s">
        <v>21</v>
      </c>
    </row>
    <row r="10417" ht="15.75" customHeight="1">
      <c r="A10417" s="2">
        <v>2018.0</v>
      </c>
      <c r="B10417" s="2" t="s">
        <v>42224</v>
      </c>
      <c r="C10417" s="2" t="s">
        <v>42225</v>
      </c>
      <c r="D10417" s="2" t="str">
        <f>"473 443 2304"</f>
        <v>473 443 2304</v>
      </c>
      <c r="E10417" s="2" t="s">
        <v>42226</v>
      </c>
      <c r="F10417" s="2" t="s">
        <v>81</v>
      </c>
      <c r="G10417" s="2" t="str">
        <f>"SR-14592"</f>
        <v>SR-14592</v>
      </c>
      <c r="H10417" s="2" t="s">
        <v>42227</v>
      </c>
      <c r="I10417" s="2" t="s">
        <v>42228</v>
      </c>
      <c r="J10417" s="2" t="s">
        <v>42229</v>
      </c>
      <c r="K10417" s="2" t="s">
        <v>42230</v>
      </c>
      <c r="L10417" s="2" t="s">
        <v>42231</v>
      </c>
      <c r="M10417" s="2">
        <v>0.0</v>
      </c>
      <c r="N10417" s="2" t="s">
        <v>42232</v>
      </c>
    </row>
    <row r="10418" ht="15.75" customHeight="1">
      <c r="A10418" s="2">
        <v>2018.0</v>
      </c>
      <c r="B10418" s="2" t="s">
        <v>42233</v>
      </c>
      <c r="C10418" s="2" t="s">
        <v>42233</v>
      </c>
      <c r="D10418" s="2" t="str">
        <f>"2149989701"</f>
        <v>2149989701</v>
      </c>
      <c r="E10418" s="2" t="s">
        <v>34156</v>
      </c>
      <c r="F10418" s="2" t="s">
        <v>12990</v>
      </c>
      <c r="G10418" s="2" t="str">
        <f>"SR-14625"</f>
        <v>SR-14625</v>
      </c>
      <c r="H10418" s="2" t="s">
        <v>42234</v>
      </c>
      <c r="I10418" s="2" t="s">
        <v>42235</v>
      </c>
      <c r="K10418" s="2" t="s">
        <v>12522</v>
      </c>
      <c r="L10418" s="2" t="s">
        <v>172</v>
      </c>
      <c r="M10418" s="2">
        <v>77433.0</v>
      </c>
      <c r="N10418" s="2" t="s">
        <v>21</v>
      </c>
    </row>
    <row r="10419" ht="15.75" customHeight="1">
      <c r="A10419" s="2">
        <v>2018.0</v>
      </c>
      <c r="B10419" s="2" t="s">
        <v>42236</v>
      </c>
      <c r="C10419" s="2" t="s">
        <v>42237</v>
      </c>
      <c r="D10419" s="2" t="str">
        <f>"2705542047"</f>
        <v>2705542047</v>
      </c>
      <c r="E10419" s="2" t="s">
        <v>373</v>
      </c>
      <c r="F10419" s="2" t="s">
        <v>42238</v>
      </c>
      <c r="G10419" s="2" t="str">
        <f>"SR-14611"</f>
        <v>SR-14611</v>
      </c>
      <c r="H10419" s="2" t="s">
        <v>42239</v>
      </c>
      <c r="I10419" s="2" t="s">
        <v>42240</v>
      </c>
      <c r="K10419" s="2" t="s">
        <v>36418</v>
      </c>
      <c r="L10419" s="2" t="s">
        <v>1236</v>
      </c>
      <c r="M10419" s="2">
        <v>42001.0</v>
      </c>
      <c r="N10419" s="2" t="s">
        <v>21</v>
      </c>
    </row>
    <row r="10420" ht="15.75" customHeight="1">
      <c r="A10420" s="2">
        <v>2018.0</v>
      </c>
      <c r="B10420" s="2" t="s">
        <v>42241</v>
      </c>
      <c r="C10420" s="2" t="s">
        <v>42242</v>
      </c>
      <c r="D10420" s="2" t="str">
        <f>"731-343-3634"</f>
        <v>731-343-3634</v>
      </c>
      <c r="E10420" s="2" t="s">
        <v>42243</v>
      </c>
      <c r="F10420" s="2" t="s">
        <v>34675</v>
      </c>
      <c r="G10420" s="2" t="str">
        <f>"SR-14627"</f>
        <v>SR-14627</v>
      </c>
      <c r="H10420" s="2" t="s">
        <v>42244</v>
      </c>
      <c r="I10420" s="2" t="s">
        <v>42245</v>
      </c>
      <c r="K10420" s="2" t="s">
        <v>1257</v>
      </c>
      <c r="L10420" s="2" t="s">
        <v>279</v>
      </c>
      <c r="M10420" s="2">
        <v>38305.0</v>
      </c>
      <c r="N10420" s="2" t="s">
        <v>21</v>
      </c>
    </row>
    <row r="10421" ht="15.75" customHeight="1">
      <c r="A10421" s="2">
        <v>2018.0</v>
      </c>
      <c r="B10421" s="2" t="s">
        <v>42246</v>
      </c>
      <c r="C10421" s="2" t="s">
        <v>42247</v>
      </c>
      <c r="D10421" s="2" t="str">
        <f>"901-210-0055"</f>
        <v>901-210-0055</v>
      </c>
      <c r="E10421" s="2" t="s">
        <v>908</v>
      </c>
      <c r="F10421" s="2" t="s">
        <v>7692</v>
      </c>
      <c r="G10421" s="2" t="str">
        <f>"SR-14631"</f>
        <v>SR-14631</v>
      </c>
      <c r="H10421" s="2" t="s">
        <v>42248</v>
      </c>
      <c r="I10421" s="2" t="s">
        <v>42249</v>
      </c>
      <c r="K10421" s="2" t="s">
        <v>3493</v>
      </c>
      <c r="L10421" s="2" t="s">
        <v>1012</v>
      </c>
      <c r="M10421" s="2">
        <v>72364.0</v>
      </c>
      <c r="N10421" s="2" t="s">
        <v>21</v>
      </c>
    </row>
    <row r="10422" ht="15.75" customHeight="1">
      <c r="A10422" s="2">
        <v>2018.0</v>
      </c>
      <c r="B10422" s="2" t="s">
        <v>42250</v>
      </c>
      <c r="C10422" s="2" t="s">
        <v>42251</v>
      </c>
      <c r="D10422" s="2" t="str">
        <f>"570-265-3085"</f>
        <v>570-265-3085</v>
      </c>
      <c r="E10422" s="2" t="s">
        <v>42252</v>
      </c>
      <c r="F10422" s="2" t="s">
        <v>40709</v>
      </c>
      <c r="G10422" s="2" t="str">
        <f>"SR-14626"</f>
        <v>SR-14626</v>
      </c>
      <c r="H10422" s="2" t="s">
        <v>42253</v>
      </c>
      <c r="I10422" s="2" t="s">
        <v>42254</v>
      </c>
      <c r="K10422" s="2" t="s">
        <v>40712</v>
      </c>
      <c r="L10422" s="2" t="s">
        <v>179</v>
      </c>
      <c r="M10422" s="2">
        <v>18853.0</v>
      </c>
      <c r="N10422" s="2" t="s">
        <v>21</v>
      </c>
    </row>
    <row r="10423" ht="15.75" customHeight="1">
      <c r="A10423" s="2">
        <v>2018.0</v>
      </c>
      <c r="B10423" s="2" t="s">
        <v>42255</v>
      </c>
      <c r="C10423" s="2" t="s">
        <v>42256</v>
      </c>
      <c r="D10423" s="2" t="str">
        <f>"8063002686"</f>
        <v>8063002686</v>
      </c>
      <c r="E10423" s="2" t="s">
        <v>13309</v>
      </c>
      <c r="F10423" s="2" t="s">
        <v>6159</v>
      </c>
      <c r="G10423" s="2" t="str">
        <f>"SR-14298"</f>
        <v>SR-14298</v>
      </c>
      <c r="H10423" s="2" t="s">
        <v>42257</v>
      </c>
      <c r="I10423" s="2" t="s">
        <v>42258</v>
      </c>
      <c r="K10423" s="2" t="s">
        <v>42259</v>
      </c>
      <c r="L10423" s="2" t="s">
        <v>214</v>
      </c>
      <c r="M10423" s="2">
        <v>65584.0</v>
      </c>
      <c r="N10423" s="2" t="s">
        <v>21</v>
      </c>
    </row>
    <row r="10424" ht="15.75" customHeight="1">
      <c r="A10424" s="2">
        <v>2018.0</v>
      </c>
      <c r="B10424" s="2" t="s">
        <v>42260</v>
      </c>
      <c r="C10424" s="2" t="s">
        <v>42261</v>
      </c>
      <c r="D10424" s="2" t="str">
        <f>"6159228173"</f>
        <v>6159228173</v>
      </c>
      <c r="E10424" s="2" t="s">
        <v>659</v>
      </c>
      <c r="F10424" s="2" t="s">
        <v>503</v>
      </c>
      <c r="G10424" s="2" t="str">
        <f>"SR-14634"</f>
        <v>SR-14634</v>
      </c>
      <c r="H10424" s="2" t="s">
        <v>42262</v>
      </c>
      <c r="I10424" s="2" t="s">
        <v>42263</v>
      </c>
      <c r="K10424" s="2" t="s">
        <v>3239</v>
      </c>
      <c r="L10424" s="2" t="s">
        <v>279</v>
      </c>
      <c r="M10424" s="2">
        <v>37172.0</v>
      </c>
      <c r="N10424" s="2" t="s">
        <v>21</v>
      </c>
    </row>
    <row r="10425" ht="15.75" customHeight="1">
      <c r="A10425" s="2">
        <v>2018.0</v>
      </c>
      <c r="B10425" s="2" t="s">
        <v>42264</v>
      </c>
      <c r="C10425" s="2" t="s">
        <v>42265</v>
      </c>
      <c r="D10425" s="2" t="str">
        <f>"8312510968"</f>
        <v>8312510968</v>
      </c>
      <c r="E10425" s="2" t="s">
        <v>2162</v>
      </c>
      <c r="F10425" s="2" t="s">
        <v>984</v>
      </c>
      <c r="G10425" s="2" t="str">
        <f>"SR-14632"</f>
        <v>SR-14632</v>
      </c>
      <c r="H10425" s="2" t="s">
        <v>19496</v>
      </c>
      <c r="I10425" s="2" t="s">
        <v>42266</v>
      </c>
      <c r="K10425" s="2" t="s">
        <v>14583</v>
      </c>
      <c r="L10425" s="2" t="s">
        <v>222</v>
      </c>
      <c r="M10425" s="2">
        <v>95003.0</v>
      </c>
      <c r="N10425" s="2" t="s">
        <v>21</v>
      </c>
    </row>
    <row r="10426" ht="15.75" customHeight="1">
      <c r="A10426" s="2">
        <v>2018.0</v>
      </c>
      <c r="B10426" s="2" t="s">
        <v>42267</v>
      </c>
      <c r="C10426" s="2" t="s">
        <v>42267</v>
      </c>
      <c r="D10426" s="2" t="str">
        <f>"731-693-3999"</f>
        <v>731-693-3999</v>
      </c>
      <c r="E10426" s="2" t="s">
        <v>465</v>
      </c>
      <c r="F10426" s="2" t="s">
        <v>23672</v>
      </c>
      <c r="G10426" s="2" t="str">
        <f>"SR-14601"</f>
        <v>SR-14601</v>
      </c>
      <c r="H10426" s="2" t="s">
        <v>42268</v>
      </c>
      <c r="I10426" s="2" t="s">
        <v>42269</v>
      </c>
      <c r="K10426" s="2" t="s">
        <v>1257</v>
      </c>
      <c r="L10426" s="2" t="s">
        <v>279</v>
      </c>
      <c r="M10426" s="2">
        <v>38305.0</v>
      </c>
      <c r="N10426" s="2" t="s">
        <v>21</v>
      </c>
    </row>
    <row r="10427" ht="15.75" customHeight="1">
      <c r="A10427" s="2">
        <v>2018.0</v>
      </c>
      <c r="B10427" s="2" t="s">
        <v>42270</v>
      </c>
      <c r="C10427" s="2" t="s">
        <v>42271</v>
      </c>
      <c r="D10427" s="2" t="str">
        <f>"6417914086"</f>
        <v>6417914086</v>
      </c>
      <c r="E10427" s="2" t="s">
        <v>678</v>
      </c>
      <c r="F10427" s="2" t="s">
        <v>42272</v>
      </c>
      <c r="G10427" s="2" t="str">
        <f>"SR-10834"</f>
        <v>SR-10834</v>
      </c>
      <c r="H10427" s="2" t="s">
        <v>42273</v>
      </c>
      <c r="I10427" s="2" t="s">
        <v>42274</v>
      </c>
      <c r="K10427" s="2" t="s">
        <v>3212</v>
      </c>
      <c r="L10427" s="2" t="s">
        <v>560</v>
      </c>
      <c r="M10427" s="2">
        <v>50208.0</v>
      </c>
      <c r="N10427" s="2" t="s">
        <v>21</v>
      </c>
    </row>
    <row r="10428" ht="15.75" customHeight="1">
      <c r="A10428" s="2">
        <v>2018.0</v>
      </c>
      <c r="B10428" s="2" t="s">
        <v>42275</v>
      </c>
      <c r="C10428" s="2" t="s">
        <v>42276</v>
      </c>
      <c r="D10428" s="2" t="str">
        <f>"3235334629"</f>
        <v>3235334629</v>
      </c>
      <c r="E10428" s="2" t="s">
        <v>471</v>
      </c>
      <c r="F10428" s="2" t="s">
        <v>22911</v>
      </c>
      <c r="G10428" s="2" t="str">
        <f>"SR-14340"</f>
        <v>SR-14340</v>
      </c>
      <c r="H10428" s="2" t="s">
        <v>42277</v>
      </c>
      <c r="I10428" s="2" t="s">
        <v>42278</v>
      </c>
      <c r="K10428" s="2" t="s">
        <v>23041</v>
      </c>
      <c r="L10428" s="2" t="s">
        <v>222</v>
      </c>
      <c r="M10428" s="2">
        <v>91801.0</v>
      </c>
      <c r="N10428" s="2" t="s">
        <v>21</v>
      </c>
    </row>
    <row r="10429" ht="15.75" customHeight="1">
      <c r="A10429" s="2">
        <v>2018.0</v>
      </c>
      <c r="B10429" s="2" t="s">
        <v>42270</v>
      </c>
      <c r="C10429" s="2" t="s">
        <v>42279</v>
      </c>
      <c r="D10429" s="2" t="str">
        <f>"(515) 346-2556"</f>
        <v>(515) 346-2556</v>
      </c>
      <c r="E10429" s="2" t="s">
        <v>1946</v>
      </c>
      <c r="F10429" s="2" t="s">
        <v>42272</v>
      </c>
      <c r="G10429" s="2" t="str">
        <f>"SR-14241"</f>
        <v>SR-14241</v>
      </c>
      <c r="H10429" s="2" t="s">
        <v>42280</v>
      </c>
      <c r="I10429" s="2" t="s">
        <v>42274</v>
      </c>
      <c r="K10429" s="2" t="s">
        <v>3212</v>
      </c>
      <c r="L10429" s="2" t="s">
        <v>560</v>
      </c>
      <c r="M10429" s="2">
        <v>50208.0</v>
      </c>
      <c r="N10429" s="2" t="s">
        <v>21</v>
      </c>
    </row>
    <row r="10430" ht="15.75" customHeight="1">
      <c r="A10430" s="2">
        <v>2018.0</v>
      </c>
      <c r="B10430" s="2" t="s">
        <v>42281</v>
      </c>
      <c r="C10430" s="2" t="s">
        <v>42282</v>
      </c>
      <c r="D10430" s="2" t="str">
        <f>"9097056816"</f>
        <v>9097056816</v>
      </c>
      <c r="E10430" s="2" t="s">
        <v>2438</v>
      </c>
      <c r="F10430" s="2" t="s">
        <v>645</v>
      </c>
      <c r="G10430" s="2" t="str">
        <f>"SR-13923"</f>
        <v>SR-13923</v>
      </c>
      <c r="H10430" s="2" t="s">
        <v>42283</v>
      </c>
      <c r="I10430" s="2" t="s">
        <v>42284</v>
      </c>
      <c r="K10430" s="2" t="s">
        <v>21083</v>
      </c>
      <c r="L10430" s="2" t="s">
        <v>222</v>
      </c>
      <c r="M10430" s="2">
        <v>90650.0</v>
      </c>
      <c r="N10430" s="2" t="s">
        <v>21</v>
      </c>
    </row>
    <row r="10431" ht="15.75" customHeight="1">
      <c r="A10431" s="2">
        <v>2018.0</v>
      </c>
      <c r="B10431" s="2" t="s">
        <v>42285</v>
      </c>
      <c r="C10431" s="2" t="s">
        <v>42286</v>
      </c>
      <c r="D10431" s="2" t="str">
        <f>"360-359-5552"</f>
        <v>360-359-5552</v>
      </c>
      <c r="E10431" s="2" t="s">
        <v>890</v>
      </c>
      <c r="F10431" s="2" t="s">
        <v>42287</v>
      </c>
      <c r="G10431" s="2" t="str">
        <f>"SR-14609"</f>
        <v>SR-14609</v>
      </c>
      <c r="H10431" s="2" t="s">
        <v>42288</v>
      </c>
      <c r="I10431" s="2" t="s">
        <v>42289</v>
      </c>
      <c r="K10431" s="2" t="s">
        <v>22626</v>
      </c>
      <c r="L10431" s="2" t="s">
        <v>86</v>
      </c>
      <c r="M10431" s="2">
        <v>98513.0</v>
      </c>
      <c r="N10431" s="2" t="s">
        <v>21</v>
      </c>
    </row>
    <row r="10432" ht="15.75" customHeight="1">
      <c r="A10432" s="2">
        <v>2018.0</v>
      </c>
      <c r="B10432" s="2" t="s">
        <v>42290</v>
      </c>
      <c r="C10432" s="2" t="s">
        <v>42291</v>
      </c>
      <c r="D10432" s="2" t="str">
        <f>"7313457724"</f>
        <v>7313457724</v>
      </c>
      <c r="E10432" s="2" t="s">
        <v>42292</v>
      </c>
      <c r="F10432" s="2" t="s">
        <v>42293</v>
      </c>
      <c r="G10432" s="2" t="str">
        <f>"SR-14635"</f>
        <v>SR-14635</v>
      </c>
      <c r="H10432" s="2" t="s">
        <v>42294</v>
      </c>
      <c r="I10432" s="2" t="s">
        <v>42295</v>
      </c>
      <c r="K10432" s="2" t="s">
        <v>1257</v>
      </c>
      <c r="L10432" s="2" t="s">
        <v>279</v>
      </c>
      <c r="M10432" s="2">
        <v>38305.0</v>
      </c>
      <c r="N10432" s="2" t="s">
        <v>21</v>
      </c>
    </row>
    <row r="10433" ht="15.75" customHeight="1">
      <c r="A10433" s="2">
        <v>2018.0</v>
      </c>
      <c r="B10433" s="2" t="s">
        <v>42296</v>
      </c>
      <c r="C10433" s="2" t="s">
        <v>42297</v>
      </c>
      <c r="D10433" s="2" t="str">
        <f>"2182420010"</f>
        <v>2182420010</v>
      </c>
      <c r="E10433" s="2" t="s">
        <v>26172</v>
      </c>
      <c r="F10433" s="2" t="s">
        <v>27014</v>
      </c>
      <c r="G10433" s="2" t="str">
        <f>"SR-14630"</f>
        <v>SR-14630</v>
      </c>
      <c r="H10433" s="2" t="s">
        <v>42298</v>
      </c>
      <c r="I10433" s="2" t="s">
        <v>42299</v>
      </c>
      <c r="K10433" s="2" t="s">
        <v>42300</v>
      </c>
      <c r="L10433" s="2" t="s">
        <v>62</v>
      </c>
      <c r="M10433" s="2">
        <v>56763.0</v>
      </c>
      <c r="N10433" s="2" t="s">
        <v>21</v>
      </c>
    </row>
    <row r="10434" ht="15.75" customHeight="1">
      <c r="A10434" s="2">
        <v>2018.0</v>
      </c>
      <c r="B10434" s="2" t="s">
        <v>42296</v>
      </c>
      <c r="C10434" s="2" t="s">
        <v>42301</v>
      </c>
      <c r="D10434" s="2" t="str">
        <f>"2182427863"</f>
        <v>2182427863</v>
      </c>
      <c r="E10434" s="2" t="s">
        <v>5760</v>
      </c>
      <c r="F10434" s="2" t="s">
        <v>27014</v>
      </c>
      <c r="G10434" s="2" t="str">
        <f>"SR-14638"</f>
        <v>SR-14638</v>
      </c>
      <c r="H10434" s="2" t="s">
        <v>42302</v>
      </c>
      <c r="I10434" s="2" t="s">
        <v>42303</v>
      </c>
      <c r="K10434" s="2" t="s">
        <v>42300</v>
      </c>
      <c r="L10434" s="2" t="s">
        <v>62</v>
      </c>
      <c r="M10434" s="2">
        <v>56763.0</v>
      </c>
      <c r="N10434" s="2" t="s">
        <v>21</v>
      </c>
    </row>
    <row r="10435" ht="15.75" customHeight="1">
      <c r="A10435" s="2">
        <v>2018.0</v>
      </c>
      <c r="B10435" s="2" t="s">
        <v>42304</v>
      </c>
      <c r="C10435" s="2" t="s">
        <v>42305</v>
      </c>
      <c r="D10435" s="2" t="str">
        <f>"6093343846"</f>
        <v>6093343846</v>
      </c>
      <c r="E10435" s="2" t="s">
        <v>6202</v>
      </c>
      <c r="F10435" s="2" t="s">
        <v>14639</v>
      </c>
      <c r="G10435" s="2" t="str">
        <f>"SR-14637"</f>
        <v>SR-14637</v>
      </c>
      <c r="H10435" s="2" t="s">
        <v>42306</v>
      </c>
      <c r="I10435" s="2" t="s">
        <v>42307</v>
      </c>
      <c r="K10435" s="2" t="s">
        <v>2421</v>
      </c>
      <c r="L10435" s="2" t="s">
        <v>3618</v>
      </c>
      <c r="M10435" s="2">
        <v>8022.0</v>
      </c>
      <c r="N10435" s="2" t="s">
        <v>21</v>
      </c>
    </row>
    <row r="10436" ht="15.75" customHeight="1">
      <c r="A10436" s="2">
        <v>2018.0</v>
      </c>
      <c r="B10436" s="2" t="s">
        <v>42308</v>
      </c>
      <c r="C10436" s="2" t="s">
        <v>42308</v>
      </c>
      <c r="D10436" s="2" t="str">
        <f>"3183316978"</f>
        <v>3183316978</v>
      </c>
      <c r="E10436" s="2" t="s">
        <v>1094</v>
      </c>
      <c r="F10436" s="2" t="s">
        <v>26756</v>
      </c>
      <c r="G10436" s="2" t="str">
        <f>"SR-14351"</f>
        <v>SR-14351</v>
      </c>
      <c r="H10436" s="2" t="s">
        <v>42309</v>
      </c>
      <c r="I10436" s="2" t="s">
        <v>42310</v>
      </c>
      <c r="K10436" s="2" t="s">
        <v>4519</v>
      </c>
      <c r="L10436" s="2" t="s">
        <v>715</v>
      </c>
      <c r="M10436" s="2">
        <v>71203.0</v>
      </c>
      <c r="N10436" s="2" t="s">
        <v>21</v>
      </c>
    </row>
    <row r="10437" ht="15.75" customHeight="1">
      <c r="A10437" s="2">
        <v>2018.0</v>
      </c>
      <c r="B10437" s="2" t="s">
        <v>42311</v>
      </c>
      <c r="C10437" s="2" t="s">
        <v>42312</v>
      </c>
      <c r="D10437" s="2" t="str">
        <f>"4082396340"</f>
        <v>4082396340</v>
      </c>
      <c r="E10437" s="2" t="s">
        <v>6606</v>
      </c>
      <c r="F10437" s="2" t="s">
        <v>42313</v>
      </c>
      <c r="G10437" s="2" t="str">
        <f>"SR-14604"</f>
        <v>SR-14604</v>
      </c>
      <c r="H10437" s="2" t="s">
        <v>42314</v>
      </c>
      <c r="I10437" s="2" t="s">
        <v>42315</v>
      </c>
      <c r="K10437" s="2" t="s">
        <v>5826</v>
      </c>
      <c r="L10437" s="2" t="s">
        <v>222</v>
      </c>
      <c r="M10437" s="2">
        <v>95148.0</v>
      </c>
      <c r="N10437" s="2" t="s">
        <v>21</v>
      </c>
    </row>
    <row r="10438" ht="15.75" customHeight="1">
      <c r="A10438" s="2">
        <v>2018.0</v>
      </c>
      <c r="B10438" s="2" t="s">
        <v>42316</v>
      </c>
      <c r="C10438" s="2" t="s">
        <v>42317</v>
      </c>
      <c r="D10438" s="2" t="str">
        <f>"402 506 0091"</f>
        <v>402 506 0091</v>
      </c>
      <c r="E10438" s="2" t="s">
        <v>386</v>
      </c>
      <c r="F10438" s="2" t="s">
        <v>6833</v>
      </c>
      <c r="G10438" s="2" t="str">
        <f>"SR-14373"</f>
        <v>SR-14373</v>
      </c>
      <c r="H10438" s="2" t="s">
        <v>42318</v>
      </c>
      <c r="I10438" s="2" t="s">
        <v>42319</v>
      </c>
      <c r="K10438" s="2" t="s">
        <v>1470</v>
      </c>
      <c r="L10438" s="2" t="s">
        <v>757</v>
      </c>
      <c r="M10438" s="2">
        <v>68134.0</v>
      </c>
      <c r="N10438" s="2" t="s">
        <v>21</v>
      </c>
    </row>
    <row r="10439" ht="15.75" customHeight="1">
      <c r="A10439" s="2">
        <v>2018.0</v>
      </c>
      <c r="B10439" s="2" t="s">
        <v>21585</v>
      </c>
      <c r="C10439" s="2" t="s">
        <v>42320</v>
      </c>
      <c r="D10439" s="2" t="str">
        <f>"6017207377"</f>
        <v>6017207377</v>
      </c>
      <c r="E10439" s="2" t="s">
        <v>1529</v>
      </c>
      <c r="F10439" s="2" t="s">
        <v>21586</v>
      </c>
      <c r="G10439" s="2" t="str">
        <f>"SR-14643"</f>
        <v>SR-14643</v>
      </c>
      <c r="H10439" s="2" t="s">
        <v>32782</v>
      </c>
      <c r="I10439" s="2" t="s">
        <v>32792</v>
      </c>
      <c r="K10439" s="2" t="s">
        <v>11219</v>
      </c>
      <c r="L10439" s="2" t="s">
        <v>1722</v>
      </c>
      <c r="M10439" s="2">
        <v>39071.0</v>
      </c>
      <c r="N10439" s="2" t="s">
        <v>21</v>
      </c>
    </row>
    <row r="10440" ht="15.75" customHeight="1">
      <c r="A10440" s="2">
        <v>2018.0</v>
      </c>
      <c r="B10440" s="2" t="s">
        <v>42320</v>
      </c>
      <c r="C10440" s="2" t="s">
        <v>42321</v>
      </c>
      <c r="D10440" s="2" t="str">
        <f>"6017204587"</f>
        <v>6017204587</v>
      </c>
      <c r="E10440" s="2" t="s">
        <v>2243</v>
      </c>
      <c r="F10440" s="2" t="s">
        <v>21586</v>
      </c>
      <c r="G10440" s="2" t="str">
        <f>"SR-14642"</f>
        <v>SR-14642</v>
      </c>
      <c r="H10440" s="2" t="s">
        <v>42322</v>
      </c>
      <c r="I10440" s="2" t="s">
        <v>32792</v>
      </c>
      <c r="K10440" s="2" t="s">
        <v>11219</v>
      </c>
      <c r="L10440" s="2" t="s">
        <v>1722</v>
      </c>
      <c r="M10440" s="2">
        <v>39071.0</v>
      </c>
      <c r="N10440" s="2" t="s">
        <v>21</v>
      </c>
    </row>
    <row r="10441" ht="15.75" customHeight="1">
      <c r="A10441" s="2">
        <v>2018.0</v>
      </c>
      <c r="B10441" s="2" t="s">
        <v>42323</v>
      </c>
      <c r="C10441" s="2" t="s">
        <v>42323</v>
      </c>
      <c r="D10441" s="2" t="str">
        <f>"4344659941"</f>
        <v>4344659941</v>
      </c>
      <c r="E10441" s="2" t="s">
        <v>373</v>
      </c>
      <c r="F10441" s="2" t="s">
        <v>37913</v>
      </c>
      <c r="G10441" s="2" t="str">
        <f>"SR-14380"</f>
        <v>SR-14380</v>
      </c>
      <c r="H10441" s="2" t="s">
        <v>42324</v>
      </c>
      <c r="I10441" s="2" t="s">
        <v>42325</v>
      </c>
      <c r="K10441" s="2" t="s">
        <v>11041</v>
      </c>
      <c r="L10441" s="2" t="s">
        <v>165</v>
      </c>
      <c r="M10441" s="2">
        <v>22901.0</v>
      </c>
      <c r="N10441" s="2" t="s">
        <v>21</v>
      </c>
    </row>
    <row r="10442" ht="15.75" customHeight="1">
      <c r="A10442" s="2">
        <v>2018.0</v>
      </c>
      <c r="B10442" s="2" t="s">
        <v>10616</v>
      </c>
      <c r="C10442" s="2" t="s">
        <v>42326</v>
      </c>
      <c r="D10442" s="2" t="str">
        <f>"850-509-4010"</f>
        <v>850-509-4010</v>
      </c>
      <c r="E10442" s="2" t="s">
        <v>43</v>
      </c>
      <c r="F10442" s="2" t="s">
        <v>10618</v>
      </c>
      <c r="G10442" s="2" t="str">
        <f>"SR-14640"</f>
        <v>SR-14640</v>
      </c>
      <c r="H10442" s="2" t="s">
        <v>42327</v>
      </c>
      <c r="I10442" s="2" t="s">
        <v>10620</v>
      </c>
      <c r="K10442" s="2" t="s">
        <v>2007</v>
      </c>
      <c r="L10442" s="2" t="s">
        <v>208</v>
      </c>
      <c r="M10442" s="2">
        <v>32309.0</v>
      </c>
      <c r="N10442" s="2" t="s">
        <v>21</v>
      </c>
    </row>
    <row r="10443" ht="15.75" customHeight="1">
      <c r="A10443" s="2">
        <v>2018.0</v>
      </c>
      <c r="B10443" s="2" t="s">
        <v>42328</v>
      </c>
      <c r="C10443" s="2" t="s">
        <v>42329</v>
      </c>
      <c r="D10443" s="2" t="str">
        <f>"503 680 1473"</f>
        <v>503 680 1473</v>
      </c>
      <c r="E10443" s="2" t="s">
        <v>453</v>
      </c>
      <c r="F10443" s="2" t="s">
        <v>8189</v>
      </c>
      <c r="G10443" s="2" t="str">
        <f>"SR-14616"</f>
        <v>SR-14616</v>
      </c>
      <c r="H10443" s="2" t="s">
        <v>42330</v>
      </c>
      <c r="I10443" s="2" t="s">
        <v>42331</v>
      </c>
      <c r="K10443" s="2" t="s">
        <v>42332</v>
      </c>
      <c r="L10443" s="2" t="s">
        <v>2389</v>
      </c>
      <c r="M10443" s="2">
        <v>97051.0</v>
      </c>
      <c r="N10443" s="2" t="s">
        <v>21</v>
      </c>
    </row>
    <row r="10444" ht="15.75" customHeight="1">
      <c r="A10444" s="2">
        <v>2018.0</v>
      </c>
      <c r="B10444" s="2" t="s">
        <v>42333</v>
      </c>
      <c r="C10444" s="2" t="s">
        <v>42334</v>
      </c>
      <c r="D10444" s="2" t="str">
        <f>"3168332304"</f>
        <v>3168332304</v>
      </c>
      <c r="E10444" s="2" t="s">
        <v>651</v>
      </c>
      <c r="F10444" s="2" t="s">
        <v>42335</v>
      </c>
      <c r="G10444" s="2" t="str">
        <f>"SR-14471"</f>
        <v>SR-14471</v>
      </c>
      <c r="H10444" s="2" t="s">
        <v>42336</v>
      </c>
      <c r="I10444" s="2" t="s">
        <v>42337</v>
      </c>
      <c r="K10444" s="2" t="s">
        <v>1026</v>
      </c>
      <c r="L10444" s="2" t="s">
        <v>272</v>
      </c>
      <c r="M10444" s="2">
        <v>67037.0</v>
      </c>
      <c r="N10444" s="2" t="s">
        <v>21</v>
      </c>
    </row>
    <row r="10445" ht="15.75" customHeight="1">
      <c r="A10445" s="2">
        <v>2018.0</v>
      </c>
      <c r="B10445" s="2" t="s">
        <v>42338</v>
      </c>
      <c r="C10445" s="2" t="s">
        <v>42338</v>
      </c>
      <c r="D10445" s="2" t="str">
        <f>"601-630-7814"</f>
        <v>601-630-7814</v>
      </c>
      <c r="E10445" s="2" t="s">
        <v>42339</v>
      </c>
      <c r="F10445" s="2" t="s">
        <v>21153</v>
      </c>
      <c r="G10445" s="2" t="str">
        <f>"SR-14606"</f>
        <v>SR-14606</v>
      </c>
      <c r="H10445" s="2" t="s">
        <v>42340</v>
      </c>
      <c r="I10445" s="2" t="s">
        <v>42341</v>
      </c>
      <c r="K10445" s="2" t="s">
        <v>17753</v>
      </c>
      <c r="L10445" s="2" t="s">
        <v>1722</v>
      </c>
      <c r="M10445" s="2">
        <v>39180.0</v>
      </c>
      <c r="N10445" s="2" t="s">
        <v>21</v>
      </c>
    </row>
    <row r="10446" ht="15.75" customHeight="1">
      <c r="A10446" s="2">
        <v>2018.0</v>
      </c>
      <c r="B10446" s="2" t="s">
        <v>42342</v>
      </c>
      <c r="C10446" s="2" t="s">
        <v>42343</v>
      </c>
      <c r="D10446" s="2" t="str">
        <f>"6202142411"</f>
        <v>6202142411</v>
      </c>
      <c r="E10446" s="2" t="s">
        <v>36</v>
      </c>
      <c r="F10446" s="2" t="s">
        <v>4941</v>
      </c>
      <c r="G10446" s="2" t="str">
        <f>"SR-14652"</f>
        <v>SR-14652</v>
      </c>
      <c r="H10446" s="2" t="s">
        <v>42344</v>
      </c>
      <c r="I10446" s="2" t="s">
        <v>42345</v>
      </c>
      <c r="K10446" s="2" t="s">
        <v>1583</v>
      </c>
      <c r="L10446" s="2" t="s">
        <v>272</v>
      </c>
      <c r="M10446" s="2">
        <v>67846.0</v>
      </c>
      <c r="N10446" s="2" t="s">
        <v>21</v>
      </c>
    </row>
    <row r="10447" ht="15.75" customHeight="1">
      <c r="A10447" s="2">
        <v>2018.0</v>
      </c>
      <c r="B10447" s="2" t="s">
        <v>42346</v>
      </c>
      <c r="C10447" s="2" t="s">
        <v>42347</v>
      </c>
      <c r="D10447" s="2" t="str">
        <f>"734-604-9830"</f>
        <v>734-604-9830</v>
      </c>
      <c r="E10447" s="2" t="s">
        <v>1548</v>
      </c>
      <c r="F10447" s="2" t="s">
        <v>42348</v>
      </c>
      <c r="G10447" s="2" t="str">
        <f>"SR-14428"</f>
        <v>SR-14428</v>
      </c>
      <c r="H10447" s="2" t="s">
        <v>42349</v>
      </c>
      <c r="I10447" s="2" t="s">
        <v>42350</v>
      </c>
      <c r="K10447" s="2" t="s">
        <v>7174</v>
      </c>
      <c r="L10447" s="2" t="s">
        <v>29</v>
      </c>
      <c r="M10447" s="2">
        <v>48130.0</v>
      </c>
      <c r="N10447" s="2" t="s">
        <v>21</v>
      </c>
    </row>
    <row r="10448" ht="15.75" customHeight="1">
      <c r="A10448" s="2">
        <v>2018.0</v>
      </c>
      <c r="B10448" s="2" t="s">
        <v>42346</v>
      </c>
      <c r="C10448" s="2" t="s">
        <v>31017</v>
      </c>
      <c r="D10448" s="2" t="str">
        <f>"7344339320"</f>
        <v>7344339320</v>
      </c>
      <c r="E10448" s="2" t="s">
        <v>250</v>
      </c>
      <c r="F10448" s="2" t="s">
        <v>31012</v>
      </c>
      <c r="G10448" s="2" t="str">
        <f>"SR-14435"</f>
        <v>SR-14435</v>
      </c>
      <c r="H10448" s="2" t="s">
        <v>31018</v>
      </c>
      <c r="I10448" s="2" t="s">
        <v>31014</v>
      </c>
      <c r="K10448" s="2" t="s">
        <v>7174</v>
      </c>
      <c r="L10448" s="2" t="s">
        <v>29</v>
      </c>
      <c r="M10448" s="2">
        <v>48130.0</v>
      </c>
      <c r="N10448" s="2" t="s">
        <v>21</v>
      </c>
    </row>
    <row r="10449" ht="15.75" customHeight="1">
      <c r="A10449" s="2">
        <v>2018.0</v>
      </c>
      <c r="B10449" s="2" t="s">
        <v>42351</v>
      </c>
      <c r="C10449" s="2" t="s">
        <v>42352</v>
      </c>
      <c r="D10449" s="2" t="str">
        <f>"501-765-4105"</f>
        <v>501-765-4105</v>
      </c>
      <c r="E10449" s="2" t="s">
        <v>7145</v>
      </c>
      <c r="F10449" s="2" t="s">
        <v>5535</v>
      </c>
      <c r="G10449" s="2" t="str">
        <f>"SR-14264"</f>
        <v>SR-14264</v>
      </c>
      <c r="H10449" s="2" t="s">
        <v>42353</v>
      </c>
      <c r="I10449" s="2" t="s">
        <v>42354</v>
      </c>
      <c r="K10449" s="2" t="s">
        <v>100</v>
      </c>
      <c r="L10449" s="2" t="s">
        <v>1012</v>
      </c>
      <c r="M10449" s="2">
        <v>72002.0</v>
      </c>
      <c r="N10449" s="2" t="s">
        <v>21</v>
      </c>
    </row>
    <row r="10450" ht="15.75" customHeight="1">
      <c r="A10450" s="2">
        <v>2018.0</v>
      </c>
      <c r="B10450" s="2" t="s">
        <v>14574</v>
      </c>
      <c r="C10450" s="2" t="s">
        <v>42355</v>
      </c>
      <c r="D10450" s="2" t="str">
        <f>"6156240597"</f>
        <v>6156240597</v>
      </c>
      <c r="E10450" s="2" t="s">
        <v>908</v>
      </c>
      <c r="F10450" s="2" t="s">
        <v>14577</v>
      </c>
      <c r="G10450" s="2" t="str">
        <f>"SR-10655"</f>
        <v>SR-10655</v>
      </c>
      <c r="H10450" s="2" t="s">
        <v>42356</v>
      </c>
      <c r="I10450" s="2" t="s">
        <v>14579</v>
      </c>
      <c r="K10450" s="2" t="s">
        <v>13414</v>
      </c>
      <c r="L10450" s="2" t="s">
        <v>279</v>
      </c>
      <c r="M10450" s="2">
        <v>37167.0</v>
      </c>
      <c r="N10450" s="2" t="s">
        <v>21</v>
      </c>
    </row>
    <row r="10451" ht="15.75" customHeight="1">
      <c r="A10451" s="2">
        <v>2018.0</v>
      </c>
      <c r="B10451" s="2" t="s">
        <v>42357</v>
      </c>
      <c r="C10451" s="2" t="s">
        <v>42358</v>
      </c>
      <c r="D10451" s="2" t="str">
        <f>"973-967-0439"</f>
        <v>973-967-0439</v>
      </c>
      <c r="E10451" s="2" t="s">
        <v>3191</v>
      </c>
      <c r="F10451" s="2" t="s">
        <v>35644</v>
      </c>
      <c r="G10451" s="2" t="str">
        <f>"SR-14045"</f>
        <v>SR-14045</v>
      </c>
      <c r="H10451" s="2" t="s">
        <v>42359</v>
      </c>
      <c r="I10451" s="2" t="s">
        <v>42360</v>
      </c>
      <c r="K10451" s="2" t="s">
        <v>1275</v>
      </c>
      <c r="L10451" s="2" t="s">
        <v>3618</v>
      </c>
      <c r="M10451" s="2">
        <v>7869.0</v>
      </c>
      <c r="N10451" s="2" t="s">
        <v>21</v>
      </c>
    </row>
    <row r="10452" ht="15.75" customHeight="1">
      <c r="A10452" s="2">
        <v>2018.0</v>
      </c>
      <c r="B10452" s="2" t="s">
        <v>42361</v>
      </c>
      <c r="C10452" s="2" t="s">
        <v>42361</v>
      </c>
      <c r="D10452" s="2" t="str">
        <f>"5203731725"</f>
        <v>5203731725</v>
      </c>
      <c r="E10452" s="2" t="s">
        <v>678</v>
      </c>
      <c r="F10452" s="2" t="s">
        <v>36486</v>
      </c>
      <c r="G10452" s="2" t="str">
        <f>"SR-13925"</f>
        <v>SR-13925</v>
      </c>
      <c r="H10452" s="2" t="s">
        <v>42362</v>
      </c>
      <c r="I10452" s="2" t="s">
        <v>42363</v>
      </c>
      <c r="K10452" s="2" t="s">
        <v>42364</v>
      </c>
      <c r="L10452" s="2" t="s">
        <v>422</v>
      </c>
      <c r="M10452" s="2">
        <v>85750.0</v>
      </c>
      <c r="N10452" s="2" t="s">
        <v>21</v>
      </c>
    </row>
    <row r="10453" ht="15.75" customHeight="1">
      <c r="A10453" s="2">
        <v>2018.0</v>
      </c>
      <c r="B10453" s="2" t="s">
        <v>42365</v>
      </c>
      <c r="C10453" s="2" t="s">
        <v>42366</v>
      </c>
      <c r="D10453" s="2" t="str">
        <f>"3216521698"</f>
        <v>3216521698</v>
      </c>
      <c r="E10453" s="2" t="s">
        <v>5760</v>
      </c>
      <c r="F10453" s="2" t="s">
        <v>42367</v>
      </c>
      <c r="G10453" s="2" t="str">
        <f>"SR-6800"</f>
        <v>SR-6800</v>
      </c>
      <c r="H10453" s="2" t="s">
        <v>42368</v>
      </c>
      <c r="I10453" s="2" t="s">
        <v>42369</v>
      </c>
      <c r="K10453" s="2" t="s">
        <v>6842</v>
      </c>
      <c r="L10453" s="2" t="s">
        <v>208</v>
      </c>
      <c r="M10453" s="2">
        <v>32927.0</v>
      </c>
      <c r="N10453" s="2" t="s">
        <v>21</v>
      </c>
    </row>
    <row r="10454" ht="15.75" customHeight="1">
      <c r="A10454" s="2">
        <v>2018.0</v>
      </c>
      <c r="B10454" s="2" t="s">
        <v>42370</v>
      </c>
      <c r="C10454" s="2" t="s">
        <v>42371</v>
      </c>
      <c r="D10454" s="2" t="str">
        <f>"7312673009"</f>
        <v>7312673009</v>
      </c>
      <c r="E10454" s="2" t="s">
        <v>41416</v>
      </c>
      <c r="F10454" s="2" t="s">
        <v>9904</v>
      </c>
      <c r="G10454" s="2" t="str">
        <f>"SR-14666"</f>
        <v>SR-14666</v>
      </c>
      <c r="H10454" s="2" t="s">
        <v>42372</v>
      </c>
      <c r="I10454" s="2" t="s">
        <v>42373</v>
      </c>
      <c r="K10454" s="2" t="s">
        <v>42374</v>
      </c>
      <c r="L10454" s="2" t="s">
        <v>279</v>
      </c>
      <c r="M10454" s="2">
        <v>38343.0</v>
      </c>
      <c r="N10454" s="2" t="s">
        <v>21</v>
      </c>
    </row>
    <row r="10455" ht="15.75" customHeight="1">
      <c r="A10455" s="2">
        <v>2018.0</v>
      </c>
      <c r="B10455" s="2" t="s">
        <v>42375</v>
      </c>
      <c r="C10455" s="2" t="s">
        <v>42376</v>
      </c>
      <c r="D10455" s="2" t="str">
        <f>"616-802-8556"</f>
        <v>616-802-8556</v>
      </c>
      <c r="E10455" s="2" t="s">
        <v>428</v>
      </c>
      <c r="F10455" s="2" t="s">
        <v>31294</v>
      </c>
      <c r="G10455" s="2" t="str">
        <f>"SR-14669"</f>
        <v>SR-14669</v>
      </c>
      <c r="H10455" s="2" t="s">
        <v>42377</v>
      </c>
      <c r="I10455" s="2" t="s">
        <v>42378</v>
      </c>
      <c r="K10455" s="2" t="s">
        <v>1862</v>
      </c>
      <c r="L10455" s="2" t="s">
        <v>157</v>
      </c>
      <c r="M10455" s="2">
        <v>80920.0</v>
      </c>
      <c r="N10455" s="2" t="s">
        <v>21</v>
      </c>
    </row>
    <row r="10456" ht="15.75" customHeight="1">
      <c r="A10456" s="2">
        <v>2018.0</v>
      </c>
      <c r="B10456" s="2" t="s">
        <v>42379</v>
      </c>
      <c r="C10456" s="2" t="s">
        <v>42379</v>
      </c>
      <c r="D10456" s="2" t="str">
        <f>"8303057472"</f>
        <v>8303057472</v>
      </c>
      <c r="E10456" s="2" t="s">
        <v>42380</v>
      </c>
      <c r="F10456" s="2" t="s">
        <v>42381</v>
      </c>
      <c r="G10456" s="2" t="str">
        <f>"SR-14022"</f>
        <v>SR-14022</v>
      </c>
      <c r="H10456" s="2" t="s">
        <v>42382</v>
      </c>
      <c r="I10456" s="2" t="s">
        <v>42383</v>
      </c>
      <c r="K10456" s="2" t="s">
        <v>13097</v>
      </c>
      <c r="L10456" s="2" t="s">
        <v>172</v>
      </c>
      <c r="M10456" s="2">
        <v>78660.0</v>
      </c>
      <c r="N10456" s="2" t="s">
        <v>21</v>
      </c>
    </row>
    <row r="10457" ht="15.75" customHeight="1">
      <c r="A10457" s="2">
        <v>2018.0</v>
      </c>
      <c r="B10457" s="2" t="s">
        <v>42384</v>
      </c>
      <c r="C10457" s="2" t="s">
        <v>42385</v>
      </c>
      <c r="D10457" s="2" t="str">
        <f>"618-638-5747"</f>
        <v>618-638-5747</v>
      </c>
      <c r="E10457" s="2" t="s">
        <v>1548</v>
      </c>
      <c r="F10457" s="2" t="s">
        <v>42386</v>
      </c>
      <c r="G10457" s="2" t="str">
        <f>"SR-14240"</f>
        <v>SR-14240</v>
      </c>
      <c r="H10457" s="2" t="s">
        <v>42387</v>
      </c>
      <c r="I10457" s="2" t="s">
        <v>42388</v>
      </c>
      <c r="K10457" s="2" t="s">
        <v>41878</v>
      </c>
      <c r="L10457" s="2" t="s">
        <v>105</v>
      </c>
      <c r="M10457" s="2">
        <v>62960.0</v>
      </c>
      <c r="N10457" s="2" t="s">
        <v>21</v>
      </c>
    </row>
    <row r="10458" ht="15.75" customHeight="1">
      <c r="A10458" s="2">
        <v>2018.0</v>
      </c>
      <c r="B10458" s="2" t="s">
        <v>32785</v>
      </c>
      <c r="C10458" s="2" t="s">
        <v>32786</v>
      </c>
      <c r="D10458" s="2" t="str">
        <f>"601-720-8255"</f>
        <v>601-720-8255</v>
      </c>
      <c r="E10458" s="2" t="s">
        <v>705</v>
      </c>
      <c r="F10458" s="2" t="s">
        <v>32787</v>
      </c>
      <c r="G10458" s="2" t="str">
        <f>"SR-9953"</f>
        <v>SR-9953</v>
      </c>
      <c r="H10458" s="2" t="s">
        <v>32788</v>
      </c>
      <c r="I10458" s="2" t="s">
        <v>32789</v>
      </c>
      <c r="K10458" s="2" t="s">
        <v>1791</v>
      </c>
      <c r="L10458" s="2" t="s">
        <v>1722</v>
      </c>
      <c r="M10458" s="2">
        <v>39056.0</v>
      </c>
      <c r="N10458" s="2" t="s">
        <v>21</v>
      </c>
    </row>
    <row r="10459" ht="15.75" customHeight="1">
      <c r="A10459" s="2">
        <v>2018.0</v>
      </c>
      <c r="B10459" s="2" t="s">
        <v>42389</v>
      </c>
      <c r="C10459" s="2" t="s">
        <v>42389</v>
      </c>
      <c r="D10459" s="2" t="str">
        <f>"720-448-5401"</f>
        <v>720-448-5401</v>
      </c>
      <c r="E10459" s="2" t="s">
        <v>678</v>
      </c>
      <c r="F10459" s="2" t="s">
        <v>42390</v>
      </c>
      <c r="G10459" s="2" t="str">
        <f>"SR-14675"</f>
        <v>SR-14675</v>
      </c>
      <c r="H10459" s="2" t="s">
        <v>42391</v>
      </c>
      <c r="I10459" s="2" t="s">
        <v>42392</v>
      </c>
      <c r="K10459" s="2" t="s">
        <v>1398</v>
      </c>
      <c r="L10459" s="2" t="s">
        <v>157</v>
      </c>
      <c r="M10459" s="2">
        <v>80109.0</v>
      </c>
      <c r="N10459" s="2" t="s">
        <v>21</v>
      </c>
    </row>
    <row r="10460" ht="15.75" customHeight="1">
      <c r="A10460" s="2">
        <v>2018.0</v>
      </c>
      <c r="B10460" s="2" t="s">
        <v>42389</v>
      </c>
      <c r="C10460" s="2" t="s">
        <v>42389</v>
      </c>
      <c r="D10460" s="2" t="str">
        <f>"720-448-6412"</f>
        <v>720-448-6412</v>
      </c>
      <c r="E10460" s="2" t="s">
        <v>160</v>
      </c>
      <c r="F10460" s="2" t="s">
        <v>42390</v>
      </c>
      <c r="G10460" s="2" t="str">
        <f>"SR-14674"</f>
        <v>SR-14674</v>
      </c>
      <c r="H10460" s="2" t="s">
        <v>42393</v>
      </c>
      <c r="I10460" s="2" t="s">
        <v>42394</v>
      </c>
      <c r="K10460" s="2" t="s">
        <v>1398</v>
      </c>
      <c r="L10460" s="2" t="s">
        <v>157</v>
      </c>
      <c r="M10460" s="2">
        <v>80109.0</v>
      </c>
      <c r="N10460" s="2" t="s">
        <v>21</v>
      </c>
    </row>
    <row r="10461" ht="15.75" customHeight="1">
      <c r="A10461" s="2">
        <v>2018.0</v>
      </c>
      <c r="B10461" s="2" t="s">
        <v>42395</v>
      </c>
      <c r="C10461" s="2" t="s">
        <v>42396</v>
      </c>
      <c r="D10461" s="2" t="str">
        <f>"4025700434"</f>
        <v>4025700434</v>
      </c>
      <c r="E10461" s="2" t="s">
        <v>14788</v>
      </c>
      <c r="F10461" s="2" t="s">
        <v>42397</v>
      </c>
      <c r="G10461" s="2" t="str">
        <f>"SR-13972"</f>
        <v>SR-13972</v>
      </c>
      <c r="H10461" s="2" t="s">
        <v>42398</v>
      </c>
      <c r="I10461" s="2" t="s">
        <v>42399</v>
      </c>
      <c r="K10461" s="2" t="s">
        <v>572</v>
      </c>
      <c r="L10461" s="2" t="s">
        <v>757</v>
      </c>
      <c r="M10461" s="2">
        <v>68510.0</v>
      </c>
      <c r="N10461" s="2" t="s">
        <v>21</v>
      </c>
    </row>
    <row r="10462" ht="15.75" customHeight="1">
      <c r="A10462" s="2">
        <v>2018.0</v>
      </c>
      <c r="B10462" s="2" t="s">
        <v>42400</v>
      </c>
      <c r="C10462" s="2" t="s">
        <v>42401</v>
      </c>
      <c r="D10462" s="2" t="str">
        <f>"5027770582"</f>
        <v>5027770582</v>
      </c>
      <c r="E10462" s="2" t="s">
        <v>267</v>
      </c>
      <c r="F10462" s="2" t="s">
        <v>1756</v>
      </c>
      <c r="G10462" s="2" t="str">
        <f>"SR-14676"</f>
        <v>SR-14676</v>
      </c>
      <c r="H10462" s="2" t="s">
        <v>42402</v>
      </c>
      <c r="I10462" s="2" t="s">
        <v>42403</v>
      </c>
      <c r="K10462" s="2" t="s">
        <v>5288</v>
      </c>
      <c r="L10462" s="2" t="s">
        <v>1236</v>
      </c>
      <c r="M10462" s="2">
        <v>40243.0</v>
      </c>
      <c r="N10462" s="2" t="s">
        <v>21</v>
      </c>
    </row>
    <row r="10463" ht="15.75" customHeight="1">
      <c r="A10463" s="2">
        <v>2018.0</v>
      </c>
      <c r="B10463" s="2" t="s">
        <v>42404</v>
      </c>
      <c r="C10463" s="2" t="s">
        <v>42405</v>
      </c>
      <c r="D10463" s="2" t="str">
        <f>"4804809809670"</f>
        <v>4804809809670</v>
      </c>
      <c r="E10463" s="2" t="s">
        <v>7476</v>
      </c>
      <c r="F10463" s="2" t="s">
        <v>2083</v>
      </c>
      <c r="G10463" s="2" t="str">
        <f>"SR-14472"</f>
        <v>SR-14472</v>
      </c>
      <c r="H10463" s="2" t="s">
        <v>42406</v>
      </c>
      <c r="I10463" s="2" t="s">
        <v>42407</v>
      </c>
      <c r="K10463" s="2" t="s">
        <v>42408</v>
      </c>
      <c r="L10463" s="2" t="s">
        <v>422</v>
      </c>
      <c r="M10463" s="2">
        <v>85268.0</v>
      </c>
      <c r="N10463" s="2" t="s">
        <v>21</v>
      </c>
    </row>
    <row r="10464" ht="15.75" customHeight="1">
      <c r="A10464" s="2">
        <v>2018.0</v>
      </c>
      <c r="B10464" s="2" t="s">
        <v>42409</v>
      </c>
      <c r="C10464" s="2" t="s">
        <v>42410</v>
      </c>
      <c r="D10464" s="2" t="str">
        <f>"803-270-3577"</f>
        <v>803-270-3577</v>
      </c>
      <c r="E10464" s="2" t="s">
        <v>6202</v>
      </c>
      <c r="F10464" s="2" t="s">
        <v>34675</v>
      </c>
      <c r="G10464" s="2" t="str">
        <f>"SR-14677"</f>
        <v>SR-14677</v>
      </c>
      <c r="H10464" s="2" t="s">
        <v>42411</v>
      </c>
      <c r="I10464" s="2">
        <v>180.0</v>
      </c>
      <c r="J10464" s="2" t="s">
        <v>42412</v>
      </c>
      <c r="K10464" s="2" t="s">
        <v>29425</v>
      </c>
      <c r="L10464" s="2" t="s">
        <v>55</v>
      </c>
      <c r="M10464" s="2">
        <v>29860.0</v>
      </c>
      <c r="N10464" s="2" t="s">
        <v>21</v>
      </c>
    </row>
    <row r="10465" ht="15.75" customHeight="1">
      <c r="A10465" s="2">
        <v>2018.0</v>
      </c>
      <c r="B10465" s="2" t="s">
        <v>37170</v>
      </c>
      <c r="C10465" s="2" t="s">
        <v>37170</v>
      </c>
      <c r="D10465" s="2" t="str">
        <f>"7327185196"</f>
        <v>7327185196</v>
      </c>
      <c r="E10465" s="2" t="s">
        <v>2083</v>
      </c>
      <c r="F10465" s="2" t="s">
        <v>1151</v>
      </c>
      <c r="G10465" s="2" t="str">
        <f>"SR-14210"</f>
        <v>SR-14210</v>
      </c>
      <c r="H10465" s="2" t="s">
        <v>37171</v>
      </c>
      <c r="I10465" s="2" t="s">
        <v>42413</v>
      </c>
      <c r="K10465" s="2" t="s">
        <v>5519</v>
      </c>
      <c r="L10465" s="2" t="s">
        <v>279</v>
      </c>
      <c r="M10465" s="2">
        <v>38016.0</v>
      </c>
      <c r="N10465" s="2" t="s">
        <v>21</v>
      </c>
    </row>
    <row r="10466" ht="15.75" customHeight="1">
      <c r="A10466" s="2">
        <v>2018.0</v>
      </c>
      <c r="B10466" s="2" t="s">
        <v>42414</v>
      </c>
      <c r="C10466" s="2" t="s">
        <v>42415</v>
      </c>
      <c r="D10466" s="2" t="str">
        <f>"2183060040"</f>
        <v>2183060040</v>
      </c>
      <c r="E10466" s="2" t="s">
        <v>752</v>
      </c>
      <c r="F10466" s="2" t="s">
        <v>42416</v>
      </c>
      <c r="G10466" s="2" t="str">
        <f>"SR-14692"</f>
        <v>SR-14692</v>
      </c>
      <c r="H10466" s="2" t="s">
        <v>42417</v>
      </c>
      <c r="I10466" s="2" t="s">
        <v>42418</v>
      </c>
      <c r="K10466" s="2" t="s">
        <v>1520</v>
      </c>
      <c r="L10466" s="2" t="s">
        <v>62</v>
      </c>
      <c r="M10466" s="2">
        <v>55705.0</v>
      </c>
      <c r="N10466" s="2" t="s">
        <v>21</v>
      </c>
    </row>
    <row r="10467" ht="15.75" customHeight="1">
      <c r="A10467" s="2">
        <v>2018.0</v>
      </c>
      <c r="B10467" s="2" t="s">
        <v>42419</v>
      </c>
      <c r="C10467" s="2" t="s">
        <v>42419</v>
      </c>
      <c r="D10467" s="2" t="str">
        <f>"570-358-3511"</f>
        <v>570-358-3511</v>
      </c>
      <c r="E10467" s="2" t="s">
        <v>705</v>
      </c>
      <c r="F10467" s="2" t="s">
        <v>42420</v>
      </c>
      <c r="G10467" s="2" t="str">
        <f>"SR-9707"</f>
        <v>SR-9707</v>
      </c>
      <c r="H10467" s="2" t="s">
        <v>42421</v>
      </c>
      <c r="I10467" s="2" t="s">
        <v>42422</v>
      </c>
      <c r="K10467" s="2" t="s">
        <v>42423</v>
      </c>
      <c r="L10467" s="2" t="s">
        <v>179</v>
      </c>
      <c r="M10467" s="2">
        <v>18850.0</v>
      </c>
      <c r="N10467" s="2" t="s">
        <v>21</v>
      </c>
    </row>
    <row r="10468" ht="15.75" customHeight="1">
      <c r="A10468" s="2">
        <v>2018.0</v>
      </c>
      <c r="B10468" s="2" t="s">
        <v>42424</v>
      </c>
      <c r="C10468" s="2" t="s">
        <v>42425</v>
      </c>
      <c r="D10468" s="2" t="str">
        <f>"845-546-0768"</f>
        <v>845-546-0768</v>
      </c>
      <c r="E10468" s="2" t="s">
        <v>2147</v>
      </c>
      <c r="F10468" s="2" t="s">
        <v>42426</v>
      </c>
      <c r="G10468" s="2" t="str">
        <f>"SR-14707"</f>
        <v>SR-14707</v>
      </c>
      <c r="H10468" s="2" t="s">
        <v>42427</v>
      </c>
      <c r="I10468" s="2" t="s">
        <v>42428</v>
      </c>
      <c r="K10468" s="2" t="s">
        <v>42429</v>
      </c>
      <c r="L10468" s="2" t="s">
        <v>142</v>
      </c>
      <c r="M10468" s="2">
        <v>12603.0</v>
      </c>
      <c r="N10468" s="2" t="s">
        <v>21</v>
      </c>
    </row>
    <row r="10469" ht="15.75" customHeight="1">
      <c r="A10469" s="2">
        <v>2018.0</v>
      </c>
      <c r="B10469" s="2" t="s">
        <v>42430</v>
      </c>
      <c r="C10469" s="2" t="s">
        <v>42431</v>
      </c>
      <c r="D10469" s="2" t="str">
        <f>"2054017926"</f>
        <v>2054017926</v>
      </c>
      <c r="E10469" s="2" t="s">
        <v>447</v>
      </c>
      <c r="F10469" s="2" t="s">
        <v>42432</v>
      </c>
      <c r="G10469" s="2" t="str">
        <f>"SR-14314"</f>
        <v>SR-14314</v>
      </c>
      <c r="H10469" s="2" t="s">
        <v>42433</v>
      </c>
      <c r="I10469" s="2" t="s">
        <v>42434</v>
      </c>
      <c r="K10469" s="2" t="s">
        <v>1173</v>
      </c>
      <c r="L10469" s="2" t="s">
        <v>539</v>
      </c>
      <c r="M10469" s="2">
        <v>35226.0</v>
      </c>
      <c r="N10469" s="2" t="s">
        <v>21</v>
      </c>
    </row>
    <row r="10470" ht="15.75" customHeight="1">
      <c r="A10470" s="2">
        <v>2018.0</v>
      </c>
      <c r="B10470" s="2" t="s">
        <v>42435</v>
      </c>
      <c r="D10470" s="2" t="str">
        <f>""</f>
        <v/>
      </c>
      <c r="E10470" s="2" t="s">
        <v>42436</v>
      </c>
      <c r="F10470" s="2" t="s">
        <v>256</v>
      </c>
      <c r="G10470" s="2" t="str">
        <f>"SR-14650"</f>
        <v>SR-14650</v>
      </c>
      <c r="H10470" s="2" t="s">
        <v>42437</v>
      </c>
      <c r="N10470" s="2" t="s">
        <v>21</v>
      </c>
    </row>
    <row r="10471" ht="15.75" customHeight="1">
      <c r="A10471" s="2">
        <v>2018.0</v>
      </c>
      <c r="B10471" s="2" t="s">
        <v>42438</v>
      </c>
      <c r="C10471" s="2" t="s">
        <v>42439</v>
      </c>
      <c r="D10471" s="2" t="str">
        <f>"9126588430"</f>
        <v>9126588430</v>
      </c>
      <c r="E10471" s="2" t="s">
        <v>7517</v>
      </c>
      <c r="F10471" s="2" t="s">
        <v>6553</v>
      </c>
      <c r="G10471" s="2" t="str">
        <f>"SR-14120"</f>
        <v>SR-14120</v>
      </c>
      <c r="H10471" s="2" t="s">
        <v>42440</v>
      </c>
      <c r="I10471" s="2" t="s">
        <v>42441</v>
      </c>
      <c r="K10471" s="2" t="s">
        <v>7831</v>
      </c>
      <c r="L10471" s="2" t="s">
        <v>200</v>
      </c>
      <c r="M10471" s="2">
        <v>31322.0</v>
      </c>
      <c r="N10471" s="2" t="s">
        <v>21</v>
      </c>
    </row>
    <row r="10472" ht="15.75" customHeight="1">
      <c r="A10472" s="2">
        <v>2018.0</v>
      </c>
      <c r="B10472" s="2" t="s">
        <v>42442</v>
      </c>
      <c r="C10472" s="2" t="s">
        <v>42442</v>
      </c>
      <c r="D10472" s="2" t="str">
        <f>"912-398-8386"</f>
        <v>912-398-8386</v>
      </c>
      <c r="E10472" s="2" t="s">
        <v>282</v>
      </c>
      <c r="F10472" s="2" t="s">
        <v>42443</v>
      </c>
      <c r="G10472" s="2" t="str">
        <f>"SR-14077"</f>
        <v>SR-14077</v>
      </c>
      <c r="H10472" s="2" t="s">
        <v>42444</v>
      </c>
      <c r="I10472" s="2" t="s">
        <v>42445</v>
      </c>
      <c r="K10472" s="2" t="s">
        <v>42446</v>
      </c>
      <c r="L10472" s="2" t="s">
        <v>200</v>
      </c>
      <c r="M10472" s="2">
        <v>31322.0</v>
      </c>
      <c r="N10472" s="2" t="s">
        <v>21</v>
      </c>
    </row>
    <row r="10473" ht="15.75" customHeight="1">
      <c r="A10473" s="2">
        <v>2018.0</v>
      </c>
      <c r="B10473" s="2" t="s">
        <v>42447</v>
      </c>
      <c r="C10473" s="2" t="s">
        <v>42448</v>
      </c>
      <c r="D10473" s="2" t="str">
        <f>"9123233400"</f>
        <v>9123233400</v>
      </c>
      <c r="E10473" s="2" t="s">
        <v>659</v>
      </c>
      <c r="F10473" s="2" t="s">
        <v>42449</v>
      </c>
      <c r="G10473" s="2" t="str">
        <f>"SR-14025"</f>
        <v>SR-14025</v>
      </c>
      <c r="H10473" s="2" t="s">
        <v>42450</v>
      </c>
      <c r="I10473" s="2" t="s">
        <v>42451</v>
      </c>
      <c r="K10473" s="2" t="s">
        <v>1239</v>
      </c>
      <c r="L10473" s="2" t="s">
        <v>200</v>
      </c>
      <c r="M10473" s="2">
        <v>31405.0</v>
      </c>
      <c r="N10473" s="2" t="s">
        <v>21</v>
      </c>
    </row>
    <row r="10474" ht="15.75" customHeight="1">
      <c r="A10474" s="2">
        <v>2018.0</v>
      </c>
      <c r="B10474" s="2" t="s">
        <v>42452</v>
      </c>
      <c r="C10474" s="2" t="s">
        <v>42453</v>
      </c>
      <c r="D10474" s="2" t="str">
        <f>"912 695-1548"</f>
        <v>912 695-1548</v>
      </c>
      <c r="E10474" s="2" t="s">
        <v>3191</v>
      </c>
      <c r="F10474" s="2" t="s">
        <v>42454</v>
      </c>
      <c r="G10474" s="2" t="str">
        <f>"SR-14411"</f>
        <v>SR-14411</v>
      </c>
      <c r="H10474" s="2" t="s">
        <v>42455</v>
      </c>
      <c r="I10474" s="2" t="s">
        <v>42456</v>
      </c>
      <c r="K10474" s="2" t="s">
        <v>1239</v>
      </c>
      <c r="L10474" s="2" t="s">
        <v>200</v>
      </c>
      <c r="M10474" s="2">
        <v>31411.0</v>
      </c>
      <c r="N10474" s="2" t="s">
        <v>21</v>
      </c>
    </row>
    <row r="10475" ht="15.75" customHeight="1">
      <c r="A10475" s="2">
        <v>2018.0</v>
      </c>
      <c r="B10475" s="2" t="s">
        <v>42457</v>
      </c>
      <c r="C10475" s="2" t="s">
        <v>42458</v>
      </c>
      <c r="D10475" s="2" t="str">
        <f>"9016106343"</f>
        <v>9016106343</v>
      </c>
      <c r="E10475" s="2" t="s">
        <v>11423</v>
      </c>
      <c r="F10475" s="2" t="s">
        <v>42459</v>
      </c>
      <c r="G10475" s="2" t="str">
        <f>"SR-14385"</f>
        <v>SR-14385</v>
      </c>
      <c r="H10475" s="2" t="s">
        <v>42460</v>
      </c>
      <c r="I10475" s="2" t="s">
        <v>42461</v>
      </c>
      <c r="K10475" s="2" t="s">
        <v>42462</v>
      </c>
      <c r="L10475" s="2" t="s">
        <v>279</v>
      </c>
      <c r="M10475" s="2">
        <v>38028.0</v>
      </c>
      <c r="N10475" s="2" t="s">
        <v>21</v>
      </c>
    </row>
    <row r="10476" ht="15.75" customHeight="1">
      <c r="A10476" s="2">
        <v>2018.0</v>
      </c>
      <c r="B10476" s="2" t="s">
        <v>42463</v>
      </c>
      <c r="C10476" s="2" t="s">
        <v>42464</v>
      </c>
      <c r="D10476" s="2" t="str">
        <f>"316 721-1526"</f>
        <v>316 721-1526</v>
      </c>
      <c r="E10476" s="2" t="s">
        <v>4111</v>
      </c>
      <c r="F10476" s="2" t="s">
        <v>15406</v>
      </c>
      <c r="G10476" s="2" t="str">
        <f>"SR-11381"</f>
        <v>SR-11381</v>
      </c>
      <c r="H10476" s="2" t="s">
        <v>42465</v>
      </c>
      <c r="I10476" s="2" t="s">
        <v>42466</v>
      </c>
      <c r="K10476" s="2" t="s">
        <v>606</v>
      </c>
      <c r="L10476" s="2" t="s">
        <v>272</v>
      </c>
      <c r="M10476" s="2">
        <v>67209.0</v>
      </c>
      <c r="N10476" s="2" t="s">
        <v>21</v>
      </c>
    </row>
    <row r="10477" ht="15.75" customHeight="1">
      <c r="A10477" s="2">
        <v>2018.0</v>
      </c>
      <c r="B10477" s="2" t="s">
        <v>42467</v>
      </c>
      <c r="C10477" s="2" t="s">
        <v>42468</v>
      </c>
      <c r="D10477" s="2" t="str">
        <f>"719-332-2956"</f>
        <v>719-332-2956</v>
      </c>
      <c r="E10477" s="2" t="s">
        <v>2912</v>
      </c>
      <c r="F10477" s="2" t="s">
        <v>42469</v>
      </c>
      <c r="G10477" s="2" t="str">
        <f>"SR-14639"</f>
        <v>SR-14639</v>
      </c>
      <c r="H10477" s="2" t="s">
        <v>42470</v>
      </c>
      <c r="I10477" s="2" t="s">
        <v>42471</v>
      </c>
      <c r="K10477" s="2" t="s">
        <v>809</v>
      </c>
      <c r="L10477" s="2" t="s">
        <v>157</v>
      </c>
      <c r="M10477" s="2">
        <v>80922.0</v>
      </c>
      <c r="N10477" s="2" t="s">
        <v>21</v>
      </c>
    </row>
    <row r="10478" ht="15.75" customHeight="1">
      <c r="A10478" s="2">
        <v>2018.0</v>
      </c>
      <c r="B10478" s="2" t="s">
        <v>36293</v>
      </c>
      <c r="C10478" s="2" t="s">
        <v>36294</v>
      </c>
      <c r="D10478" s="2" t="str">
        <f>"407-879-3803"</f>
        <v>407-879-3803</v>
      </c>
      <c r="E10478" s="2" t="s">
        <v>36295</v>
      </c>
      <c r="F10478" s="2" t="s">
        <v>36296</v>
      </c>
      <c r="G10478" s="2" t="str">
        <f>"SR-11696"</f>
        <v>SR-11696</v>
      </c>
      <c r="H10478" s="2" t="s">
        <v>36297</v>
      </c>
      <c r="I10478" s="2" t="s">
        <v>36298</v>
      </c>
      <c r="K10478" s="2" t="s">
        <v>34032</v>
      </c>
      <c r="L10478" s="2" t="s">
        <v>208</v>
      </c>
      <c r="M10478" s="2">
        <v>32701.0</v>
      </c>
      <c r="N10478" s="2" t="s">
        <v>21</v>
      </c>
    </row>
    <row r="10479" ht="15.75" customHeight="1">
      <c r="A10479" s="2">
        <v>2018.0</v>
      </c>
      <c r="B10479" s="2" t="s">
        <v>42472</v>
      </c>
      <c r="D10479" s="2" t="str">
        <f>""</f>
        <v/>
      </c>
      <c r="E10479" s="2" t="s">
        <v>2250</v>
      </c>
      <c r="F10479" s="2" t="s">
        <v>42473</v>
      </c>
      <c r="G10479" s="2" t="str">
        <f>"SR-14714"</f>
        <v>SR-14714</v>
      </c>
      <c r="H10479" s="2" t="s">
        <v>42474</v>
      </c>
      <c r="N10479" s="2" t="s">
        <v>21</v>
      </c>
    </row>
    <row r="10480" ht="15.75" customHeight="1">
      <c r="A10480" s="2">
        <v>2018.0</v>
      </c>
      <c r="B10480" s="2" t="s">
        <v>42475</v>
      </c>
      <c r="C10480" s="2" t="s">
        <v>42475</v>
      </c>
      <c r="D10480" s="2" t="str">
        <f>"2059143351"</f>
        <v>2059143351</v>
      </c>
      <c r="E10480" s="2" t="s">
        <v>1263</v>
      </c>
      <c r="F10480" s="2" t="s">
        <v>5675</v>
      </c>
      <c r="G10480" s="2" t="str">
        <f>"SR-14622"</f>
        <v>SR-14622</v>
      </c>
      <c r="H10480" s="2" t="s">
        <v>42476</v>
      </c>
      <c r="I10480" s="2" t="s">
        <v>42477</v>
      </c>
      <c r="K10480" s="2" t="s">
        <v>18521</v>
      </c>
      <c r="L10480" s="2" t="s">
        <v>539</v>
      </c>
      <c r="M10480" s="2">
        <v>35080.0</v>
      </c>
      <c r="N10480" s="2" t="s">
        <v>21</v>
      </c>
    </row>
    <row r="10481" ht="15.75" customHeight="1">
      <c r="A10481" s="2">
        <v>2018.0</v>
      </c>
      <c r="B10481" s="2" t="s">
        <v>42478</v>
      </c>
      <c r="C10481" s="2" t="s">
        <v>42478</v>
      </c>
      <c r="D10481" s="2" t="str">
        <f>"2059970198"</f>
        <v>2059970198</v>
      </c>
      <c r="E10481" s="2" t="s">
        <v>1548</v>
      </c>
      <c r="F10481" s="2" t="s">
        <v>5675</v>
      </c>
      <c r="G10481" s="2" t="str">
        <f>"SR-14629"</f>
        <v>SR-14629</v>
      </c>
      <c r="H10481" s="2" t="s">
        <v>42479</v>
      </c>
      <c r="I10481" s="2" t="s">
        <v>42477</v>
      </c>
      <c r="K10481" s="2" t="s">
        <v>18521</v>
      </c>
      <c r="L10481" s="2" t="s">
        <v>539</v>
      </c>
      <c r="M10481" s="2">
        <v>35080.0</v>
      </c>
      <c r="N10481" s="2" t="s">
        <v>21</v>
      </c>
    </row>
    <row r="10482" ht="15.75" customHeight="1">
      <c r="A10482" s="2">
        <v>2018.0</v>
      </c>
      <c r="B10482" s="2" t="s">
        <v>42480</v>
      </c>
      <c r="C10482" s="2" t="s">
        <v>42480</v>
      </c>
      <c r="D10482" s="2" t="str">
        <f>"731-431-0109"</f>
        <v>731-431-0109</v>
      </c>
      <c r="E10482" s="2" t="s">
        <v>15</v>
      </c>
      <c r="F10482" s="2" t="s">
        <v>3576</v>
      </c>
      <c r="G10482" s="2" t="str">
        <f>"SR-14721"</f>
        <v>SR-14721</v>
      </c>
      <c r="H10482" s="2" t="s">
        <v>42481</v>
      </c>
      <c r="I10482" s="2" t="s">
        <v>42482</v>
      </c>
      <c r="K10482" s="2" t="s">
        <v>1257</v>
      </c>
      <c r="L10482" s="2" t="s">
        <v>279</v>
      </c>
      <c r="M10482" s="2">
        <v>38305.0</v>
      </c>
      <c r="N10482" s="2" t="s">
        <v>21</v>
      </c>
    </row>
    <row r="10483" ht="15.75" customHeight="1">
      <c r="A10483" s="2">
        <v>2018.0</v>
      </c>
      <c r="B10483" s="2" t="s">
        <v>42430</v>
      </c>
      <c r="C10483" s="2" t="s">
        <v>42431</v>
      </c>
      <c r="D10483" s="2" t="str">
        <f>"2052236006"</f>
        <v>2052236006</v>
      </c>
      <c r="E10483" s="2" t="s">
        <v>417</v>
      </c>
      <c r="F10483" s="2" t="s">
        <v>42432</v>
      </c>
      <c r="G10483" s="2" t="str">
        <f>"SR-14689"</f>
        <v>SR-14689</v>
      </c>
      <c r="H10483" s="2" t="s">
        <v>42483</v>
      </c>
      <c r="I10483" s="2" t="s">
        <v>42434</v>
      </c>
      <c r="K10483" s="2" t="s">
        <v>1173</v>
      </c>
      <c r="L10483" s="2" t="s">
        <v>539</v>
      </c>
      <c r="M10483" s="2">
        <v>35226.0</v>
      </c>
      <c r="N10483" s="2" t="s">
        <v>21</v>
      </c>
    </row>
    <row r="10484" ht="15.75" customHeight="1">
      <c r="A10484" s="2">
        <v>2018.0</v>
      </c>
      <c r="B10484" s="2" t="s">
        <v>42484</v>
      </c>
      <c r="C10484" s="2" t="s">
        <v>42484</v>
      </c>
      <c r="D10484" s="2" t="str">
        <f>"2483025115"</f>
        <v>2483025115</v>
      </c>
      <c r="E10484" s="2" t="s">
        <v>453</v>
      </c>
      <c r="F10484" s="2" t="s">
        <v>42485</v>
      </c>
      <c r="G10484" s="2" t="str">
        <f>"SR-14711"</f>
        <v>SR-14711</v>
      </c>
      <c r="H10484" s="2" t="s">
        <v>42486</v>
      </c>
      <c r="I10484" s="2" t="s">
        <v>42487</v>
      </c>
      <c r="K10484" s="2" t="s">
        <v>25872</v>
      </c>
      <c r="L10484" s="2" t="s">
        <v>29</v>
      </c>
      <c r="M10484" s="2">
        <v>48356.0</v>
      </c>
      <c r="N10484" s="2" t="s">
        <v>21</v>
      </c>
    </row>
    <row r="10485" ht="15.75" customHeight="1">
      <c r="A10485" s="2">
        <v>2018.0</v>
      </c>
      <c r="B10485" s="2" t="s">
        <v>42488</v>
      </c>
      <c r="C10485" s="2" t="s">
        <v>42488</v>
      </c>
      <c r="D10485" s="2" t="str">
        <f>"17316107534"</f>
        <v>17316107534</v>
      </c>
      <c r="E10485" s="2" t="s">
        <v>3111</v>
      </c>
      <c r="F10485" s="2" t="s">
        <v>16070</v>
      </c>
      <c r="G10485" s="2" t="str">
        <f>"SR-14368"</f>
        <v>SR-14368</v>
      </c>
      <c r="H10485" s="2" t="s">
        <v>42489</v>
      </c>
      <c r="I10485" s="2" t="s">
        <v>42490</v>
      </c>
      <c r="K10485" s="2" t="s">
        <v>42491</v>
      </c>
      <c r="L10485" s="2" t="s">
        <v>279</v>
      </c>
      <c r="M10485" s="2">
        <v>38315.0</v>
      </c>
      <c r="N10485" s="2" t="s">
        <v>21</v>
      </c>
    </row>
    <row r="10486" ht="15.75" customHeight="1">
      <c r="A10486" s="2">
        <v>2018.0</v>
      </c>
      <c r="B10486" s="2" t="s">
        <v>42492</v>
      </c>
      <c r="C10486" s="2" t="s">
        <v>42492</v>
      </c>
      <c r="D10486" s="2" t="str">
        <f>"3087302322"</f>
        <v>3087302322</v>
      </c>
      <c r="E10486" s="2" t="s">
        <v>915</v>
      </c>
      <c r="F10486" s="2" t="s">
        <v>17432</v>
      </c>
      <c r="G10486" s="2" t="str">
        <f>"SR-14529"</f>
        <v>SR-14529</v>
      </c>
      <c r="H10486" s="2" t="s">
        <v>42493</v>
      </c>
      <c r="I10486" s="2">
        <v>46637.0</v>
      </c>
      <c r="K10486" s="2" t="s">
        <v>8558</v>
      </c>
      <c r="L10486" s="2" t="s">
        <v>757</v>
      </c>
      <c r="M10486" s="2">
        <v>68815.0</v>
      </c>
      <c r="N10486" s="2" t="s">
        <v>21</v>
      </c>
    </row>
    <row r="10487" ht="15.75" customHeight="1">
      <c r="A10487" s="2">
        <v>2018.0</v>
      </c>
      <c r="B10487" s="2" t="s">
        <v>42494</v>
      </c>
      <c r="C10487" s="2" t="s">
        <v>42494</v>
      </c>
      <c r="D10487" s="2" t="str">
        <f>"6262536104"</f>
        <v>6262536104</v>
      </c>
      <c r="E10487" s="2" t="s">
        <v>417</v>
      </c>
      <c r="F10487" s="2" t="s">
        <v>42495</v>
      </c>
      <c r="G10487" s="2" t="str">
        <f>"SR-14486"</f>
        <v>SR-14486</v>
      </c>
      <c r="H10487" s="2" t="s">
        <v>42496</v>
      </c>
      <c r="I10487" s="2" t="s">
        <v>42497</v>
      </c>
      <c r="K10487" s="2" t="s">
        <v>7320</v>
      </c>
      <c r="L10487" s="2" t="s">
        <v>222</v>
      </c>
      <c r="M10487" s="2">
        <v>91741.0</v>
      </c>
      <c r="N10487" s="2" t="s">
        <v>21</v>
      </c>
    </row>
    <row r="10488" ht="15.75" customHeight="1">
      <c r="A10488" s="2">
        <v>2018.0</v>
      </c>
      <c r="B10488" s="2" t="s">
        <v>42498</v>
      </c>
      <c r="C10488" s="2" t="s">
        <v>42498</v>
      </c>
      <c r="D10488" s="2" t="str">
        <f>"5405870159"</f>
        <v>5405870159</v>
      </c>
      <c r="E10488" s="2" t="s">
        <v>751</v>
      </c>
      <c r="F10488" s="2" t="s">
        <v>42499</v>
      </c>
      <c r="G10488" s="2" t="str">
        <f>"SR-14513"</f>
        <v>SR-14513</v>
      </c>
      <c r="H10488" s="2" t="s">
        <v>42500</v>
      </c>
      <c r="I10488" s="2" t="s">
        <v>42501</v>
      </c>
      <c r="K10488" s="2" t="s">
        <v>6168</v>
      </c>
      <c r="L10488" s="2" t="s">
        <v>279</v>
      </c>
      <c r="M10488" s="2">
        <v>37918.0</v>
      </c>
      <c r="N10488" s="2" t="s">
        <v>21</v>
      </c>
    </row>
    <row r="10489" ht="15.75" customHeight="1">
      <c r="A10489" s="2">
        <v>2018.0</v>
      </c>
      <c r="B10489" s="2" t="s">
        <v>35404</v>
      </c>
      <c r="C10489" s="2" t="s">
        <v>35405</v>
      </c>
      <c r="D10489" s="2" t="str">
        <f t="shared" ref="D10489:D10490" si="170">"601-879-3854"</f>
        <v>601-879-3854</v>
      </c>
      <c r="E10489" s="2" t="s">
        <v>35406</v>
      </c>
      <c r="F10489" s="2" t="s">
        <v>35407</v>
      </c>
      <c r="G10489" s="2" t="str">
        <f>"SR-10689"</f>
        <v>SR-10689</v>
      </c>
      <c r="H10489" s="2" t="s">
        <v>35408</v>
      </c>
      <c r="I10489" s="2" t="s">
        <v>35409</v>
      </c>
      <c r="K10489" s="2" t="s">
        <v>11219</v>
      </c>
      <c r="L10489" s="2" t="s">
        <v>1722</v>
      </c>
      <c r="M10489" s="2">
        <v>39071.0</v>
      </c>
      <c r="N10489" s="2" t="s">
        <v>21</v>
      </c>
    </row>
    <row r="10490" ht="15.75" customHeight="1">
      <c r="A10490" s="2">
        <v>2018.0</v>
      </c>
      <c r="B10490" s="2" t="s">
        <v>35404</v>
      </c>
      <c r="C10490" s="2" t="s">
        <v>35410</v>
      </c>
      <c r="D10490" s="2" t="str">
        <f t="shared" si="170"/>
        <v>601-879-3854</v>
      </c>
      <c r="E10490" s="2" t="s">
        <v>3305</v>
      </c>
      <c r="F10490" s="2" t="s">
        <v>35407</v>
      </c>
      <c r="G10490" s="2" t="str">
        <f>"SR-11404"</f>
        <v>SR-11404</v>
      </c>
      <c r="H10490" s="2" t="s">
        <v>35411</v>
      </c>
      <c r="I10490" s="2" t="s">
        <v>35409</v>
      </c>
      <c r="K10490" s="2" t="s">
        <v>11219</v>
      </c>
      <c r="L10490" s="2" t="s">
        <v>1722</v>
      </c>
      <c r="M10490" s="2">
        <v>39071.0</v>
      </c>
      <c r="N10490" s="2" t="s">
        <v>21</v>
      </c>
    </row>
    <row r="10491" ht="15.75" customHeight="1">
      <c r="A10491" s="2">
        <v>2018.0</v>
      </c>
      <c r="B10491" s="2" t="s">
        <v>42502</v>
      </c>
      <c r="C10491" s="2" t="s">
        <v>42503</v>
      </c>
      <c r="D10491" s="2" t="str">
        <f>"6785445884"</f>
        <v>6785445884</v>
      </c>
      <c r="E10491" s="2" t="s">
        <v>160</v>
      </c>
      <c r="F10491" s="2" t="s">
        <v>42504</v>
      </c>
      <c r="G10491" s="2" t="str">
        <f>"SR-14533"</f>
        <v>SR-14533</v>
      </c>
      <c r="H10491" s="2" t="s">
        <v>42505</v>
      </c>
      <c r="I10491" s="2" t="s">
        <v>42506</v>
      </c>
      <c r="K10491" s="2" t="s">
        <v>3164</v>
      </c>
      <c r="L10491" s="2" t="s">
        <v>200</v>
      </c>
      <c r="M10491" s="2">
        <v>30215.0</v>
      </c>
      <c r="N10491" s="2" t="s">
        <v>21</v>
      </c>
    </row>
    <row r="10492" ht="15.75" customHeight="1">
      <c r="A10492" s="2">
        <v>2018.0</v>
      </c>
      <c r="B10492" s="2" t="s">
        <v>42507</v>
      </c>
      <c r="C10492" s="2" t="s">
        <v>42508</v>
      </c>
      <c r="D10492" s="2" t="str">
        <f>"7204274032"</f>
        <v>7204274032</v>
      </c>
      <c r="E10492" s="2" t="s">
        <v>678</v>
      </c>
      <c r="F10492" s="2" t="s">
        <v>320</v>
      </c>
      <c r="G10492" s="2" t="str">
        <f>"SR-14653"</f>
        <v>SR-14653</v>
      </c>
      <c r="H10492" s="2" t="s">
        <v>42509</v>
      </c>
      <c r="I10492" s="2" t="s">
        <v>42510</v>
      </c>
      <c r="K10492" s="2" t="s">
        <v>42511</v>
      </c>
      <c r="L10492" s="2" t="s">
        <v>422</v>
      </c>
      <c r="M10492" s="2">
        <v>86315.0</v>
      </c>
      <c r="N10492" s="2" t="s">
        <v>21</v>
      </c>
    </row>
    <row r="10493" ht="15.75" customHeight="1">
      <c r="A10493" s="2">
        <v>2018.0</v>
      </c>
      <c r="B10493" s="2" t="s">
        <v>42512</v>
      </c>
      <c r="C10493" s="2" t="s">
        <v>42513</v>
      </c>
      <c r="D10493" s="2" t="str">
        <f>"9518090155"</f>
        <v>9518090155</v>
      </c>
      <c r="E10493" s="2" t="s">
        <v>17831</v>
      </c>
      <c r="F10493" s="2" t="s">
        <v>42514</v>
      </c>
      <c r="G10493" s="2" t="str">
        <f>"SR-14546"</f>
        <v>SR-14546</v>
      </c>
      <c r="H10493" s="2" t="s">
        <v>42515</v>
      </c>
      <c r="I10493" s="2" t="s">
        <v>42516</v>
      </c>
      <c r="J10493" s="2" t="s">
        <v>42517</v>
      </c>
      <c r="K10493" s="2" t="s">
        <v>9348</v>
      </c>
      <c r="L10493" s="2" t="s">
        <v>222</v>
      </c>
      <c r="M10493" s="2">
        <v>92545.0</v>
      </c>
      <c r="N10493" s="2" t="s">
        <v>21</v>
      </c>
    </row>
    <row r="10494" ht="15.75" customHeight="1">
      <c r="A10494" s="2">
        <v>2018.0</v>
      </c>
      <c r="B10494" s="2" t="s">
        <v>42518</v>
      </c>
      <c r="C10494" s="2" t="s">
        <v>42519</v>
      </c>
      <c r="D10494" s="2" t="str">
        <f>"2259635001"</f>
        <v>2259635001</v>
      </c>
      <c r="E10494" s="2" t="s">
        <v>42520</v>
      </c>
      <c r="F10494" s="2" t="s">
        <v>42521</v>
      </c>
      <c r="G10494" s="2" t="str">
        <f>"SR-14739"</f>
        <v>SR-14739</v>
      </c>
      <c r="H10494" s="2" t="s">
        <v>42522</v>
      </c>
      <c r="I10494" s="2" t="s">
        <v>42523</v>
      </c>
      <c r="K10494" s="2" t="s">
        <v>3654</v>
      </c>
      <c r="L10494" s="2" t="s">
        <v>715</v>
      </c>
      <c r="M10494" s="2">
        <v>70806.0</v>
      </c>
      <c r="N10494" s="2" t="s">
        <v>21</v>
      </c>
    </row>
    <row r="10495" ht="15.75" customHeight="1">
      <c r="A10495" s="2">
        <v>2018.0</v>
      </c>
      <c r="B10495" s="2" t="s">
        <v>12804</v>
      </c>
      <c r="C10495" s="2" t="s">
        <v>42524</v>
      </c>
      <c r="D10495" s="2" t="str">
        <f>"847/502-8617"</f>
        <v>847/502-8617</v>
      </c>
      <c r="E10495" s="2" t="s">
        <v>2162</v>
      </c>
      <c r="F10495" s="2" t="s">
        <v>12807</v>
      </c>
      <c r="G10495" s="2" t="str">
        <f>"SR-14746"</f>
        <v>SR-14746</v>
      </c>
      <c r="H10495" s="2" t="s">
        <v>42525</v>
      </c>
      <c r="I10495" s="2" t="s">
        <v>12809</v>
      </c>
      <c r="K10495" s="2" t="s">
        <v>12810</v>
      </c>
      <c r="L10495" s="2" t="s">
        <v>105</v>
      </c>
      <c r="M10495" s="2">
        <v>60070.0</v>
      </c>
      <c r="N10495" s="2" t="s">
        <v>21</v>
      </c>
    </row>
    <row r="10496" ht="15.75" customHeight="1">
      <c r="A10496" s="2">
        <v>2018.0</v>
      </c>
      <c r="B10496" s="2" t="s">
        <v>42526</v>
      </c>
      <c r="C10496" s="2" t="s">
        <v>42527</v>
      </c>
      <c r="D10496" s="2" t="str">
        <f>"248-980-1686"</f>
        <v>248-980-1686</v>
      </c>
      <c r="E10496" s="2" t="s">
        <v>9707</v>
      </c>
      <c r="F10496" s="2" t="s">
        <v>25366</v>
      </c>
      <c r="G10496" s="2" t="str">
        <f>"SR-14734"</f>
        <v>SR-14734</v>
      </c>
      <c r="H10496" s="2" t="s">
        <v>42528</v>
      </c>
      <c r="I10496" s="2" t="s">
        <v>42529</v>
      </c>
      <c r="K10496" s="2" t="s">
        <v>42530</v>
      </c>
      <c r="L10496" s="2" t="s">
        <v>29</v>
      </c>
      <c r="M10496" s="2">
        <v>48350.0</v>
      </c>
      <c r="N10496" s="2" t="s">
        <v>21</v>
      </c>
    </row>
    <row r="10497" ht="15.75" customHeight="1">
      <c r="A10497" s="2">
        <v>2018.0</v>
      </c>
      <c r="B10497" s="2" t="s">
        <v>42531</v>
      </c>
      <c r="C10497" s="2" t="s">
        <v>42532</v>
      </c>
      <c r="D10497" s="2" t="str">
        <f t="shared" ref="D10497:D10498" si="171">"7034049034"</f>
        <v>7034049034</v>
      </c>
      <c r="E10497" s="2" t="s">
        <v>42533</v>
      </c>
      <c r="F10497" s="2" t="s">
        <v>35724</v>
      </c>
      <c r="G10497" s="2" t="str">
        <f>"SR-14744"</f>
        <v>SR-14744</v>
      </c>
      <c r="H10497" s="2" t="s">
        <v>42534</v>
      </c>
      <c r="I10497" s="2" t="s">
        <v>42535</v>
      </c>
      <c r="K10497" s="2" t="s">
        <v>1387</v>
      </c>
      <c r="L10497" s="2" t="s">
        <v>165</v>
      </c>
      <c r="M10497" s="2">
        <v>20164.0</v>
      </c>
      <c r="N10497" s="2" t="s">
        <v>21</v>
      </c>
    </row>
    <row r="10498" ht="15.75" customHeight="1">
      <c r="A10498" s="2">
        <v>2018.0</v>
      </c>
      <c r="B10498" s="2" t="s">
        <v>42531</v>
      </c>
      <c r="C10498" s="2" t="s">
        <v>42536</v>
      </c>
      <c r="D10498" s="2" t="str">
        <f t="shared" si="171"/>
        <v>7034049034</v>
      </c>
      <c r="E10498" s="2" t="s">
        <v>651</v>
      </c>
      <c r="F10498" s="2" t="s">
        <v>35724</v>
      </c>
      <c r="G10498" s="2" t="str">
        <f>"SR-14745"</f>
        <v>SR-14745</v>
      </c>
      <c r="H10498" s="2" t="s">
        <v>42537</v>
      </c>
      <c r="I10498" s="2" t="s">
        <v>42535</v>
      </c>
      <c r="K10498" s="2" t="s">
        <v>1387</v>
      </c>
      <c r="L10498" s="2" t="s">
        <v>165</v>
      </c>
      <c r="M10498" s="2">
        <v>20164.0</v>
      </c>
      <c r="N10498" s="2" t="s">
        <v>21</v>
      </c>
    </row>
    <row r="10499" ht="15.75" customHeight="1">
      <c r="A10499" s="2">
        <v>2018.0</v>
      </c>
      <c r="B10499" s="2" t="s">
        <v>42538</v>
      </c>
      <c r="C10499" s="2" t="s">
        <v>42539</v>
      </c>
      <c r="D10499" s="2" t="str">
        <f>"619-224-5230"</f>
        <v>619-224-5230</v>
      </c>
      <c r="E10499" s="2" t="s">
        <v>42540</v>
      </c>
      <c r="F10499" s="2" t="s">
        <v>18749</v>
      </c>
      <c r="G10499" s="2" t="str">
        <f>"SR-13617"</f>
        <v>SR-13617</v>
      </c>
      <c r="H10499" s="2" t="s">
        <v>42541</v>
      </c>
      <c r="I10499" s="2" t="s">
        <v>42542</v>
      </c>
      <c r="K10499" s="2" t="s">
        <v>809</v>
      </c>
      <c r="L10499" s="2" t="s">
        <v>157</v>
      </c>
      <c r="M10499" s="2">
        <v>80920.0</v>
      </c>
      <c r="N10499" s="2" t="s">
        <v>21</v>
      </c>
    </row>
    <row r="10500" ht="15.75" customHeight="1">
      <c r="A10500" s="2">
        <v>2018.0</v>
      </c>
      <c r="B10500" s="2" t="s">
        <v>42543</v>
      </c>
      <c r="C10500" s="2" t="s">
        <v>42543</v>
      </c>
      <c r="D10500" s="2" t="str">
        <f>"615-779-9356"</f>
        <v>615-779-9356</v>
      </c>
      <c r="E10500" s="2" t="s">
        <v>6966</v>
      </c>
      <c r="F10500" s="2" t="s">
        <v>5128</v>
      </c>
      <c r="G10500" s="2" t="str">
        <f>"SR-14749"</f>
        <v>SR-14749</v>
      </c>
      <c r="H10500" s="2" t="s">
        <v>42544</v>
      </c>
      <c r="I10500" s="2" t="s">
        <v>42545</v>
      </c>
      <c r="K10500" s="2" t="s">
        <v>278</v>
      </c>
      <c r="L10500" s="2" t="s">
        <v>279</v>
      </c>
      <c r="M10500" s="2">
        <v>37067.0</v>
      </c>
      <c r="N10500" s="2" t="s">
        <v>21</v>
      </c>
    </row>
    <row r="10501" ht="15.75" customHeight="1">
      <c r="A10501" s="2">
        <v>2018.0</v>
      </c>
      <c r="B10501" s="2" t="s">
        <v>42546</v>
      </c>
      <c r="C10501" s="2" t="s">
        <v>42547</v>
      </c>
      <c r="D10501" s="2" t="str">
        <f>"267-303-4523"</f>
        <v>267-303-4523</v>
      </c>
      <c r="E10501" s="2" t="s">
        <v>42548</v>
      </c>
      <c r="F10501" s="2" t="s">
        <v>42549</v>
      </c>
      <c r="G10501" s="2" t="str">
        <f>"SR-14736"</f>
        <v>SR-14736</v>
      </c>
      <c r="H10501" s="2" t="s">
        <v>42550</v>
      </c>
      <c r="I10501" s="2" t="s">
        <v>42551</v>
      </c>
      <c r="K10501" s="2" t="s">
        <v>22915</v>
      </c>
      <c r="L10501" s="2" t="s">
        <v>179</v>
      </c>
      <c r="M10501" s="2">
        <v>19128.0</v>
      </c>
      <c r="N10501" s="2" t="s">
        <v>21</v>
      </c>
    </row>
    <row r="10502" ht="15.75" customHeight="1">
      <c r="A10502" s="2">
        <v>2018.0</v>
      </c>
      <c r="B10502" s="2" t="s">
        <v>42552</v>
      </c>
      <c r="C10502" s="2" t="s">
        <v>42552</v>
      </c>
      <c r="D10502" s="2" t="str">
        <f>"3369632285"</f>
        <v>3369632285</v>
      </c>
      <c r="E10502" s="2" t="s">
        <v>18964</v>
      </c>
      <c r="F10502" s="2" t="s">
        <v>42553</v>
      </c>
      <c r="G10502" s="2" t="str">
        <f>"SR-14706"</f>
        <v>SR-14706</v>
      </c>
      <c r="H10502" s="2" t="s">
        <v>42554</v>
      </c>
      <c r="I10502" s="2" t="s">
        <v>42555</v>
      </c>
      <c r="K10502" s="2" t="s">
        <v>42556</v>
      </c>
      <c r="L10502" s="2" t="s">
        <v>20</v>
      </c>
      <c r="M10502" s="2">
        <v>27205.0</v>
      </c>
      <c r="N10502" s="2" t="s">
        <v>21</v>
      </c>
    </row>
    <row r="10503" ht="15.75" customHeight="1">
      <c r="A10503" s="2">
        <v>2018.0</v>
      </c>
      <c r="B10503" s="2" t="s">
        <v>42557</v>
      </c>
      <c r="C10503" s="2" t="s">
        <v>42558</v>
      </c>
      <c r="D10503" s="2" t="str">
        <f>"6196473240"</f>
        <v>6196473240</v>
      </c>
      <c r="E10503" s="2" t="s">
        <v>42559</v>
      </c>
      <c r="F10503" s="2" t="s">
        <v>42560</v>
      </c>
      <c r="G10503" s="2" t="str">
        <f>"SR-14738"</f>
        <v>SR-14738</v>
      </c>
      <c r="H10503" s="2" t="s">
        <v>42561</v>
      </c>
      <c r="I10503" s="2" t="s">
        <v>42562</v>
      </c>
      <c r="K10503" s="2" t="s">
        <v>12735</v>
      </c>
      <c r="L10503" s="2" t="s">
        <v>222</v>
      </c>
      <c r="M10503" s="2">
        <v>91901.0</v>
      </c>
      <c r="N10503" s="2" t="s">
        <v>21</v>
      </c>
    </row>
    <row r="10504" ht="15.75" customHeight="1">
      <c r="A10504" s="2">
        <v>2018.0</v>
      </c>
      <c r="B10504" s="2" t="s">
        <v>42563</v>
      </c>
      <c r="C10504" s="2" t="s">
        <v>42563</v>
      </c>
      <c r="D10504" s="2" t="str">
        <f>"7314133126"</f>
        <v>7314133126</v>
      </c>
      <c r="E10504" s="2" t="s">
        <v>6629</v>
      </c>
      <c r="F10504" s="2" t="s">
        <v>42564</v>
      </c>
      <c r="G10504" s="2" t="str">
        <f>"SR-14767"</f>
        <v>SR-14767</v>
      </c>
      <c r="H10504" s="2" t="s">
        <v>42565</v>
      </c>
      <c r="I10504" s="2" t="s">
        <v>42566</v>
      </c>
      <c r="K10504" s="2" t="s">
        <v>6078</v>
      </c>
      <c r="L10504" s="2" t="s">
        <v>279</v>
      </c>
      <c r="M10504" s="2">
        <v>38037.0</v>
      </c>
      <c r="N10504" s="2" t="s">
        <v>21</v>
      </c>
    </row>
    <row r="10505" ht="15.75" customHeight="1">
      <c r="A10505" s="2">
        <v>2018.0</v>
      </c>
      <c r="B10505" s="2" t="s">
        <v>42567</v>
      </c>
      <c r="C10505" s="2" t="s">
        <v>42568</v>
      </c>
      <c r="D10505" s="2" t="str">
        <f>"7318369369"</f>
        <v>7318369369</v>
      </c>
      <c r="E10505" s="2" t="s">
        <v>42569</v>
      </c>
      <c r="F10505" s="2" t="s">
        <v>42570</v>
      </c>
      <c r="G10505" s="2" t="str">
        <f>"SR-14768"</f>
        <v>SR-14768</v>
      </c>
      <c r="H10505" s="2" t="s">
        <v>42571</v>
      </c>
      <c r="I10505" s="2" t="s">
        <v>42572</v>
      </c>
      <c r="K10505" s="2" t="s">
        <v>42573</v>
      </c>
      <c r="L10505" s="2" t="s">
        <v>279</v>
      </c>
      <c r="M10505" s="2">
        <v>38040.0</v>
      </c>
      <c r="N10505" s="2" t="s">
        <v>21</v>
      </c>
    </row>
    <row r="10506" ht="15.75" customHeight="1">
      <c r="A10506" s="2">
        <v>2018.0</v>
      </c>
      <c r="B10506" s="2" t="s">
        <v>36509</v>
      </c>
      <c r="C10506" s="2" t="s">
        <v>42574</v>
      </c>
      <c r="D10506" s="2" t="str">
        <f>"8655676839"</f>
        <v>8655676839</v>
      </c>
      <c r="E10506" s="2" t="s">
        <v>15</v>
      </c>
      <c r="F10506" s="2" t="s">
        <v>2474</v>
      </c>
      <c r="G10506" s="2" t="str">
        <f>"SR-14755"</f>
        <v>SR-14755</v>
      </c>
      <c r="H10506" s="2" t="s">
        <v>42575</v>
      </c>
      <c r="I10506" s="2" t="s">
        <v>36512</v>
      </c>
      <c r="K10506" s="2" t="s">
        <v>6168</v>
      </c>
      <c r="L10506" s="2" t="s">
        <v>279</v>
      </c>
      <c r="M10506" s="2">
        <v>37912.0</v>
      </c>
      <c r="N10506" s="2" t="s">
        <v>21</v>
      </c>
    </row>
    <row r="10507" ht="15.75" customHeight="1">
      <c r="A10507" s="2">
        <v>2018.0</v>
      </c>
      <c r="B10507" s="2" t="s">
        <v>42576</v>
      </c>
      <c r="C10507" s="2" t="s">
        <v>42577</v>
      </c>
      <c r="D10507" s="2" t="str">
        <f>"8058896075"</f>
        <v>8058896075</v>
      </c>
      <c r="E10507" s="2" t="s">
        <v>417</v>
      </c>
      <c r="F10507" s="2" t="s">
        <v>42578</v>
      </c>
      <c r="G10507" s="2" t="str">
        <f>"SR-14740"</f>
        <v>SR-14740</v>
      </c>
      <c r="H10507" s="2" t="s">
        <v>42579</v>
      </c>
      <c r="I10507" s="2" t="s">
        <v>42580</v>
      </c>
      <c r="K10507" s="2" t="s">
        <v>22147</v>
      </c>
      <c r="L10507" s="2" t="s">
        <v>222</v>
      </c>
      <c r="M10507" s="2">
        <v>93010.0</v>
      </c>
      <c r="N10507" s="2" t="s">
        <v>21</v>
      </c>
    </row>
    <row r="10508" ht="15.75" customHeight="1">
      <c r="A10508" s="2">
        <v>2018.0</v>
      </c>
      <c r="B10508" s="2" t="s">
        <v>23537</v>
      </c>
      <c r="C10508" s="2" t="s">
        <v>42581</v>
      </c>
      <c r="D10508" s="2" t="str">
        <f>"6268908408"</f>
        <v>6268908408</v>
      </c>
      <c r="E10508" s="2" t="s">
        <v>1324</v>
      </c>
      <c r="F10508" s="2" t="s">
        <v>23538</v>
      </c>
      <c r="G10508" s="2" t="str">
        <f>"SR-14773"</f>
        <v>SR-14773</v>
      </c>
      <c r="H10508" s="2" t="s">
        <v>23539</v>
      </c>
      <c r="I10508" s="2" t="s">
        <v>23540</v>
      </c>
      <c r="K10508" s="2" t="s">
        <v>7320</v>
      </c>
      <c r="L10508" s="2" t="s">
        <v>222</v>
      </c>
      <c r="M10508" s="2">
        <v>91740.0</v>
      </c>
      <c r="N10508" s="2" t="s">
        <v>21</v>
      </c>
    </row>
    <row r="10509" ht="15.75" customHeight="1">
      <c r="A10509" s="2">
        <v>2018.0</v>
      </c>
      <c r="B10509" s="2" t="s">
        <v>42582</v>
      </c>
      <c r="D10509" s="2" t="str">
        <f>""</f>
        <v/>
      </c>
      <c r="E10509" s="2" t="s">
        <v>11423</v>
      </c>
      <c r="F10509" s="2" t="s">
        <v>36960</v>
      </c>
      <c r="G10509" s="2" t="str">
        <f>"SR-14769"</f>
        <v>SR-14769</v>
      </c>
      <c r="H10509" s="2" t="s">
        <v>42583</v>
      </c>
    </row>
    <row r="10510" ht="15.75" customHeight="1">
      <c r="A10510" s="2">
        <v>2018.0</v>
      </c>
      <c r="B10510" s="2" t="s">
        <v>42484</v>
      </c>
      <c r="C10510" s="2" t="s">
        <v>42584</v>
      </c>
      <c r="D10510" s="2" t="str">
        <f>"2482455451"</f>
        <v>2482455451</v>
      </c>
      <c r="E10510" s="2" t="s">
        <v>326</v>
      </c>
      <c r="F10510" s="2" t="s">
        <v>42485</v>
      </c>
      <c r="G10510" s="2" t="str">
        <f>"SR-14724"</f>
        <v>SR-14724</v>
      </c>
      <c r="H10510" s="2" t="s">
        <v>42585</v>
      </c>
      <c r="I10510" s="2" t="s">
        <v>42487</v>
      </c>
      <c r="K10510" s="2" t="s">
        <v>25872</v>
      </c>
      <c r="L10510" s="2" t="s">
        <v>29</v>
      </c>
      <c r="M10510" s="2">
        <v>48356.0</v>
      </c>
      <c r="N10510" s="2" t="s">
        <v>21</v>
      </c>
    </row>
    <row r="10511" ht="15.75" customHeight="1">
      <c r="A10511" s="2">
        <v>2018.0</v>
      </c>
      <c r="B10511" s="2" t="s">
        <v>42586</v>
      </c>
      <c r="C10511" s="2" t="s">
        <v>42587</v>
      </c>
      <c r="D10511" s="2" t="str">
        <f>"9542240343"</f>
        <v>9542240343</v>
      </c>
      <c r="E10511" s="2" t="s">
        <v>160</v>
      </c>
      <c r="F10511" s="2" t="s">
        <v>42588</v>
      </c>
      <c r="G10511" s="2" t="str">
        <f>"SR-8307"</f>
        <v>SR-8307</v>
      </c>
      <c r="H10511" s="2" t="s">
        <v>42589</v>
      </c>
      <c r="I10511" s="2" t="s">
        <v>42590</v>
      </c>
      <c r="K10511" s="2" t="s">
        <v>10022</v>
      </c>
      <c r="L10511" s="2" t="s">
        <v>208</v>
      </c>
      <c r="M10511" s="2">
        <v>33325.0</v>
      </c>
      <c r="N10511" s="2" t="s">
        <v>21</v>
      </c>
    </row>
    <row r="10512" ht="15.75" customHeight="1">
      <c r="A10512" s="2">
        <v>2018.0</v>
      </c>
      <c r="B10512" s="2" t="s">
        <v>42586</v>
      </c>
      <c r="C10512" s="2" t="s">
        <v>42591</v>
      </c>
      <c r="D10512" s="2" t="str">
        <f>"954-702-2442"</f>
        <v>954-702-2442</v>
      </c>
      <c r="E10512" s="2" t="s">
        <v>705</v>
      </c>
      <c r="F10512" s="2" t="s">
        <v>42588</v>
      </c>
      <c r="G10512" s="2" t="str">
        <f>"SR-14759"</f>
        <v>SR-14759</v>
      </c>
      <c r="H10512" s="2" t="s">
        <v>42592</v>
      </c>
      <c r="I10512" s="2" t="s">
        <v>42593</v>
      </c>
      <c r="K10512" s="2" t="s">
        <v>10022</v>
      </c>
      <c r="L10512" s="2" t="s">
        <v>208</v>
      </c>
      <c r="M10512" s="2">
        <v>33325.0</v>
      </c>
      <c r="N10512" s="2" t="s">
        <v>21</v>
      </c>
    </row>
    <row r="10513" ht="15.75" customHeight="1">
      <c r="A10513" s="2">
        <v>2018.0</v>
      </c>
      <c r="B10513" s="2" t="s">
        <v>42594</v>
      </c>
      <c r="C10513" s="2" t="s">
        <v>42594</v>
      </c>
      <c r="D10513" s="2" t="str">
        <f>"7404210363"</f>
        <v>7404210363</v>
      </c>
      <c r="E10513" s="2" t="s">
        <v>678</v>
      </c>
      <c r="F10513" s="2" t="s">
        <v>1689</v>
      </c>
      <c r="G10513" s="2" t="str">
        <f>"SR-14694"</f>
        <v>SR-14694</v>
      </c>
      <c r="H10513" s="2" t="s">
        <v>42595</v>
      </c>
      <c r="I10513" s="2" t="s">
        <v>42596</v>
      </c>
      <c r="K10513" s="2" t="s">
        <v>42597</v>
      </c>
      <c r="L10513" s="2" t="s">
        <v>344</v>
      </c>
      <c r="M10513" s="2">
        <v>43830.0</v>
      </c>
      <c r="N10513" s="2" t="s">
        <v>21</v>
      </c>
    </row>
    <row r="10514" ht="15.75" customHeight="1">
      <c r="A10514" s="2">
        <v>2018.0</v>
      </c>
      <c r="B10514" s="2" t="s">
        <v>42598</v>
      </c>
      <c r="C10514" s="2" t="s">
        <v>42599</v>
      </c>
      <c r="D10514" s="2" t="str">
        <f>"9518335589"</f>
        <v>9518335589</v>
      </c>
      <c r="E10514" s="2" t="s">
        <v>42600</v>
      </c>
      <c r="F10514" s="2" t="s">
        <v>42601</v>
      </c>
      <c r="G10514" s="2" t="str">
        <f>"SR-14742"</f>
        <v>SR-14742</v>
      </c>
      <c r="H10514" s="2" t="s">
        <v>42602</v>
      </c>
      <c r="I10514" s="2" t="s">
        <v>42603</v>
      </c>
      <c r="K10514" s="2" t="s">
        <v>13793</v>
      </c>
      <c r="L10514" s="2" t="s">
        <v>222</v>
      </c>
      <c r="M10514" s="2">
        <v>92563.0</v>
      </c>
      <c r="N10514" s="2" t="s">
        <v>21</v>
      </c>
    </row>
    <row r="10515" ht="15.75" customHeight="1">
      <c r="A10515" s="2">
        <v>2018.0</v>
      </c>
      <c r="B10515" s="2" t="s">
        <v>42604</v>
      </c>
      <c r="C10515" s="2" t="s">
        <v>42605</v>
      </c>
      <c r="D10515" s="2" t="str">
        <f>"731-513-2927"</f>
        <v>731-513-2927</v>
      </c>
      <c r="E10515" s="2" t="s">
        <v>1450</v>
      </c>
      <c r="F10515" s="2" t="s">
        <v>23441</v>
      </c>
      <c r="G10515" s="2" t="str">
        <f>"SR-14717"</f>
        <v>SR-14717</v>
      </c>
      <c r="H10515" s="2" t="s">
        <v>42606</v>
      </c>
      <c r="I10515" s="2" t="s">
        <v>42607</v>
      </c>
      <c r="K10515" s="2" t="s">
        <v>1257</v>
      </c>
      <c r="L10515" s="2" t="s">
        <v>279</v>
      </c>
      <c r="M10515" s="2">
        <v>38305.0</v>
      </c>
      <c r="N10515" s="2" t="s">
        <v>21</v>
      </c>
    </row>
    <row r="10516" ht="15.75" customHeight="1">
      <c r="A10516" s="2">
        <v>2018.0</v>
      </c>
      <c r="B10516" s="2" t="s">
        <v>42608</v>
      </c>
      <c r="C10516" s="2" t="s">
        <v>42609</v>
      </c>
      <c r="D10516" s="2" t="str">
        <f>"4409965881"</f>
        <v>4409965881</v>
      </c>
      <c r="E10516" s="2" t="s">
        <v>12269</v>
      </c>
      <c r="F10516" s="2" t="s">
        <v>108</v>
      </c>
      <c r="G10516" s="2" t="str">
        <f>"SR-14748"</f>
        <v>SR-14748</v>
      </c>
      <c r="H10516" s="2" t="s">
        <v>42610</v>
      </c>
      <c r="I10516" s="2" t="s">
        <v>42611</v>
      </c>
      <c r="K10516" s="2" t="s">
        <v>8799</v>
      </c>
      <c r="L10516" s="2" t="s">
        <v>344</v>
      </c>
      <c r="M10516" s="2">
        <v>44139.0</v>
      </c>
      <c r="N10516" s="2" t="s">
        <v>21</v>
      </c>
    </row>
    <row r="10517" ht="15.75" customHeight="1">
      <c r="A10517" s="2">
        <v>2018.0</v>
      </c>
      <c r="B10517" s="2" t="s">
        <v>42612</v>
      </c>
      <c r="C10517" s="2" t="s">
        <v>42613</v>
      </c>
      <c r="D10517" s="2" t="str">
        <f>"469-343-5037"</f>
        <v>469-343-5037</v>
      </c>
      <c r="E10517" s="2" t="s">
        <v>3111</v>
      </c>
      <c r="F10517" s="2" t="s">
        <v>10775</v>
      </c>
      <c r="G10517" s="2" t="str">
        <f>"SR-14771"</f>
        <v>SR-14771</v>
      </c>
      <c r="H10517" s="2" t="s">
        <v>42614</v>
      </c>
      <c r="I10517" s="2" t="s">
        <v>42615</v>
      </c>
      <c r="K10517" s="2" t="s">
        <v>42616</v>
      </c>
      <c r="L10517" s="2" t="s">
        <v>172</v>
      </c>
      <c r="M10517" s="2">
        <v>75065.0</v>
      </c>
      <c r="N10517" s="2" t="s">
        <v>21</v>
      </c>
    </row>
    <row r="10518" ht="15.75" customHeight="1">
      <c r="A10518" s="2">
        <v>2018.0</v>
      </c>
      <c r="B10518" s="2" t="s">
        <v>42617</v>
      </c>
      <c r="D10518" s="2" t="str">
        <f>""</f>
        <v/>
      </c>
      <c r="E10518" s="2" t="s">
        <v>4300</v>
      </c>
      <c r="F10518" s="2" t="s">
        <v>42618</v>
      </c>
      <c r="G10518" s="2" t="str">
        <f>"SR-14794"</f>
        <v>SR-14794</v>
      </c>
      <c r="H10518" s="2" t="s">
        <v>42619</v>
      </c>
      <c r="N10518" s="2" t="s">
        <v>21</v>
      </c>
    </row>
    <row r="10519" ht="15.75" customHeight="1">
      <c r="A10519" s="2">
        <v>2018.0</v>
      </c>
      <c r="B10519" s="2" t="s">
        <v>42620</v>
      </c>
      <c r="C10519" s="2" t="s">
        <v>42621</v>
      </c>
      <c r="D10519" s="2" t="str">
        <f>"6305449981"</f>
        <v>6305449981</v>
      </c>
      <c r="E10519" s="2" t="s">
        <v>217</v>
      </c>
      <c r="F10519" s="2" t="s">
        <v>14593</v>
      </c>
      <c r="G10519" s="2" t="str">
        <f>"SR-14786"</f>
        <v>SR-14786</v>
      </c>
      <c r="H10519" s="2" t="s">
        <v>42622</v>
      </c>
      <c r="I10519" s="2" t="s">
        <v>42623</v>
      </c>
      <c r="K10519" s="2" t="s">
        <v>21022</v>
      </c>
      <c r="L10519" s="2" t="s">
        <v>105</v>
      </c>
      <c r="M10519" s="2">
        <v>60187.0</v>
      </c>
      <c r="N10519" s="2" t="s">
        <v>21</v>
      </c>
    </row>
    <row r="10520" ht="15.75" customHeight="1">
      <c r="A10520" s="2">
        <v>2018.0</v>
      </c>
      <c r="B10520" s="2" t="s">
        <v>42624</v>
      </c>
      <c r="C10520" s="2" t="s">
        <v>42625</v>
      </c>
      <c r="D10520" s="2" t="str">
        <f>"612.203.5598"</f>
        <v>612.203.5598</v>
      </c>
      <c r="E10520" s="2" t="s">
        <v>42626</v>
      </c>
      <c r="F10520" s="2" t="s">
        <v>33583</v>
      </c>
      <c r="G10520" s="2" t="str">
        <f>"SR-14789"</f>
        <v>SR-14789</v>
      </c>
      <c r="H10520" s="2" t="s">
        <v>42627</v>
      </c>
      <c r="I10520" s="2" t="s">
        <v>42628</v>
      </c>
      <c r="K10520" s="2" t="s">
        <v>501</v>
      </c>
      <c r="L10520" s="2" t="s">
        <v>62</v>
      </c>
      <c r="M10520" s="2">
        <v>55123.0</v>
      </c>
      <c r="N10520" s="2" t="s">
        <v>21</v>
      </c>
    </row>
    <row r="10521" ht="15.75" customHeight="1">
      <c r="A10521" s="2">
        <v>2018.0</v>
      </c>
      <c r="B10521" s="2" t="s">
        <v>42629</v>
      </c>
      <c r="C10521" s="2" t="s">
        <v>42630</v>
      </c>
      <c r="D10521" s="2" t="str">
        <f>"4436494189"</f>
        <v>4436494189</v>
      </c>
      <c r="E10521" s="2" t="s">
        <v>385</v>
      </c>
      <c r="F10521" s="2" t="s">
        <v>42631</v>
      </c>
      <c r="G10521" s="2" t="str">
        <f>"SR-10095"</f>
        <v>SR-10095</v>
      </c>
      <c r="H10521" s="2" t="s">
        <v>42632</v>
      </c>
      <c r="I10521" s="2" t="s">
        <v>42633</v>
      </c>
      <c r="K10521" s="2" t="s">
        <v>18168</v>
      </c>
      <c r="L10521" s="2" t="s">
        <v>1868</v>
      </c>
      <c r="M10521" s="2">
        <v>21212.0</v>
      </c>
      <c r="N10521" s="2" t="s">
        <v>21</v>
      </c>
    </row>
    <row r="10522" ht="15.75" customHeight="1">
      <c r="A10522" s="2">
        <v>2018.0</v>
      </c>
      <c r="B10522" s="2" t="s">
        <v>42634</v>
      </c>
      <c r="C10522" s="2" t="s">
        <v>42635</v>
      </c>
      <c r="D10522" s="2" t="str">
        <f>"5408506001"</f>
        <v>5408506001</v>
      </c>
      <c r="E10522" s="2" t="s">
        <v>4871</v>
      </c>
      <c r="F10522" s="2" t="s">
        <v>7353</v>
      </c>
      <c r="G10522" s="2" t="str">
        <f>"SR-14797"</f>
        <v>SR-14797</v>
      </c>
      <c r="H10522" s="2" t="s">
        <v>42636</v>
      </c>
      <c r="I10522" s="2" t="s">
        <v>42637</v>
      </c>
      <c r="K10522" s="2" t="s">
        <v>12164</v>
      </c>
      <c r="L10522" s="2" t="s">
        <v>165</v>
      </c>
      <c r="M10522" s="2">
        <v>22407.0</v>
      </c>
      <c r="N10522" s="2" t="s">
        <v>21</v>
      </c>
    </row>
    <row r="10523" ht="15.75" customHeight="1">
      <c r="A10523" s="2">
        <v>2018.0</v>
      </c>
      <c r="B10523" s="2" t="s">
        <v>42638</v>
      </c>
      <c r="D10523" s="2" t="str">
        <f>""</f>
        <v/>
      </c>
      <c r="E10523" s="2" t="s">
        <v>26172</v>
      </c>
      <c r="F10523" s="2" t="s">
        <v>3964</v>
      </c>
      <c r="G10523" s="2" t="str">
        <f>"SR-14777"</f>
        <v>SR-14777</v>
      </c>
      <c r="H10523" s="2" t="s">
        <v>42639</v>
      </c>
      <c r="N10523" s="2" t="s">
        <v>21</v>
      </c>
    </row>
    <row r="10524" ht="15.75" customHeight="1">
      <c r="A10524" s="2">
        <v>2018.0</v>
      </c>
      <c r="B10524" s="2" t="s">
        <v>4487</v>
      </c>
      <c r="C10524" s="2" t="s">
        <v>4487</v>
      </c>
      <c r="D10524" s="2" t="str">
        <f>"2077982291"</f>
        <v>2077982291</v>
      </c>
      <c r="E10524" s="2" t="s">
        <v>261</v>
      </c>
      <c r="F10524" s="2" t="s">
        <v>3028</v>
      </c>
      <c r="G10524" s="2" t="str">
        <f>"SR-14784"</f>
        <v>SR-14784</v>
      </c>
      <c r="H10524" s="2" t="s">
        <v>4488</v>
      </c>
      <c r="I10524" s="2" t="s">
        <v>42640</v>
      </c>
      <c r="K10524" s="2" t="s">
        <v>3782</v>
      </c>
      <c r="L10524" s="2" t="s">
        <v>3737</v>
      </c>
      <c r="M10524" s="2">
        <v>4011.0</v>
      </c>
      <c r="N10524" s="2" t="s">
        <v>21</v>
      </c>
    </row>
    <row r="10525" ht="15.75" customHeight="1">
      <c r="A10525" s="2">
        <v>2018.0</v>
      </c>
      <c r="B10525" s="2" t="s">
        <v>42641</v>
      </c>
      <c r="D10525" s="2" t="str">
        <f>""</f>
        <v/>
      </c>
      <c r="E10525" s="2" t="s">
        <v>751</v>
      </c>
      <c r="F10525" s="2" t="s">
        <v>3289</v>
      </c>
      <c r="G10525" s="2" t="str">
        <f>"SR-14584"</f>
        <v>SR-14584</v>
      </c>
      <c r="H10525" s="2" t="s">
        <v>42642</v>
      </c>
      <c r="N10525" s="2" t="s">
        <v>21</v>
      </c>
    </row>
    <row r="10526" ht="15.75" customHeight="1">
      <c r="A10526" s="2">
        <v>2018.0</v>
      </c>
      <c r="B10526" s="2" t="s">
        <v>35332</v>
      </c>
      <c r="C10526" s="2" t="s">
        <v>35333</v>
      </c>
      <c r="D10526" s="2" t="str">
        <f>"949-235-8423"</f>
        <v>949-235-8423</v>
      </c>
      <c r="E10526" s="2" t="s">
        <v>7695</v>
      </c>
      <c r="F10526" s="2" t="s">
        <v>21737</v>
      </c>
      <c r="G10526" s="2" t="str">
        <f>"SR-11277"</f>
        <v>SR-11277</v>
      </c>
      <c r="H10526" s="2" t="s">
        <v>35334</v>
      </c>
      <c r="I10526" s="2" t="s">
        <v>35335</v>
      </c>
      <c r="K10526" s="2" t="s">
        <v>35336</v>
      </c>
      <c r="L10526" s="2" t="s">
        <v>222</v>
      </c>
      <c r="M10526" s="2">
        <v>92656.0</v>
      </c>
      <c r="N10526" s="2" t="s">
        <v>21</v>
      </c>
    </row>
    <row r="10527" ht="15.75" customHeight="1">
      <c r="A10527" s="2">
        <v>2018.0</v>
      </c>
      <c r="B10527" s="2" t="s">
        <v>42643</v>
      </c>
      <c r="C10527" s="2" t="s">
        <v>42643</v>
      </c>
      <c r="D10527" s="2" t="str">
        <f>"5678252611"</f>
        <v>5678252611</v>
      </c>
      <c r="E10527" s="2" t="s">
        <v>1094</v>
      </c>
      <c r="F10527" s="2" t="s">
        <v>2333</v>
      </c>
      <c r="G10527" s="2" t="str">
        <f>"SR-14715"</f>
        <v>SR-14715</v>
      </c>
      <c r="H10527" s="2" t="s">
        <v>42644</v>
      </c>
      <c r="I10527" s="2" t="s">
        <v>42645</v>
      </c>
      <c r="K10527" s="2" t="s">
        <v>42646</v>
      </c>
      <c r="L10527" s="2" t="s">
        <v>344</v>
      </c>
      <c r="M10527" s="2">
        <v>45895.0</v>
      </c>
      <c r="N10527" s="2" t="s">
        <v>21</v>
      </c>
    </row>
    <row r="10528" ht="15.75" customHeight="1">
      <c r="A10528" s="2">
        <v>2018.0</v>
      </c>
      <c r="B10528" s="2" t="s">
        <v>42647</v>
      </c>
      <c r="C10528" s="2" t="s">
        <v>42647</v>
      </c>
      <c r="D10528" s="2" t="str">
        <f>"505-4400767"</f>
        <v>505-4400767</v>
      </c>
      <c r="E10528" s="2" t="s">
        <v>3191</v>
      </c>
      <c r="F10528" s="2" t="s">
        <v>10530</v>
      </c>
      <c r="G10528" s="2" t="str">
        <f>"SR-14831"</f>
        <v>SR-14831</v>
      </c>
      <c r="H10528" s="2" t="s">
        <v>42648</v>
      </c>
      <c r="I10528" s="2" t="s">
        <v>42649</v>
      </c>
      <c r="K10528" s="2" t="s">
        <v>24590</v>
      </c>
      <c r="L10528" s="2" t="s">
        <v>789</v>
      </c>
      <c r="M10528" s="2">
        <v>87059.0</v>
      </c>
      <c r="N10528" s="2" t="s">
        <v>21</v>
      </c>
    </row>
    <row r="10529" ht="15.75" customHeight="1">
      <c r="A10529" s="2">
        <v>2018.0</v>
      </c>
      <c r="B10529" s="2" t="s">
        <v>42650</v>
      </c>
      <c r="C10529" s="2" t="s">
        <v>42650</v>
      </c>
      <c r="D10529" s="2" t="str">
        <f>"270-903-4214"</f>
        <v>270-903-4214</v>
      </c>
      <c r="E10529" s="2" t="s">
        <v>4968</v>
      </c>
      <c r="F10529" s="2" t="s">
        <v>4750</v>
      </c>
      <c r="G10529" s="2" t="str">
        <f>"SR-14832"</f>
        <v>SR-14832</v>
      </c>
      <c r="H10529" s="2" t="s">
        <v>42651</v>
      </c>
      <c r="I10529" s="2" t="s">
        <v>42652</v>
      </c>
      <c r="K10529" s="2" t="s">
        <v>42653</v>
      </c>
      <c r="L10529" s="2" t="s">
        <v>1236</v>
      </c>
      <c r="M10529" s="2">
        <v>42303.0</v>
      </c>
      <c r="N10529" s="2" t="s">
        <v>21</v>
      </c>
    </row>
    <row r="10530" ht="15.75" customHeight="1">
      <c r="A10530" s="2">
        <v>2018.0</v>
      </c>
      <c r="B10530" s="2" t="s">
        <v>26698</v>
      </c>
      <c r="C10530" s="2" t="s">
        <v>42654</v>
      </c>
      <c r="D10530" s="2" t="str">
        <f>"7175845105"</f>
        <v>7175845105</v>
      </c>
      <c r="E10530" s="2" t="s">
        <v>217</v>
      </c>
      <c r="F10530" s="2" t="s">
        <v>26700</v>
      </c>
      <c r="G10530" s="2" t="str">
        <f>"SR-14838"</f>
        <v>SR-14838</v>
      </c>
      <c r="H10530" s="2" t="s">
        <v>42655</v>
      </c>
      <c r="I10530" s="2" t="s">
        <v>26702</v>
      </c>
      <c r="K10530" s="2" t="s">
        <v>2449</v>
      </c>
      <c r="L10530" s="2" t="s">
        <v>179</v>
      </c>
      <c r="M10530" s="2">
        <v>17603.0</v>
      </c>
      <c r="N10530" s="2" t="s">
        <v>21</v>
      </c>
    </row>
    <row r="10531" ht="15.75" customHeight="1">
      <c r="A10531" s="2">
        <v>2018.0</v>
      </c>
      <c r="B10531" s="2" t="s">
        <v>42656</v>
      </c>
      <c r="C10531" s="2" t="s">
        <v>42657</v>
      </c>
      <c r="D10531" s="2" t="str">
        <f>"773-383-0644"</f>
        <v>773-383-0644</v>
      </c>
      <c r="E10531" s="2" t="s">
        <v>2752</v>
      </c>
      <c r="F10531" s="2" t="s">
        <v>42658</v>
      </c>
      <c r="G10531" s="2" t="str">
        <f>"SR-14778"</f>
        <v>SR-14778</v>
      </c>
      <c r="H10531" s="2" t="s">
        <v>42659</v>
      </c>
      <c r="I10531" s="2" t="s">
        <v>42660</v>
      </c>
      <c r="K10531" s="2" t="s">
        <v>42661</v>
      </c>
      <c r="L10531" s="2" t="s">
        <v>105</v>
      </c>
      <c r="M10531" s="2">
        <v>60077.0</v>
      </c>
      <c r="N10531" s="2" t="s">
        <v>21</v>
      </c>
    </row>
    <row r="10532" ht="15.75" customHeight="1">
      <c r="A10532" s="2">
        <v>2018.0</v>
      </c>
      <c r="B10532" s="2" t="s">
        <v>42656</v>
      </c>
      <c r="C10532" s="2" t="s">
        <v>42662</v>
      </c>
      <c r="D10532" s="2" t="str">
        <f>"7738996400"</f>
        <v>7738996400</v>
      </c>
      <c r="E10532" s="2" t="s">
        <v>42663</v>
      </c>
      <c r="F10532" s="2" t="s">
        <v>42658</v>
      </c>
      <c r="G10532" s="2" t="str">
        <f>"SR-14845"</f>
        <v>SR-14845</v>
      </c>
      <c r="H10532" s="2" t="s">
        <v>42664</v>
      </c>
      <c r="I10532" s="2" t="s">
        <v>42660</v>
      </c>
      <c r="K10532" s="2" t="s">
        <v>42661</v>
      </c>
      <c r="L10532" s="2" t="s">
        <v>105</v>
      </c>
      <c r="M10532" s="2">
        <v>60077.0</v>
      </c>
      <c r="N10532" s="2" t="s">
        <v>21</v>
      </c>
    </row>
    <row r="10533" ht="15.75" customHeight="1">
      <c r="A10533" s="2">
        <v>2018.0</v>
      </c>
      <c r="B10533" s="2" t="s">
        <v>42665</v>
      </c>
      <c r="C10533" s="2" t="s">
        <v>42666</v>
      </c>
      <c r="D10533" s="2" t="str">
        <f>"6094809344"</f>
        <v>6094809344</v>
      </c>
      <c r="E10533" s="2" t="s">
        <v>57</v>
      </c>
      <c r="F10533" s="2" t="s">
        <v>21030</v>
      </c>
      <c r="G10533" s="2" t="str">
        <f>"SR-14847"</f>
        <v>SR-14847</v>
      </c>
      <c r="H10533" s="2" t="s">
        <v>42667</v>
      </c>
      <c r="I10533" s="2" t="s">
        <v>42668</v>
      </c>
      <c r="K10533" s="2" t="s">
        <v>3730</v>
      </c>
      <c r="L10533" s="2" t="s">
        <v>3618</v>
      </c>
      <c r="M10533" s="2">
        <v>8540.0</v>
      </c>
      <c r="N10533" s="2" t="s">
        <v>21</v>
      </c>
    </row>
    <row r="10534" ht="15.75" customHeight="1">
      <c r="A10534" s="2">
        <v>2018.0</v>
      </c>
      <c r="B10534" s="2" t="s">
        <v>30693</v>
      </c>
      <c r="D10534" s="2" t="str">
        <f>""</f>
        <v/>
      </c>
      <c r="E10534" s="2" t="s">
        <v>1529</v>
      </c>
      <c r="F10534" s="2" t="s">
        <v>13812</v>
      </c>
      <c r="G10534" s="2" t="str">
        <f>"SR-9646"</f>
        <v>SR-9646</v>
      </c>
      <c r="H10534" s="2" t="s">
        <v>30694</v>
      </c>
      <c r="N10534" s="2" t="s">
        <v>21</v>
      </c>
    </row>
    <row r="10535" ht="15.75" customHeight="1">
      <c r="A10535" s="2">
        <v>2018.0</v>
      </c>
      <c r="B10535" s="2" t="s">
        <v>28300</v>
      </c>
      <c r="C10535" s="2" t="s">
        <v>28301</v>
      </c>
      <c r="D10535" s="2" t="str">
        <f>"4708093950"</f>
        <v>4708093950</v>
      </c>
      <c r="E10535" s="2" t="s">
        <v>28302</v>
      </c>
      <c r="F10535" s="2" t="s">
        <v>31</v>
      </c>
      <c r="G10535" s="2" t="str">
        <f>"SR-8700"</f>
        <v>SR-8700</v>
      </c>
      <c r="H10535" s="2" t="s">
        <v>28303</v>
      </c>
      <c r="I10535" s="2" t="s">
        <v>28304</v>
      </c>
      <c r="K10535" s="2" t="s">
        <v>10683</v>
      </c>
      <c r="L10535" s="2" t="s">
        <v>200</v>
      </c>
      <c r="M10535" s="2">
        <v>30317.0</v>
      </c>
      <c r="N10535" s="2" t="s">
        <v>21</v>
      </c>
    </row>
    <row r="10536" ht="15.75" customHeight="1">
      <c r="A10536" s="2">
        <v>2018.0</v>
      </c>
      <c r="B10536" s="2" t="s">
        <v>42669</v>
      </c>
      <c r="C10536" s="2" t="s">
        <v>42669</v>
      </c>
      <c r="D10536" s="2" t="str">
        <f>"717-392-9116"</f>
        <v>717-392-9116</v>
      </c>
      <c r="E10536" s="2" t="s">
        <v>2941</v>
      </c>
      <c r="F10536" s="2" t="s">
        <v>42670</v>
      </c>
      <c r="G10536" s="2" t="str">
        <f>"SR-14841"</f>
        <v>SR-14841</v>
      </c>
      <c r="H10536" s="2" t="s">
        <v>42671</v>
      </c>
      <c r="I10536" s="2" t="s">
        <v>42672</v>
      </c>
      <c r="K10536" s="2" t="s">
        <v>7640</v>
      </c>
      <c r="L10536" s="2" t="s">
        <v>179</v>
      </c>
      <c r="M10536" s="2">
        <v>17543.0</v>
      </c>
      <c r="N10536" s="2" t="s">
        <v>21</v>
      </c>
    </row>
    <row r="10537" ht="15.75" customHeight="1">
      <c r="A10537" s="2">
        <v>2018.0</v>
      </c>
      <c r="B10537" s="2" t="s">
        <v>42673</v>
      </c>
      <c r="C10537" s="2" t="s">
        <v>42674</v>
      </c>
      <c r="D10537" s="2" t="str">
        <f>"2055312533"</f>
        <v>2055312533</v>
      </c>
      <c r="E10537" s="2" t="s">
        <v>1782</v>
      </c>
      <c r="F10537" s="2" t="s">
        <v>7466</v>
      </c>
      <c r="G10537" s="2" t="str">
        <f>"SR-14720"</f>
        <v>SR-14720</v>
      </c>
      <c r="H10537" s="2" t="s">
        <v>42675</v>
      </c>
      <c r="I10537" s="2" t="s">
        <v>42676</v>
      </c>
      <c r="K10537" s="2" t="s">
        <v>42677</v>
      </c>
      <c r="L10537" s="2" t="s">
        <v>539</v>
      </c>
      <c r="M10537" s="2">
        <v>35128.0</v>
      </c>
      <c r="N10537" s="2" t="s">
        <v>21</v>
      </c>
    </row>
    <row r="10538" ht="15.75" customHeight="1">
      <c r="A10538" s="2">
        <v>2018.0</v>
      </c>
      <c r="B10538" s="2" t="s">
        <v>42678</v>
      </c>
      <c r="C10538" s="2" t="s">
        <v>42679</v>
      </c>
      <c r="D10538" s="2" t="str">
        <f>"(813) 468-7633"</f>
        <v>(813) 468-7633</v>
      </c>
      <c r="E10538" s="2" t="s">
        <v>42680</v>
      </c>
      <c r="F10538" s="2" t="s">
        <v>42681</v>
      </c>
      <c r="G10538" s="2" t="str">
        <f>"SR-14848"</f>
        <v>SR-14848</v>
      </c>
      <c r="H10538" s="2" t="s">
        <v>42682</v>
      </c>
      <c r="I10538" s="2" t="s">
        <v>42683</v>
      </c>
      <c r="K10538" s="2" t="s">
        <v>3431</v>
      </c>
      <c r="L10538" s="2" t="s">
        <v>208</v>
      </c>
      <c r="M10538" s="2">
        <v>33624.0</v>
      </c>
      <c r="N10538" s="2" t="s">
        <v>21</v>
      </c>
    </row>
    <row r="10539" ht="15.75" customHeight="1">
      <c r="A10539" s="2">
        <v>2018.0</v>
      </c>
      <c r="B10539" s="2" t="s">
        <v>42684</v>
      </c>
      <c r="C10539" s="2" t="s">
        <v>42685</v>
      </c>
      <c r="D10539" s="2" t="str">
        <f>"7573397147"</f>
        <v>7573397147</v>
      </c>
      <c r="E10539" s="2" t="s">
        <v>705</v>
      </c>
      <c r="F10539" s="2" t="s">
        <v>36028</v>
      </c>
      <c r="G10539" s="2" t="str">
        <f>"SR-14855"</f>
        <v>SR-14855</v>
      </c>
      <c r="H10539" s="2" t="s">
        <v>42686</v>
      </c>
      <c r="I10539" s="2" t="s">
        <v>42687</v>
      </c>
      <c r="K10539" s="2" t="s">
        <v>9576</v>
      </c>
      <c r="L10539" s="2" t="s">
        <v>165</v>
      </c>
      <c r="M10539" s="2">
        <v>23320.0</v>
      </c>
      <c r="N10539" s="2" t="s">
        <v>21</v>
      </c>
    </row>
    <row r="10540" ht="15.75" customHeight="1">
      <c r="A10540" s="2">
        <v>2018.0</v>
      </c>
      <c r="B10540" s="2" t="s">
        <v>42688</v>
      </c>
      <c r="C10540" s="2" t="s">
        <v>42689</v>
      </c>
      <c r="D10540" s="2" t="str">
        <f>"8155573431"</f>
        <v>8155573431</v>
      </c>
      <c r="E10540" s="2" t="s">
        <v>1263</v>
      </c>
      <c r="F10540" s="2" t="s">
        <v>42690</v>
      </c>
      <c r="G10540" s="2" t="str">
        <f>"SR-13146"</f>
        <v>SR-13146</v>
      </c>
      <c r="H10540" s="2" t="s">
        <v>42691</v>
      </c>
      <c r="I10540" s="2" t="s">
        <v>42692</v>
      </c>
      <c r="K10540" s="2" t="s">
        <v>42693</v>
      </c>
      <c r="L10540" s="2" t="s">
        <v>105</v>
      </c>
      <c r="M10540" s="2">
        <v>60408.0</v>
      </c>
      <c r="N10540" s="2" t="s">
        <v>21</v>
      </c>
    </row>
    <row r="10541" ht="15.75" customHeight="1">
      <c r="A10541" s="2">
        <v>2018.0</v>
      </c>
      <c r="B10541" s="2" t="s">
        <v>42688</v>
      </c>
      <c r="C10541" s="2" t="s">
        <v>42694</v>
      </c>
      <c r="D10541" s="2" t="str">
        <f>"815-557-3431"</f>
        <v>815-557-3431</v>
      </c>
      <c r="E10541" s="2" t="s">
        <v>2725</v>
      </c>
      <c r="F10541" s="2" t="s">
        <v>42690</v>
      </c>
      <c r="G10541" s="2" t="str">
        <f>"SR-14822"</f>
        <v>SR-14822</v>
      </c>
      <c r="H10541" s="2" t="s">
        <v>42695</v>
      </c>
      <c r="I10541" s="2" t="s">
        <v>42692</v>
      </c>
      <c r="K10541" s="2" t="s">
        <v>42693</v>
      </c>
      <c r="L10541" s="2" t="s">
        <v>105</v>
      </c>
      <c r="M10541" s="2">
        <v>60408.0</v>
      </c>
      <c r="N10541" s="2" t="s">
        <v>21</v>
      </c>
    </row>
    <row r="10542" ht="15.75" customHeight="1">
      <c r="A10542" s="2">
        <v>2018.0</v>
      </c>
      <c r="B10542" s="2" t="s">
        <v>42696</v>
      </c>
      <c r="C10542" s="2" t="s">
        <v>42696</v>
      </c>
      <c r="D10542" s="2" t="str">
        <f>"5186246675"</f>
        <v>5186246675</v>
      </c>
      <c r="E10542" s="2" t="s">
        <v>42697</v>
      </c>
      <c r="F10542" s="2" t="s">
        <v>25325</v>
      </c>
      <c r="G10542" s="2" t="str">
        <f>"SR-14508"</f>
        <v>SR-14508</v>
      </c>
      <c r="H10542" s="2" t="s">
        <v>42698</v>
      </c>
      <c r="I10542" s="2" t="s">
        <v>25327</v>
      </c>
      <c r="K10542" s="2" t="s">
        <v>7340</v>
      </c>
      <c r="L10542" s="2" t="s">
        <v>142</v>
      </c>
      <c r="M10542" s="2">
        <v>12847.0</v>
      </c>
      <c r="N10542" s="2" t="s">
        <v>21</v>
      </c>
    </row>
    <row r="10543" ht="15.75" customHeight="1">
      <c r="A10543" s="2">
        <v>2018.0</v>
      </c>
      <c r="B10543" s="2" t="s">
        <v>42699</v>
      </c>
      <c r="C10543" s="2" t="s">
        <v>42700</v>
      </c>
      <c r="D10543" s="2" t="str">
        <f>"971-777-9253"</f>
        <v>971-777-9253</v>
      </c>
      <c r="E10543" s="2" t="s">
        <v>42701</v>
      </c>
      <c r="F10543" s="2" t="s">
        <v>42702</v>
      </c>
      <c r="G10543" s="2" t="str">
        <f>"SR-14846"</f>
        <v>SR-14846</v>
      </c>
      <c r="H10543" s="2" t="s">
        <v>42703</v>
      </c>
      <c r="I10543" s="2" t="s">
        <v>42704</v>
      </c>
      <c r="K10543" s="2" t="s">
        <v>788</v>
      </c>
      <c r="L10543" s="2" t="s">
        <v>2389</v>
      </c>
      <c r="M10543" s="2">
        <v>97123.0</v>
      </c>
      <c r="N10543" s="2" t="s">
        <v>21</v>
      </c>
    </row>
    <row r="10544" ht="15.75" customHeight="1">
      <c r="A10544" s="2">
        <v>2018.0</v>
      </c>
      <c r="B10544" s="2" t="s">
        <v>42705</v>
      </c>
      <c r="C10544" s="2" t="s">
        <v>42706</v>
      </c>
      <c r="D10544" s="2" t="str">
        <f>"5038285675"</f>
        <v>5038285675</v>
      </c>
      <c r="E10544" s="2" t="s">
        <v>2433</v>
      </c>
      <c r="F10544" s="2" t="s">
        <v>1257</v>
      </c>
      <c r="G10544" s="2" t="str">
        <f>"SR-14850"</f>
        <v>SR-14850</v>
      </c>
      <c r="H10544" s="2" t="s">
        <v>42707</v>
      </c>
      <c r="I10544" s="2" t="s">
        <v>42708</v>
      </c>
      <c r="K10544" s="2" t="s">
        <v>12356</v>
      </c>
      <c r="L10544" s="2" t="s">
        <v>2389</v>
      </c>
      <c r="M10544" s="2">
        <v>97005.0</v>
      </c>
      <c r="N10544" s="2" t="s">
        <v>21</v>
      </c>
    </row>
    <row r="10545" ht="15.75" customHeight="1">
      <c r="A10545" s="2">
        <v>2018.0</v>
      </c>
      <c r="B10545" s="2" t="s">
        <v>42709</v>
      </c>
      <c r="C10545" s="2" t="s">
        <v>42710</v>
      </c>
      <c r="D10545" s="2" t="str">
        <f>"9549415922"</f>
        <v>9549415922</v>
      </c>
      <c r="E10545" s="2" t="s">
        <v>4206</v>
      </c>
      <c r="F10545" s="2" t="s">
        <v>1533</v>
      </c>
      <c r="G10545" s="2" t="str">
        <f>"SR-14673"</f>
        <v>SR-14673</v>
      </c>
      <c r="H10545" s="2" t="s">
        <v>42711</v>
      </c>
      <c r="I10545" s="2" t="s">
        <v>42712</v>
      </c>
      <c r="J10545" s="2" t="s">
        <v>42713</v>
      </c>
      <c r="K10545" s="2" t="s">
        <v>1206</v>
      </c>
      <c r="L10545" s="2" t="s">
        <v>208</v>
      </c>
      <c r="M10545" s="2">
        <v>33060.0</v>
      </c>
      <c r="N10545" s="2" t="s">
        <v>21</v>
      </c>
    </row>
    <row r="10546" ht="15.75" customHeight="1">
      <c r="A10546" s="2">
        <v>2018.0</v>
      </c>
      <c r="B10546" s="2" t="s">
        <v>42714</v>
      </c>
      <c r="C10546" s="2" t="s">
        <v>42714</v>
      </c>
      <c r="D10546" s="2" t="str">
        <f>"7656354192"</f>
        <v>7656354192</v>
      </c>
      <c r="E10546" s="2" t="s">
        <v>42715</v>
      </c>
      <c r="F10546" s="2" t="s">
        <v>42716</v>
      </c>
      <c r="G10546" s="2" t="str">
        <f>"SR-14757"</f>
        <v>SR-14757</v>
      </c>
      <c r="H10546" s="2" t="s">
        <v>42717</v>
      </c>
      <c r="I10546" s="2" t="s">
        <v>42718</v>
      </c>
      <c r="K10546" s="2" t="s">
        <v>404</v>
      </c>
      <c r="L10546" s="2" t="s">
        <v>149</v>
      </c>
      <c r="M10546" s="2">
        <v>46001.0</v>
      </c>
      <c r="N10546" s="2" t="s">
        <v>21</v>
      </c>
    </row>
    <row r="10547" ht="15.75" customHeight="1">
      <c r="A10547" s="2">
        <v>2018.0</v>
      </c>
      <c r="B10547" s="2" t="s">
        <v>42719</v>
      </c>
      <c r="C10547" s="2" t="s">
        <v>42719</v>
      </c>
      <c r="D10547" s="2" t="str">
        <f>"570-966-1800"</f>
        <v>570-966-1800</v>
      </c>
      <c r="E10547" s="2" t="s">
        <v>1928</v>
      </c>
      <c r="F10547" s="2" t="s">
        <v>42720</v>
      </c>
      <c r="G10547" s="2" t="str">
        <f>"SR-14826"</f>
        <v>SR-14826</v>
      </c>
      <c r="H10547" s="2" t="s">
        <v>42721</v>
      </c>
      <c r="I10547" s="2" t="s">
        <v>42722</v>
      </c>
      <c r="K10547" s="2" t="s">
        <v>42723</v>
      </c>
      <c r="L10547" s="2" t="s">
        <v>179</v>
      </c>
      <c r="M10547" s="2">
        <v>17844.0</v>
      </c>
      <c r="N10547" s="2" t="s">
        <v>21</v>
      </c>
    </row>
    <row r="10548" ht="15.75" customHeight="1">
      <c r="A10548" s="2">
        <v>2018.0</v>
      </c>
      <c r="B10548" s="2" t="s">
        <v>42724</v>
      </c>
      <c r="C10548" s="2" t="s">
        <v>42725</v>
      </c>
      <c r="D10548" s="2" t="str">
        <f>"5755201461"</f>
        <v>5755201461</v>
      </c>
      <c r="E10548" s="2" t="s">
        <v>19353</v>
      </c>
      <c r="F10548" s="2" t="s">
        <v>7279</v>
      </c>
      <c r="G10548" s="2" t="str">
        <f>"SR-11999"</f>
        <v>SR-11999</v>
      </c>
      <c r="H10548" s="2" t="s">
        <v>42726</v>
      </c>
      <c r="I10548" s="2" t="s">
        <v>42727</v>
      </c>
      <c r="K10548" s="2" t="s">
        <v>14131</v>
      </c>
      <c r="L10548" s="2" t="s">
        <v>789</v>
      </c>
      <c r="M10548" s="2">
        <v>88011.0</v>
      </c>
      <c r="N10548" s="2" t="s">
        <v>21</v>
      </c>
    </row>
    <row r="10549" ht="15.75" customHeight="1">
      <c r="A10549" s="2">
        <v>2018.0</v>
      </c>
      <c r="B10549" s="2" t="s">
        <v>42728</v>
      </c>
      <c r="C10549" s="2" t="s">
        <v>42729</v>
      </c>
      <c r="D10549" s="2" t="str">
        <f>"6157911454"</f>
        <v>6157911454</v>
      </c>
      <c r="E10549" s="2" t="s">
        <v>8693</v>
      </c>
      <c r="F10549" s="2" t="s">
        <v>5121</v>
      </c>
      <c r="G10549" s="2" t="str">
        <f>"SR-14830"</f>
        <v>SR-14830</v>
      </c>
      <c r="H10549" s="2" t="s">
        <v>42730</v>
      </c>
      <c r="I10549" s="2" t="s">
        <v>42731</v>
      </c>
      <c r="K10549" s="2" t="s">
        <v>278</v>
      </c>
      <c r="L10549" s="2" t="s">
        <v>279</v>
      </c>
      <c r="M10549" s="2">
        <v>37067.0</v>
      </c>
      <c r="N10549" s="2" t="s">
        <v>21</v>
      </c>
    </row>
    <row r="10550" ht="15.75" customHeight="1">
      <c r="A10550" s="2">
        <v>2018.0</v>
      </c>
      <c r="B10550" s="2" t="s">
        <v>42732</v>
      </c>
      <c r="C10550" s="2" t="s">
        <v>42732</v>
      </c>
      <c r="D10550" s="2" t="str">
        <f>"6592343226"</f>
        <v>6592343226</v>
      </c>
      <c r="E10550" s="2" t="s">
        <v>453</v>
      </c>
      <c r="F10550" s="2" t="s">
        <v>15963</v>
      </c>
      <c r="G10550" s="2" t="str">
        <f>"SR-7153"</f>
        <v>SR-7153</v>
      </c>
      <c r="H10550" s="2" t="s">
        <v>42733</v>
      </c>
      <c r="I10550" s="2" t="s">
        <v>42734</v>
      </c>
      <c r="K10550" s="2" t="s">
        <v>8433</v>
      </c>
      <c r="M10550" s="2">
        <v>467286.0</v>
      </c>
      <c r="N10550" s="2" t="s">
        <v>8433</v>
      </c>
    </row>
    <row r="10551" ht="15.75" customHeight="1">
      <c r="A10551" s="2">
        <v>2018.0</v>
      </c>
      <c r="B10551" s="2" t="s">
        <v>42735</v>
      </c>
      <c r="C10551" s="2" t="s">
        <v>42736</v>
      </c>
      <c r="D10551" s="2" t="str">
        <f>"8505669133"</f>
        <v>8505669133</v>
      </c>
      <c r="E10551" s="2" t="s">
        <v>203</v>
      </c>
      <c r="F10551" s="2" t="s">
        <v>18199</v>
      </c>
      <c r="G10551" s="2" t="str">
        <f>"SR-14849"</f>
        <v>SR-14849</v>
      </c>
      <c r="H10551" s="2" t="s">
        <v>42737</v>
      </c>
      <c r="I10551" s="2" t="s">
        <v>42738</v>
      </c>
      <c r="K10551" s="2" t="s">
        <v>2007</v>
      </c>
      <c r="L10551" s="2" t="s">
        <v>208</v>
      </c>
      <c r="M10551" s="2">
        <v>32308.0</v>
      </c>
      <c r="N10551" s="2" t="s">
        <v>21</v>
      </c>
    </row>
    <row r="10552" ht="15.75" customHeight="1">
      <c r="A10552" s="2">
        <v>2018.0</v>
      </c>
      <c r="B10552" s="2" t="s">
        <v>42739</v>
      </c>
      <c r="C10552" s="2" t="s">
        <v>42739</v>
      </c>
      <c r="D10552" s="2" t="str">
        <f>"518-570-0908"</f>
        <v>518-570-0908</v>
      </c>
      <c r="E10552" s="2" t="s">
        <v>9513</v>
      </c>
      <c r="F10552" s="2" t="s">
        <v>10501</v>
      </c>
      <c r="G10552" s="2" t="str">
        <f>"SR-14865"</f>
        <v>SR-14865</v>
      </c>
      <c r="H10552" s="2" t="s">
        <v>42740</v>
      </c>
      <c r="I10552" s="2" t="s">
        <v>42741</v>
      </c>
      <c r="K10552" s="2" t="s">
        <v>42742</v>
      </c>
      <c r="L10552" s="2" t="s">
        <v>142</v>
      </c>
      <c r="M10552" s="2">
        <v>12901.0</v>
      </c>
      <c r="N10552" s="2" t="s">
        <v>21</v>
      </c>
    </row>
    <row r="10553" ht="15.75" customHeight="1">
      <c r="A10553" s="2">
        <v>2018.0</v>
      </c>
      <c r="B10553" s="2" t="s">
        <v>42743</v>
      </c>
      <c r="C10553" s="2" t="s">
        <v>42744</v>
      </c>
      <c r="D10553" s="2" t="str">
        <f>"4843008515"</f>
        <v>4843008515</v>
      </c>
      <c r="E10553" s="2" t="s">
        <v>2912</v>
      </c>
      <c r="F10553" s="2" t="s">
        <v>42745</v>
      </c>
      <c r="G10553" s="2" t="str">
        <f>"SR-14839"</f>
        <v>SR-14839</v>
      </c>
      <c r="H10553" s="2" t="s">
        <v>42746</v>
      </c>
      <c r="I10553" s="2" t="s">
        <v>42747</v>
      </c>
      <c r="K10553" s="2" t="s">
        <v>42748</v>
      </c>
      <c r="L10553" s="2" t="s">
        <v>179</v>
      </c>
      <c r="M10553" s="2">
        <v>19525.0</v>
      </c>
      <c r="N10553" s="2" t="s">
        <v>21</v>
      </c>
    </row>
    <row r="10554" ht="15.75" customHeight="1">
      <c r="A10554" s="2">
        <v>2018.0</v>
      </c>
      <c r="B10554" s="2" t="s">
        <v>42749</v>
      </c>
      <c r="C10554" s="2" t="s">
        <v>42749</v>
      </c>
      <c r="D10554" s="2" t="str">
        <f>"561-767-0088"</f>
        <v>561-767-0088</v>
      </c>
      <c r="E10554" s="2" t="s">
        <v>282</v>
      </c>
      <c r="F10554" s="2" t="s">
        <v>42750</v>
      </c>
      <c r="G10554" s="2" t="str">
        <f>"SR-14867"</f>
        <v>SR-14867</v>
      </c>
      <c r="H10554" s="2" t="s">
        <v>42751</v>
      </c>
      <c r="I10554" s="2" t="s">
        <v>42752</v>
      </c>
      <c r="K10554" s="2" t="s">
        <v>42753</v>
      </c>
      <c r="L10554" s="2" t="s">
        <v>4836</v>
      </c>
      <c r="M10554" s="2">
        <v>6442.0</v>
      </c>
      <c r="N10554" s="2" t="s">
        <v>21</v>
      </c>
    </row>
    <row r="10555" ht="15.75" customHeight="1">
      <c r="A10555" s="2">
        <v>2018.0</v>
      </c>
      <c r="B10555" s="2" t="s">
        <v>42754</v>
      </c>
      <c r="C10555" s="2" t="s">
        <v>42754</v>
      </c>
      <c r="D10555" s="2" t="str">
        <f>"239-896-3062"</f>
        <v>239-896-3062</v>
      </c>
      <c r="E10555" s="2" t="s">
        <v>528</v>
      </c>
      <c r="F10555" s="2" t="s">
        <v>10817</v>
      </c>
      <c r="G10555" s="2" t="str">
        <f>"SR-14860"</f>
        <v>SR-14860</v>
      </c>
      <c r="H10555" s="2" t="s">
        <v>42755</v>
      </c>
      <c r="I10555" s="2" t="s">
        <v>42756</v>
      </c>
      <c r="K10555" s="2" t="s">
        <v>20285</v>
      </c>
      <c r="L10555" s="2" t="s">
        <v>208</v>
      </c>
      <c r="M10555" s="2">
        <v>33917.0</v>
      </c>
      <c r="N10555" s="2" t="s">
        <v>21</v>
      </c>
    </row>
    <row r="10556" ht="15.75" customHeight="1">
      <c r="A10556" s="2">
        <v>2018.0</v>
      </c>
      <c r="B10556" s="2" t="s">
        <v>42757</v>
      </c>
      <c r="C10556" s="2" t="s">
        <v>42757</v>
      </c>
      <c r="D10556" s="2" t="str">
        <f>"419-271-4013"</f>
        <v>419-271-4013</v>
      </c>
      <c r="E10556" s="2" t="s">
        <v>843</v>
      </c>
      <c r="F10556" s="2" t="s">
        <v>42758</v>
      </c>
      <c r="G10556" s="2" t="str">
        <f>"SR-14727"</f>
        <v>SR-14727</v>
      </c>
      <c r="H10556" s="2" t="s">
        <v>42759</v>
      </c>
      <c r="I10556" s="2" t="s">
        <v>42760</v>
      </c>
      <c r="J10556" s="2" t="s">
        <v>42761</v>
      </c>
      <c r="K10556" s="2" t="s">
        <v>42762</v>
      </c>
      <c r="L10556" s="2" t="s">
        <v>344</v>
      </c>
      <c r="M10556" s="2">
        <v>44870.0</v>
      </c>
      <c r="N10556" s="2" t="s">
        <v>21</v>
      </c>
    </row>
    <row r="10557" ht="15.75" customHeight="1">
      <c r="A10557" s="2">
        <v>2018.0</v>
      </c>
      <c r="B10557" s="2" t="s">
        <v>42763</v>
      </c>
      <c r="C10557" s="2" t="s">
        <v>42764</v>
      </c>
      <c r="D10557" s="2" t="str">
        <f t="shared" ref="D10557:D10558" si="172">"4055177733"</f>
        <v>4055177733</v>
      </c>
      <c r="E10557" s="2" t="s">
        <v>2361</v>
      </c>
      <c r="F10557" s="2" t="s">
        <v>42765</v>
      </c>
      <c r="G10557" s="2" t="str">
        <f>"SR-14863"</f>
        <v>SR-14863</v>
      </c>
      <c r="H10557" s="2" t="s">
        <v>42766</v>
      </c>
      <c r="I10557" s="2" t="s">
        <v>42767</v>
      </c>
      <c r="K10557" s="2" t="s">
        <v>1546</v>
      </c>
      <c r="L10557" s="2" t="s">
        <v>840</v>
      </c>
      <c r="M10557" s="2">
        <v>73034.0</v>
      </c>
      <c r="N10557" s="2" t="s">
        <v>21</v>
      </c>
    </row>
    <row r="10558" ht="15.75" customHeight="1">
      <c r="A10558" s="2">
        <v>2018.0</v>
      </c>
      <c r="B10558" s="2" t="s">
        <v>42763</v>
      </c>
      <c r="C10558" s="2" t="s">
        <v>42768</v>
      </c>
      <c r="D10558" s="2" t="str">
        <f t="shared" si="172"/>
        <v>4055177733</v>
      </c>
      <c r="E10558" s="2" t="s">
        <v>81</v>
      </c>
      <c r="F10558" s="2" t="s">
        <v>42765</v>
      </c>
      <c r="G10558" s="2" t="str">
        <f>"SR-14870"</f>
        <v>SR-14870</v>
      </c>
      <c r="H10558" s="2" t="s">
        <v>42769</v>
      </c>
      <c r="I10558" s="2" t="s">
        <v>42767</v>
      </c>
      <c r="K10558" s="2" t="s">
        <v>1546</v>
      </c>
      <c r="L10558" s="2" t="s">
        <v>840</v>
      </c>
      <c r="M10558" s="2">
        <v>73034.0</v>
      </c>
      <c r="N10558" s="2" t="s">
        <v>21</v>
      </c>
    </row>
    <row r="10559" ht="15.75" customHeight="1">
      <c r="A10559" s="2">
        <v>2018.0</v>
      </c>
      <c r="B10559" s="2" t="s">
        <v>42770</v>
      </c>
      <c r="C10559" s="2" t="s">
        <v>42771</v>
      </c>
      <c r="D10559" s="2" t="str">
        <f>"9183663116"</f>
        <v>9183663116</v>
      </c>
      <c r="E10559" s="2" t="s">
        <v>25276</v>
      </c>
      <c r="F10559" s="2" t="s">
        <v>42772</v>
      </c>
      <c r="G10559" s="2" t="str">
        <f>"SR-14869"</f>
        <v>SR-14869</v>
      </c>
      <c r="H10559" s="2" t="s">
        <v>42773</v>
      </c>
      <c r="I10559" s="2" t="s">
        <v>42774</v>
      </c>
      <c r="K10559" s="2" t="s">
        <v>42775</v>
      </c>
      <c r="L10559" s="2" t="s">
        <v>840</v>
      </c>
      <c r="M10559" s="2">
        <v>74008.0</v>
      </c>
      <c r="N10559" s="2" t="s">
        <v>21</v>
      </c>
    </row>
    <row r="10560" ht="15.75" customHeight="1">
      <c r="A10560" s="2">
        <v>2018.0</v>
      </c>
      <c r="B10560" s="2" t="s">
        <v>42776</v>
      </c>
      <c r="C10560" s="2" t="s">
        <v>42777</v>
      </c>
      <c r="D10560" s="2" t="str">
        <f>"403-896-8317"</f>
        <v>403-896-8317</v>
      </c>
      <c r="E10560" s="2" t="s">
        <v>1015</v>
      </c>
      <c r="F10560" s="2" t="s">
        <v>42778</v>
      </c>
      <c r="G10560" s="2" t="str">
        <f>"SR-14871"</f>
        <v>SR-14871</v>
      </c>
      <c r="H10560" s="2" t="s">
        <v>42779</v>
      </c>
      <c r="I10560" s="2" t="s">
        <v>42780</v>
      </c>
      <c r="K10560" s="2" t="s">
        <v>42781</v>
      </c>
      <c r="L10560" s="2" t="s">
        <v>6726</v>
      </c>
      <c r="M10560" s="2" t="s">
        <v>42782</v>
      </c>
      <c r="N10560" s="2" t="s">
        <v>1602</v>
      </c>
    </row>
    <row r="10561" ht="15.75" customHeight="1">
      <c r="A10561" s="2">
        <v>2018.0</v>
      </c>
      <c r="B10561" s="2" t="s">
        <v>42783</v>
      </c>
      <c r="C10561" s="2" t="s">
        <v>42783</v>
      </c>
      <c r="D10561" s="2" t="str">
        <f>"4196262755"</f>
        <v>4196262755</v>
      </c>
      <c r="E10561" s="2" t="s">
        <v>862</v>
      </c>
      <c r="F10561" s="2" t="s">
        <v>42784</v>
      </c>
      <c r="G10561" s="2" t="str">
        <f>"SR-14873"</f>
        <v>SR-14873</v>
      </c>
      <c r="H10561" s="2" t="s">
        <v>42785</v>
      </c>
      <c r="I10561" s="2" t="s">
        <v>42786</v>
      </c>
      <c r="K10561" s="2" t="s">
        <v>42762</v>
      </c>
      <c r="L10561" s="2" t="s">
        <v>344</v>
      </c>
      <c r="M10561" s="2">
        <v>44870.0</v>
      </c>
      <c r="N10561" s="2" t="s">
        <v>21</v>
      </c>
    </row>
    <row r="10562" ht="15.75" customHeight="1">
      <c r="A10562" s="2">
        <v>2018.0</v>
      </c>
      <c r="B10562" s="2" t="s">
        <v>42787</v>
      </c>
      <c r="C10562" s="2" t="s">
        <v>42787</v>
      </c>
      <c r="D10562" s="2" t="str">
        <f>"812-787-2892"</f>
        <v>812-787-2892</v>
      </c>
      <c r="E10562" s="2" t="s">
        <v>42788</v>
      </c>
      <c r="F10562" s="2" t="s">
        <v>89</v>
      </c>
      <c r="G10562" s="2" t="str">
        <f>"SR-14575"</f>
        <v>SR-14575</v>
      </c>
      <c r="H10562" s="2" t="s">
        <v>42789</v>
      </c>
      <c r="I10562" s="2" t="s">
        <v>42790</v>
      </c>
      <c r="K10562" s="2" t="s">
        <v>538</v>
      </c>
      <c r="L10562" s="2" t="s">
        <v>149</v>
      </c>
      <c r="M10562" s="2">
        <v>47558.0</v>
      </c>
      <c r="N10562" s="2" t="s">
        <v>21</v>
      </c>
    </row>
    <row r="10563" ht="15.75" customHeight="1">
      <c r="A10563" s="2">
        <v>2018.0</v>
      </c>
      <c r="B10563" s="2" t="s">
        <v>34589</v>
      </c>
      <c r="C10563" s="2" t="s">
        <v>42791</v>
      </c>
      <c r="D10563" s="2" t="str">
        <f>"256-998-4148"</f>
        <v>256-998-4148</v>
      </c>
      <c r="E10563" s="2" t="s">
        <v>1664</v>
      </c>
      <c r="F10563" s="2" t="s">
        <v>3320</v>
      </c>
      <c r="G10563" s="2" t="str">
        <f>"SR-14840"</f>
        <v>SR-14840</v>
      </c>
      <c r="H10563" s="2" t="s">
        <v>42792</v>
      </c>
      <c r="I10563" s="2" t="s">
        <v>34592</v>
      </c>
      <c r="K10563" s="2" t="s">
        <v>5108</v>
      </c>
      <c r="L10563" s="2" t="s">
        <v>539</v>
      </c>
      <c r="M10563" s="2">
        <v>35611.0</v>
      </c>
      <c r="N10563" s="2" t="s">
        <v>21</v>
      </c>
    </row>
    <row r="10564" ht="15.75" customHeight="1">
      <c r="A10564" s="2">
        <v>2018.0</v>
      </c>
      <c r="B10564" s="2" t="s">
        <v>42793</v>
      </c>
      <c r="C10564" s="2" t="s">
        <v>42794</v>
      </c>
      <c r="D10564" s="2" t="str">
        <f>"8287771325"</f>
        <v>8287771325</v>
      </c>
      <c r="E10564" s="2" t="s">
        <v>931</v>
      </c>
      <c r="F10564" s="2" t="s">
        <v>42795</v>
      </c>
      <c r="G10564" s="2" t="str">
        <f>"SR-14883"</f>
        <v>SR-14883</v>
      </c>
      <c r="H10564" s="2" t="s">
        <v>42796</v>
      </c>
      <c r="I10564" s="2" t="s">
        <v>42797</v>
      </c>
      <c r="K10564" s="2" t="s">
        <v>17947</v>
      </c>
      <c r="L10564" s="2" t="s">
        <v>20</v>
      </c>
      <c r="M10564" s="2">
        <v>28730.0</v>
      </c>
      <c r="N10564" s="2" t="s">
        <v>21</v>
      </c>
    </row>
    <row r="10565" ht="15.75" customHeight="1">
      <c r="A10565" s="2">
        <v>2018.0</v>
      </c>
      <c r="B10565" s="2" t="s">
        <v>24607</v>
      </c>
      <c r="C10565" s="2" t="s">
        <v>24607</v>
      </c>
      <c r="D10565" s="2" t="str">
        <f>"8296054163"</f>
        <v>8296054163</v>
      </c>
      <c r="E10565" s="2" t="s">
        <v>10652</v>
      </c>
      <c r="F10565" s="2" t="s">
        <v>42798</v>
      </c>
      <c r="G10565" s="2" t="str">
        <f>"SR-14884"</f>
        <v>SR-14884</v>
      </c>
      <c r="H10565" s="2" t="s">
        <v>42799</v>
      </c>
      <c r="I10565" s="2" t="s">
        <v>24661</v>
      </c>
      <c r="K10565" s="2" t="s">
        <v>24614</v>
      </c>
      <c r="L10565" s="2" t="s">
        <v>24615</v>
      </c>
      <c r="M10565" s="2">
        <v>0.0</v>
      </c>
      <c r="N10565" s="2" t="s">
        <v>24616</v>
      </c>
    </row>
    <row r="10566" ht="15.75" customHeight="1">
      <c r="A10566" s="2">
        <v>2018.0</v>
      </c>
      <c r="B10566" s="2" t="s">
        <v>42800</v>
      </c>
      <c r="C10566" s="2" t="s">
        <v>42800</v>
      </c>
      <c r="D10566" s="2" t="str">
        <f>"7313947095"</f>
        <v>7313947095</v>
      </c>
      <c r="E10566" s="2" t="s">
        <v>42801</v>
      </c>
      <c r="F10566" s="2" t="s">
        <v>42802</v>
      </c>
      <c r="G10566" s="2" t="str">
        <f>"SR-14765"</f>
        <v>SR-14765</v>
      </c>
      <c r="H10566" s="2" t="s">
        <v>42803</v>
      </c>
      <c r="I10566" s="2" t="s">
        <v>42804</v>
      </c>
      <c r="K10566" s="2" t="s">
        <v>9103</v>
      </c>
      <c r="L10566" s="2" t="s">
        <v>279</v>
      </c>
      <c r="M10566" s="2">
        <v>38305.0</v>
      </c>
      <c r="N10566" s="2" t="s">
        <v>21</v>
      </c>
    </row>
    <row r="10567" ht="15.75" customHeight="1">
      <c r="A10567" s="2">
        <v>2018.0</v>
      </c>
      <c r="B10567" s="2" t="s">
        <v>42805</v>
      </c>
      <c r="C10567" s="2" t="s">
        <v>42805</v>
      </c>
      <c r="D10567" s="2" t="str">
        <f>"865-983-6937"</f>
        <v>865-983-6937</v>
      </c>
      <c r="E10567" s="2" t="s">
        <v>25433</v>
      </c>
      <c r="F10567" s="2" t="s">
        <v>42806</v>
      </c>
      <c r="G10567" s="2" t="str">
        <f>"SR-14859"</f>
        <v>SR-14859</v>
      </c>
      <c r="H10567" s="2" t="s">
        <v>42807</v>
      </c>
      <c r="I10567" s="2" t="s">
        <v>42808</v>
      </c>
      <c r="K10567" s="2" t="s">
        <v>42809</v>
      </c>
      <c r="L10567" s="2" t="s">
        <v>279</v>
      </c>
      <c r="M10567" s="2">
        <v>37886.0</v>
      </c>
      <c r="N10567" s="2" t="s">
        <v>21</v>
      </c>
    </row>
    <row r="10568" ht="15.75" customHeight="1">
      <c r="A10568" s="2">
        <v>2018.0</v>
      </c>
      <c r="B10568" s="2" t="s">
        <v>42810</v>
      </c>
      <c r="C10568" s="2" t="s">
        <v>42811</v>
      </c>
      <c r="D10568" s="2" t="str">
        <f>"309-613-8294"</f>
        <v>309-613-8294</v>
      </c>
      <c r="E10568" s="2" t="s">
        <v>261</v>
      </c>
      <c r="F10568" s="2" t="s">
        <v>283</v>
      </c>
      <c r="G10568" s="2" t="str">
        <f>"SR-14864"</f>
        <v>SR-14864</v>
      </c>
      <c r="H10568" s="2" t="s">
        <v>42812</v>
      </c>
      <c r="I10568" s="2" t="s">
        <v>42813</v>
      </c>
      <c r="K10568" s="2" t="s">
        <v>9788</v>
      </c>
      <c r="L10568" s="2" t="s">
        <v>105</v>
      </c>
      <c r="M10568" s="2">
        <v>61554.0</v>
      </c>
      <c r="N10568" s="2" t="s">
        <v>21</v>
      </c>
    </row>
    <row r="10569" ht="15.75" customHeight="1">
      <c r="A10569" s="2">
        <v>2018.0</v>
      </c>
      <c r="B10569" s="2" t="s">
        <v>42814</v>
      </c>
      <c r="C10569" s="2" t="s">
        <v>42815</v>
      </c>
      <c r="D10569" s="2" t="str">
        <f>"9087909540"</f>
        <v>9087909540</v>
      </c>
      <c r="E10569" s="2" t="s">
        <v>301</v>
      </c>
      <c r="F10569" s="2" t="s">
        <v>42816</v>
      </c>
      <c r="G10569" s="2" t="str">
        <f>"SR-14894"</f>
        <v>SR-14894</v>
      </c>
      <c r="H10569" s="2" t="s">
        <v>42817</v>
      </c>
      <c r="I10569" s="2" t="s">
        <v>42818</v>
      </c>
      <c r="K10569" s="2" t="s">
        <v>42819</v>
      </c>
      <c r="L10569" s="2" t="s">
        <v>3618</v>
      </c>
      <c r="M10569" s="2">
        <v>7920.0</v>
      </c>
      <c r="N10569" s="2" t="s">
        <v>21</v>
      </c>
    </row>
    <row r="10570" ht="15.75" customHeight="1">
      <c r="A10570" s="2">
        <v>2018.0</v>
      </c>
      <c r="B10570" s="2" t="s">
        <v>42820</v>
      </c>
      <c r="C10570" s="2" t="s">
        <v>42821</v>
      </c>
      <c r="D10570" s="2" t="str">
        <f>"9138140962"</f>
        <v>9138140962</v>
      </c>
      <c r="E10570" s="2" t="s">
        <v>718</v>
      </c>
      <c r="F10570" s="2" t="s">
        <v>42822</v>
      </c>
      <c r="G10570" s="2" t="str">
        <f>"SR-14889"</f>
        <v>SR-14889</v>
      </c>
      <c r="H10570" s="2" t="s">
        <v>42823</v>
      </c>
      <c r="I10570" s="2" t="s">
        <v>42824</v>
      </c>
      <c r="K10570" s="2" t="s">
        <v>4240</v>
      </c>
      <c r="L10570" s="2" t="s">
        <v>272</v>
      </c>
      <c r="M10570" s="2">
        <v>66085.0</v>
      </c>
      <c r="N10570" s="2" t="s">
        <v>21</v>
      </c>
    </row>
    <row r="10571" ht="15.75" customHeight="1">
      <c r="A10571" s="2">
        <v>2018.0</v>
      </c>
      <c r="B10571" s="2" t="s">
        <v>24811</v>
      </c>
      <c r="C10571" s="2" t="s">
        <v>24811</v>
      </c>
      <c r="D10571" s="2" t="str">
        <f>"9162131210"</f>
        <v>9162131210</v>
      </c>
      <c r="E10571" s="2" t="s">
        <v>24812</v>
      </c>
      <c r="F10571" s="2" t="s">
        <v>24813</v>
      </c>
      <c r="G10571" s="2" t="str">
        <f>"SR-7843"</f>
        <v>SR-7843</v>
      </c>
      <c r="H10571" s="2" t="s">
        <v>24814</v>
      </c>
      <c r="I10571" s="2" t="s">
        <v>24815</v>
      </c>
      <c r="K10571" s="2" t="s">
        <v>24816</v>
      </c>
      <c r="L10571" s="2" t="s">
        <v>222</v>
      </c>
      <c r="M10571" s="2">
        <v>95605.0</v>
      </c>
      <c r="N10571" s="2" t="s">
        <v>21</v>
      </c>
    </row>
    <row r="10572" ht="15.75" customHeight="1">
      <c r="A10572" s="2">
        <v>2018.0</v>
      </c>
      <c r="B10572" s="2" t="s">
        <v>42825</v>
      </c>
      <c r="C10572" s="2" t="s">
        <v>42825</v>
      </c>
      <c r="D10572" s="2" t="str">
        <f>"9498781182"</f>
        <v>9498781182</v>
      </c>
      <c r="E10572" s="2" t="s">
        <v>1999</v>
      </c>
      <c r="F10572" s="2" t="s">
        <v>42826</v>
      </c>
      <c r="G10572" s="2" t="str">
        <f>"SR-14726"</f>
        <v>SR-14726</v>
      </c>
      <c r="H10572" s="2" t="s">
        <v>42827</v>
      </c>
      <c r="I10572" s="2" t="s">
        <v>42828</v>
      </c>
      <c r="K10572" s="2" t="s">
        <v>10926</v>
      </c>
      <c r="L10572" s="2" t="s">
        <v>222</v>
      </c>
      <c r="M10572" s="2">
        <v>92691.0</v>
      </c>
      <c r="N10572" s="2" t="s">
        <v>21</v>
      </c>
    </row>
    <row r="10573" ht="15.75" customHeight="1">
      <c r="A10573" s="2">
        <v>2018.0</v>
      </c>
      <c r="B10573" s="2" t="s">
        <v>42829</v>
      </c>
      <c r="C10573" s="2" t="s">
        <v>42830</v>
      </c>
      <c r="D10573" s="2" t="str">
        <f>"8178219552"</f>
        <v>8178219552</v>
      </c>
      <c r="E10573" s="2" t="s">
        <v>678</v>
      </c>
      <c r="F10573" s="2" t="s">
        <v>42831</v>
      </c>
      <c r="G10573" s="2" t="str">
        <f>"SR-14914"</f>
        <v>SR-14914</v>
      </c>
      <c r="H10573" s="2" t="s">
        <v>42832</v>
      </c>
      <c r="I10573" s="2" t="s">
        <v>42833</v>
      </c>
      <c r="K10573" s="2" t="s">
        <v>42834</v>
      </c>
      <c r="L10573" s="2" t="s">
        <v>172</v>
      </c>
      <c r="M10573" s="2">
        <v>76092.0</v>
      </c>
      <c r="N10573" s="2" t="s">
        <v>21</v>
      </c>
    </row>
    <row r="10574" ht="15.75" customHeight="1">
      <c r="A10574" s="2">
        <v>2018.0</v>
      </c>
      <c r="B10574" s="2" t="s">
        <v>42835</v>
      </c>
      <c r="C10574" s="2" t="s">
        <v>42836</v>
      </c>
      <c r="D10574" s="2" t="str">
        <f>"4102079511"</f>
        <v>4102079511</v>
      </c>
      <c r="E10574" s="2" t="s">
        <v>11119</v>
      </c>
      <c r="F10574" s="2" t="s">
        <v>4627</v>
      </c>
      <c r="G10574" s="2" t="str">
        <f>"SR-14882"</f>
        <v>SR-14882</v>
      </c>
      <c r="H10574" s="2" t="s">
        <v>42837</v>
      </c>
      <c r="I10574" s="2" t="s">
        <v>42838</v>
      </c>
      <c r="K10574" s="2" t="s">
        <v>8398</v>
      </c>
      <c r="L10574" s="2" t="s">
        <v>172</v>
      </c>
      <c r="M10574" s="2">
        <v>75078.0</v>
      </c>
      <c r="N10574" s="2" t="s">
        <v>21</v>
      </c>
    </row>
    <row r="10575" ht="15.75" customHeight="1">
      <c r="A10575" s="2">
        <v>2018.0</v>
      </c>
      <c r="B10575" s="2" t="s">
        <v>42839</v>
      </c>
      <c r="C10575" s="2" t="s">
        <v>42840</v>
      </c>
      <c r="D10575" s="2" t="str">
        <f>"512-294-8481"</f>
        <v>512-294-8481</v>
      </c>
      <c r="E10575" s="2" t="s">
        <v>42841</v>
      </c>
      <c r="F10575" s="2" t="s">
        <v>12571</v>
      </c>
      <c r="G10575" s="2" t="str">
        <f>"SR-14776"</f>
        <v>SR-14776</v>
      </c>
      <c r="H10575" s="2" t="s">
        <v>42842</v>
      </c>
      <c r="I10575" s="2" t="s">
        <v>42843</v>
      </c>
      <c r="K10575" s="2" t="s">
        <v>15840</v>
      </c>
      <c r="L10575" s="2" t="s">
        <v>172</v>
      </c>
      <c r="M10575" s="2">
        <v>78611.0</v>
      </c>
      <c r="N10575" s="2" t="s">
        <v>21</v>
      </c>
    </row>
    <row r="10576" ht="15.75" customHeight="1">
      <c r="A10576" s="2">
        <v>2018.0</v>
      </c>
      <c r="B10576" s="2" t="s">
        <v>42844</v>
      </c>
      <c r="C10576" s="2" t="s">
        <v>42845</v>
      </c>
      <c r="D10576" s="2" t="str">
        <f>"214-422-1428"</f>
        <v>214-422-1428</v>
      </c>
      <c r="E10576" s="2" t="s">
        <v>1782</v>
      </c>
      <c r="F10576" s="2" t="s">
        <v>15923</v>
      </c>
      <c r="G10576" s="2" t="str">
        <f>"SR-14919"</f>
        <v>SR-14919</v>
      </c>
      <c r="H10576" s="2" t="s">
        <v>42846</v>
      </c>
      <c r="I10576" s="2" t="s">
        <v>42847</v>
      </c>
      <c r="K10576" s="2" t="s">
        <v>740</v>
      </c>
      <c r="L10576" s="2" t="s">
        <v>172</v>
      </c>
      <c r="M10576" s="2">
        <v>75050.0</v>
      </c>
      <c r="N10576" s="2" t="s">
        <v>21</v>
      </c>
    </row>
    <row r="10577" ht="15.75" customHeight="1">
      <c r="A10577" s="2">
        <v>2018.0</v>
      </c>
      <c r="B10577" s="2" t="s">
        <v>42848</v>
      </c>
      <c r="C10577" s="2" t="s">
        <v>42849</v>
      </c>
      <c r="D10577" s="2" t="str">
        <f>"7193526517"</f>
        <v>7193526517</v>
      </c>
      <c r="E10577" s="2" t="s">
        <v>42850</v>
      </c>
      <c r="F10577" s="2" t="s">
        <v>94</v>
      </c>
      <c r="G10577" s="2" t="str">
        <f>"SR-14920"</f>
        <v>SR-14920</v>
      </c>
      <c r="H10577" s="2" t="s">
        <v>42851</v>
      </c>
      <c r="I10577" s="2" t="s">
        <v>42852</v>
      </c>
      <c r="K10577" s="2" t="s">
        <v>42853</v>
      </c>
      <c r="L10577" s="2" t="s">
        <v>157</v>
      </c>
      <c r="M10577" s="2">
        <v>80829.0</v>
      </c>
      <c r="N10577" s="2" t="s">
        <v>21</v>
      </c>
    </row>
    <row r="10578" ht="15.75" customHeight="1">
      <c r="A10578" s="2">
        <v>2018.0</v>
      </c>
      <c r="B10578" s="2" t="s">
        <v>42854</v>
      </c>
      <c r="C10578" s="2" t="s">
        <v>42854</v>
      </c>
      <c r="D10578" s="2" t="str">
        <f>"4023788440"</f>
        <v>4023788440</v>
      </c>
      <c r="E10578" s="2" t="s">
        <v>1529</v>
      </c>
      <c r="F10578" s="2" t="s">
        <v>42855</v>
      </c>
      <c r="G10578" s="2" t="str">
        <f>"SR-14798"</f>
        <v>SR-14798</v>
      </c>
      <c r="H10578" s="2" t="s">
        <v>42856</v>
      </c>
      <c r="I10578" s="2" t="s">
        <v>42857</v>
      </c>
      <c r="K10578" s="2" t="s">
        <v>1470</v>
      </c>
      <c r="L10578" s="2" t="s">
        <v>757</v>
      </c>
      <c r="M10578" s="2">
        <v>68007.0</v>
      </c>
      <c r="N10578" s="2" t="s">
        <v>21</v>
      </c>
    </row>
    <row r="10579" ht="15.75" customHeight="1">
      <c r="A10579" s="2">
        <v>2018.0</v>
      </c>
      <c r="B10579" s="2" t="s">
        <v>42844</v>
      </c>
      <c r="C10579" s="2" t="s">
        <v>42858</v>
      </c>
      <c r="D10579" s="2" t="str">
        <f>"972-795-3896"</f>
        <v>972-795-3896</v>
      </c>
      <c r="E10579" s="2" t="s">
        <v>1015</v>
      </c>
      <c r="F10579" s="2" t="s">
        <v>15923</v>
      </c>
      <c r="G10579" s="2" t="str">
        <f>"SR-14921"</f>
        <v>SR-14921</v>
      </c>
      <c r="H10579" s="2" t="s">
        <v>42859</v>
      </c>
      <c r="I10579" s="2" t="s">
        <v>42860</v>
      </c>
      <c r="K10579" s="2" t="s">
        <v>740</v>
      </c>
      <c r="L10579" s="2" t="s">
        <v>172</v>
      </c>
      <c r="M10579" s="2">
        <v>75050.0</v>
      </c>
      <c r="N10579" s="2" t="s">
        <v>21</v>
      </c>
    </row>
    <row r="10580" ht="15.75" customHeight="1">
      <c r="A10580" s="2">
        <v>2018.0</v>
      </c>
      <c r="B10580" s="2" t="s">
        <v>42844</v>
      </c>
      <c r="C10580" s="2" t="s">
        <v>42861</v>
      </c>
      <c r="D10580" s="2" t="str">
        <f>"8177519403"</f>
        <v>8177519403</v>
      </c>
      <c r="E10580" s="2" t="s">
        <v>1263</v>
      </c>
      <c r="F10580" s="2" t="s">
        <v>15923</v>
      </c>
      <c r="G10580" s="2" t="str">
        <f>"SR-14922"</f>
        <v>SR-14922</v>
      </c>
      <c r="H10580" s="2" t="s">
        <v>42862</v>
      </c>
      <c r="I10580" s="2" t="s">
        <v>22651</v>
      </c>
      <c r="K10580" s="2" t="s">
        <v>740</v>
      </c>
      <c r="L10580" s="2" t="s">
        <v>172</v>
      </c>
      <c r="M10580" s="2">
        <v>75050.0</v>
      </c>
      <c r="N10580" s="2" t="s">
        <v>21</v>
      </c>
    </row>
    <row r="10581" ht="15.75" customHeight="1">
      <c r="A10581" s="2">
        <v>2018.0</v>
      </c>
      <c r="B10581" s="2" t="s">
        <v>17736</v>
      </c>
      <c r="C10581" s="2" t="s">
        <v>42863</v>
      </c>
      <c r="D10581" s="2" t="str">
        <f>"7203207951"</f>
        <v>7203207951</v>
      </c>
      <c r="E10581" s="2" t="s">
        <v>19064</v>
      </c>
      <c r="F10581" s="2" t="s">
        <v>17738</v>
      </c>
      <c r="G10581" s="2" t="str">
        <f>"SR-14887"</f>
        <v>SR-14887</v>
      </c>
      <c r="H10581" s="2" t="s">
        <v>42864</v>
      </c>
      <c r="I10581" s="2" t="s">
        <v>17740</v>
      </c>
      <c r="K10581" s="2" t="s">
        <v>1398</v>
      </c>
      <c r="L10581" s="2" t="s">
        <v>157</v>
      </c>
      <c r="M10581" s="2">
        <v>80104.0</v>
      </c>
      <c r="N10581" s="2" t="s">
        <v>21</v>
      </c>
    </row>
    <row r="10582" ht="15.75" customHeight="1">
      <c r="A10582" s="2">
        <v>2018.0</v>
      </c>
      <c r="B10582" s="2" t="s">
        <v>42865</v>
      </c>
      <c r="C10582" s="2" t="s">
        <v>42866</v>
      </c>
      <c r="D10582" s="2" t="str">
        <f>"7316140003"</f>
        <v>7316140003</v>
      </c>
      <c r="E10582" s="2" t="s">
        <v>27873</v>
      </c>
      <c r="F10582" s="2" t="s">
        <v>457</v>
      </c>
      <c r="G10582" s="2" t="str">
        <f>"SR-14923"</f>
        <v>SR-14923</v>
      </c>
      <c r="H10582" s="2" t="s">
        <v>42867</v>
      </c>
      <c r="I10582" s="2" t="s">
        <v>42868</v>
      </c>
      <c r="K10582" s="2" t="s">
        <v>254</v>
      </c>
      <c r="L10582" s="2" t="s">
        <v>279</v>
      </c>
      <c r="M10582" s="2">
        <v>38351.0</v>
      </c>
      <c r="N10582" s="2" t="s">
        <v>21</v>
      </c>
    </row>
    <row r="10583" ht="15.75" customHeight="1">
      <c r="A10583" s="2">
        <v>2018.0</v>
      </c>
      <c r="B10583" s="2" t="s">
        <v>42869</v>
      </c>
      <c r="C10583" s="2" t="s">
        <v>42870</v>
      </c>
      <c r="D10583" s="2" t="str">
        <f>"5127553655"</f>
        <v>5127553655</v>
      </c>
      <c r="E10583" s="2" t="s">
        <v>20576</v>
      </c>
      <c r="F10583" s="2" t="s">
        <v>42871</v>
      </c>
      <c r="G10583" s="2" t="str">
        <f>"SR-14928"</f>
        <v>SR-14928</v>
      </c>
      <c r="H10583" s="2" t="s">
        <v>42872</v>
      </c>
      <c r="I10583" s="2" t="s">
        <v>42873</v>
      </c>
      <c r="K10583" s="2" t="s">
        <v>10222</v>
      </c>
      <c r="L10583" s="2" t="s">
        <v>172</v>
      </c>
      <c r="M10583" s="2">
        <v>78654.0</v>
      </c>
      <c r="N10583" s="2" t="s">
        <v>21</v>
      </c>
    </row>
    <row r="10584" ht="15.75" customHeight="1">
      <c r="A10584" s="2">
        <v>2018.0</v>
      </c>
      <c r="B10584" s="2" t="s">
        <v>42874</v>
      </c>
      <c r="C10584" s="2" t="s">
        <v>42874</v>
      </c>
      <c r="D10584" s="2" t="str">
        <f>"8104987504"</f>
        <v>8104987504</v>
      </c>
      <c r="E10584" s="2" t="s">
        <v>14143</v>
      </c>
      <c r="F10584" s="2" t="s">
        <v>984</v>
      </c>
      <c r="G10584" s="2" t="str">
        <f>"SR-14770"</f>
        <v>SR-14770</v>
      </c>
      <c r="H10584" s="2" t="s">
        <v>42875</v>
      </c>
      <c r="I10584" s="2" t="s">
        <v>42876</v>
      </c>
      <c r="K10584" s="2" t="s">
        <v>42877</v>
      </c>
      <c r="L10584" s="2" t="s">
        <v>29</v>
      </c>
      <c r="M10584" s="2">
        <v>48430.0</v>
      </c>
      <c r="N10584" s="2" t="s">
        <v>21</v>
      </c>
    </row>
    <row r="10585" ht="15.75" customHeight="1">
      <c r="A10585" s="2">
        <v>2018.0</v>
      </c>
      <c r="B10585" s="2" t="s">
        <v>42878</v>
      </c>
      <c r="C10585" s="2" t="s">
        <v>42878</v>
      </c>
      <c r="D10585" s="2" t="str">
        <f>"(715) 592 - 6495"</f>
        <v>(715) 592 - 6495</v>
      </c>
      <c r="E10585" s="2" t="s">
        <v>261</v>
      </c>
      <c r="F10585" s="2" t="s">
        <v>42879</v>
      </c>
      <c r="G10585" s="2" t="str">
        <f>"SR-14898"</f>
        <v>SR-14898</v>
      </c>
      <c r="H10585" s="2" t="s">
        <v>42880</v>
      </c>
      <c r="I10585" s="2" t="s">
        <v>42881</v>
      </c>
      <c r="K10585" s="2" t="s">
        <v>42882</v>
      </c>
      <c r="L10585" s="2" t="s">
        <v>193</v>
      </c>
      <c r="M10585" s="2">
        <v>54467.0</v>
      </c>
      <c r="N10585" s="2" t="s">
        <v>21</v>
      </c>
    </row>
    <row r="10586" ht="15.75" customHeight="1">
      <c r="A10586" s="2">
        <v>2018.0</v>
      </c>
      <c r="B10586" s="2" t="s">
        <v>42883</v>
      </c>
      <c r="C10586" s="2" t="s">
        <v>42883</v>
      </c>
      <c r="D10586" s="2" t="str">
        <f>"6303475571"</f>
        <v>6303475571</v>
      </c>
      <c r="E10586" s="2" t="s">
        <v>25842</v>
      </c>
      <c r="F10586" s="2" t="s">
        <v>42884</v>
      </c>
      <c r="G10586" s="2" t="str">
        <f>"SR-14932"</f>
        <v>SR-14932</v>
      </c>
      <c r="H10586" s="2" t="s">
        <v>42885</v>
      </c>
      <c r="I10586" s="2" t="s">
        <v>42886</v>
      </c>
      <c r="K10586" s="2" t="s">
        <v>42887</v>
      </c>
      <c r="L10586" s="2" t="s">
        <v>105</v>
      </c>
      <c r="M10586" s="2">
        <v>60190.0</v>
      </c>
      <c r="N10586" s="2" t="s">
        <v>21</v>
      </c>
    </row>
    <row r="10587" ht="15.75" customHeight="1">
      <c r="A10587" s="2">
        <v>2018.0</v>
      </c>
      <c r="B10587" s="2" t="s">
        <v>42888</v>
      </c>
      <c r="C10587" s="2" t="s">
        <v>42889</v>
      </c>
      <c r="D10587" s="2" t="str">
        <f>"2564831583"</f>
        <v>2564831583</v>
      </c>
      <c r="E10587" s="2" t="s">
        <v>3460</v>
      </c>
      <c r="F10587" s="2" t="s">
        <v>4307</v>
      </c>
      <c r="G10587" s="2" t="str">
        <f>"SR-14933"</f>
        <v>SR-14933</v>
      </c>
      <c r="H10587" s="2" t="s">
        <v>42890</v>
      </c>
      <c r="I10587" s="2" t="s">
        <v>42891</v>
      </c>
      <c r="K10587" s="2" t="s">
        <v>1924</v>
      </c>
      <c r="L10587" s="2" t="s">
        <v>539</v>
      </c>
      <c r="M10587" s="2">
        <v>35660.0</v>
      </c>
      <c r="N10587" s="2" t="s">
        <v>21</v>
      </c>
    </row>
    <row r="10588" ht="15.75" customHeight="1">
      <c r="A10588" s="2">
        <v>2018.0</v>
      </c>
      <c r="B10588" s="2" t="s">
        <v>42892</v>
      </c>
      <c r="C10588" s="2" t="s">
        <v>42892</v>
      </c>
      <c r="D10588" s="2" t="str">
        <f>"7177433222"</f>
        <v>7177433222</v>
      </c>
      <c r="E10588" s="2" t="s">
        <v>28412</v>
      </c>
      <c r="F10588" s="2" t="s">
        <v>42893</v>
      </c>
      <c r="G10588" s="2" t="str">
        <f>"SR-14702"</f>
        <v>SR-14702</v>
      </c>
      <c r="H10588" s="2" t="s">
        <v>42894</v>
      </c>
      <c r="I10588" s="2" t="s">
        <v>42895</v>
      </c>
      <c r="K10588" s="2" t="s">
        <v>42896</v>
      </c>
      <c r="L10588" s="2" t="s">
        <v>179</v>
      </c>
      <c r="M10588" s="2">
        <v>17003.0</v>
      </c>
      <c r="N10588" s="2" t="s">
        <v>21</v>
      </c>
    </row>
    <row r="10589" ht="15.75" customHeight="1">
      <c r="A10589" s="2">
        <v>2018.0</v>
      </c>
      <c r="B10589" s="2" t="s">
        <v>37665</v>
      </c>
      <c r="C10589" s="2" t="s">
        <v>42897</v>
      </c>
      <c r="D10589" s="2" t="str">
        <f>"(904) 554-5356"</f>
        <v>(904) 554-5356</v>
      </c>
      <c r="E10589" s="2" t="s">
        <v>339</v>
      </c>
      <c r="F10589" s="2" t="s">
        <v>543</v>
      </c>
      <c r="G10589" s="2" t="str">
        <f>"SR-14901"</f>
        <v>SR-14901</v>
      </c>
      <c r="H10589" s="2" t="s">
        <v>42898</v>
      </c>
      <c r="I10589" s="2" t="s">
        <v>37668</v>
      </c>
      <c r="K10589" s="2" t="s">
        <v>42899</v>
      </c>
      <c r="L10589" s="2" t="s">
        <v>157</v>
      </c>
      <c r="M10589" s="2">
        <v>80920.0</v>
      </c>
      <c r="N10589" s="2" t="s">
        <v>21</v>
      </c>
    </row>
    <row r="10590" ht="15.75" customHeight="1">
      <c r="A10590" s="2">
        <v>2018.0</v>
      </c>
      <c r="B10590" s="2" t="s">
        <v>23943</v>
      </c>
      <c r="C10590" s="2" t="s">
        <v>23943</v>
      </c>
      <c r="D10590" s="2" t="str">
        <f t="shared" ref="D10590:D10591" si="173">"6267731013"</f>
        <v>6267731013</v>
      </c>
      <c r="E10590" s="2" t="s">
        <v>1094</v>
      </c>
      <c r="F10590" s="2" t="s">
        <v>21089</v>
      </c>
      <c r="G10590" s="2" t="str">
        <f>"SR-7529"</f>
        <v>SR-7529</v>
      </c>
      <c r="H10590" s="2" t="s">
        <v>23946</v>
      </c>
      <c r="I10590" s="2" t="s">
        <v>23947</v>
      </c>
      <c r="K10590" s="2" t="s">
        <v>8558</v>
      </c>
      <c r="L10590" s="2" t="s">
        <v>222</v>
      </c>
      <c r="M10590" s="2">
        <v>91007.0</v>
      </c>
      <c r="N10590" s="2" t="s">
        <v>21</v>
      </c>
    </row>
    <row r="10591" ht="15.75" customHeight="1">
      <c r="A10591" s="2">
        <v>2018.0</v>
      </c>
      <c r="B10591" s="2" t="s">
        <v>23943</v>
      </c>
      <c r="C10591" s="2" t="s">
        <v>23943</v>
      </c>
      <c r="D10591" s="2" t="str">
        <f t="shared" si="173"/>
        <v>6267731013</v>
      </c>
      <c r="E10591" s="2" t="s">
        <v>124</v>
      </c>
      <c r="F10591" s="2" t="s">
        <v>21089</v>
      </c>
      <c r="G10591" s="2" t="str">
        <f>"SR-14535"</f>
        <v>SR-14535</v>
      </c>
      <c r="H10591" s="2" t="s">
        <v>42900</v>
      </c>
      <c r="I10591" s="2" t="s">
        <v>42901</v>
      </c>
      <c r="K10591" s="2" t="s">
        <v>11198</v>
      </c>
      <c r="L10591" s="2" t="s">
        <v>222</v>
      </c>
      <c r="M10591" s="2">
        <v>93314.0</v>
      </c>
      <c r="N10591" s="2" t="s">
        <v>21</v>
      </c>
    </row>
    <row r="10592" ht="15.75" customHeight="1">
      <c r="A10592" s="2">
        <v>2018.0</v>
      </c>
      <c r="B10592" s="2" t="s">
        <v>42902</v>
      </c>
      <c r="C10592" s="2" t="s">
        <v>42903</v>
      </c>
      <c r="D10592" s="2" t="str">
        <f>"1-910-916-9618"</f>
        <v>1-910-916-9618</v>
      </c>
      <c r="E10592" s="2" t="s">
        <v>42904</v>
      </c>
      <c r="F10592" s="2" t="s">
        <v>1151</v>
      </c>
      <c r="G10592" s="2" t="str">
        <f>"SR-14881"</f>
        <v>SR-14881</v>
      </c>
      <c r="H10592" s="2" t="s">
        <v>42905</v>
      </c>
      <c r="I10592" s="2" t="s">
        <v>42906</v>
      </c>
      <c r="K10592" s="2" t="s">
        <v>3239</v>
      </c>
      <c r="L10592" s="2" t="s">
        <v>165</v>
      </c>
      <c r="M10592" s="2">
        <v>22152.0</v>
      </c>
      <c r="N10592" s="2" t="s">
        <v>21</v>
      </c>
    </row>
    <row r="10593" ht="15.75" customHeight="1">
      <c r="A10593" s="2">
        <v>2018.0</v>
      </c>
      <c r="B10593" s="2" t="s">
        <v>42907</v>
      </c>
      <c r="C10593" s="2" t="s">
        <v>42908</v>
      </c>
      <c r="D10593" s="2" t="str">
        <f>"352-284-4461"</f>
        <v>352-284-4461</v>
      </c>
      <c r="E10593" s="2" t="s">
        <v>250</v>
      </c>
      <c r="F10593" s="2" t="s">
        <v>42909</v>
      </c>
      <c r="G10593" s="2" t="str">
        <f>"SR-14891"</f>
        <v>SR-14891</v>
      </c>
      <c r="H10593" s="2" t="s">
        <v>42910</v>
      </c>
      <c r="I10593" s="2" t="s">
        <v>42911</v>
      </c>
      <c r="K10593" s="2" t="s">
        <v>21389</v>
      </c>
      <c r="L10593" s="2" t="s">
        <v>208</v>
      </c>
      <c r="M10593" s="2">
        <v>32608.0</v>
      </c>
      <c r="N10593" s="2" t="s">
        <v>21</v>
      </c>
    </row>
    <row r="10594" ht="15.75" customHeight="1">
      <c r="A10594" s="2">
        <v>2018.0</v>
      </c>
      <c r="B10594" s="2" t="s">
        <v>34524</v>
      </c>
      <c r="C10594" s="2" t="s">
        <v>34524</v>
      </c>
      <c r="D10594" s="2" t="str">
        <f>"4029923834"</f>
        <v>4029923834</v>
      </c>
      <c r="E10594" s="2" t="s">
        <v>1088</v>
      </c>
      <c r="F10594" s="2" t="s">
        <v>31294</v>
      </c>
      <c r="G10594" s="2" t="str">
        <f>"SR-14940"</f>
        <v>SR-14940</v>
      </c>
      <c r="H10594" s="2" t="s">
        <v>34525</v>
      </c>
      <c r="I10594" s="2" t="s">
        <v>42912</v>
      </c>
      <c r="K10594" s="2" t="s">
        <v>42913</v>
      </c>
      <c r="L10594" s="2" t="s">
        <v>757</v>
      </c>
      <c r="M10594" s="2">
        <v>68701.0</v>
      </c>
      <c r="N10594" s="2" t="s">
        <v>21</v>
      </c>
    </row>
    <row r="10595" ht="15.75" customHeight="1">
      <c r="A10595" s="2">
        <v>2018.0</v>
      </c>
      <c r="B10595" s="2" t="s">
        <v>42914</v>
      </c>
      <c r="C10595" s="2" t="s">
        <v>42915</v>
      </c>
      <c r="D10595" s="2" t="str">
        <f>"9514520009"</f>
        <v>9514520009</v>
      </c>
      <c r="E10595" s="2" t="s">
        <v>908</v>
      </c>
      <c r="F10595" s="2" t="s">
        <v>36486</v>
      </c>
      <c r="G10595" s="2" t="str">
        <f>"SR-14941"</f>
        <v>SR-14941</v>
      </c>
      <c r="H10595" s="2" t="s">
        <v>42916</v>
      </c>
      <c r="I10595" s="2" t="s">
        <v>42917</v>
      </c>
      <c r="K10595" s="2" t="s">
        <v>35198</v>
      </c>
      <c r="L10595" s="2" t="s">
        <v>222</v>
      </c>
      <c r="M10595" s="2">
        <v>92592.0</v>
      </c>
      <c r="N10595" s="2" t="s">
        <v>21</v>
      </c>
    </row>
    <row r="10596" ht="15.75" customHeight="1">
      <c r="A10596" s="2">
        <v>2018.0</v>
      </c>
      <c r="B10596" s="2" t="s">
        <v>42918</v>
      </c>
      <c r="C10596" s="2" t="s">
        <v>42918</v>
      </c>
      <c r="D10596" s="2" t="str">
        <f>"00201067180951"</f>
        <v>00201067180951</v>
      </c>
      <c r="E10596" s="2" t="s">
        <v>8959</v>
      </c>
      <c r="F10596" s="2" t="s">
        <v>42919</v>
      </c>
      <c r="G10596" s="2" t="str">
        <f>"SR-14943"</f>
        <v>SR-14943</v>
      </c>
      <c r="H10596" s="2" t="s">
        <v>42920</v>
      </c>
      <c r="I10596" s="2" t="s">
        <v>42921</v>
      </c>
      <c r="J10596" s="2" t="s">
        <v>42922</v>
      </c>
      <c r="K10596" s="2" t="s">
        <v>9297</v>
      </c>
      <c r="N10596" s="2" t="s">
        <v>9298</v>
      </c>
    </row>
    <row r="10597" ht="15.75" customHeight="1">
      <c r="A10597" s="2">
        <v>2018.0</v>
      </c>
      <c r="B10597" s="2" t="s">
        <v>42923</v>
      </c>
      <c r="C10597" s="2" t="s">
        <v>42923</v>
      </c>
      <c r="D10597" s="2" t="str">
        <f>"9898585230"</f>
        <v>9898585230</v>
      </c>
      <c r="E10597" s="2" t="s">
        <v>6937</v>
      </c>
      <c r="F10597" s="2" t="s">
        <v>25339</v>
      </c>
      <c r="G10597" s="2" t="str">
        <f>"SR-14957"</f>
        <v>SR-14957</v>
      </c>
      <c r="H10597" s="2" t="s">
        <v>42924</v>
      </c>
      <c r="I10597" s="2" t="s">
        <v>42925</v>
      </c>
      <c r="K10597" s="2" t="s">
        <v>8062</v>
      </c>
      <c r="L10597" s="2" t="s">
        <v>29</v>
      </c>
      <c r="M10597" s="2">
        <v>49735.0</v>
      </c>
      <c r="N10597" s="2" t="s">
        <v>21</v>
      </c>
    </row>
    <row r="10598" ht="15.75" customHeight="1">
      <c r="A10598" s="2">
        <v>2018.0</v>
      </c>
      <c r="B10598" s="2" t="s">
        <v>42926</v>
      </c>
      <c r="C10598" s="2" t="s">
        <v>42926</v>
      </c>
      <c r="D10598" s="2" t="str">
        <f>"989-619-2928"</f>
        <v>989-619-2928</v>
      </c>
      <c r="E10598" s="2" t="s">
        <v>137</v>
      </c>
      <c r="F10598" s="2" t="s">
        <v>42927</v>
      </c>
      <c r="G10598" s="2" t="str">
        <f>"SR-14956"</f>
        <v>SR-14956</v>
      </c>
      <c r="H10598" s="2" t="s">
        <v>42928</v>
      </c>
      <c r="I10598" s="2" t="s">
        <v>42929</v>
      </c>
      <c r="K10598" s="2" t="s">
        <v>8062</v>
      </c>
      <c r="L10598" s="2" t="s">
        <v>29</v>
      </c>
      <c r="M10598" s="2">
        <v>49735.0</v>
      </c>
      <c r="N10598" s="2" t="s">
        <v>21</v>
      </c>
    </row>
    <row r="10599" ht="15.75" customHeight="1">
      <c r="A10599" s="2">
        <v>2018.0</v>
      </c>
      <c r="B10599" s="2" t="s">
        <v>22594</v>
      </c>
      <c r="C10599" s="2" t="s">
        <v>42930</v>
      </c>
      <c r="D10599" s="2" t="str">
        <f>"6158095371"</f>
        <v>6158095371</v>
      </c>
      <c r="E10599" s="2" t="s">
        <v>2941</v>
      </c>
      <c r="F10599" s="2" t="s">
        <v>1988</v>
      </c>
      <c r="G10599" s="2" t="str">
        <f>"SR-13539"</f>
        <v>SR-13539</v>
      </c>
      <c r="H10599" s="2" t="s">
        <v>42931</v>
      </c>
      <c r="I10599" s="2" t="s">
        <v>22597</v>
      </c>
      <c r="K10599" s="2" t="s">
        <v>7445</v>
      </c>
      <c r="L10599" s="2" t="s">
        <v>279</v>
      </c>
      <c r="M10599" s="2">
        <v>37174.0</v>
      </c>
      <c r="N10599" s="2" t="s">
        <v>21</v>
      </c>
    </row>
    <row r="10600" ht="15.75" customHeight="1">
      <c r="A10600" s="2">
        <v>2018.0</v>
      </c>
      <c r="B10600" s="2" t="s">
        <v>42932</v>
      </c>
      <c r="C10600" s="2" t="s">
        <v>42933</v>
      </c>
      <c r="D10600" s="2" t="str">
        <f>"703-832-2710"</f>
        <v>703-832-2710</v>
      </c>
      <c r="E10600" s="2" t="s">
        <v>42934</v>
      </c>
      <c r="F10600" s="2" t="s">
        <v>42935</v>
      </c>
      <c r="G10600" s="2" t="str">
        <f>"SR-14947"</f>
        <v>SR-14947</v>
      </c>
      <c r="H10600" s="2" t="s">
        <v>42936</v>
      </c>
      <c r="I10600" s="2" t="s">
        <v>42937</v>
      </c>
      <c r="K10600" s="2" t="s">
        <v>42938</v>
      </c>
      <c r="L10600" s="2" t="s">
        <v>165</v>
      </c>
      <c r="M10600" s="2">
        <v>22015.0</v>
      </c>
      <c r="N10600" s="2" t="s">
        <v>21</v>
      </c>
    </row>
    <row r="10601" ht="15.75" customHeight="1">
      <c r="A10601" s="2">
        <v>2018.0</v>
      </c>
      <c r="B10601" s="2" t="s">
        <v>42932</v>
      </c>
      <c r="C10601" s="2" t="s">
        <v>42939</v>
      </c>
      <c r="D10601" s="2" t="str">
        <f>"7038322708"</f>
        <v>7038322708</v>
      </c>
      <c r="E10601" s="2" t="s">
        <v>42940</v>
      </c>
      <c r="F10601" s="2" t="s">
        <v>42935</v>
      </c>
      <c r="G10601" s="2" t="str">
        <f>"SR-14948"</f>
        <v>SR-14948</v>
      </c>
      <c r="H10601" s="2" t="s">
        <v>42941</v>
      </c>
      <c r="I10601" s="2" t="s">
        <v>42937</v>
      </c>
      <c r="K10601" s="2" t="s">
        <v>42938</v>
      </c>
      <c r="L10601" s="2" t="s">
        <v>165</v>
      </c>
      <c r="M10601" s="2">
        <v>22015.0</v>
      </c>
      <c r="N10601" s="2" t="s">
        <v>21</v>
      </c>
    </row>
    <row r="10602" ht="15.75" customHeight="1">
      <c r="A10602" s="2">
        <v>2018.0</v>
      </c>
      <c r="B10602" s="2" t="s">
        <v>42942</v>
      </c>
      <c r="C10602" s="2" t="s">
        <v>42943</v>
      </c>
      <c r="D10602" s="2" t="str">
        <f>"7198225905"</f>
        <v>7198225905</v>
      </c>
      <c r="E10602" s="2" t="s">
        <v>2089</v>
      </c>
      <c r="F10602" s="2" t="s">
        <v>562</v>
      </c>
      <c r="G10602" s="2" t="str">
        <f>"SR-14365"</f>
        <v>SR-14365</v>
      </c>
      <c r="H10602" s="2" t="s">
        <v>42944</v>
      </c>
      <c r="I10602" s="2" t="s">
        <v>42945</v>
      </c>
      <c r="K10602" s="2" t="s">
        <v>809</v>
      </c>
      <c r="L10602" s="2" t="s">
        <v>157</v>
      </c>
      <c r="M10602" s="2">
        <v>80908.0</v>
      </c>
      <c r="N10602" s="2" t="s">
        <v>21</v>
      </c>
    </row>
    <row r="10603" ht="15.75" customHeight="1">
      <c r="A10603" s="2">
        <v>2018.0</v>
      </c>
      <c r="B10603" s="2" t="s">
        <v>23082</v>
      </c>
      <c r="C10603" s="2" t="s">
        <v>23105</v>
      </c>
      <c r="D10603" s="2" t="str">
        <f>"703-402-1900"</f>
        <v>703-402-1900</v>
      </c>
      <c r="E10603" s="2" t="s">
        <v>23106</v>
      </c>
      <c r="F10603" s="2" t="s">
        <v>23084</v>
      </c>
      <c r="G10603" s="2" t="str">
        <f>"SR-7156"</f>
        <v>SR-7156</v>
      </c>
      <c r="H10603" s="2" t="s">
        <v>23107</v>
      </c>
      <c r="I10603" s="2" t="s">
        <v>23086</v>
      </c>
      <c r="K10603" s="2" t="s">
        <v>23087</v>
      </c>
      <c r="L10603" s="2" t="s">
        <v>165</v>
      </c>
      <c r="M10603" s="2">
        <v>22124.0</v>
      </c>
      <c r="N10603" s="2" t="s">
        <v>21</v>
      </c>
    </row>
    <row r="10604" ht="15.75" customHeight="1">
      <c r="A10604" s="2">
        <v>2018.0</v>
      </c>
      <c r="B10604" s="2" t="s">
        <v>42946</v>
      </c>
      <c r="C10604" s="2" t="s">
        <v>42947</v>
      </c>
      <c r="D10604" s="2" t="str">
        <f>"5717787663"</f>
        <v>5717787663</v>
      </c>
      <c r="E10604" s="2" t="s">
        <v>428</v>
      </c>
      <c r="F10604" s="2" t="s">
        <v>42948</v>
      </c>
      <c r="G10604" s="2" t="str">
        <f>"SR-14951"</f>
        <v>SR-14951</v>
      </c>
      <c r="H10604" s="2" t="s">
        <v>42949</v>
      </c>
      <c r="I10604" s="2" t="s">
        <v>42950</v>
      </c>
      <c r="K10604" s="2" t="s">
        <v>12516</v>
      </c>
      <c r="L10604" s="2" t="s">
        <v>165</v>
      </c>
      <c r="M10604" s="2">
        <v>20169.0</v>
      </c>
      <c r="N10604" s="2" t="s">
        <v>21</v>
      </c>
    </row>
    <row r="10605" ht="15.75" customHeight="1">
      <c r="A10605" s="2">
        <v>2018.0</v>
      </c>
      <c r="B10605" s="2" t="s">
        <v>42946</v>
      </c>
      <c r="C10605" s="2" t="s">
        <v>42951</v>
      </c>
      <c r="D10605" s="2" t="str">
        <f>"5714383985"</f>
        <v>5714383985</v>
      </c>
      <c r="E10605" s="2" t="s">
        <v>580</v>
      </c>
      <c r="F10605" s="2" t="s">
        <v>42948</v>
      </c>
      <c r="G10605" s="2" t="str">
        <f>"SR-14952"</f>
        <v>SR-14952</v>
      </c>
      <c r="H10605" s="2" t="s">
        <v>42952</v>
      </c>
      <c r="I10605" s="2" t="s">
        <v>42950</v>
      </c>
      <c r="K10605" s="2" t="s">
        <v>12516</v>
      </c>
      <c r="L10605" s="2" t="s">
        <v>165</v>
      </c>
      <c r="M10605" s="2">
        <v>20169.0</v>
      </c>
      <c r="N10605" s="2" t="s">
        <v>21</v>
      </c>
    </row>
    <row r="10606" ht="15.75" customHeight="1">
      <c r="A10606" s="2">
        <v>2018.0</v>
      </c>
      <c r="B10606" s="2" t="s">
        <v>42946</v>
      </c>
      <c r="C10606" s="2" t="s">
        <v>42953</v>
      </c>
      <c r="D10606" s="2" t="str">
        <f>"5714281928"</f>
        <v>5714281928</v>
      </c>
      <c r="E10606" s="2" t="s">
        <v>261</v>
      </c>
      <c r="F10606" s="2" t="s">
        <v>42948</v>
      </c>
      <c r="G10606" s="2" t="str">
        <f>"SR-14950"</f>
        <v>SR-14950</v>
      </c>
      <c r="H10606" s="2" t="s">
        <v>42954</v>
      </c>
      <c r="I10606" s="2" t="s">
        <v>42950</v>
      </c>
      <c r="K10606" s="2" t="s">
        <v>12516</v>
      </c>
      <c r="L10606" s="2" t="s">
        <v>165</v>
      </c>
      <c r="M10606" s="2">
        <v>20169.0</v>
      </c>
      <c r="N10606" s="2" t="s">
        <v>21</v>
      </c>
    </row>
    <row r="10607" ht="15.75" customHeight="1">
      <c r="A10607" s="2">
        <v>2018.0</v>
      </c>
      <c r="B10607" s="2" t="s">
        <v>42955</v>
      </c>
      <c r="C10607" s="2" t="s">
        <v>42956</v>
      </c>
      <c r="D10607" s="2" t="str">
        <f>"505-217-4197"</f>
        <v>505-217-4197</v>
      </c>
      <c r="E10607" s="2" t="s">
        <v>3356</v>
      </c>
      <c r="F10607" s="2" t="s">
        <v>42957</v>
      </c>
      <c r="G10607" s="2" t="str">
        <f>"SR-14964"</f>
        <v>SR-14964</v>
      </c>
      <c r="H10607" s="2" t="s">
        <v>42958</v>
      </c>
      <c r="I10607" s="2" t="s">
        <v>42959</v>
      </c>
      <c r="K10607" s="2" t="s">
        <v>3705</v>
      </c>
      <c r="L10607" s="2" t="s">
        <v>789</v>
      </c>
      <c r="M10607" s="2">
        <v>87114.0</v>
      </c>
      <c r="N10607" s="2" t="s">
        <v>21</v>
      </c>
    </row>
    <row r="10608" ht="15.75" customHeight="1">
      <c r="A10608" s="2">
        <v>2018.0</v>
      </c>
      <c r="B10608" s="2" t="s">
        <v>42960</v>
      </c>
      <c r="C10608" s="2" t="s">
        <v>42961</v>
      </c>
      <c r="D10608" s="2" t="str">
        <f>"(757) 349-9973"</f>
        <v>(757) 349-9973</v>
      </c>
      <c r="E10608" s="2" t="s">
        <v>167</v>
      </c>
      <c r="F10608" s="2" t="s">
        <v>31</v>
      </c>
      <c r="G10608" s="2" t="str">
        <f>"SR-14963"</f>
        <v>SR-14963</v>
      </c>
      <c r="H10608" s="2" t="s">
        <v>42962</v>
      </c>
      <c r="I10608" s="2" t="s">
        <v>42963</v>
      </c>
      <c r="K10608" s="2" t="s">
        <v>42964</v>
      </c>
      <c r="L10608" s="2" t="s">
        <v>1868</v>
      </c>
      <c r="M10608" s="2">
        <v>20677.0</v>
      </c>
      <c r="N10608" s="2" t="s">
        <v>21</v>
      </c>
    </row>
    <row r="10609" ht="15.75" customHeight="1">
      <c r="A10609" s="2">
        <v>2018.0</v>
      </c>
      <c r="B10609" s="2" t="s">
        <v>42965</v>
      </c>
      <c r="C10609" s="2" t="s">
        <v>42966</v>
      </c>
      <c r="D10609" s="2" t="str">
        <f>"4782254756"</f>
        <v>4782254756</v>
      </c>
      <c r="E10609" s="2" t="s">
        <v>447</v>
      </c>
      <c r="F10609" s="2" t="s">
        <v>3903</v>
      </c>
      <c r="G10609" s="2" t="str">
        <f>"SR-14968"</f>
        <v>SR-14968</v>
      </c>
      <c r="H10609" s="2" t="s">
        <v>42967</v>
      </c>
      <c r="I10609" s="2" t="s">
        <v>42968</v>
      </c>
      <c r="K10609" s="2" t="s">
        <v>27794</v>
      </c>
      <c r="L10609" s="2" t="s">
        <v>200</v>
      </c>
      <c r="M10609" s="2">
        <v>31088.0</v>
      </c>
      <c r="N10609" s="2" t="s">
        <v>21</v>
      </c>
    </row>
    <row r="10610" ht="15.75" customHeight="1">
      <c r="A10610" s="2">
        <v>2018.0</v>
      </c>
      <c r="B10610" s="2" t="s">
        <v>42969</v>
      </c>
      <c r="C10610" s="2" t="s">
        <v>42970</v>
      </c>
      <c r="D10610" s="2" t="str">
        <f>"8165896623"</f>
        <v>8165896623</v>
      </c>
      <c r="E10610" s="2" t="s">
        <v>25842</v>
      </c>
      <c r="F10610" s="2" t="s">
        <v>42971</v>
      </c>
      <c r="G10610" s="2" t="str">
        <f>"SR-14953"</f>
        <v>SR-14953</v>
      </c>
      <c r="H10610" s="2" t="s">
        <v>42972</v>
      </c>
      <c r="I10610" s="2" t="s">
        <v>42973</v>
      </c>
      <c r="K10610" s="2" t="s">
        <v>213</v>
      </c>
      <c r="L10610" s="2" t="s">
        <v>214</v>
      </c>
      <c r="M10610" s="2">
        <v>64089.0</v>
      </c>
      <c r="N10610" s="2" t="s">
        <v>21</v>
      </c>
    </row>
    <row r="10611" ht="15.75" customHeight="1">
      <c r="A10611" s="2">
        <v>2018.0</v>
      </c>
      <c r="B10611" s="2" t="s">
        <v>42974</v>
      </c>
      <c r="D10611" s="2" t="str">
        <f>""</f>
        <v/>
      </c>
      <c r="E10611" s="2" t="s">
        <v>7307</v>
      </c>
      <c r="F10611" s="2" t="s">
        <v>42975</v>
      </c>
      <c r="G10611" s="2" t="str">
        <f>"SR-14973"</f>
        <v>SR-14973</v>
      </c>
      <c r="H10611" s="2" t="s">
        <v>42976</v>
      </c>
      <c r="N10611" s="2" t="s">
        <v>21</v>
      </c>
    </row>
    <row r="10612" ht="15.75" customHeight="1">
      <c r="A10612" s="2">
        <v>2018.0</v>
      </c>
      <c r="B10612" s="2" t="s">
        <v>42977</v>
      </c>
      <c r="C10612" s="2" t="s">
        <v>42977</v>
      </c>
      <c r="D10612" s="2" t="str">
        <f>"571-442-6615"</f>
        <v>571-442-6615</v>
      </c>
      <c r="E10612" s="2" t="s">
        <v>2635</v>
      </c>
      <c r="F10612" s="2" t="s">
        <v>14352</v>
      </c>
      <c r="G10612" s="2" t="str">
        <f>"SR-14978"</f>
        <v>SR-14978</v>
      </c>
      <c r="H10612" s="2" t="s">
        <v>42978</v>
      </c>
      <c r="I10612" s="2" t="s">
        <v>42979</v>
      </c>
      <c r="K10612" s="2" t="s">
        <v>6860</v>
      </c>
      <c r="L10612" s="2" t="s">
        <v>165</v>
      </c>
      <c r="M10612" s="2">
        <v>20132.0</v>
      </c>
      <c r="N10612" s="2" t="s">
        <v>21</v>
      </c>
    </row>
    <row r="10613" ht="15.75" customHeight="1">
      <c r="A10613" s="2">
        <v>2018.0</v>
      </c>
      <c r="B10613" s="2" t="s">
        <v>42980</v>
      </c>
      <c r="C10613" s="2" t="s">
        <v>42980</v>
      </c>
      <c r="D10613" s="2" t="str">
        <f>"571-442-6616"</f>
        <v>571-442-6616</v>
      </c>
      <c r="E10613" s="2" t="s">
        <v>6966</v>
      </c>
      <c r="F10613" s="2" t="s">
        <v>14352</v>
      </c>
      <c r="G10613" s="2" t="str">
        <f>"SR-14977"</f>
        <v>SR-14977</v>
      </c>
      <c r="H10613" s="2" t="s">
        <v>42981</v>
      </c>
      <c r="I10613" s="2" t="s">
        <v>42982</v>
      </c>
      <c r="K10613" s="2" t="s">
        <v>6860</v>
      </c>
      <c r="L10613" s="2" t="s">
        <v>165</v>
      </c>
      <c r="M10613" s="2">
        <v>20132.0</v>
      </c>
      <c r="N10613" s="2" t="s">
        <v>21</v>
      </c>
    </row>
    <row r="10614" ht="15.75" customHeight="1">
      <c r="A10614" s="2">
        <v>2018.0</v>
      </c>
      <c r="B10614" s="2" t="s">
        <v>42983</v>
      </c>
      <c r="C10614" s="2" t="s">
        <v>42984</v>
      </c>
      <c r="D10614" s="2" t="str">
        <f>"9722350940"</f>
        <v>9722350940</v>
      </c>
      <c r="E10614" s="2" t="s">
        <v>485</v>
      </c>
      <c r="F10614" s="2" t="s">
        <v>42985</v>
      </c>
      <c r="G10614" s="2" t="str">
        <f>"SR-14024"</f>
        <v>SR-14024</v>
      </c>
      <c r="H10614" s="2" t="s">
        <v>42986</v>
      </c>
      <c r="I10614" s="2" t="s">
        <v>42987</v>
      </c>
      <c r="K10614" s="2" t="s">
        <v>3576</v>
      </c>
      <c r="L10614" s="2" t="s">
        <v>172</v>
      </c>
      <c r="M10614" s="2">
        <v>75081.0</v>
      </c>
      <c r="N10614" s="2" t="s">
        <v>21</v>
      </c>
    </row>
    <row r="10615" ht="15.75" customHeight="1">
      <c r="A10615" s="2">
        <v>2018.0</v>
      </c>
      <c r="B10615" s="2" t="s">
        <v>42988</v>
      </c>
      <c r="C10615" s="2" t="s">
        <v>42988</v>
      </c>
      <c r="D10615" s="2" t="str">
        <f>"720-600-9636"</f>
        <v>720-600-9636</v>
      </c>
      <c r="E10615" s="2" t="s">
        <v>42989</v>
      </c>
      <c r="F10615" s="2" t="s">
        <v>42990</v>
      </c>
      <c r="G10615" s="2" t="str">
        <f>"SR-14984"</f>
        <v>SR-14984</v>
      </c>
      <c r="H10615" s="2" t="s">
        <v>42991</v>
      </c>
      <c r="I10615" s="2" t="s">
        <v>42992</v>
      </c>
      <c r="K10615" s="2" t="s">
        <v>2527</v>
      </c>
      <c r="L10615" s="2" t="s">
        <v>157</v>
      </c>
      <c r="M10615" s="2">
        <v>80203.0</v>
      </c>
      <c r="N10615" s="2" t="s">
        <v>21</v>
      </c>
    </row>
    <row r="10616" ht="15.75" customHeight="1">
      <c r="A10616" s="2">
        <v>2018.0</v>
      </c>
      <c r="B10616" s="2" t="s">
        <v>40025</v>
      </c>
      <c r="C10616" s="2" t="s">
        <v>40025</v>
      </c>
      <c r="D10616" s="2" t="str">
        <f>"276-647-4414"</f>
        <v>276-647-4414</v>
      </c>
      <c r="E10616" s="2" t="s">
        <v>160</v>
      </c>
      <c r="F10616" s="2" t="s">
        <v>283</v>
      </c>
      <c r="G10616" s="2" t="str">
        <f>"SR-14993"</f>
        <v>SR-14993</v>
      </c>
      <c r="H10616" s="2" t="s">
        <v>42993</v>
      </c>
      <c r="I10616" s="2" t="s">
        <v>29981</v>
      </c>
      <c r="K10616" s="2" t="s">
        <v>29982</v>
      </c>
      <c r="L10616" s="2" t="s">
        <v>165</v>
      </c>
      <c r="M10616" s="2">
        <v>24078.0</v>
      </c>
      <c r="N10616" s="2" t="s">
        <v>21</v>
      </c>
    </row>
    <row r="10617" ht="15.75" customHeight="1">
      <c r="A10617" s="2">
        <v>2018.0</v>
      </c>
      <c r="B10617" s="2" t="s">
        <v>42994</v>
      </c>
      <c r="C10617" s="2" t="s">
        <v>42995</v>
      </c>
      <c r="D10617" s="2" t="str">
        <f>"717 203 8300"</f>
        <v>717 203 8300</v>
      </c>
      <c r="E10617" s="2" t="s">
        <v>4300</v>
      </c>
      <c r="F10617" s="2" t="s">
        <v>21028</v>
      </c>
      <c r="G10617" s="2" t="str">
        <f>"SR-14994"</f>
        <v>SR-14994</v>
      </c>
      <c r="H10617" s="2" t="s">
        <v>42996</v>
      </c>
      <c r="I10617" s="2" t="s">
        <v>42997</v>
      </c>
      <c r="K10617" s="2" t="s">
        <v>2449</v>
      </c>
      <c r="L10617" s="2" t="s">
        <v>179</v>
      </c>
      <c r="M10617" s="2">
        <v>17601.0</v>
      </c>
      <c r="N10617" s="2" t="s">
        <v>21</v>
      </c>
    </row>
    <row r="10618" ht="15.75" customHeight="1">
      <c r="A10618" s="2">
        <v>2018.0</v>
      </c>
      <c r="B10618" s="2" t="s">
        <v>42998</v>
      </c>
      <c r="C10618" s="2" t="s">
        <v>42999</v>
      </c>
      <c r="D10618" s="2" t="str">
        <f>"626-627-2771"</f>
        <v>626-627-2771</v>
      </c>
      <c r="E10618" s="2" t="s">
        <v>81</v>
      </c>
      <c r="F10618" s="2" t="s">
        <v>43000</v>
      </c>
      <c r="G10618" s="2" t="str">
        <f>"SR-15000"</f>
        <v>SR-15000</v>
      </c>
      <c r="H10618" s="2" t="s">
        <v>43001</v>
      </c>
      <c r="I10618" s="2">
        <v>351.0</v>
      </c>
      <c r="J10618" s="2" t="s">
        <v>43002</v>
      </c>
      <c r="K10618" s="2" t="s">
        <v>43003</v>
      </c>
      <c r="L10618" s="2" t="s">
        <v>222</v>
      </c>
      <c r="M10618" s="2">
        <v>91006.0</v>
      </c>
      <c r="N10618" s="2" t="s">
        <v>21</v>
      </c>
    </row>
    <row r="10619" ht="15.75" customHeight="1">
      <c r="A10619" s="2">
        <v>2018.0</v>
      </c>
      <c r="B10619" s="2" t="s">
        <v>43004</v>
      </c>
      <c r="C10619" s="2" t="s">
        <v>43004</v>
      </c>
      <c r="D10619" s="2" t="str">
        <f>"6154721530"</f>
        <v>6154721530</v>
      </c>
      <c r="E10619" s="2" t="s">
        <v>1251</v>
      </c>
      <c r="F10619" s="2" t="s">
        <v>4322</v>
      </c>
      <c r="G10619" s="2" t="str">
        <f>"SR-15002"</f>
        <v>SR-15002</v>
      </c>
      <c r="H10619" s="2" t="s">
        <v>43005</v>
      </c>
      <c r="I10619" s="2" t="s">
        <v>43006</v>
      </c>
      <c r="K10619" s="2" t="s">
        <v>278</v>
      </c>
      <c r="L10619" s="2" t="s">
        <v>279</v>
      </c>
      <c r="M10619" s="2">
        <v>37064.0</v>
      </c>
      <c r="N10619" s="2" t="s">
        <v>21</v>
      </c>
    </row>
    <row r="10620" ht="15.75" customHeight="1">
      <c r="A10620" s="2">
        <v>2018.0</v>
      </c>
      <c r="B10620" s="2" t="s">
        <v>43007</v>
      </c>
      <c r="C10620" s="2" t="s">
        <v>43008</v>
      </c>
      <c r="D10620" s="2" t="str">
        <f>"7313941179"</f>
        <v>7313941179</v>
      </c>
      <c r="E10620" s="2" t="s">
        <v>43009</v>
      </c>
      <c r="F10620" s="2" t="s">
        <v>43010</v>
      </c>
      <c r="G10620" s="2" t="str">
        <f>"SR-15006"</f>
        <v>SR-15006</v>
      </c>
      <c r="H10620" s="2" t="s">
        <v>43011</v>
      </c>
      <c r="I10620" s="2" t="s">
        <v>43012</v>
      </c>
      <c r="K10620" s="2" t="s">
        <v>1257</v>
      </c>
      <c r="L10620" s="2" t="s">
        <v>279</v>
      </c>
      <c r="M10620" s="2">
        <v>38305.0</v>
      </c>
      <c r="N10620" s="2" t="s">
        <v>21</v>
      </c>
    </row>
    <row r="10621" ht="15.75" customHeight="1">
      <c r="A10621" s="2">
        <v>2018.0</v>
      </c>
      <c r="B10621" s="2" t="s">
        <v>43013</v>
      </c>
      <c r="C10621" s="2" t="s">
        <v>43014</v>
      </c>
      <c r="D10621" s="2" t="str">
        <f>"7314312451"</f>
        <v>7314312451</v>
      </c>
      <c r="E10621" s="2" t="s">
        <v>4968</v>
      </c>
      <c r="F10621" s="2" t="s">
        <v>17150</v>
      </c>
      <c r="G10621" s="2" t="str">
        <f>"SR-15008"</f>
        <v>SR-15008</v>
      </c>
      <c r="H10621" s="2" t="s">
        <v>43015</v>
      </c>
      <c r="I10621" s="2" t="s">
        <v>43016</v>
      </c>
      <c r="K10621" s="2" t="s">
        <v>1257</v>
      </c>
      <c r="L10621" s="2" t="s">
        <v>279</v>
      </c>
      <c r="M10621" s="2">
        <v>38301.0</v>
      </c>
      <c r="N10621" s="2" t="s">
        <v>21</v>
      </c>
    </row>
    <row r="10622" ht="15.75" customHeight="1">
      <c r="A10622" s="2">
        <v>2018.0</v>
      </c>
      <c r="B10622" s="2" t="s">
        <v>43017</v>
      </c>
      <c r="C10622" s="2" t="s">
        <v>43018</v>
      </c>
      <c r="D10622" s="2" t="str">
        <f>"9717274779"</f>
        <v>9717274779</v>
      </c>
      <c r="E10622" s="2" t="s">
        <v>678</v>
      </c>
      <c r="F10622" s="2" t="s">
        <v>43019</v>
      </c>
      <c r="G10622" s="2" t="str">
        <f>"SR-15005"</f>
        <v>SR-15005</v>
      </c>
      <c r="H10622" s="2" t="s">
        <v>43020</v>
      </c>
      <c r="I10622" s="2" t="s">
        <v>43021</v>
      </c>
      <c r="K10622" s="2" t="s">
        <v>788</v>
      </c>
      <c r="L10622" s="2" t="s">
        <v>2389</v>
      </c>
      <c r="M10622" s="2">
        <v>97124.0</v>
      </c>
      <c r="N10622" s="2" t="s">
        <v>21</v>
      </c>
    </row>
    <row r="10623" ht="15.75" customHeight="1">
      <c r="A10623" s="2">
        <v>2018.0</v>
      </c>
      <c r="B10623" s="2" t="s">
        <v>43017</v>
      </c>
      <c r="C10623" s="2" t="s">
        <v>43022</v>
      </c>
      <c r="D10623" s="2" t="str">
        <f>"503-686-1853"</f>
        <v>503-686-1853</v>
      </c>
      <c r="E10623" s="2" t="s">
        <v>4300</v>
      </c>
      <c r="F10623" s="2" t="s">
        <v>43019</v>
      </c>
      <c r="G10623" s="2" t="str">
        <f>"SR-15004"</f>
        <v>SR-15004</v>
      </c>
      <c r="H10623" s="2" t="s">
        <v>43023</v>
      </c>
      <c r="I10623" s="2" t="s">
        <v>43021</v>
      </c>
      <c r="K10623" s="2" t="s">
        <v>788</v>
      </c>
      <c r="L10623" s="2" t="s">
        <v>2389</v>
      </c>
      <c r="M10623" s="2">
        <v>97124.0</v>
      </c>
      <c r="N10623" s="2" t="s">
        <v>21</v>
      </c>
    </row>
    <row r="10624" ht="15.75" customHeight="1">
      <c r="A10624" s="2">
        <v>2018.0</v>
      </c>
      <c r="B10624" s="2" t="s">
        <v>43017</v>
      </c>
      <c r="C10624" s="2" t="s">
        <v>43024</v>
      </c>
      <c r="D10624" s="2" t="str">
        <f>"9717240364"</f>
        <v>9717240364</v>
      </c>
      <c r="E10624" s="2" t="s">
        <v>908</v>
      </c>
      <c r="F10624" s="2" t="s">
        <v>43019</v>
      </c>
      <c r="G10624" s="2" t="str">
        <f>"SR-14980"</f>
        <v>SR-14980</v>
      </c>
      <c r="H10624" s="2" t="s">
        <v>43025</v>
      </c>
      <c r="I10624" s="2" t="s">
        <v>43021</v>
      </c>
      <c r="K10624" s="2" t="s">
        <v>788</v>
      </c>
      <c r="L10624" s="2" t="s">
        <v>2389</v>
      </c>
      <c r="M10624" s="2">
        <v>97124.0</v>
      </c>
      <c r="N10624" s="2" t="s">
        <v>21</v>
      </c>
    </row>
    <row r="10625" ht="15.75" customHeight="1">
      <c r="A10625" s="2">
        <v>2018.0</v>
      </c>
      <c r="B10625" s="2" t="s">
        <v>43026</v>
      </c>
      <c r="C10625" s="2" t="s">
        <v>43026</v>
      </c>
      <c r="D10625" s="2" t="str">
        <f>"7316084583"</f>
        <v>7316084583</v>
      </c>
      <c r="E10625" s="2" t="s">
        <v>225</v>
      </c>
      <c r="F10625" s="2" t="s">
        <v>486</v>
      </c>
      <c r="G10625" s="2" t="str">
        <f>"SR-14986"</f>
        <v>SR-14986</v>
      </c>
      <c r="H10625" s="2" t="s">
        <v>43027</v>
      </c>
      <c r="I10625" s="2" t="s">
        <v>43028</v>
      </c>
      <c r="K10625" s="2" t="s">
        <v>309</v>
      </c>
      <c r="L10625" s="2" t="s">
        <v>279</v>
      </c>
      <c r="M10625" s="2">
        <v>38340.0</v>
      </c>
      <c r="N10625" s="2" t="s">
        <v>21</v>
      </c>
    </row>
    <row r="10626" ht="15.75" customHeight="1">
      <c r="A10626" s="2">
        <v>2018.0</v>
      </c>
      <c r="B10626" s="2" t="s">
        <v>43029</v>
      </c>
      <c r="C10626" s="2" t="s">
        <v>43030</v>
      </c>
      <c r="D10626" s="2" t="str">
        <f>"417-437-8400"</f>
        <v>417-437-8400</v>
      </c>
      <c r="E10626" s="2" t="s">
        <v>1141</v>
      </c>
      <c r="F10626" s="2" t="s">
        <v>645</v>
      </c>
      <c r="G10626" s="2" t="str">
        <f>"SR-14530"</f>
        <v>SR-14530</v>
      </c>
      <c r="H10626" s="2" t="s">
        <v>36078</v>
      </c>
      <c r="I10626" s="2" t="s">
        <v>43031</v>
      </c>
      <c r="K10626" s="2" t="s">
        <v>36080</v>
      </c>
      <c r="L10626" s="2" t="s">
        <v>840</v>
      </c>
      <c r="M10626" s="2">
        <v>74363.0</v>
      </c>
      <c r="N10626" s="2" t="s">
        <v>21</v>
      </c>
    </row>
    <row r="10627" ht="15.75" customHeight="1">
      <c r="A10627" s="2">
        <v>2018.0</v>
      </c>
      <c r="B10627" s="2" t="s">
        <v>43032</v>
      </c>
      <c r="C10627" s="2" t="s">
        <v>43033</v>
      </c>
      <c r="D10627" s="2" t="str">
        <f>"5408692696"</f>
        <v>5408692696</v>
      </c>
      <c r="E10627" s="2" t="s">
        <v>1529</v>
      </c>
      <c r="F10627" s="2" t="s">
        <v>4322</v>
      </c>
      <c r="G10627" s="2" t="str">
        <f>"SR-14925"</f>
        <v>SR-14925</v>
      </c>
      <c r="H10627" s="2" t="s">
        <v>43034</v>
      </c>
      <c r="I10627" s="2" t="s">
        <v>43035</v>
      </c>
      <c r="K10627" s="2" t="s">
        <v>18209</v>
      </c>
      <c r="L10627" s="2" t="s">
        <v>165</v>
      </c>
      <c r="M10627" s="2">
        <v>22655.0</v>
      </c>
      <c r="N10627" s="2" t="s">
        <v>21</v>
      </c>
    </row>
    <row r="10628" ht="15.75" customHeight="1">
      <c r="A10628" s="2">
        <v>2018.0</v>
      </c>
      <c r="B10628" s="2" t="s">
        <v>43032</v>
      </c>
      <c r="D10628" s="2" t="str">
        <f t="shared" ref="D10628:D10629" si="174">""</f>
        <v/>
      </c>
      <c r="E10628" s="2" t="s">
        <v>32391</v>
      </c>
      <c r="F10628" s="2" t="s">
        <v>9970</v>
      </c>
      <c r="G10628" s="2" t="str">
        <f>"SR-14857"</f>
        <v>SR-14857</v>
      </c>
      <c r="H10628" s="2" t="s">
        <v>43036</v>
      </c>
      <c r="N10628" s="2" t="s">
        <v>21</v>
      </c>
    </row>
    <row r="10629" ht="15.75" customHeight="1">
      <c r="A10629" s="2">
        <v>2018.0</v>
      </c>
      <c r="B10629" s="2" t="s">
        <v>43037</v>
      </c>
      <c r="D10629" s="2" t="str">
        <f t="shared" si="174"/>
        <v/>
      </c>
      <c r="E10629" s="2" t="s">
        <v>43038</v>
      </c>
      <c r="F10629" s="2" t="s">
        <v>43039</v>
      </c>
      <c r="G10629" s="2" t="str">
        <f>"SR-14996"</f>
        <v>SR-14996</v>
      </c>
      <c r="H10629" s="2" t="s">
        <v>43040</v>
      </c>
      <c r="N10629" s="2" t="s">
        <v>21</v>
      </c>
    </row>
    <row r="10630" ht="15.75" customHeight="1">
      <c r="A10630" s="2">
        <v>2018.0</v>
      </c>
      <c r="B10630" s="2" t="s">
        <v>43041</v>
      </c>
      <c r="C10630" s="2" t="s">
        <v>43042</v>
      </c>
      <c r="D10630" s="2" t="str">
        <f>"2082405075"</f>
        <v>2082405075</v>
      </c>
      <c r="E10630" s="2" t="s">
        <v>7996</v>
      </c>
      <c r="F10630" s="2" t="s">
        <v>2063</v>
      </c>
      <c r="G10630" s="2" t="str">
        <f>"SR-14962"</f>
        <v>SR-14962</v>
      </c>
      <c r="H10630" s="2" t="s">
        <v>43043</v>
      </c>
      <c r="I10630" s="2" t="s">
        <v>43044</v>
      </c>
      <c r="K10630" s="2" t="s">
        <v>40048</v>
      </c>
      <c r="L10630" s="2" t="s">
        <v>2613</v>
      </c>
      <c r="M10630" s="2">
        <v>83202.0</v>
      </c>
      <c r="N10630" s="2" t="s">
        <v>21</v>
      </c>
    </row>
    <row r="10631" ht="15.75" customHeight="1">
      <c r="A10631" s="2">
        <v>2018.0</v>
      </c>
      <c r="B10631" s="2" t="s">
        <v>43045</v>
      </c>
      <c r="C10631" s="2" t="s">
        <v>43045</v>
      </c>
      <c r="D10631" s="2" t="str">
        <f>"772-323-4979"</f>
        <v>772-323-4979</v>
      </c>
      <c r="E10631" s="2" t="s">
        <v>11423</v>
      </c>
      <c r="F10631" s="2" t="s">
        <v>43046</v>
      </c>
      <c r="G10631" s="2" t="str">
        <f>"SR-15011"</f>
        <v>SR-15011</v>
      </c>
      <c r="H10631" s="2" t="s">
        <v>43047</v>
      </c>
      <c r="I10631" s="2" t="s">
        <v>43048</v>
      </c>
      <c r="K10631" s="2" t="s">
        <v>43049</v>
      </c>
      <c r="L10631" s="2" t="s">
        <v>208</v>
      </c>
      <c r="M10631" s="2">
        <v>34983.0</v>
      </c>
      <c r="N10631" s="2" t="s">
        <v>21</v>
      </c>
    </row>
    <row r="10632" ht="15.75" customHeight="1">
      <c r="A10632" s="2">
        <v>2018.0</v>
      </c>
      <c r="B10632" s="2" t="s">
        <v>43050</v>
      </c>
      <c r="C10632" s="2" t="s">
        <v>43051</v>
      </c>
      <c r="D10632" s="2" t="str">
        <f>"2672356914"</f>
        <v>2672356914</v>
      </c>
      <c r="E10632" s="2" t="s">
        <v>250</v>
      </c>
      <c r="F10632" s="2" t="s">
        <v>43052</v>
      </c>
      <c r="G10632" s="2" t="str">
        <f>"SR-15014"</f>
        <v>SR-15014</v>
      </c>
      <c r="H10632" s="2" t="s">
        <v>43053</v>
      </c>
      <c r="I10632" s="2" t="s">
        <v>43054</v>
      </c>
      <c r="K10632" s="2" t="s">
        <v>15339</v>
      </c>
      <c r="L10632" s="2" t="s">
        <v>179</v>
      </c>
      <c r="M10632" s="2">
        <v>19010.0</v>
      </c>
      <c r="N10632" s="2" t="s">
        <v>21</v>
      </c>
    </row>
    <row r="10633" ht="15.75" customHeight="1">
      <c r="A10633" s="2">
        <v>2018.0</v>
      </c>
      <c r="B10633" s="2" t="s">
        <v>43055</v>
      </c>
      <c r="C10633" s="2" t="s">
        <v>43055</v>
      </c>
      <c r="D10633" s="2" t="str">
        <f>"(731) 499-0478"</f>
        <v>(731) 499-0478</v>
      </c>
      <c r="E10633" s="2" t="s">
        <v>580</v>
      </c>
      <c r="F10633" s="2" t="s">
        <v>7337</v>
      </c>
      <c r="G10633" s="2" t="str">
        <f>"SR-15022"</f>
        <v>SR-15022</v>
      </c>
      <c r="H10633" s="2" t="s">
        <v>43056</v>
      </c>
      <c r="I10633" s="2" t="s">
        <v>43057</v>
      </c>
      <c r="K10633" s="2" t="s">
        <v>1257</v>
      </c>
      <c r="L10633" s="2" t="s">
        <v>279</v>
      </c>
      <c r="M10633" s="2">
        <v>38305.0</v>
      </c>
      <c r="N10633" s="2" t="s">
        <v>21</v>
      </c>
    </row>
    <row r="10634" ht="15.75" customHeight="1">
      <c r="A10634" s="2">
        <v>2018.0</v>
      </c>
      <c r="B10634" s="2" t="s">
        <v>43058</v>
      </c>
      <c r="C10634" s="2" t="s">
        <v>43059</v>
      </c>
      <c r="D10634" s="2" t="str">
        <f>"209-743-1913"</f>
        <v>209-743-1913</v>
      </c>
      <c r="E10634" s="2" t="s">
        <v>31255</v>
      </c>
      <c r="F10634" s="2" t="s">
        <v>386</v>
      </c>
      <c r="G10634" s="2" t="str">
        <f>"SR-14408"</f>
        <v>SR-14408</v>
      </c>
      <c r="H10634" s="2" t="s">
        <v>43060</v>
      </c>
      <c r="I10634" s="2" t="s">
        <v>43061</v>
      </c>
      <c r="K10634" s="2" t="s">
        <v>43062</v>
      </c>
      <c r="L10634" s="2" t="s">
        <v>222</v>
      </c>
      <c r="M10634" s="2">
        <v>95383.0</v>
      </c>
      <c r="N10634" s="2" t="s">
        <v>21</v>
      </c>
    </row>
    <row r="10635" ht="15.75" customHeight="1">
      <c r="A10635" s="2">
        <v>2018.0</v>
      </c>
      <c r="B10635" s="2" t="s">
        <v>43063</v>
      </c>
      <c r="C10635" s="2" t="s">
        <v>43063</v>
      </c>
      <c r="D10635" s="2" t="str">
        <f>"7727776416"</f>
        <v>7727776416</v>
      </c>
      <c r="E10635" s="2" t="s">
        <v>43064</v>
      </c>
      <c r="F10635" s="2" t="s">
        <v>43065</v>
      </c>
      <c r="G10635" s="2" t="str">
        <f>"SR-15012"</f>
        <v>SR-15012</v>
      </c>
      <c r="H10635" s="2" t="s">
        <v>43066</v>
      </c>
      <c r="I10635" s="2" t="s">
        <v>43067</v>
      </c>
      <c r="K10635" s="2" t="s">
        <v>43068</v>
      </c>
      <c r="L10635" s="2" t="s">
        <v>208</v>
      </c>
      <c r="M10635" s="2">
        <v>34982.0</v>
      </c>
      <c r="N10635" s="2" t="s">
        <v>21</v>
      </c>
    </row>
    <row r="10636" ht="15.75" customHeight="1">
      <c r="A10636" s="2">
        <v>2018.0</v>
      </c>
      <c r="B10636" s="2" t="s">
        <v>43069</v>
      </c>
      <c r="C10636" s="2" t="s">
        <v>43070</v>
      </c>
      <c r="D10636" s="2" t="str">
        <f>"803-547-2934"</f>
        <v>803-547-2934</v>
      </c>
      <c r="E10636" s="2" t="s">
        <v>3878</v>
      </c>
      <c r="F10636" s="2" t="s">
        <v>43071</v>
      </c>
      <c r="G10636" s="2" t="str">
        <f>"SR-14680"</f>
        <v>SR-14680</v>
      </c>
      <c r="H10636" s="2" t="s">
        <v>43072</v>
      </c>
      <c r="I10636" s="2" t="s">
        <v>43073</v>
      </c>
      <c r="K10636" s="2" t="s">
        <v>40422</v>
      </c>
      <c r="L10636" s="2" t="s">
        <v>55</v>
      </c>
      <c r="M10636" s="2">
        <v>29715.0</v>
      </c>
      <c r="N10636" s="2" t="s">
        <v>21</v>
      </c>
    </row>
    <row r="10637" ht="15.75" customHeight="1">
      <c r="A10637" s="2">
        <v>2018.0</v>
      </c>
      <c r="B10637" s="2" t="s">
        <v>43074</v>
      </c>
      <c r="C10637" s="2" t="s">
        <v>43075</v>
      </c>
      <c r="D10637" s="2" t="str">
        <f>"620-789-2246"</f>
        <v>620-789-2246</v>
      </c>
      <c r="E10637" s="2" t="s">
        <v>453</v>
      </c>
      <c r="F10637" s="2" t="s">
        <v>43076</v>
      </c>
      <c r="G10637" s="2" t="str">
        <f>"SR-15035"</f>
        <v>SR-15035</v>
      </c>
      <c r="H10637" s="2" t="s">
        <v>43077</v>
      </c>
      <c r="I10637" s="2" t="s">
        <v>43078</v>
      </c>
      <c r="K10637" s="2" t="s">
        <v>43079</v>
      </c>
      <c r="L10637" s="2" t="s">
        <v>272</v>
      </c>
      <c r="M10637" s="2">
        <v>67801.0</v>
      </c>
      <c r="N10637" s="2" t="s">
        <v>21</v>
      </c>
    </row>
    <row r="10638" ht="15.75" customHeight="1">
      <c r="A10638" s="2">
        <v>2018.0</v>
      </c>
      <c r="B10638" s="2" t="s">
        <v>43080</v>
      </c>
      <c r="C10638" s="2" t="s">
        <v>43081</v>
      </c>
      <c r="D10638" s="2" t="str">
        <f>"7036383377"</f>
        <v>7036383377</v>
      </c>
      <c r="E10638" s="2" t="s">
        <v>301</v>
      </c>
      <c r="F10638" s="2" t="s">
        <v>43082</v>
      </c>
      <c r="G10638" s="2" t="str">
        <f>"SR-14945"</f>
        <v>SR-14945</v>
      </c>
      <c r="H10638" s="2" t="s">
        <v>43083</v>
      </c>
      <c r="I10638" s="2" t="s">
        <v>43084</v>
      </c>
      <c r="K10638" s="2" t="s">
        <v>9334</v>
      </c>
      <c r="L10638" s="2" t="s">
        <v>165</v>
      </c>
      <c r="M10638" s="2">
        <v>22033.0</v>
      </c>
      <c r="N10638" s="2" t="s">
        <v>21</v>
      </c>
    </row>
    <row r="10639" ht="15.75" customHeight="1">
      <c r="A10639" s="2">
        <v>2018.0</v>
      </c>
      <c r="B10639" s="2" t="s">
        <v>43085</v>
      </c>
      <c r="C10639" s="2" t="s">
        <v>43086</v>
      </c>
      <c r="D10639" s="2" t="str">
        <f>"+886 984281261"</f>
        <v>+886 984281261</v>
      </c>
      <c r="E10639" s="2" t="s">
        <v>1455</v>
      </c>
      <c r="F10639" s="2" t="s">
        <v>43087</v>
      </c>
      <c r="G10639" s="2" t="str">
        <f>"SR-14527"</f>
        <v>SR-14527</v>
      </c>
      <c r="H10639" s="2" t="s">
        <v>43088</v>
      </c>
      <c r="I10639" s="2" t="s">
        <v>43089</v>
      </c>
      <c r="K10639" s="2" t="s">
        <v>43090</v>
      </c>
      <c r="N10639" s="2" t="s">
        <v>7350</v>
      </c>
    </row>
    <row r="10640" ht="15.75" customHeight="1">
      <c r="A10640" s="2">
        <v>2018.0</v>
      </c>
      <c r="B10640" s="2" t="s">
        <v>43091</v>
      </c>
      <c r="C10640" s="2" t="s">
        <v>43091</v>
      </c>
      <c r="D10640" s="2" t="str">
        <f>"9702380145"</f>
        <v>9702380145</v>
      </c>
      <c r="E10640" s="2" t="s">
        <v>288</v>
      </c>
      <c r="F10640" s="2" t="s">
        <v>9047</v>
      </c>
      <c r="G10640" s="2" t="str">
        <f>"SR-15037"</f>
        <v>SR-15037</v>
      </c>
      <c r="H10640" s="2" t="s">
        <v>43092</v>
      </c>
      <c r="I10640" s="2" t="s">
        <v>43093</v>
      </c>
      <c r="K10640" s="2" t="s">
        <v>809</v>
      </c>
      <c r="L10640" s="2" t="s">
        <v>157</v>
      </c>
      <c r="M10640" s="2">
        <v>80921.0</v>
      </c>
      <c r="N10640" s="2" t="s">
        <v>21</v>
      </c>
    </row>
    <row r="10641" ht="15.75" customHeight="1">
      <c r="A10641" s="2">
        <v>2018.0</v>
      </c>
      <c r="B10641" s="2" t="s">
        <v>43094</v>
      </c>
      <c r="C10641" s="2" t="s">
        <v>43095</v>
      </c>
      <c r="D10641" s="2" t="str">
        <f>"616-546-1243"</f>
        <v>616-546-1243</v>
      </c>
      <c r="E10641" s="2" t="s">
        <v>4300</v>
      </c>
      <c r="F10641" s="2" t="s">
        <v>43096</v>
      </c>
      <c r="G10641" s="2" t="str">
        <f>"SR-14926"</f>
        <v>SR-14926</v>
      </c>
      <c r="H10641" s="2" t="s">
        <v>43097</v>
      </c>
      <c r="I10641" s="2" t="s">
        <v>43098</v>
      </c>
      <c r="K10641" s="2" t="s">
        <v>43099</v>
      </c>
      <c r="L10641" s="2" t="s">
        <v>29</v>
      </c>
      <c r="M10641" s="2">
        <v>49441.0</v>
      </c>
      <c r="N10641" s="2" t="s">
        <v>21</v>
      </c>
    </row>
    <row r="10642" ht="15.75" customHeight="1">
      <c r="A10642" s="2">
        <v>2018.0</v>
      </c>
      <c r="B10642" s="2" t="s">
        <v>43100</v>
      </c>
      <c r="C10642" s="2" t="s">
        <v>43100</v>
      </c>
      <c r="D10642" s="2" t="str">
        <f>"3604605197"</f>
        <v>3604605197</v>
      </c>
      <c r="E10642" s="2" t="s">
        <v>1288</v>
      </c>
      <c r="F10642" s="2" t="s">
        <v>3733</v>
      </c>
      <c r="G10642" s="2" t="str">
        <f>"SR-14872"</f>
        <v>SR-14872</v>
      </c>
      <c r="H10642" s="2" t="s">
        <v>3734</v>
      </c>
      <c r="I10642" s="2" t="s">
        <v>43101</v>
      </c>
      <c r="K10642" s="2" t="s">
        <v>43102</v>
      </c>
      <c r="L10642" s="2" t="s">
        <v>62</v>
      </c>
      <c r="M10642" s="2">
        <v>55126.0</v>
      </c>
      <c r="N10642" s="2" t="s">
        <v>21</v>
      </c>
    </row>
    <row r="10643" ht="15.75" customHeight="1">
      <c r="A10643" s="2">
        <v>2018.0</v>
      </c>
      <c r="B10643" s="2" t="s">
        <v>43103</v>
      </c>
      <c r="C10643" s="2" t="s">
        <v>43104</v>
      </c>
      <c r="D10643" s="2" t="str">
        <f>"740-961-0919"</f>
        <v>740-961-0919</v>
      </c>
      <c r="E10643" s="2" t="s">
        <v>5127</v>
      </c>
      <c r="F10643" s="2" t="s">
        <v>43105</v>
      </c>
      <c r="G10643" s="2" t="str">
        <f>"SR-15042"</f>
        <v>SR-15042</v>
      </c>
      <c r="H10643" s="2" t="s">
        <v>43106</v>
      </c>
      <c r="I10643" s="2" t="s">
        <v>43107</v>
      </c>
      <c r="K10643" s="2" t="s">
        <v>43108</v>
      </c>
      <c r="L10643" s="2" t="s">
        <v>29</v>
      </c>
      <c r="M10643" s="2">
        <v>49431.0</v>
      </c>
      <c r="N10643" s="2" t="s">
        <v>21</v>
      </c>
    </row>
    <row r="10644" ht="15.75" customHeight="1">
      <c r="A10644" s="2">
        <v>2018.0</v>
      </c>
      <c r="B10644" s="2" t="s">
        <v>43109</v>
      </c>
      <c r="C10644" s="2" t="s">
        <v>43110</v>
      </c>
      <c r="D10644" s="2" t="str">
        <f>"515-249-0653"</f>
        <v>515-249-0653</v>
      </c>
      <c r="E10644" s="2" t="s">
        <v>3878</v>
      </c>
      <c r="F10644" s="2" t="s">
        <v>7537</v>
      </c>
      <c r="G10644" s="2" t="str">
        <f>"SR-14582"</f>
        <v>SR-14582</v>
      </c>
      <c r="H10644" s="2" t="s">
        <v>43111</v>
      </c>
      <c r="I10644" s="2" t="s">
        <v>43112</v>
      </c>
      <c r="K10644" s="2" t="s">
        <v>559</v>
      </c>
      <c r="L10644" s="2" t="s">
        <v>560</v>
      </c>
      <c r="M10644" s="2">
        <v>50021.0</v>
      </c>
      <c r="N10644" s="2" t="s">
        <v>21</v>
      </c>
    </row>
    <row r="10645" ht="15.75" customHeight="1">
      <c r="A10645" s="2">
        <v>2018.0</v>
      </c>
      <c r="B10645" s="2" t="s">
        <v>43113</v>
      </c>
      <c r="C10645" s="2" t="s">
        <v>43113</v>
      </c>
      <c r="D10645" s="2" t="str">
        <f>"5037066069"</f>
        <v>5037066069</v>
      </c>
      <c r="E10645" s="2" t="s">
        <v>43114</v>
      </c>
      <c r="F10645" s="2" t="s">
        <v>19941</v>
      </c>
      <c r="G10645" s="2" t="str">
        <f>"SR-14895"</f>
        <v>SR-14895</v>
      </c>
      <c r="H10645" s="2" t="s">
        <v>43115</v>
      </c>
      <c r="I10645" s="2" t="s">
        <v>43116</v>
      </c>
      <c r="K10645" s="2" t="s">
        <v>22576</v>
      </c>
      <c r="L10645" s="2" t="s">
        <v>2389</v>
      </c>
      <c r="M10645" s="2">
        <v>97070.0</v>
      </c>
      <c r="N10645" s="2" t="s">
        <v>21</v>
      </c>
    </row>
    <row r="10646" ht="15.75" customHeight="1">
      <c r="A10646" s="2">
        <v>2018.0</v>
      </c>
      <c r="B10646" s="2" t="s">
        <v>16600</v>
      </c>
      <c r="C10646" s="2" t="s">
        <v>43117</v>
      </c>
      <c r="D10646" s="2" t="str">
        <f>"952-997-6254"</f>
        <v>952-997-6254</v>
      </c>
      <c r="E10646" s="2" t="s">
        <v>2306</v>
      </c>
      <c r="F10646" s="2" t="s">
        <v>1473</v>
      </c>
      <c r="G10646" s="2" t="str">
        <f>"SR-14027"</f>
        <v>SR-14027</v>
      </c>
      <c r="H10646" s="2" t="s">
        <v>43118</v>
      </c>
      <c r="I10646" s="2" t="s">
        <v>16603</v>
      </c>
      <c r="K10646" s="2" t="s">
        <v>1019</v>
      </c>
      <c r="L10646" s="2" t="s">
        <v>62</v>
      </c>
      <c r="M10646" s="2">
        <v>55438.0</v>
      </c>
      <c r="N10646" s="2" t="s">
        <v>21</v>
      </c>
    </row>
    <row r="10647" ht="15.75" customHeight="1">
      <c r="A10647" s="2">
        <v>2018.0</v>
      </c>
      <c r="B10647" s="2" t="s">
        <v>39487</v>
      </c>
      <c r="C10647" s="2" t="s">
        <v>39487</v>
      </c>
      <c r="D10647" s="2" t="str">
        <f>"406-836-1314"</f>
        <v>406-836-1314</v>
      </c>
      <c r="E10647" s="2" t="s">
        <v>3400</v>
      </c>
      <c r="F10647" s="2" t="s">
        <v>12211</v>
      </c>
      <c r="G10647" s="2" t="str">
        <f>"SR-15056"</f>
        <v>SR-15056</v>
      </c>
      <c r="H10647" s="2" t="s">
        <v>43119</v>
      </c>
      <c r="I10647" s="2" t="s">
        <v>33974</v>
      </c>
      <c r="K10647" s="2" t="s">
        <v>17600</v>
      </c>
      <c r="L10647" s="2" t="s">
        <v>2696</v>
      </c>
      <c r="M10647" s="2">
        <v>59405.0</v>
      </c>
      <c r="N10647" s="2" t="s">
        <v>21</v>
      </c>
    </row>
    <row r="10648" ht="15.75" customHeight="1">
      <c r="A10648" s="2">
        <v>2018.0</v>
      </c>
      <c r="B10648" s="2" t="s">
        <v>43120</v>
      </c>
      <c r="C10648" s="2" t="s">
        <v>43121</v>
      </c>
      <c r="D10648" s="2" t="str">
        <f>"14039915180"</f>
        <v>14039915180</v>
      </c>
      <c r="E10648" s="2" t="s">
        <v>43122</v>
      </c>
      <c r="F10648" s="2" t="s">
        <v>43123</v>
      </c>
      <c r="G10648" s="2" t="str">
        <f>"SR-14106"</f>
        <v>SR-14106</v>
      </c>
      <c r="H10648" s="2" t="s">
        <v>43124</v>
      </c>
      <c r="I10648" s="2" t="s">
        <v>43125</v>
      </c>
      <c r="K10648" s="2" t="s">
        <v>6725</v>
      </c>
      <c r="L10648" s="2" t="s">
        <v>6726</v>
      </c>
      <c r="M10648" s="2" t="s">
        <v>43126</v>
      </c>
      <c r="N10648" s="2" t="s">
        <v>1602</v>
      </c>
    </row>
    <row r="10649" ht="15.75" customHeight="1">
      <c r="A10649" s="2">
        <v>2018.0</v>
      </c>
      <c r="B10649" s="2" t="s">
        <v>43127</v>
      </c>
      <c r="C10649" s="2" t="s">
        <v>43127</v>
      </c>
      <c r="D10649" s="2" t="str">
        <f>"5039919089"</f>
        <v>5039919089</v>
      </c>
      <c r="E10649" s="2" t="s">
        <v>167</v>
      </c>
      <c r="F10649" s="2" t="s">
        <v>43128</v>
      </c>
      <c r="G10649" s="2" t="str">
        <f>"SR-14976"</f>
        <v>SR-14976</v>
      </c>
      <c r="H10649" s="2" t="s">
        <v>43129</v>
      </c>
      <c r="I10649" s="2" t="s">
        <v>43130</v>
      </c>
      <c r="K10649" s="2" t="s">
        <v>10119</v>
      </c>
      <c r="L10649" s="2" t="s">
        <v>344</v>
      </c>
      <c r="M10649" s="2">
        <v>45231.0</v>
      </c>
      <c r="N10649" s="2" t="s">
        <v>21</v>
      </c>
    </row>
    <row r="10650" ht="15.75" customHeight="1">
      <c r="A10650" s="2">
        <v>2018.0</v>
      </c>
      <c r="B10650" s="2" t="s">
        <v>43131</v>
      </c>
      <c r="C10650" s="2" t="s">
        <v>43132</v>
      </c>
      <c r="D10650" s="2" t="str">
        <f>"‚Ä≠8327435888‚Ä¨"</f>
        <v>‚Ä≠8327435888‚Ä¨</v>
      </c>
      <c r="E10650" s="2" t="s">
        <v>43133</v>
      </c>
      <c r="F10650" s="2" t="s">
        <v>43134</v>
      </c>
      <c r="G10650" s="2" t="str">
        <f>"SR-15044"</f>
        <v>SR-15044</v>
      </c>
      <c r="H10650" s="2" t="s">
        <v>43135</v>
      </c>
      <c r="I10650" s="2" t="s">
        <v>43136</v>
      </c>
      <c r="K10650" s="2" t="s">
        <v>43137</v>
      </c>
      <c r="L10650" s="2" t="s">
        <v>172</v>
      </c>
      <c r="M10650" s="2">
        <v>77362.0</v>
      </c>
      <c r="N10650" s="2" t="s">
        <v>21</v>
      </c>
    </row>
    <row r="10651" ht="15.75" customHeight="1">
      <c r="A10651" s="2">
        <v>2018.0</v>
      </c>
      <c r="B10651" s="2" t="s">
        <v>43138</v>
      </c>
      <c r="C10651" s="2" t="s">
        <v>43139</v>
      </c>
      <c r="D10651" s="2" t="str">
        <f>"4095041186"</f>
        <v>4095041186</v>
      </c>
      <c r="E10651" s="2" t="s">
        <v>25668</v>
      </c>
      <c r="F10651" s="2" t="s">
        <v>13604</v>
      </c>
      <c r="G10651" s="2" t="str">
        <f>"SR-15041"</f>
        <v>SR-15041</v>
      </c>
      <c r="H10651" s="2" t="s">
        <v>43140</v>
      </c>
      <c r="I10651" s="2" t="s">
        <v>43141</v>
      </c>
      <c r="K10651" s="2" t="s">
        <v>43142</v>
      </c>
      <c r="L10651" s="2" t="s">
        <v>172</v>
      </c>
      <c r="M10651" s="2">
        <v>77706.0</v>
      </c>
      <c r="N10651" s="2" t="s">
        <v>21</v>
      </c>
    </row>
    <row r="10652" ht="15.75" customHeight="1">
      <c r="A10652" s="2">
        <v>2018.0</v>
      </c>
      <c r="B10652" s="2" t="s">
        <v>43143</v>
      </c>
      <c r="C10652" s="2" t="s">
        <v>43143</v>
      </c>
      <c r="D10652" s="2" t="str">
        <f>"7042924867"</f>
        <v>7042924867</v>
      </c>
      <c r="E10652" s="2" t="s">
        <v>43144</v>
      </c>
      <c r="F10652" s="2" t="s">
        <v>43145</v>
      </c>
      <c r="G10652" s="2" t="str">
        <f>"SR-10096"</f>
        <v>SR-10096</v>
      </c>
      <c r="H10652" s="2" t="s">
        <v>43146</v>
      </c>
      <c r="I10652" s="2" t="s">
        <v>43147</v>
      </c>
      <c r="K10652" s="2" t="s">
        <v>4304</v>
      </c>
      <c r="L10652" s="2" t="s">
        <v>20</v>
      </c>
      <c r="M10652" s="2">
        <v>28173.0</v>
      </c>
      <c r="N10652" s="2" t="s">
        <v>21</v>
      </c>
    </row>
    <row r="10653" ht="15.75" customHeight="1">
      <c r="A10653" s="2">
        <v>2018.0</v>
      </c>
      <c r="B10653" s="2" t="s">
        <v>43148</v>
      </c>
      <c r="C10653" s="2" t="s">
        <v>43149</v>
      </c>
      <c r="D10653" s="2" t="str">
        <f>"8087994505"</f>
        <v>8087994505</v>
      </c>
      <c r="E10653" s="2" t="s">
        <v>43150</v>
      </c>
      <c r="F10653" s="2" t="s">
        <v>43151</v>
      </c>
      <c r="G10653" s="2" t="str">
        <f>"SR-15067"</f>
        <v>SR-15067</v>
      </c>
      <c r="H10653" s="2" t="s">
        <v>43152</v>
      </c>
      <c r="I10653" s="2" t="s">
        <v>43153</v>
      </c>
      <c r="K10653" s="2" t="s">
        <v>43154</v>
      </c>
      <c r="L10653" s="2" t="s">
        <v>770</v>
      </c>
      <c r="M10653" s="2">
        <v>96821.0</v>
      </c>
      <c r="N10653" s="2" t="s">
        <v>21</v>
      </c>
    </row>
    <row r="10654" ht="15.75" customHeight="1">
      <c r="A10654" s="2">
        <v>2018.0</v>
      </c>
      <c r="B10654" s="2" t="s">
        <v>39818</v>
      </c>
      <c r="C10654" s="2" t="s">
        <v>43155</v>
      </c>
      <c r="D10654" s="2" t="str">
        <f>"3175863144"</f>
        <v>3175863144</v>
      </c>
      <c r="E10654" s="2" t="s">
        <v>2162</v>
      </c>
      <c r="F10654" s="2" t="s">
        <v>43156</v>
      </c>
      <c r="G10654" s="2" t="str">
        <f>"SR-15063"</f>
        <v>SR-15063</v>
      </c>
      <c r="H10654" s="2" t="s">
        <v>43157</v>
      </c>
      <c r="I10654" s="2" t="s">
        <v>43158</v>
      </c>
      <c r="K10654" s="2" t="s">
        <v>2660</v>
      </c>
      <c r="L10654" s="2" t="s">
        <v>149</v>
      </c>
      <c r="M10654" s="2">
        <v>46037.0</v>
      </c>
      <c r="N10654" s="2" t="s">
        <v>21</v>
      </c>
    </row>
    <row r="10655" ht="15.75" customHeight="1">
      <c r="A10655" s="2">
        <v>2018.0</v>
      </c>
      <c r="B10655" s="2" t="s">
        <v>43159</v>
      </c>
      <c r="C10655" s="2" t="s">
        <v>43160</v>
      </c>
      <c r="D10655" s="2" t="str">
        <f>"4059908851"</f>
        <v>4059908851</v>
      </c>
      <c r="E10655" s="2" t="s">
        <v>2412</v>
      </c>
      <c r="F10655" s="2" t="s">
        <v>2336</v>
      </c>
      <c r="G10655" s="2" t="str">
        <f>"SR-14502"</f>
        <v>SR-14502</v>
      </c>
      <c r="H10655" s="2" t="s">
        <v>43161</v>
      </c>
      <c r="I10655" s="2" t="s">
        <v>36497</v>
      </c>
      <c r="K10655" s="2" t="s">
        <v>6622</v>
      </c>
      <c r="L10655" s="2" t="s">
        <v>840</v>
      </c>
      <c r="M10655" s="2">
        <v>73151.0</v>
      </c>
      <c r="N10655" s="2" t="s">
        <v>21</v>
      </c>
    </row>
    <row r="10656" ht="15.75" customHeight="1">
      <c r="A10656" s="2">
        <v>2018.0</v>
      </c>
      <c r="B10656" s="2" t="s">
        <v>43162</v>
      </c>
      <c r="C10656" s="2" t="s">
        <v>43163</v>
      </c>
      <c r="D10656" s="2" t="str">
        <f>"541-405-6720"</f>
        <v>541-405-6720</v>
      </c>
      <c r="E10656" s="2" t="s">
        <v>1208</v>
      </c>
      <c r="F10656" s="2" t="s">
        <v>5914</v>
      </c>
      <c r="G10656" s="2" t="str">
        <f>"SR-14824"</f>
        <v>SR-14824</v>
      </c>
      <c r="H10656" s="2" t="s">
        <v>43164</v>
      </c>
      <c r="I10656" s="2" t="s">
        <v>43165</v>
      </c>
      <c r="K10656" s="2" t="s">
        <v>43166</v>
      </c>
      <c r="L10656" s="2" t="s">
        <v>2389</v>
      </c>
      <c r="M10656" s="2">
        <v>97377.0</v>
      </c>
      <c r="N10656" s="2" t="s">
        <v>21</v>
      </c>
    </row>
    <row r="10657" ht="15.75" customHeight="1">
      <c r="A10657" s="2">
        <v>2018.0</v>
      </c>
      <c r="B10657" s="2" t="s">
        <v>43167</v>
      </c>
      <c r="C10657" s="2" t="s">
        <v>43167</v>
      </c>
      <c r="D10657" s="2" t="str">
        <f>"5408301217"</f>
        <v>5408301217</v>
      </c>
      <c r="E10657" s="2" t="s">
        <v>50</v>
      </c>
      <c r="F10657" s="2" t="s">
        <v>1859</v>
      </c>
      <c r="G10657" s="2" t="str">
        <f>"SR-14565"</f>
        <v>SR-14565</v>
      </c>
      <c r="H10657" s="2" t="s">
        <v>43168</v>
      </c>
      <c r="I10657" s="2" t="s">
        <v>43169</v>
      </c>
      <c r="K10657" s="2" t="s">
        <v>20658</v>
      </c>
      <c r="L10657" s="2" t="s">
        <v>165</v>
      </c>
      <c r="M10657" s="2">
        <v>24486.0</v>
      </c>
      <c r="N10657" s="2" t="s">
        <v>21</v>
      </c>
    </row>
    <row r="10658" ht="15.75" customHeight="1">
      <c r="A10658" s="2">
        <v>2018.0</v>
      </c>
      <c r="B10658" s="2" t="s">
        <v>43170</v>
      </c>
      <c r="C10658" s="2" t="s">
        <v>43171</v>
      </c>
      <c r="D10658" s="2" t="str">
        <f>"248-619-5145"</f>
        <v>248-619-5145</v>
      </c>
      <c r="E10658" s="2" t="s">
        <v>465</v>
      </c>
      <c r="F10658" s="2" t="s">
        <v>43172</v>
      </c>
      <c r="G10658" s="2" t="str">
        <f>"SR-15045"</f>
        <v>SR-15045</v>
      </c>
      <c r="H10658" s="2" t="s">
        <v>43173</v>
      </c>
      <c r="I10658" s="2" t="s">
        <v>43174</v>
      </c>
      <c r="K10658" s="2" t="s">
        <v>8344</v>
      </c>
      <c r="L10658" s="2" t="s">
        <v>29</v>
      </c>
      <c r="M10658" s="2">
        <v>48386.0</v>
      </c>
      <c r="N10658" s="2" t="s">
        <v>21</v>
      </c>
    </row>
    <row r="10659" ht="15.75" customHeight="1">
      <c r="A10659" s="2">
        <v>2018.0</v>
      </c>
      <c r="B10659" s="2" t="s">
        <v>43175</v>
      </c>
      <c r="C10659" s="2" t="s">
        <v>43176</v>
      </c>
      <c r="D10659" s="2" t="str">
        <f>"7192649473"</f>
        <v>7192649473</v>
      </c>
      <c r="E10659" s="2" t="s">
        <v>718</v>
      </c>
      <c r="F10659" s="2" t="s">
        <v>43177</v>
      </c>
      <c r="G10659" s="2" t="str">
        <f>"SR-15084"</f>
        <v>SR-15084</v>
      </c>
      <c r="H10659" s="2" t="s">
        <v>43178</v>
      </c>
      <c r="I10659" s="2" t="s">
        <v>43179</v>
      </c>
      <c r="K10659" s="2" t="s">
        <v>43180</v>
      </c>
      <c r="L10659" s="2" t="s">
        <v>157</v>
      </c>
      <c r="M10659" s="2">
        <v>80918.0</v>
      </c>
      <c r="N10659" s="2" t="s">
        <v>21</v>
      </c>
    </row>
    <row r="10660" ht="15.75" customHeight="1">
      <c r="A10660" s="2">
        <v>2018.0</v>
      </c>
      <c r="B10660" s="2" t="s">
        <v>43181</v>
      </c>
      <c r="C10660" s="2" t="s">
        <v>43182</v>
      </c>
      <c r="D10660" s="2" t="str">
        <f>"214-535-5402"</f>
        <v>214-535-5402</v>
      </c>
      <c r="E10660" s="2" t="s">
        <v>705</v>
      </c>
      <c r="F10660" s="2" t="s">
        <v>21932</v>
      </c>
      <c r="G10660" s="2" t="str">
        <f>"SR-14989"</f>
        <v>SR-14989</v>
      </c>
      <c r="H10660" s="2" t="s">
        <v>43183</v>
      </c>
      <c r="I10660" s="2" t="s">
        <v>43184</v>
      </c>
      <c r="K10660" s="2" t="s">
        <v>54</v>
      </c>
      <c r="L10660" s="2" t="s">
        <v>172</v>
      </c>
      <c r="M10660" s="2">
        <v>75402.0</v>
      </c>
      <c r="N10660" s="2" t="s">
        <v>21</v>
      </c>
    </row>
    <row r="10661" ht="15.75" customHeight="1">
      <c r="A10661" s="2">
        <v>2018.0</v>
      </c>
      <c r="B10661" s="2" t="s">
        <v>43185</v>
      </c>
      <c r="C10661" s="2" t="s">
        <v>43185</v>
      </c>
      <c r="D10661" s="2" t="str">
        <f>"5038712267"</f>
        <v>5038712267</v>
      </c>
      <c r="E10661" s="2" t="s">
        <v>386</v>
      </c>
      <c r="F10661" s="2" t="s">
        <v>43128</v>
      </c>
      <c r="G10661" s="2" t="str">
        <f>"SR-15087"</f>
        <v>SR-15087</v>
      </c>
      <c r="H10661" s="2" t="s">
        <v>43186</v>
      </c>
      <c r="I10661" s="2" t="s">
        <v>43187</v>
      </c>
      <c r="K10661" s="2" t="s">
        <v>11515</v>
      </c>
      <c r="L10661" s="2" t="s">
        <v>2389</v>
      </c>
      <c r="M10661" s="2">
        <v>97381.0</v>
      </c>
      <c r="N10661" s="2" t="s">
        <v>21</v>
      </c>
    </row>
    <row r="10662" ht="15.75" customHeight="1">
      <c r="A10662" s="2">
        <v>2018.0</v>
      </c>
      <c r="B10662" s="2" t="s">
        <v>43188</v>
      </c>
      <c r="C10662" s="2" t="s">
        <v>43188</v>
      </c>
      <c r="D10662" s="2" t="str">
        <f>"859-380-3297"</f>
        <v>859-380-3297</v>
      </c>
      <c r="E10662" s="2" t="s">
        <v>4491</v>
      </c>
      <c r="F10662" s="2" t="s">
        <v>43189</v>
      </c>
      <c r="G10662" s="2" t="str">
        <f>"SR-15085"</f>
        <v>SR-15085</v>
      </c>
      <c r="H10662" s="2" t="s">
        <v>43190</v>
      </c>
      <c r="I10662" s="2" t="s">
        <v>43191</v>
      </c>
      <c r="K10662" s="2" t="s">
        <v>10119</v>
      </c>
      <c r="L10662" s="2" t="s">
        <v>344</v>
      </c>
      <c r="M10662" s="2">
        <v>45224.0</v>
      </c>
      <c r="N10662" s="2" t="s">
        <v>21</v>
      </c>
    </row>
    <row r="10663" ht="15.75" customHeight="1">
      <c r="A10663" s="2">
        <v>2018.0</v>
      </c>
      <c r="B10663" s="2" t="s">
        <v>43192</v>
      </c>
      <c r="C10663" s="2" t="s">
        <v>43192</v>
      </c>
      <c r="D10663" s="2" t="str">
        <f>"308-660-1953"</f>
        <v>308-660-1953</v>
      </c>
      <c r="E10663" s="2" t="s">
        <v>1141</v>
      </c>
      <c r="F10663" s="2" t="s">
        <v>639</v>
      </c>
      <c r="G10663" s="2" t="str">
        <f>"SR-15088"</f>
        <v>SR-15088</v>
      </c>
      <c r="H10663" s="2" t="s">
        <v>34011</v>
      </c>
      <c r="I10663" s="2" t="s">
        <v>43193</v>
      </c>
      <c r="K10663" s="2" t="s">
        <v>10638</v>
      </c>
      <c r="L10663" s="2" t="s">
        <v>1540</v>
      </c>
      <c r="M10663" s="2">
        <v>82009.0</v>
      </c>
      <c r="N10663" s="2" t="s">
        <v>21</v>
      </c>
    </row>
    <row r="10664" ht="15.75" customHeight="1">
      <c r="A10664" s="2">
        <v>2018.0</v>
      </c>
      <c r="B10664" s="2" t="s">
        <v>43194</v>
      </c>
      <c r="C10664" s="2" t="s">
        <v>43194</v>
      </c>
      <c r="D10664" s="2" t="str">
        <f>"4027506827"</f>
        <v>4027506827</v>
      </c>
      <c r="E10664" s="2" t="s">
        <v>14158</v>
      </c>
      <c r="F10664" s="2" t="s">
        <v>43195</v>
      </c>
      <c r="G10664" s="2" t="str">
        <f>"SR-15048"</f>
        <v>SR-15048</v>
      </c>
      <c r="H10664" s="2" t="s">
        <v>43196</v>
      </c>
      <c r="I10664" s="2" t="s">
        <v>43197</v>
      </c>
      <c r="K10664" s="2" t="s">
        <v>43198</v>
      </c>
      <c r="L10664" s="2" t="s">
        <v>757</v>
      </c>
      <c r="M10664" s="2">
        <v>68701.0</v>
      </c>
      <c r="N10664" s="2" t="s">
        <v>21</v>
      </c>
    </row>
    <row r="10665" ht="15.75" customHeight="1">
      <c r="A10665" s="2">
        <v>2018.0</v>
      </c>
      <c r="B10665" s="2" t="s">
        <v>43199</v>
      </c>
      <c r="D10665" s="2" t="str">
        <f t="shared" ref="D10665:D10666" si="175">""</f>
        <v/>
      </c>
      <c r="E10665" s="2" t="s">
        <v>2438</v>
      </c>
      <c r="F10665" s="2" t="s">
        <v>26526</v>
      </c>
      <c r="G10665" s="2" t="str">
        <f>"SR-15095"</f>
        <v>SR-15095</v>
      </c>
      <c r="H10665" s="2" t="s">
        <v>26527</v>
      </c>
    </row>
    <row r="10666" ht="15.75" customHeight="1">
      <c r="A10666" s="2">
        <v>2018.0</v>
      </c>
      <c r="B10666" s="2" t="s">
        <v>43199</v>
      </c>
      <c r="D10666" s="2" t="str">
        <f t="shared" si="175"/>
        <v/>
      </c>
      <c r="E10666" s="2" t="s">
        <v>428</v>
      </c>
      <c r="F10666" s="2" t="s">
        <v>26526</v>
      </c>
      <c r="G10666" s="2" t="str">
        <f>"SR-15057"</f>
        <v>SR-15057</v>
      </c>
      <c r="H10666" s="2" t="s">
        <v>43200</v>
      </c>
      <c r="N10666" s="2" t="s">
        <v>21</v>
      </c>
    </row>
    <row r="10667" ht="15.75" customHeight="1">
      <c r="A10667" s="2">
        <v>2018.0</v>
      </c>
      <c r="B10667" s="2" t="s">
        <v>43201</v>
      </c>
      <c r="C10667" s="2" t="s">
        <v>43202</v>
      </c>
      <c r="D10667" s="2" t="str">
        <f>"2142637023"</f>
        <v>2142637023</v>
      </c>
      <c r="E10667" s="2" t="s">
        <v>167</v>
      </c>
      <c r="F10667" s="2" t="s">
        <v>756</v>
      </c>
      <c r="G10667" s="2" t="str">
        <f>"SR-15107"</f>
        <v>SR-15107</v>
      </c>
      <c r="H10667" s="2" t="s">
        <v>43203</v>
      </c>
      <c r="I10667" s="2" t="s">
        <v>43204</v>
      </c>
      <c r="K10667" s="2" t="s">
        <v>6539</v>
      </c>
      <c r="L10667" s="2" t="s">
        <v>172</v>
      </c>
      <c r="M10667" s="2">
        <v>76210.0</v>
      </c>
      <c r="N10667" s="2" t="s">
        <v>21</v>
      </c>
    </row>
    <row r="10668" ht="15.75" customHeight="1">
      <c r="A10668" s="2">
        <v>2018.0</v>
      </c>
      <c r="B10668" s="2" t="s">
        <v>6654</v>
      </c>
      <c r="D10668" s="2" t="str">
        <f>""</f>
        <v/>
      </c>
      <c r="E10668" s="2" t="s">
        <v>7758</v>
      </c>
      <c r="F10668" s="2" t="s">
        <v>6655</v>
      </c>
      <c r="G10668" s="2" t="str">
        <f>"SR-14938"</f>
        <v>SR-14938</v>
      </c>
      <c r="H10668" s="2" t="s">
        <v>43205</v>
      </c>
      <c r="N10668" s="2" t="s">
        <v>21</v>
      </c>
    </row>
    <row r="10669" ht="15.75" customHeight="1">
      <c r="A10669" s="2">
        <v>2018.0</v>
      </c>
      <c r="B10669" s="2" t="s">
        <v>43206</v>
      </c>
      <c r="C10669" s="2" t="s">
        <v>43207</v>
      </c>
      <c r="D10669" s="2" t="str">
        <f>"719-282-1848"</f>
        <v>719-282-1848</v>
      </c>
      <c r="E10669" s="2" t="s">
        <v>72</v>
      </c>
      <c r="F10669" s="2" t="s">
        <v>43208</v>
      </c>
      <c r="G10669" s="2" t="str">
        <f>"SR-15104"</f>
        <v>SR-15104</v>
      </c>
      <c r="H10669" s="2" t="s">
        <v>43209</v>
      </c>
      <c r="I10669" s="2" t="s">
        <v>43210</v>
      </c>
      <c r="K10669" s="2" t="s">
        <v>809</v>
      </c>
      <c r="L10669" s="2" t="s">
        <v>157</v>
      </c>
      <c r="M10669" s="2">
        <v>80920.0</v>
      </c>
      <c r="N10669" s="2" t="s">
        <v>21</v>
      </c>
    </row>
    <row r="10670" ht="15.75" customHeight="1">
      <c r="A10670" s="2">
        <v>2019.0</v>
      </c>
      <c r="B10670" s="2" t="s">
        <v>39461</v>
      </c>
      <c r="C10670" s="2" t="s">
        <v>43211</v>
      </c>
      <c r="D10670" s="2" t="str">
        <f>"2705352835"</f>
        <v>2705352835</v>
      </c>
      <c r="E10670" s="2" t="s">
        <v>705</v>
      </c>
      <c r="F10670" s="2" t="s">
        <v>124</v>
      </c>
      <c r="G10670" s="2" t="str">
        <f>"SR-15119"</f>
        <v>SR-15119</v>
      </c>
      <c r="H10670" s="2" t="s">
        <v>43212</v>
      </c>
      <c r="I10670" s="2" t="s">
        <v>43213</v>
      </c>
      <c r="K10670" s="2" t="s">
        <v>39465</v>
      </c>
      <c r="L10670" s="2" t="s">
        <v>1236</v>
      </c>
      <c r="M10670" s="2">
        <v>42104.0</v>
      </c>
      <c r="N10670" s="2" t="s">
        <v>21</v>
      </c>
    </row>
    <row r="10671" ht="15.75" customHeight="1">
      <c r="A10671" s="2">
        <v>2019.0</v>
      </c>
      <c r="B10671" s="2" t="s">
        <v>43214</v>
      </c>
      <c r="C10671" s="2" t="s">
        <v>43214</v>
      </c>
      <c r="D10671" s="2" t="str">
        <f>"4148078628"</f>
        <v>4148078628</v>
      </c>
      <c r="E10671" s="2" t="s">
        <v>471</v>
      </c>
      <c r="F10671" s="2" t="s">
        <v>43215</v>
      </c>
      <c r="G10671" s="2" t="str">
        <f>"SR-15118"</f>
        <v>SR-15118</v>
      </c>
      <c r="H10671" s="2" t="s">
        <v>43216</v>
      </c>
      <c r="I10671" s="2" t="s">
        <v>43217</v>
      </c>
      <c r="K10671" s="2" t="s">
        <v>13027</v>
      </c>
      <c r="L10671" s="2" t="s">
        <v>193</v>
      </c>
      <c r="M10671" s="2">
        <v>54421.0</v>
      </c>
      <c r="N10671" s="2" t="s">
        <v>21</v>
      </c>
    </row>
    <row r="10672" ht="15.75" customHeight="1">
      <c r="A10672" s="2">
        <v>2019.0</v>
      </c>
      <c r="B10672" s="2" t="s">
        <v>38017</v>
      </c>
      <c r="D10672" s="2" t="str">
        <f>""</f>
        <v/>
      </c>
      <c r="E10672" s="2" t="s">
        <v>584</v>
      </c>
      <c r="F10672" s="2" t="s">
        <v>12309</v>
      </c>
      <c r="G10672" s="2" t="str">
        <f>"SR-12822"</f>
        <v>SR-12822</v>
      </c>
      <c r="H10672" s="2" t="s">
        <v>38018</v>
      </c>
    </row>
    <row r="10673" ht="15.75" customHeight="1">
      <c r="A10673" s="2">
        <v>2019.0</v>
      </c>
      <c r="B10673" s="2" t="s">
        <v>43218</v>
      </c>
      <c r="C10673" s="2" t="s">
        <v>43219</v>
      </c>
      <c r="D10673" s="2" t="str">
        <f>"4027103477"</f>
        <v>4027103477</v>
      </c>
      <c r="E10673" s="2" t="s">
        <v>2361</v>
      </c>
      <c r="F10673" s="2" t="s">
        <v>34083</v>
      </c>
      <c r="G10673" s="2" t="str">
        <f>"SR-15128"</f>
        <v>SR-15128</v>
      </c>
      <c r="H10673" s="2" t="s">
        <v>43220</v>
      </c>
      <c r="I10673" s="2" t="s">
        <v>34085</v>
      </c>
      <c r="K10673" s="2" t="s">
        <v>43221</v>
      </c>
      <c r="L10673" s="2" t="s">
        <v>757</v>
      </c>
      <c r="M10673" s="2">
        <v>68467.0</v>
      </c>
      <c r="N10673" s="2" t="s">
        <v>21</v>
      </c>
    </row>
    <row r="10674" ht="15.75" customHeight="1">
      <c r="A10674" s="2">
        <v>2019.0</v>
      </c>
      <c r="B10674" s="2" t="s">
        <v>43222</v>
      </c>
      <c r="C10674" s="2" t="s">
        <v>43223</v>
      </c>
      <c r="D10674" s="2" t="str">
        <f>"972-898-5114"</f>
        <v>972-898-5114</v>
      </c>
      <c r="E10674" s="2" t="s">
        <v>843</v>
      </c>
      <c r="F10674" s="2" t="s">
        <v>43224</v>
      </c>
      <c r="G10674" s="2" t="str">
        <f>"SR-15131"</f>
        <v>SR-15131</v>
      </c>
      <c r="H10674" s="2" t="s">
        <v>43225</v>
      </c>
      <c r="I10674" s="2" t="s">
        <v>43226</v>
      </c>
      <c r="K10674" s="2" t="s">
        <v>1255</v>
      </c>
      <c r="L10674" s="2" t="s">
        <v>172</v>
      </c>
      <c r="M10674" s="2">
        <v>75248.0</v>
      </c>
      <c r="N10674" s="2" t="s">
        <v>21</v>
      </c>
    </row>
    <row r="10675" ht="15.75" customHeight="1">
      <c r="A10675" s="2">
        <v>2019.0</v>
      </c>
      <c r="B10675" s="2" t="s">
        <v>43227</v>
      </c>
      <c r="C10675" s="2" t="s">
        <v>43228</v>
      </c>
      <c r="D10675" s="2" t="str">
        <f>"7204317344"</f>
        <v>7204317344</v>
      </c>
      <c r="E10675" s="2" t="s">
        <v>1585</v>
      </c>
      <c r="F10675" s="2" t="s">
        <v>3440</v>
      </c>
      <c r="G10675" s="2" t="str">
        <f>"SR-15132"</f>
        <v>SR-15132</v>
      </c>
      <c r="H10675" s="2" t="s">
        <v>43229</v>
      </c>
      <c r="I10675" s="2" t="s">
        <v>43230</v>
      </c>
      <c r="J10675" s="2" t="s">
        <v>43231</v>
      </c>
      <c r="K10675" s="2" t="s">
        <v>5412</v>
      </c>
      <c r="L10675" s="2" t="s">
        <v>157</v>
      </c>
      <c r="M10675" s="2">
        <v>80135.0</v>
      </c>
      <c r="N10675" s="2" t="s">
        <v>21</v>
      </c>
    </row>
    <row r="10676" ht="15.75" customHeight="1">
      <c r="A10676" s="2">
        <v>2019.0</v>
      </c>
      <c r="B10676" s="2" t="s">
        <v>43227</v>
      </c>
      <c r="C10676" s="2" t="s">
        <v>43232</v>
      </c>
      <c r="D10676" s="2" t="str">
        <f>"7202725761"</f>
        <v>7202725761</v>
      </c>
      <c r="E10676" s="2" t="s">
        <v>684</v>
      </c>
      <c r="F10676" s="2" t="s">
        <v>3440</v>
      </c>
      <c r="G10676" s="2" t="str">
        <f>"SR-15133"</f>
        <v>SR-15133</v>
      </c>
      <c r="H10676" s="2" t="s">
        <v>43233</v>
      </c>
      <c r="I10676" s="2" t="s">
        <v>43230</v>
      </c>
      <c r="J10676" s="2" t="s">
        <v>43234</v>
      </c>
      <c r="K10676" s="2" t="s">
        <v>5412</v>
      </c>
      <c r="L10676" s="2" t="s">
        <v>157</v>
      </c>
      <c r="M10676" s="2">
        <v>80135.0</v>
      </c>
      <c r="N10676" s="2" t="s">
        <v>21</v>
      </c>
    </row>
    <row r="10677" ht="15.75" customHeight="1">
      <c r="A10677" s="2">
        <v>2019.0</v>
      </c>
      <c r="B10677" s="2" t="s">
        <v>42430</v>
      </c>
      <c r="C10677" s="2" t="s">
        <v>42431</v>
      </c>
      <c r="D10677" s="2" t="str">
        <f>"2054017926"</f>
        <v>2054017926</v>
      </c>
      <c r="E10677" s="2" t="s">
        <v>447</v>
      </c>
      <c r="F10677" s="2" t="s">
        <v>42432</v>
      </c>
      <c r="G10677" s="2" t="str">
        <f>"SR-14314"</f>
        <v>SR-14314</v>
      </c>
      <c r="H10677" s="2" t="s">
        <v>42433</v>
      </c>
      <c r="I10677" s="2" t="s">
        <v>42434</v>
      </c>
      <c r="K10677" s="2" t="s">
        <v>1173</v>
      </c>
      <c r="L10677" s="2" t="s">
        <v>539</v>
      </c>
      <c r="M10677" s="2">
        <v>35226.0</v>
      </c>
      <c r="N10677" s="2" t="s">
        <v>21</v>
      </c>
    </row>
    <row r="10678" ht="15.75" customHeight="1">
      <c r="A10678" s="2">
        <v>2019.0</v>
      </c>
      <c r="B10678" s="2" t="s">
        <v>42430</v>
      </c>
      <c r="C10678" s="2" t="s">
        <v>42431</v>
      </c>
      <c r="D10678" s="2" t="str">
        <f>"2052236006"</f>
        <v>2052236006</v>
      </c>
      <c r="E10678" s="2" t="s">
        <v>417</v>
      </c>
      <c r="F10678" s="2" t="s">
        <v>42432</v>
      </c>
      <c r="G10678" s="2" t="str">
        <f>"SR-14689"</f>
        <v>SR-14689</v>
      </c>
      <c r="H10678" s="2" t="s">
        <v>42483</v>
      </c>
      <c r="I10678" s="2" t="s">
        <v>42434</v>
      </c>
      <c r="K10678" s="2" t="s">
        <v>1173</v>
      </c>
      <c r="L10678" s="2" t="s">
        <v>539</v>
      </c>
      <c r="M10678" s="2">
        <v>35226.0</v>
      </c>
      <c r="N10678" s="2" t="s">
        <v>21</v>
      </c>
    </row>
    <row r="10679" ht="15.75" customHeight="1">
      <c r="A10679" s="2">
        <v>2019.0</v>
      </c>
      <c r="B10679" s="2" t="s">
        <v>19664</v>
      </c>
      <c r="C10679" s="2" t="s">
        <v>43235</v>
      </c>
      <c r="D10679" s="2" t="str">
        <f>"(281) 814-9430"</f>
        <v>(281) 814-9430</v>
      </c>
      <c r="E10679" s="2" t="s">
        <v>5732</v>
      </c>
      <c r="F10679" s="2" t="s">
        <v>19666</v>
      </c>
      <c r="G10679" s="2" t="str">
        <f>"SR-15139"</f>
        <v>SR-15139</v>
      </c>
      <c r="H10679" s="2" t="s">
        <v>43236</v>
      </c>
      <c r="I10679" s="2" t="s">
        <v>43237</v>
      </c>
      <c r="K10679" s="2" t="s">
        <v>444</v>
      </c>
      <c r="L10679" s="2" t="s">
        <v>172</v>
      </c>
      <c r="M10679" s="2">
        <v>77095.0</v>
      </c>
      <c r="N10679" s="2" t="s">
        <v>21</v>
      </c>
    </row>
    <row r="10680" ht="15.75" customHeight="1">
      <c r="A10680" s="2">
        <v>2019.0</v>
      </c>
      <c r="B10680" s="2" t="s">
        <v>19664</v>
      </c>
      <c r="C10680" s="2" t="s">
        <v>43238</v>
      </c>
      <c r="D10680" s="2" t="str">
        <f>"2818149430"</f>
        <v>2818149430</v>
      </c>
      <c r="E10680" s="2" t="s">
        <v>453</v>
      </c>
      <c r="F10680" s="2" t="s">
        <v>19666</v>
      </c>
      <c r="G10680" s="2" t="str">
        <f>"SR-15140"</f>
        <v>SR-15140</v>
      </c>
      <c r="H10680" s="2" t="s">
        <v>43239</v>
      </c>
      <c r="I10680" s="2" t="s">
        <v>43237</v>
      </c>
      <c r="K10680" s="2" t="s">
        <v>444</v>
      </c>
      <c r="L10680" s="2" t="s">
        <v>172</v>
      </c>
      <c r="M10680" s="2">
        <v>77095.0</v>
      </c>
      <c r="N10680" s="2" t="s">
        <v>21</v>
      </c>
    </row>
    <row r="10681" ht="15.75" customHeight="1">
      <c r="A10681" s="2">
        <v>2019.0</v>
      </c>
      <c r="B10681" s="2" t="s">
        <v>19664</v>
      </c>
      <c r="C10681" s="2" t="s">
        <v>43240</v>
      </c>
      <c r="D10681" s="2" t="str">
        <f t="shared" ref="D10681:D10682" si="176">"2813527805"</f>
        <v>2813527805</v>
      </c>
      <c r="E10681" s="2" t="s">
        <v>465</v>
      </c>
      <c r="F10681" s="2" t="s">
        <v>43241</v>
      </c>
      <c r="G10681" s="2" t="str">
        <f>"SR-15141"</f>
        <v>SR-15141</v>
      </c>
      <c r="H10681" s="2" t="s">
        <v>43242</v>
      </c>
      <c r="I10681" s="2" t="s">
        <v>43243</v>
      </c>
      <c r="K10681" s="2" t="s">
        <v>444</v>
      </c>
      <c r="L10681" s="2" t="s">
        <v>172</v>
      </c>
      <c r="M10681" s="2">
        <v>77095.0</v>
      </c>
      <c r="N10681" s="2" t="s">
        <v>21</v>
      </c>
    </row>
    <row r="10682" ht="15.75" customHeight="1">
      <c r="A10682" s="2">
        <v>2019.0</v>
      </c>
      <c r="B10682" s="2" t="s">
        <v>19664</v>
      </c>
      <c r="C10682" s="2" t="s">
        <v>43244</v>
      </c>
      <c r="D10682" s="2" t="str">
        <f t="shared" si="176"/>
        <v>2813527805</v>
      </c>
      <c r="E10682" s="2" t="s">
        <v>43245</v>
      </c>
      <c r="F10682" s="2" t="s">
        <v>23261</v>
      </c>
      <c r="G10682" s="2" t="str">
        <f>"SR-15142"</f>
        <v>SR-15142</v>
      </c>
      <c r="H10682" s="2" t="s">
        <v>43246</v>
      </c>
      <c r="I10682" s="2" t="s">
        <v>43247</v>
      </c>
      <c r="K10682" s="2" t="s">
        <v>444</v>
      </c>
      <c r="L10682" s="2" t="s">
        <v>172</v>
      </c>
      <c r="M10682" s="2">
        <v>77095.0</v>
      </c>
      <c r="N10682" s="2" t="s">
        <v>21</v>
      </c>
    </row>
    <row r="10683" ht="15.75" customHeight="1">
      <c r="A10683" s="2">
        <v>2019.0</v>
      </c>
      <c r="B10683" s="2" t="s">
        <v>30447</v>
      </c>
      <c r="C10683" s="2" t="s">
        <v>30448</v>
      </c>
      <c r="D10683" s="2" t="str">
        <f>"214-478-0805"</f>
        <v>214-478-0805</v>
      </c>
      <c r="E10683" s="2" t="s">
        <v>301</v>
      </c>
      <c r="F10683" s="2" t="s">
        <v>2083</v>
      </c>
      <c r="G10683" s="2" t="str">
        <f>"SR-9582"</f>
        <v>SR-9582</v>
      </c>
      <c r="H10683" s="2" t="s">
        <v>30449</v>
      </c>
      <c r="I10683" s="2" t="s">
        <v>30450</v>
      </c>
      <c r="K10683" s="2" t="s">
        <v>1255</v>
      </c>
      <c r="L10683" s="2" t="s">
        <v>172</v>
      </c>
      <c r="M10683" s="2">
        <v>75225.0</v>
      </c>
      <c r="N10683" s="2" t="s">
        <v>21</v>
      </c>
    </row>
    <row r="10684" ht="15.75" customHeight="1">
      <c r="A10684" s="2">
        <v>2019.0</v>
      </c>
      <c r="B10684" s="2" t="s">
        <v>43248</v>
      </c>
      <c r="C10684" s="2" t="s">
        <v>43249</v>
      </c>
      <c r="D10684" s="2" t="str">
        <f>"5017334481"</f>
        <v>5017334481</v>
      </c>
      <c r="E10684" s="2" t="s">
        <v>9724</v>
      </c>
      <c r="F10684" s="2" t="s">
        <v>20594</v>
      </c>
      <c r="G10684" s="2" t="str">
        <f>"SR-14335"</f>
        <v>SR-14335</v>
      </c>
      <c r="H10684" s="2" t="s">
        <v>43250</v>
      </c>
      <c r="I10684" s="2" t="s">
        <v>43251</v>
      </c>
      <c r="K10684" s="2" t="s">
        <v>9682</v>
      </c>
      <c r="L10684" s="2" t="s">
        <v>1012</v>
      </c>
      <c r="M10684" s="2">
        <v>72032.0</v>
      </c>
      <c r="N10684" s="2" t="s">
        <v>21</v>
      </c>
    </row>
    <row r="10685" ht="15.75" customHeight="1">
      <c r="A10685" s="2">
        <v>2019.0</v>
      </c>
      <c r="B10685" s="2" t="s">
        <v>43252</v>
      </c>
      <c r="C10685" s="2" t="s">
        <v>43252</v>
      </c>
      <c r="D10685" s="2" t="str">
        <f>"8652088952"</f>
        <v>8652088952</v>
      </c>
      <c r="E10685" s="2" t="s">
        <v>386</v>
      </c>
      <c r="F10685" s="2" t="s">
        <v>43253</v>
      </c>
      <c r="G10685" s="2" t="str">
        <f>"SR-15121"</f>
        <v>SR-15121</v>
      </c>
      <c r="H10685" s="2" t="s">
        <v>43254</v>
      </c>
      <c r="I10685" s="2" t="s">
        <v>43255</v>
      </c>
      <c r="K10685" s="2" t="s">
        <v>43256</v>
      </c>
      <c r="L10685" s="2" t="s">
        <v>279</v>
      </c>
      <c r="M10685" s="2">
        <v>37938.0</v>
      </c>
      <c r="N10685" s="2" t="s">
        <v>21</v>
      </c>
    </row>
    <row r="10686" ht="15.75" customHeight="1">
      <c r="A10686" s="2">
        <v>2019.0</v>
      </c>
      <c r="B10686" s="2" t="s">
        <v>43257</v>
      </c>
      <c r="C10686" s="2" t="s">
        <v>43258</v>
      </c>
      <c r="D10686" s="2" t="str">
        <f>"4103742428"</f>
        <v>4103742428</v>
      </c>
      <c r="E10686" s="2" t="s">
        <v>43259</v>
      </c>
      <c r="F10686" s="2" t="s">
        <v>43260</v>
      </c>
      <c r="G10686" s="2" t="str">
        <f>"SR-15145"</f>
        <v>SR-15145</v>
      </c>
      <c r="H10686" s="2" t="s">
        <v>43261</v>
      </c>
      <c r="I10686" s="2" t="s">
        <v>43262</v>
      </c>
      <c r="K10686" s="2" t="s">
        <v>43263</v>
      </c>
      <c r="L10686" s="2" t="s">
        <v>1868</v>
      </c>
      <c r="M10686" s="2">
        <v>21102.0</v>
      </c>
      <c r="N10686" s="2" t="s">
        <v>21</v>
      </c>
    </row>
    <row r="10687" ht="15.75" customHeight="1">
      <c r="A10687" s="2">
        <v>2019.0</v>
      </c>
      <c r="B10687" s="2" t="s">
        <v>43264</v>
      </c>
      <c r="C10687" s="2" t="s">
        <v>43265</v>
      </c>
      <c r="D10687" s="2" t="str">
        <f>"806-548-3255"</f>
        <v>806-548-3255</v>
      </c>
      <c r="E10687" s="2" t="s">
        <v>938</v>
      </c>
      <c r="F10687" s="2" t="s">
        <v>19933</v>
      </c>
      <c r="G10687" s="2" t="str">
        <f>"SR-15148"</f>
        <v>SR-15148</v>
      </c>
      <c r="H10687" s="2" t="s">
        <v>43266</v>
      </c>
      <c r="I10687" s="2" t="s">
        <v>43267</v>
      </c>
      <c r="K10687" s="2" t="s">
        <v>1121</v>
      </c>
      <c r="L10687" s="2" t="s">
        <v>172</v>
      </c>
      <c r="M10687" s="2">
        <v>79423.0</v>
      </c>
      <c r="N10687" s="2" t="s">
        <v>21</v>
      </c>
    </row>
    <row r="10688" ht="15.75" customHeight="1">
      <c r="A10688" s="2">
        <v>2019.0</v>
      </c>
      <c r="B10688" s="2" t="s">
        <v>43268</v>
      </c>
      <c r="C10688" s="2" t="s">
        <v>43269</v>
      </c>
      <c r="D10688" s="2" t="str">
        <f>"6022900943"</f>
        <v>6022900943</v>
      </c>
      <c r="E10688" s="2" t="s">
        <v>43270</v>
      </c>
      <c r="F10688" s="2" t="s">
        <v>89</v>
      </c>
      <c r="G10688" s="2" t="str">
        <f>"SR-15151"</f>
        <v>SR-15151</v>
      </c>
      <c r="H10688" s="2" t="s">
        <v>43271</v>
      </c>
      <c r="I10688" s="2" t="s">
        <v>43272</v>
      </c>
      <c r="K10688" s="2" t="s">
        <v>421</v>
      </c>
      <c r="L10688" s="2" t="s">
        <v>422</v>
      </c>
      <c r="M10688" s="2">
        <v>85016.0</v>
      </c>
      <c r="N10688" s="2" t="s">
        <v>21</v>
      </c>
    </row>
    <row r="10689" ht="15.75" customHeight="1">
      <c r="A10689" s="2">
        <v>2019.0</v>
      </c>
      <c r="B10689" s="2" t="s">
        <v>43273</v>
      </c>
      <c r="C10689" s="2" t="s">
        <v>43274</v>
      </c>
      <c r="D10689" s="2" t="str">
        <f>"719-290-8051"</f>
        <v>719-290-8051</v>
      </c>
      <c r="E10689" s="2" t="s">
        <v>24317</v>
      </c>
      <c r="F10689" s="2" t="s">
        <v>43275</v>
      </c>
      <c r="G10689" s="2" t="str">
        <f>"SR-15152"</f>
        <v>SR-15152</v>
      </c>
      <c r="H10689" s="2" t="s">
        <v>43276</v>
      </c>
      <c r="I10689" s="2" t="s">
        <v>43277</v>
      </c>
      <c r="K10689" s="2" t="s">
        <v>809</v>
      </c>
      <c r="L10689" s="2" t="s">
        <v>157</v>
      </c>
      <c r="M10689" s="2">
        <v>80919.0</v>
      </c>
      <c r="N10689" s="2" t="s">
        <v>21</v>
      </c>
    </row>
    <row r="10690" ht="15.75" customHeight="1">
      <c r="A10690" s="2">
        <v>2019.0</v>
      </c>
      <c r="B10690" s="2" t="s">
        <v>490</v>
      </c>
      <c r="C10690" s="2" t="s">
        <v>43278</v>
      </c>
      <c r="D10690" s="2" t="str">
        <f>"309-966-5003"</f>
        <v>309-966-5003</v>
      </c>
      <c r="E10690" s="2" t="s">
        <v>2847</v>
      </c>
      <c r="F10690" s="2" t="s">
        <v>493</v>
      </c>
      <c r="G10690" s="2" t="str">
        <f>"SR-15154"</f>
        <v>SR-15154</v>
      </c>
      <c r="H10690" s="2" t="s">
        <v>43279</v>
      </c>
      <c r="I10690" s="2" t="s">
        <v>43280</v>
      </c>
      <c r="K10690" s="2" t="s">
        <v>496</v>
      </c>
      <c r="L10690" s="2" t="s">
        <v>105</v>
      </c>
      <c r="M10690" s="2">
        <v>61540.0</v>
      </c>
      <c r="N10690" s="2" t="s">
        <v>21</v>
      </c>
    </row>
    <row r="10691" ht="15.75" customHeight="1">
      <c r="A10691" s="2">
        <v>2019.0</v>
      </c>
      <c r="B10691" s="2" t="s">
        <v>43281</v>
      </c>
      <c r="C10691" s="2" t="s">
        <v>43282</v>
      </c>
      <c r="D10691" s="2" t="str">
        <f>"704-847-4845"</f>
        <v>704-847-4845</v>
      </c>
      <c r="E10691" s="2" t="s">
        <v>385</v>
      </c>
      <c r="F10691" s="2" t="s">
        <v>43283</v>
      </c>
      <c r="G10691" s="2" t="str">
        <f>"SR-9999"</f>
        <v>SR-9999</v>
      </c>
      <c r="H10691" s="2" t="s">
        <v>43284</v>
      </c>
      <c r="I10691" s="2" t="s">
        <v>43285</v>
      </c>
      <c r="K10691" s="2" t="s">
        <v>1612</v>
      </c>
      <c r="L10691" s="2" t="s">
        <v>20</v>
      </c>
      <c r="M10691" s="2">
        <v>28104.0</v>
      </c>
      <c r="N10691" s="2" t="s">
        <v>21</v>
      </c>
    </row>
    <row r="10692" ht="15.75" customHeight="1">
      <c r="A10692" s="2">
        <v>2019.0</v>
      </c>
      <c r="B10692" s="2" t="s">
        <v>43286</v>
      </c>
      <c r="C10692" s="2" t="s">
        <v>43287</v>
      </c>
      <c r="D10692" s="2" t="str">
        <f>"2148438351"</f>
        <v>2148438351</v>
      </c>
      <c r="E10692" s="2" t="s">
        <v>3043</v>
      </c>
      <c r="F10692" s="2" t="s">
        <v>43288</v>
      </c>
      <c r="G10692" s="2" t="str">
        <f>"SR-15159"</f>
        <v>SR-15159</v>
      </c>
      <c r="H10692" s="2" t="s">
        <v>43289</v>
      </c>
      <c r="I10692" s="2" t="s">
        <v>43290</v>
      </c>
      <c r="K10692" s="2" t="s">
        <v>301</v>
      </c>
      <c r="L10692" s="2" t="s">
        <v>172</v>
      </c>
      <c r="M10692" s="2">
        <v>75409.0</v>
      </c>
      <c r="N10692" s="2" t="s">
        <v>21</v>
      </c>
    </row>
    <row r="10693" ht="15.75" customHeight="1">
      <c r="A10693" s="2">
        <v>2019.0</v>
      </c>
      <c r="B10693" s="2" t="s">
        <v>43291</v>
      </c>
      <c r="C10693" s="2" t="s">
        <v>43292</v>
      </c>
      <c r="D10693" s="2" t="str">
        <f>"2146610477"</f>
        <v>2146610477</v>
      </c>
      <c r="E10693" s="2" t="s">
        <v>1015</v>
      </c>
      <c r="F10693" s="2" t="s">
        <v>43293</v>
      </c>
      <c r="G10693" s="2" t="str">
        <f>"SR-15157"</f>
        <v>SR-15157</v>
      </c>
      <c r="H10693" s="2" t="s">
        <v>43294</v>
      </c>
      <c r="I10693" s="2" t="s">
        <v>43295</v>
      </c>
      <c r="K10693" s="2" t="s">
        <v>21935</v>
      </c>
      <c r="L10693" s="2" t="s">
        <v>172</v>
      </c>
      <c r="M10693" s="2">
        <v>75072.0</v>
      </c>
      <c r="N10693" s="2" t="s">
        <v>21</v>
      </c>
    </row>
    <row r="10694" ht="15.75" customHeight="1">
      <c r="A10694" s="2">
        <v>2019.0</v>
      </c>
      <c r="B10694" s="2" t="s">
        <v>31556</v>
      </c>
      <c r="C10694" s="2" t="s">
        <v>43296</v>
      </c>
      <c r="D10694" s="2" t="str">
        <f>"330.418.1631"</f>
        <v>330.418.1631</v>
      </c>
      <c r="E10694" s="2" t="s">
        <v>938</v>
      </c>
      <c r="F10694" s="2" t="s">
        <v>31558</v>
      </c>
      <c r="G10694" s="2" t="str">
        <f>"SR-15160"</f>
        <v>SR-15160</v>
      </c>
      <c r="H10694" s="2" t="s">
        <v>31559</v>
      </c>
      <c r="I10694" s="2" t="s">
        <v>31560</v>
      </c>
      <c r="K10694" s="2" t="s">
        <v>31561</v>
      </c>
      <c r="L10694" s="2" t="s">
        <v>344</v>
      </c>
      <c r="M10694" s="2">
        <v>44601.0</v>
      </c>
      <c r="N10694" s="2" t="s">
        <v>21</v>
      </c>
    </row>
    <row r="10695" ht="15.75" customHeight="1">
      <c r="A10695" s="2">
        <v>2019.0</v>
      </c>
      <c r="B10695" s="2" t="s">
        <v>43297</v>
      </c>
      <c r="C10695" s="2" t="s">
        <v>43297</v>
      </c>
      <c r="D10695" s="2" t="str">
        <f>"502-750-1732"</f>
        <v>502-750-1732</v>
      </c>
      <c r="E10695" s="2" t="s">
        <v>6266</v>
      </c>
      <c r="F10695" s="2" t="s">
        <v>43298</v>
      </c>
      <c r="G10695" s="2" t="str">
        <f>"SR-14147"</f>
        <v>SR-14147</v>
      </c>
      <c r="H10695" s="2" t="s">
        <v>43299</v>
      </c>
      <c r="I10695" s="2" t="s">
        <v>43300</v>
      </c>
      <c r="K10695" s="2" t="s">
        <v>43301</v>
      </c>
      <c r="L10695" s="2" t="s">
        <v>1236</v>
      </c>
      <c r="M10695" s="2">
        <v>40359.0</v>
      </c>
      <c r="N10695" s="2" t="s">
        <v>21</v>
      </c>
    </row>
    <row r="10696" ht="15.75" customHeight="1">
      <c r="A10696" s="2">
        <v>2019.0</v>
      </c>
      <c r="B10696" s="2" t="s">
        <v>43302</v>
      </c>
      <c r="C10696" s="2" t="s">
        <v>43303</v>
      </c>
      <c r="D10696" s="2" t="str">
        <f>"817-461-7931"</f>
        <v>817-461-7931</v>
      </c>
      <c r="E10696" s="2" t="s">
        <v>705</v>
      </c>
      <c r="F10696" s="2" t="s">
        <v>41107</v>
      </c>
      <c r="G10696" s="2" t="str">
        <f>"SR-15166"</f>
        <v>SR-15166</v>
      </c>
      <c r="H10696" s="2" t="s">
        <v>43304</v>
      </c>
      <c r="I10696" s="2" t="s">
        <v>43305</v>
      </c>
      <c r="K10696" s="2" t="s">
        <v>26815</v>
      </c>
      <c r="L10696" s="2" t="s">
        <v>172</v>
      </c>
      <c r="M10696" s="2">
        <v>76013.0</v>
      </c>
      <c r="N10696" s="2" t="s">
        <v>21</v>
      </c>
    </row>
    <row r="10697" ht="15.75" customHeight="1">
      <c r="A10697" s="2">
        <v>2019.0</v>
      </c>
      <c r="B10697" s="2" t="s">
        <v>38461</v>
      </c>
      <c r="C10697" s="2" t="s">
        <v>38461</v>
      </c>
      <c r="D10697" s="2" t="str">
        <f>"9126635458"</f>
        <v>9126635458</v>
      </c>
      <c r="E10697" s="2" t="s">
        <v>261</v>
      </c>
      <c r="F10697" s="2" t="s">
        <v>10622</v>
      </c>
      <c r="G10697" s="2" t="str">
        <f>"SR-13106"</f>
        <v>SR-13106</v>
      </c>
      <c r="H10697" s="2" t="s">
        <v>38463</v>
      </c>
      <c r="I10697" s="2" t="s">
        <v>23179</v>
      </c>
      <c r="K10697" s="2" t="s">
        <v>1239</v>
      </c>
      <c r="L10697" s="2" t="s">
        <v>200</v>
      </c>
      <c r="M10697" s="2">
        <v>31406.0</v>
      </c>
      <c r="N10697" s="2" t="s">
        <v>21</v>
      </c>
    </row>
    <row r="10698" ht="15.75" customHeight="1">
      <c r="A10698" s="2">
        <v>2019.0</v>
      </c>
      <c r="B10698" s="2" t="s">
        <v>23095</v>
      </c>
      <c r="C10698" s="2" t="s">
        <v>43306</v>
      </c>
      <c r="D10698" s="2" t="str">
        <f>"4197404143"</f>
        <v>4197404143</v>
      </c>
      <c r="E10698" s="2" t="s">
        <v>3743</v>
      </c>
      <c r="F10698" s="2" t="s">
        <v>23096</v>
      </c>
      <c r="G10698" s="2" t="str">
        <f>"SR-15105"</f>
        <v>SR-15105</v>
      </c>
      <c r="H10698" s="2" t="s">
        <v>43307</v>
      </c>
      <c r="I10698" s="2" t="s">
        <v>23098</v>
      </c>
      <c r="K10698" s="2" t="s">
        <v>23099</v>
      </c>
      <c r="L10698" s="2" t="s">
        <v>344</v>
      </c>
      <c r="M10698" s="2">
        <v>43542.0</v>
      </c>
      <c r="N10698" s="2" t="s">
        <v>21</v>
      </c>
    </row>
    <row r="10699" ht="15.75" customHeight="1">
      <c r="A10699" s="2">
        <v>2019.0</v>
      </c>
      <c r="B10699" s="2" t="s">
        <v>43308</v>
      </c>
      <c r="C10699" s="2" t="s">
        <v>43308</v>
      </c>
      <c r="D10699" s="2" t="str">
        <f>"605-883-4929"</f>
        <v>605-883-4929</v>
      </c>
      <c r="E10699" s="2" t="s">
        <v>43309</v>
      </c>
      <c r="F10699" s="2" t="s">
        <v>701</v>
      </c>
      <c r="G10699" s="2" t="str">
        <f>"SR-15161"</f>
        <v>SR-15161</v>
      </c>
      <c r="H10699" s="2" t="s">
        <v>43310</v>
      </c>
      <c r="I10699" s="2" t="s">
        <v>43311</v>
      </c>
      <c r="K10699" s="2" t="s">
        <v>43312</v>
      </c>
      <c r="L10699" s="2" t="s">
        <v>920</v>
      </c>
      <c r="M10699" s="2">
        <v>57384.0</v>
      </c>
      <c r="N10699" s="2" t="s">
        <v>21</v>
      </c>
    </row>
    <row r="10700" ht="15.75" customHeight="1">
      <c r="A10700" s="2">
        <v>2019.0</v>
      </c>
      <c r="B10700" s="2" t="s">
        <v>43313</v>
      </c>
      <c r="C10700" s="2" t="s">
        <v>43313</v>
      </c>
      <c r="D10700" s="2" t="str">
        <f>"325-201-7378"</f>
        <v>325-201-7378</v>
      </c>
      <c r="E10700" s="2" t="s">
        <v>11423</v>
      </c>
      <c r="F10700" s="2" t="s">
        <v>2735</v>
      </c>
      <c r="G10700" s="2" t="str">
        <f>"SR-15169"</f>
        <v>SR-15169</v>
      </c>
      <c r="H10700" s="2" t="s">
        <v>43314</v>
      </c>
      <c r="I10700" s="2" t="s">
        <v>43315</v>
      </c>
      <c r="K10700" s="2" t="s">
        <v>43316</v>
      </c>
      <c r="L10700" s="2" t="s">
        <v>172</v>
      </c>
      <c r="M10700" s="2">
        <v>79562.0</v>
      </c>
      <c r="N10700" s="2" t="s">
        <v>21</v>
      </c>
    </row>
    <row r="10701" ht="15.75" customHeight="1">
      <c r="A10701" s="2">
        <v>2019.0</v>
      </c>
      <c r="B10701" s="2" t="s">
        <v>1527</v>
      </c>
      <c r="C10701" s="2" t="s">
        <v>43317</v>
      </c>
      <c r="D10701" s="2" t="str">
        <f>"8153425869"</f>
        <v>8153425869</v>
      </c>
      <c r="E10701" s="2" t="s">
        <v>824</v>
      </c>
      <c r="F10701" s="2" t="s">
        <v>1530</v>
      </c>
      <c r="G10701" s="2" t="str">
        <f>"SR-15165"</f>
        <v>SR-15165</v>
      </c>
      <c r="H10701" s="2" t="s">
        <v>43318</v>
      </c>
      <c r="I10701" s="2" t="s">
        <v>1532</v>
      </c>
      <c r="K10701" s="2" t="s">
        <v>1533</v>
      </c>
      <c r="L10701" s="2" t="s">
        <v>105</v>
      </c>
      <c r="M10701" s="2">
        <v>60450.0</v>
      </c>
      <c r="N10701" s="2" t="s">
        <v>21</v>
      </c>
    </row>
    <row r="10702" ht="15.75" customHeight="1">
      <c r="A10702" s="2">
        <v>2019.0</v>
      </c>
      <c r="B10702" s="2" t="s">
        <v>43319</v>
      </c>
      <c r="C10702" s="2" t="s">
        <v>43319</v>
      </c>
      <c r="D10702" s="2" t="str">
        <f>"3606912747"</f>
        <v>3606912747</v>
      </c>
      <c r="E10702" s="2" t="s">
        <v>43320</v>
      </c>
      <c r="F10702" s="2" t="s">
        <v>43321</v>
      </c>
      <c r="G10702" s="2" t="str">
        <f>"SR-15170"</f>
        <v>SR-15170</v>
      </c>
      <c r="H10702" s="2" t="s">
        <v>43322</v>
      </c>
      <c r="I10702" s="2" t="s">
        <v>43323</v>
      </c>
      <c r="K10702" s="2" t="s">
        <v>43324</v>
      </c>
      <c r="L10702" s="2" t="s">
        <v>86</v>
      </c>
      <c r="M10702" s="2">
        <v>98252.0</v>
      </c>
      <c r="N10702" s="2" t="s">
        <v>21</v>
      </c>
    </row>
    <row r="10703" ht="15.75" customHeight="1">
      <c r="A10703" s="2">
        <v>2019.0</v>
      </c>
      <c r="B10703" s="2" t="s">
        <v>40970</v>
      </c>
      <c r="C10703" s="2" t="s">
        <v>43325</v>
      </c>
      <c r="D10703" s="2" t="str">
        <f>"985-807-4364"</f>
        <v>985-807-4364</v>
      </c>
      <c r="E10703" s="2" t="s">
        <v>456</v>
      </c>
      <c r="F10703" s="2" t="s">
        <v>17389</v>
      </c>
      <c r="G10703" s="2" t="str">
        <f>"SR-15172"</f>
        <v>SR-15172</v>
      </c>
      <c r="H10703" s="2" t="s">
        <v>43326</v>
      </c>
      <c r="I10703" s="2" t="s">
        <v>17391</v>
      </c>
      <c r="K10703" s="2" t="s">
        <v>17392</v>
      </c>
      <c r="L10703" s="2" t="s">
        <v>715</v>
      </c>
      <c r="M10703" s="2">
        <v>70433.0</v>
      </c>
      <c r="N10703" s="2" t="s">
        <v>21</v>
      </c>
    </row>
    <row r="10704" ht="15.75" customHeight="1">
      <c r="A10704" s="2">
        <v>2019.0</v>
      </c>
      <c r="B10704" s="2" t="s">
        <v>27124</v>
      </c>
      <c r="C10704" s="2" t="s">
        <v>27125</v>
      </c>
      <c r="D10704" s="2" t="str">
        <f t="shared" ref="D10704:D10705" si="177">"405-285-5755"</f>
        <v>405-285-5755</v>
      </c>
      <c r="E10704" s="2" t="s">
        <v>282</v>
      </c>
      <c r="F10704" s="2" t="s">
        <v>27126</v>
      </c>
      <c r="G10704" s="2" t="str">
        <f>"SR-8564"</f>
        <v>SR-8564</v>
      </c>
      <c r="H10704" s="2" t="s">
        <v>27127</v>
      </c>
      <c r="I10704" s="2" t="s">
        <v>27128</v>
      </c>
      <c r="K10704" s="2" t="s">
        <v>1546</v>
      </c>
      <c r="L10704" s="2" t="s">
        <v>840</v>
      </c>
      <c r="M10704" s="2">
        <v>73034.0</v>
      </c>
      <c r="N10704" s="2" t="s">
        <v>21</v>
      </c>
    </row>
    <row r="10705" ht="15.75" customHeight="1">
      <c r="A10705" s="2">
        <v>2019.0</v>
      </c>
      <c r="B10705" s="2" t="s">
        <v>27124</v>
      </c>
      <c r="C10705" s="2" t="s">
        <v>32777</v>
      </c>
      <c r="D10705" s="2" t="str">
        <f t="shared" si="177"/>
        <v>405-285-5755</v>
      </c>
      <c r="E10705" s="2" t="s">
        <v>1347</v>
      </c>
      <c r="F10705" s="2" t="s">
        <v>27126</v>
      </c>
      <c r="G10705" s="2" t="str">
        <f>"SR-10337"</f>
        <v>SR-10337</v>
      </c>
      <c r="H10705" s="2" t="s">
        <v>32778</v>
      </c>
      <c r="I10705" s="2" t="s">
        <v>27128</v>
      </c>
      <c r="K10705" s="2" t="s">
        <v>1546</v>
      </c>
      <c r="L10705" s="2" t="s">
        <v>840</v>
      </c>
      <c r="M10705" s="2">
        <v>73034.0</v>
      </c>
      <c r="N10705" s="2" t="s">
        <v>21</v>
      </c>
    </row>
    <row r="10706" ht="15.75" customHeight="1">
      <c r="A10706" s="2">
        <v>2019.0</v>
      </c>
      <c r="B10706" s="2" t="s">
        <v>22508</v>
      </c>
      <c r="C10706" s="2" t="s">
        <v>22508</v>
      </c>
      <c r="D10706" s="2" t="str">
        <f>"253-304-0044"</f>
        <v>253-304-0044</v>
      </c>
      <c r="E10706" s="2" t="s">
        <v>4406</v>
      </c>
      <c r="F10706" s="2" t="s">
        <v>22510</v>
      </c>
      <c r="G10706" s="2" t="str">
        <f>"SR-15101"</f>
        <v>SR-15101</v>
      </c>
      <c r="H10706" s="2" t="s">
        <v>43327</v>
      </c>
      <c r="I10706" s="2" t="s">
        <v>43328</v>
      </c>
      <c r="K10706" s="2" t="s">
        <v>22513</v>
      </c>
      <c r="L10706" s="2" t="s">
        <v>86</v>
      </c>
      <c r="M10706" s="2">
        <v>98407.0</v>
      </c>
      <c r="N10706" s="2" t="s">
        <v>21</v>
      </c>
    </row>
    <row r="10707" ht="15.75" customHeight="1">
      <c r="A10707" s="2">
        <v>2019.0</v>
      </c>
      <c r="B10707" s="2" t="s">
        <v>43329</v>
      </c>
      <c r="C10707" s="2" t="s">
        <v>43330</v>
      </c>
      <c r="D10707" s="2" t="str">
        <f>"540-376-7161"</f>
        <v>540-376-7161</v>
      </c>
      <c r="E10707" s="2" t="s">
        <v>43331</v>
      </c>
      <c r="F10707" s="2" t="s">
        <v>2771</v>
      </c>
      <c r="G10707" s="2" t="str">
        <f>"SR-15177"</f>
        <v>SR-15177</v>
      </c>
      <c r="H10707" s="2" t="s">
        <v>43332</v>
      </c>
      <c r="I10707" s="2" t="s">
        <v>43333</v>
      </c>
      <c r="K10707" s="2" t="s">
        <v>12164</v>
      </c>
      <c r="L10707" s="2" t="s">
        <v>165</v>
      </c>
      <c r="M10707" s="2">
        <v>22408.0</v>
      </c>
      <c r="N10707" s="2" t="s">
        <v>21</v>
      </c>
    </row>
    <row r="10708" ht="15.75" customHeight="1">
      <c r="A10708" s="2">
        <v>2019.0</v>
      </c>
      <c r="B10708" s="2" t="s">
        <v>43334</v>
      </c>
      <c r="C10708" s="2" t="s">
        <v>43335</v>
      </c>
      <c r="D10708" s="2" t="str">
        <f>"469-952-7462"</f>
        <v>469-952-7462</v>
      </c>
      <c r="E10708" s="2" t="s">
        <v>2941</v>
      </c>
      <c r="F10708" s="2" t="s">
        <v>22708</v>
      </c>
      <c r="G10708" s="2" t="str">
        <f>"SR-15180"</f>
        <v>SR-15180</v>
      </c>
      <c r="H10708" s="2" t="s">
        <v>43336</v>
      </c>
      <c r="I10708" s="2" t="s">
        <v>43337</v>
      </c>
      <c r="K10708" s="2" t="s">
        <v>3144</v>
      </c>
      <c r="L10708" s="2" t="s">
        <v>172</v>
      </c>
      <c r="M10708" s="2">
        <v>75002.0</v>
      </c>
      <c r="N10708" s="2" t="s">
        <v>21</v>
      </c>
    </row>
    <row r="10709" ht="15.75" customHeight="1">
      <c r="A10709" s="2">
        <v>2019.0</v>
      </c>
      <c r="B10709" s="2" t="s">
        <v>43338</v>
      </c>
      <c r="C10709" s="2" t="s">
        <v>43339</v>
      </c>
      <c r="D10709" s="2" t="str">
        <f>"8328518682"</f>
        <v>8328518682</v>
      </c>
      <c r="E10709" s="2" t="s">
        <v>144</v>
      </c>
      <c r="F10709" s="2" t="s">
        <v>32817</v>
      </c>
      <c r="G10709" s="2" t="str">
        <f>"SR-15187"</f>
        <v>SR-15187</v>
      </c>
      <c r="H10709" s="2" t="s">
        <v>43340</v>
      </c>
      <c r="I10709" s="2" t="s">
        <v>43341</v>
      </c>
      <c r="K10709" s="2" t="s">
        <v>32372</v>
      </c>
      <c r="L10709" s="2" t="s">
        <v>172</v>
      </c>
      <c r="M10709" s="2">
        <v>77401.0</v>
      </c>
      <c r="N10709" s="2" t="s">
        <v>21</v>
      </c>
    </row>
    <row r="10710" ht="15.75" customHeight="1">
      <c r="A10710" s="2">
        <v>2019.0</v>
      </c>
      <c r="B10710" s="2" t="s">
        <v>43342</v>
      </c>
      <c r="C10710" s="2" t="s">
        <v>43342</v>
      </c>
      <c r="D10710" s="2" t="str">
        <f>"360-708-1074"</f>
        <v>360-708-1074</v>
      </c>
      <c r="E10710" s="2" t="s">
        <v>5456</v>
      </c>
      <c r="F10710" s="2" t="s">
        <v>37301</v>
      </c>
      <c r="G10710" s="2" t="str">
        <f>"SR-15188"</f>
        <v>SR-15188</v>
      </c>
      <c r="H10710" s="2" t="s">
        <v>43343</v>
      </c>
      <c r="I10710" s="2" t="s">
        <v>43344</v>
      </c>
      <c r="K10710" s="2" t="s">
        <v>6615</v>
      </c>
      <c r="L10710" s="2" t="s">
        <v>86</v>
      </c>
      <c r="M10710" s="2">
        <v>98274.0</v>
      </c>
      <c r="N10710" s="2" t="s">
        <v>21</v>
      </c>
    </row>
    <row r="10711" ht="15.75" customHeight="1">
      <c r="A10711" s="2">
        <v>2019.0</v>
      </c>
      <c r="B10711" s="2" t="s">
        <v>43345</v>
      </c>
      <c r="C10711" s="2" t="s">
        <v>43345</v>
      </c>
      <c r="D10711" s="2" t="str">
        <f>"360-420-0180"</f>
        <v>360-420-0180</v>
      </c>
      <c r="E10711" s="2" t="s">
        <v>43346</v>
      </c>
      <c r="F10711" s="2" t="s">
        <v>43347</v>
      </c>
      <c r="G10711" s="2" t="str">
        <f>"SR-15189"</f>
        <v>SR-15189</v>
      </c>
      <c r="H10711" s="2" t="s">
        <v>43348</v>
      </c>
      <c r="I10711" s="2" t="s">
        <v>37298</v>
      </c>
      <c r="K10711" s="2" t="s">
        <v>43349</v>
      </c>
      <c r="L10711" s="2" t="s">
        <v>86</v>
      </c>
      <c r="M10711" s="2">
        <v>98274.0</v>
      </c>
      <c r="N10711" s="2" t="s">
        <v>21</v>
      </c>
    </row>
    <row r="10712" ht="15.75" customHeight="1">
      <c r="A10712" s="2">
        <v>2019.0</v>
      </c>
      <c r="B10712" s="2" t="s">
        <v>43350</v>
      </c>
      <c r="C10712" s="2" t="s">
        <v>43351</v>
      </c>
      <c r="D10712" s="2" t="str">
        <f>"847-714-2479"</f>
        <v>847-714-2479</v>
      </c>
      <c r="E10712" s="2" t="s">
        <v>984</v>
      </c>
      <c r="F10712" s="2" t="s">
        <v>43352</v>
      </c>
      <c r="G10712" s="2" t="str">
        <f>"SR-15058"</f>
        <v>SR-15058</v>
      </c>
      <c r="H10712" s="2" t="s">
        <v>43353</v>
      </c>
      <c r="I10712" s="2" t="s">
        <v>43354</v>
      </c>
      <c r="K10712" s="2" t="s">
        <v>43355</v>
      </c>
      <c r="L10712" s="2" t="s">
        <v>105</v>
      </c>
      <c r="M10712" s="2">
        <v>60004.0</v>
      </c>
      <c r="N10712" s="2" t="s">
        <v>21</v>
      </c>
    </row>
    <row r="10713" ht="15.75" customHeight="1">
      <c r="A10713" s="2">
        <v>2019.0</v>
      </c>
      <c r="B10713" s="2" t="s">
        <v>43356</v>
      </c>
      <c r="C10713" s="2" t="s">
        <v>43356</v>
      </c>
      <c r="D10713" s="2" t="str">
        <f>"4192054010"</f>
        <v>4192054010</v>
      </c>
      <c r="E10713" s="2" t="s">
        <v>43357</v>
      </c>
      <c r="F10713" s="2" t="s">
        <v>43358</v>
      </c>
      <c r="G10713" s="2" t="str">
        <f>"SR-15192"</f>
        <v>SR-15192</v>
      </c>
      <c r="H10713" s="2" t="s">
        <v>43359</v>
      </c>
      <c r="I10713" s="2" t="s">
        <v>43360</v>
      </c>
      <c r="K10713" s="2" t="s">
        <v>5275</v>
      </c>
      <c r="L10713" s="2" t="s">
        <v>344</v>
      </c>
      <c r="M10713" s="2">
        <v>43558.0</v>
      </c>
      <c r="N10713" s="2" t="s">
        <v>21</v>
      </c>
    </row>
    <row r="10714" ht="15.75" customHeight="1">
      <c r="A10714" s="2">
        <v>2019.0</v>
      </c>
      <c r="B10714" s="2" t="s">
        <v>43281</v>
      </c>
      <c r="C10714" s="2" t="s">
        <v>43361</v>
      </c>
      <c r="D10714" s="2" t="str">
        <f>"7049951229"</f>
        <v>7049951229</v>
      </c>
      <c r="E10714" s="2" t="s">
        <v>1548</v>
      </c>
      <c r="F10714" s="2" t="s">
        <v>43283</v>
      </c>
      <c r="G10714" s="2" t="str">
        <f>"SR-15155"</f>
        <v>SR-15155</v>
      </c>
      <c r="H10714" s="2" t="s">
        <v>43362</v>
      </c>
      <c r="I10714" s="2" t="s">
        <v>43363</v>
      </c>
      <c r="K10714" s="2" t="s">
        <v>43364</v>
      </c>
      <c r="L10714" s="2" t="s">
        <v>20</v>
      </c>
      <c r="M10714" s="2">
        <v>28104.0</v>
      </c>
      <c r="N10714" s="2" t="s">
        <v>21</v>
      </c>
    </row>
    <row r="10715" ht="15.75" customHeight="1">
      <c r="A10715" s="2">
        <v>2019.0</v>
      </c>
      <c r="B10715" s="2" t="s">
        <v>306</v>
      </c>
      <c r="C10715" s="2" t="s">
        <v>43365</v>
      </c>
      <c r="D10715" s="2" t="str">
        <f>"7205503343"</f>
        <v>7205503343</v>
      </c>
      <c r="E10715" s="2" t="s">
        <v>39130</v>
      </c>
      <c r="F10715" s="2" t="s">
        <v>309</v>
      </c>
      <c r="G10715" s="2" t="str">
        <f>"SR-15194"</f>
        <v>SR-15194</v>
      </c>
      <c r="H10715" s="2" t="s">
        <v>43366</v>
      </c>
      <c r="I10715" s="2" t="s">
        <v>311</v>
      </c>
      <c r="K10715" s="2" t="s">
        <v>312</v>
      </c>
      <c r="L10715" s="2" t="s">
        <v>157</v>
      </c>
      <c r="M10715" s="2">
        <v>80106.0</v>
      </c>
      <c r="N10715" s="2" t="s">
        <v>21</v>
      </c>
    </row>
    <row r="10716" ht="15.75" customHeight="1">
      <c r="A10716" s="2">
        <v>2019.0</v>
      </c>
      <c r="B10716" s="2" t="s">
        <v>30937</v>
      </c>
      <c r="C10716" s="2" t="s">
        <v>43367</v>
      </c>
      <c r="D10716" s="2" t="str">
        <f>"281-316-6418"</f>
        <v>281-316-6418</v>
      </c>
      <c r="E10716" s="2" t="s">
        <v>2752</v>
      </c>
      <c r="F10716" s="2" t="s">
        <v>30939</v>
      </c>
      <c r="G10716" s="2" t="str">
        <f>"SR-15120"</f>
        <v>SR-15120</v>
      </c>
      <c r="H10716" s="2" t="s">
        <v>43368</v>
      </c>
      <c r="I10716" s="2" t="s">
        <v>43369</v>
      </c>
      <c r="K10716" s="2" t="s">
        <v>30942</v>
      </c>
      <c r="L10716" s="2" t="s">
        <v>172</v>
      </c>
      <c r="M10716" s="2">
        <v>77573.0</v>
      </c>
      <c r="N10716" s="2" t="s">
        <v>21</v>
      </c>
    </row>
    <row r="10717" ht="15.75" customHeight="1">
      <c r="A10717" s="2">
        <v>2019.0</v>
      </c>
      <c r="B10717" s="2" t="s">
        <v>43370</v>
      </c>
      <c r="C10717" s="2" t="s">
        <v>43371</v>
      </c>
      <c r="D10717" s="2" t="str">
        <f>"719-684-4203"</f>
        <v>719-684-4203</v>
      </c>
      <c r="E10717" s="2" t="s">
        <v>659</v>
      </c>
      <c r="F10717" s="2" t="s">
        <v>6453</v>
      </c>
      <c r="G10717" s="2" t="str">
        <f>"SR-15200"</f>
        <v>SR-15200</v>
      </c>
      <c r="H10717" s="2" t="s">
        <v>43372</v>
      </c>
      <c r="I10717" s="2" t="s">
        <v>43373</v>
      </c>
      <c r="K10717" s="2" t="s">
        <v>7106</v>
      </c>
      <c r="L10717" s="2" t="s">
        <v>157</v>
      </c>
      <c r="M10717" s="2">
        <v>80831.0</v>
      </c>
      <c r="N10717" s="2" t="s">
        <v>21</v>
      </c>
    </row>
    <row r="10718" ht="15.75" customHeight="1">
      <c r="A10718" s="2">
        <v>2019.0</v>
      </c>
      <c r="B10718" s="2" t="s">
        <v>43374</v>
      </c>
      <c r="C10718" s="2" t="s">
        <v>43375</v>
      </c>
      <c r="D10718" s="2" t="str">
        <f>"360-893-4411"</f>
        <v>360-893-4411</v>
      </c>
      <c r="E10718" s="2" t="s">
        <v>88</v>
      </c>
      <c r="F10718" s="2" t="s">
        <v>43376</v>
      </c>
      <c r="G10718" s="2" t="str">
        <f>"SR-15201"</f>
        <v>SR-15201</v>
      </c>
      <c r="H10718" s="2" t="s">
        <v>43377</v>
      </c>
      <c r="I10718" s="2" t="s">
        <v>43378</v>
      </c>
      <c r="K10718" s="2" t="s">
        <v>1243</v>
      </c>
      <c r="L10718" s="2" t="s">
        <v>86</v>
      </c>
      <c r="M10718" s="2">
        <v>98338.0</v>
      </c>
      <c r="N10718" s="2" t="s">
        <v>21</v>
      </c>
    </row>
    <row r="10719" ht="15.75" customHeight="1">
      <c r="A10719" s="2">
        <v>2019.0</v>
      </c>
      <c r="B10719" s="2" t="s">
        <v>43379</v>
      </c>
      <c r="C10719" s="2" t="s">
        <v>43379</v>
      </c>
      <c r="D10719" s="2" t="str">
        <f t="shared" ref="D10719:D10720" si="178">"8098054159"</f>
        <v>8098054159</v>
      </c>
      <c r="E10719" s="2" t="s">
        <v>465</v>
      </c>
      <c r="F10719" s="2" t="s">
        <v>43380</v>
      </c>
      <c r="G10719" s="2" t="str">
        <f>"SR-15205"</f>
        <v>SR-15205</v>
      </c>
      <c r="H10719" s="2" t="s">
        <v>43381</v>
      </c>
      <c r="I10719" s="2" t="s">
        <v>43382</v>
      </c>
      <c r="J10719" s="2" t="s">
        <v>43383</v>
      </c>
      <c r="K10719" s="2" t="s">
        <v>330</v>
      </c>
      <c r="L10719" s="2" t="s">
        <v>208</v>
      </c>
      <c r="M10719" s="2">
        <v>34285.0</v>
      </c>
      <c r="N10719" s="2" t="s">
        <v>21</v>
      </c>
    </row>
    <row r="10720" ht="15.75" customHeight="1">
      <c r="A10720" s="2">
        <v>2019.0</v>
      </c>
      <c r="B10720" s="2" t="s">
        <v>43384</v>
      </c>
      <c r="C10720" s="2" t="s">
        <v>43384</v>
      </c>
      <c r="D10720" s="2" t="str">
        <f t="shared" si="178"/>
        <v>8098054159</v>
      </c>
      <c r="E10720" s="2" t="s">
        <v>456</v>
      </c>
      <c r="F10720" s="2" t="s">
        <v>43380</v>
      </c>
      <c r="G10720" s="2" t="str">
        <f>"SR-15206"</f>
        <v>SR-15206</v>
      </c>
      <c r="H10720" s="2" t="s">
        <v>43385</v>
      </c>
      <c r="I10720" s="2" t="s">
        <v>43386</v>
      </c>
      <c r="J10720" s="2" t="s">
        <v>43383</v>
      </c>
      <c r="K10720" s="2" t="s">
        <v>330</v>
      </c>
      <c r="L10720" s="2" t="s">
        <v>208</v>
      </c>
      <c r="M10720" s="2">
        <v>34285.0</v>
      </c>
      <c r="N10720" s="2" t="s">
        <v>21</v>
      </c>
    </row>
    <row r="10721" ht="15.75" customHeight="1">
      <c r="A10721" s="2">
        <v>2019.0</v>
      </c>
      <c r="B10721" s="2" t="s">
        <v>43387</v>
      </c>
      <c r="C10721" s="2" t="s">
        <v>43388</v>
      </c>
      <c r="D10721" s="2" t="str">
        <f>"8656039189"</f>
        <v>8656039189</v>
      </c>
      <c r="E10721" s="2" t="s">
        <v>2861</v>
      </c>
      <c r="F10721" s="2" t="s">
        <v>43389</v>
      </c>
      <c r="G10721" s="2" t="str">
        <f>"SR-15210"</f>
        <v>SR-15210</v>
      </c>
      <c r="H10721" s="2" t="s">
        <v>43390</v>
      </c>
      <c r="I10721" s="2" t="s">
        <v>43391</v>
      </c>
      <c r="K10721" s="2" t="s">
        <v>6168</v>
      </c>
      <c r="L10721" s="2" t="s">
        <v>279</v>
      </c>
      <c r="M10721" s="2">
        <v>37919.0</v>
      </c>
      <c r="N10721" s="2" t="s">
        <v>21</v>
      </c>
    </row>
    <row r="10722" ht="15.75" customHeight="1">
      <c r="A10722" s="2">
        <v>2019.0</v>
      </c>
      <c r="B10722" s="2" t="s">
        <v>32345</v>
      </c>
      <c r="C10722" s="2" t="s">
        <v>43392</v>
      </c>
      <c r="D10722" s="2" t="str">
        <f>"4325532478"</f>
        <v>4325532478</v>
      </c>
      <c r="E10722" s="2" t="s">
        <v>6381</v>
      </c>
      <c r="F10722" s="2" t="s">
        <v>16867</v>
      </c>
      <c r="G10722" s="2" t="str">
        <f>"SR-15211"</f>
        <v>SR-15211</v>
      </c>
      <c r="H10722" s="2" t="s">
        <v>43393</v>
      </c>
      <c r="I10722" s="2" t="s">
        <v>32348</v>
      </c>
      <c r="K10722" s="2" t="s">
        <v>286</v>
      </c>
      <c r="L10722" s="2" t="s">
        <v>172</v>
      </c>
      <c r="M10722" s="2">
        <v>79705.0</v>
      </c>
      <c r="N10722" s="2" t="s">
        <v>21</v>
      </c>
    </row>
    <row r="10723" ht="15.75" customHeight="1">
      <c r="A10723" s="2">
        <v>2019.0</v>
      </c>
      <c r="B10723" s="2" t="s">
        <v>43394</v>
      </c>
      <c r="C10723" s="2" t="s">
        <v>43394</v>
      </c>
      <c r="D10723" s="2" t="str">
        <f>"7193324847"</f>
        <v>7193324847</v>
      </c>
      <c r="E10723" s="2" t="s">
        <v>2031</v>
      </c>
      <c r="F10723" s="2" t="s">
        <v>11586</v>
      </c>
      <c r="G10723" s="2" t="str">
        <f>"SR-15213"</f>
        <v>SR-15213</v>
      </c>
      <c r="H10723" s="2" t="s">
        <v>43395</v>
      </c>
      <c r="I10723" s="2" t="s">
        <v>43396</v>
      </c>
      <c r="K10723" s="2" t="s">
        <v>15818</v>
      </c>
      <c r="L10723" s="2" t="s">
        <v>157</v>
      </c>
      <c r="M10723" s="2">
        <v>80924.0</v>
      </c>
      <c r="N10723" s="2" t="s">
        <v>21</v>
      </c>
    </row>
    <row r="10724" ht="15.75" customHeight="1">
      <c r="A10724" s="2">
        <v>2019.0</v>
      </c>
      <c r="B10724" s="2" t="s">
        <v>43397</v>
      </c>
      <c r="C10724" s="2" t="s">
        <v>43398</v>
      </c>
      <c r="D10724" s="2" t="str">
        <f t="shared" ref="D10724:D10725" si="179">"907-252-9437"</f>
        <v>907-252-9437</v>
      </c>
      <c r="E10724" s="2" t="s">
        <v>1782</v>
      </c>
      <c r="F10724" s="2" t="s">
        <v>868</v>
      </c>
      <c r="G10724" s="2" t="str">
        <f>"SR-15212"</f>
        <v>SR-15212</v>
      </c>
      <c r="H10724" s="2" t="s">
        <v>43399</v>
      </c>
      <c r="I10724" s="2" t="s">
        <v>43400</v>
      </c>
      <c r="K10724" s="2" t="s">
        <v>1336</v>
      </c>
      <c r="L10724" s="2" t="s">
        <v>70</v>
      </c>
      <c r="M10724" s="2">
        <v>99669.0</v>
      </c>
      <c r="N10724" s="2" t="s">
        <v>21</v>
      </c>
    </row>
    <row r="10725" ht="15.75" customHeight="1">
      <c r="A10725" s="2">
        <v>2019.0</v>
      </c>
      <c r="B10725" s="2" t="s">
        <v>43397</v>
      </c>
      <c r="C10725" s="2" t="s">
        <v>43401</v>
      </c>
      <c r="D10725" s="2" t="str">
        <f t="shared" si="179"/>
        <v>907-252-9437</v>
      </c>
      <c r="E10725" s="2" t="s">
        <v>12166</v>
      </c>
      <c r="F10725" s="2" t="s">
        <v>868</v>
      </c>
      <c r="G10725" s="2" t="str">
        <f>"SR-15214"</f>
        <v>SR-15214</v>
      </c>
      <c r="H10725" s="2" t="s">
        <v>43402</v>
      </c>
      <c r="I10725" s="2" t="s">
        <v>43400</v>
      </c>
      <c r="K10725" s="2" t="s">
        <v>1336</v>
      </c>
      <c r="L10725" s="2" t="s">
        <v>70</v>
      </c>
      <c r="M10725" s="2">
        <v>99669.0</v>
      </c>
      <c r="N10725" s="2" t="s">
        <v>21</v>
      </c>
    </row>
    <row r="10726" ht="15.75" customHeight="1">
      <c r="A10726" s="2">
        <v>2019.0</v>
      </c>
      <c r="B10726" s="2" t="s">
        <v>43403</v>
      </c>
      <c r="C10726" s="2" t="s">
        <v>43404</v>
      </c>
      <c r="D10726" s="2" t="str">
        <f>"22522624812252811623"</f>
        <v>22522624812252811623</v>
      </c>
      <c r="E10726" s="2" t="s">
        <v>39130</v>
      </c>
      <c r="F10726" s="2" t="s">
        <v>5528</v>
      </c>
      <c r="G10726" s="2" t="str">
        <f>"SR-15198"</f>
        <v>SR-15198</v>
      </c>
      <c r="H10726" s="2" t="s">
        <v>43405</v>
      </c>
      <c r="I10726" s="2" t="s">
        <v>43406</v>
      </c>
      <c r="K10726" s="2" t="s">
        <v>7521</v>
      </c>
      <c r="L10726" s="2" t="s">
        <v>715</v>
      </c>
      <c r="M10726" s="2">
        <v>70739.0</v>
      </c>
      <c r="N10726" s="2" t="s">
        <v>21</v>
      </c>
    </row>
    <row r="10727" ht="15.75" customHeight="1">
      <c r="A10727" s="2">
        <v>2019.0</v>
      </c>
      <c r="B10727" s="2" t="s">
        <v>43407</v>
      </c>
      <c r="C10727" s="2" t="s">
        <v>43408</v>
      </c>
      <c r="D10727" s="2" t="str">
        <f>"336-5163758"</f>
        <v>336-5163758</v>
      </c>
      <c r="E10727" s="2" t="s">
        <v>1208</v>
      </c>
      <c r="F10727" s="2" t="s">
        <v>43409</v>
      </c>
      <c r="G10727" s="2" t="str">
        <f>"SR-15220"</f>
        <v>SR-15220</v>
      </c>
      <c r="H10727" s="2" t="s">
        <v>43410</v>
      </c>
      <c r="I10727" s="2" t="s">
        <v>43411</v>
      </c>
      <c r="K10727" s="2" t="s">
        <v>6075</v>
      </c>
      <c r="L10727" s="2" t="s">
        <v>20</v>
      </c>
      <c r="M10727" s="2">
        <v>27217.0</v>
      </c>
      <c r="N10727" s="2" t="s">
        <v>21</v>
      </c>
    </row>
    <row r="10728" ht="15.75" customHeight="1">
      <c r="A10728" s="2">
        <v>2019.0</v>
      </c>
      <c r="B10728" s="2" t="s">
        <v>43412</v>
      </c>
      <c r="C10728" s="2" t="s">
        <v>43413</v>
      </c>
      <c r="D10728" s="2" t="str">
        <f>"2147709358"</f>
        <v>2147709358</v>
      </c>
      <c r="E10728" s="2" t="s">
        <v>6937</v>
      </c>
      <c r="F10728" s="2" t="s">
        <v>1054</v>
      </c>
      <c r="G10728" s="2" t="str">
        <f>"SR-15222"</f>
        <v>SR-15222</v>
      </c>
      <c r="H10728" s="2" t="s">
        <v>43414</v>
      </c>
      <c r="I10728" s="2" t="s">
        <v>43415</v>
      </c>
      <c r="K10728" s="2" t="s">
        <v>4061</v>
      </c>
      <c r="L10728" s="2" t="s">
        <v>172</v>
      </c>
      <c r="M10728" s="2">
        <v>75252.0</v>
      </c>
      <c r="N10728" s="2" t="s">
        <v>21</v>
      </c>
    </row>
    <row r="10729" ht="15.75" customHeight="1">
      <c r="A10729" s="2">
        <v>2019.0</v>
      </c>
      <c r="B10729" s="2" t="s">
        <v>42404</v>
      </c>
      <c r="C10729" s="2" t="s">
        <v>42405</v>
      </c>
      <c r="D10729" s="2" t="str">
        <f>"4804809809670"</f>
        <v>4804809809670</v>
      </c>
      <c r="E10729" s="2" t="s">
        <v>7476</v>
      </c>
      <c r="F10729" s="2" t="s">
        <v>2083</v>
      </c>
      <c r="G10729" s="2" t="str">
        <f>"SR-14472"</f>
        <v>SR-14472</v>
      </c>
      <c r="H10729" s="2" t="s">
        <v>42406</v>
      </c>
      <c r="I10729" s="2" t="s">
        <v>42407</v>
      </c>
      <c r="K10729" s="2" t="s">
        <v>42408</v>
      </c>
      <c r="L10729" s="2" t="s">
        <v>422</v>
      </c>
      <c r="M10729" s="2">
        <v>85268.0</v>
      </c>
      <c r="N10729" s="2" t="s">
        <v>21</v>
      </c>
    </row>
    <row r="10730" ht="15.75" customHeight="1">
      <c r="A10730" s="2">
        <v>2019.0</v>
      </c>
      <c r="B10730" s="2" t="s">
        <v>41225</v>
      </c>
      <c r="C10730" s="2" t="s">
        <v>41226</v>
      </c>
      <c r="D10730" s="2" t="str">
        <f>"6122724804"</f>
        <v>6122724804</v>
      </c>
      <c r="E10730" s="2" t="s">
        <v>1725</v>
      </c>
      <c r="F10730" s="2" t="s">
        <v>41227</v>
      </c>
      <c r="G10730" s="2" t="str">
        <f>"SR-14220"</f>
        <v>SR-14220</v>
      </c>
      <c r="H10730" s="2" t="s">
        <v>41228</v>
      </c>
      <c r="I10730" s="2" t="s">
        <v>41229</v>
      </c>
      <c r="K10730" s="2" t="s">
        <v>1073</v>
      </c>
      <c r="L10730" s="2" t="s">
        <v>62</v>
      </c>
      <c r="M10730" s="2">
        <v>55410.0</v>
      </c>
      <c r="N10730" s="2" t="s">
        <v>21</v>
      </c>
    </row>
    <row r="10731" ht="15.75" customHeight="1">
      <c r="A10731" s="2">
        <v>2019.0</v>
      </c>
      <c r="B10731" s="2" t="s">
        <v>39099</v>
      </c>
      <c r="C10731" s="2" t="s">
        <v>39100</v>
      </c>
      <c r="D10731" s="2" t="str">
        <f>"9727304107"</f>
        <v>9727304107</v>
      </c>
      <c r="E10731" s="2" t="s">
        <v>30489</v>
      </c>
      <c r="F10731" s="2" t="s">
        <v>39101</v>
      </c>
      <c r="G10731" s="2" t="str">
        <f>"SR-13433"</f>
        <v>SR-13433</v>
      </c>
      <c r="H10731" s="2" t="s">
        <v>39102</v>
      </c>
      <c r="I10731" s="2" t="s">
        <v>39103</v>
      </c>
      <c r="K10731" s="2" t="s">
        <v>54</v>
      </c>
      <c r="L10731" s="2" t="s">
        <v>172</v>
      </c>
      <c r="M10731" s="2">
        <v>75402.0</v>
      </c>
      <c r="N10731" s="2" t="s">
        <v>21</v>
      </c>
    </row>
    <row r="10732" ht="15.75" customHeight="1">
      <c r="A10732" s="2">
        <v>2019.0</v>
      </c>
      <c r="B10732" s="2" t="s">
        <v>43416</v>
      </c>
      <c r="C10732" s="2" t="s">
        <v>43417</v>
      </c>
      <c r="D10732" s="2" t="str">
        <f>"15638459229"</f>
        <v>15638459229</v>
      </c>
      <c r="E10732" s="2" t="s">
        <v>1022</v>
      </c>
      <c r="F10732" s="2" t="s">
        <v>43418</v>
      </c>
      <c r="G10732" s="2" t="str">
        <f>"SR-15226"</f>
        <v>SR-15226</v>
      </c>
      <c r="H10732" s="2" t="s">
        <v>43419</v>
      </c>
      <c r="I10732" s="2" t="s">
        <v>43420</v>
      </c>
      <c r="K10732" s="2" t="s">
        <v>43421</v>
      </c>
      <c r="L10732" s="2" t="s">
        <v>560</v>
      </c>
      <c r="M10732" s="2">
        <v>52002.0</v>
      </c>
      <c r="N10732" s="2" t="s">
        <v>21</v>
      </c>
    </row>
    <row r="10733" ht="15.75" customHeight="1">
      <c r="A10733" s="2">
        <v>2019.0</v>
      </c>
      <c r="B10733" s="2" t="s">
        <v>38772</v>
      </c>
      <c r="C10733" s="2" t="s">
        <v>38772</v>
      </c>
      <c r="D10733" s="2" t="str">
        <f>"2764943277"</f>
        <v>2764943277</v>
      </c>
      <c r="E10733" s="2" t="s">
        <v>301</v>
      </c>
      <c r="F10733" s="2" t="s">
        <v>666</v>
      </c>
      <c r="G10733" s="2" t="str">
        <f>"SR-13074"</f>
        <v>SR-13074</v>
      </c>
      <c r="H10733" s="2" t="s">
        <v>38773</v>
      </c>
      <c r="I10733" s="2" t="s">
        <v>38774</v>
      </c>
      <c r="J10733" s="2" t="s">
        <v>38775</v>
      </c>
      <c r="K10733" s="2" t="s">
        <v>38776</v>
      </c>
      <c r="L10733" s="2" t="s">
        <v>165</v>
      </c>
      <c r="M10733" s="2">
        <v>24256.0</v>
      </c>
      <c r="N10733" s="2" t="s">
        <v>21</v>
      </c>
    </row>
    <row r="10734" ht="15.75" customHeight="1">
      <c r="A10734" s="2">
        <v>2019.0</v>
      </c>
      <c r="B10734" s="2" t="s">
        <v>37406</v>
      </c>
      <c r="C10734" s="2" t="s">
        <v>37407</v>
      </c>
      <c r="D10734" s="2" t="str">
        <f>"970-249-0948"</f>
        <v>970-249-0948</v>
      </c>
      <c r="E10734" s="2" t="s">
        <v>580</v>
      </c>
      <c r="F10734" s="2" t="s">
        <v>2231</v>
      </c>
      <c r="G10734" s="2" t="str">
        <f>"SR-12766"</f>
        <v>SR-12766</v>
      </c>
      <c r="H10734" s="2" t="s">
        <v>27773</v>
      </c>
      <c r="I10734" s="2" t="s">
        <v>37408</v>
      </c>
      <c r="J10734" s="2" t="s">
        <v>37409</v>
      </c>
      <c r="K10734" s="2" t="s">
        <v>26496</v>
      </c>
      <c r="L10734" s="2" t="s">
        <v>157</v>
      </c>
      <c r="M10734" s="2">
        <v>81401.0</v>
      </c>
      <c r="N10734" s="2" t="s">
        <v>21</v>
      </c>
    </row>
    <row r="10735" ht="15.75" customHeight="1">
      <c r="A10735" s="2">
        <v>2019.0</v>
      </c>
      <c r="B10735" s="2" t="s">
        <v>23326</v>
      </c>
      <c r="C10735" s="2" t="s">
        <v>43422</v>
      </c>
      <c r="D10735" s="2" t="str">
        <f>"281-630-1106"</f>
        <v>281-630-1106</v>
      </c>
      <c r="E10735" s="2" t="s">
        <v>1088</v>
      </c>
      <c r="F10735" s="2" t="s">
        <v>43423</v>
      </c>
      <c r="G10735" s="2" t="str">
        <f>"SR-15230"</f>
        <v>SR-15230</v>
      </c>
      <c r="H10735" s="2" t="s">
        <v>43424</v>
      </c>
      <c r="I10735" s="2" t="s">
        <v>43425</v>
      </c>
      <c r="K10735" s="2" t="s">
        <v>5855</v>
      </c>
      <c r="L10735" s="2" t="s">
        <v>172</v>
      </c>
      <c r="M10735" s="2">
        <v>77389.0</v>
      </c>
      <c r="N10735" s="2" t="s">
        <v>21</v>
      </c>
    </row>
    <row r="10736" ht="15.75" customHeight="1">
      <c r="A10736" s="2">
        <v>2019.0</v>
      </c>
      <c r="B10736" s="2" t="s">
        <v>27729</v>
      </c>
      <c r="C10736" s="2" t="s">
        <v>39865</v>
      </c>
      <c r="D10736" s="2" t="str">
        <f>"281-416-2383"</f>
        <v>281-416-2383</v>
      </c>
      <c r="E10736" s="2" t="s">
        <v>167</v>
      </c>
      <c r="F10736" s="2" t="s">
        <v>9244</v>
      </c>
      <c r="G10736" s="2" t="str">
        <f>"SR-13699"</f>
        <v>SR-13699</v>
      </c>
      <c r="H10736" s="2" t="s">
        <v>39866</v>
      </c>
      <c r="I10736" s="2" t="s">
        <v>27732</v>
      </c>
      <c r="K10736" s="2" t="s">
        <v>27733</v>
      </c>
      <c r="L10736" s="2" t="s">
        <v>172</v>
      </c>
      <c r="M10736" s="2">
        <v>77459.0</v>
      </c>
      <c r="N10736" s="2" t="s">
        <v>21</v>
      </c>
    </row>
    <row r="10737" ht="15.75" customHeight="1">
      <c r="A10737" s="2">
        <v>2019.0</v>
      </c>
      <c r="B10737" s="2" t="s">
        <v>43426</v>
      </c>
      <c r="C10737" s="2" t="s">
        <v>43427</v>
      </c>
      <c r="D10737" s="2" t="str">
        <f>"719-964-3242"</f>
        <v>719-964-3242</v>
      </c>
      <c r="E10737" s="2" t="s">
        <v>14392</v>
      </c>
      <c r="F10737" s="2" t="s">
        <v>23544</v>
      </c>
      <c r="G10737" s="2" t="str">
        <f>"SR-15229"</f>
        <v>SR-15229</v>
      </c>
      <c r="H10737" s="2" t="s">
        <v>43428</v>
      </c>
      <c r="I10737" s="2" t="s">
        <v>23546</v>
      </c>
      <c r="K10737" s="2" t="s">
        <v>809</v>
      </c>
      <c r="L10737" s="2" t="s">
        <v>157</v>
      </c>
      <c r="M10737" s="2">
        <v>80908.0</v>
      </c>
      <c r="N10737" s="2" t="s">
        <v>21</v>
      </c>
    </row>
    <row r="10738" ht="15.75" customHeight="1">
      <c r="A10738" s="2">
        <v>2019.0</v>
      </c>
      <c r="B10738" s="2" t="s">
        <v>41313</v>
      </c>
      <c r="C10738" s="2" t="s">
        <v>43429</v>
      </c>
      <c r="D10738" s="2" t="str">
        <f>"3178343018"</f>
        <v>3178343018</v>
      </c>
      <c r="E10738" s="2" t="s">
        <v>10949</v>
      </c>
      <c r="F10738" s="2" t="s">
        <v>5248</v>
      </c>
      <c r="G10738" s="2" t="str">
        <f>"SR-15232"</f>
        <v>SR-15232</v>
      </c>
      <c r="H10738" s="2" t="s">
        <v>43430</v>
      </c>
      <c r="I10738" s="2" t="s">
        <v>41316</v>
      </c>
      <c r="K10738" s="2" t="s">
        <v>3464</v>
      </c>
      <c r="L10738" s="2" t="s">
        <v>149</v>
      </c>
      <c r="M10738" s="2">
        <v>46158.0</v>
      </c>
      <c r="N10738" s="2" t="s">
        <v>21</v>
      </c>
    </row>
    <row r="10739" ht="15.75" customHeight="1">
      <c r="A10739" s="2">
        <v>2019.0</v>
      </c>
      <c r="B10739" s="2" t="s">
        <v>7302</v>
      </c>
      <c r="C10739" s="2" t="s">
        <v>43431</v>
      </c>
      <c r="D10739" s="2" t="str">
        <f>"2708729379"</f>
        <v>2708729379</v>
      </c>
      <c r="E10739" s="2" t="s">
        <v>3956</v>
      </c>
      <c r="F10739" s="2" t="s">
        <v>7303</v>
      </c>
      <c r="G10739" s="2" t="str">
        <f>"SR-15234"</f>
        <v>SR-15234</v>
      </c>
      <c r="H10739" s="2" t="s">
        <v>43432</v>
      </c>
      <c r="I10739" s="2" t="s">
        <v>7309</v>
      </c>
      <c r="K10739" s="2" t="s">
        <v>7306</v>
      </c>
      <c r="L10739" s="2" t="s">
        <v>1236</v>
      </c>
      <c r="M10739" s="2">
        <v>40175.0</v>
      </c>
      <c r="N10739" s="2" t="s">
        <v>21</v>
      </c>
    </row>
    <row r="10740" ht="15.75" customHeight="1">
      <c r="A10740" s="2">
        <v>2019.0</v>
      </c>
      <c r="B10740" s="2" t="s">
        <v>43433</v>
      </c>
      <c r="C10740" s="2" t="s">
        <v>43434</v>
      </c>
      <c r="D10740" s="2" t="str">
        <f>"719-963-7670"</f>
        <v>719-963-7670</v>
      </c>
      <c r="E10740" s="2" t="s">
        <v>16242</v>
      </c>
      <c r="F10740" s="2" t="s">
        <v>43435</v>
      </c>
      <c r="G10740" s="2" t="str">
        <f>"SR-15126"</f>
        <v>SR-15126</v>
      </c>
      <c r="H10740" s="2" t="s">
        <v>43436</v>
      </c>
      <c r="I10740" s="2" t="s">
        <v>43437</v>
      </c>
      <c r="K10740" s="2" t="s">
        <v>507</v>
      </c>
      <c r="L10740" s="2" t="s">
        <v>157</v>
      </c>
      <c r="M10740" s="2">
        <v>80132.0</v>
      </c>
      <c r="N10740" s="2" t="s">
        <v>21</v>
      </c>
    </row>
    <row r="10741" ht="15.75" customHeight="1">
      <c r="A10741" s="2">
        <v>2019.0</v>
      </c>
      <c r="B10741" s="2" t="s">
        <v>43438</v>
      </c>
      <c r="C10741" s="2" t="s">
        <v>43439</v>
      </c>
      <c r="D10741" s="2" t="str">
        <f>"830-312-1809"</f>
        <v>830-312-1809</v>
      </c>
      <c r="E10741" s="2" t="s">
        <v>27873</v>
      </c>
      <c r="F10741" s="2" t="s">
        <v>18199</v>
      </c>
      <c r="G10741" s="2" t="str">
        <f>"SR-15235"</f>
        <v>SR-15235</v>
      </c>
      <c r="H10741" s="2" t="s">
        <v>43440</v>
      </c>
      <c r="I10741" s="2" t="s">
        <v>43441</v>
      </c>
      <c r="K10741" s="2" t="s">
        <v>14104</v>
      </c>
      <c r="L10741" s="2" t="s">
        <v>172</v>
      </c>
      <c r="M10741" s="2">
        <v>78130.0</v>
      </c>
      <c r="N10741" s="2" t="s">
        <v>21</v>
      </c>
    </row>
    <row r="10742" ht="15.75" customHeight="1">
      <c r="A10742" s="2">
        <v>2019.0</v>
      </c>
      <c r="B10742" s="2" t="s">
        <v>39248</v>
      </c>
      <c r="C10742" s="2" t="s">
        <v>39248</v>
      </c>
      <c r="D10742" s="2" t="str">
        <f>"319-450-2308"</f>
        <v>319-450-2308</v>
      </c>
      <c r="E10742" s="2" t="s">
        <v>1263</v>
      </c>
      <c r="F10742" s="2" t="s">
        <v>9036</v>
      </c>
      <c r="G10742" s="2" t="str">
        <f>"SR-15225"</f>
        <v>SR-15225</v>
      </c>
      <c r="H10742" s="2" t="s">
        <v>39249</v>
      </c>
      <c r="I10742" s="2" t="s">
        <v>43442</v>
      </c>
      <c r="K10742" s="2" t="s">
        <v>3273</v>
      </c>
      <c r="L10742" s="2" t="s">
        <v>560</v>
      </c>
      <c r="M10742" s="2">
        <v>52405.0</v>
      </c>
      <c r="N10742" s="2" t="s">
        <v>21</v>
      </c>
    </row>
    <row r="10743" ht="15.75" customHeight="1">
      <c r="A10743" s="2">
        <v>2019.0</v>
      </c>
      <c r="B10743" s="2" t="s">
        <v>37964</v>
      </c>
      <c r="C10743" s="2" t="s">
        <v>37965</v>
      </c>
      <c r="D10743" s="2" t="str">
        <f>"5404813171"</f>
        <v>5404813171</v>
      </c>
      <c r="E10743" s="2" t="s">
        <v>14005</v>
      </c>
      <c r="F10743" s="2" t="s">
        <v>562</v>
      </c>
      <c r="G10743" s="2" t="str">
        <f>"SR-12923"</f>
        <v>SR-12923</v>
      </c>
      <c r="H10743" s="2" t="s">
        <v>37966</v>
      </c>
      <c r="I10743" s="2" t="s">
        <v>37967</v>
      </c>
      <c r="K10743" s="2" t="s">
        <v>10716</v>
      </c>
      <c r="L10743" s="2" t="s">
        <v>165</v>
      </c>
      <c r="M10743" s="2">
        <v>22801.0</v>
      </c>
      <c r="N10743" s="2" t="s">
        <v>21</v>
      </c>
    </row>
    <row r="10744" ht="15.75" customHeight="1">
      <c r="A10744" s="2">
        <v>2019.0</v>
      </c>
      <c r="B10744" s="2" t="s">
        <v>41724</v>
      </c>
      <c r="C10744" s="2" t="s">
        <v>41725</v>
      </c>
      <c r="D10744" s="2" t="str">
        <f>"7065315152"</f>
        <v>7065315152</v>
      </c>
      <c r="E10744" s="2" t="s">
        <v>239</v>
      </c>
      <c r="F10744" s="2" t="s">
        <v>5310</v>
      </c>
      <c r="G10744" s="2" t="str">
        <f>"SR-14393"</f>
        <v>SR-14393</v>
      </c>
      <c r="H10744" s="2" t="s">
        <v>41726</v>
      </c>
      <c r="I10744" s="2" t="s">
        <v>41727</v>
      </c>
      <c r="K10744" s="2" t="s">
        <v>21389</v>
      </c>
      <c r="L10744" s="2" t="s">
        <v>200</v>
      </c>
      <c r="M10744" s="2">
        <v>30528.0</v>
      </c>
      <c r="N10744" s="2" t="s">
        <v>21</v>
      </c>
    </row>
    <row r="10745" ht="15.75" customHeight="1">
      <c r="A10745" s="2">
        <v>2019.0</v>
      </c>
      <c r="B10745" s="2" t="s">
        <v>38342</v>
      </c>
      <c r="C10745" s="2" t="s">
        <v>38343</v>
      </c>
      <c r="D10745" s="2" t="str">
        <f>"8645518554"</f>
        <v>8645518554</v>
      </c>
      <c r="E10745" s="2" t="s">
        <v>4300</v>
      </c>
      <c r="F10745" s="2" t="s">
        <v>850</v>
      </c>
      <c r="G10745" s="2" t="str">
        <f>"SR-10931"</f>
        <v>SR-10931</v>
      </c>
      <c r="H10745" s="2" t="s">
        <v>38344</v>
      </c>
      <c r="I10745" s="2" t="s">
        <v>38345</v>
      </c>
      <c r="K10745" s="2" t="s">
        <v>15151</v>
      </c>
      <c r="L10745" s="2" t="s">
        <v>55</v>
      </c>
      <c r="M10745" s="2">
        <v>29687.0</v>
      </c>
      <c r="N10745" s="2" t="s">
        <v>21</v>
      </c>
    </row>
    <row r="10746" ht="15.75" customHeight="1">
      <c r="A10746" s="2">
        <v>2019.0</v>
      </c>
      <c r="B10746" s="2" t="s">
        <v>43443</v>
      </c>
      <c r="C10746" s="2" t="s">
        <v>43444</v>
      </c>
      <c r="D10746" s="2" t="str">
        <f>"8596132717"</f>
        <v>8596132717</v>
      </c>
      <c r="E10746" s="2" t="s">
        <v>1585</v>
      </c>
      <c r="F10746" s="2" t="s">
        <v>27337</v>
      </c>
      <c r="G10746" s="2" t="str">
        <f>"SR-15228"</f>
        <v>SR-15228</v>
      </c>
      <c r="H10746" s="2" t="s">
        <v>43445</v>
      </c>
      <c r="I10746" s="2" t="s">
        <v>43446</v>
      </c>
      <c r="K10746" s="2" t="s">
        <v>2449</v>
      </c>
      <c r="L10746" s="2" t="s">
        <v>1236</v>
      </c>
      <c r="M10746" s="2">
        <v>40444.0</v>
      </c>
      <c r="N10746" s="2" t="s">
        <v>21</v>
      </c>
    </row>
    <row r="10747" ht="15.75" customHeight="1">
      <c r="A10747" s="2">
        <v>2019.0</v>
      </c>
      <c r="B10747" s="2" t="s">
        <v>40571</v>
      </c>
      <c r="C10747" s="2" t="s">
        <v>40571</v>
      </c>
      <c r="D10747" s="2" t="str">
        <f>"319-573-7566"</f>
        <v>319-573-7566</v>
      </c>
      <c r="E10747" s="2" t="s">
        <v>7145</v>
      </c>
      <c r="F10747" s="2" t="s">
        <v>40572</v>
      </c>
      <c r="G10747" s="2" t="str">
        <f>"SR-13875"</f>
        <v>SR-13875</v>
      </c>
      <c r="H10747" s="2" t="s">
        <v>40573</v>
      </c>
      <c r="I10747" s="2" t="s">
        <v>40574</v>
      </c>
      <c r="K10747" s="2" t="s">
        <v>28366</v>
      </c>
      <c r="L10747" s="2" t="s">
        <v>560</v>
      </c>
      <c r="M10747" s="2">
        <v>52345.0</v>
      </c>
      <c r="N10747" s="2" t="s">
        <v>21</v>
      </c>
    </row>
    <row r="10748" ht="15.75" customHeight="1">
      <c r="A10748" s="2">
        <v>2019.0</v>
      </c>
      <c r="B10748" s="2" t="s">
        <v>43447</v>
      </c>
      <c r="C10748" s="2" t="s">
        <v>43448</v>
      </c>
      <c r="D10748" s="2" t="str">
        <f>"847-702-4461"</f>
        <v>847-702-4461</v>
      </c>
      <c r="E10748" s="2" t="s">
        <v>590</v>
      </c>
      <c r="F10748" s="2" t="s">
        <v>26840</v>
      </c>
      <c r="G10748" s="2" t="str">
        <f>"SR-15236"</f>
        <v>SR-15236</v>
      </c>
      <c r="H10748" s="2" t="s">
        <v>43449</v>
      </c>
      <c r="I10748" s="2" t="s">
        <v>43450</v>
      </c>
      <c r="K10748" s="2" t="s">
        <v>43451</v>
      </c>
      <c r="L10748" s="2" t="s">
        <v>105</v>
      </c>
      <c r="M10748" s="2">
        <v>60061.0</v>
      </c>
      <c r="N10748" s="2" t="s">
        <v>21</v>
      </c>
    </row>
    <row r="10749" ht="15.75" customHeight="1">
      <c r="A10749" s="2">
        <v>2019.0</v>
      </c>
      <c r="B10749" s="2" t="s">
        <v>34589</v>
      </c>
      <c r="C10749" s="2" t="s">
        <v>43452</v>
      </c>
      <c r="D10749" s="2" t="str">
        <f>"2569471666"</f>
        <v>2569471666</v>
      </c>
      <c r="E10749" s="2" t="s">
        <v>1803</v>
      </c>
      <c r="F10749" s="2" t="s">
        <v>3320</v>
      </c>
      <c r="G10749" s="2" t="str">
        <f>"SR-15237"</f>
        <v>SR-15237</v>
      </c>
      <c r="H10749" s="2" t="s">
        <v>43453</v>
      </c>
      <c r="I10749" s="2" t="s">
        <v>34592</v>
      </c>
      <c r="K10749" s="2" t="s">
        <v>5108</v>
      </c>
      <c r="L10749" s="2" t="s">
        <v>539</v>
      </c>
      <c r="M10749" s="2">
        <v>35611.0</v>
      </c>
      <c r="N10749" s="2" t="s">
        <v>21</v>
      </c>
    </row>
    <row r="10750" ht="15.75" customHeight="1">
      <c r="A10750" s="2">
        <v>2019.0</v>
      </c>
      <c r="B10750" s="2" t="s">
        <v>23326</v>
      </c>
      <c r="C10750" s="2" t="s">
        <v>43454</v>
      </c>
      <c r="D10750" s="2" t="str">
        <f>"713-504-8181"</f>
        <v>713-504-8181</v>
      </c>
      <c r="E10750" s="2" t="s">
        <v>203</v>
      </c>
      <c r="F10750" s="2" t="s">
        <v>11176</v>
      </c>
      <c r="G10750" s="2" t="str">
        <f>"SR-15239"</f>
        <v>SR-15239</v>
      </c>
      <c r="H10750" s="2" t="s">
        <v>43455</v>
      </c>
      <c r="I10750" s="2" t="s">
        <v>43456</v>
      </c>
      <c r="K10750" s="2" t="s">
        <v>2651</v>
      </c>
      <c r="L10750" s="2" t="s">
        <v>172</v>
      </c>
      <c r="M10750" s="2">
        <v>77381.0</v>
      </c>
      <c r="N10750" s="2" t="s">
        <v>21</v>
      </c>
    </row>
    <row r="10751" ht="15.75" customHeight="1">
      <c r="A10751" s="2">
        <v>2019.0</v>
      </c>
      <c r="B10751" s="2" t="s">
        <v>37665</v>
      </c>
      <c r="C10751" s="2" t="s">
        <v>43457</v>
      </c>
      <c r="D10751" s="2" t="str">
        <f>"619-519-7046"</f>
        <v>619-519-7046</v>
      </c>
      <c r="E10751" s="2" t="s">
        <v>386</v>
      </c>
      <c r="F10751" s="2" t="s">
        <v>72</v>
      </c>
      <c r="G10751" s="2" t="str">
        <f>"SR-15240"</f>
        <v>SR-15240</v>
      </c>
      <c r="H10751" s="2" t="s">
        <v>43458</v>
      </c>
      <c r="I10751" s="2" t="s">
        <v>37668</v>
      </c>
      <c r="K10751" s="2" t="s">
        <v>809</v>
      </c>
      <c r="L10751" s="2" t="s">
        <v>157</v>
      </c>
      <c r="M10751" s="2">
        <v>80920.0</v>
      </c>
      <c r="N10751" s="2" t="s">
        <v>21</v>
      </c>
    </row>
    <row r="10752" ht="15.75" customHeight="1">
      <c r="A10752" s="2">
        <v>2019.0</v>
      </c>
      <c r="B10752" s="2" t="s">
        <v>23992</v>
      </c>
      <c r="C10752" s="2" t="s">
        <v>43459</v>
      </c>
      <c r="D10752" s="2" t="str">
        <f>"630 847 9638"</f>
        <v>630 847 9638</v>
      </c>
      <c r="E10752" s="2" t="s">
        <v>6170</v>
      </c>
      <c r="F10752" s="2" t="s">
        <v>23908</v>
      </c>
      <c r="G10752" s="2" t="str">
        <f>"SR-15199"</f>
        <v>SR-15199</v>
      </c>
      <c r="H10752" s="2" t="s">
        <v>43460</v>
      </c>
      <c r="I10752" s="2" t="s">
        <v>43461</v>
      </c>
      <c r="K10752" s="2" t="s">
        <v>43462</v>
      </c>
      <c r="N10752" s="2" t="s">
        <v>43463</v>
      </c>
    </row>
    <row r="10753" ht="15.75" customHeight="1">
      <c r="A10753" s="2">
        <v>2019.0</v>
      </c>
      <c r="B10753" s="2" t="s">
        <v>43464</v>
      </c>
      <c r="C10753" s="2" t="s">
        <v>43464</v>
      </c>
      <c r="D10753" s="2" t="str">
        <f>"303 722-3971"</f>
        <v>303 722-3971</v>
      </c>
      <c r="E10753" s="2" t="s">
        <v>659</v>
      </c>
      <c r="F10753" s="2" t="s">
        <v>43465</v>
      </c>
      <c r="G10753" s="2" t="str">
        <f>"SR-15241"</f>
        <v>SR-15241</v>
      </c>
      <c r="H10753" s="2" t="s">
        <v>43466</v>
      </c>
      <c r="I10753" s="2" t="s">
        <v>43467</v>
      </c>
      <c r="K10753" s="2" t="s">
        <v>6915</v>
      </c>
      <c r="L10753" s="2" t="s">
        <v>157</v>
      </c>
      <c r="M10753" s="2">
        <v>80036.0</v>
      </c>
      <c r="N10753" s="2" t="s">
        <v>21</v>
      </c>
    </row>
    <row r="10754" ht="15.75" customHeight="1">
      <c r="A10754" s="2">
        <v>2019.0</v>
      </c>
      <c r="B10754" s="2" t="s">
        <v>31835</v>
      </c>
      <c r="C10754" s="2" t="s">
        <v>43468</v>
      </c>
      <c r="D10754" s="2" t="str">
        <f>"303-679-2992"</f>
        <v>303-679-2992</v>
      </c>
      <c r="E10754" s="2" t="s">
        <v>2083</v>
      </c>
      <c r="F10754" s="2" t="s">
        <v>31837</v>
      </c>
      <c r="G10754" s="2" t="str">
        <f>"SR-15250"</f>
        <v>SR-15250</v>
      </c>
      <c r="H10754" s="2" t="s">
        <v>43469</v>
      </c>
      <c r="I10754" s="2" t="s">
        <v>43470</v>
      </c>
      <c r="K10754" s="2" t="s">
        <v>9112</v>
      </c>
      <c r="L10754" s="2" t="s">
        <v>157</v>
      </c>
      <c r="M10754" s="2">
        <v>80439.0</v>
      </c>
      <c r="N10754" s="2" t="s">
        <v>21</v>
      </c>
    </row>
    <row r="10755" ht="15.75" customHeight="1">
      <c r="A10755" s="2">
        <v>2019.0</v>
      </c>
      <c r="B10755" s="2" t="s">
        <v>43471</v>
      </c>
      <c r="C10755" s="2" t="s">
        <v>43472</v>
      </c>
      <c r="D10755" s="2" t="str">
        <f>"3032965041"</f>
        <v>3032965041</v>
      </c>
      <c r="E10755" s="2" t="s">
        <v>1088</v>
      </c>
      <c r="F10755" s="2" t="s">
        <v>33030</v>
      </c>
      <c r="G10755" s="2" t="str">
        <f>"SR-15251"</f>
        <v>SR-15251</v>
      </c>
      <c r="H10755" s="2" t="s">
        <v>43473</v>
      </c>
      <c r="I10755" s="2" t="s">
        <v>43474</v>
      </c>
      <c r="K10755" s="2" t="s">
        <v>6514</v>
      </c>
      <c r="L10755" s="2" t="s">
        <v>157</v>
      </c>
      <c r="M10755" s="2">
        <v>80226.0</v>
      </c>
      <c r="N10755" s="2" t="s">
        <v>21</v>
      </c>
    </row>
    <row r="10756" ht="15.75" customHeight="1">
      <c r="A10756" s="2">
        <v>2019.0</v>
      </c>
      <c r="B10756" s="2" t="s">
        <v>42946</v>
      </c>
      <c r="C10756" s="2" t="s">
        <v>42953</v>
      </c>
      <c r="D10756" s="2" t="str">
        <f>"5714281928"</f>
        <v>5714281928</v>
      </c>
      <c r="E10756" s="2" t="s">
        <v>261</v>
      </c>
      <c r="F10756" s="2" t="s">
        <v>42948</v>
      </c>
      <c r="G10756" s="2" t="str">
        <f>"SR-14950"</f>
        <v>SR-14950</v>
      </c>
      <c r="H10756" s="2" t="s">
        <v>42954</v>
      </c>
      <c r="I10756" s="2" t="s">
        <v>42950</v>
      </c>
      <c r="K10756" s="2" t="s">
        <v>12516</v>
      </c>
      <c r="L10756" s="2" t="s">
        <v>165</v>
      </c>
      <c r="M10756" s="2">
        <v>20169.0</v>
      </c>
      <c r="N10756" s="2" t="s">
        <v>21</v>
      </c>
    </row>
    <row r="10757" ht="15.75" customHeight="1">
      <c r="A10757" s="2">
        <v>2019.0</v>
      </c>
      <c r="B10757" s="2" t="s">
        <v>42946</v>
      </c>
      <c r="C10757" s="2" t="s">
        <v>42947</v>
      </c>
      <c r="D10757" s="2" t="str">
        <f>"5717787663"</f>
        <v>5717787663</v>
      </c>
      <c r="E10757" s="2" t="s">
        <v>428</v>
      </c>
      <c r="F10757" s="2" t="s">
        <v>42948</v>
      </c>
      <c r="G10757" s="2" t="str">
        <f>"SR-14951"</f>
        <v>SR-14951</v>
      </c>
      <c r="H10757" s="2" t="s">
        <v>42949</v>
      </c>
      <c r="I10757" s="2" t="s">
        <v>42950</v>
      </c>
      <c r="K10757" s="2" t="s">
        <v>12516</v>
      </c>
      <c r="L10757" s="2" t="s">
        <v>165</v>
      </c>
      <c r="M10757" s="2">
        <v>20169.0</v>
      </c>
      <c r="N10757" s="2" t="s">
        <v>21</v>
      </c>
    </row>
    <row r="10758" ht="15.75" customHeight="1">
      <c r="A10758" s="2">
        <v>2019.0</v>
      </c>
      <c r="B10758" s="2" t="s">
        <v>37929</v>
      </c>
      <c r="C10758" s="2" t="s">
        <v>43475</v>
      </c>
      <c r="D10758" s="2" t="str">
        <f>"8178627514"</f>
        <v>8178627514</v>
      </c>
      <c r="E10758" s="2" t="s">
        <v>29117</v>
      </c>
      <c r="F10758" s="2" t="s">
        <v>22206</v>
      </c>
      <c r="G10758" s="2" t="str">
        <f>"SR-15254"</f>
        <v>SR-15254</v>
      </c>
      <c r="H10758" s="2" t="s">
        <v>43476</v>
      </c>
      <c r="I10758" s="2" t="s">
        <v>22208</v>
      </c>
      <c r="K10758" s="2" t="s">
        <v>43477</v>
      </c>
      <c r="L10758" s="2" t="s">
        <v>172</v>
      </c>
      <c r="M10758" s="2">
        <v>76177.0</v>
      </c>
      <c r="N10758" s="2" t="s">
        <v>21</v>
      </c>
    </row>
    <row r="10759" ht="15.75" customHeight="1">
      <c r="A10759" s="2">
        <v>2019.0</v>
      </c>
      <c r="B10759" s="2" t="s">
        <v>43478</v>
      </c>
      <c r="C10759" s="2" t="s">
        <v>37318</v>
      </c>
      <c r="D10759" s="2" t="str">
        <f>"7134945444"</f>
        <v>7134945444</v>
      </c>
      <c r="E10759" s="2" t="s">
        <v>678</v>
      </c>
      <c r="F10759" s="2" t="s">
        <v>27950</v>
      </c>
      <c r="G10759" s="2" t="str">
        <f>"SR-15257"</f>
        <v>SR-15257</v>
      </c>
      <c r="H10759" s="2" t="s">
        <v>37319</v>
      </c>
      <c r="I10759" s="2" t="s">
        <v>37320</v>
      </c>
      <c r="K10759" s="2" t="s">
        <v>43479</v>
      </c>
      <c r="L10759" s="2" t="s">
        <v>172</v>
      </c>
      <c r="M10759" s="2">
        <v>77384.0</v>
      </c>
      <c r="N10759" s="2" t="s">
        <v>21</v>
      </c>
    </row>
    <row r="10760" ht="15.75" customHeight="1">
      <c r="A10760" s="2">
        <v>2019.0</v>
      </c>
      <c r="B10760" s="2" t="s">
        <v>25260</v>
      </c>
      <c r="D10760" s="2" t="str">
        <f>"4087225431"</f>
        <v>4087225431</v>
      </c>
      <c r="E10760" s="2" t="s">
        <v>25261</v>
      </c>
      <c r="F10760" s="2" t="s">
        <v>25262</v>
      </c>
      <c r="G10760" s="2" t="str">
        <f>"SR-7509"</f>
        <v>SR-7509</v>
      </c>
      <c r="H10760" s="2" t="s">
        <v>25263</v>
      </c>
      <c r="I10760" s="2" t="s">
        <v>25264</v>
      </c>
      <c r="K10760" s="2" t="s">
        <v>25265</v>
      </c>
      <c r="L10760" s="2" t="s">
        <v>222</v>
      </c>
      <c r="M10760" s="2">
        <v>95020.0</v>
      </c>
      <c r="N10760" s="2" t="s">
        <v>21</v>
      </c>
    </row>
    <row r="10761" ht="15.75" customHeight="1">
      <c r="A10761" s="2">
        <v>2019.0</v>
      </c>
      <c r="B10761" s="2" t="s">
        <v>43480</v>
      </c>
      <c r="C10761" s="2" t="s">
        <v>43480</v>
      </c>
      <c r="D10761" s="2" t="str">
        <f>"5129697142"</f>
        <v>5129697142</v>
      </c>
      <c r="E10761" s="2" t="s">
        <v>1434</v>
      </c>
      <c r="F10761" s="2" t="s">
        <v>448</v>
      </c>
      <c r="G10761" s="2" t="str">
        <f>"SR-15259"</f>
        <v>SR-15259</v>
      </c>
      <c r="H10761" s="2" t="s">
        <v>43481</v>
      </c>
      <c r="I10761" s="2" t="s">
        <v>30460</v>
      </c>
      <c r="K10761" s="2" t="s">
        <v>1141</v>
      </c>
      <c r="L10761" s="2" t="s">
        <v>172</v>
      </c>
      <c r="M10761" s="2">
        <v>78757.0</v>
      </c>
      <c r="N10761" s="2" t="s">
        <v>21</v>
      </c>
    </row>
    <row r="10762" ht="15.75" customHeight="1">
      <c r="A10762" s="2">
        <v>2019.0</v>
      </c>
      <c r="B10762" s="2" t="s">
        <v>43482</v>
      </c>
      <c r="C10762" s="2" t="s">
        <v>43483</v>
      </c>
      <c r="D10762" s="2" t="str">
        <f>"9704053023269"</f>
        <v>9704053023269</v>
      </c>
      <c r="E10762" s="2" t="s">
        <v>1918</v>
      </c>
      <c r="F10762" s="2" t="s">
        <v>43484</v>
      </c>
      <c r="G10762" s="2" t="str">
        <f>"SR-15260"</f>
        <v>SR-15260</v>
      </c>
      <c r="H10762" s="2" t="s">
        <v>43485</v>
      </c>
      <c r="I10762" s="2" t="s">
        <v>43486</v>
      </c>
      <c r="K10762" s="2" t="s">
        <v>1632</v>
      </c>
      <c r="L10762" s="2" t="s">
        <v>157</v>
      </c>
      <c r="M10762" s="2">
        <v>80550.0</v>
      </c>
      <c r="N10762" s="2" t="s">
        <v>21</v>
      </c>
    </row>
    <row r="10763" ht="15.75" customHeight="1">
      <c r="A10763" s="2">
        <v>2019.0</v>
      </c>
      <c r="B10763" s="2" t="s">
        <v>43487</v>
      </c>
      <c r="C10763" s="2" t="s">
        <v>43487</v>
      </c>
      <c r="D10763" s="2" t="str">
        <f>"765-643-3213"</f>
        <v>765-643-3213</v>
      </c>
      <c r="E10763" s="2" t="s">
        <v>43488</v>
      </c>
      <c r="F10763" s="2" t="s">
        <v>522</v>
      </c>
      <c r="G10763" s="2" t="str">
        <f>"SR-15262"</f>
        <v>SR-15262</v>
      </c>
      <c r="H10763" s="2" t="s">
        <v>43489</v>
      </c>
      <c r="I10763" s="2" t="s">
        <v>43490</v>
      </c>
      <c r="K10763" s="2" t="s">
        <v>984</v>
      </c>
      <c r="L10763" s="2" t="s">
        <v>149</v>
      </c>
      <c r="M10763" s="2">
        <v>46011.0</v>
      </c>
      <c r="N10763" s="2" t="s">
        <v>21</v>
      </c>
    </row>
    <row r="10764" ht="15.75" customHeight="1">
      <c r="A10764" s="2">
        <v>2019.0</v>
      </c>
      <c r="B10764" s="2" t="s">
        <v>43491</v>
      </c>
      <c r="C10764" s="2" t="s">
        <v>43492</v>
      </c>
      <c r="D10764" s="2" t="str">
        <f>"79530353059"</f>
        <v>79530353059</v>
      </c>
      <c r="E10764" s="2" t="s">
        <v>5335</v>
      </c>
      <c r="F10764" s="2" t="s">
        <v>31805</v>
      </c>
      <c r="G10764" s="2" t="str">
        <f>"SR-15263"</f>
        <v>SR-15263</v>
      </c>
      <c r="H10764" s="2" t="s">
        <v>43493</v>
      </c>
      <c r="I10764" s="2" t="s">
        <v>43494</v>
      </c>
      <c r="K10764" s="2" t="s">
        <v>33348</v>
      </c>
      <c r="N10764" s="2" t="s">
        <v>33350</v>
      </c>
    </row>
    <row r="10765" ht="15.75" customHeight="1">
      <c r="A10765" s="2">
        <v>2019.0</v>
      </c>
      <c r="B10765" s="2" t="s">
        <v>43495</v>
      </c>
      <c r="C10765" s="2" t="s">
        <v>43495</v>
      </c>
      <c r="D10765" s="2" t="str">
        <f>"813-502-7106"</f>
        <v>813-502-7106</v>
      </c>
      <c r="E10765" s="2" t="s">
        <v>1015</v>
      </c>
      <c r="F10765" s="2" t="s">
        <v>15402</v>
      </c>
      <c r="G10765" s="2" t="str">
        <f>"SR-15264"</f>
        <v>SR-15264</v>
      </c>
      <c r="H10765" s="2" t="s">
        <v>43496</v>
      </c>
      <c r="I10765" s="2" t="s">
        <v>15404</v>
      </c>
      <c r="K10765" s="2" t="s">
        <v>5683</v>
      </c>
      <c r="L10765" s="2" t="s">
        <v>208</v>
      </c>
      <c r="M10765" s="2">
        <v>33596.0</v>
      </c>
      <c r="N10765" s="2" t="s">
        <v>21</v>
      </c>
    </row>
    <row r="10766" ht="15.75" customHeight="1">
      <c r="A10766" s="2">
        <v>2019.0</v>
      </c>
      <c r="B10766" s="2" t="s">
        <v>37246</v>
      </c>
      <c r="C10766" s="2" t="s">
        <v>37246</v>
      </c>
      <c r="D10766" s="2" t="str">
        <f>"(703) 544-6710"</f>
        <v>(703) 544-6710</v>
      </c>
      <c r="E10766" s="2" t="s">
        <v>10652</v>
      </c>
      <c r="F10766" s="2" t="s">
        <v>37247</v>
      </c>
      <c r="G10766" s="2" t="str">
        <f>"SR-15270"</f>
        <v>SR-15270</v>
      </c>
      <c r="H10766" s="2" t="s">
        <v>37248</v>
      </c>
      <c r="I10766" s="2" t="s">
        <v>43497</v>
      </c>
      <c r="K10766" s="2" t="s">
        <v>43498</v>
      </c>
      <c r="L10766" s="2" t="s">
        <v>165</v>
      </c>
      <c r="M10766" s="2">
        <v>22182.0</v>
      </c>
      <c r="N10766" s="2" t="s">
        <v>21</v>
      </c>
    </row>
    <row r="10767" ht="15.75" customHeight="1">
      <c r="A10767" s="2">
        <v>2019.0</v>
      </c>
      <c r="B10767" s="2" t="s">
        <v>43499</v>
      </c>
      <c r="C10767" s="2" t="s">
        <v>43499</v>
      </c>
      <c r="D10767" s="2" t="str">
        <f>"740-524-4912"</f>
        <v>740-524-4912</v>
      </c>
      <c r="E10767" s="2" t="s">
        <v>43500</v>
      </c>
      <c r="F10767" s="2" t="s">
        <v>13877</v>
      </c>
      <c r="G10767" s="2" t="str">
        <f>"SR-15158"</f>
        <v>SR-15158</v>
      </c>
      <c r="H10767" s="2" t="s">
        <v>43501</v>
      </c>
      <c r="I10767" s="2" t="s">
        <v>43502</v>
      </c>
      <c r="K10767" s="2" t="s">
        <v>41353</v>
      </c>
      <c r="L10767" s="2" t="s">
        <v>344</v>
      </c>
      <c r="M10767" s="2">
        <v>43074.0</v>
      </c>
      <c r="N10767" s="2" t="s">
        <v>21</v>
      </c>
    </row>
    <row r="10768" ht="15.75" customHeight="1">
      <c r="A10768" s="2">
        <v>2019.0</v>
      </c>
      <c r="B10768" s="2" t="s">
        <v>19062</v>
      </c>
      <c r="C10768" s="2" t="s">
        <v>43503</v>
      </c>
      <c r="D10768" s="2" t="str">
        <f>"706-990-7919"</f>
        <v>706-990-7919</v>
      </c>
      <c r="E10768" s="2" t="s">
        <v>5760</v>
      </c>
      <c r="F10768" s="2" t="s">
        <v>43504</v>
      </c>
      <c r="G10768" s="2" t="str">
        <f>"SR-15268"</f>
        <v>SR-15268</v>
      </c>
      <c r="H10768" s="2" t="s">
        <v>43505</v>
      </c>
      <c r="I10768" s="2" t="s">
        <v>43506</v>
      </c>
      <c r="K10768" s="2" t="s">
        <v>199</v>
      </c>
      <c r="L10768" s="2" t="s">
        <v>200</v>
      </c>
      <c r="M10768" s="2">
        <v>30907.0</v>
      </c>
      <c r="N10768" s="2" t="s">
        <v>21</v>
      </c>
    </row>
    <row r="10769" ht="15.75" customHeight="1">
      <c r="A10769" s="2">
        <v>2019.0</v>
      </c>
      <c r="B10769" s="2" t="s">
        <v>30512</v>
      </c>
      <c r="C10769" s="2" t="s">
        <v>37928</v>
      </c>
      <c r="D10769" s="2" t="str">
        <f>"(540) 854-5050"</f>
        <v>(540) 854-5050</v>
      </c>
      <c r="E10769" s="2" t="s">
        <v>160</v>
      </c>
      <c r="F10769" s="2" t="s">
        <v>30513</v>
      </c>
      <c r="G10769" s="2" t="str">
        <f>"SR-12909"</f>
        <v>SR-12909</v>
      </c>
      <c r="H10769" s="2" t="s">
        <v>30517</v>
      </c>
      <c r="I10769" s="2" t="s">
        <v>30515</v>
      </c>
      <c r="K10769" s="2" t="s">
        <v>30516</v>
      </c>
      <c r="L10769" s="2" t="s">
        <v>165</v>
      </c>
      <c r="M10769" s="2">
        <v>22508.0</v>
      </c>
      <c r="N10769" s="2" t="s">
        <v>21</v>
      </c>
    </row>
    <row r="10770" ht="15.75" customHeight="1">
      <c r="A10770" s="2">
        <v>2019.0</v>
      </c>
      <c r="B10770" s="2" t="s">
        <v>43507</v>
      </c>
      <c r="C10770" s="2" t="s">
        <v>43508</v>
      </c>
      <c r="D10770" s="2" t="str">
        <f>"9139091911"</f>
        <v>9139091911</v>
      </c>
      <c r="E10770" s="2" t="s">
        <v>4647</v>
      </c>
      <c r="F10770" s="2" t="s">
        <v>43509</v>
      </c>
      <c r="G10770" s="2" t="str">
        <f>"SR-15269"</f>
        <v>SR-15269</v>
      </c>
      <c r="H10770" s="2" t="s">
        <v>43510</v>
      </c>
      <c r="I10770" s="2" t="s">
        <v>31240</v>
      </c>
      <c r="K10770" s="2" t="s">
        <v>43511</v>
      </c>
      <c r="L10770" s="2" t="s">
        <v>272</v>
      </c>
      <c r="M10770" s="2">
        <v>66085.0</v>
      </c>
      <c r="N10770" s="2" t="s">
        <v>21</v>
      </c>
    </row>
    <row r="10771" ht="15.75" customHeight="1">
      <c r="A10771" s="2">
        <v>2019.0</v>
      </c>
      <c r="B10771" s="2" t="s">
        <v>32345</v>
      </c>
      <c r="C10771" s="2" t="s">
        <v>32346</v>
      </c>
      <c r="D10771" s="2" t="str">
        <f>"4326850048"</f>
        <v>4326850048</v>
      </c>
      <c r="E10771" s="2" t="s">
        <v>16129</v>
      </c>
      <c r="F10771" s="2" t="s">
        <v>16867</v>
      </c>
      <c r="G10771" s="2" t="str">
        <f>"SR-10527"</f>
        <v>SR-10527</v>
      </c>
      <c r="H10771" s="2" t="s">
        <v>32347</v>
      </c>
      <c r="I10771" s="2" t="s">
        <v>32348</v>
      </c>
      <c r="K10771" s="2" t="s">
        <v>286</v>
      </c>
      <c r="L10771" s="2" t="s">
        <v>172</v>
      </c>
      <c r="M10771" s="2">
        <v>79705.0</v>
      </c>
      <c r="N10771" s="2" t="s">
        <v>21</v>
      </c>
    </row>
    <row r="10772" ht="15.75" customHeight="1">
      <c r="A10772" s="2">
        <v>2019.0</v>
      </c>
      <c r="B10772" s="2" t="s">
        <v>43512</v>
      </c>
      <c r="C10772" s="2" t="s">
        <v>43513</v>
      </c>
      <c r="D10772" s="2" t="str">
        <f>"2076506202"</f>
        <v>2076506202</v>
      </c>
      <c r="E10772" s="2" t="s">
        <v>9924</v>
      </c>
      <c r="F10772" s="2" t="s">
        <v>25205</v>
      </c>
      <c r="G10772" s="2" t="str">
        <f>"SR-15273"</f>
        <v>SR-15273</v>
      </c>
      <c r="H10772" s="2" t="s">
        <v>43514</v>
      </c>
      <c r="I10772" s="2" t="s">
        <v>25207</v>
      </c>
      <c r="K10772" s="2" t="s">
        <v>25208</v>
      </c>
      <c r="L10772" s="2" t="s">
        <v>3737</v>
      </c>
      <c r="M10772" s="2">
        <v>4096.0</v>
      </c>
      <c r="N10772" s="2" t="s">
        <v>21</v>
      </c>
    </row>
    <row r="10773" ht="15.75" customHeight="1">
      <c r="A10773" s="2">
        <v>2019.0</v>
      </c>
      <c r="B10773" s="2" t="s">
        <v>43515</v>
      </c>
      <c r="C10773" s="2" t="s">
        <v>43516</v>
      </c>
      <c r="D10773" s="2" t="str">
        <f>"4066727738"</f>
        <v>4066727738</v>
      </c>
      <c r="E10773" s="2" t="s">
        <v>2089</v>
      </c>
      <c r="F10773" s="2" t="s">
        <v>43517</v>
      </c>
      <c r="G10773" s="2" t="str">
        <f>"SR-15275"</f>
        <v>SR-15275</v>
      </c>
      <c r="H10773" s="2" t="s">
        <v>43518</v>
      </c>
      <c r="I10773" s="2" t="s">
        <v>43519</v>
      </c>
      <c r="K10773" s="2" t="s">
        <v>5732</v>
      </c>
      <c r="L10773" s="2" t="s">
        <v>2696</v>
      </c>
      <c r="M10773" s="2">
        <v>59044.0</v>
      </c>
      <c r="N10773" s="2" t="s">
        <v>21</v>
      </c>
    </row>
    <row r="10774" ht="15.75" customHeight="1">
      <c r="A10774" s="2">
        <v>2019.0</v>
      </c>
      <c r="B10774" s="2" t="s">
        <v>43520</v>
      </c>
      <c r="C10774" s="2" t="s">
        <v>43521</v>
      </c>
      <c r="D10774" s="2" t="str">
        <f>"7196029662"</f>
        <v>7196029662</v>
      </c>
      <c r="E10774" s="2" t="s">
        <v>931</v>
      </c>
      <c r="F10774" s="2" t="s">
        <v>10561</v>
      </c>
      <c r="G10774" s="2" t="str">
        <f>"SR-15276"</f>
        <v>SR-15276</v>
      </c>
      <c r="H10774" s="2" t="s">
        <v>43522</v>
      </c>
      <c r="I10774" s="2" t="s">
        <v>43523</v>
      </c>
      <c r="K10774" s="2" t="s">
        <v>507</v>
      </c>
      <c r="L10774" s="2" t="s">
        <v>157</v>
      </c>
      <c r="M10774" s="2">
        <v>80132.0</v>
      </c>
      <c r="N10774" s="2" t="s">
        <v>21</v>
      </c>
    </row>
    <row r="10775" ht="15.75" customHeight="1">
      <c r="A10775" s="2">
        <v>2019.0</v>
      </c>
      <c r="B10775" s="2" t="s">
        <v>43524</v>
      </c>
      <c r="C10775" s="2" t="s">
        <v>43525</v>
      </c>
      <c r="D10775" s="2" t="str">
        <f>"525574743703"</f>
        <v>525574743703</v>
      </c>
      <c r="E10775" s="2" t="s">
        <v>417</v>
      </c>
      <c r="F10775" s="2" t="s">
        <v>43526</v>
      </c>
      <c r="G10775" s="2" t="str">
        <f>"SR-15282"</f>
        <v>SR-15282</v>
      </c>
      <c r="H10775" s="2" t="s">
        <v>43527</v>
      </c>
      <c r="I10775" s="2" t="s">
        <v>43528</v>
      </c>
      <c r="J10775" s="2" t="s">
        <v>43529</v>
      </c>
      <c r="K10775" s="2" t="s">
        <v>43530</v>
      </c>
      <c r="L10775" s="2" t="s">
        <v>43530</v>
      </c>
      <c r="M10775" s="2">
        <v>1210.0</v>
      </c>
      <c r="N10775" s="2" t="s">
        <v>7784</v>
      </c>
    </row>
    <row r="10776" ht="15.75" customHeight="1">
      <c r="A10776" s="2">
        <v>2019.0</v>
      </c>
      <c r="B10776" s="2" t="s">
        <v>43524</v>
      </c>
      <c r="C10776" s="2" t="s">
        <v>43524</v>
      </c>
      <c r="D10776" s="2" t="str">
        <f>"525574743675"</f>
        <v>525574743675</v>
      </c>
      <c r="E10776" s="2" t="s">
        <v>43531</v>
      </c>
      <c r="F10776" s="2" t="s">
        <v>43526</v>
      </c>
      <c r="G10776" s="2" t="str">
        <f>"SR-15283"</f>
        <v>SR-15283</v>
      </c>
      <c r="H10776" s="2" t="s">
        <v>43532</v>
      </c>
      <c r="I10776" s="2" t="s">
        <v>43528</v>
      </c>
      <c r="J10776" s="2" t="s">
        <v>43529</v>
      </c>
      <c r="K10776" s="2" t="s">
        <v>43533</v>
      </c>
      <c r="L10776" s="2" t="s">
        <v>43530</v>
      </c>
      <c r="M10776" s="2">
        <v>1210.0</v>
      </c>
      <c r="N10776" s="2" t="s">
        <v>7784</v>
      </c>
    </row>
    <row r="10777" ht="15.75" customHeight="1">
      <c r="A10777" s="2">
        <v>2019.0</v>
      </c>
      <c r="B10777" s="2" t="s">
        <v>43534</v>
      </c>
      <c r="C10777" s="2" t="s">
        <v>43534</v>
      </c>
      <c r="D10777" s="2" t="str">
        <f>"717-875-3852"</f>
        <v>717-875-3852</v>
      </c>
      <c r="E10777" s="2" t="s">
        <v>2126</v>
      </c>
      <c r="F10777" s="2" t="s">
        <v>7637</v>
      </c>
      <c r="G10777" s="2" t="str">
        <f>"SR-15285"</f>
        <v>SR-15285</v>
      </c>
      <c r="H10777" s="2" t="s">
        <v>43535</v>
      </c>
      <c r="I10777" s="2" t="s">
        <v>7639</v>
      </c>
      <c r="K10777" s="2" t="s">
        <v>7640</v>
      </c>
      <c r="L10777" s="2" t="s">
        <v>179</v>
      </c>
      <c r="M10777" s="2">
        <v>17543.0</v>
      </c>
      <c r="N10777" s="2" t="s">
        <v>21</v>
      </c>
    </row>
    <row r="10778" ht="15.75" customHeight="1">
      <c r="A10778" s="2">
        <v>2019.0</v>
      </c>
      <c r="B10778" s="2" t="s">
        <v>43536</v>
      </c>
      <c r="C10778" s="2" t="s">
        <v>43537</v>
      </c>
      <c r="D10778" s="2" t="str">
        <f>"2144714102"</f>
        <v>2144714102</v>
      </c>
      <c r="E10778" s="2" t="s">
        <v>1301</v>
      </c>
      <c r="F10778" s="2" t="s">
        <v>43538</v>
      </c>
      <c r="G10778" s="2" t="str">
        <f>"SR-15217"</f>
        <v>SR-15217</v>
      </c>
      <c r="H10778" s="2" t="s">
        <v>43539</v>
      </c>
      <c r="I10778" s="2" t="s">
        <v>43540</v>
      </c>
      <c r="K10778" s="2" t="s">
        <v>26544</v>
      </c>
      <c r="L10778" s="2" t="s">
        <v>172</v>
      </c>
      <c r="M10778" s="2">
        <v>75189.0</v>
      </c>
      <c r="N10778" s="2" t="s">
        <v>21</v>
      </c>
    </row>
    <row r="10779" ht="15.75" customHeight="1">
      <c r="A10779" s="2">
        <v>2019.0</v>
      </c>
      <c r="B10779" s="2" t="s">
        <v>40122</v>
      </c>
      <c r="C10779" s="2" t="s">
        <v>40123</v>
      </c>
      <c r="D10779" s="2" t="str">
        <f>"3083907466"</f>
        <v>3083907466</v>
      </c>
      <c r="E10779" s="2" t="s">
        <v>1548</v>
      </c>
      <c r="F10779" s="2" t="s">
        <v>40124</v>
      </c>
      <c r="G10779" s="2" t="str">
        <f>"SR-13790"</f>
        <v>SR-13790</v>
      </c>
      <c r="H10779" s="2" t="s">
        <v>40125</v>
      </c>
      <c r="I10779" s="2" t="s">
        <v>40126</v>
      </c>
      <c r="K10779" s="2" t="s">
        <v>14870</v>
      </c>
      <c r="L10779" s="2" t="s">
        <v>757</v>
      </c>
      <c r="M10779" s="2">
        <v>68845.0</v>
      </c>
      <c r="N10779" s="2" t="s">
        <v>21</v>
      </c>
    </row>
    <row r="10780" ht="15.75" customHeight="1">
      <c r="A10780" s="2">
        <v>2019.0</v>
      </c>
      <c r="B10780" s="2" t="s">
        <v>43541</v>
      </c>
      <c r="C10780" s="2" t="s">
        <v>43541</v>
      </c>
      <c r="D10780" s="2" t="str">
        <f>"615.870.9544"</f>
        <v>615.870.9544</v>
      </c>
      <c r="E10780" s="2" t="s">
        <v>1022</v>
      </c>
      <c r="F10780" s="2" t="s">
        <v>850</v>
      </c>
      <c r="G10780" s="2" t="str">
        <f>"SR-15299"</f>
        <v>SR-15299</v>
      </c>
      <c r="H10780" s="2" t="s">
        <v>43542</v>
      </c>
      <c r="I10780" s="2" t="s">
        <v>43543</v>
      </c>
      <c r="K10780" s="2" t="s">
        <v>5843</v>
      </c>
      <c r="L10780" s="2" t="s">
        <v>279</v>
      </c>
      <c r="M10780" s="2">
        <v>37179.0</v>
      </c>
      <c r="N10780" s="2" t="s">
        <v>21</v>
      </c>
    </row>
    <row r="10781" ht="15.75" customHeight="1">
      <c r="A10781" s="2">
        <v>2019.0</v>
      </c>
      <c r="B10781" s="2" t="s">
        <v>18446</v>
      </c>
      <c r="C10781" s="2" t="s">
        <v>43544</v>
      </c>
      <c r="D10781" s="2" t="str">
        <f>"9495429064"</f>
        <v>9495429064</v>
      </c>
      <c r="E10781" s="2" t="s">
        <v>17452</v>
      </c>
      <c r="F10781" s="2" t="s">
        <v>18448</v>
      </c>
      <c r="G10781" s="2" t="str">
        <f>"SR-15303"</f>
        <v>SR-15303</v>
      </c>
      <c r="H10781" s="2" t="s">
        <v>43545</v>
      </c>
      <c r="I10781" s="2" t="s">
        <v>18450</v>
      </c>
      <c r="K10781" s="2" t="s">
        <v>16116</v>
      </c>
      <c r="L10781" s="2" t="s">
        <v>222</v>
      </c>
      <c r="M10781" s="2">
        <v>92630.0</v>
      </c>
      <c r="N10781" s="2" t="s">
        <v>21</v>
      </c>
    </row>
    <row r="10782" ht="15.75" customHeight="1">
      <c r="A10782" s="2">
        <v>2019.0</v>
      </c>
      <c r="B10782" s="2" t="s">
        <v>11444</v>
      </c>
      <c r="C10782" s="2" t="s">
        <v>43546</v>
      </c>
      <c r="D10782" s="2" t="str">
        <f>"9707731658"</f>
        <v>9707731658</v>
      </c>
      <c r="E10782" s="2" t="s">
        <v>301</v>
      </c>
      <c r="F10782" s="2" t="s">
        <v>11446</v>
      </c>
      <c r="G10782" s="2" t="str">
        <f>"SR-15304"</f>
        <v>SR-15304</v>
      </c>
      <c r="H10782" s="2" t="s">
        <v>43547</v>
      </c>
      <c r="I10782" s="2" t="s">
        <v>11448</v>
      </c>
      <c r="K10782" s="2" t="s">
        <v>11440</v>
      </c>
      <c r="L10782" s="2" t="s">
        <v>157</v>
      </c>
      <c r="M10782" s="2">
        <v>81505.0</v>
      </c>
      <c r="N10782" s="2" t="s">
        <v>21</v>
      </c>
    </row>
    <row r="10783" ht="15.75" customHeight="1">
      <c r="A10783" s="2">
        <v>2019.0</v>
      </c>
      <c r="B10783" s="2" t="s">
        <v>43548</v>
      </c>
      <c r="C10783" s="2" t="s">
        <v>43549</v>
      </c>
      <c r="D10783" s="2" t="str">
        <f>"734-657-8717"</f>
        <v>734-657-8717</v>
      </c>
      <c r="E10783" s="2" t="s">
        <v>751</v>
      </c>
      <c r="F10783" s="2" t="s">
        <v>31</v>
      </c>
      <c r="G10783" s="2" t="str">
        <f>"SR-15224"</f>
        <v>SR-15224</v>
      </c>
      <c r="H10783" s="2" t="s">
        <v>43550</v>
      </c>
      <c r="I10783" s="2" t="s">
        <v>43551</v>
      </c>
      <c r="K10783" s="2" t="s">
        <v>43552</v>
      </c>
      <c r="L10783" s="2" t="s">
        <v>29</v>
      </c>
      <c r="M10783" s="2">
        <v>48159.0</v>
      </c>
      <c r="N10783" s="2" t="s">
        <v>21</v>
      </c>
    </row>
    <row r="10784" ht="15.75" customHeight="1">
      <c r="A10784" s="2">
        <v>2019.0</v>
      </c>
      <c r="B10784" s="2" t="s">
        <v>43553</v>
      </c>
      <c r="D10784" s="2" t="str">
        <f>""</f>
        <v/>
      </c>
      <c r="E10784" s="2" t="s">
        <v>6170</v>
      </c>
      <c r="F10784" s="2" t="s">
        <v>962</v>
      </c>
      <c r="G10784" s="2" t="str">
        <f>"SR-15308"</f>
        <v>SR-15308</v>
      </c>
      <c r="H10784" s="2" t="s">
        <v>43554</v>
      </c>
      <c r="N10784" s="2" t="s">
        <v>21</v>
      </c>
    </row>
    <row r="10785" ht="15.75" customHeight="1">
      <c r="A10785" s="2">
        <v>2019.0</v>
      </c>
      <c r="B10785" s="2" t="s">
        <v>43555</v>
      </c>
      <c r="C10785" s="2" t="s">
        <v>43556</v>
      </c>
      <c r="D10785" s="2" t="str">
        <f t="shared" ref="D10785:D10786" si="180">"949-310-5545"</f>
        <v>949-310-5545</v>
      </c>
      <c r="E10785" s="2" t="s">
        <v>1767</v>
      </c>
      <c r="F10785" s="2" t="s">
        <v>24271</v>
      </c>
      <c r="G10785" s="2" t="str">
        <f>"SR-15309"</f>
        <v>SR-15309</v>
      </c>
      <c r="H10785" s="2" t="s">
        <v>43557</v>
      </c>
      <c r="I10785" s="2" t="s">
        <v>24273</v>
      </c>
      <c r="K10785" s="2" t="s">
        <v>10926</v>
      </c>
      <c r="L10785" s="2" t="s">
        <v>222</v>
      </c>
      <c r="M10785" s="2">
        <v>92691.0</v>
      </c>
      <c r="N10785" s="2" t="s">
        <v>21</v>
      </c>
    </row>
    <row r="10786" ht="15.75" customHeight="1">
      <c r="A10786" s="2">
        <v>2019.0</v>
      </c>
      <c r="B10786" s="2" t="s">
        <v>43555</v>
      </c>
      <c r="C10786" s="2" t="s">
        <v>43558</v>
      </c>
      <c r="D10786" s="2" t="str">
        <f t="shared" si="180"/>
        <v>949-310-5545</v>
      </c>
      <c r="E10786" s="2" t="s">
        <v>1288</v>
      </c>
      <c r="F10786" s="2" t="s">
        <v>24271</v>
      </c>
      <c r="G10786" s="2" t="str">
        <f>"SR-15312"</f>
        <v>SR-15312</v>
      </c>
      <c r="H10786" s="2" t="s">
        <v>43559</v>
      </c>
      <c r="I10786" s="2" t="s">
        <v>24273</v>
      </c>
      <c r="K10786" s="2" t="s">
        <v>10926</v>
      </c>
      <c r="L10786" s="2" t="s">
        <v>222</v>
      </c>
      <c r="M10786" s="2">
        <v>92691.0</v>
      </c>
      <c r="N10786" s="2" t="s">
        <v>21</v>
      </c>
    </row>
    <row r="10787" ht="15.75" customHeight="1">
      <c r="A10787" s="2">
        <v>2019.0</v>
      </c>
      <c r="B10787" s="2" t="s">
        <v>43560</v>
      </c>
      <c r="C10787" s="2" t="s">
        <v>43561</v>
      </c>
      <c r="D10787" s="2" t="str">
        <f>"727-744-0139"</f>
        <v>727-744-0139</v>
      </c>
      <c r="E10787" s="2" t="s">
        <v>2800</v>
      </c>
      <c r="F10787" s="2" t="s">
        <v>43562</v>
      </c>
      <c r="G10787" s="2" t="str">
        <f>"SR-15174"</f>
        <v>SR-15174</v>
      </c>
      <c r="H10787" s="2" t="s">
        <v>43563</v>
      </c>
      <c r="I10787" s="2" t="s">
        <v>43564</v>
      </c>
      <c r="J10787" s="2" t="s">
        <v>43565</v>
      </c>
      <c r="K10787" s="2" t="s">
        <v>414</v>
      </c>
      <c r="L10787" s="2" t="s">
        <v>208</v>
      </c>
      <c r="M10787" s="2">
        <v>33771.0</v>
      </c>
      <c r="N10787" s="2" t="s">
        <v>21</v>
      </c>
    </row>
    <row r="10788" ht="15.75" customHeight="1">
      <c r="A10788" s="2">
        <v>2019.0</v>
      </c>
      <c r="B10788" s="2" t="s">
        <v>43566</v>
      </c>
      <c r="C10788" s="2" t="s">
        <v>43567</v>
      </c>
      <c r="D10788" s="2" t="str">
        <f>"949-322-6345"</f>
        <v>949-322-6345</v>
      </c>
      <c r="E10788" s="2" t="s">
        <v>4637</v>
      </c>
      <c r="F10788" s="2" t="s">
        <v>43568</v>
      </c>
      <c r="G10788" s="2" t="str">
        <f>"SR-15266"</f>
        <v>SR-15266</v>
      </c>
      <c r="H10788" s="2" t="s">
        <v>43569</v>
      </c>
      <c r="I10788" s="2" t="s">
        <v>43570</v>
      </c>
      <c r="K10788" s="2" t="s">
        <v>10926</v>
      </c>
      <c r="L10788" s="2" t="s">
        <v>222</v>
      </c>
      <c r="M10788" s="2">
        <v>92691.0</v>
      </c>
      <c r="N10788" s="2" t="s">
        <v>21</v>
      </c>
    </row>
    <row r="10789" ht="15.75" customHeight="1">
      <c r="A10789" s="2">
        <v>2019.0</v>
      </c>
      <c r="B10789" s="2" t="s">
        <v>43571</v>
      </c>
      <c r="C10789" s="2" t="s">
        <v>43572</v>
      </c>
      <c r="D10789" s="2" t="str">
        <f>"6167240557"</f>
        <v>6167240557</v>
      </c>
      <c r="E10789" s="2" t="s">
        <v>6897</v>
      </c>
      <c r="F10789" s="2" t="s">
        <v>22636</v>
      </c>
      <c r="G10789" s="2" t="str">
        <f>"SR-15315"</f>
        <v>SR-15315</v>
      </c>
      <c r="H10789" s="2" t="s">
        <v>43573</v>
      </c>
      <c r="I10789" s="2">
        <v>3712.0</v>
      </c>
      <c r="K10789" s="2" t="s">
        <v>43574</v>
      </c>
      <c r="L10789" s="2" t="s">
        <v>789</v>
      </c>
      <c r="M10789" s="2">
        <v>87301.0</v>
      </c>
      <c r="N10789" s="2" t="s">
        <v>21</v>
      </c>
    </row>
    <row r="10790" ht="15.75" customHeight="1">
      <c r="A10790" s="2">
        <v>2019.0</v>
      </c>
      <c r="B10790" s="2" t="s">
        <v>43575</v>
      </c>
      <c r="C10790" s="2" t="s">
        <v>43575</v>
      </c>
      <c r="D10790" s="2" t="str">
        <f>"3038860234"</f>
        <v>3038860234</v>
      </c>
      <c r="E10790" s="2" t="s">
        <v>43576</v>
      </c>
      <c r="F10790" s="2" t="s">
        <v>43577</v>
      </c>
      <c r="G10790" s="2" t="str">
        <f>"SR-14153"</f>
        <v>SR-14153</v>
      </c>
      <c r="H10790" s="2" t="s">
        <v>43578</v>
      </c>
      <c r="I10790" s="2" t="s">
        <v>43579</v>
      </c>
      <c r="K10790" s="2" t="s">
        <v>7630</v>
      </c>
      <c r="L10790" s="2" t="s">
        <v>20</v>
      </c>
      <c r="M10790" s="2">
        <v>27104.0</v>
      </c>
      <c r="N10790" s="2" t="s">
        <v>21</v>
      </c>
    </row>
    <row r="10791" ht="15.75" customHeight="1">
      <c r="A10791" s="2">
        <v>2019.0</v>
      </c>
      <c r="B10791" s="2" t="s">
        <v>43580</v>
      </c>
      <c r="C10791" s="2" t="s">
        <v>43580</v>
      </c>
      <c r="D10791" s="2" t="str">
        <f>"528110222971"</f>
        <v>528110222971</v>
      </c>
      <c r="E10791" s="2" t="s">
        <v>38605</v>
      </c>
      <c r="F10791" s="2" t="s">
        <v>15889</v>
      </c>
      <c r="G10791" s="2" t="str">
        <f>"SR-15314"</f>
        <v>SR-15314</v>
      </c>
      <c r="H10791" s="2" t="s">
        <v>43581</v>
      </c>
      <c r="I10791" s="2" t="s">
        <v>15891</v>
      </c>
      <c r="J10791" s="2" t="s">
        <v>15892</v>
      </c>
      <c r="K10791" s="2" t="s">
        <v>15893</v>
      </c>
      <c r="L10791" s="2" t="s">
        <v>15894</v>
      </c>
      <c r="M10791" s="2">
        <v>66240.0</v>
      </c>
      <c r="N10791" s="2" t="s">
        <v>7784</v>
      </c>
    </row>
    <row r="10792" ht="15.75" customHeight="1">
      <c r="A10792" s="2">
        <v>2019.0</v>
      </c>
      <c r="B10792" s="2" t="s">
        <v>43582</v>
      </c>
      <c r="C10792" s="2" t="s">
        <v>43583</v>
      </c>
      <c r="D10792" s="2" t="str">
        <f>"2168561334"</f>
        <v>2168561334</v>
      </c>
      <c r="E10792" s="2" t="s">
        <v>301</v>
      </c>
      <c r="F10792" s="2" t="s">
        <v>43584</v>
      </c>
      <c r="G10792" s="2" t="str">
        <f>"SR-15307"</f>
        <v>SR-15307</v>
      </c>
      <c r="H10792" s="2" t="s">
        <v>43585</v>
      </c>
      <c r="I10792" s="2" t="s">
        <v>43586</v>
      </c>
      <c r="K10792" s="2" t="s">
        <v>43587</v>
      </c>
      <c r="L10792" s="2" t="s">
        <v>344</v>
      </c>
      <c r="M10792" s="2">
        <v>44077.0</v>
      </c>
      <c r="N10792" s="2" t="s">
        <v>21</v>
      </c>
    </row>
    <row r="10793" ht="15.75" customHeight="1">
      <c r="A10793" s="2">
        <v>2019.0</v>
      </c>
      <c r="B10793" s="2" t="s">
        <v>43588</v>
      </c>
      <c r="C10793" s="2" t="s">
        <v>43589</v>
      </c>
      <c r="D10793" s="2" t="str">
        <f>"5079937658"</f>
        <v>5079937658</v>
      </c>
      <c r="E10793" s="2" t="s">
        <v>124</v>
      </c>
      <c r="F10793" s="2" t="s">
        <v>2373</v>
      </c>
      <c r="G10793" s="2" t="str">
        <f>"SR-15316"</f>
        <v>SR-15316</v>
      </c>
      <c r="H10793" s="2" t="s">
        <v>43590</v>
      </c>
      <c r="I10793" s="2" t="s">
        <v>43591</v>
      </c>
      <c r="K10793" s="2" t="s">
        <v>2804</v>
      </c>
      <c r="L10793" s="2" t="s">
        <v>62</v>
      </c>
      <c r="M10793" s="2">
        <v>55906.0</v>
      </c>
      <c r="N10793" s="2" t="s">
        <v>21</v>
      </c>
    </row>
    <row r="10794" ht="15.75" customHeight="1">
      <c r="A10794" s="2">
        <v>2019.0</v>
      </c>
      <c r="B10794" s="2" t="s">
        <v>32424</v>
      </c>
      <c r="C10794" s="2" t="s">
        <v>32424</v>
      </c>
      <c r="D10794" s="2" t="str">
        <f>"478-960-3003"</f>
        <v>478-960-3003</v>
      </c>
      <c r="E10794" s="2" t="s">
        <v>1782</v>
      </c>
      <c r="F10794" s="2" t="s">
        <v>25851</v>
      </c>
      <c r="G10794" s="2" t="str">
        <f>"SR-10532"</f>
        <v>SR-10532</v>
      </c>
      <c r="H10794" s="2" t="s">
        <v>32425</v>
      </c>
      <c r="I10794" s="2" t="s">
        <v>32426</v>
      </c>
      <c r="K10794" s="2" t="s">
        <v>7843</v>
      </c>
      <c r="L10794" s="2" t="s">
        <v>200</v>
      </c>
      <c r="M10794" s="2">
        <v>31204.0</v>
      </c>
      <c r="N10794" s="2" t="s">
        <v>21</v>
      </c>
    </row>
    <row r="10795" ht="15.75" customHeight="1">
      <c r="A10795" s="2">
        <v>2019.0</v>
      </c>
      <c r="B10795" s="2" t="s">
        <v>43592</v>
      </c>
      <c r="C10795" s="2" t="s">
        <v>43592</v>
      </c>
      <c r="D10795" s="2" t="str">
        <f>"3523960141"</f>
        <v>3523960141</v>
      </c>
      <c r="E10795" s="2" t="s">
        <v>9197</v>
      </c>
      <c r="F10795" s="2" t="s">
        <v>984</v>
      </c>
      <c r="G10795" s="2" t="str">
        <f>"SR-15322"</f>
        <v>SR-15322</v>
      </c>
      <c r="H10795" s="2" t="s">
        <v>43593</v>
      </c>
      <c r="I10795" s="2" t="s">
        <v>43594</v>
      </c>
      <c r="K10795" s="2" t="s">
        <v>21062</v>
      </c>
      <c r="L10795" s="2" t="s">
        <v>208</v>
      </c>
      <c r="M10795" s="2">
        <v>34787.0</v>
      </c>
      <c r="N10795" s="2" t="s">
        <v>21</v>
      </c>
    </row>
    <row r="10796" ht="15.75" customHeight="1">
      <c r="A10796" s="2">
        <v>2019.0</v>
      </c>
      <c r="B10796" s="2" t="s">
        <v>43595</v>
      </c>
      <c r="C10796" s="2" t="s">
        <v>43595</v>
      </c>
      <c r="D10796" s="2" t="str">
        <f>"8044021220"</f>
        <v>8044021220</v>
      </c>
      <c r="E10796" s="2" t="s">
        <v>1180</v>
      </c>
      <c r="F10796" s="2" t="s">
        <v>43596</v>
      </c>
      <c r="G10796" s="2" t="str">
        <f>"SR-15327"</f>
        <v>SR-15327</v>
      </c>
      <c r="H10796" s="2" t="s">
        <v>43597</v>
      </c>
      <c r="I10796" s="2" t="s">
        <v>43598</v>
      </c>
      <c r="K10796" s="2" t="s">
        <v>43599</v>
      </c>
      <c r="L10796" s="2" t="s">
        <v>86</v>
      </c>
      <c r="M10796" s="2">
        <v>98327.0</v>
      </c>
      <c r="N10796" s="2" t="s">
        <v>21</v>
      </c>
    </row>
    <row r="10797" ht="15.75" customHeight="1">
      <c r="A10797" s="2">
        <v>2019.0</v>
      </c>
      <c r="B10797" s="2" t="s">
        <v>43600</v>
      </c>
      <c r="C10797" s="2" t="s">
        <v>43600</v>
      </c>
      <c r="D10797" s="2" t="str">
        <f>"407-701-8159"</f>
        <v>407-701-8159</v>
      </c>
      <c r="E10797" s="2" t="s">
        <v>43601</v>
      </c>
      <c r="F10797" s="2" t="s">
        <v>659</v>
      </c>
      <c r="G10797" s="2" t="str">
        <f>"SR-15328"</f>
        <v>SR-15328</v>
      </c>
      <c r="H10797" s="2" t="s">
        <v>43602</v>
      </c>
      <c r="I10797" s="2" t="s">
        <v>43603</v>
      </c>
      <c r="K10797" s="2" t="s">
        <v>4724</v>
      </c>
      <c r="L10797" s="2" t="s">
        <v>208</v>
      </c>
      <c r="M10797" s="2">
        <v>32810.0</v>
      </c>
      <c r="N10797" s="2" t="s">
        <v>21</v>
      </c>
    </row>
    <row r="10798" ht="15.75" customHeight="1">
      <c r="A10798" s="2">
        <v>2019.0</v>
      </c>
      <c r="B10798" s="2" t="s">
        <v>43604</v>
      </c>
      <c r="C10798" s="2" t="s">
        <v>43605</v>
      </c>
      <c r="D10798" s="2" t="str">
        <f>"719-396-4042"</f>
        <v>719-396-4042</v>
      </c>
      <c r="E10798" s="2" t="s">
        <v>1263</v>
      </c>
      <c r="F10798" s="2" t="s">
        <v>43606</v>
      </c>
      <c r="G10798" s="2" t="str">
        <f>"SR-15330"</f>
        <v>SR-15330</v>
      </c>
      <c r="H10798" s="2" t="s">
        <v>43607</v>
      </c>
      <c r="I10798" s="2" t="s">
        <v>43608</v>
      </c>
      <c r="K10798" s="2" t="s">
        <v>809</v>
      </c>
      <c r="L10798" s="2" t="s">
        <v>157</v>
      </c>
      <c r="M10798" s="2">
        <v>80921.0</v>
      </c>
      <c r="N10798" s="2" t="s">
        <v>21</v>
      </c>
    </row>
    <row r="10799" ht="15.75" customHeight="1">
      <c r="A10799" s="2">
        <v>2019.0</v>
      </c>
      <c r="B10799" s="2" t="s">
        <v>39294</v>
      </c>
      <c r="C10799" s="2" t="s">
        <v>43609</v>
      </c>
      <c r="D10799" s="2" t="str">
        <f>"920-372-8404"</f>
        <v>920-372-8404</v>
      </c>
      <c r="E10799" s="2" t="s">
        <v>1455</v>
      </c>
      <c r="F10799" s="2" t="s">
        <v>39296</v>
      </c>
      <c r="G10799" s="2" t="str">
        <f>"SR-15333"</f>
        <v>SR-15333</v>
      </c>
      <c r="H10799" s="2" t="s">
        <v>43610</v>
      </c>
      <c r="I10799" s="2" t="s">
        <v>39298</v>
      </c>
      <c r="K10799" s="2" t="s">
        <v>39299</v>
      </c>
      <c r="L10799" s="2" t="s">
        <v>193</v>
      </c>
      <c r="M10799" s="2">
        <v>54180.0</v>
      </c>
      <c r="N10799" s="2" t="s">
        <v>21</v>
      </c>
    </row>
    <row r="10800" ht="15.75" customHeight="1">
      <c r="A10800" s="2">
        <v>2019.0</v>
      </c>
      <c r="B10800" s="2" t="s">
        <v>43611</v>
      </c>
      <c r="C10800" s="2" t="s">
        <v>43612</v>
      </c>
      <c r="D10800" s="2" t="str">
        <f>"719-231-3521"</f>
        <v>719-231-3521</v>
      </c>
      <c r="E10800" s="2" t="s">
        <v>4300</v>
      </c>
      <c r="F10800" s="2" t="s">
        <v>28103</v>
      </c>
      <c r="G10800" s="2" t="str">
        <f>"SR-15335"</f>
        <v>SR-15335</v>
      </c>
      <c r="H10800" s="2" t="s">
        <v>43613</v>
      </c>
      <c r="I10800" s="2" t="s">
        <v>43614</v>
      </c>
      <c r="K10800" s="2" t="s">
        <v>809</v>
      </c>
      <c r="L10800" s="2" t="s">
        <v>157</v>
      </c>
      <c r="M10800" s="2">
        <v>80906.0</v>
      </c>
      <c r="N10800" s="2" t="s">
        <v>21</v>
      </c>
    </row>
    <row r="10801" ht="15.75" customHeight="1">
      <c r="A10801" s="2">
        <v>2019.0</v>
      </c>
      <c r="B10801" s="2" t="s">
        <v>43615</v>
      </c>
      <c r="C10801" s="2" t="s">
        <v>43616</v>
      </c>
      <c r="D10801" s="2" t="str">
        <f>"5037309244"</f>
        <v>5037309244</v>
      </c>
      <c r="E10801" s="2" t="s">
        <v>1135</v>
      </c>
      <c r="F10801" s="2" t="s">
        <v>32095</v>
      </c>
      <c r="G10801" s="2" t="str">
        <f>"SR-15336"</f>
        <v>SR-15336</v>
      </c>
      <c r="H10801" s="2" t="s">
        <v>43617</v>
      </c>
      <c r="I10801" s="2" t="s">
        <v>43618</v>
      </c>
      <c r="K10801" s="2" t="s">
        <v>4054</v>
      </c>
      <c r="L10801" s="2" t="s">
        <v>2389</v>
      </c>
      <c r="M10801" s="2">
        <v>97119.0</v>
      </c>
      <c r="N10801" s="2" t="s">
        <v>21</v>
      </c>
    </row>
    <row r="10802" ht="15.75" customHeight="1">
      <c r="A10802" s="2">
        <v>2019.0</v>
      </c>
      <c r="B10802" s="2" t="s">
        <v>43619</v>
      </c>
      <c r="C10802" s="2" t="s">
        <v>43620</v>
      </c>
      <c r="D10802" s="2" t="str">
        <f>"4802199240"</f>
        <v>4802199240</v>
      </c>
      <c r="E10802" s="2" t="s">
        <v>385</v>
      </c>
      <c r="F10802" s="2" t="s">
        <v>43621</v>
      </c>
      <c r="G10802" s="2" t="str">
        <f>"SR-15339"</f>
        <v>SR-15339</v>
      </c>
      <c r="H10802" s="2" t="s">
        <v>43622</v>
      </c>
      <c r="I10802" s="2" t="s">
        <v>43623</v>
      </c>
      <c r="K10802" s="2" t="s">
        <v>2841</v>
      </c>
      <c r="L10802" s="2" t="s">
        <v>422</v>
      </c>
      <c r="M10802" s="2">
        <v>85248.0</v>
      </c>
      <c r="N10802" s="2" t="s">
        <v>21</v>
      </c>
    </row>
    <row r="10803" ht="15.75" customHeight="1">
      <c r="A10803" s="2">
        <v>2019.0</v>
      </c>
      <c r="B10803" s="2" t="s">
        <v>43624</v>
      </c>
      <c r="C10803" s="2" t="s">
        <v>43624</v>
      </c>
      <c r="D10803" s="2" t="str">
        <f>"(618)267-0631"</f>
        <v>(618)267-0631</v>
      </c>
      <c r="E10803" s="2" t="s">
        <v>3196</v>
      </c>
      <c r="F10803" s="2" t="s">
        <v>16482</v>
      </c>
      <c r="G10803" s="2" t="str">
        <f>"SR-15343"</f>
        <v>SR-15343</v>
      </c>
      <c r="H10803" s="2" t="s">
        <v>43625</v>
      </c>
      <c r="I10803" s="2" t="s">
        <v>43626</v>
      </c>
      <c r="K10803" s="2" t="s">
        <v>5131</v>
      </c>
      <c r="L10803" s="2" t="s">
        <v>105</v>
      </c>
      <c r="M10803" s="2">
        <v>62881.0</v>
      </c>
      <c r="N10803" s="2" t="s">
        <v>21</v>
      </c>
    </row>
    <row r="10804" ht="15.75" customHeight="1">
      <c r="A10804" s="2">
        <v>2019.0</v>
      </c>
      <c r="B10804" s="2" t="s">
        <v>43627</v>
      </c>
      <c r="C10804" s="2" t="s">
        <v>43628</v>
      </c>
      <c r="D10804" s="2" t="str">
        <f>"250-462-0410"</f>
        <v>250-462-0410</v>
      </c>
      <c r="E10804" s="2" t="s">
        <v>10949</v>
      </c>
      <c r="F10804" s="2" t="s">
        <v>3903</v>
      </c>
      <c r="G10804" s="2" t="str">
        <f>"SR-15341"</f>
        <v>SR-15341</v>
      </c>
      <c r="H10804" s="2" t="s">
        <v>43629</v>
      </c>
      <c r="I10804" s="2" t="s">
        <v>41258</v>
      </c>
      <c r="K10804" s="2" t="s">
        <v>41259</v>
      </c>
      <c r="L10804" s="2" t="s">
        <v>35237</v>
      </c>
      <c r="M10804" s="2" t="s">
        <v>41261</v>
      </c>
      <c r="N10804" s="2" t="s">
        <v>1602</v>
      </c>
    </row>
    <row r="10805" ht="15.75" customHeight="1">
      <c r="A10805" s="2">
        <v>2019.0</v>
      </c>
      <c r="B10805" s="2" t="s">
        <v>43630</v>
      </c>
      <c r="C10805" s="2" t="s">
        <v>43631</v>
      </c>
      <c r="D10805" s="2" t="str">
        <f>"9102241723"</f>
        <v>9102241723</v>
      </c>
      <c r="E10805" s="2" t="s">
        <v>137</v>
      </c>
      <c r="F10805" s="2" t="s">
        <v>14427</v>
      </c>
      <c r="G10805" s="2" t="str">
        <f>"SR-15345"</f>
        <v>SR-15345</v>
      </c>
      <c r="H10805" s="2" t="s">
        <v>43632</v>
      </c>
      <c r="I10805" s="2" t="s">
        <v>43633</v>
      </c>
      <c r="K10805" s="2" t="s">
        <v>43634</v>
      </c>
      <c r="L10805" s="2" t="s">
        <v>172</v>
      </c>
      <c r="M10805" s="2">
        <v>77954.0</v>
      </c>
      <c r="N10805" s="2" t="s">
        <v>21</v>
      </c>
    </row>
    <row r="10806" ht="15.75" customHeight="1">
      <c r="A10806" s="2">
        <v>2019.0</v>
      </c>
      <c r="B10806" s="2" t="s">
        <v>43329</v>
      </c>
      <c r="C10806" s="2" t="s">
        <v>43330</v>
      </c>
      <c r="D10806" s="2" t="str">
        <f>"540-376-7161"</f>
        <v>540-376-7161</v>
      </c>
      <c r="E10806" s="2" t="s">
        <v>43331</v>
      </c>
      <c r="F10806" s="2" t="s">
        <v>2771</v>
      </c>
      <c r="G10806" s="2" t="str">
        <f>"SR-15349"</f>
        <v>SR-15349</v>
      </c>
      <c r="H10806" s="2" t="s">
        <v>43332</v>
      </c>
      <c r="I10806" s="2" t="s">
        <v>43333</v>
      </c>
      <c r="K10806" s="2" t="s">
        <v>12164</v>
      </c>
      <c r="L10806" s="2" t="s">
        <v>165</v>
      </c>
      <c r="M10806" s="2">
        <v>22408.0</v>
      </c>
      <c r="N10806" s="2" t="s">
        <v>21</v>
      </c>
    </row>
    <row r="10807" ht="15.75" customHeight="1">
      <c r="A10807" s="2">
        <v>2019.0</v>
      </c>
      <c r="B10807" s="2" t="s">
        <v>43635</v>
      </c>
      <c r="C10807" s="2" t="s">
        <v>43636</v>
      </c>
      <c r="D10807" s="2" t="str">
        <f>"208-304-3209"</f>
        <v>208-304-3209</v>
      </c>
      <c r="E10807" s="2" t="s">
        <v>1520</v>
      </c>
      <c r="F10807" s="2" t="s">
        <v>43637</v>
      </c>
      <c r="G10807" s="2" t="str">
        <f>"SR-15350"</f>
        <v>SR-15350</v>
      </c>
      <c r="H10807" s="2" t="s">
        <v>43638</v>
      </c>
      <c r="I10807" s="2" t="s">
        <v>43639</v>
      </c>
      <c r="K10807" s="2" t="s">
        <v>43640</v>
      </c>
      <c r="L10807" s="2" t="s">
        <v>2613</v>
      </c>
      <c r="M10807" s="2">
        <v>83856.0</v>
      </c>
      <c r="N10807" s="2" t="s">
        <v>21</v>
      </c>
    </row>
    <row r="10808" ht="15.75" customHeight="1">
      <c r="A10808" s="2">
        <v>2019.0</v>
      </c>
      <c r="B10808" s="2" t="s">
        <v>43641</v>
      </c>
      <c r="C10808" s="2" t="s">
        <v>43642</v>
      </c>
      <c r="D10808" s="2" t="str">
        <f>"8282911452"</f>
        <v>8282911452</v>
      </c>
      <c r="E10808" s="2" t="s">
        <v>843</v>
      </c>
      <c r="F10808" s="2" t="s">
        <v>8125</v>
      </c>
      <c r="G10808" s="2" t="str">
        <f>"SR-15324"</f>
        <v>SR-15324</v>
      </c>
      <c r="H10808" s="2" t="s">
        <v>43643</v>
      </c>
      <c r="I10808" s="2" t="s">
        <v>43644</v>
      </c>
      <c r="K10808" s="2" t="s">
        <v>821</v>
      </c>
      <c r="L10808" s="2" t="s">
        <v>20</v>
      </c>
      <c r="M10808" s="2">
        <v>28602.0</v>
      </c>
      <c r="N10808" s="2" t="s">
        <v>21</v>
      </c>
    </row>
    <row r="10809" ht="15.75" customHeight="1">
      <c r="A10809" s="2">
        <v>2019.0</v>
      </c>
      <c r="B10809" s="2" t="s">
        <v>43645</v>
      </c>
      <c r="C10809" s="2" t="s">
        <v>43646</v>
      </c>
      <c r="D10809" s="2" t="str">
        <f>"9494362777"</f>
        <v>9494362777</v>
      </c>
      <c r="E10809" s="2" t="s">
        <v>644</v>
      </c>
      <c r="F10809" s="2" t="s">
        <v>43647</v>
      </c>
      <c r="G10809" s="2" t="str">
        <f>"SR-15354"</f>
        <v>SR-15354</v>
      </c>
      <c r="H10809" s="2" t="s">
        <v>43648</v>
      </c>
      <c r="I10809" s="2" t="s">
        <v>43649</v>
      </c>
      <c r="K10809" s="2" t="s">
        <v>9670</v>
      </c>
      <c r="L10809" s="2" t="s">
        <v>222</v>
      </c>
      <c r="M10809" s="2">
        <v>92673.0</v>
      </c>
      <c r="N10809" s="2" t="s">
        <v>21</v>
      </c>
    </row>
    <row r="10810" ht="15.75" customHeight="1">
      <c r="A10810" s="2">
        <v>2019.0</v>
      </c>
      <c r="B10810" s="2" t="s">
        <v>43650</v>
      </c>
      <c r="C10810" s="2" t="s">
        <v>43651</v>
      </c>
      <c r="D10810" s="2" t="str">
        <f>"3303239442"</f>
        <v>3303239442</v>
      </c>
      <c r="E10810" s="2" t="s">
        <v>2760</v>
      </c>
      <c r="F10810" s="2" t="s">
        <v>11479</v>
      </c>
      <c r="G10810" s="2" t="str">
        <f>"SR-15355"</f>
        <v>SR-15355</v>
      </c>
      <c r="H10810" s="2" t="s">
        <v>43652</v>
      </c>
      <c r="I10810" s="2" t="s">
        <v>43653</v>
      </c>
      <c r="K10810" s="2" t="s">
        <v>42809</v>
      </c>
      <c r="L10810" s="2" t="s">
        <v>279</v>
      </c>
      <c r="M10810" s="2">
        <v>37886.0</v>
      </c>
      <c r="N10810" s="2" t="s">
        <v>21</v>
      </c>
    </row>
    <row r="10811" ht="15.75" customHeight="1">
      <c r="A10811" s="2">
        <v>2019.0</v>
      </c>
      <c r="B10811" s="2" t="s">
        <v>43654</v>
      </c>
      <c r="C10811" s="2" t="s">
        <v>43655</v>
      </c>
      <c r="D10811" s="2" t="str">
        <f>"970-433-3802"</f>
        <v>970-433-3802</v>
      </c>
      <c r="E10811" s="2" t="s">
        <v>1387</v>
      </c>
      <c r="F10811" s="2" t="s">
        <v>43656</v>
      </c>
      <c r="G10811" s="2" t="str">
        <f>"SR-15325"</f>
        <v>SR-15325</v>
      </c>
      <c r="H10811" s="2" t="s">
        <v>43657</v>
      </c>
      <c r="I10811" s="2" t="s">
        <v>43658</v>
      </c>
      <c r="K10811" s="2" t="s">
        <v>11440</v>
      </c>
      <c r="L10811" s="2" t="s">
        <v>157</v>
      </c>
      <c r="M10811" s="2">
        <v>81507.0</v>
      </c>
      <c r="N10811" s="2" t="s">
        <v>21</v>
      </c>
    </row>
    <row r="10812" ht="15.75" customHeight="1">
      <c r="A10812" s="2">
        <v>2019.0</v>
      </c>
      <c r="B10812" s="2" t="s">
        <v>43659</v>
      </c>
      <c r="C10812" s="2" t="s">
        <v>43660</v>
      </c>
      <c r="D10812" s="2" t="str">
        <f>"4024407434"</f>
        <v>4024407434</v>
      </c>
      <c r="E10812" s="2" t="s">
        <v>4782</v>
      </c>
      <c r="F10812" s="2" t="s">
        <v>43661</v>
      </c>
      <c r="G10812" s="2" t="str">
        <f>"SR-13934"</f>
        <v>SR-13934</v>
      </c>
      <c r="H10812" s="2" t="s">
        <v>43662</v>
      </c>
      <c r="I10812" s="2" t="s">
        <v>43663</v>
      </c>
      <c r="K10812" s="2" t="s">
        <v>572</v>
      </c>
      <c r="L10812" s="2" t="s">
        <v>757</v>
      </c>
      <c r="M10812" s="2">
        <v>68516.0</v>
      </c>
      <c r="N10812" s="2" t="s">
        <v>21</v>
      </c>
    </row>
    <row r="10813" ht="15.75" customHeight="1">
      <c r="A10813" s="2">
        <v>2019.0</v>
      </c>
      <c r="B10813" s="2" t="s">
        <v>30518</v>
      </c>
      <c r="C10813" s="2" t="s">
        <v>30519</v>
      </c>
      <c r="D10813" s="2" t="str">
        <f>"3174420911"</f>
        <v>3174420911</v>
      </c>
      <c r="E10813" s="2" t="s">
        <v>4665</v>
      </c>
      <c r="F10813" s="2" t="s">
        <v>23916</v>
      </c>
      <c r="G10813" s="2" t="str">
        <f>"SR-9615"</f>
        <v>SR-9615</v>
      </c>
      <c r="H10813" s="2" t="s">
        <v>30520</v>
      </c>
      <c r="I10813" s="2" t="s">
        <v>30521</v>
      </c>
      <c r="K10813" s="2" t="s">
        <v>2695</v>
      </c>
      <c r="L10813" s="2" t="s">
        <v>149</v>
      </c>
      <c r="M10813" s="2">
        <v>46069.0</v>
      </c>
      <c r="N10813" s="2" t="s">
        <v>21</v>
      </c>
    </row>
    <row r="10814" ht="15.75" customHeight="1">
      <c r="A10814" s="2">
        <v>2019.0</v>
      </c>
      <c r="B10814" s="2" t="s">
        <v>43664</v>
      </c>
      <c r="C10814" s="2" t="s">
        <v>43665</v>
      </c>
      <c r="D10814" s="2" t="str">
        <f>"843-812-0022"</f>
        <v>843-812-0022</v>
      </c>
      <c r="E10814" s="2" t="s">
        <v>43666</v>
      </c>
      <c r="F10814" s="2" t="s">
        <v>10236</v>
      </c>
      <c r="G10814" s="2" t="str">
        <f>"SR-15357"</f>
        <v>SR-15357</v>
      </c>
      <c r="H10814" s="2" t="s">
        <v>43667</v>
      </c>
      <c r="I10814" s="2" t="s">
        <v>43668</v>
      </c>
      <c r="K10814" s="2" t="s">
        <v>26737</v>
      </c>
      <c r="L10814" s="2" t="s">
        <v>55</v>
      </c>
      <c r="M10814" s="2">
        <v>29903.0</v>
      </c>
      <c r="N10814" s="2" t="s">
        <v>21</v>
      </c>
    </row>
    <row r="10815" ht="15.75" customHeight="1">
      <c r="A10815" s="2">
        <v>2019.0</v>
      </c>
      <c r="B10815" s="2" t="s">
        <v>23914</v>
      </c>
      <c r="C10815" s="2" t="s">
        <v>23914</v>
      </c>
      <c r="D10815" s="2" t="str">
        <f>"720-757-1117"</f>
        <v>720-757-1117</v>
      </c>
      <c r="E10815" s="2" t="s">
        <v>19064</v>
      </c>
      <c r="F10815" s="2" t="s">
        <v>23916</v>
      </c>
      <c r="G10815" s="2" t="str">
        <f>"SR-15359"</f>
        <v>SR-15359</v>
      </c>
      <c r="H10815" s="2" t="s">
        <v>43669</v>
      </c>
      <c r="I10815" s="2" t="s">
        <v>43670</v>
      </c>
      <c r="K10815" s="2" t="s">
        <v>682</v>
      </c>
      <c r="L10815" s="2" t="s">
        <v>157</v>
      </c>
      <c r="M10815" s="2">
        <v>80126.0</v>
      </c>
      <c r="N10815" s="2" t="s">
        <v>21</v>
      </c>
    </row>
    <row r="10816" ht="15.75" customHeight="1">
      <c r="A10816" s="2">
        <v>2019.0</v>
      </c>
      <c r="B10816" s="2" t="s">
        <v>43671</v>
      </c>
      <c r="C10816" s="2" t="s">
        <v>43672</v>
      </c>
      <c r="D10816" s="2" t="str">
        <f>"5092902808"</f>
        <v>5092902808</v>
      </c>
      <c r="E10816" s="2" t="s">
        <v>25495</v>
      </c>
      <c r="F10816" s="2" t="s">
        <v>43673</v>
      </c>
      <c r="G10816" s="2" t="str">
        <f>"SR-15360"</f>
        <v>SR-15360</v>
      </c>
      <c r="H10816" s="2" t="s">
        <v>43674</v>
      </c>
      <c r="I10816" s="2" t="s">
        <v>43675</v>
      </c>
      <c r="K10816" s="2" t="s">
        <v>2684</v>
      </c>
      <c r="L10816" s="2" t="s">
        <v>86</v>
      </c>
      <c r="M10816" s="2">
        <v>99206.0</v>
      </c>
      <c r="N10816" s="2" t="s">
        <v>21</v>
      </c>
    </row>
    <row r="10817" ht="15.75" customHeight="1">
      <c r="A10817" s="2">
        <v>2019.0</v>
      </c>
      <c r="B10817" s="2" t="s">
        <v>43676</v>
      </c>
      <c r="C10817" s="2" t="s">
        <v>43677</v>
      </c>
      <c r="D10817" s="2" t="str">
        <f>"4175930877"</f>
        <v>4175930877</v>
      </c>
      <c r="E10817" s="2" t="s">
        <v>9828</v>
      </c>
      <c r="F10817" s="2" t="s">
        <v>11233</v>
      </c>
      <c r="G10817" s="2" t="str">
        <f>"SR-15361"</f>
        <v>SR-15361</v>
      </c>
      <c r="H10817" s="2" t="s">
        <v>43678</v>
      </c>
      <c r="I10817" s="2" t="s">
        <v>43679</v>
      </c>
      <c r="K10817" s="2" t="s">
        <v>5914</v>
      </c>
      <c r="L10817" s="2" t="s">
        <v>214</v>
      </c>
      <c r="M10817" s="2">
        <v>65616.0</v>
      </c>
      <c r="N10817" s="2" t="s">
        <v>21</v>
      </c>
    </row>
    <row r="10818" ht="15.75" customHeight="1">
      <c r="A10818" s="2">
        <v>2019.0</v>
      </c>
      <c r="B10818" s="2" t="s">
        <v>1746</v>
      </c>
      <c r="C10818" s="2" t="s">
        <v>43680</v>
      </c>
      <c r="D10818" s="2" t="str">
        <f>"352-874-0965"</f>
        <v>352-874-0965</v>
      </c>
      <c r="E10818" s="2" t="s">
        <v>43681</v>
      </c>
      <c r="F10818" s="2" t="s">
        <v>984</v>
      </c>
      <c r="G10818" s="2" t="str">
        <f>"SR-15365"</f>
        <v>SR-15365</v>
      </c>
      <c r="H10818" s="2" t="s">
        <v>43682</v>
      </c>
      <c r="I10818" s="2" t="s">
        <v>43683</v>
      </c>
      <c r="K10818" s="2" t="s">
        <v>19345</v>
      </c>
      <c r="L10818" s="2" t="s">
        <v>208</v>
      </c>
      <c r="M10818" s="2">
        <v>34711.0</v>
      </c>
      <c r="N10818" s="2" t="s">
        <v>21</v>
      </c>
    </row>
    <row r="10819" ht="15.75" customHeight="1">
      <c r="A10819" s="2">
        <v>2019.0</v>
      </c>
      <c r="B10819" s="2" t="s">
        <v>43684</v>
      </c>
      <c r="C10819" s="2" t="s">
        <v>43685</v>
      </c>
      <c r="D10819" s="2" t="str">
        <f>"520-620-1095"</f>
        <v>520-620-1095</v>
      </c>
      <c r="E10819" s="2" t="s">
        <v>1450</v>
      </c>
      <c r="F10819" s="2" t="s">
        <v>13043</v>
      </c>
      <c r="G10819" s="2" t="str">
        <f>"SR-15366"</f>
        <v>SR-15366</v>
      </c>
      <c r="H10819" s="2" t="s">
        <v>43686</v>
      </c>
      <c r="I10819" s="2" t="s">
        <v>43687</v>
      </c>
      <c r="K10819" s="2" t="s">
        <v>5946</v>
      </c>
      <c r="L10819" s="2" t="s">
        <v>422</v>
      </c>
      <c r="M10819" s="2">
        <v>85701.0</v>
      </c>
      <c r="N10819" s="2" t="s">
        <v>21</v>
      </c>
    </row>
    <row r="10820" ht="15.75" customHeight="1">
      <c r="A10820" s="2">
        <v>2019.0</v>
      </c>
      <c r="B10820" s="2" t="s">
        <v>43688</v>
      </c>
      <c r="C10820" s="2" t="s">
        <v>43689</v>
      </c>
      <c r="D10820" s="2" t="str">
        <f>"303-981-2214"</f>
        <v>303-981-2214</v>
      </c>
      <c r="E10820" s="2" t="s">
        <v>2930</v>
      </c>
      <c r="F10820" s="2" t="s">
        <v>43690</v>
      </c>
      <c r="G10820" s="2" t="str">
        <f>"SR-15362"</f>
        <v>SR-15362</v>
      </c>
      <c r="H10820" s="2" t="s">
        <v>43691</v>
      </c>
      <c r="I10820" s="2" t="s">
        <v>43692</v>
      </c>
      <c r="K10820" s="2" t="s">
        <v>1398</v>
      </c>
      <c r="L10820" s="2" t="s">
        <v>157</v>
      </c>
      <c r="M10820" s="2">
        <v>80104.0</v>
      </c>
      <c r="N10820" s="2" t="s">
        <v>21</v>
      </c>
    </row>
    <row r="10821" ht="15.75" customHeight="1">
      <c r="A10821" s="2">
        <v>2019.0</v>
      </c>
      <c r="B10821" s="2" t="s">
        <v>43693</v>
      </c>
      <c r="C10821" s="2" t="s">
        <v>43694</v>
      </c>
      <c r="D10821" s="2" t="str">
        <f>"5127403857"</f>
        <v>5127403857</v>
      </c>
      <c r="E10821" s="2" t="s">
        <v>684</v>
      </c>
      <c r="F10821" s="2" t="s">
        <v>5365</v>
      </c>
      <c r="G10821" s="2" t="str">
        <f>"SR-15367"</f>
        <v>SR-15367</v>
      </c>
      <c r="H10821" s="2" t="s">
        <v>43695</v>
      </c>
      <c r="I10821" s="2" t="s">
        <v>43696</v>
      </c>
      <c r="K10821" s="2" t="s">
        <v>4687</v>
      </c>
      <c r="L10821" s="2" t="s">
        <v>172</v>
      </c>
      <c r="M10821" s="2">
        <v>78681.0</v>
      </c>
      <c r="N10821" s="2" t="s">
        <v>21</v>
      </c>
    </row>
    <row r="10822" ht="15.75" customHeight="1">
      <c r="A10822" s="2">
        <v>2019.0</v>
      </c>
      <c r="B10822" s="2" t="s">
        <v>43697</v>
      </c>
      <c r="C10822" s="2" t="s">
        <v>43698</v>
      </c>
      <c r="D10822" s="2" t="str">
        <f>"6156633577"</f>
        <v>6156633577</v>
      </c>
      <c r="E10822" s="2" t="s">
        <v>3816</v>
      </c>
      <c r="F10822" s="2" t="s">
        <v>27395</v>
      </c>
      <c r="G10822" s="2" t="str">
        <f>"SR-15124"</f>
        <v>SR-15124</v>
      </c>
      <c r="H10822" s="2" t="s">
        <v>43699</v>
      </c>
      <c r="I10822" s="2" t="s">
        <v>27397</v>
      </c>
      <c r="K10822" s="2" t="s">
        <v>12405</v>
      </c>
      <c r="L10822" s="2" t="s">
        <v>279</v>
      </c>
      <c r="M10822" s="2">
        <v>37128.0</v>
      </c>
      <c r="N10822" s="2" t="s">
        <v>21</v>
      </c>
    </row>
    <row r="10823" ht="15.75" customHeight="1">
      <c r="A10823" s="2">
        <v>2019.0</v>
      </c>
      <c r="B10823" s="2" t="s">
        <v>43700</v>
      </c>
      <c r="C10823" s="2" t="s">
        <v>43700</v>
      </c>
      <c r="D10823" s="2" t="str">
        <f>"4088916322"</f>
        <v>4088916322</v>
      </c>
      <c r="E10823" s="2" t="s">
        <v>203</v>
      </c>
      <c r="F10823" s="2" t="s">
        <v>43701</v>
      </c>
      <c r="G10823" s="2" t="str">
        <f>"SR-15370"</f>
        <v>SR-15370</v>
      </c>
      <c r="H10823" s="2" t="s">
        <v>43702</v>
      </c>
      <c r="I10823" s="2" t="s">
        <v>43703</v>
      </c>
      <c r="J10823" s="2" t="s">
        <v>43704</v>
      </c>
      <c r="K10823" s="2" t="s">
        <v>25265</v>
      </c>
      <c r="L10823" s="2" t="s">
        <v>222</v>
      </c>
      <c r="M10823" s="2">
        <v>95020.0</v>
      </c>
      <c r="N10823" s="2" t="s">
        <v>21</v>
      </c>
    </row>
    <row r="10824" ht="15.75" customHeight="1">
      <c r="A10824" s="2">
        <v>2019.0</v>
      </c>
      <c r="B10824" s="2" t="s">
        <v>43705</v>
      </c>
      <c r="C10824" s="2" t="s">
        <v>43705</v>
      </c>
      <c r="D10824" s="2" t="str">
        <f>"8325703566"</f>
        <v>8325703566</v>
      </c>
      <c r="E10824" s="2" t="s">
        <v>1782</v>
      </c>
      <c r="F10824" s="2" t="s">
        <v>448</v>
      </c>
      <c r="G10824" s="2" t="str">
        <f>"SR-15301"</f>
        <v>SR-15301</v>
      </c>
      <c r="H10824" s="2" t="s">
        <v>43706</v>
      </c>
      <c r="I10824" s="2" t="s">
        <v>43707</v>
      </c>
      <c r="K10824" s="2" t="s">
        <v>5855</v>
      </c>
      <c r="L10824" s="2" t="s">
        <v>172</v>
      </c>
      <c r="M10824" s="2">
        <v>77379.0</v>
      </c>
      <c r="N10824" s="2" t="s">
        <v>21</v>
      </c>
    </row>
    <row r="10825" ht="15.75" customHeight="1">
      <c r="A10825" s="2">
        <v>2019.0</v>
      </c>
      <c r="B10825" s="2" t="s">
        <v>43708</v>
      </c>
      <c r="C10825" s="2" t="s">
        <v>43709</v>
      </c>
      <c r="D10825" s="2" t="str">
        <f>"9013179114"</f>
        <v>9013179114</v>
      </c>
      <c r="E10825" s="2" t="s">
        <v>43710</v>
      </c>
      <c r="F10825" s="2" t="s">
        <v>43711</v>
      </c>
      <c r="G10825" s="2" t="str">
        <f>"SR-15371"</f>
        <v>SR-15371</v>
      </c>
      <c r="H10825" s="2" t="s">
        <v>43712</v>
      </c>
      <c r="I10825" s="2" t="s">
        <v>43713</v>
      </c>
      <c r="K10825" s="2" t="s">
        <v>19043</v>
      </c>
      <c r="L10825" s="2" t="s">
        <v>279</v>
      </c>
      <c r="M10825" s="2">
        <v>38002.0</v>
      </c>
      <c r="N10825" s="2" t="s">
        <v>21</v>
      </c>
    </row>
    <row r="10826" ht="15.75" customHeight="1">
      <c r="A10826" s="2">
        <v>2019.0</v>
      </c>
      <c r="B10826" s="2" t="s">
        <v>36367</v>
      </c>
      <c r="C10826" s="2" t="s">
        <v>43714</v>
      </c>
      <c r="D10826" s="2" t="str">
        <f t="shared" ref="D10826:D10827" si="181">"5203498276"</f>
        <v>5203498276</v>
      </c>
      <c r="E10826" s="2" t="s">
        <v>485</v>
      </c>
      <c r="F10826" s="2" t="s">
        <v>25386</v>
      </c>
      <c r="G10826" s="2" t="str">
        <f>"SR-15372"</f>
        <v>SR-15372</v>
      </c>
      <c r="H10826" s="2" t="s">
        <v>43715</v>
      </c>
      <c r="I10826" s="2" t="s">
        <v>36369</v>
      </c>
      <c r="K10826" s="2" t="s">
        <v>5946</v>
      </c>
      <c r="L10826" s="2" t="s">
        <v>422</v>
      </c>
      <c r="M10826" s="2">
        <v>85750.0</v>
      </c>
      <c r="N10826" s="2" t="s">
        <v>21</v>
      </c>
    </row>
    <row r="10827" ht="15.75" customHeight="1">
      <c r="A10827" s="2">
        <v>2019.0</v>
      </c>
      <c r="B10827" s="2" t="s">
        <v>36367</v>
      </c>
      <c r="C10827" s="2" t="s">
        <v>43716</v>
      </c>
      <c r="D10827" s="2" t="str">
        <f t="shared" si="181"/>
        <v>5203498276</v>
      </c>
      <c r="E10827" s="2" t="s">
        <v>43717</v>
      </c>
      <c r="F10827" s="2" t="s">
        <v>903</v>
      </c>
      <c r="G10827" s="2" t="str">
        <f>"SR-15373"</f>
        <v>SR-15373</v>
      </c>
      <c r="H10827" s="2" t="s">
        <v>43718</v>
      </c>
      <c r="I10827" s="2" t="s">
        <v>43719</v>
      </c>
      <c r="K10827" s="2" t="s">
        <v>5946</v>
      </c>
      <c r="L10827" s="2" t="s">
        <v>422</v>
      </c>
      <c r="M10827" s="2">
        <v>85750.0</v>
      </c>
      <c r="N10827" s="2" t="s">
        <v>21</v>
      </c>
    </row>
    <row r="10828" ht="15.75" customHeight="1">
      <c r="A10828" s="2">
        <v>2019.0</v>
      </c>
      <c r="B10828" s="2" t="s">
        <v>43720</v>
      </c>
      <c r="C10828" s="2" t="s">
        <v>43721</v>
      </c>
      <c r="D10828" s="2" t="str">
        <f>"432-697-7799"</f>
        <v>432-697-7799</v>
      </c>
      <c r="E10828" s="2" t="s">
        <v>124</v>
      </c>
      <c r="F10828" s="2" t="s">
        <v>26034</v>
      </c>
      <c r="G10828" s="2" t="str">
        <f>"SR-15374"</f>
        <v>SR-15374</v>
      </c>
      <c r="H10828" s="2" t="s">
        <v>43722</v>
      </c>
      <c r="I10828" s="2" t="s">
        <v>26036</v>
      </c>
      <c r="K10828" s="2" t="s">
        <v>286</v>
      </c>
      <c r="L10828" s="2" t="s">
        <v>172</v>
      </c>
      <c r="M10828" s="2">
        <v>79707.0</v>
      </c>
      <c r="N10828" s="2" t="s">
        <v>21</v>
      </c>
    </row>
    <row r="10829" ht="15.75" customHeight="1">
      <c r="A10829" s="2">
        <v>2019.0</v>
      </c>
      <c r="B10829" s="2" t="s">
        <v>43723</v>
      </c>
      <c r="D10829" s="2" t="str">
        <f>"6015074661"</f>
        <v>6015074661</v>
      </c>
      <c r="E10829" s="2" t="s">
        <v>1725</v>
      </c>
      <c r="F10829" s="2" t="s">
        <v>1718</v>
      </c>
      <c r="G10829" s="2" t="str">
        <f>"SR-15377"</f>
        <v>SR-15377</v>
      </c>
      <c r="H10829" s="2" t="s">
        <v>43724</v>
      </c>
      <c r="I10829" s="2" t="s">
        <v>1720</v>
      </c>
      <c r="K10829" s="2" t="s">
        <v>1721</v>
      </c>
      <c r="L10829" s="2" t="s">
        <v>1722</v>
      </c>
      <c r="M10829" s="2">
        <v>39145.0</v>
      </c>
      <c r="N10829" s="2" t="s">
        <v>21</v>
      </c>
    </row>
    <row r="10830" ht="15.75" customHeight="1">
      <c r="A10830" s="2">
        <v>2019.0</v>
      </c>
      <c r="B10830" s="2" t="s">
        <v>43588</v>
      </c>
      <c r="C10830" s="2" t="s">
        <v>43725</v>
      </c>
      <c r="D10830" s="2" t="str">
        <f>"507 993 7658"</f>
        <v>507 993 7658</v>
      </c>
      <c r="E10830" s="2" t="s">
        <v>43726</v>
      </c>
      <c r="F10830" s="2" t="s">
        <v>2373</v>
      </c>
      <c r="G10830" s="2" t="str">
        <f>"SR-15317"</f>
        <v>SR-15317</v>
      </c>
      <c r="H10830" s="2" t="s">
        <v>43727</v>
      </c>
      <c r="I10830" s="2" t="s">
        <v>43591</v>
      </c>
      <c r="K10830" s="2" t="s">
        <v>2804</v>
      </c>
      <c r="L10830" s="2" t="s">
        <v>62</v>
      </c>
      <c r="M10830" s="2">
        <v>55906.0</v>
      </c>
      <c r="N10830" s="2" t="s">
        <v>21</v>
      </c>
    </row>
    <row r="10831" ht="15.75" customHeight="1">
      <c r="A10831" s="2">
        <v>2019.0</v>
      </c>
      <c r="B10831" s="2" t="s">
        <v>22967</v>
      </c>
      <c r="C10831" s="2" t="s">
        <v>43728</v>
      </c>
      <c r="D10831" s="2" t="str">
        <f>"703-283-6850"</f>
        <v>703-283-6850</v>
      </c>
      <c r="E10831" s="2" t="s">
        <v>2988</v>
      </c>
      <c r="F10831" s="2" t="s">
        <v>22969</v>
      </c>
      <c r="G10831" s="2" t="str">
        <f>"SR-15347"</f>
        <v>SR-15347</v>
      </c>
      <c r="H10831" s="2" t="s">
        <v>43729</v>
      </c>
      <c r="I10831" s="2" t="s">
        <v>43730</v>
      </c>
      <c r="K10831" s="2" t="s">
        <v>12253</v>
      </c>
      <c r="L10831" s="2" t="s">
        <v>165</v>
      </c>
      <c r="M10831" s="2">
        <v>22180.0</v>
      </c>
      <c r="N10831" s="2" t="s">
        <v>21</v>
      </c>
    </row>
    <row r="10832" ht="15.75" customHeight="1">
      <c r="A10832" s="2">
        <v>2019.0</v>
      </c>
      <c r="B10832" s="2" t="s">
        <v>43731</v>
      </c>
      <c r="C10832" s="2" t="s">
        <v>43732</v>
      </c>
      <c r="D10832" s="2" t="str">
        <f>"7729132879"</f>
        <v>7729132879</v>
      </c>
      <c r="E10832" s="2" t="s">
        <v>32135</v>
      </c>
      <c r="F10832" s="2" t="s">
        <v>19994</v>
      </c>
      <c r="G10832" s="2" t="str">
        <f>"SR-15384"</f>
        <v>SR-15384</v>
      </c>
      <c r="H10832" s="2" t="s">
        <v>43733</v>
      </c>
      <c r="I10832" s="2" t="s">
        <v>43734</v>
      </c>
      <c r="K10832" s="2" t="s">
        <v>43735</v>
      </c>
      <c r="L10832" s="2" t="s">
        <v>208</v>
      </c>
      <c r="M10832" s="2">
        <v>32958.0</v>
      </c>
      <c r="N10832" s="2" t="s">
        <v>21</v>
      </c>
    </row>
    <row r="10833" ht="15.75" customHeight="1">
      <c r="A10833" s="2">
        <v>2019.0</v>
      </c>
      <c r="B10833" s="2" t="s">
        <v>42472</v>
      </c>
      <c r="C10833" s="2" t="s">
        <v>43736</v>
      </c>
      <c r="D10833" s="2" t="str">
        <f>"6124134225"</f>
        <v>6124134225</v>
      </c>
      <c r="E10833" s="2" t="s">
        <v>651</v>
      </c>
      <c r="F10833" s="2" t="s">
        <v>42473</v>
      </c>
      <c r="G10833" s="2" t="str">
        <f>"SR-15390"</f>
        <v>SR-15390</v>
      </c>
      <c r="H10833" s="2" t="s">
        <v>43737</v>
      </c>
      <c r="I10833" s="2" t="s">
        <v>43738</v>
      </c>
      <c r="K10833" s="2" t="s">
        <v>43739</v>
      </c>
      <c r="L10833" s="2" t="s">
        <v>62</v>
      </c>
      <c r="M10833" s="2">
        <v>55129.0</v>
      </c>
      <c r="N10833" s="2" t="s">
        <v>21</v>
      </c>
    </row>
    <row r="10834" ht="15.75" customHeight="1">
      <c r="A10834" s="2">
        <v>2019.0</v>
      </c>
      <c r="B10834" s="2" t="s">
        <v>43740</v>
      </c>
      <c r="C10834" s="2" t="s">
        <v>43741</v>
      </c>
      <c r="D10834" s="2" t="str">
        <f>"360-598-2355"</f>
        <v>360-598-2355</v>
      </c>
      <c r="E10834" s="2" t="s">
        <v>11423</v>
      </c>
      <c r="F10834" s="2" t="s">
        <v>486</v>
      </c>
      <c r="G10834" s="2" t="str">
        <f>"SR-15391"</f>
        <v>SR-15391</v>
      </c>
      <c r="H10834" s="2" t="s">
        <v>43742</v>
      </c>
      <c r="I10834" s="2" t="s">
        <v>43743</v>
      </c>
      <c r="K10834" s="2" t="s">
        <v>29435</v>
      </c>
      <c r="L10834" s="2" t="s">
        <v>86</v>
      </c>
      <c r="M10834" s="2">
        <v>98370.0</v>
      </c>
      <c r="N10834" s="2" t="s">
        <v>21</v>
      </c>
    </row>
    <row r="10835" ht="15.75" customHeight="1">
      <c r="A10835" s="2">
        <v>2019.0</v>
      </c>
      <c r="B10835" s="2" t="s">
        <v>43744</v>
      </c>
      <c r="C10835" s="2" t="s">
        <v>43745</v>
      </c>
      <c r="D10835" s="2" t="str">
        <f>"303-908-5927"</f>
        <v>303-908-5927</v>
      </c>
      <c r="E10835" s="2" t="s">
        <v>651</v>
      </c>
      <c r="F10835" s="2" t="s">
        <v>4750</v>
      </c>
      <c r="G10835" s="2" t="str">
        <f>"SR-15387"</f>
        <v>SR-15387</v>
      </c>
      <c r="H10835" s="2" t="s">
        <v>43746</v>
      </c>
      <c r="I10835" s="2" t="s">
        <v>43747</v>
      </c>
      <c r="K10835" s="2" t="s">
        <v>507</v>
      </c>
      <c r="L10835" s="2" t="s">
        <v>157</v>
      </c>
      <c r="M10835" s="2">
        <v>80132.0</v>
      </c>
      <c r="N10835" s="2" t="s">
        <v>21</v>
      </c>
    </row>
    <row r="10836" ht="15.75" customHeight="1">
      <c r="A10836" s="2">
        <v>2019.0</v>
      </c>
      <c r="B10836" s="2" t="s">
        <v>20745</v>
      </c>
      <c r="C10836" s="2" t="s">
        <v>43748</v>
      </c>
      <c r="D10836" s="2" t="str">
        <f>"7196944279"</f>
        <v>7196944279</v>
      </c>
      <c r="E10836" s="2" t="s">
        <v>288</v>
      </c>
      <c r="F10836" s="2" t="s">
        <v>15730</v>
      </c>
      <c r="G10836" s="2" t="str">
        <f>"SR-15395"</f>
        <v>SR-15395</v>
      </c>
      <c r="H10836" s="2" t="s">
        <v>39686</v>
      </c>
      <c r="I10836" s="2" t="s">
        <v>43749</v>
      </c>
      <c r="K10836" s="2" t="s">
        <v>15818</v>
      </c>
      <c r="L10836" s="2" t="s">
        <v>157</v>
      </c>
      <c r="M10836" s="2">
        <v>80920.0</v>
      </c>
      <c r="N10836" s="2" t="s">
        <v>21</v>
      </c>
    </row>
    <row r="10837" ht="15.75" customHeight="1">
      <c r="A10837" s="2">
        <v>2019.0</v>
      </c>
      <c r="B10837" s="2" t="s">
        <v>43750</v>
      </c>
      <c r="C10837" s="2" t="s">
        <v>43751</v>
      </c>
      <c r="D10837" s="2" t="str">
        <f>"8167974642"</f>
        <v>8167974642</v>
      </c>
      <c r="E10837" s="2" t="s">
        <v>4129</v>
      </c>
      <c r="F10837" s="2" t="s">
        <v>3231</v>
      </c>
      <c r="G10837" s="2" t="str">
        <f>"SR-15398"</f>
        <v>SR-15398</v>
      </c>
      <c r="H10837" s="2" t="s">
        <v>43752</v>
      </c>
      <c r="I10837" s="2" t="s">
        <v>43753</v>
      </c>
      <c r="K10837" s="2" t="s">
        <v>1814</v>
      </c>
      <c r="L10837" s="2" t="s">
        <v>214</v>
      </c>
      <c r="M10837" s="2">
        <v>64155.0</v>
      </c>
      <c r="N10837" s="2" t="s">
        <v>21</v>
      </c>
    </row>
    <row r="10838" ht="15.75" customHeight="1">
      <c r="A10838" s="2">
        <v>2019.0</v>
      </c>
      <c r="B10838" s="2" t="s">
        <v>42932</v>
      </c>
      <c r="C10838" s="2" t="s">
        <v>42933</v>
      </c>
      <c r="D10838" s="2" t="str">
        <f>"703-832-2710"</f>
        <v>703-832-2710</v>
      </c>
      <c r="E10838" s="2" t="s">
        <v>42934</v>
      </c>
      <c r="F10838" s="2" t="s">
        <v>42935</v>
      </c>
      <c r="G10838" s="2" t="str">
        <f>"SR-14947"</f>
        <v>SR-14947</v>
      </c>
      <c r="H10838" s="2" t="s">
        <v>42936</v>
      </c>
      <c r="I10838" s="2" t="s">
        <v>42937</v>
      </c>
      <c r="K10838" s="2" t="s">
        <v>42938</v>
      </c>
      <c r="L10838" s="2" t="s">
        <v>165</v>
      </c>
      <c r="M10838" s="2">
        <v>22015.0</v>
      </c>
      <c r="N10838" s="2" t="s">
        <v>21</v>
      </c>
    </row>
    <row r="10839" ht="15.75" customHeight="1">
      <c r="A10839" s="2">
        <v>2019.0</v>
      </c>
      <c r="B10839" s="2" t="s">
        <v>42932</v>
      </c>
      <c r="C10839" s="2" t="s">
        <v>42939</v>
      </c>
      <c r="D10839" s="2" t="str">
        <f>"7038322708"</f>
        <v>7038322708</v>
      </c>
      <c r="E10839" s="2" t="s">
        <v>42940</v>
      </c>
      <c r="F10839" s="2" t="s">
        <v>42935</v>
      </c>
      <c r="G10839" s="2" t="str">
        <f>"SR-14948"</f>
        <v>SR-14948</v>
      </c>
      <c r="H10839" s="2" t="s">
        <v>42941</v>
      </c>
      <c r="I10839" s="2" t="s">
        <v>42937</v>
      </c>
      <c r="K10839" s="2" t="s">
        <v>42938</v>
      </c>
      <c r="L10839" s="2" t="s">
        <v>165</v>
      </c>
      <c r="M10839" s="2">
        <v>22015.0</v>
      </c>
      <c r="N10839" s="2" t="s">
        <v>21</v>
      </c>
    </row>
    <row r="10840" ht="15.75" customHeight="1">
      <c r="A10840" s="2">
        <v>2019.0</v>
      </c>
      <c r="B10840" s="2" t="s">
        <v>43754</v>
      </c>
      <c r="C10840" s="2" t="s">
        <v>43754</v>
      </c>
      <c r="D10840" s="2" t="str">
        <f>"3072870066"</f>
        <v>3072870066</v>
      </c>
      <c r="E10840" s="2" t="s">
        <v>4750</v>
      </c>
      <c r="F10840" s="2" t="s">
        <v>43755</v>
      </c>
      <c r="G10840" s="2" t="str">
        <f>"SR-15353"</f>
        <v>SR-15353</v>
      </c>
      <c r="H10840" s="2" t="s">
        <v>43756</v>
      </c>
      <c r="I10840" s="2" t="s">
        <v>43757</v>
      </c>
      <c r="K10840" s="2" t="s">
        <v>10638</v>
      </c>
      <c r="L10840" s="2" t="s">
        <v>1540</v>
      </c>
      <c r="M10840" s="2">
        <v>82009.0</v>
      </c>
      <c r="N10840" s="2" t="s">
        <v>21</v>
      </c>
    </row>
    <row r="10841" ht="15.75" customHeight="1">
      <c r="A10841" s="2">
        <v>2019.0</v>
      </c>
      <c r="B10841" s="2" t="s">
        <v>43758</v>
      </c>
      <c r="C10841" s="2" t="s">
        <v>43759</v>
      </c>
      <c r="D10841" s="2" t="str">
        <f>"7149483084"</f>
        <v>7149483084</v>
      </c>
      <c r="E10841" s="2" t="s">
        <v>6170</v>
      </c>
      <c r="F10841" s="2" t="s">
        <v>17190</v>
      </c>
      <c r="G10841" s="2" t="str">
        <f>"SR-15400"</f>
        <v>SR-15400</v>
      </c>
      <c r="H10841" s="2" t="s">
        <v>43760</v>
      </c>
      <c r="I10841" s="2" t="s">
        <v>43761</v>
      </c>
      <c r="K10841" s="2" t="s">
        <v>4026</v>
      </c>
      <c r="L10841" s="2" t="s">
        <v>222</v>
      </c>
      <c r="M10841" s="2">
        <v>92807.0</v>
      </c>
      <c r="N10841" s="2" t="s">
        <v>21</v>
      </c>
    </row>
    <row r="10842" ht="15.75" customHeight="1">
      <c r="A10842" s="2">
        <v>2019.0</v>
      </c>
      <c r="B10842" s="2" t="s">
        <v>30610</v>
      </c>
      <c r="C10842" s="2" t="s">
        <v>43762</v>
      </c>
      <c r="D10842" s="2" t="str">
        <f>"(469) 773-1168"</f>
        <v>(469) 773-1168</v>
      </c>
      <c r="E10842" s="2" t="s">
        <v>3977</v>
      </c>
      <c r="F10842" s="2" t="s">
        <v>1859</v>
      </c>
      <c r="G10842" s="2" t="str">
        <f>"SR-15402"</f>
        <v>SR-15402</v>
      </c>
      <c r="H10842" s="2" t="s">
        <v>43763</v>
      </c>
      <c r="I10842" s="2" t="s">
        <v>30613</v>
      </c>
      <c r="K10842" s="2" t="s">
        <v>357</v>
      </c>
      <c r="L10842" s="2" t="s">
        <v>172</v>
      </c>
      <c r="M10842" s="2">
        <v>75024.0</v>
      </c>
      <c r="N10842" s="2" t="s">
        <v>21</v>
      </c>
    </row>
    <row r="10843" ht="15.75" customHeight="1">
      <c r="A10843" s="2">
        <v>2019.0</v>
      </c>
      <c r="B10843" s="2" t="s">
        <v>30610</v>
      </c>
      <c r="C10843" s="2" t="s">
        <v>43764</v>
      </c>
      <c r="D10843" s="2" t="str">
        <f>"4695639763"</f>
        <v>4695639763</v>
      </c>
      <c r="E10843" s="2" t="s">
        <v>2162</v>
      </c>
      <c r="F10843" s="2" t="s">
        <v>538</v>
      </c>
      <c r="G10843" s="2" t="str">
        <f>"SR-15403"</f>
        <v>SR-15403</v>
      </c>
      <c r="H10843" s="2" t="s">
        <v>43765</v>
      </c>
      <c r="I10843" s="2" t="s">
        <v>30613</v>
      </c>
      <c r="K10843" s="2" t="s">
        <v>357</v>
      </c>
      <c r="L10843" s="2" t="s">
        <v>172</v>
      </c>
      <c r="M10843" s="2">
        <v>75024.0</v>
      </c>
      <c r="N10843" s="2" t="s">
        <v>21</v>
      </c>
    </row>
    <row r="10844" ht="15.75" customHeight="1">
      <c r="A10844" s="2">
        <v>2019.0</v>
      </c>
      <c r="B10844" s="2" t="s">
        <v>30610</v>
      </c>
      <c r="C10844" s="2" t="s">
        <v>43766</v>
      </c>
      <c r="D10844" s="2" t="str">
        <f>"4695694002"</f>
        <v>4695694002</v>
      </c>
      <c r="E10844" s="2" t="s">
        <v>137</v>
      </c>
      <c r="F10844" s="2" t="s">
        <v>538</v>
      </c>
      <c r="G10844" s="2" t="str">
        <f>"SR-15404"</f>
        <v>SR-15404</v>
      </c>
      <c r="H10844" s="2" t="s">
        <v>43767</v>
      </c>
      <c r="I10844" s="2" t="s">
        <v>30613</v>
      </c>
      <c r="K10844" s="2" t="s">
        <v>357</v>
      </c>
      <c r="L10844" s="2" t="s">
        <v>172</v>
      </c>
      <c r="M10844" s="2">
        <v>75024.0</v>
      </c>
      <c r="N10844" s="2" t="s">
        <v>21</v>
      </c>
    </row>
    <row r="10845" ht="15.75" customHeight="1">
      <c r="A10845" s="2">
        <v>2019.0</v>
      </c>
      <c r="B10845" s="2" t="s">
        <v>43768</v>
      </c>
      <c r="C10845" s="2" t="s">
        <v>43769</v>
      </c>
      <c r="D10845" s="2" t="str">
        <f>"903-217-9185"</f>
        <v>903-217-9185</v>
      </c>
      <c r="E10845" s="2" t="s">
        <v>1094</v>
      </c>
      <c r="F10845" s="2" t="s">
        <v>43770</v>
      </c>
      <c r="G10845" s="2" t="str">
        <f>"SR-15405"</f>
        <v>SR-15405</v>
      </c>
      <c r="H10845" s="2" t="s">
        <v>43771</v>
      </c>
      <c r="I10845" s="2" t="s">
        <v>43772</v>
      </c>
      <c r="K10845" s="2" t="s">
        <v>236</v>
      </c>
      <c r="L10845" s="2" t="s">
        <v>172</v>
      </c>
      <c r="M10845" s="2">
        <v>75135.0</v>
      </c>
      <c r="N10845" s="2" t="s">
        <v>21</v>
      </c>
    </row>
    <row r="10846" ht="15.75" customHeight="1">
      <c r="A10846" s="2">
        <v>2019.0</v>
      </c>
      <c r="B10846" s="2" t="s">
        <v>30626</v>
      </c>
      <c r="C10846" s="2" t="s">
        <v>43773</v>
      </c>
      <c r="D10846" s="2" t="str">
        <f>"214-679-4177"</f>
        <v>214-679-4177</v>
      </c>
      <c r="E10846" s="2" t="s">
        <v>385</v>
      </c>
      <c r="F10846" s="2" t="s">
        <v>30628</v>
      </c>
      <c r="G10846" s="2" t="str">
        <f>"SR-15408"</f>
        <v>SR-15408</v>
      </c>
      <c r="H10846" s="2" t="s">
        <v>43774</v>
      </c>
      <c r="I10846" s="2" t="s">
        <v>30630</v>
      </c>
      <c r="K10846" s="2" t="s">
        <v>171</v>
      </c>
      <c r="L10846" s="2" t="s">
        <v>172</v>
      </c>
      <c r="M10846" s="2">
        <v>75010.0</v>
      </c>
      <c r="N10846" s="2" t="s">
        <v>21</v>
      </c>
    </row>
    <row r="10847" ht="15.75" customHeight="1">
      <c r="A10847" s="2">
        <v>2019.0</v>
      </c>
      <c r="B10847" s="2" t="s">
        <v>43775</v>
      </c>
      <c r="C10847" s="2" t="s">
        <v>43775</v>
      </c>
      <c r="D10847" s="2" t="str">
        <f t="shared" ref="D10847:D10848" si="182">"5719994192"</f>
        <v>5719994192</v>
      </c>
      <c r="E10847" s="2" t="s">
        <v>261</v>
      </c>
      <c r="F10847" s="2" t="s">
        <v>5305</v>
      </c>
      <c r="G10847" s="2" t="str">
        <f>"SR-15411"</f>
        <v>SR-15411</v>
      </c>
      <c r="H10847" s="2" t="s">
        <v>43776</v>
      </c>
      <c r="I10847" s="2" t="s">
        <v>43777</v>
      </c>
      <c r="K10847" s="2" t="s">
        <v>5205</v>
      </c>
      <c r="L10847" s="2" t="s">
        <v>165</v>
      </c>
      <c r="M10847" s="2">
        <v>22015.0</v>
      </c>
      <c r="N10847" s="2" t="s">
        <v>21</v>
      </c>
    </row>
    <row r="10848" ht="15.75" customHeight="1">
      <c r="A10848" s="2">
        <v>2019.0</v>
      </c>
      <c r="B10848" s="2" t="s">
        <v>43775</v>
      </c>
      <c r="C10848" s="2" t="s">
        <v>43775</v>
      </c>
      <c r="D10848" s="2" t="str">
        <f t="shared" si="182"/>
        <v>5719994192</v>
      </c>
      <c r="E10848" s="2" t="s">
        <v>485</v>
      </c>
      <c r="F10848" s="2" t="s">
        <v>5305</v>
      </c>
      <c r="G10848" s="2" t="str">
        <f>"SR-15412"</f>
        <v>SR-15412</v>
      </c>
      <c r="H10848" s="2" t="s">
        <v>43778</v>
      </c>
      <c r="I10848" s="2" t="s">
        <v>43777</v>
      </c>
      <c r="K10848" s="2" t="s">
        <v>5205</v>
      </c>
      <c r="L10848" s="2" t="s">
        <v>165</v>
      </c>
      <c r="M10848" s="2">
        <v>22015.0</v>
      </c>
      <c r="N10848" s="2" t="s">
        <v>21</v>
      </c>
    </row>
    <row r="10849" ht="15.75" customHeight="1">
      <c r="A10849" s="2">
        <v>2019.0</v>
      </c>
      <c r="B10849" s="2" t="s">
        <v>43758</v>
      </c>
      <c r="C10849" s="2" t="s">
        <v>43779</v>
      </c>
      <c r="D10849" s="2" t="str">
        <f>"7149483084"</f>
        <v>7149483084</v>
      </c>
      <c r="E10849" s="2" t="s">
        <v>1208</v>
      </c>
      <c r="F10849" s="2" t="s">
        <v>17190</v>
      </c>
      <c r="G10849" s="2" t="str">
        <f>"SR-15401"</f>
        <v>SR-15401</v>
      </c>
      <c r="H10849" s="2" t="s">
        <v>43780</v>
      </c>
      <c r="I10849" s="2" t="s">
        <v>43761</v>
      </c>
      <c r="K10849" s="2" t="s">
        <v>4026</v>
      </c>
      <c r="L10849" s="2" t="s">
        <v>222</v>
      </c>
      <c r="M10849" s="2">
        <v>92807.0</v>
      </c>
      <c r="N10849" s="2" t="s">
        <v>21</v>
      </c>
    </row>
    <row r="10850" ht="15.75" customHeight="1">
      <c r="A10850" s="2">
        <v>2019.0</v>
      </c>
      <c r="B10850" s="2" t="s">
        <v>43781</v>
      </c>
      <c r="C10850" s="2" t="s">
        <v>43782</v>
      </c>
      <c r="D10850" s="2" t="str">
        <f>"9094359913"</f>
        <v>9094359913</v>
      </c>
      <c r="E10850" s="2" t="s">
        <v>5310</v>
      </c>
      <c r="F10850" s="2" t="s">
        <v>3978</v>
      </c>
      <c r="G10850" s="2" t="str">
        <f>"SR-15179"</f>
        <v>SR-15179</v>
      </c>
      <c r="H10850" s="2" t="s">
        <v>43783</v>
      </c>
      <c r="I10850" s="2" t="s">
        <v>43784</v>
      </c>
      <c r="K10850" s="2" t="s">
        <v>3770</v>
      </c>
      <c r="L10850" s="2" t="s">
        <v>222</v>
      </c>
      <c r="M10850" s="2">
        <v>92399.0</v>
      </c>
      <c r="N10850" s="2" t="s">
        <v>21</v>
      </c>
    </row>
    <row r="10851" ht="15.75" customHeight="1">
      <c r="A10851" s="2">
        <v>2019.0</v>
      </c>
      <c r="B10851" s="2" t="s">
        <v>43781</v>
      </c>
      <c r="C10851" s="2" t="s">
        <v>43785</v>
      </c>
      <c r="D10851" s="2" t="str">
        <f>"9096724931"</f>
        <v>9096724931</v>
      </c>
      <c r="E10851" s="2" t="s">
        <v>43786</v>
      </c>
      <c r="F10851" s="2" t="s">
        <v>511</v>
      </c>
      <c r="G10851" s="2" t="str">
        <f>"SR-15389"</f>
        <v>SR-15389</v>
      </c>
      <c r="H10851" s="2" t="s">
        <v>43787</v>
      </c>
      <c r="I10851" s="2" t="s">
        <v>43788</v>
      </c>
      <c r="K10851" s="2" t="s">
        <v>13889</v>
      </c>
      <c r="L10851" s="2" t="s">
        <v>222</v>
      </c>
      <c r="M10851" s="2">
        <v>92373.0</v>
      </c>
      <c r="N10851" s="2" t="s">
        <v>21</v>
      </c>
    </row>
    <row r="10852" ht="15.75" customHeight="1">
      <c r="A10852" s="2">
        <v>2019.0</v>
      </c>
      <c r="B10852" s="2" t="s">
        <v>37336</v>
      </c>
      <c r="C10852" s="2" t="s">
        <v>37337</v>
      </c>
      <c r="D10852" s="2" t="str">
        <f>"6415211814"</f>
        <v>6415211814</v>
      </c>
      <c r="E10852" s="2" t="s">
        <v>1450</v>
      </c>
      <c r="F10852" s="2" t="s">
        <v>37338</v>
      </c>
      <c r="G10852" s="2" t="str">
        <f>"SR-12742"</f>
        <v>SR-12742</v>
      </c>
      <c r="H10852" s="2" t="s">
        <v>37339</v>
      </c>
      <c r="I10852" s="2" t="s">
        <v>37340</v>
      </c>
      <c r="K10852" s="2" t="s">
        <v>37341</v>
      </c>
      <c r="L10852" s="2" t="s">
        <v>560</v>
      </c>
      <c r="M10852" s="2">
        <v>50028.0</v>
      </c>
      <c r="N10852" s="2" t="s">
        <v>21</v>
      </c>
    </row>
    <row r="10853" ht="15.75" customHeight="1">
      <c r="A10853" s="2">
        <v>2019.0</v>
      </c>
      <c r="B10853" s="2" t="s">
        <v>37136</v>
      </c>
      <c r="C10853" s="2" t="s">
        <v>43789</v>
      </c>
      <c r="D10853" s="2" t="str">
        <f>"3162525955"</f>
        <v>3162525955</v>
      </c>
      <c r="E10853" s="2" t="s">
        <v>4968</v>
      </c>
      <c r="F10853" s="2" t="s">
        <v>984</v>
      </c>
      <c r="G10853" s="2" t="str">
        <f>"SR-15415"</f>
        <v>SR-15415</v>
      </c>
      <c r="H10853" s="2" t="s">
        <v>43790</v>
      </c>
      <c r="I10853" s="2" t="s">
        <v>43791</v>
      </c>
      <c r="K10853" s="2" t="s">
        <v>37139</v>
      </c>
      <c r="L10853" s="2" t="s">
        <v>272</v>
      </c>
      <c r="M10853" s="2">
        <v>67207.0</v>
      </c>
      <c r="N10853" s="2" t="s">
        <v>21</v>
      </c>
    </row>
    <row r="10854" ht="15.75" customHeight="1">
      <c r="A10854" s="2">
        <v>2019.0</v>
      </c>
      <c r="B10854" s="2" t="s">
        <v>7153</v>
      </c>
      <c r="C10854" s="2" t="s">
        <v>43792</v>
      </c>
      <c r="D10854" s="2" t="str">
        <f>"(720) 892-9004"</f>
        <v>(720) 892-9004</v>
      </c>
      <c r="E10854" s="2" t="s">
        <v>3640</v>
      </c>
      <c r="F10854" s="2" t="s">
        <v>2753</v>
      </c>
      <c r="G10854" s="2" t="str">
        <f>"SR-15417"</f>
        <v>SR-15417</v>
      </c>
      <c r="H10854" s="2" t="s">
        <v>43793</v>
      </c>
      <c r="I10854" s="2" t="s">
        <v>43794</v>
      </c>
      <c r="K10854" s="2" t="s">
        <v>519</v>
      </c>
      <c r="L10854" s="2" t="s">
        <v>157</v>
      </c>
      <c r="M10854" s="2">
        <v>80465.0</v>
      </c>
      <c r="N10854" s="2" t="s">
        <v>21</v>
      </c>
    </row>
    <row r="10855" ht="15.75" customHeight="1">
      <c r="A10855" s="2">
        <v>2019.0</v>
      </c>
      <c r="B10855" s="2" t="s">
        <v>7153</v>
      </c>
      <c r="C10855" s="2" t="s">
        <v>28328</v>
      </c>
      <c r="D10855" s="2" t="str">
        <f>"7204027300"</f>
        <v>7204027300</v>
      </c>
      <c r="E10855" s="2" t="s">
        <v>28329</v>
      </c>
      <c r="F10855" s="2" t="s">
        <v>2753</v>
      </c>
      <c r="G10855" s="2" t="str">
        <f>"SR-7849"</f>
        <v>SR-7849</v>
      </c>
      <c r="H10855" s="2" t="s">
        <v>28330</v>
      </c>
      <c r="I10855" s="2" t="s">
        <v>28331</v>
      </c>
      <c r="K10855" s="2" t="s">
        <v>519</v>
      </c>
      <c r="L10855" s="2" t="s">
        <v>157</v>
      </c>
      <c r="M10855" s="2">
        <v>80465.0</v>
      </c>
      <c r="N10855" s="2" t="s">
        <v>21</v>
      </c>
    </row>
    <row r="10856" ht="15.75" customHeight="1">
      <c r="A10856" s="2">
        <v>2019.0</v>
      </c>
      <c r="B10856" s="2" t="s">
        <v>43795</v>
      </c>
      <c r="C10856" s="2" t="s">
        <v>43796</v>
      </c>
      <c r="D10856" s="2" t="str">
        <f>"7017939186"</f>
        <v>7017939186</v>
      </c>
      <c r="E10856" s="2" t="s">
        <v>417</v>
      </c>
      <c r="F10856" s="2" t="s">
        <v>43797</v>
      </c>
      <c r="G10856" s="2" t="str">
        <f>"SR-15418"</f>
        <v>SR-15418</v>
      </c>
      <c r="H10856" s="2" t="s">
        <v>43798</v>
      </c>
      <c r="I10856" s="2" t="s">
        <v>43799</v>
      </c>
      <c r="K10856" s="2" t="s">
        <v>606</v>
      </c>
      <c r="L10856" s="2" t="s">
        <v>272</v>
      </c>
      <c r="M10856" s="2">
        <v>67226.0</v>
      </c>
      <c r="N10856" s="2" t="s">
        <v>21</v>
      </c>
    </row>
    <row r="10857" ht="15.75" customHeight="1">
      <c r="A10857" s="2">
        <v>2019.0</v>
      </c>
      <c r="B10857" s="2" t="s">
        <v>14712</v>
      </c>
      <c r="C10857" s="2" t="s">
        <v>43800</v>
      </c>
      <c r="D10857" s="2" t="str">
        <f>"740-968-2451"</f>
        <v>740-968-2451</v>
      </c>
      <c r="E10857" s="2" t="s">
        <v>239</v>
      </c>
      <c r="F10857" s="2" t="s">
        <v>550</v>
      </c>
      <c r="G10857" s="2" t="str">
        <f>"SR-15419"</f>
        <v>SR-15419</v>
      </c>
      <c r="H10857" s="2" t="s">
        <v>43801</v>
      </c>
      <c r="I10857" s="2" t="s">
        <v>14715</v>
      </c>
      <c r="K10857" s="2" t="s">
        <v>14734</v>
      </c>
      <c r="L10857" s="2" t="s">
        <v>344</v>
      </c>
      <c r="M10857" s="2">
        <v>43950.0</v>
      </c>
      <c r="N10857" s="2" t="s">
        <v>21</v>
      </c>
    </row>
    <row r="10858" ht="15.75" customHeight="1">
      <c r="A10858" s="2">
        <v>2019.0</v>
      </c>
      <c r="B10858" s="2" t="s">
        <v>33490</v>
      </c>
      <c r="C10858" s="2" t="s">
        <v>43802</v>
      </c>
      <c r="D10858" s="2" t="str">
        <f>"9194806381"</f>
        <v>9194806381</v>
      </c>
      <c r="E10858" s="2" t="s">
        <v>984</v>
      </c>
      <c r="F10858" s="2" t="s">
        <v>10775</v>
      </c>
      <c r="G10858" s="2" t="str">
        <f>"SR-15422"</f>
        <v>SR-15422</v>
      </c>
      <c r="H10858" s="2" t="s">
        <v>43803</v>
      </c>
      <c r="I10858" s="2" t="s">
        <v>33493</v>
      </c>
      <c r="K10858" s="2" t="s">
        <v>13569</v>
      </c>
      <c r="L10858" s="2" t="s">
        <v>20</v>
      </c>
      <c r="M10858" s="2">
        <v>27526.0</v>
      </c>
      <c r="N10858" s="2" t="s">
        <v>21</v>
      </c>
    </row>
    <row r="10859" ht="15.75" customHeight="1">
      <c r="A10859" s="2">
        <v>2019.0</v>
      </c>
      <c r="B10859" s="2" t="s">
        <v>43804</v>
      </c>
      <c r="C10859" s="2" t="s">
        <v>43805</v>
      </c>
      <c r="D10859" s="2" t="str">
        <f>"7315149741"</f>
        <v>7315149741</v>
      </c>
      <c r="E10859" s="2" t="s">
        <v>2031</v>
      </c>
      <c r="F10859" s="2" t="s">
        <v>7389</v>
      </c>
      <c r="G10859" s="2" t="str">
        <f>"SR-15421"</f>
        <v>SR-15421</v>
      </c>
      <c r="H10859" s="2" t="s">
        <v>43806</v>
      </c>
      <c r="I10859" s="2" t="s">
        <v>43807</v>
      </c>
      <c r="K10859" s="2" t="s">
        <v>43808</v>
      </c>
      <c r="L10859" s="2" t="s">
        <v>279</v>
      </c>
      <c r="M10859" s="2">
        <v>38257.0</v>
      </c>
      <c r="N10859" s="2" t="s">
        <v>21</v>
      </c>
    </row>
    <row r="10860" ht="15.75" customHeight="1">
      <c r="A10860" s="2">
        <v>2019.0</v>
      </c>
      <c r="B10860" s="2" t="s">
        <v>43809</v>
      </c>
      <c r="C10860" s="2" t="s">
        <v>43809</v>
      </c>
      <c r="D10860" s="2" t="str">
        <f>"3166550033"</f>
        <v>3166550033</v>
      </c>
      <c r="E10860" s="2" t="s">
        <v>444</v>
      </c>
      <c r="F10860" s="2" t="s">
        <v>43810</v>
      </c>
      <c r="G10860" s="2" t="str">
        <f>"SR-13010"</f>
        <v>SR-13010</v>
      </c>
      <c r="H10860" s="2" t="s">
        <v>43811</v>
      </c>
      <c r="I10860" s="2" t="s">
        <v>43812</v>
      </c>
      <c r="K10860" s="2" t="s">
        <v>606</v>
      </c>
      <c r="L10860" s="2" t="s">
        <v>272</v>
      </c>
      <c r="M10860" s="2">
        <v>67206.0</v>
      </c>
      <c r="N10860" s="2" t="s">
        <v>21</v>
      </c>
    </row>
    <row r="10861" ht="15.75" customHeight="1">
      <c r="A10861" s="2">
        <v>2019.0</v>
      </c>
      <c r="B10861" s="2" t="s">
        <v>43813</v>
      </c>
      <c r="C10861" s="2" t="s">
        <v>43814</v>
      </c>
      <c r="D10861" s="2" t="str">
        <f>"6157671238"</f>
        <v>6157671238</v>
      </c>
      <c r="E10861" s="2" t="s">
        <v>14150</v>
      </c>
      <c r="F10861" s="2" t="s">
        <v>1170</v>
      </c>
      <c r="G10861" s="2" t="str">
        <f>"SR-15423"</f>
        <v>SR-15423</v>
      </c>
      <c r="H10861" s="2" t="s">
        <v>43815</v>
      </c>
      <c r="I10861" s="2" t="s">
        <v>43816</v>
      </c>
      <c r="K10861" s="2" t="s">
        <v>3286</v>
      </c>
      <c r="L10861" s="2" t="s">
        <v>279</v>
      </c>
      <c r="M10861" s="2">
        <v>37055.0</v>
      </c>
      <c r="N10861" s="2" t="s">
        <v>21</v>
      </c>
    </row>
    <row r="10862" ht="15.75" customHeight="1">
      <c r="A10862" s="2">
        <v>2019.0</v>
      </c>
      <c r="B10862" s="2" t="s">
        <v>43817</v>
      </c>
      <c r="C10862" s="2" t="s">
        <v>43817</v>
      </c>
      <c r="D10862" s="2" t="str">
        <f>"(765)-520-5619"</f>
        <v>(765)-520-5619</v>
      </c>
      <c r="E10862" s="2" t="s">
        <v>651</v>
      </c>
      <c r="F10862" s="2" t="s">
        <v>9964</v>
      </c>
      <c r="G10862" s="2" t="str">
        <f>"SR-15424"</f>
        <v>SR-15424</v>
      </c>
      <c r="H10862" s="2" t="s">
        <v>43818</v>
      </c>
      <c r="I10862" s="2" t="s">
        <v>43819</v>
      </c>
      <c r="K10862" s="2" t="s">
        <v>32398</v>
      </c>
      <c r="L10862" s="2" t="s">
        <v>149</v>
      </c>
      <c r="M10862" s="2">
        <v>47362.0</v>
      </c>
      <c r="N10862" s="2" t="s">
        <v>21</v>
      </c>
    </row>
    <row r="10863" ht="15.75" customHeight="1">
      <c r="A10863" s="2">
        <v>2019.0</v>
      </c>
      <c r="B10863" s="2" t="s">
        <v>43820</v>
      </c>
      <c r="C10863" s="2" t="s">
        <v>43821</v>
      </c>
      <c r="D10863" s="2" t="str">
        <f>"615-797-2435"</f>
        <v>615-797-2435</v>
      </c>
      <c r="E10863" s="2" t="s">
        <v>4300</v>
      </c>
      <c r="F10863" s="2" t="s">
        <v>24286</v>
      </c>
      <c r="G10863" s="2" t="str">
        <f>"SR-15388"</f>
        <v>SR-15388</v>
      </c>
      <c r="H10863" s="2" t="s">
        <v>43822</v>
      </c>
      <c r="I10863" s="2" t="s">
        <v>43823</v>
      </c>
      <c r="K10863" s="2" t="s">
        <v>32831</v>
      </c>
      <c r="L10863" s="2" t="s">
        <v>279</v>
      </c>
      <c r="M10863" s="2">
        <v>37187.0</v>
      </c>
      <c r="N10863" s="2" t="s">
        <v>21</v>
      </c>
    </row>
    <row r="10864" ht="15.75" customHeight="1">
      <c r="A10864" s="2">
        <v>2019.0</v>
      </c>
      <c r="B10864" s="2" t="s">
        <v>43824</v>
      </c>
      <c r="C10864" s="2" t="s">
        <v>43825</v>
      </c>
      <c r="D10864" s="2" t="str">
        <f t="shared" ref="D10864:D10865" si="183">"6154783176"</f>
        <v>6154783176</v>
      </c>
      <c r="E10864" s="2" t="s">
        <v>651</v>
      </c>
      <c r="F10864" s="2" t="s">
        <v>43826</v>
      </c>
      <c r="G10864" s="2" t="str">
        <f>"SR-15385"</f>
        <v>SR-15385</v>
      </c>
      <c r="H10864" s="2" t="s">
        <v>43827</v>
      </c>
      <c r="I10864" s="2" t="s">
        <v>43828</v>
      </c>
      <c r="K10864" s="2" t="s">
        <v>43829</v>
      </c>
      <c r="L10864" s="2" t="s">
        <v>279</v>
      </c>
      <c r="M10864" s="2">
        <v>37025.0</v>
      </c>
      <c r="N10864" s="2" t="s">
        <v>21</v>
      </c>
    </row>
    <row r="10865" ht="15.75" customHeight="1">
      <c r="A10865" s="2">
        <v>2019.0</v>
      </c>
      <c r="B10865" s="2" t="s">
        <v>43824</v>
      </c>
      <c r="C10865" s="2" t="s">
        <v>43830</v>
      </c>
      <c r="D10865" s="2" t="str">
        <f t="shared" si="183"/>
        <v>6154783176</v>
      </c>
      <c r="E10865" s="2" t="s">
        <v>26172</v>
      </c>
      <c r="F10865" s="2" t="s">
        <v>43826</v>
      </c>
      <c r="G10865" s="2" t="str">
        <f>"SR-15386"</f>
        <v>SR-15386</v>
      </c>
      <c r="H10865" s="2" t="s">
        <v>43831</v>
      </c>
      <c r="I10865" s="2" t="s">
        <v>43828</v>
      </c>
      <c r="K10865" s="2" t="s">
        <v>43829</v>
      </c>
      <c r="L10865" s="2" t="s">
        <v>279</v>
      </c>
      <c r="M10865" s="2">
        <v>37025.0</v>
      </c>
      <c r="N10865" s="2" t="s">
        <v>21</v>
      </c>
    </row>
    <row r="10866" ht="15.75" customHeight="1">
      <c r="A10866" s="2">
        <v>2019.0</v>
      </c>
      <c r="B10866" s="2" t="s">
        <v>38534</v>
      </c>
      <c r="C10866" s="2" t="s">
        <v>38535</v>
      </c>
      <c r="D10866" s="2" t="str">
        <f>"8164684603"</f>
        <v>8164684603</v>
      </c>
      <c r="E10866" s="2" t="s">
        <v>326</v>
      </c>
      <c r="F10866" s="2" t="s">
        <v>38536</v>
      </c>
      <c r="G10866" s="2" t="str">
        <f>"SR-13129"</f>
        <v>SR-13129</v>
      </c>
      <c r="H10866" s="2" t="s">
        <v>38537</v>
      </c>
      <c r="I10866" s="2" t="s">
        <v>38538</v>
      </c>
      <c r="K10866" s="2" t="s">
        <v>1814</v>
      </c>
      <c r="L10866" s="2" t="s">
        <v>214</v>
      </c>
      <c r="M10866" s="2">
        <v>64155.0</v>
      </c>
      <c r="N10866" s="2" t="s">
        <v>21</v>
      </c>
    </row>
    <row r="10867" ht="15.75" customHeight="1">
      <c r="A10867" s="2">
        <v>2019.0</v>
      </c>
      <c r="B10867" s="2" t="s">
        <v>43832</v>
      </c>
      <c r="C10867" s="2" t="s">
        <v>43832</v>
      </c>
      <c r="D10867" s="2" t="str">
        <f>"5165870708"</f>
        <v>5165870708</v>
      </c>
      <c r="E10867" s="2" t="s">
        <v>3743</v>
      </c>
      <c r="F10867" s="2" t="s">
        <v>43833</v>
      </c>
      <c r="G10867" s="2" t="str">
        <f>"SR-15427"</f>
        <v>SR-15427</v>
      </c>
      <c r="H10867" s="2" t="s">
        <v>43834</v>
      </c>
      <c r="I10867" s="2" t="s">
        <v>43835</v>
      </c>
      <c r="K10867" s="2" t="s">
        <v>19</v>
      </c>
      <c r="L10867" s="2" t="s">
        <v>20</v>
      </c>
      <c r="M10867" s="2">
        <v>28270.0</v>
      </c>
      <c r="N10867" s="2" t="s">
        <v>21</v>
      </c>
    </row>
    <row r="10868" ht="15.75" customHeight="1">
      <c r="A10868" s="2">
        <v>2019.0</v>
      </c>
      <c r="B10868" s="2" t="s">
        <v>43836</v>
      </c>
      <c r="C10868" s="2" t="s">
        <v>43837</v>
      </c>
      <c r="D10868" s="2" t="str">
        <f>"4322145043"</f>
        <v>4322145043</v>
      </c>
      <c r="E10868" s="2" t="s">
        <v>19271</v>
      </c>
      <c r="F10868" s="2" t="s">
        <v>2930</v>
      </c>
      <c r="G10868" s="2" t="str">
        <f>"SR-15428"</f>
        <v>SR-15428</v>
      </c>
      <c r="H10868" s="2" t="s">
        <v>43838</v>
      </c>
      <c r="I10868" s="2" t="s">
        <v>43839</v>
      </c>
      <c r="K10868" s="2" t="s">
        <v>286</v>
      </c>
      <c r="L10868" s="2" t="s">
        <v>172</v>
      </c>
      <c r="M10868" s="2">
        <v>79706.0</v>
      </c>
      <c r="N10868" s="2" t="s">
        <v>21</v>
      </c>
    </row>
    <row r="10869" ht="15.75" customHeight="1">
      <c r="A10869" s="2">
        <v>2019.0</v>
      </c>
      <c r="B10869" s="2" t="s">
        <v>43840</v>
      </c>
      <c r="C10869" s="2" t="s">
        <v>43840</v>
      </c>
      <c r="D10869" s="2" t="str">
        <f>"641-780-8941"</f>
        <v>641-780-8941</v>
      </c>
      <c r="E10869" s="2" t="s">
        <v>11562</v>
      </c>
      <c r="F10869" s="2" t="s">
        <v>43841</v>
      </c>
      <c r="G10869" s="2" t="str">
        <f>"SR-15430"</f>
        <v>SR-15430</v>
      </c>
      <c r="H10869" s="2" t="s">
        <v>43842</v>
      </c>
      <c r="I10869" s="2" t="s">
        <v>43843</v>
      </c>
      <c r="K10869" s="2" t="s">
        <v>4519</v>
      </c>
      <c r="L10869" s="2" t="s">
        <v>560</v>
      </c>
      <c r="M10869" s="2">
        <v>50170.0</v>
      </c>
      <c r="N10869" s="2" t="s">
        <v>21</v>
      </c>
    </row>
    <row r="10870" ht="15.75" customHeight="1">
      <c r="A10870" s="2">
        <v>2019.0</v>
      </c>
      <c r="B10870" s="2" t="s">
        <v>43844</v>
      </c>
      <c r="C10870" s="2" t="s">
        <v>43845</v>
      </c>
      <c r="D10870" s="2" t="str">
        <f>"503-318-8253"</f>
        <v>503-318-8253</v>
      </c>
      <c r="E10870" s="2" t="s">
        <v>1135</v>
      </c>
      <c r="F10870" s="2" t="s">
        <v>43846</v>
      </c>
      <c r="G10870" s="2" t="str">
        <f>"SR-15432"</f>
        <v>SR-15432</v>
      </c>
      <c r="H10870" s="2" t="s">
        <v>43847</v>
      </c>
      <c r="I10870" s="2" t="s">
        <v>43848</v>
      </c>
      <c r="K10870" s="2" t="s">
        <v>21625</v>
      </c>
      <c r="L10870" s="2" t="s">
        <v>2389</v>
      </c>
      <c r="M10870" s="2">
        <v>97055.0</v>
      </c>
      <c r="N10870" s="2" t="s">
        <v>21</v>
      </c>
    </row>
    <row r="10871" ht="15.75" customHeight="1">
      <c r="A10871" s="2">
        <v>2019.0</v>
      </c>
      <c r="B10871" s="2" t="s">
        <v>43844</v>
      </c>
      <c r="C10871" s="2" t="s">
        <v>43849</v>
      </c>
      <c r="D10871" s="2" t="str">
        <f>"503-777-1350"</f>
        <v>503-777-1350</v>
      </c>
      <c r="E10871" s="2" t="s">
        <v>1208</v>
      </c>
      <c r="F10871" s="2" t="s">
        <v>1151</v>
      </c>
      <c r="G10871" s="2" t="str">
        <f>"SR-15433"</f>
        <v>SR-15433</v>
      </c>
      <c r="H10871" s="2" t="s">
        <v>43850</v>
      </c>
      <c r="I10871" s="2" t="s">
        <v>43851</v>
      </c>
      <c r="K10871" s="2" t="s">
        <v>2828</v>
      </c>
      <c r="L10871" s="2" t="s">
        <v>2389</v>
      </c>
      <c r="M10871" s="2">
        <v>97206.0</v>
      </c>
      <c r="N10871" s="2" t="s">
        <v>21</v>
      </c>
    </row>
    <row r="10872" ht="15.75" customHeight="1">
      <c r="A10872" s="2">
        <v>2019.0</v>
      </c>
      <c r="B10872" s="2" t="s">
        <v>43852</v>
      </c>
      <c r="C10872" s="2" t="s">
        <v>43852</v>
      </c>
      <c r="D10872" s="2" t="str">
        <f>"5024456132"</f>
        <v>5024456132</v>
      </c>
      <c r="E10872" s="2" t="s">
        <v>7145</v>
      </c>
      <c r="F10872" s="2" t="s">
        <v>6804</v>
      </c>
      <c r="G10872" s="2" t="str">
        <f>"SR-15382"</f>
        <v>SR-15382</v>
      </c>
      <c r="H10872" s="2" t="s">
        <v>43853</v>
      </c>
      <c r="I10872" s="2" t="s">
        <v>43854</v>
      </c>
      <c r="K10872" s="2" t="s">
        <v>5288</v>
      </c>
      <c r="L10872" s="2" t="s">
        <v>1236</v>
      </c>
      <c r="M10872" s="2">
        <v>40243.0</v>
      </c>
      <c r="N10872" s="2" t="s">
        <v>21</v>
      </c>
    </row>
    <row r="10873" ht="15.75" customHeight="1">
      <c r="A10873" s="2">
        <v>2019.0</v>
      </c>
      <c r="B10873" s="2" t="s">
        <v>43855</v>
      </c>
      <c r="C10873" s="2" t="s">
        <v>43855</v>
      </c>
      <c r="D10873" s="2" t="str">
        <f>"8155032673"</f>
        <v>8155032673</v>
      </c>
      <c r="E10873" s="2" t="s">
        <v>2412</v>
      </c>
      <c r="F10873" s="2" t="s">
        <v>23084</v>
      </c>
      <c r="G10873" s="2" t="str">
        <f>"SR-15098"</f>
        <v>SR-15098</v>
      </c>
      <c r="H10873" s="2" t="s">
        <v>43856</v>
      </c>
      <c r="I10873" s="2" t="s">
        <v>30750</v>
      </c>
      <c r="K10873" s="2" t="s">
        <v>1814</v>
      </c>
      <c r="L10873" s="2" t="s">
        <v>214</v>
      </c>
      <c r="M10873" s="2">
        <v>64137.0</v>
      </c>
      <c r="N10873" s="2" t="s">
        <v>21</v>
      </c>
    </row>
    <row r="10874" ht="15.75" customHeight="1">
      <c r="A10874" s="2">
        <v>2019.0</v>
      </c>
      <c r="B10874" s="2" t="s">
        <v>43857</v>
      </c>
      <c r="C10874" s="2" t="s">
        <v>43858</v>
      </c>
      <c r="D10874" s="2" t="str">
        <f>"731-414-1803"</f>
        <v>731-414-1803</v>
      </c>
      <c r="E10874" s="2" t="s">
        <v>43859</v>
      </c>
      <c r="F10874" s="2" t="s">
        <v>9239</v>
      </c>
      <c r="G10874" s="2" t="str">
        <f>"SR-15437"</f>
        <v>SR-15437</v>
      </c>
      <c r="H10874" s="2" t="s">
        <v>43860</v>
      </c>
      <c r="I10874" s="2" t="s">
        <v>43861</v>
      </c>
      <c r="K10874" s="2" t="s">
        <v>15674</v>
      </c>
      <c r="L10874" s="2" t="s">
        <v>279</v>
      </c>
      <c r="M10874" s="2">
        <v>38338.0</v>
      </c>
      <c r="N10874" s="2" t="s">
        <v>21</v>
      </c>
    </row>
    <row r="10875" ht="15.75" customHeight="1">
      <c r="A10875" s="2">
        <v>2019.0</v>
      </c>
      <c r="B10875" s="2" t="s">
        <v>17154</v>
      </c>
      <c r="C10875" s="2" t="s">
        <v>43862</v>
      </c>
      <c r="D10875" s="2" t="str">
        <f>"3036969036"</f>
        <v>3036969036</v>
      </c>
      <c r="E10875" s="2" t="s">
        <v>43863</v>
      </c>
      <c r="F10875" s="2" t="s">
        <v>4532</v>
      </c>
      <c r="G10875" s="2" t="str">
        <f>"SR-15438"</f>
        <v>SR-15438</v>
      </c>
      <c r="H10875" s="2" t="s">
        <v>43864</v>
      </c>
      <c r="I10875" s="2" t="s">
        <v>17158</v>
      </c>
      <c r="K10875" s="2" t="s">
        <v>1520</v>
      </c>
      <c r="L10875" s="2" t="s">
        <v>157</v>
      </c>
      <c r="M10875" s="2">
        <v>80017.0</v>
      </c>
      <c r="N10875" s="2" t="s">
        <v>21</v>
      </c>
    </row>
    <row r="10876" ht="15.75" customHeight="1">
      <c r="A10876" s="2">
        <v>2019.0</v>
      </c>
      <c r="B10876" s="2" t="s">
        <v>43865</v>
      </c>
      <c r="C10876" s="2" t="s">
        <v>43866</v>
      </c>
      <c r="D10876" s="2" t="str">
        <f>"641-781-0894"</f>
        <v>641-781-0894</v>
      </c>
      <c r="E10876" s="2" t="s">
        <v>9476</v>
      </c>
      <c r="F10876" s="2" t="s">
        <v>3017</v>
      </c>
      <c r="G10876" s="2" t="str">
        <f>"SR-15434"</f>
        <v>SR-15434</v>
      </c>
      <c r="H10876" s="2" t="s">
        <v>43867</v>
      </c>
      <c r="I10876" s="2" t="s">
        <v>43868</v>
      </c>
      <c r="K10876" s="2" t="s">
        <v>18536</v>
      </c>
      <c r="L10876" s="2" t="s">
        <v>560</v>
      </c>
      <c r="M10876" s="2">
        <v>50219.0</v>
      </c>
      <c r="N10876" s="2" t="s">
        <v>21</v>
      </c>
    </row>
    <row r="10877" ht="15.75" customHeight="1">
      <c r="A10877" s="2">
        <v>2019.0</v>
      </c>
      <c r="B10877" s="2" t="s">
        <v>43869</v>
      </c>
      <c r="C10877" s="2" t="s">
        <v>43870</v>
      </c>
      <c r="D10877" s="2" t="str">
        <f>"3035477347"</f>
        <v>3035477347</v>
      </c>
      <c r="E10877" s="2" t="s">
        <v>81</v>
      </c>
      <c r="F10877" s="2" t="s">
        <v>43871</v>
      </c>
      <c r="G10877" s="2" t="str">
        <f>"SR-15440"</f>
        <v>SR-15440</v>
      </c>
      <c r="H10877" s="2" t="s">
        <v>43872</v>
      </c>
      <c r="I10877" s="2" t="s">
        <v>43873</v>
      </c>
      <c r="K10877" s="2" t="s">
        <v>682</v>
      </c>
      <c r="L10877" s="2" t="s">
        <v>157</v>
      </c>
      <c r="M10877" s="2">
        <v>80130.0</v>
      </c>
      <c r="N10877" s="2" t="s">
        <v>21</v>
      </c>
    </row>
    <row r="10878" ht="15.75" customHeight="1">
      <c r="A10878" s="2">
        <v>2019.0</v>
      </c>
      <c r="B10878" s="2" t="s">
        <v>8790</v>
      </c>
      <c r="C10878" s="2" t="s">
        <v>43874</v>
      </c>
      <c r="D10878" s="2" t="str">
        <f>"2146761299"</f>
        <v>2146761299</v>
      </c>
      <c r="E10878" s="2" t="s">
        <v>5116</v>
      </c>
      <c r="F10878" s="2" t="s">
        <v>256</v>
      </c>
      <c r="G10878" s="2" t="str">
        <f>"SR-15176"</f>
        <v>SR-15176</v>
      </c>
      <c r="H10878" s="2" t="s">
        <v>43875</v>
      </c>
      <c r="I10878" s="2" t="s">
        <v>43876</v>
      </c>
      <c r="K10878" s="2" t="s">
        <v>4228</v>
      </c>
      <c r="L10878" s="2" t="s">
        <v>715</v>
      </c>
      <c r="M10878" s="2">
        <v>70570.0</v>
      </c>
      <c r="N10878" s="2" t="s">
        <v>21</v>
      </c>
    </row>
    <row r="10879" ht="15.75" customHeight="1">
      <c r="A10879" s="2">
        <v>2019.0</v>
      </c>
      <c r="B10879" s="2" t="s">
        <v>43877</v>
      </c>
      <c r="C10879" s="2" t="s">
        <v>43878</v>
      </c>
      <c r="D10879" s="2" t="str">
        <f>"(505) 313-4966"</f>
        <v>(505) 313-4966</v>
      </c>
      <c r="E10879" s="2" t="s">
        <v>43879</v>
      </c>
      <c r="F10879" s="2" t="s">
        <v>23292</v>
      </c>
      <c r="G10879" s="2" t="str">
        <f>"SR-15435"</f>
        <v>SR-15435</v>
      </c>
      <c r="H10879" s="2" t="s">
        <v>43880</v>
      </c>
      <c r="I10879" s="2" t="s">
        <v>43881</v>
      </c>
      <c r="K10879" s="2" t="s">
        <v>3705</v>
      </c>
      <c r="L10879" s="2" t="s">
        <v>789</v>
      </c>
      <c r="M10879" s="2">
        <v>87109.0</v>
      </c>
      <c r="N10879" s="2" t="s">
        <v>21</v>
      </c>
    </row>
    <row r="10880" ht="15.75" customHeight="1">
      <c r="A10880" s="2">
        <v>2019.0</v>
      </c>
      <c r="B10880" s="2" t="s">
        <v>43882</v>
      </c>
      <c r="C10880" s="2" t="s">
        <v>43883</v>
      </c>
      <c r="D10880" s="2" t="str">
        <f>"3072712850"</f>
        <v>3072712850</v>
      </c>
      <c r="E10880" s="2" t="s">
        <v>81</v>
      </c>
      <c r="F10880" s="2" t="s">
        <v>11211</v>
      </c>
      <c r="G10880" s="2" t="str">
        <f>"SR-15442"</f>
        <v>SR-15442</v>
      </c>
      <c r="H10880" s="2" t="s">
        <v>43884</v>
      </c>
      <c r="I10880" s="2" t="s">
        <v>11213</v>
      </c>
      <c r="K10880" s="2" t="s">
        <v>2771</v>
      </c>
      <c r="L10880" s="2" t="s">
        <v>1540</v>
      </c>
      <c r="M10880" s="2">
        <v>82435.0</v>
      </c>
      <c r="N10880" s="2" t="s">
        <v>21</v>
      </c>
    </row>
    <row r="10881" ht="15.75" customHeight="1">
      <c r="A10881" s="2">
        <v>2019.0</v>
      </c>
      <c r="B10881" s="2" t="s">
        <v>16687</v>
      </c>
      <c r="C10881" s="2" t="s">
        <v>16687</v>
      </c>
      <c r="D10881" s="2" t="str">
        <f>"3174418988"</f>
        <v>3174418988</v>
      </c>
      <c r="E10881" s="2" t="s">
        <v>2250</v>
      </c>
      <c r="F10881" s="2" t="s">
        <v>9139</v>
      </c>
      <c r="G10881" s="2" t="str">
        <f>"SR-15443"</f>
        <v>SR-15443</v>
      </c>
      <c r="H10881" s="2" t="s">
        <v>43885</v>
      </c>
      <c r="I10881" s="2" t="s">
        <v>16691</v>
      </c>
      <c r="K10881" s="2" t="s">
        <v>2674</v>
      </c>
      <c r="L10881" s="2" t="s">
        <v>149</v>
      </c>
      <c r="M10881" s="2">
        <v>46142.0</v>
      </c>
      <c r="N10881" s="2" t="s">
        <v>21</v>
      </c>
    </row>
    <row r="10882" ht="15.75" customHeight="1">
      <c r="A10882" s="2">
        <v>2019.0</v>
      </c>
      <c r="B10882" s="2" t="s">
        <v>16687</v>
      </c>
      <c r="C10882" s="2" t="s">
        <v>16687</v>
      </c>
      <c r="D10882" s="2" t="str">
        <f>"3172760365"</f>
        <v>3172760365</v>
      </c>
      <c r="E10882" s="2" t="s">
        <v>1585</v>
      </c>
      <c r="F10882" s="2" t="s">
        <v>43886</v>
      </c>
      <c r="G10882" s="2" t="str">
        <f>"SR-15444"</f>
        <v>SR-15444</v>
      </c>
      <c r="H10882" s="2" t="s">
        <v>43887</v>
      </c>
      <c r="I10882" s="2" t="s">
        <v>16691</v>
      </c>
      <c r="K10882" s="2" t="s">
        <v>2674</v>
      </c>
      <c r="L10882" s="2" t="s">
        <v>149</v>
      </c>
      <c r="M10882" s="2">
        <v>46142.0</v>
      </c>
      <c r="N10882" s="2" t="s">
        <v>21</v>
      </c>
    </row>
    <row r="10883" ht="15.75" customHeight="1">
      <c r="A10883" s="2">
        <v>2019.0</v>
      </c>
      <c r="B10883" s="2" t="s">
        <v>43888</v>
      </c>
      <c r="C10883" s="2" t="s">
        <v>43888</v>
      </c>
      <c r="D10883" s="2" t="str">
        <f>"319-432-2255"</f>
        <v>319-432-2255</v>
      </c>
      <c r="E10883" s="2" t="s">
        <v>751</v>
      </c>
      <c r="F10883" s="2" t="s">
        <v>9028</v>
      </c>
      <c r="G10883" s="2" t="str">
        <f>"SR-15184"</f>
        <v>SR-15184</v>
      </c>
      <c r="H10883" s="2" t="s">
        <v>43889</v>
      </c>
      <c r="I10883" s="2" t="s">
        <v>43890</v>
      </c>
      <c r="K10883" s="2" t="s">
        <v>3273</v>
      </c>
      <c r="L10883" s="2" t="s">
        <v>560</v>
      </c>
      <c r="M10883" s="2">
        <v>52402.0</v>
      </c>
      <c r="N10883" s="2" t="s">
        <v>21</v>
      </c>
    </row>
    <row r="10884" ht="15.75" customHeight="1">
      <c r="A10884" s="2">
        <v>2019.0</v>
      </c>
      <c r="B10884" s="2" t="s">
        <v>42246</v>
      </c>
      <c r="C10884" s="2" t="s">
        <v>42247</v>
      </c>
      <c r="D10884" s="2" t="str">
        <f>"901-210-0055"</f>
        <v>901-210-0055</v>
      </c>
      <c r="E10884" s="2" t="s">
        <v>908</v>
      </c>
      <c r="F10884" s="2" t="s">
        <v>7692</v>
      </c>
      <c r="G10884" s="2" t="str">
        <f>"SR-14631"</f>
        <v>SR-14631</v>
      </c>
      <c r="H10884" s="2" t="s">
        <v>42248</v>
      </c>
      <c r="I10884" s="2" t="s">
        <v>42249</v>
      </c>
      <c r="K10884" s="2" t="s">
        <v>3493</v>
      </c>
      <c r="L10884" s="2" t="s">
        <v>1012</v>
      </c>
      <c r="M10884" s="2">
        <v>72364.0</v>
      </c>
      <c r="N10884" s="2" t="s">
        <v>21</v>
      </c>
    </row>
    <row r="10885" ht="15.75" customHeight="1">
      <c r="A10885" s="2">
        <v>2019.0</v>
      </c>
      <c r="B10885" s="2" t="s">
        <v>43891</v>
      </c>
      <c r="C10885" s="2" t="s">
        <v>43892</v>
      </c>
      <c r="D10885" s="2" t="str">
        <f>"6365245320"</f>
        <v>6365245320</v>
      </c>
      <c r="E10885" s="2" t="s">
        <v>385</v>
      </c>
      <c r="F10885" s="2" t="s">
        <v>43893</v>
      </c>
      <c r="G10885" s="2" t="str">
        <f>"SR-15216"</f>
        <v>SR-15216</v>
      </c>
      <c r="H10885" s="2" t="s">
        <v>43894</v>
      </c>
      <c r="I10885" s="2" t="s">
        <v>43895</v>
      </c>
      <c r="K10885" s="2" t="s">
        <v>22865</v>
      </c>
      <c r="L10885" s="2" t="s">
        <v>214</v>
      </c>
      <c r="M10885" s="2">
        <v>63123.0</v>
      </c>
      <c r="N10885" s="2" t="s">
        <v>21</v>
      </c>
    </row>
    <row r="10886" ht="15.75" customHeight="1">
      <c r="A10886" s="2">
        <v>2019.0</v>
      </c>
      <c r="B10886" s="2" t="s">
        <v>43896</v>
      </c>
      <c r="C10886" s="2" t="s">
        <v>43897</v>
      </c>
      <c r="D10886" s="2" t="str">
        <f>"901-338-9395"</f>
        <v>901-338-9395</v>
      </c>
      <c r="E10886" s="2" t="s">
        <v>43898</v>
      </c>
      <c r="F10886" s="2" t="s">
        <v>31450</v>
      </c>
      <c r="G10886" s="2" t="str">
        <f>"SR-15457"</f>
        <v>SR-15457</v>
      </c>
      <c r="H10886" s="2" t="s">
        <v>43899</v>
      </c>
      <c r="I10886" s="2" t="s">
        <v>31452</v>
      </c>
      <c r="K10886" s="2" t="s">
        <v>1570</v>
      </c>
      <c r="L10886" s="2" t="s">
        <v>279</v>
      </c>
      <c r="M10886" s="2">
        <v>38002.0</v>
      </c>
      <c r="N10886" s="2" t="s">
        <v>21</v>
      </c>
    </row>
    <row r="10887" ht="15.75" customHeight="1">
      <c r="A10887" s="2">
        <v>2019.0</v>
      </c>
      <c r="B10887" s="2" t="s">
        <v>43900</v>
      </c>
      <c r="D10887" s="2" t="str">
        <f>"406-794-1029"</f>
        <v>406-794-1029</v>
      </c>
      <c r="E10887" s="2" t="s">
        <v>1032</v>
      </c>
      <c r="F10887" s="2" t="s">
        <v>11610</v>
      </c>
      <c r="G10887" s="2" t="str">
        <f>"SR-15458"</f>
        <v>SR-15458</v>
      </c>
      <c r="H10887" s="2" t="s">
        <v>43901</v>
      </c>
      <c r="I10887" s="2" t="s">
        <v>18271</v>
      </c>
      <c r="K10887" s="2" t="s">
        <v>3548</v>
      </c>
      <c r="L10887" s="2" t="s">
        <v>2696</v>
      </c>
      <c r="M10887" s="2">
        <v>59101.0</v>
      </c>
      <c r="N10887" s="2" t="s">
        <v>21</v>
      </c>
    </row>
    <row r="10888" ht="15.75" customHeight="1">
      <c r="A10888" s="2">
        <v>2019.0</v>
      </c>
      <c r="B10888" s="2" t="s">
        <v>43902</v>
      </c>
      <c r="C10888" s="2" t="s">
        <v>43902</v>
      </c>
      <c r="D10888" s="2" t="str">
        <f>"903-306-9010"</f>
        <v>903-306-9010</v>
      </c>
      <c r="E10888" s="2" t="s">
        <v>1015</v>
      </c>
      <c r="F10888" s="2" t="s">
        <v>25339</v>
      </c>
      <c r="G10888" s="2" t="str">
        <f>"SR-15461"</f>
        <v>SR-15461</v>
      </c>
      <c r="H10888" s="2" t="s">
        <v>43903</v>
      </c>
      <c r="I10888" s="2" t="s">
        <v>43904</v>
      </c>
      <c r="K10888" s="2" t="s">
        <v>43905</v>
      </c>
      <c r="L10888" s="2" t="s">
        <v>172</v>
      </c>
      <c r="M10888" s="2">
        <v>75561.0</v>
      </c>
      <c r="N10888" s="2" t="s">
        <v>21</v>
      </c>
    </row>
    <row r="10889" ht="15.75" customHeight="1">
      <c r="A10889" s="2">
        <v>2019.0</v>
      </c>
      <c r="B10889" s="2" t="s">
        <v>43906</v>
      </c>
      <c r="C10889" s="2" t="s">
        <v>43907</v>
      </c>
      <c r="D10889" s="2" t="str">
        <f>"330 235 3730"</f>
        <v>330 235 3730</v>
      </c>
      <c r="E10889" s="2" t="s">
        <v>3196</v>
      </c>
      <c r="F10889" s="2" t="s">
        <v>43908</v>
      </c>
      <c r="G10889" s="2" t="str">
        <f>"SR-15462"</f>
        <v>SR-15462</v>
      </c>
      <c r="H10889" s="2" t="s">
        <v>43909</v>
      </c>
      <c r="I10889" s="2" t="s">
        <v>43910</v>
      </c>
      <c r="K10889" s="2" t="s">
        <v>43911</v>
      </c>
      <c r="L10889" s="2" t="s">
        <v>344</v>
      </c>
      <c r="M10889" s="2">
        <v>44266.0</v>
      </c>
      <c r="N10889" s="2" t="s">
        <v>21</v>
      </c>
    </row>
    <row r="10890" ht="15.75" customHeight="1">
      <c r="A10890" s="2">
        <v>2019.0</v>
      </c>
      <c r="B10890" s="2" t="s">
        <v>43912</v>
      </c>
      <c r="D10890" s="2" t="str">
        <f>""</f>
        <v/>
      </c>
      <c r="E10890" s="2" t="s">
        <v>72</v>
      </c>
      <c r="F10890" s="2" t="s">
        <v>25781</v>
      </c>
      <c r="G10890" s="2" t="str">
        <f>"SR-13459"</f>
        <v>SR-13459</v>
      </c>
      <c r="H10890" s="2" t="s">
        <v>43913</v>
      </c>
      <c r="N10890" s="2" t="s">
        <v>21</v>
      </c>
    </row>
    <row r="10891" ht="15.75" customHeight="1">
      <c r="A10891" s="2">
        <v>2019.0</v>
      </c>
      <c r="B10891" s="2" t="s">
        <v>43906</v>
      </c>
      <c r="C10891" s="2" t="s">
        <v>43914</v>
      </c>
      <c r="D10891" s="2" t="str">
        <f>"330 235 3852"</f>
        <v>330 235 3852</v>
      </c>
      <c r="E10891" s="2" t="s">
        <v>43915</v>
      </c>
      <c r="F10891" s="2" t="s">
        <v>43908</v>
      </c>
      <c r="G10891" s="2" t="str">
        <f>"SR-15463"</f>
        <v>SR-15463</v>
      </c>
      <c r="H10891" s="2" t="s">
        <v>43916</v>
      </c>
      <c r="I10891" s="2" t="s">
        <v>43917</v>
      </c>
      <c r="K10891" s="2" t="s">
        <v>43918</v>
      </c>
      <c r="L10891" s="2" t="s">
        <v>344</v>
      </c>
      <c r="M10891" s="2">
        <v>44266.0</v>
      </c>
      <c r="N10891" s="2" t="s">
        <v>21</v>
      </c>
    </row>
    <row r="10892" ht="15.75" customHeight="1">
      <c r="A10892" s="2">
        <v>2019.0</v>
      </c>
      <c r="B10892" s="2" t="s">
        <v>43919</v>
      </c>
      <c r="C10892" s="2" t="s">
        <v>43919</v>
      </c>
      <c r="D10892" s="2" t="str">
        <f>"2083923766"</f>
        <v>2083923766</v>
      </c>
      <c r="E10892" s="2" t="s">
        <v>43920</v>
      </c>
      <c r="F10892" s="2" t="s">
        <v>12008</v>
      </c>
      <c r="G10892" s="2" t="str">
        <f>"SR-15453"</f>
        <v>SR-15453</v>
      </c>
      <c r="H10892" s="2" t="s">
        <v>43921</v>
      </c>
      <c r="I10892" s="2" t="s">
        <v>43922</v>
      </c>
      <c r="K10892" s="2" t="s">
        <v>10703</v>
      </c>
      <c r="L10892" s="2" t="s">
        <v>2613</v>
      </c>
      <c r="M10892" s="2">
        <v>83687.0</v>
      </c>
      <c r="N10892" s="2" t="s">
        <v>21</v>
      </c>
    </row>
    <row r="10893" ht="15.75" customHeight="1">
      <c r="A10893" s="2">
        <v>2019.0</v>
      </c>
      <c r="B10893" s="2" t="s">
        <v>32893</v>
      </c>
      <c r="C10893" s="2" t="s">
        <v>43923</v>
      </c>
      <c r="D10893" s="2" t="str">
        <f>"720-280-2729"</f>
        <v>720-280-2729</v>
      </c>
      <c r="E10893" s="2" t="s">
        <v>36</v>
      </c>
      <c r="F10893" s="2" t="s">
        <v>283</v>
      </c>
      <c r="G10893" s="2" t="str">
        <f>"SR-15469"</f>
        <v>SR-15469</v>
      </c>
      <c r="H10893" s="2" t="s">
        <v>43924</v>
      </c>
      <c r="I10893" s="2" t="s">
        <v>32896</v>
      </c>
      <c r="K10893" s="2" t="s">
        <v>1520</v>
      </c>
      <c r="L10893" s="2" t="s">
        <v>157</v>
      </c>
      <c r="M10893" s="2">
        <v>80012.0</v>
      </c>
      <c r="N10893" s="2" t="s">
        <v>21</v>
      </c>
    </row>
    <row r="10894" ht="15.75" customHeight="1">
      <c r="A10894" s="2">
        <v>2019.0</v>
      </c>
      <c r="B10894" s="2" t="s">
        <v>43925</v>
      </c>
      <c r="C10894" s="2" t="s">
        <v>43926</v>
      </c>
      <c r="D10894" s="2" t="str">
        <f>"205-983-4054"</f>
        <v>205-983-4054</v>
      </c>
      <c r="E10894" s="2" t="s">
        <v>1946</v>
      </c>
      <c r="F10894" s="2" t="s">
        <v>984</v>
      </c>
      <c r="G10894" s="2" t="str">
        <f>"SR-15425"</f>
        <v>SR-15425</v>
      </c>
      <c r="H10894" s="2" t="s">
        <v>43927</v>
      </c>
      <c r="I10894" s="2" t="s">
        <v>43928</v>
      </c>
      <c r="K10894" s="2" t="s">
        <v>1173</v>
      </c>
      <c r="L10894" s="2" t="s">
        <v>539</v>
      </c>
      <c r="M10894" s="2">
        <v>35242.0</v>
      </c>
      <c r="N10894" s="2" t="s">
        <v>21</v>
      </c>
    </row>
    <row r="10895" ht="15.75" customHeight="1">
      <c r="A10895" s="2">
        <v>2019.0</v>
      </c>
      <c r="B10895" s="2" t="s">
        <v>22234</v>
      </c>
      <c r="C10895" s="2" t="s">
        <v>22234</v>
      </c>
      <c r="D10895" s="2" t="str">
        <f>"240-372-8806"</f>
        <v>240-372-8806</v>
      </c>
      <c r="E10895" s="2" t="s">
        <v>1440</v>
      </c>
      <c r="F10895" s="2" t="s">
        <v>22236</v>
      </c>
      <c r="G10895" s="2" t="str">
        <f>"SR-15477"</f>
        <v>SR-15477</v>
      </c>
      <c r="H10895" s="2" t="s">
        <v>43929</v>
      </c>
      <c r="I10895" s="2">
        <v>8957.0</v>
      </c>
      <c r="K10895" s="2" t="s">
        <v>43930</v>
      </c>
      <c r="L10895" s="2" t="s">
        <v>757</v>
      </c>
      <c r="M10895" s="2">
        <v>89507.0</v>
      </c>
      <c r="N10895" s="2" t="s">
        <v>21</v>
      </c>
    </row>
    <row r="10896" ht="15.75" customHeight="1">
      <c r="A10896" s="2">
        <v>2019.0</v>
      </c>
      <c r="B10896" s="2" t="s">
        <v>43925</v>
      </c>
      <c r="C10896" s="2" t="s">
        <v>43931</v>
      </c>
      <c r="D10896" s="2" t="str">
        <f>"205-305-8096"</f>
        <v>205-305-8096</v>
      </c>
      <c r="E10896" s="2" t="s">
        <v>203</v>
      </c>
      <c r="F10896" s="2" t="s">
        <v>984</v>
      </c>
      <c r="G10896" s="2" t="str">
        <f>"SR-15472"</f>
        <v>SR-15472</v>
      </c>
      <c r="H10896" s="2" t="s">
        <v>43932</v>
      </c>
      <c r="I10896" s="2" t="s">
        <v>43928</v>
      </c>
      <c r="K10896" s="2" t="s">
        <v>1173</v>
      </c>
      <c r="L10896" s="2" t="s">
        <v>539</v>
      </c>
      <c r="M10896" s="2">
        <v>35242.0</v>
      </c>
      <c r="N10896" s="2" t="s">
        <v>21</v>
      </c>
    </row>
    <row r="10897" ht="15.75" customHeight="1">
      <c r="A10897" s="2">
        <v>2019.0</v>
      </c>
      <c r="B10897" s="2" t="s">
        <v>43933</v>
      </c>
      <c r="C10897" s="2" t="s">
        <v>43934</v>
      </c>
      <c r="D10897" s="2" t="str">
        <f>"7193105983"</f>
        <v>7193105983</v>
      </c>
      <c r="E10897" s="2" t="s">
        <v>2861</v>
      </c>
      <c r="F10897" s="2" t="s">
        <v>5632</v>
      </c>
      <c r="G10897" s="2" t="str">
        <f>"SR-15397"</f>
        <v>SR-15397</v>
      </c>
      <c r="H10897" s="2" t="s">
        <v>43935</v>
      </c>
      <c r="I10897" s="2" t="s">
        <v>31178</v>
      </c>
      <c r="K10897" s="2" t="s">
        <v>809</v>
      </c>
      <c r="L10897" s="2" t="s">
        <v>157</v>
      </c>
      <c r="M10897" s="2">
        <v>80920.0</v>
      </c>
      <c r="N10897" s="2" t="s">
        <v>21</v>
      </c>
    </row>
    <row r="10898" ht="15.75" customHeight="1">
      <c r="A10898" s="2">
        <v>2019.0</v>
      </c>
      <c r="B10898" s="2" t="s">
        <v>43936</v>
      </c>
      <c r="C10898" s="2" t="s">
        <v>43937</v>
      </c>
      <c r="D10898" s="2" t="str">
        <f>"2818146274"</f>
        <v>2818146274</v>
      </c>
      <c r="E10898" s="2" t="s">
        <v>651</v>
      </c>
      <c r="F10898" s="2" t="s">
        <v>43938</v>
      </c>
      <c r="G10898" s="2" t="str">
        <f>"SR-15478"</f>
        <v>SR-15478</v>
      </c>
      <c r="H10898" s="2" t="s">
        <v>43939</v>
      </c>
      <c r="I10898" s="2" t="s">
        <v>43940</v>
      </c>
      <c r="K10898" s="2" t="s">
        <v>6499</v>
      </c>
      <c r="L10898" s="2" t="s">
        <v>172</v>
      </c>
      <c r="M10898" s="2">
        <v>77494.0</v>
      </c>
      <c r="N10898" s="2" t="s">
        <v>21</v>
      </c>
    </row>
    <row r="10899" ht="15.75" customHeight="1">
      <c r="A10899" s="2">
        <v>2019.0</v>
      </c>
      <c r="B10899" s="2" t="s">
        <v>43941</v>
      </c>
      <c r="C10899" s="2" t="s">
        <v>43941</v>
      </c>
      <c r="D10899" s="2" t="str">
        <f>"9062314489"</f>
        <v>9062314489</v>
      </c>
      <c r="E10899" s="2" t="s">
        <v>9470</v>
      </c>
      <c r="F10899" s="2" t="s">
        <v>43942</v>
      </c>
      <c r="G10899" s="2" t="str">
        <f>"SR-15480"</f>
        <v>SR-15480</v>
      </c>
      <c r="H10899" s="2" t="s">
        <v>43943</v>
      </c>
      <c r="I10899" s="2" t="s">
        <v>43944</v>
      </c>
      <c r="K10899" s="2" t="s">
        <v>11619</v>
      </c>
      <c r="L10899" s="2" t="s">
        <v>29</v>
      </c>
      <c r="M10899" s="2">
        <v>49916.0</v>
      </c>
      <c r="N10899" s="2" t="s">
        <v>21</v>
      </c>
    </row>
    <row r="10900" ht="15.75" customHeight="1">
      <c r="A10900" s="2">
        <v>2019.0</v>
      </c>
      <c r="B10900" s="2" t="s">
        <v>43945</v>
      </c>
      <c r="C10900" s="2" t="s">
        <v>43945</v>
      </c>
      <c r="D10900" s="2" t="str">
        <f>"415-933-0563"</f>
        <v>415-933-0563</v>
      </c>
      <c r="E10900" s="2" t="s">
        <v>1278</v>
      </c>
      <c r="F10900" s="2" t="s">
        <v>28575</v>
      </c>
      <c r="G10900" s="2" t="str">
        <f>"SR-15481"</f>
        <v>SR-15481</v>
      </c>
      <c r="H10900" s="2" t="s">
        <v>43946</v>
      </c>
      <c r="I10900" s="2" t="s">
        <v>43947</v>
      </c>
      <c r="K10900" s="2" t="s">
        <v>14899</v>
      </c>
      <c r="L10900" s="2" t="s">
        <v>222</v>
      </c>
      <c r="M10900" s="2">
        <v>94116.0</v>
      </c>
      <c r="N10900" s="2" t="s">
        <v>21</v>
      </c>
    </row>
    <row r="10901" ht="15.75" customHeight="1">
      <c r="A10901" s="2">
        <v>2019.0</v>
      </c>
      <c r="B10901" s="2" t="s">
        <v>43948</v>
      </c>
      <c r="C10901" s="2" t="s">
        <v>43949</v>
      </c>
      <c r="D10901" s="2" t="str">
        <f>"252-349-2506"</f>
        <v>252-349-2506</v>
      </c>
      <c r="E10901" s="2" t="s">
        <v>1094</v>
      </c>
      <c r="F10901" s="2" t="s">
        <v>4011</v>
      </c>
      <c r="G10901" s="2" t="str">
        <f>"SR-15479"</f>
        <v>SR-15479</v>
      </c>
      <c r="H10901" s="2" t="s">
        <v>43950</v>
      </c>
      <c r="I10901" s="2" t="s">
        <v>43951</v>
      </c>
      <c r="K10901" s="2" t="s">
        <v>43952</v>
      </c>
      <c r="L10901" s="2" t="s">
        <v>20</v>
      </c>
      <c r="M10901" s="2">
        <v>28532.0</v>
      </c>
      <c r="N10901" s="2" t="s">
        <v>21</v>
      </c>
    </row>
    <row r="10902" ht="15.75" customHeight="1">
      <c r="A10902" s="2">
        <v>2019.0</v>
      </c>
      <c r="B10902" s="2" t="s">
        <v>14888</v>
      </c>
      <c r="C10902" s="2" t="s">
        <v>43953</v>
      </c>
      <c r="D10902" s="2" t="str">
        <f>"605-254-7220"</f>
        <v>605-254-7220</v>
      </c>
      <c r="E10902" s="2" t="s">
        <v>43954</v>
      </c>
      <c r="F10902" s="2" t="s">
        <v>14891</v>
      </c>
      <c r="G10902" s="2" t="str">
        <f>"SR-15482"</f>
        <v>SR-15482</v>
      </c>
      <c r="H10902" s="2" t="s">
        <v>43955</v>
      </c>
      <c r="I10902" s="2" t="s">
        <v>43956</v>
      </c>
      <c r="K10902" s="2" t="s">
        <v>6954</v>
      </c>
      <c r="L10902" s="2" t="s">
        <v>920</v>
      </c>
      <c r="M10902" s="2">
        <v>57003.0</v>
      </c>
      <c r="N10902" s="2" t="s">
        <v>21</v>
      </c>
    </row>
    <row r="10903" ht="15.75" customHeight="1">
      <c r="A10903" s="2">
        <v>2019.0</v>
      </c>
      <c r="B10903" s="2" t="s">
        <v>43957</v>
      </c>
      <c r="D10903" s="2" t="str">
        <f>""</f>
        <v/>
      </c>
      <c r="E10903" s="2" t="s">
        <v>217</v>
      </c>
      <c r="F10903" s="2" t="s">
        <v>43958</v>
      </c>
      <c r="G10903" s="2" t="str">
        <f>"SR-15485"</f>
        <v>SR-15485</v>
      </c>
      <c r="H10903" s="2" t="s">
        <v>43959</v>
      </c>
    </row>
    <row r="10904" ht="15.75" customHeight="1">
      <c r="A10904" s="2">
        <v>2019.0</v>
      </c>
      <c r="B10904" s="2" t="s">
        <v>43960</v>
      </c>
      <c r="C10904" s="2" t="s">
        <v>43960</v>
      </c>
      <c r="D10904" s="2" t="str">
        <f>"317-661-0690"</f>
        <v>317-661-0690</v>
      </c>
      <c r="E10904" s="2" t="s">
        <v>137</v>
      </c>
      <c r="F10904" s="2" t="s">
        <v>43961</v>
      </c>
      <c r="G10904" s="2" t="str">
        <f>"SR-15486"</f>
        <v>SR-15486</v>
      </c>
      <c r="H10904" s="2" t="s">
        <v>43962</v>
      </c>
      <c r="I10904" s="2" t="s">
        <v>43963</v>
      </c>
      <c r="K10904" s="2" t="s">
        <v>3464</v>
      </c>
      <c r="L10904" s="2" t="s">
        <v>149</v>
      </c>
      <c r="M10904" s="2">
        <v>46158.0</v>
      </c>
      <c r="N10904" s="2" t="s">
        <v>21</v>
      </c>
    </row>
    <row r="10905" ht="15.75" customHeight="1">
      <c r="A10905" s="2">
        <v>2019.0</v>
      </c>
      <c r="B10905" s="2" t="s">
        <v>43964</v>
      </c>
      <c r="C10905" s="2" t="s">
        <v>43964</v>
      </c>
      <c r="D10905" s="2" t="str">
        <f>"7134490744"</f>
        <v>7134490744</v>
      </c>
      <c r="E10905" s="2" t="s">
        <v>1032</v>
      </c>
      <c r="F10905" s="2" t="s">
        <v>94</v>
      </c>
      <c r="G10905" s="2" t="str">
        <f>"SR-15488"</f>
        <v>SR-15488</v>
      </c>
      <c r="H10905" s="2" t="s">
        <v>43965</v>
      </c>
      <c r="I10905" s="2" t="s">
        <v>43966</v>
      </c>
      <c r="K10905" s="2" t="s">
        <v>4216</v>
      </c>
      <c r="L10905" s="2" t="s">
        <v>172</v>
      </c>
      <c r="M10905" s="2">
        <v>77406.0</v>
      </c>
      <c r="N10905" s="2" t="s">
        <v>21</v>
      </c>
    </row>
    <row r="10906" ht="15.75" customHeight="1">
      <c r="A10906" s="2">
        <v>2019.0</v>
      </c>
      <c r="B10906" s="2" t="s">
        <v>32235</v>
      </c>
      <c r="C10906" s="2" t="s">
        <v>43967</v>
      </c>
      <c r="D10906" s="2" t="str">
        <f>"(720) 503-1155?"</f>
        <v>(720) 503-1155?</v>
      </c>
      <c r="E10906" s="2" t="s">
        <v>339</v>
      </c>
      <c r="F10906" s="2" t="s">
        <v>32237</v>
      </c>
      <c r="G10906" s="2" t="str">
        <f>"SR-15450"</f>
        <v>SR-15450</v>
      </c>
      <c r="H10906" s="2" t="s">
        <v>43968</v>
      </c>
      <c r="I10906" s="2" t="s">
        <v>32239</v>
      </c>
      <c r="K10906" s="2" t="s">
        <v>1223</v>
      </c>
      <c r="L10906" s="2" t="s">
        <v>157</v>
      </c>
      <c r="M10906" s="2">
        <v>80433.0</v>
      </c>
      <c r="N10906" s="2" t="s">
        <v>21</v>
      </c>
    </row>
    <row r="10907" ht="15.75" customHeight="1">
      <c r="A10907" s="2">
        <v>2019.0</v>
      </c>
      <c r="B10907" s="2" t="s">
        <v>31228</v>
      </c>
      <c r="C10907" s="2" t="s">
        <v>43969</v>
      </c>
      <c r="D10907" s="2" t="str">
        <f>"644730086"</f>
        <v>644730086</v>
      </c>
      <c r="E10907" s="2" t="s">
        <v>1269</v>
      </c>
      <c r="F10907" s="2" t="s">
        <v>24286</v>
      </c>
      <c r="G10907" s="2" t="str">
        <f>"SR-15491"</f>
        <v>SR-15491</v>
      </c>
      <c r="H10907" s="2" t="s">
        <v>43970</v>
      </c>
      <c r="I10907" s="2" t="s">
        <v>31231</v>
      </c>
      <c r="K10907" s="2" t="s">
        <v>31232</v>
      </c>
      <c r="L10907" s="2" t="s">
        <v>25356</v>
      </c>
      <c r="M10907" s="2">
        <v>630.0</v>
      </c>
      <c r="N10907" s="2" t="s">
        <v>702</v>
      </c>
    </row>
    <row r="10908" ht="15.75" customHeight="1">
      <c r="A10908" s="2">
        <v>2019.0</v>
      </c>
      <c r="B10908" s="2" t="s">
        <v>43971</v>
      </c>
      <c r="C10908" s="2" t="s">
        <v>43972</v>
      </c>
      <c r="D10908" s="2" t="str">
        <f>"612-2198-6763"</f>
        <v>612-2198-6763</v>
      </c>
      <c r="E10908" s="2" t="s">
        <v>2147</v>
      </c>
      <c r="F10908" s="2" t="s">
        <v>43973</v>
      </c>
      <c r="G10908" s="2" t="str">
        <f>"SR-15492"</f>
        <v>SR-15492</v>
      </c>
      <c r="H10908" s="2" t="s">
        <v>43974</v>
      </c>
      <c r="I10908" s="2" t="s">
        <v>43975</v>
      </c>
      <c r="K10908" s="2" t="s">
        <v>43739</v>
      </c>
      <c r="L10908" s="2" t="s">
        <v>62</v>
      </c>
      <c r="M10908" s="2">
        <v>55129.0</v>
      </c>
      <c r="N10908" s="2" t="s">
        <v>21</v>
      </c>
    </row>
    <row r="10909" ht="15.75" customHeight="1">
      <c r="A10909" s="2">
        <v>2019.0</v>
      </c>
      <c r="B10909" s="2" t="s">
        <v>43976</v>
      </c>
      <c r="C10909" s="2" t="s">
        <v>43977</v>
      </c>
      <c r="D10909" s="2" t="str">
        <f>"903-952-1580"</f>
        <v>903-952-1580</v>
      </c>
      <c r="E10909" s="2" t="s">
        <v>339</v>
      </c>
      <c r="F10909" s="2" t="s">
        <v>43978</v>
      </c>
      <c r="G10909" s="2" t="str">
        <f>"SR-9645"</f>
        <v>SR-9645</v>
      </c>
      <c r="H10909" s="2" t="s">
        <v>43979</v>
      </c>
      <c r="I10909" s="2" t="s">
        <v>43980</v>
      </c>
      <c r="K10909" s="2" t="s">
        <v>4773</v>
      </c>
      <c r="L10909" s="2" t="s">
        <v>208</v>
      </c>
      <c r="M10909" s="2">
        <v>32773.0</v>
      </c>
      <c r="N10909" s="2" t="s">
        <v>21</v>
      </c>
    </row>
    <row r="10910" ht="15.75" customHeight="1">
      <c r="A10910" s="2">
        <v>2019.0</v>
      </c>
      <c r="B10910" s="2" t="s">
        <v>43981</v>
      </c>
      <c r="C10910" s="2" t="s">
        <v>43982</v>
      </c>
      <c r="D10910" s="2" t="str">
        <f>"(520) 820-9935"</f>
        <v>(520) 820-9935</v>
      </c>
      <c r="E10910" s="2" t="s">
        <v>282</v>
      </c>
      <c r="F10910" s="2" t="s">
        <v>457</v>
      </c>
      <c r="G10910" s="2" t="str">
        <f>"SR-15494"</f>
        <v>SR-15494</v>
      </c>
      <c r="H10910" s="2" t="s">
        <v>43983</v>
      </c>
      <c r="I10910" s="2" t="s">
        <v>43984</v>
      </c>
      <c r="K10910" s="2" t="s">
        <v>5946</v>
      </c>
      <c r="L10910" s="2" t="s">
        <v>422</v>
      </c>
      <c r="M10910" s="2">
        <v>85748.0</v>
      </c>
      <c r="N10910" s="2" t="s">
        <v>21</v>
      </c>
    </row>
    <row r="10911" ht="15.75" customHeight="1">
      <c r="A10911" s="2">
        <v>2019.0</v>
      </c>
      <c r="B10911" s="2" t="s">
        <v>43985</v>
      </c>
      <c r="C10911" s="2" t="s">
        <v>43986</v>
      </c>
      <c r="D10911" s="2" t="str">
        <f>"(479)640-1705"</f>
        <v>(479)640-1705</v>
      </c>
      <c r="E10911" s="2" t="s">
        <v>43987</v>
      </c>
      <c r="F10911" s="2" t="s">
        <v>43988</v>
      </c>
      <c r="G10911" s="2" t="str">
        <f>"SR-13367"</f>
        <v>SR-13367</v>
      </c>
      <c r="H10911" s="2" t="s">
        <v>43989</v>
      </c>
      <c r="I10911" s="2" t="s">
        <v>43990</v>
      </c>
      <c r="K10911" s="2" t="s">
        <v>1170</v>
      </c>
      <c r="L10911" s="2" t="s">
        <v>1012</v>
      </c>
      <c r="M10911" s="2">
        <v>72758.0</v>
      </c>
      <c r="N10911" s="2" t="s">
        <v>21</v>
      </c>
    </row>
    <row r="10912" ht="15.75" customHeight="1">
      <c r="A10912" s="2">
        <v>2019.0</v>
      </c>
      <c r="B10912" s="2" t="s">
        <v>43991</v>
      </c>
      <c r="C10912" s="2" t="s">
        <v>43992</v>
      </c>
      <c r="D10912" s="2" t="str">
        <f t="shared" ref="D10912:D10913" si="184">"7034030446"</f>
        <v>7034030446</v>
      </c>
      <c r="E10912" s="2" t="s">
        <v>4888</v>
      </c>
      <c r="F10912" s="2" t="s">
        <v>43993</v>
      </c>
      <c r="G10912" s="2" t="str">
        <f>"SR-15496"</f>
        <v>SR-15496</v>
      </c>
      <c r="H10912" s="2" t="s">
        <v>43994</v>
      </c>
      <c r="I10912" s="2" t="s">
        <v>43995</v>
      </c>
      <c r="K10912" s="2" t="s">
        <v>43996</v>
      </c>
      <c r="L10912" s="2" t="s">
        <v>165</v>
      </c>
      <c r="M10912" s="2">
        <v>22039.0</v>
      </c>
      <c r="N10912" s="2" t="s">
        <v>21</v>
      </c>
    </row>
    <row r="10913" ht="15.75" customHeight="1">
      <c r="A10913" s="2">
        <v>2019.0</v>
      </c>
      <c r="B10913" s="2" t="s">
        <v>43991</v>
      </c>
      <c r="C10913" s="2" t="s">
        <v>43997</v>
      </c>
      <c r="D10913" s="2" t="str">
        <f t="shared" si="184"/>
        <v>7034030446</v>
      </c>
      <c r="E10913" s="2" t="s">
        <v>43998</v>
      </c>
      <c r="F10913" s="2" t="s">
        <v>43993</v>
      </c>
      <c r="G10913" s="2" t="str">
        <f>"SR-15499"</f>
        <v>SR-15499</v>
      </c>
      <c r="H10913" s="2" t="s">
        <v>43999</v>
      </c>
      <c r="I10913" s="2" t="s">
        <v>43995</v>
      </c>
      <c r="K10913" s="2" t="s">
        <v>43996</v>
      </c>
      <c r="L10913" s="2" t="s">
        <v>165</v>
      </c>
      <c r="M10913" s="2">
        <v>22039.0</v>
      </c>
      <c r="N10913" s="2" t="s">
        <v>21</v>
      </c>
    </row>
    <row r="10914" ht="15.75" customHeight="1">
      <c r="A10914" s="2">
        <v>2019.0</v>
      </c>
      <c r="B10914" s="2" t="s">
        <v>44000</v>
      </c>
      <c r="C10914" s="2" t="s">
        <v>44001</v>
      </c>
      <c r="D10914" s="2" t="str">
        <f>"715-338-1308"</f>
        <v>715-338-1308</v>
      </c>
      <c r="E10914" s="2" t="s">
        <v>8287</v>
      </c>
      <c r="F10914" s="2" t="s">
        <v>23498</v>
      </c>
      <c r="G10914" s="2" t="str">
        <f>"SR-15497"</f>
        <v>SR-15497</v>
      </c>
      <c r="H10914" s="2" t="s">
        <v>44002</v>
      </c>
      <c r="I10914" s="2" t="s">
        <v>44003</v>
      </c>
      <c r="K10914" s="2" t="s">
        <v>23501</v>
      </c>
      <c r="L10914" s="2" t="s">
        <v>193</v>
      </c>
      <c r="M10914" s="2">
        <v>54025.0</v>
      </c>
      <c r="N10914" s="2" t="s">
        <v>21</v>
      </c>
    </row>
    <row r="10915" ht="15.75" customHeight="1">
      <c r="A10915" s="2">
        <v>2019.0</v>
      </c>
      <c r="B10915" s="2" t="s">
        <v>44004</v>
      </c>
      <c r="C10915" s="2" t="s">
        <v>44004</v>
      </c>
      <c r="D10915" s="2" t="str">
        <f>"908-839-2034"</f>
        <v>908-839-2034</v>
      </c>
      <c r="E10915" s="2" t="s">
        <v>16650</v>
      </c>
      <c r="F10915" s="2" t="s">
        <v>32126</v>
      </c>
      <c r="G10915" s="2" t="str">
        <f>"SR-15483"</f>
        <v>SR-15483</v>
      </c>
      <c r="H10915" s="2" t="s">
        <v>44005</v>
      </c>
      <c r="I10915" s="2" t="s">
        <v>44006</v>
      </c>
      <c r="K10915" s="2" t="s">
        <v>32928</v>
      </c>
      <c r="L10915" s="2" t="s">
        <v>208</v>
      </c>
      <c r="M10915" s="2">
        <v>33578.0</v>
      </c>
      <c r="N10915" s="2" t="s">
        <v>21</v>
      </c>
    </row>
    <row r="10916" ht="15.75" customHeight="1">
      <c r="A10916" s="2">
        <v>2019.0</v>
      </c>
      <c r="B10916" s="2" t="s">
        <v>17585</v>
      </c>
      <c r="C10916" s="2" t="s">
        <v>17585</v>
      </c>
      <c r="D10916" s="2" t="str">
        <f>"620-567-2697"</f>
        <v>620-567-2697</v>
      </c>
      <c r="E10916" s="2" t="s">
        <v>14813</v>
      </c>
      <c r="F10916" s="2" t="s">
        <v>17587</v>
      </c>
      <c r="G10916" s="2" t="str">
        <f>"SR-15498"</f>
        <v>SR-15498</v>
      </c>
      <c r="H10916" s="2" t="s">
        <v>44007</v>
      </c>
      <c r="I10916" s="2" t="s">
        <v>17589</v>
      </c>
      <c r="K10916" s="2" t="s">
        <v>5351</v>
      </c>
      <c r="L10916" s="2" t="s">
        <v>272</v>
      </c>
      <c r="M10916" s="2">
        <v>67501.0</v>
      </c>
      <c r="N10916" s="2" t="s">
        <v>21</v>
      </c>
    </row>
    <row r="10917" ht="15.75" customHeight="1">
      <c r="A10917" s="2">
        <v>2019.0</v>
      </c>
      <c r="B10917" s="2" t="s">
        <v>44008</v>
      </c>
      <c r="C10917" s="2" t="s">
        <v>44009</v>
      </c>
      <c r="D10917" s="2" t="str">
        <f>"13082891748"</f>
        <v>13082891748</v>
      </c>
      <c r="E10917" s="2" t="s">
        <v>8649</v>
      </c>
      <c r="F10917" s="2" t="s">
        <v>44010</v>
      </c>
      <c r="G10917" s="2" t="str">
        <f>"SR-14775"</f>
        <v>SR-14775</v>
      </c>
      <c r="H10917" s="2" t="s">
        <v>44011</v>
      </c>
      <c r="I10917" s="2" t="s">
        <v>44012</v>
      </c>
      <c r="K10917" s="2" t="s">
        <v>17842</v>
      </c>
      <c r="L10917" s="2" t="s">
        <v>757</v>
      </c>
      <c r="M10917" s="2">
        <v>69341.0</v>
      </c>
      <c r="N10917" s="2" t="s">
        <v>21</v>
      </c>
    </row>
    <row r="10918" ht="15.75" customHeight="1">
      <c r="A10918" s="2">
        <v>2019.0</v>
      </c>
      <c r="B10918" s="2" t="s">
        <v>24260</v>
      </c>
      <c r="C10918" s="2" t="s">
        <v>44013</v>
      </c>
      <c r="D10918" s="2" t="str">
        <f>"906-483-2187"</f>
        <v>906-483-2187</v>
      </c>
      <c r="E10918" s="2" t="s">
        <v>6170</v>
      </c>
      <c r="F10918" s="2" t="s">
        <v>24262</v>
      </c>
      <c r="G10918" s="2" t="str">
        <f>"SR-15501"</f>
        <v>SR-15501</v>
      </c>
      <c r="H10918" s="2" t="s">
        <v>44014</v>
      </c>
      <c r="I10918" s="2" t="s">
        <v>44015</v>
      </c>
      <c r="K10918" s="2" t="s">
        <v>8278</v>
      </c>
      <c r="L10918" s="2" t="s">
        <v>29</v>
      </c>
      <c r="M10918" s="2">
        <v>49930.0</v>
      </c>
      <c r="N10918" s="2" t="s">
        <v>21</v>
      </c>
    </row>
    <row r="10919" ht="15.75" customHeight="1">
      <c r="A10919" s="2">
        <v>2019.0</v>
      </c>
      <c r="B10919" s="2" t="s">
        <v>13885</v>
      </c>
      <c r="C10919" s="2" t="s">
        <v>44016</v>
      </c>
      <c r="D10919" s="2" t="str">
        <f>"(909) 327-2327"</f>
        <v>(909) 327-2327</v>
      </c>
      <c r="E10919" s="2" t="s">
        <v>2243</v>
      </c>
      <c r="F10919" s="2" t="s">
        <v>962</v>
      </c>
      <c r="G10919" s="2" t="str">
        <f>"SR-15502"</f>
        <v>SR-15502</v>
      </c>
      <c r="H10919" s="2" t="s">
        <v>25511</v>
      </c>
      <c r="I10919" s="2" t="s">
        <v>13888</v>
      </c>
      <c r="K10919" s="2" t="s">
        <v>13889</v>
      </c>
      <c r="L10919" s="2" t="s">
        <v>222</v>
      </c>
      <c r="M10919" s="2">
        <v>92373.0</v>
      </c>
      <c r="N10919" s="2" t="s">
        <v>21</v>
      </c>
    </row>
    <row r="10920" ht="15.75" customHeight="1">
      <c r="A10920" s="2">
        <v>2019.0</v>
      </c>
      <c r="B10920" s="2" t="s">
        <v>44017</v>
      </c>
      <c r="C10920" s="2" t="s">
        <v>44017</v>
      </c>
      <c r="D10920" s="2" t="str">
        <f>"3604652348"</f>
        <v>3604652348</v>
      </c>
      <c r="E10920" s="2" t="s">
        <v>44018</v>
      </c>
      <c r="F10920" s="2" t="s">
        <v>44019</v>
      </c>
      <c r="G10920" s="2" t="str">
        <f>"SR-15399"</f>
        <v>SR-15399</v>
      </c>
      <c r="H10920" s="2" t="s">
        <v>44020</v>
      </c>
      <c r="I10920" s="2" t="s">
        <v>44021</v>
      </c>
      <c r="K10920" s="2" t="s">
        <v>44022</v>
      </c>
      <c r="L10920" s="2" t="s">
        <v>86</v>
      </c>
      <c r="M10920" s="2">
        <v>98643.0</v>
      </c>
      <c r="N10920" s="2" t="s">
        <v>21</v>
      </c>
    </row>
    <row r="10921" ht="15.75" customHeight="1">
      <c r="A10921" s="2">
        <v>2019.0</v>
      </c>
      <c r="B10921" s="2" t="s">
        <v>44023</v>
      </c>
      <c r="C10921" s="2" t="s">
        <v>44024</v>
      </c>
      <c r="D10921" s="2" t="str">
        <f>"7607022843"</f>
        <v>7607022843</v>
      </c>
      <c r="E10921" s="2" t="s">
        <v>645</v>
      </c>
      <c r="F10921" s="2" t="s">
        <v>44025</v>
      </c>
      <c r="G10921" s="2" t="str">
        <f>"SR-15487"</f>
        <v>SR-15487</v>
      </c>
      <c r="H10921" s="2" t="s">
        <v>44026</v>
      </c>
      <c r="I10921" s="2" t="s">
        <v>44027</v>
      </c>
      <c r="K10921" s="2" t="s">
        <v>44028</v>
      </c>
      <c r="L10921" s="2" t="s">
        <v>222</v>
      </c>
      <c r="M10921" s="2">
        <v>92211.0</v>
      </c>
      <c r="N10921" s="2" t="s">
        <v>21</v>
      </c>
    </row>
    <row r="10922" ht="15.75" customHeight="1">
      <c r="A10922" s="2">
        <v>2019.0</v>
      </c>
      <c r="B10922" s="2" t="s">
        <v>40483</v>
      </c>
      <c r="C10922" s="2" t="s">
        <v>44029</v>
      </c>
      <c r="D10922" s="2" t="str">
        <f>"9493016106"</f>
        <v>9493016106</v>
      </c>
      <c r="E10922" s="2" t="s">
        <v>14745</v>
      </c>
      <c r="F10922" s="2" t="s">
        <v>25025</v>
      </c>
      <c r="G10922" s="2" t="str">
        <f>"SR-15503"</f>
        <v>SR-15503</v>
      </c>
      <c r="H10922" s="2" t="s">
        <v>44030</v>
      </c>
      <c r="I10922" s="2" t="s">
        <v>40485</v>
      </c>
      <c r="K10922" s="2" t="s">
        <v>3065</v>
      </c>
      <c r="L10922" s="2" t="s">
        <v>222</v>
      </c>
      <c r="M10922" s="2">
        <v>92688.0</v>
      </c>
      <c r="N10922" s="2" t="s">
        <v>21</v>
      </c>
    </row>
    <row r="10923" ht="15.75" customHeight="1">
      <c r="A10923" s="2">
        <v>2019.0</v>
      </c>
      <c r="B10923" s="2" t="s">
        <v>337</v>
      </c>
      <c r="C10923" s="2" t="s">
        <v>44031</v>
      </c>
      <c r="D10923" s="2" t="str">
        <f>"740-965-9911"</f>
        <v>740-965-9911</v>
      </c>
      <c r="E10923" s="2" t="s">
        <v>44032</v>
      </c>
      <c r="F10923" s="2" t="s">
        <v>44033</v>
      </c>
      <c r="G10923" s="2" t="str">
        <f>"SR-15504"</f>
        <v>SR-15504</v>
      </c>
      <c r="H10923" s="2" t="s">
        <v>44034</v>
      </c>
      <c r="I10923" s="2" t="s">
        <v>23649</v>
      </c>
      <c r="K10923" s="2" t="s">
        <v>23650</v>
      </c>
      <c r="L10923" s="2" t="s">
        <v>344</v>
      </c>
      <c r="M10923" s="2">
        <v>43021.0</v>
      </c>
      <c r="N10923" s="2" t="s">
        <v>21</v>
      </c>
    </row>
    <row r="10924" ht="15.75" customHeight="1">
      <c r="A10924" s="2">
        <v>2019.0</v>
      </c>
      <c r="B10924" s="2" t="s">
        <v>337</v>
      </c>
      <c r="C10924" s="2" t="s">
        <v>23647</v>
      </c>
      <c r="D10924" s="2" t="str">
        <f>"614-580-5814"</f>
        <v>614-580-5814</v>
      </c>
      <c r="E10924" s="2" t="s">
        <v>4300</v>
      </c>
      <c r="F10924" s="2" t="s">
        <v>340</v>
      </c>
      <c r="G10924" s="2" t="str">
        <f>"SR-7412"</f>
        <v>SR-7412</v>
      </c>
      <c r="H10924" s="2" t="s">
        <v>23648</v>
      </c>
      <c r="I10924" s="2" t="s">
        <v>23649</v>
      </c>
      <c r="K10924" s="2" t="s">
        <v>23650</v>
      </c>
      <c r="L10924" s="2" t="s">
        <v>344</v>
      </c>
      <c r="M10924" s="2">
        <v>43021.0</v>
      </c>
      <c r="N10924" s="2" t="s">
        <v>21</v>
      </c>
    </row>
    <row r="10925" ht="15.75" customHeight="1">
      <c r="A10925" s="2">
        <v>2019.0</v>
      </c>
      <c r="B10925" s="2" t="s">
        <v>21963</v>
      </c>
      <c r="C10925" s="2" t="s">
        <v>44035</v>
      </c>
      <c r="D10925" s="2" t="str">
        <f>"8039247950"</f>
        <v>8039247950</v>
      </c>
      <c r="E10925" s="2" t="s">
        <v>5632</v>
      </c>
      <c r="F10925" s="2" t="s">
        <v>44036</v>
      </c>
      <c r="G10925" s="2" t="str">
        <f>"SR-15505"</f>
        <v>SR-15505</v>
      </c>
      <c r="H10925" s="2" t="s">
        <v>44037</v>
      </c>
      <c r="I10925" s="2" t="s">
        <v>32704</v>
      </c>
      <c r="K10925" s="2" t="s">
        <v>32705</v>
      </c>
      <c r="L10925" s="2" t="s">
        <v>55</v>
      </c>
      <c r="M10925" s="2">
        <v>29127.0</v>
      </c>
      <c r="N10925" s="2" t="s">
        <v>21</v>
      </c>
    </row>
    <row r="10926" ht="15.75" customHeight="1">
      <c r="A10926" s="2">
        <v>2019.0</v>
      </c>
      <c r="B10926" s="2" t="s">
        <v>44038</v>
      </c>
      <c r="C10926" s="2" t="s">
        <v>44039</v>
      </c>
      <c r="D10926" s="2" t="str">
        <f>"6623139098"</f>
        <v>6623139098</v>
      </c>
      <c r="E10926" s="2" t="s">
        <v>44040</v>
      </c>
      <c r="F10926" s="2" t="s">
        <v>36486</v>
      </c>
      <c r="G10926" s="2" t="str">
        <f>"SR-15278"</f>
        <v>SR-15278</v>
      </c>
      <c r="H10926" s="2" t="s">
        <v>44041</v>
      </c>
      <c r="I10926" s="2" t="s">
        <v>44042</v>
      </c>
      <c r="K10926" s="2" t="s">
        <v>5732</v>
      </c>
      <c r="L10926" s="2" t="s">
        <v>1722</v>
      </c>
      <c r="M10926" s="2">
        <v>39443.0</v>
      </c>
      <c r="N10926" s="2" t="s">
        <v>21</v>
      </c>
    </row>
    <row r="10927" ht="15.75" customHeight="1">
      <c r="A10927" s="2">
        <v>2019.0</v>
      </c>
      <c r="B10927" s="2" t="s">
        <v>39025</v>
      </c>
      <c r="C10927" s="2" t="s">
        <v>39025</v>
      </c>
      <c r="D10927" s="2" t="str">
        <f>"8145066057"</f>
        <v>8145066057</v>
      </c>
      <c r="E10927" s="2" t="s">
        <v>2644</v>
      </c>
      <c r="F10927" s="2" t="s">
        <v>9021</v>
      </c>
      <c r="G10927" s="2" t="str">
        <f>"SR-13357"</f>
        <v>SR-13357</v>
      </c>
      <c r="H10927" s="2" t="s">
        <v>39026</v>
      </c>
      <c r="I10927" s="2" t="s">
        <v>39027</v>
      </c>
      <c r="K10927" s="2" t="s">
        <v>9904</v>
      </c>
      <c r="L10927" s="2" t="s">
        <v>179</v>
      </c>
      <c r="M10927" s="2">
        <v>16685.0</v>
      </c>
      <c r="N10927" s="2" t="s">
        <v>21</v>
      </c>
    </row>
    <row r="10928" ht="15.75" customHeight="1">
      <c r="A10928" s="2">
        <v>2019.0</v>
      </c>
      <c r="B10928" s="2" t="s">
        <v>44043</v>
      </c>
      <c r="C10928" s="2" t="s">
        <v>44044</v>
      </c>
      <c r="D10928" s="2" t="str">
        <f>"7654793458"</f>
        <v>7654793458</v>
      </c>
      <c r="E10928" s="2" t="s">
        <v>29937</v>
      </c>
      <c r="F10928" s="2" t="s">
        <v>17856</v>
      </c>
      <c r="G10928" s="2" t="str">
        <f>"SR-15509"</f>
        <v>SR-15509</v>
      </c>
      <c r="H10928" s="2" t="s">
        <v>44045</v>
      </c>
      <c r="I10928" s="2" t="s">
        <v>44046</v>
      </c>
      <c r="K10928" s="2" t="s">
        <v>1178</v>
      </c>
      <c r="L10928" s="2" t="s">
        <v>149</v>
      </c>
      <c r="M10928" s="2">
        <v>47905.0</v>
      </c>
      <c r="N10928" s="2" t="s">
        <v>21</v>
      </c>
    </row>
    <row r="10929" ht="15.75" customHeight="1">
      <c r="A10929" s="2">
        <v>2019.0</v>
      </c>
      <c r="B10929" s="2" t="s">
        <v>14695</v>
      </c>
      <c r="C10929" s="2" t="s">
        <v>44047</v>
      </c>
      <c r="D10929" s="2" t="str">
        <f>"2562499533"</f>
        <v>2562499533</v>
      </c>
      <c r="E10929" s="2" t="s">
        <v>3480</v>
      </c>
      <c r="F10929" s="2" t="s">
        <v>2648</v>
      </c>
      <c r="G10929" s="2" t="str">
        <f>"SR-13374"</f>
        <v>SR-13374</v>
      </c>
      <c r="H10929" s="2" t="s">
        <v>44048</v>
      </c>
      <c r="I10929" s="2" t="s">
        <v>44049</v>
      </c>
      <c r="K10929" s="2" t="s">
        <v>44050</v>
      </c>
      <c r="L10929" s="2" t="s">
        <v>539</v>
      </c>
      <c r="M10929" s="2">
        <v>35151.0</v>
      </c>
      <c r="N10929" s="2" t="s">
        <v>21</v>
      </c>
    </row>
    <row r="10930" ht="15.75" customHeight="1">
      <c r="A10930" s="2">
        <v>2019.0</v>
      </c>
      <c r="B10930" s="2" t="s">
        <v>44051</v>
      </c>
      <c r="C10930" s="2" t="s">
        <v>44051</v>
      </c>
      <c r="D10930" s="2" t="str">
        <f>"9167516394"</f>
        <v>9167516394</v>
      </c>
      <c r="E10930" s="2" t="s">
        <v>44052</v>
      </c>
      <c r="F10930" s="2" t="s">
        <v>44053</v>
      </c>
      <c r="G10930" s="2" t="str">
        <f>"SR-15448"</f>
        <v>SR-15448</v>
      </c>
      <c r="H10930" s="2" t="s">
        <v>44054</v>
      </c>
      <c r="I10930" s="2" t="s">
        <v>44055</v>
      </c>
      <c r="K10930" s="2" t="s">
        <v>572</v>
      </c>
      <c r="L10930" s="2" t="s">
        <v>222</v>
      </c>
      <c r="M10930" s="2">
        <v>95648.0</v>
      </c>
      <c r="N10930" s="2" t="s">
        <v>21</v>
      </c>
    </row>
    <row r="10931" ht="15.75" customHeight="1">
      <c r="A10931" s="2">
        <v>2019.0</v>
      </c>
      <c r="B10931" s="2" t="s">
        <v>19187</v>
      </c>
      <c r="C10931" s="2" t="s">
        <v>44056</v>
      </c>
      <c r="D10931" s="2" t="str">
        <f>"919-436-6579"</f>
        <v>919-436-6579</v>
      </c>
      <c r="E10931" s="2" t="s">
        <v>6937</v>
      </c>
      <c r="F10931" s="2" t="s">
        <v>19189</v>
      </c>
      <c r="G10931" s="2" t="str">
        <f>"SR-15510"</f>
        <v>SR-15510</v>
      </c>
      <c r="H10931" s="2" t="s">
        <v>44057</v>
      </c>
      <c r="I10931" s="2" t="s">
        <v>19191</v>
      </c>
      <c r="K10931" s="2" t="s">
        <v>19192</v>
      </c>
      <c r="L10931" s="2" t="s">
        <v>20</v>
      </c>
      <c r="M10931" s="2">
        <v>27545.0</v>
      </c>
      <c r="N10931" s="2" t="s">
        <v>21</v>
      </c>
    </row>
    <row r="10932" ht="15.75" customHeight="1">
      <c r="A10932" s="2">
        <v>2019.0</v>
      </c>
      <c r="B10932" s="2" t="s">
        <v>44058</v>
      </c>
      <c r="C10932" s="2" t="s">
        <v>44059</v>
      </c>
      <c r="D10932" s="2" t="str">
        <f>"919-414-1450"</f>
        <v>919-414-1450</v>
      </c>
      <c r="E10932" s="2" t="s">
        <v>4300</v>
      </c>
      <c r="F10932" s="2" t="s">
        <v>44060</v>
      </c>
      <c r="G10932" s="2" t="str">
        <f>"SR-15512"</f>
        <v>SR-15512</v>
      </c>
      <c r="H10932" s="2" t="s">
        <v>44061</v>
      </c>
      <c r="I10932" s="2" t="s">
        <v>44062</v>
      </c>
      <c r="K10932" s="2" t="s">
        <v>44063</v>
      </c>
      <c r="L10932" s="2" t="s">
        <v>20</v>
      </c>
      <c r="M10932" s="2">
        <v>27587.0</v>
      </c>
      <c r="N10932" s="2" t="s">
        <v>21</v>
      </c>
    </row>
    <row r="10933" ht="15.75" customHeight="1">
      <c r="A10933" s="2">
        <v>2019.0</v>
      </c>
      <c r="B10933" s="2" t="s">
        <v>23361</v>
      </c>
      <c r="C10933" s="2" t="s">
        <v>44064</v>
      </c>
      <c r="D10933" s="2" t="str">
        <f>"(605) - 220 -6107"</f>
        <v>(605) - 220 -6107</v>
      </c>
      <c r="E10933" s="2" t="s">
        <v>44065</v>
      </c>
      <c r="F10933" s="2" t="s">
        <v>9374</v>
      </c>
      <c r="G10933" s="2" t="str">
        <f>"SR-15364"</f>
        <v>SR-15364</v>
      </c>
      <c r="H10933" s="2" t="s">
        <v>44066</v>
      </c>
      <c r="I10933" s="2" t="s">
        <v>37543</v>
      </c>
      <c r="K10933" s="2" t="s">
        <v>4355</v>
      </c>
      <c r="L10933" s="2" t="s">
        <v>920</v>
      </c>
      <c r="M10933" s="2">
        <v>57501.0</v>
      </c>
      <c r="N10933" s="2" t="s">
        <v>21</v>
      </c>
    </row>
    <row r="10934" ht="15.75" customHeight="1">
      <c r="A10934" s="2">
        <v>2019.0</v>
      </c>
      <c r="B10934" s="2" t="s">
        <v>18347</v>
      </c>
      <c r="C10934" s="2" t="s">
        <v>44067</v>
      </c>
      <c r="D10934" s="2" t="str">
        <f>"5207431994"</f>
        <v>5207431994</v>
      </c>
      <c r="E10934" s="2" t="s">
        <v>5732</v>
      </c>
      <c r="F10934" s="2" t="s">
        <v>2342</v>
      </c>
      <c r="G10934" s="2" t="str">
        <f>"SR-15298"</f>
        <v>SR-15298</v>
      </c>
      <c r="H10934" s="2" t="s">
        <v>44068</v>
      </c>
      <c r="I10934" s="2" t="s">
        <v>18350</v>
      </c>
      <c r="K10934" s="2" t="s">
        <v>5946</v>
      </c>
      <c r="L10934" s="2" t="s">
        <v>422</v>
      </c>
      <c r="M10934" s="2">
        <v>85750.0</v>
      </c>
      <c r="N10934" s="2" t="s">
        <v>21</v>
      </c>
    </row>
    <row r="10935" ht="15.75" customHeight="1">
      <c r="A10935" s="2">
        <v>2019.0</v>
      </c>
      <c r="B10935" s="2" t="s">
        <v>44069</v>
      </c>
      <c r="C10935" s="2" t="s">
        <v>44069</v>
      </c>
      <c r="D10935" s="2" t="str">
        <f>"6157120983"</f>
        <v>6157120983</v>
      </c>
      <c r="E10935" s="2" t="s">
        <v>10057</v>
      </c>
      <c r="F10935" s="2" t="s">
        <v>44070</v>
      </c>
      <c r="G10935" s="2" t="str">
        <f>"SR-15514"</f>
        <v>SR-15514</v>
      </c>
      <c r="H10935" s="2" t="s">
        <v>44071</v>
      </c>
      <c r="I10935" s="2" t="s">
        <v>44072</v>
      </c>
      <c r="K10935" s="2" t="s">
        <v>11803</v>
      </c>
      <c r="L10935" s="2" t="s">
        <v>279</v>
      </c>
      <c r="M10935" s="2">
        <v>37122.0</v>
      </c>
      <c r="N10935" s="2" t="s">
        <v>21</v>
      </c>
    </row>
    <row r="10936" ht="15.75" customHeight="1">
      <c r="A10936" s="2">
        <v>2019.0</v>
      </c>
      <c r="B10936" s="2" t="s">
        <v>44073</v>
      </c>
      <c r="C10936" s="2" t="s">
        <v>44074</v>
      </c>
      <c r="D10936" s="2" t="str">
        <f>"541-646-4741"</f>
        <v>541-646-4741</v>
      </c>
      <c r="E10936" s="2" t="s">
        <v>15415</v>
      </c>
      <c r="F10936" s="2" t="s">
        <v>9904</v>
      </c>
      <c r="G10936" s="2" t="str">
        <f>"SR-15516"</f>
        <v>SR-15516</v>
      </c>
      <c r="H10936" s="2" t="s">
        <v>44075</v>
      </c>
      <c r="I10936" s="2" t="s">
        <v>44076</v>
      </c>
      <c r="K10936" s="2" t="s">
        <v>2388</v>
      </c>
      <c r="L10936" s="2" t="s">
        <v>2389</v>
      </c>
      <c r="M10936" s="2">
        <v>97502.0</v>
      </c>
      <c r="N10936" s="2" t="s">
        <v>21</v>
      </c>
    </row>
    <row r="10937" ht="15.75" customHeight="1">
      <c r="A10937" s="2">
        <v>2019.0</v>
      </c>
      <c r="B10937" s="2" t="s">
        <v>44077</v>
      </c>
      <c r="C10937" s="2" t="s">
        <v>44077</v>
      </c>
      <c r="D10937" s="2" t="str">
        <f>"3094451754"</f>
        <v>3094451754</v>
      </c>
      <c r="E10937" s="2" t="s">
        <v>44078</v>
      </c>
      <c r="F10937" s="2" t="s">
        <v>44079</v>
      </c>
      <c r="G10937" s="2" t="str">
        <f>"SR-15517"</f>
        <v>SR-15517</v>
      </c>
      <c r="H10937" s="2" t="s">
        <v>44080</v>
      </c>
      <c r="I10937" s="2" t="s">
        <v>44081</v>
      </c>
      <c r="K10937" s="2" t="s">
        <v>27819</v>
      </c>
      <c r="L10937" s="2" t="s">
        <v>105</v>
      </c>
      <c r="M10937" s="2">
        <v>61744.0</v>
      </c>
      <c r="N10937" s="2" t="s">
        <v>21</v>
      </c>
    </row>
    <row r="10938" ht="15.75" customHeight="1">
      <c r="A10938" s="2">
        <v>2019.0</v>
      </c>
      <c r="B10938" s="2" t="s">
        <v>44082</v>
      </c>
      <c r="C10938" s="2" t="s">
        <v>44083</v>
      </c>
      <c r="D10938" s="2" t="str">
        <f>"4077395983"</f>
        <v>4077395983</v>
      </c>
      <c r="E10938" s="2" t="s">
        <v>24169</v>
      </c>
      <c r="F10938" s="2" t="s">
        <v>44084</v>
      </c>
      <c r="G10938" s="2" t="str">
        <f>"SR-15519"</f>
        <v>SR-15519</v>
      </c>
      <c r="H10938" s="2" t="s">
        <v>44085</v>
      </c>
      <c r="I10938" s="2" t="s">
        <v>44086</v>
      </c>
      <c r="K10938" s="2" t="s">
        <v>2405</v>
      </c>
      <c r="L10938" s="2" t="s">
        <v>20</v>
      </c>
      <c r="M10938" s="2">
        <v>28012.0</v>
      </c>
      <c r="N10938" s="2" t="s">
        <v>21</v>
      </c>
    </row>
    <row r="10939" ht="15.75" customHeight="1">
      <c r="A10939" s="2">
        <v>2019.0</v>
      </c>
      <c r="B10939" s="2" t="s">
        <v>44087</v>
      </c>
      <c r="C10939" s="2" t="s">
        <v>44088</v>
      </c>
      <c r="D10939" s="2" t="str">
        <f>"952-201-2115"</f>
        <v>952-201-2115</v>
      </c>
      <c r="E10939" s="2" t="s">
        <v>862</v>
      </c>
      <c r="F10939" s="2" t="s">
        <v>17934</v>
      </c>
      <c r="G10939" s="2" t="str">
        <f>"SR-15379"</f>
        <v>SR-15379</v>
      </c>
      <c r="H10939" s="2" t="s">
        <v>44089</v>
      </c>
      <c r="I10939" s="2" t="s">
        <v>44090</v>
      </c>
      <c r="K10939" s="2" t="s">
        <v>8609</v>
      </c>
      <c r="L10939" s="2" t="s">
        <v>62</v>
      </c>
      <c r="M10939" s="2">
        <v>55311.0</v>
      </c>
      <c r="N10939" s="2" t="s">
        <v>21</v>
      </c>
    </row>
    <row r="10940" ht="15.75" customHeight="1">
      <c r="A10940" s="2">
        <v>2019.0</v>
      </c>
      <c r="B10940" s="2" t="s">
        <v>44091</v>
      </c>
      <c r="C10940" s="2" t="s">
        <v>44092</v>
      </c>
      <c r="D10940" s="2" t="str">
        <f>"901-596-2866"</f>
        <v>901-596-2866</v>
      </c>
      <c r="E10940" s="2" t="s">
        <v>282</v>
      </c>
      <c r="F10940" s="2" t="s">
        <v>44093</v>
      </c>
      <c r="G10940" s="2" t="str">
        <f>"SR-15522"</f>
        <v>SR-15522</v>
      </c>
      <c r="H10940" s="2" t="s">
        <v>44094</v>
      </c>
      <c r="I10940" s="2" t="s">
        <v>44095</v>
      </c>
      <c r="K10940" s="2" t="s">
        <v>882</v>
      </c>
      <c r="L10940" s="2" t="s">
        <v>279</v>
      </c>
      <c r="M10940" s="2">
        <v>38002.0</v>
      </c>
      <c r="N10940" s="2" t="s">
        <v>21</v>
      </c>
    </row>
    <row r="10941" ht="15.75" customHeight="1">
      <c r="A10941" s="2">
        <v>2019.0</v>
      </c>
      <c r="B10941" s="2" t="s">
        <v>44096</v>
      </c>
      <c r="C10941" s="2" t="s">
        <v>44097</v>
      </c>
      <c r="D10941" s="2" t="str">
        <f>"7196507620"</f>
        <v>7196507620</v>
      </c>
      <c r="E10941" s="2" t="s">
        <v>225</v>
      </c>
      <c r="F10941" s="2" t="s">
        <v>44098</v>
      </c>
      <c r="G10941" s="2" t="str">
        <f>"SR-14958"</f>
        <v>SR-14958</v>
      </c>
      <c r="H10941" s="2" t="s">
        <v>44099</v>
      </c>
      <c r="I10941" s="2" t="s">
        <v>44100</v>
      </c>
      <c r="K10941" s="2" t="s">
        <v>809</v>
      </c>
      <c r="L10941" s="2" t="s">
        <v>157</v>
      </c>
      <c r="M10941" s="2">
        <v>80919.0</v>
      </c>
      <c r="N10941" s="2" t="s">
        <v>21</v>
      </c>
    </row>
    <row r="10942" ht="15.75" customHeight="1">
      <c r="A10942" s="2">
        <v>2019.0</v>
      </c>
      <c r="B10942" s="2" t="s">
        <v>44101</v>
      </c>
      <c r="D10942" s="2" t="str">
        <f>""</f>
        <v/>
      </c>
      <c r="E10942" s="2" t="s">
        <v>1767</v>
      </c>
      <c r="F10942" s="2" t="s">
        <v>2753</v>
      </c>
      <c r="G10942" s="2" t="str">
        <f>"SR-15393"</f>
        <v>SR-15393</v>
      </c>
      <c r="H10942" s="2" t="s">
        <v>44102</v>
      </c>
    </row>
    <row r="10943" ht="15.75" customHeight="1">
      <c r="A10943" s="2">
        <v>2019.0</v>
      </c>
      <c r="B10943" s="2" t="s">
        <v>24833</v>
      </c>
      <c r="C10943" s="2" t="s">
        <v>44103</v>
      </c>
      <c r="D10943" s="2" t="str">
        <f>"979-777-2607"</f>
        <v>979-777-2607</v>
      </c>
      <c r="E10943" s="2" t="s">
        <v>160</v>
      </c>
      <c r="F10943" s="2" t="s">
        <v>2147</v>
      </c>
      <c r="G10943" s="2" t="str">
        <f>"SR-15523"</f>
        <v>SR-15523</v>
      </c>
      <c r="H10943" s="2" t="s">
        <v>44104</v>
      </c>
      <c r="I10943" s="2" t="s">
        <v>24836</v>
      </c>
      <c r="K10943" s="2" t="s">
        <v>2969</v>
      </c>
      <c r="L10943" s="2" t="s">
        <v>172</v>
      </c>
      <c r="M10943" s="2">
        <v>77845.0</v>
      </c>
      <c r="N10943" s="2" t="s">
        <v>21</v>
      </c>
    </row>
    <row r="10944" ht="15.75" customHeight="1">
      <c r="A10944" s="2">
        <v>2019.0</v>
      </c>
      <c r="B10944" s="2" t="s">
        <v>44105</v>
      </c>
      <c r="C10944" s="2" t="s">
        <v>44106</v>
      </c>
      <c r="D10944" s="2" t="str">
        <f>"302-456-9919"</f>
        <v>302-456-9919</v>
      </c>
      <c r="E10944" s="2" t="s">
        <v>44107</v>
      </c>
      <c r="F10944" s="2" t="s">
        <v>44108</v>
      </c>
      <c r="G10944" s="2" t="str">
        <f>"SR-15524"</f>
        <v>SR-15524</v>
      </c>
      <c r="H10944" s="2" t="s">
        <v>44109</v>
      </c>
      <c r="I10944" s="2" t="s">
        <v>44110</v>
      </c>
      <c r="K10944" s="2" t="s">
        <v>4884</v>
      </c>
      <c r="L10944" s="2" t="s">
        <v>4885</v>
      </c>
      <c r="M10944" s="2">
        <v>19711.0</v>
      </c>
      <c r="N10944" s="2" t="s">
        <v>21</v>
      </c>
    </row>
    <row r="10945" ht="15.75" customHeight="1">
      <c r="A10945" s="2">
        <v>2019.0</v>
      </c>
      <c r="B10945" s="2" t="s">
        <v>44111</v>
      </c>
      <c r="C10945" s="2" t="s">
        <v>44112</v>
      </c>
      <c r="D10945" s="2" t="str">
        <f>"5138144350"</f>
        <v>5138144350</v>
      </c>
      <c r="E10945" s="2" t="s">
        <v>1761</v>
      </c>
      <c r="F10945" s="2" t="s">
        <v>44113</v>
      </c>
      <c r="G10945" s="2" t="str">
        <f>"SR-15476"</f>
        <v>SR-15476</v>
      </c>
      <c r="H10945" s="2" t="s">
        <v>44114</v>
      </c>
      <c r="I10945" s="2" t="s">
        <v>44115</v>
      </c>
      <c r="K10945" s="2" t="s">
        <v>36508</v>
      </c>
      <c r="L10945" s="2" t="s">
        <v>344</v>
      </c>
      <c r="M10945" s="2">
        <v>45042.0</v>
      </c>
      <c r="N10945" s="2" t="s">
        <v>21</v>
      </c>
    </row>
    <row r="10946" ht="15.75" customHeight="1">
      <c r="A10946" s="2">
        <v>2019.0</v>
      </c>
      <c r="B10946" s="2" t="s">
        <v>44116</v>
      </c>
      <c r="C10946" s="2" t="s">
        <v>44117</v>
      </c>
      <c r="D10946" s="2" t="str">
        <f>"406-606-0991"</f>
        <v>406-606-0991</v>
      </c>
      <c r="E10946" s="2" t="s">
        <v>44118</v>
      </c>
      <c r="F10946" s="2" t="s">
        <v>711</v>
      </c>
      <c r="G10946" s="2" t="str">
        <f>"SR-15526"</f>
        <v>SR-15526</v>
      </c>
      <c r="H10946" s="2" t="s">
        <v>44119</v>
      </c>
      <c r="I10946" s="2" t="s">
        <v>44120</v>
      </c>
      <c r="K10946" s="2" t="s">
        <v>3548</v>
      </c>
      <c r="L10946" s="2" t="s">
        <v>2696</v>
      </c>
      <c r="M10946" s="2">
        <v>59101.0</v>
      </c>
      <c r="N10946" s="2" t="s">
        <v>21</v>
      </c>
    </row>
    <row r="10947" ht="15.75" customHeight="1">
      <c r="A10947" s="2">
        <v>2019.0</v>
      </c>
      <c r="B10947" s="2" t="s">
        <v>44116</v>
      </c>
      <c r="C10947" s="2" t="s">
        <v>44121</v>
      </c>
      <c r="D10947" s="2" t="str">
        <f>"406-850-9664"</f>
        <v>406-850-9664</v>
      </c>
      <c r="E10947" s="2" t="s">
        <v>1263</v>
      </c>
      <c r="F10947" s="2" t="s">
        <v>44122</v>
      </c>
      <c r="G10947" s="2" t="str">
        <f>"SR-15527"</f>
        <v>SR-15527</v>
      </c>
      <c r="H10947" s="2" t="s">
        <v>44123</v>
      </c>
      <c r="I10947" s="2" t="s">
        <v>44124</v>
      </c>
      <c r="K10947" s="2" t="s">
        <v>3548</v>
      </c>
      <c r="L10947" s="2" t="s">
        <v>2696</v>
      </c>
      <c r="M10947" s="2">
        <v>59105.0</v>
      </c>
      <c r="N10947" s="2" t="s">
        <v>21</v>
      </c>
    </row>
    <row r="10948" ht="15.75" customHeight="1">
      <c r="A10948" s="2">
        <v>2019.0</v>
      </c>
      <c r="B10948" s="2" t="s">
        <v>44116</v>
      </c>
      <c r="C10948" s="2" t="s">
        <v>44125</v>
      </c>
      <c r="D10948" s="2" t="str">
        <f>"4062599188"</f>
        <v>4062599188</v>
      </c>
      <c r="E10948" s="2" t="s">
        <v>267</v>
      </c>
      <c r="F10948" s="2" t="s">
        <v>44122</v>
      </c>
      <c r="G10948" s="2" t="str">
        <f>"SR-15528"</f>
        <v>SR-15528</v>
      </c>
      <c r="H10948" s="2" t="s">
        <v>44126</v>
      </c>
      <c r="I10948" s="2" t="s">
        <v>44127</v>
      </c>
      <c r="K10948" s="2" t="s">
        <v>3548</v>
      </c>
      <c r="L10948" s="2" t="s">
        <v>2696</v>
      </c>
      <c r="M10948" s="2">
        <v>59105.0</v>
      </c>
      <c r="N10948" s="2" t="s">
        <v>21</v>
      </c>
    </row>
    <row r="10949" ht="15.75" customHeight="1">
      <c r="A10949" s="2">
        <v>2019.0</v>
      </c>
      <c r="B10949" s="2" t="s">
        <v>44128</v>
      </c>
      <c r="C10949" s="2" t="s">
        <v>44129</v>
      </c>
      <c r="D10949" s="2" t="str">
        <f>"2082412477"</f>
        <v>2082412477</v>
      </c>
      <c r="E10949" s="2" t="s">
        <v>6121</v>
      </c>
      <c r="F10949" s="2" t="s">
        <v>40045</v>
      </c>
      <c r="G10949" s="2" t="str">
        <f>"SR-15529"</f>
        <v>SR-15529</v>
      </c>
      <c r="H10949" s="2" t="s">
        <v>40049</v>
      </c>
      <c r="I10949" s="2" t="s">
        <v>44130</v>
      </c>
      <c r="K10949" s="2" t="s">
        <v>40048</v>
      </c>
      <c r="L10949" s="2" t="s">
        <v>2613</v>
      </c>
      <c r="M10949" s="2">
        <v>83204.0</v>
      </c>
      <c r="N10949" s="2" t="s">
        <v>21</v>
      </c>
    </row>
    <row r="10950" ht="15.75" customHeight="1">
      <c r="A10950" s="2">
        <v>2019.0</v>
      </c>
      <c r="B10950" s="2" t="s">
        <v>44131</v>
      </c>
      <c r="D10950" s="2" t="str">
        <f>""</f>
        <v/>
      </c>
      <c r="E10950" s="2" t="s">
        <v>44132</v>
      </c>
      <c r="F10950" s="2" t="s">
        <v>5105</v>
      </c>
      <c r="G10950" s="2" t="str">
        <f>"SR-14031"</f>
        <v>SR-14031</v>
      </c>
      <c r="H10950" s="2" t="s">
        <v>44133</v>
      </c>
      <c r="N10950" s="2" t="s">
        <v>21</v>
      </c>
    </row>
    <row r="10951" ht="15.75" customHeight="1">
      <c r="A10951" s="2">
        <v>2019.0</v>
      </c>
      <c r="B10951" s="2" t="s">
        <v>44134</v>
      </c>
      <c r="C10951" s="2" t="s">
        <v>44134</v>
      </c>
      <c r="D10951" s="2" t="str">
        <f>"260-582-9606"</f>
        <v>260-582-9606</v>
      </c>
      <c r="E10951" s="2" t="s">
        <v>2439</v>
      </c>
      <c r="F10951" s="2" t="s">
        <v>44135</v>
      </c>
      <c r="G10951" s="2" t="str">
        <f>"SR-15439"</f>
        <v>SR-15439</v>
      </c>
      <c r="H10951" s="2" t="s">
        <v>44136</v>
      </c>
      <c r="I10951" s="2" t="s">
        <v>44137</v>
      </c>
      <c r="K10951" s="2" t="s">
        <v>6994</v>
      </c>
      <c r="L10951" s="2" t="s">
        <v>149</v>
      </c>
      <c r="M10951" s="2">
        <v>46710.0</v>
      </c>
      <c r="N10951" s="2" t="s">
        <v>21</v>
      </c>
    </row>
    <row r="10952" ht="15.75" customHeight="1">
      <c r="A10952" s="2">
        <v>2019.0</v>
      </c>
      <c r="B10952" s="2" t="s">
        <v>44138</v>
      </c>
      <c r="C10952" s="2" t="s">
        <v>44139</v>
      </c>
      <c r="D10952" s="2" t="str">
        <f>"815-914-8160"</f>
        <v>815-914-8160</v>
      </c>
      <c r="E10952" s="2" t="s">
        <v>2110</v>
      </c>
      <c r="F10952" s="2" t="s">
        <v>850</v>
      </c>
      <c r="G10952" s="2" t="str">
        <f>"SR-15530"</f>
        <v>SR-15530</v>
      </c>
      <c r="H10952" s="2" t="s">
        <v>44140</v>
      </c>
      <c r="I10952" s="2" t="s">
        <v>44141</v>
      </c>
      <c r="K10952" s="2" t="s">
        <v>382</v>
      </c>
      <c r="L10952" s="2" t="s">
        <v>105</v>
      </c>
      <c r="M10952" s="2">
        <v>61108.0</v>
      </c>
      <c r="N10952" s="2" t="s">
        <v>21</v>
      </c>
    </row>
    <row r="10953" ht="15.75" customHeight="1">
      <c r="A10953" s="2">
        <v>2019.0</v>
      </c>
      <c r="B10953" s="2" t="s">
        <v>44142</v>
      </c>
      <c r="C10953" s="2" t="s">
        <v>44143</v>
      </c>
      <c r="D10953" s="2" t="str">
        <f>"3602140897"</f>
        <v>3602140897</v>
      </c>
      <c r="E10953" s="2" t="s">
        <v>44144</v>
      </c>
      <c r="F10953" s="2" t="s">
        <v>44145</v>
      </c>
      <c r="G10953" s="2" t="str">
        <f>"SR-15540"</f>
        <v>SR-15540</v>
      </c>
      <c r="H10953" s="2" t="s">
        <v>44146</v>
      </c>
      <c r="I10953" s="2" t="s">
        <v>44147</v>
      </c>
      <c r="K10953" s="2" t="s">
        <v>25412</v>
      </c>
      <c r="L10953" s="2" t="s">
        <v>86</v>
      </c>
      <c r="M10953" s="2">
        <v>98586.0</v>
      </c>
      <c r="N10953" s="2" t="s">
        <v>21</v>
      </c>
    </row>
    <row r="10954" ht="15.75" customHeight="1">
      <c r="A10954" s="2">
        <v>2019.0</v>
      </c>
      <c r="B10954" s="2" t="s">
        <v>44148</v>
      </c>
      <c r="C10954" s="2" t="s">
        <v>44149</v>
      </c>
      <c r="D10954" s="2" t="str">
        <f>"7202980345"</f>
        <v>7202980345</v>
      </c>
      <c r="E10954" s="2" t="s">
        <v>5542</v>
      </c>
      <c r="F10954" s="2" t="s">
        <v>701</v>
      </c>
      <c r="G10954" s="2" t="str">
        <f>"SR-15406"</f>
        <v>SR-15406</v>
      </c>
      <c r="H10954" s="2" t="s">
        <v>44150</v>
      </c>
      <c r="I10954" s="2" t="s">
        <v>44151</v>
      </c>
      <c r="K10954" s="2" t="s">
        <v>682</v>
      </c>
      <c r="L10954" s="2" t="s">
        <v>157</v>
      </c>
      <c r="M10954" s="2">
        <v>80130.0</v>
      </c>
      <c r="N10954" s="2" t="s">
        <v>21</v>
      </c>
    </row>
    <row r="10955" ht="15.75" customHeight="1">
      <c r="A10955" s="2">
        <v>2019.0</v>
      </c>
      <c r="B10955" s="2" t="s">
        <v>17107</v>
      </c>
      <c r="C10955" s="2" t="s">
        <v>44152</v>
      </c>
      <c r="D10955" s="2" t="str">
        <f>"3037261517"</f>
        <v>3037261517</v>
      </c>
      <c r="E10955" s="2" t="s">
        <v>2250</v>
      </c>
      <c r="F10955" s="2" t="s">
        <v>17109</v>
      </c>
      <c r="G10955" s="2" t="str">
        <f>"SR-15541"</f>
        <v>SR-15541</v>
      </c>
      <c r="H10955" s="2" t="s">
        <v>44153</v>
      </c>
      <c r="I10955" s="2" t="s">
        <v>44154</v>
      </c>
      <c r="K10955" s="2" t="s">
        <v>682</v>
      </c>
      <c r="L10955" s="2" t="s">
        <v>157</v>
      </c>
      <c r="M10955" s="2">
        <v>80130.0</v>
      </c>
      <c r="N10955" s="2" t="s">
        <v>21</v>
      </c>
    </row>
    <row r="10956" ht="15.75" customHeight="1">
      <c r="A10956" s="2">
        <v>2019.0</v>
      </c>
      <c r="B10956" s="2" t="s">
        <v>37568</v>
      </c>
      <c r="C10956" s="2" t="s">
        <v>37569</v>
      </c>
      <c r="D10956" s="2" t="str">
        <f>"3175182720"</f>
        <v>3175182720</v>
      </c>
      <c r="E10956" s="2" t="s">
        <v>385</v>
      </c>
      <c r="F10956" s="2" t="s">
        <v>37570</v>
      </c>
      <c r="G10956" s="2" t="str">
        <f>"SR-12771"</f>
        <v>SR-12771</v>
      </c>
      <c r="H10956" s="2" t="s">
        <v>37571</v>
      </c>
      <c r="I10956" s="2" t="s">
        <v>37572</v>
      </c>
      <c r="K10956" s="2" t="s">
        <v>2674</v>
      </c>
      <c r="L10956" s="2" t="s">
        <v>149</v>
      </c>
      <c r="M10956" s="2">
        <v>46143.0</v>
      </c>
      <c r="N10956" s="2" t="s">
        <v>21</v>
      </c>
    </row>
    <row r="10957" ht="15.75" customHeight="1">
      <c r="A10957" s="2">
        <v>2019.0</v>
      </c>
      <c r="B10957" s="2" t="s">
        <v>44155</v>
      </c>
      <c r="C10957" s="2" t="s">
        <v>44155</v>
      </c>
      <c r="D10957" s="2" t="str">
        <f>"2149070480"</f>
        <v>2149070480</v>
      </c>
      <c r="E10957" s="2" t="s">
        <v>2314</v>
      </c>
      <c r="F10957" s="2" t="s">
        <v>2063</v>
      </c>
      <c r="G10957" s="2" t="str">
        <f>"SR-15543"</f>
        <v>SR-15543</v>
      </c>
      <c r="H10957" s="2" t="s">
        <v>44156</v>
      </c>
      <c r="I10957" s="2" t="s">
        <v>44157</v>
      </c>
      <c r="K10957" s="2" t="s">
        <v>44158</v>
      </c>
      <c r="L10957" s="2" t="s">
        <v>172</v>
      </c>
      <c r="M10957" s="2">
        <v>75019.0</v>
      </c>
      <c r="N10957" s="2" t="s">
        <v>21</v>
      </c>
    </row>
    <row r="10958" ht="15.75" customHeight="1">
      <c r="A10958" s="2">
        <v>2019.0</v>
      </c>
      <c r="B10958" s="2" t="s">
        <v>3846</v>
      </c>
      <c r="C10958" s="2" t="s">
        <v>44159</v>
      </c>
      <c r="D10958" s="2" t="str">
        <f>"9317393266"</f>
        <v>9317393266</v>
      </c>
      <c r="E10958" s="2" t="s">
        <v>339</v>
      </c>
      <c r="F10958" s="2" t="s">
        <v>511</v>
      </c>
      <c r="G10958" s="2" t="str">
        <f>"SR-15542"</f>
        <v>SR-15542</v>
      </c>
      <c r="H10958" s="2" t="s">
        <v>44160</v>
      </c>
      <c r="I10958" s="2" t="s">
        <v>3848</v>
      </c>
      <c r="K10958" s="2" t="s">
        <v>3849</v>
      </c>
      <c r="L10958" s="2" t="s">
        <v>279</v>
      </c>
      <c r="M10958" s="2">
        <v>38583.0</v>
      </c>
      <c r="N10958" s="2" t="s">
        <v>21</v>
      </c>
    </row>
    <row r="10959" ht="15.75" customHeight="1">
      <c r="A10959" s="2">
        <v>2019.0</v>
      </c>
      <c r="B10959" s="2" t="s">
        <v>44161</v>
      </c>
      <c r="C10959" s="2" t="s">
        <v>44162</v>
      </c>
      <c r="D10959" s="2" t="str">
        <f>"978-392-0379"</f>
        <v>978-392-0379</v>
      </c>
      <c r="E10959" s="2" t="s">
        <v>1094</v>
      </c>
      <c r="F10959" s="2" t="s">
        <v>44163</v>
      </c>
      <c r="G10959" s="2" t="str">
        <f>"SR-15545"</f>
        <v>SR-15545</v>
      </c>
      <c r="H10959" s="2" t="s">
        <v>44164</v>
      </c>
      <c r="I10959" s="2" t="s">
        <v>44165</v>
      </c>
      <c r="K10959" s="2" t="s">
        <v>44166</v>
      </c>
      <c r="L10959" s="2" t="s">
        <v>4108</v>
      </c>
      <c r="M10959" s="2">
        <v>1886.0</v>
      </c>
      <c r="N10959" s="2" t="s">
        <v>21</v>
      </c>
    </row>
    <row r="10960" ht="15.75" customHeight="1">
      <c r="A10960" s="2">
        <v>2019.0</v>
      </c>
      <c r="B10960" s="2" t="s">
        <v>44167</v>
      </c>
      <c r="C10960" s="2" t="s">
        <v>44168</v>
      </c>
      <c r="D10960" s="2" t="str">
        <f>"4087573931"</f>
        <v>4087573931</v>
      </c>
      <c r="E10960" s="2" t="s">
        <v>5489</v>
      </c>
      <c r="F10960" s="2" t="s">
        <v>5281</v>
      </c>
      <c r="G10960" s="2" t="str">
        <f>"SR-15546"</f>
        <v>SR-15546</v>
      </c>
      <c r="H10960" s="2" t="s">
        <v>44169</v>
      </c>
      <c r="I10960" s="2" t="s">
        <v>44170</v>
      </c>
      <c r="K10960" s="2" t="s">
        <v>5826</v>
      </c>
      <c r="L10960" s="2" t="s">
        <v>222</v>
      </c>
      <c r="M10960" s="2">
        <v>95127.0</v>
      </c>
      <c r="N10960" s="2" t="s">
        <v>21</v>
      </c>
    </row>
    <row r="10961" ht="15.75" customHeight="1">
      <c r="A10961" s="2">
        <v>2019.0</v>
      </c>
      <c r="B10961" s="2" t="s">
        <v>44171</v>
      </c>
      <c r="C10961" s="2" t="s">
        <v>44172</v>
      </c>
      <c r="D10961" s="2" t="str">
        <f>"865-803-5028"</f>
        <v>865-803-5028</v>
      </c>
      <c r="E10961" s="2" t="s">
        <v>167</v>
      </c>
      <c r="F10961" s="2" t="s">
        <v>44173</v>
      </c>
      <c r="G10961" s="2" t="str">
        <f>"SR-15549"</f>
        <v>SR-15549</v>
      </c>
      <c r="H10961" s="2" t="s">
        <v>44174</v>
      </c>
      <c r="I10961" s="2" t="s">
        <v>44175</v>
      </c>
      <c r="K10961" s="2" t="s">
        <v>6168</v>
      </c>
      <c r="L10961" s="2" t="s">
        <v>279</v>
      </c>
      <c r="M10961" s="2">
        <v>37919.0</v>
      </c>
      <c r="N10961" s="2" t="s">
        <v>21</v>
      </c>
    </row>
    <row r="10962" ht="15.75" customHeight="1">
      <c r="A10962" s="2">
        <v>2019.0</v>
      </c>
      <c r="B10962" s="2" t="s">
        <v>44176</v>
      </c>
      <c r="C10962" s="2" t="s">
        <v>44177</v>
      </c>
      <c r="D10962" s="2" t="str">
        <f>"469-758-8335"</f>
        <v>469-758-8335</v>
      </c>
      <c r="E10962" s="2" t="s">
        <v>7145</v>
      </c>
      <c r="F10962" s="2" t="s">
        <v>44178</v>
      </c>
      <c r="G10962" s="2" t="str">
        <f>"SR-15550"</f>
        <v>SR-15550</v>
      </c>
      <c r="H10962" s="2" t="s">
        <v>44179</v>
      </c>
      <c r="I10962" s="2" t="s">
        <v>44180</v>
      </c>
      <c r="K10962" s="2" t="s">
        <v>171</v>
      </c>
      <c r="L10962" s="2" t="s">
        <v>172</v>
      </c>
      <c r="M10962" s="2">
        <v>75007.0</v>
      </c>
      <c r="N10962" s="2" t="s">
        <v>21</v>
      </c>
    </row>
    <row r="10963" ht="15.75" customHeight="1">
      <c r="A10963" s="2">
        <v>2019.0</v>
      </c>
      <c r="B10963" s="2" t="s">
        <v>44181</v>
      </c>
      <c r="C10963" s="2" t="s">
        <v>44182</v>
      </c>
      <c r="D10963" s="2" t="str">
        <f>"6417472030"</f>
        <v>6417472030</v>
      </c>
      <c r="E10963" s="2" t="s">
        <v>1054</v>
      </c>
      <c r="F10963" s="2" t="s">
        <v>1150</v>
      </c>
      <c r="G10963" s="2" t="str">
        <f>"SR-15344"</f>
        <v>SR-15344</v>
      </c>
      <c r="H10963" s="2" t="s">
        <v>44183</v>
      </c>
      <c r="I10963" s="2" t="s">
        <v>44184</v>
      </c>
      <c r="K10963" s="2" t="s">
        <v>44185</v>
      </c>
      <c r="L10963" s="2" t="s">
        <v>560</v>
      </c>
      <c r="M10963" s="2">
        <v>50115.0</v>
      </c>
      <c r="N10963" s="2" t="s">
        <v>21</v>
      </c>
    </row>
    <row r="10964" ht="15.75" customHeight="1">
      <c r="A10964" s="2">
        <v>2019.0</v>
      </c>
      <c r="B10964" s="2" t="s">
        <v>44186</v>
      </c>
      <c r="C10964" s="2" t="s">
        <v>44186</v>
      </c>
      <c r="D10964" s="2" t="str">
        <f>"7316165322"</f>
        <v>7316165322</v>
      </c>
      <c r="E10964" s="2" t="s">
        <v>44187</v>
      </c>
      <c r="F10964" s="2" t="s">
        <v>44188</v>
      </c>
      <c r="G10964" s="2" t="str">
        <f>"SR-15551"</f>
        <v>SR-15551</v>
      </c>
      <c r="H10964" s="2" t="s">
        <v>44189</v>
      </c>
      <c r="I10964" s="2" t="s">
        <v>44190</v>
      </c>
      <c r="K10964" s="2" t="s">
        <v>42374</v>
      </c>
      <c r="L10964" s="2" t="s">
        <v>279</v>
      </c>
      <c r="M10964" s="2">
        <v>38343.0</v>
      </c>
      <c r="N10964" s="2" t="s">
        <v>21</v>
      </c>
    </row>
    <row r="10965" ht="15.75" customHeight="1">
      <c r="A10965" s="2">
        <v>2019.0</v>
      </c>
      <c r="B10965" s="2" t="s">
        <v>44191</v>
      </c>
      <c r="C10965" s="2" t="s">
        <v>44192</v>
      </c>
      <c r="D10965" s="2" t="str">
        <f>"7173717016"</f>
        <v>7173717016</v>
      </c>
      <c r="E10965" s="2" t="s">
        <v>6266</v>
      </c>
      <c r="F10965" s="2" t="s">
        <v>962</v>
      </c>
      <c r="G10965" s="2" t="str">
        <f>"SR-15539"</f>
        <v>SR-15539</v>
      </c>
      <c r="H10965" s="2" t="s">
        <v>44193</v>
      </c>
      <c r="I10965" s="2" t="s">
        <v>44194</v>
      </c>
      <c r="K10965" s="2" t="s">
        <v>7640</v>
      </c>
      <c r="L10965" s="2" t="s">
        <v>179</v>
      </c>
      <c r="M10965" s="2">
        <v>17543.0</v>
      </c>
      <c r="N10965" s="2" t="s">
        <v>21</v>
      </c>
    </row>
    <row r="10966" ht="15.75" customHeight="1">
      <c r="A10966" s="2">
        <v>2019.0</v>
      </c>
      <c r="B10966" s="2" t="s">
        <v>44195</v>
      </c>
      <c r="C10966" s="2" t="s">
        <v>44195</v>
      </c>
      <c r="D10966" s="2" t="str">
        <f>"7316165322"</f>
        <v>7316165322</v>
      </c>
      <c r="E10966" s="2" t="s">
        <v>705</v>
      </c>
      <c r="F10966" s="2" t="s">
        <v>44188</v>
      </c>
      <c r="G10966" s="2" t="str">
        <f>"SR-15552"</f>
        <v>SR-15552</v>
      </c>
      <c r="H10966" s="2" t="s">
        <v>44196</v>
      </c>
      <c r="I10966" s="2" t="s">
        <v>44197</v>
      </c>
      <c r="K10966" s="2" t="s">
        <v>42374</v>
      </c>
      <c r="L10966" s="2" t="s">
        <v>279</v>
      </c>
      <c r="M10966" s="2">
        <v>38343.0</v>
      </c>
      <c r="N10966" s="2" t="s">
        <v>21</v>
      </c>
    </row>
    <row r="10967" ht="15.75" customHeight="1">
      <c r="A10967" s="2">
        <v>2019.0</v>
      </c>
      <c r="B10967" s="2" t="s">
        <v>44198</v>
      </c>
      <c r="C10967" s="2" t="s">
        <v>44198</v>
      </c>
      <c r="D10967" s="2" t="str">
        <f>"6232293939"</f>
        <v>6232293939</v>
      </c>
      <c r="E10967" s="2" t="s">
        <v>2861</v>
      </c>
      <c r="F10967" s="2" t="s">
        <v>44199</v>
      </c>
      <c r="G10967" s="2" t="str">
        <f>"SR-15340"</f>
        <v>SR-15340</v>
      </c>
      <c r="H10967" s="2" t="s">
        <v>44200</v>
      </c>
      <c r="I10967" s="2" t="s">
        <v>44201</v>
      </c>
      <c r="K10967" s="2" t="s">
        <v>44202</v>
      </c>
      <c r="L10967" s="2" t="s">
        <v>422</v>
      </c>
      <c r="M10967" s="2">
        <v>85373.0</v>
      </c>
      <c r="N10967" s="2" t="s">
        <v>21</v>
      </c>
    </row>
    <row r="10968" ht="15.75" customHeight="1">
      <c r="A10968" s="2">
        <v>2019.0</v>
      </c>
      <c r="B10968" s="2" t="s">
        <v>44203</v>
      </c>
      <c r="C10968" s="2" t="s">
        <v>44204</v>
      </c>
      <c r="D10968" s="2" t="str">
        <f>"5202376855"</f>
        <v>5202376855</v>
      </c>
      <c r="E10968" s="2" t="s">
        <v>1682</v>
      </c>
      <c r="F10968" s="2" t="s">
        <v>44205</v>
      </c>
      <c r="G10968" s="2" t="str">
        <f>"SR-15553"</f>
        <v>SR-15553</v>
      </c>
      <c r="H10968" s="2" t="s">
        <v>44206</v>
      </c>
      <c r="I10968" s="2" t="s">
        <v>44207</v>
      </c>
      <c r="K10968" s="2" t="s">
        <v>5946</v>
      </c>
      <c r="L10968" s="2" t="s">
        <v>422</v>
      </c>
      <c r="M10968" s="2">
        <v>85718.0</v>
      </c>
      <c r="N10968" s="2" t="s">
        <v>21</v>
      </c>
    </row>
    <row r="10969" ht="15.75" customHeight="1">
      <c r="A10969" s="2">
        <v>2019.0</v>
      </c>
      <c r="B10969" s="2" t="s">
        <v>44208</v>
      </c>
      <c r="C10969" s="2" t="s">
        <v>44209</v>
      </c>
      <c r="D10969" s="2" t="str">
        <f>"6298887587"</f>
        <v>6298887587</v>
      </c>
      <c r="E10969" s="2" t="s">
        <v>4968</v>
      </c>
      <c r="F10969" s="2" t="s">
        <v>31119</v>
      </c>
      <c r="G10969" s="2" t="str">
        <f>"SR-15508"</f>
        <v>SR-15508</v>
      </c>
      <c r="H10969" s="2" t="s">
        <v>44210</v>
      </c>
      <c r="I10969" s="2" t="s">
        <v>44211</v>
      </c>
      <c r="K10969" s="2" t="s">
        <v>9868</v>
      </c>
      <c r="L10969" s="2" t="s">
        <v>279</v>
      </c>
      <c r="M10969" s="2">
        <v>37027.0</v>
      </c>
      <c r="N10969" s="2" t="s">
        <v>21</v>
      </c>
    </row>
    <row r="10970" ht="15.75" customHeight="1">
      <c r="A10970" s="2">
        <v>2019.0</v>
      </c>
      <c r="B10970" s="2" t="s">
        <v>44212</v>
      </c>
      <c r="D10970" s="2" t="str">
        <f>""</f>
        <v/>
      </c>
      <c r="E10970" s="2" t="s">
        <v>843</v>
      </c>
      <c r="F10970" s="2" t="s">
        <v>1101</v>
      </c>
      <c r="G10970" s="2" t="str">
        <f>"SR-15521"</f>
        <v>SR-15521</v>
      </c>
      <c r="H10970" s="2" t="s">
        <v>44213</v>
      </c>
      <c r="N10970" s="2" t="s">
        <v>21</v>
      </c>
    </row>
    <row r="10971" ht="15.75" customHeight="1">
      <c r="A10971" s="2">
        <v>2019.0</v>
      </c>
      <c r="B10971" s="2" t="s">
        <v>44214</v>
      </c>
      <c r="C10971" s="2" t="s">
        <v>44215</v>
      </c>
      <c r="D10971" s="2" t="str">
        <f t="shared" ref="D10971:D10972" si="185">"6053239621"</f>
        <v>6053239621</v>
      </c>
      <c r="E10971" s="2" t="s">
        <v>44216</v>
      </c>
      <c r="F10971" s="2" t="s">
        <v>44217</v>
      </c>
      <c r="G10971" s="2" t="str">
        <f>"SR-15554"</f>
        <v>SR-15554</v>
      </c>
      <c r="H10971" s="2" t="s">
        <v>44218</v>
      </c>
      <c r="I10971" s="2" t="s">
        <v>44219</v>
      </c>
      <c r="K10971" s="2" t="s">
        <v>919</v>
      </c>
      <c r="L10971" s="2" t="s">
        <v>920</v>
      </c>
      <c r="M10971" s="2">
        <v>57105.0</v>
      </c>
      <c r="N10971" s="2" t="s">
        <v>21</v>
      </c>
    </row>
    <row r="10972" ht="15.75" customHeight="1">
      <c r="A10972" s="2">
        <v>2019.0</v>
      </c>
      <c r="B10972" s="2" t="s">
        <v>44214</v>
      </c>
      <c r="C10972" s="2" t="s">
        <v>44220</v>
      </c>
      <c r="D10972" s="2" t="str">
        <f t="shared" si="185"/>
        <v>6053239621</v>
      </c>
      <c r="E10972" s="2" t="s">
        <v>4375</v>
      </c>
      <c r="F10972" s="2" t="s">
        <v>44217</v>
      </c>
      <c r="G10972" s="2" t="str">
        <f>"SR-15555"</f>
        <v>SR-15555</v>
      </c>
      <c r="H10972" s="2" t="s">
        <v>44221</v>
      </c>
      <c r="I10972" s="2" t="s">
        <v>44219</v>
      </c>
      <c r="K10972" s="2" t="s">
        <v>919</v>
      </c>
      <c r="L10972" s="2" t="s">
        <v>920</v>
      </c>
      <c r="M10972" s="2">
        <v>57105.0</v>
      </c>
      <c r="N10972" s="2" t="s">
        <v>21</v>
      </c>
    </row>
    <row r="10973" ht="15.75" customHeight="1">
      <c r="A10973" s="2">
        <v>2019.0</v>
      </c>
      <c r="B10973" s="2" t="s">
        <v>44222</v>
      </c>
      <c r="C10973" s="2" t="s">
        <v>44222</v>
      </c>
      <c r="D10973" s="2" t="str">
        <f>"713-591-3600"</f>
        <v>713-591-3600</v>
      </c>
      <c r="E10973" s="2" t="s">
        <v>1208</v>
      </c>
      <c r="F10973" s="2" t="s">
        <v>2771</v>
      </c>
      <c r="G10973" s="2" t="str">
        <f>"SR-15557"</f>
        <v>SR-15557</v>
      </c>
      <c r="H10973" s="2" t="s">
        <v>44223</v>
      </c>
      <c r="I10973" s="2" t="s">
        <v>27157</v>
      </c>
      <c r="K10973" s="2" t="s">
        <v>5855</v>
      </c>
      <c r="L10973" s="2" t="s">
        <v>172</v>
      </c>
      <c r="M10973" s="2">
        <v>77389.0</v>
      </c>
      <c r="N10973" s="2" t="s">
        <v>21</v>
      </c>
    </row>
    <row r="10974" ht="15.75" customHeight="1">
      <c r="A10974" s="2">
        <v>2019.0</v>
      </c>
      <c r="B10974" s="2" t="s">
        <v>44224</v>
      </c>
      <c r="C10974" s="2" t="s">
        <v>44225</v>
      </c>
      <c r="D10974" s="2" t="str">
        <f>"256-763-1368"</f>
        <v>256-763-1368</v>
      </c>
      <c r="E10974" s="2" t="s">
        <v>301</v>
      </c>
      <c r="F10974" s="2" t="s">
        <v>17918</v>
      </c>
      <c r="G10974" s="2" t="str">
        <f>"SR-15559"</f>
        <v>SR-15559</v>
      </c>
      <c r="H10974" s="2" t="s">
        <v>44226</v>
      </c>
      <c r="I10974" s="2" t="s">
        <v>44227</v>
      </c>
      <c r="K10974" s="2" t="s">
        <v>1953</v>
      </c>
      <c r="L10974" s="2" t="s">
        <v>539</v>
      </c>
      <c r="M10974" s="2">
        <v>35803.0</v>
      </c>
      <c r="N10974" s="2" t="s">
        <v>21</v>
      </c>
    </row>
    <row r="10975" ht="15.75" customHeight="1">
      <c r="A10975" s="2">
        <v>2019.0</v>
      </c>
      <c r="B10975" s="2" t="s">
        <v>44228</v>
      </c>
      <c r="C10975" s="2" t="s">
        <v>44229</v>
      </c>
      <c r="D10975" s="2" t="str">
        <f>"608-512-9457"</f>
        <v>608-512-9457</v>
      </c>
      <c r="E10975" s="2" t="s">
        <v>301</v>
      </c>
      <c r="F10975" s="2" t="s">
        <v>44230</v>
      </c>
      <c r="G10975" s="2" t="str">
        <f>"SR-15112"</f>
        <v>SR-15112</v>
      </c>
      <c r="H10975" s="2" t="s">
        <v>44231</v>
      </c>
      <c r="I10975" s="2" t="s">
        <v>44232</v>
      </c>
      <c r="K10975" s="2" t="s">
        <v>11711</v>
      </c>
      <c r="L10975" s="2" t="s">
        <v>62</v>
      </c>
      <c r="M10975" s="2">
        <v>55082.0</v>
      </c>
      <c r="N10975" s="2" t="s">
        <v>21</v>
      </c>
    </row>
    <row r="10976" ht="15.75" customHeight="1">
      <c r="A10976" s="2">
        <v>2019.0</v>
      </c>
      <c r="B10976" s="2" t="s">
        <v>44228</v>
      </c>
      <c r="C10976" s="2" t="s">
        <v>44233</v>
      </c>
      <c r="D10976" s="2" t="str">
        <f>"608-886-0880"</f>
        <v>608-886-0880</v>
      </c>
      <c r="E10976" s="2" t="s">
        <v>40563</v>
      </c>
      <c r="F10976" s="2" t="s">
        <v>44230</v>
      </c>
      <c r="G10976" s="2" t="str">
        <f>"SR-15113"</f>
        <v>SR-15113</v>
      </c>
      <c r="H10976" s="2" t="s">
        <v>44234</v>
      </c>
      <c r="I10976" s="2" t="s">
        <v>44232</v>
      </c>
      <c r="K10976" s="2" t="s">
        <v>11711</v>
      </c>
      <c r="L10976" s="2" t="s">
        <v>62</v>
      </c>
      <c r="M10976" s="2">
        <v>55082.0</v>
      </c>
      <c r="N10976" s="2" t="s">
        <v>21</v>
      </c>
    </row>
    <row r="10977" ht="15.75" customHeight="1">
      <c r="A10977" s="2">
        <v>2019.0</v>
      </c>
      <c r="B10977" s="2" t="s">
        <v>44235</v>
      </c>
      <c r="C10977" s="2" t="s">
        <v>44235</v>
      </c>
      <c r="D10977" s="2" t="str">
        <f>"417-689-9276"</f>
        <v>417-689-9276</v>
      </c>
      <c r="E10977" s="2" t="s">
        <v>485</v>
      </c>
      <c r="F10977" s="2" t="s">
        <v>19933</v>
      </c>
      <c r="G10977" s="2" t="str">
        <f>"SR-15561"</f>
        <v>SR-15561</v>
      </c>
      <c r="H10977" s="2" t="s">
        <v>44236</v>
      </c>
      <c r="I10977" s="2" t="s">
        <v>44237</v>
      </c>
      <c r="K10977" s="2" t="s">
        <v>3239</v>
      </c>
      <c r="L10977" s="2" t="s">
        <v>214</v>
      </c>
      <c r="M10977" s="2">
        <v>65810.0</v>
      </c>
      <c r="N10977" s="2" t="s">
        <v>21</v>
      </c>
    </row>
    <row r="10978" ht="15.75" customHeight="1">
      <c r="A10978" s="2">
        <v>2019.0</v>
      </c>
      <c r="B10978" s="2" t="s">
        <v>44228</v>
      </c>
      <c r="C10978" s="2" t="s">
        <v>44238</v>
      </c>
      <c r="D10978" s="2" t="str">
        <f>"6123828576"</f>
        <v>6123828576</v>
      </c>
      <c r="E10978" s="2" t="s">
        <v>6170</v>
      </c>
      <c r="F10978" s="2" t="s">
        <v>26237</v>
      </c>
      <c r="G10978" s="2" t="str">
        <f>"SR-15114"</f>
        <v>SR-15114</v>
      </c>
      <c r="H10978" s="2" t="s">
        <v>44239</v>
      </c>
      <c r="I10978" s="2" t="s">
        <v>44240</v>
      </c>
      <c r="K10978" s="2" t="s">
        <v>3109</v>
      </c>
      <c r="L10978" s="2" t="s">
        <v>62</v>
      </c>
      <c r="M10978" s="2">
        <v>55439.0</v>
      </c>
      <c r="N10978" s="2" t="s">
        <v>21</v>
      </c>
    </row>
    <row r="10979" ht="15.75" customHeight="1">
      <c r="A10979" s="2">
        <v>2019.0</v>
      </c>
      <c r="B10979" s="2" t="s">
        <v>44241</v>
      </c>
      <c r="C10979" s="2" t="s">
        <v>44241</v>
      </c>
      <c r="D10979" s="2" t="str">
        <f>"717-314-2287"</f>
        <v>717-314-2287</v>
      </c>
      <c r="E10979" s="2" t="s">
        <v>3370</v>
      </c>
      <c r="F10979" s="2" t="s">
        <v>31893</v>
      </c>
      <c r="G10979" s="2" t="str">
        <f>"SR-15562"</f>
        <v>SR-15562</v>
      </c>
      <c r="H10979" s="2" t="s">
        <v>44242</v>
      </c>
      <c r="I10979" s="2" t="s">
        <v>31895</v>
      </c>
      <c r="K10979" s="2" t="s">
        <v>27298</v>
      </c>
      <c r="L10979" s="2" t="s">
        <v>179</v>
      </c>
      <c r="M10979" s="2">
        <v>17545.0</v>
      </c>
      <c r="N10979" s="2" t="s">
        <v>21</v>
      </c>
    </row>
    <row r="10980" ht="15.75" customHeight="1">
      <c r="A10980" s="2">
        <v>2019.0</v>
      </c>
      <c r="B10980" s="2" t="s">
        <v>36376</v>
      </c>
      <c r="C10980" s="2" t="s">
        <v>39198</v>
      </c>
      <c r="D10980" s="2" t="str">
        <f>"7052093731"</f>
        <v>7052093731</v>
      </c>
      <c r="E10980" s="2" t="s">
        <v>39199</v>
      </c>
      <c r="F10980" s="2" t="s">
        <v>36378</v>
      </c>
      <c r="G10980" s="2" t="str">
        <f>"SR-13458"</f>
        <v>SR-13458</v>
      </c>
      <c r="H10980" s="2" t="s">
        <v>39200</v>
      </c>
      <c r="I10980" s="2" t="s">
        <v>39201</v>
      </c>
      <c r="K10980" s="2" t="s">
        <v>286</v>
      </c>
      <c r="L10980" s="2" t="s">
        <v>2015</v>
      </c>
      <c r="M10980" s="2" t="s">
        <v>39202</v>
      </c>
      <c r="N10980" s="2" t="s">
        <v>1602</v>
      </c>
    </row>
    <row r="10981" ht="15.75" customHeight="1">
      <c r="A10981" s="2">
        <v>2019.0</v>
      </c>
      <c r="B10981" s="2" t="s">
        <v>44243</v>
      </c>
      <c r="C10981" s="2" t="s">
        <v>44244</v>
      </c>
      <c r="D10981" s="2" t="str">
        <f>"8179074906"</f>
        <v>8179074906</v>
      </c>
      <c r="E10981" s="2" t="s">
        <v>44245</v>
      </c>
      <c r="F10981" s="2" t="s">
        <v>44246</v>
      </c>
      <c r="G10981" s="2" t="str">
        <f>"SR-15563"</f>
        <v>SR-15563</v>
      </c>
      <c r="H10981" s="2" t="s">
        <v>44247</v>
      </c>
      <c r="I10981" s="2" t="s">
        <v>44248</v>
      </c>
      <c r="K10981" s="2" t="s">
        <v>1260</v>
      </c>
      <c r="L10981" s="2" t="s">
        <v>172</v>
      </c>
      <c r="M10981" s="2">
        <v>76133.0</v>
      </c>
      <c r="N10981" s="2" t="s">
        <v>21</v>
      </c>
    </row>
    <row r="10982" ht="15.75" customHeight="1">
      <c r="A10982" s="2">
        <v>2019.0</v>
      </c>
      <c r="B10982" s="2" t="s">
        <v>44249</v>
      </c>
      <c r="C10982" s="2" t="s">
        <v>44250</v>
      </c>
      <c r="D10982" s="2" t="str">
        <f>"901-651-1903"</f>
        <v>901-651-1903</v>
      </c>
      <c r="E10982" s="2" t="s">
        <v>908</v>
      </c>
      <c r="F10982" s="2" t="s">
        <v>1151</v>
      </c>
      <c r="G10982" s="2" t="str">
        <f>"SR-15560"</f>
        <v>SR-15560</v>
      </c>
      <c r="H10982" s="2" t="s">
        <v>40373</v>
      </c>
      <c r="I10982" s="2" t="s">
        <v>44251</v>
      </c>
      <c r="K10982" s="2" t="s">
        <v>5678</v>
      </c>
      <c r="L10982" s="2" t="s">
        <v>279</v>
      </c>
      <c r="M10982" s="2">
        <v>38017.0</v>
      </c>
      <c r="N10982" s="2" t="s">
        <v>21</v>
      </c>
    </row>
    <row r="10983" ht="15.75" customHeight="1">
      <c r="A10983" s="2">
        <v>2019.0</v>
      </c>
      <c r="B10983" s="2" t="s">
        <v>44252</v>
      </c>
      <c r="C10983" s="2" t="s">
        <v>44253</v>
      </c>
      <c r="D10983" s="2" t="str">
        <f>"480-815-9285"</f>
        <v>480-815-9285</v>
      </c>
      <c r="E10983" s="2" t="s">
        <v>44254</v>
      </c>
      <c r="F10983" s="2" t="s">
        <v>44255</v>
      </c>
      <c r="G10983" s="2" t="str">
        <f>"SR-15252"</f>
        <v>SR-15252</v>
      </c>
      <c r="H10983" s="2" t="s">
        <v>44256</v>
      </c>
      <c r="I10983" s="2" t="s">
        <v>44257</v>
      </c>
      <c r="K10983" s="2" t="s">
        <v>5531</v>
      </c>
      <c r="L10983" s="2" t="s">
        <v>422</v>
      </c>
      <c r="M10983" s="2">
        <v>85207.0</v>
      </c>
      <c r="N10983" s="2" t="s">
        <v>21</v>
      </c>
    </row>
    <row r="10984" ht="15.75" customHeight="1">
      <c r="A10984" s="2">
        <v>2019.0</v>
      </c>
      <c r="B10984" s="2" t="s">
        <v>44228</v>
      </c>
      <c r="C10984" s="2" t="s">
        <v>44258</v>
      </c>
      <c r="D10984" s="2" t="str">
        <f>"2188399325"</f>
        <v>2188399325</v>
      </c>
      <c r="E10984" s="2" t="s">
        <v>26258</v>
      </c>
      <c r="F10984" s="2" t="s">
        <v>16972</v>
      </c>
      <c r="G10984" s="2" t="str">
        <f>"SR-15115"</f>
        <v>SR-15115</v>
      </c>
      <c r="H10984" s="2" t="s">
        <v>26259</v>
      </c>
      <c r="I10984" s="2" t="s">
        <v>16974</v>
      </c>
      <c r="K10984" s="2" t="s">
        <v>16975</v>
      </c>
      <c r="L10984" s="2" t="s">
        <v>62</v>
      </c>
      <c r="M10984" s="2">
        <v>56466.0</v>
      </c>
      <c r="N10984" s="2" t="s">
        <v>21</v>
      </c>
    </row>
    <row r="10985" ht="15.75" customHeight="1">
      <c r="A10985" s="2">
        <v>2019.0</v>
      </c>
      <c r="B10985" s="2" t="s">
        <v>44259</v>
      </c>
      <c r="C10985" s="2" t="s">
        <v>44259</v>
      </c>
      <c r="D10985" s="2" t="str">
        <f>"6153088396"</f>
        <v>6153088396</v>
      </c>
      <c r="E10985" s="2" t="s">
        <v>862</v>
      </c>
      <c r="F10985" s="2" t="s">
        <v>4706</v>
      </c>
      <c r="G10985" s="2" t="str">
        <f>"SR-15518"</f>
        <v>SR-15518</v>
      </c>
      <c r="H10985" s="2" t="s">
        <v>44260</v>
      </c>
      <c r="I10985" s="2" t="s">
        <v>44261</v>
      </c>
      <c r="K10985" s="2" t="s">
        <v>2750</v>
      </c>
      <c r="L10985" s="2" t="s">
        <v>279</v>
      </c>
      <c r="M10985" s="2">
        <v>38401.0</v>
      </c>
      <c r="N10985" s="2" t="s">
        <v>21</v>
      </c>
    </row>
    <row r="10986" ht="15.75" customHeight="1">
      <c r="A10986" s="2">
        <v>2019.0</v>
      </c>
      <c r="B10986" s="2" t="s">
        <v>44262</v>
      </c>
      <c r="C10986" s="2" t="s">
        <v>44262</v>
      </c>
      <c r="D10986" s="2" t="str">
        <f>"214-790-4861"</f>
        <v>214-790-4861</v>
      </c>
      <c r="E10986" s="2" t="s">
        <v>843</v>
      </c>
      <c r="F10986" s="2" t="s">
        <v>320</v>
      </c>
      <c r="G10986" s="2" t="str">
        <f>"SR-15565"</f>
        <v>SR-15565</v>
      </c>
      <c r="H10986" s="2" t="s">
        <v>27636</v>
      </c>
      <c r="I10986" s="2" t="s">
        <v>32808</v>
      </c>
      <c r="K10986" s="2" t="s">
        <v>171</v>
      </c>
      <c r="L10986" s="2" t="s">
        <v>172</v>
      </c>
      <c r="M10986" s="2">
        <v>75007.0</v>
      </c>
      <c r="N10986" s="2" t="s">
        <v>21</v>
      </c>
    </row>
    <row r="10987" ht="15.75" customHeight="1">
      <c r="A10987" s="2">
        <v>2019.0</v>
      </c>
      <c r="B10987" s="2" t="s">
        <v>44263</v>
      </c>
      <c r="C10987" s="2" t="s">
        <v>44264</v>
      </c>
      <c r="D10987" s="2" t="str">
        <f>"3605997762"</f>
        <v>3605997762</v>
      </c>
      <c r="E10987" s="2" t="s">
        <v>22278</v>
      </c>
      <c r="F10987" s="2" t="s">
        <v>457</v>
      </c>
      <c r="G10987" s="2" t="str">
        <f>"SR-15566"</f>
        <v>SR-15566</v>
      </c>
      <c r="H10987" s="2" t="s">
        <v>44265</v>
      </c>
      <c r="I10987" s="2" t="s">
        <v>44266</v>
      </c>
      <c r="K10987" s="2" t="s">
        <v>2836</v>
      </c>
      <c r="L10987" s="2" t="s">
        <v>86</v>
      </c>
      <c r="M10987" s="2">
        <v>98248.0</v>
      </c>
      <c r="N10987" s="2" t="s">
        <v>21</v>
      </c>
    </row>
    <row r="10988" ht="15.75" customHeight="1">
      <c r="A10988" s="2">
        <v>2019.0</v>
      </c>
      <c r="B10988" s="2" t="s">
        <v>44267</v>
      </c>
      <c r="C10988" s="2" t="s">
        <v>44267</v>
      </c>
      <c r="D10988" s="2" t="str">
        <f>"406-223-9181"</f>
        <v>406-223-9181</v>
      </c>
      <c r="E10988" s="2" t="s">
        <v>160</v>
      </c>
      <c r="F10988" s="2" t="s">
        <v>44268</v>
      </c>
      <c r="G10988" s="2" t="str">
        <f>"SR-15567"</f>
        <v>SR-15567</v>
      </c>
      <c r="H10988" s="2" t="s">
        <v>44269</v>
      </c>
      <c r="I10988" s="2" t="s">
        <v>44270</v>
      </c>
      <c r="K10988" s="2" t="s">
        <v>2784</v>
      </c>
      <c r="L10988" s="2" t="s">
        <v>2696</v>
      </c>
      <c r="M10988" s="2">
        <v>59047.0</v>
      </c>
      <c r="N10988" s="2" t="s">
        <v>21</v>
      </c>
    </row>
    <row r="10989" ht="15.75" customHeight="1">
      <c r="A10989" s="2">
        <v>2019.0</v>
      </c>
      <c r="B10989" s="2" t="s">
        <v>35279</v>
      </c>
      <c r="C10989" s="2" t="s">
        <v>35280</v>
      </c>
      <c r="D10989" s="2" t="str">
        <f>"9413480578"</f>
        <v>9413480578</v>
      </c>
      <c r="E10989" s="2" t="s">
        <v>862</v>
      </c>
      <c r="F10989" s="2" t="s">
        <v>35281</v>
      </c>
      <c r="G10989" s="2" t="str">
        <f>"SR-9899"</f>
        <v>SR-9899</v>
      </c>
      <c r="H10989" s="2" t="s">
        <v>35282</v>
      </c>
      <c r="I10989" s="2" t="s">
        <v>35283</v>
      </c>
      <c r="K10989" s="2" t="s">
        <v>35284</v>
      </c>
      <c r="L10989" s="2" t="s">
        <v>208</v>
      </c>
      <c r="M10989" s="2">
        <v>34207.0</v>
      </c>
      <c r="N10989" s="2" t="s">
        <v>21</v>
      </c>
    </row>
    <row r="10990" ht="15.75" customHeight="1">
      <c r="A10990" s="2">
        <v>2019.0</v>
      </c>
      <c r="B10990" s="2" t="s">
        <v>35279</v>
      </c>
      <c r="C10990" s="2" t="s">
        <v>39722</v>
      </c>
      <c r="D10990" s="2" t="str">
        <f>"9412165843"</f>
        <v>9412165843</v>
      </c>
      <c r="E10990" s="2" t="s">
        <v>1015</v>
      </c>
      <c r="F10990" s="2" t="s">
        <v>35281</v>
      </c>
      <c r="G10990" s="2" t="str">
        <f>"SR-11351"</f>
        <v>SR-11351</v>
      </c>
      <c r="H10990" s="2" t="s">
        <v>39723</v>
      </c>
      <c r="I10990" s="2" t="s">
        <v>35283</v>
      </c>
      <c r="K10990" s="2" t="s">
        <v>35284</v>
      </c>
      <c r="L10990" s="2" t="s">
        <v>208</v>
      </c>
      <c r="M10990" s="2">
        <v>34207.0</v>
      </c>
      <c r="N10990" s="2" t="s">
        <v>21</v>
      </c>
    </row>
    <row r="10991" ht="15.75" customHeight="1">
      <c r="A10991" s="2">
        <v>2019.0</v>
      </c>
      <c r="B10991" s="2" t="s">
        <v>44271</v>
      </c>
      <c r="D10991" s="2" t="str">
        <f>""</f>
        <v/>
      </c>
      <c r="E10991" s="2" t="s">
        <v>44272</v>
      </c>
      <c r="F10991" s="2" t="s">
        <v>44273</v>
      </c>
      <c r="G10991" s="2" t="str">
        <f>"SR-14866"</f>
        <v>SR-14866</v>
      </c>
      <c r="H10991" s="2" t="s">
        <v>44274</v>
      </c>
      <c r="N10991" s="2" t="s">
        <v>21</v>
      </c>
    </row>
    <row r="10992" ht="15.75" customHeight="1">
      <c r="A10992" s="2">
        <v>2019.0</v>
      </c>
      <c r="B10992" s="2" t="s">
        <v>7967</v>
      </c>
      <c r="C10992" s="2" t="s">
        <v>33754</v>
      </c>
      <c r="D10992" s="2" t="str">
        <f>"8042778197"</f>
        <v>8042778197</v>
      </c>
      <c r="E10992" s="2" t="s">
        <v>9599</v>
      </c>
      <c r="F10992" s="2" t="s">
        <v>863</v>
      </c>
      <c r="G10992" s="2" t="str">
        <f>"SR-10986"</f>
        <v>SR-10986</v>
      </c>
      <c r="H10992" s="2" t="s">
        <v>33755</v>
      </c>
      <c r="I10992" s="2" t="s">
        <v>33756</v>
      </c>
      <c r="K10992" s="2" t="s">
        <v>7971</v>
      </c>
      <c r="L10992" s="2" t="s">
        <v>165</v>
      </c>
      <c r="M10992" s="2">
        <v>23111.0</v>
      </c>
      <c r="N10992" s="2" t="s">
        <v>21</v>
      </c>
    </row>
    <row r="10993" ht="15.75" customHeight="1">
      <c r="A10993" s="2">
        <v>2019.0</v>
      </c>
      <c r="B10993" s="2" t="s">
        <v>44275</v>
      </c>
      <c r="C10993" s="2" t="s">
        <v>44276</v>
      </c>
      <c r="D10993" s="2" t="str">
        <f>"2109968087"</f>
        <v>2109968087</v>
      </c>
      <c r="E10993" s="2" t="s">
        <v>301</v>
      </c>
      <c r="F10993" s="2" t="s">
        <v>44277</v>
      </c>
      <c r="G10993" s="2" t="str">
        <f>"SR-15164"</f>
        <v>SR-15164</v>
      </c>
      <c r="H10993" s="2" t="s">
        <v>44278</v>
      </c>
      <c r="I10993" s="2" t="s">
        <v>44279</v>
      </c>
      <c r="K10993" s="2" t="s">
        <v>44280</v>
      </c>
      <c r="L10993" s="2" t="s">
        <v>172</v>
      </c>
      <c r="M10993" s="2">
        <v>78063.0</v>
      </c>
      <c r="N10993" s="2" t="s">
        <v>21</v>
      </c>
    </row>
    <row r="10994" ht="15.75" customHeight="1">
      <c r="A10994" s="2">
        <v>2019.0</v>
      </c>
      <c r="B10994" s="2" t="s">
        <v>44275</v>
      </c>
      <c r="C10994" s="2" t="s">
        <v>44281</v>
      </c>
      <c r="D10994" s="2" t="str">
        <f>"8302829483"</f>
        <v>8302829483</v>
      </c>
      <c r="E10994" s="2" t="s">
        <v>12166</v>
      </c>
      <c r="F10994" s="2" t="s">
        <v>44277</v>
      </c>
      <c r="G10994" s="2" t="str">
        <f>"SR-15575"</f>
        <v>SR-15575</v>
      </c>
      <c r="H10994" s="2" t="s">
        <v>44282</v>
      </c>
      <c r="I10994" s="2" t="s">
        <v>44279</v>
      </c>
      <c r="K10994" s="2" t="s">
        <v>44280</v>
      </c>
      <c r="L10994" s="2" t="s">
        <v>172</v>
      </c>
      <c r="M10994" s="2">
        <v>78063.0</v>
      </c>
      <c r="N10994" s="2" t="s">
        <v>21</v>
      </c>
    </row>
    <row r="10995" ht="15.75" customHeight="1">
      <c r="A10995" s="2">
        <v>2019.0</v>
      </c>
      <c r="B10995" s="2" t="s">
        <v>32309</v>
      </c>
      <c r="C10995" s="2" t="s">
        <v>44283</v>
      </c>
      <c r="D10995" s="2" t="str">
        <f>"9705496748"</f>
        <v>9705496748</v>
      </c>
      <c r="E10995" s="2" t="s">
        <v>44284</v>
      </c>
      <c r="F10995" s="2" t="s">
        <v>44285</v>
      </c>
      <c r="G10995" s="2" t="str">
        <f>"SR-15429"</f>
        <v>SR-15429</v>
      </c>
      <c r="H10995" s="2" t="s">
        <v>44286</v>
      </c>
      <c r="I10995" s="2" t="s">
        <v>44287</v>
      </c>
      <c r="K10995" s="2" t="s">
        <v>32284</v>
      </c>
      <c r="L10995" s="2" t="s">
        <v>157</v>
      </c>
      <c r="M10995" s="2">
        <v>81413.0</v>
      </c>
      <c r="N10995" s="2" t="s">
        <v>21</v>
      </c>
    </row>
    <row r="10996" ht="15.75" customHeight="1">
      <c r="A10996" s="2">
        <v>2019.0</v>
      </c>
      <c r="B10996" s="2" t="s">
        <v>32309</v>
      </c>
      <c r="C10996" s="2" t="s">
        <v>44288</v>
      </c>
      <c r="D10996" s="2" t="str">
        <f>"970-446-3177"</f>
        <v>970-446-3177</v>
      </c>
      <c r="E10996" s="2" t="s">
        <v>44289</v>
      </c>
      <c r="F10996" s="2" t="s">
        <v>6612</v>
      </c>
      <c r="G10996" s="2" t="str">
        <f>"SR-15525"</f>
        <v>SR-15525</v>
      </c>
      <c r="H10996" s="2" t="s">
        <v>44290</v>
      </c>
      <c r="I10996" s="2" t="s">
        <v>32308</v>
      </c>
      <c r="K10996" s="2" t="s">
        <v>32284</v>
      </c>
      <c r="L10996" s="2" t="s">
        <v>157</v>
      </c>
      <c r="M10996" s="2">
        <v>81413.0</v>
      </c>
      <c r="N10996" s="2" t="s">
        <v>21</v>
      </c>
    </row>
    <row r="10997" ht="15.75" customHeight="1">
      <c r="A10997" s="2">
        <v>2019.0</v>
      </c>
      <c r="B10997" s="2" t="s">
        <v>32309</v>
      </c>
      <c r="C10997" s="2" t="s">
        <v>44291</v>
      </c>
      <c r="D10997" s="2" t="str">
        <f>"9704175449"</f>
        <v>9704175449</v>
      </c>
      <c r="E10997" s="2" t="s">
        <v>4322</v>
      </c>
      <c r="F10997" s="2" t="s">
        <v>850</v>
      </c>
      <c r="G10997" s="2" t="str">
        <f>"SR-15531"</f>
        <v>SR-15531</v>
      </c>
      <c r="H10997" s="2" t="s">
        <v>44292</v>
      </c>
      <c r="I10997" s="2" t="s">
        <v>44293</v>
      </c>
      <c r="K10997" s="2" t="s">
        <v>32284</v>
      </c>
      <c r="L10997" s="2" t="s">
        <v>157</v>
      </c>
      <c r="M10997" s="2">
        <v>81413.0</v>
      </c>
      <c r="N10997" s="2" t="s">
        <v>21</v>
      </c>
    </row>
    <row r="10998" ht="15.75" customHeight="1">
      <c r="A10998" s="2">
        <v>2019.0</v>
      </c>
      <c r="B10998" s="2" t="s">
        <v>32309</v>
      </c>
      <c r="C10998" s="2" t="s">
        <v>44294</v>
      </c>
      <c r="D10998" s="2" t="str">
        <f>"9706977578"</f>
        <v>9706977578</v>
      </c>
      <c r="E10998" s="2" t="s">
        <v>44295</v>
      </c>
      <c r="F10998" s="2" t="s">
        <v>199</v>
      </c>
      <c r="G10998" s="2" t="str">
        <f>"SR-15532"</f>
        <v>SR-15532</v>
      </c>
      <c r="H10998" s="2" t="s">
        <v>44296</v>
      </c>
      <c r="I10998" s="2" t="s">
        <v>44297</v>
      </c>
      <c r="K10998" s="2" t="s">
        <v>1141</v>
      </c>
      <c r="L10998" s="2" t="s">
        <v>157</v>
      </c>
      <c r="M10998" s="2">
        <v>81410.0</v>
      </c>
      <c r="N10998" s="2" t="s">
        <v>21</v>
      </c>
    </row>
    <row r="10999" ht="15.75" customHeight="1">
      <c r="A10999" s="2">
        <v>2019.0</v>
      </c>
      <c r="B10999" s="2" t="s">
        <v>32309</v>
      </c>
      <c r="C10999" s="2" t="s">
        <v>44298</v>
      </c>
      <c r="D10999" s="2" t="str">
        <f>"7155010267"</f>
        <v>7155010267</v>
      </c>
      <c r="E10999" s="2" t="s">
        <v>678</v>
      </c>
      <c r="F10999" s="2" t="s">
        <v>457</v>
      </c>
      <c r="G10999" s="2" t="str">
        <f>"SR-15533"</f>
        <v>SR-15533</v>
      </c>
      <c r="H10999" s="2" t="s">
        <v>44299</v>
      </c>
      <c r="I10999" s="2" t="s">
        <v>44300</v>
      </c>
      <c r="K10999" s="2" t="s">
        <v>32284</v>
      </c>
      <c r="L10999" s="2" t="s">
        <v>157</v>
      </c>
      <c r="M10999" s="2">
        <v>81413.0</v>
      </c>
      <c r="N10999" s="2" t="s">
        <v>21</v>
      </c>
    </row>
    <row r="11000" ht="15.75" customHeight="1">
      <c r="A11000" s="2">
        <v>2019.0</v>
      </c>
      <c r="B11000" s="2" t="s">
        <v>32309</v>
      </c>
      <c r="C11000" s="2" t="s">
        <v>44301</v>
      </c>
      <c r="D11000" s="2" t="str">
        <f>"970-210-8055"</f>
        <v>970-210-8055</v>
      </c>
      <c r="E11000" s="2" t="s">
        <v>428</v>
      </c>
      <c r="F11000" s="2" t="s">
        <v>13781</v>
      </c>
      <c r="G11000" s="2" t="str">
        <f>"SR-15535"</f>
        <v>SR-15535</v>
      </c>
      <c r="H11000" s="2" t="s">
        <v>44302</v>
      </c>
      <c r="I11000" s="2" t="s">
        <v>44303</v>
      </c>
      <c r="K11000" s="2" t="s">
        <v>11440</v>
      </c>
      <c r="L11000" s="2" t="s">
        <v>157</v>
      </c>
      <c r="M11000" s="2">
        <v>81504.0</v>
      </c>
      <c r="N11000" s="2" t="s">
        <v>21</v>
      </c>
    </row>
    <row r="11001" ht="15.75" customHeight="1">
      <c r="A11001" s="2">
        <v>2019.0</v>
      </c>
      <c r="B11001" s="2" t="s">
        <v>44304</v>
      </c>
      <c r="C11001" s="2" t="s">
        <v>44305</v>
      </c>
      <c r="D11001" s="2" t="str">
        <f>"318-278-5270"</f>
        <v>318-278-5270</v>
      </c>
      <c r="E11001" s="2" t="s">
        <v>584</v>
      </c>
      <c r="F11001" s="2" t="s">
        <v>44306</v>
      </c>
      <c r="G11001" s="2" t="str">
        <f>"SR-15576"</f>
        <v>SR-15576</v>
      </c>
      <c r="H11001" s="2" t="s">
        <v>44307</v>
      </c>
      <c r="I11001" s="2" t="s">
        <v>44308</v>
      </c>
      <c r="K11001" s="2" t="s">
        <v>714</v>
      </c>
      <c r="L11001" s="2" t="s">
        <v>715</v>
      </c>
      <c r="M11001" s="2">
        <v>71270.0</v>
      </c>
      <c r="N11001" s="2" t="s">
        <v>21</v>
      </c>
    </row>
    <row r="11002" ht="15.75" customHeight="1">
      <c r="A11002" s="2">
        <v>2019.0</v>
      </c>
      <c r="B11002" s="2" t="s">
        <v>18900</v>
      </c>
      <c r="C11002" s="2" t="s">
        <v>44309</v>
      </c>
      <c r="D11002" s="2" t="str">
        <f>"5059677918"</f>
        <v>5059677918</v>
      </c>
      <c r="E11002" s="2" t="s">
        <v>678</v>
      </c>
      <c r="F11002" s="2" t="s">
        <v>18902</v>
      </c>
      <c r="G11002" s="2" t="str">
        <f>"SR-15578"</f>
        <v>SR-15578</v>
      </c>
      <c r="H11002" s="2" t="s">
        <v>44310</v>
      </c>
      <c r="I11002" s="2" t="s">
        <v>18904</v>
      </c>
      <c r="K11002" s="2" t="s">
        <v>18905</v>
      </c>
      <c r="L11002" s="2" t="s">
        <v>789</v>
      </c>
      <c r="M11002" s="2">
        <v>87830.0</v>
      </c>
      <c r="N11002" s="2" t="s">
        <v>21</v>
      </c>
    </row>
    <row r="11003" ht="15.75" customHeight="1">
      <c r="A11003" s="2">
        <v>2019.0</v>
      </c>
      <c r="B11003" s="2" t="s">
        <v>44311</v>
      </c>
      <c r="C11003" s="2" t="s">
        <v>44312</v>
      </c>
      <c r="D11003" s="2" t="str">
        <f>"4023932737"</f>
        <v>4023932737</v>
      </c>
      <c r="E11003" s="2" t="s">
        <v>2988</v>
      </c>
      <c r="F11003" s="2" t="s">
        <v>44313</v>
      </c>
      <c r="G11003" s="2" t="str">
        <f>"SR-15579"</f>
        <v>SR-15579</v>
      </c>
      <c r="H11003" s="2" t="s">
        <v>44314</v>
      </c>
      <c r="I11003" s="2" t="s">
        <v>44315</v>
      </c>
      <c r="K11003" s="2" t="s">
        <v>1470</v>
      </c>
      <c r="L11003" s="2" t="s">
        <v>757</v>
      </c>
      <c r="M11003" s="2">
        <v>68124.0</v>
      </c>
      <c r="N11003" s="2" t="s">
        <v>21</v>
      </c>
    </row>
    <row r="11004" ht="15.75" customHeight="1">
      <c r="A11004" s="2">
        <v>2019.0</v>
      </c>
      <c r="B11004" s="2" t="s">
        <v>34648</v>
      </c>
      <c r="C11004" s="2" t="s">
        <v>44316</v>
      </c>
      <c r="D11004" s="2" t="str">
        <f>"318-514-3843"</f>
        <v>318-514-3843</v>
      </c>
      <c r="E11004" s="2" t="s">
        <v>301</v>
      </c>
      <c r="F11004" s="2" t="s">
        <v>11586</v>
      </c>
      <c r="G11004" s="2" t="str">
        <f>"SR-15544"</f>
        <v>SR-15544</v>
      </c>
      <c r="H11004" s="2" t="s">
        <v>44317</v>
      </c>
      <c r="I11004" s="2" t="s">
        <v>34651</v>
      </c>
      <c r="K11004" s="2" t="s">
        <v>714</v>
      </c>
      <c r="L11004" s="2" t="s">
        <v>715</v>
      </c>
      <c r="M11004" s="2">
        <v>71270.0</v>
      </c>
      <c r="N11004" s="2" t="s">
        <v>21</v>
      </c>
    </row>
    <row r="11005" ht="15.75" customHeight="1">
      <c r="A11005" s="2">
        <v>2019.0</v>
      </c>
      <c r="B11005" s="2" t="s">
        <v>44318</v>
      </c>
      <c r="C11005" s="2" t="s">
        <v>44319</v>
      </c>
      <c r="D11005" s="2" t="str">
        <f>"641-417-1293"</f>
        <v>641-417-1293</v>
      </c>
      <c r="E11005" s="2" t="s">
        <v>261</v>
      </c>
      <c r="F11005" s="2" t="s">
        <v>44320</v>
      </c>
      <c r="G11005" s="2" t="str">
        <f>"SR-15280"</f>
        <v>SR-15280</v>
      </c>
      <c r="H11005" s="2" t="s">
        <v>44321</v>
      </c>
      <c r="I11005" s="2" t="s">
        <v>44322</v>
      </c>
      <c r="K11005" s="2" t="s">
        <v>3212</v>
      </c>
      <c r="L11005" s="2" t="s">
        <v>560</v>
      </c>
      <c r="M11005" s="2">
        <v>50208.0</v>
      </c>
      <c r="N11005" s="2" t="s">
        <v>21</v>
      </c>
    </row>
    <row r="11006" ht="15.75" customHeight="1">
      <c r="A11006" s="2">
        <v>2019.0</v>
      </c>
      <c r="B11006" s="2" t="s">
        <v>6694</v>
      </c>
      <c r="C11006" s="2" t="s">
        <v>44323</v>
      </c>
      <c r="D11006" s="2" t="str">
        <f>"9139440167"</f>
        <v>9139440167</v>
      </c>
      <c r="E11006" s="2" t="s">
        <v>288</v>
      </c>
      <c r="F11006" s="2" t="s">
        <v>6696</v>
      </c>
      <c r="G11006" s="2" t="str">
        <f>"SR-15581"</f>
        <v>SR-15581</v>
      </c>
      <c r="H11006" s="2" t="s">
        <v>44324</v>
      </c>
      <c r="I11006" s="2" t="s">
        <v>44325</v>
      </c>
      <c r="K11006" s="2" t="s">
        <v>1814</v>
      </c>
      <c r="L11006" s="2" t="s">
        <v>272</v>
      </c>
      <c r="M11006" s="2">
        <v>66109.0</v>
      </c>
      <c r="N11006" s="2" t="s">
        <v>21</v>
      </c>
    </row>
    <row r="11007" ht="15.75" customHeight="1">
      <c r="A11007" s="2">
        <v>2019.0</v>
      </c>
      <c r="B11007" s="2" t="s">
        <v>44326</v>
      </c>
      <c r="C11007" s="2" t="s">
        <v>44327</v>
      </c>
      <c r="D11007" s="2" t="str">
        <f>"5072279268"</f>
        <v>5072279268</v>
      </c>
      <c r="E11007" s="2" t="s">
        <v>6170</v>
      </c>
      <c r="F11007" s="2" t="s">
        <v>1756</v>
      </c>
      <c r="G11007" s="2" t="str">
        <f>"SR-15582"</f>
        <v>SR-15582</v>
      </c>
      <c r="H11007" s="2" t="s">
        <v>44328</v>
      </c>
      <c r="I11007" s="2" t="s">
        <v>44329</v>
      </c>
      <c r="K11007" s="2" t="s">
        <v>3239</v>
      </c>
      <c r="L11007" s="2" t="s">
        <v>62</v>
      </c>
      <c r="M11007" s="2">
        <v>56087.0</v>
      </c>
      <c r="N11007" s="2" t="s">
        <v>21</v>
      </c>
    </row>
    <row r="11008" ht="15.75" customHeight="1">
      <c r="A11008" s="2">
        <v>2019.0</v>
      </c>
      <c r="B11008" s="2" t="s">
        <v>44326</v>
      </c>
      <c r="C11008" s="2" t="s">
        <v>44330</v>
      </c>
      <c r="D11008" s="2" t="str">
        <f>"5072271700"</f>
        <v>5072271700</v>
      </c>
      <c r="E11008" s="2" t="s">
        <v>44331</v>
      </c>
      <c r="F11008" s="2" t="s">
        <v>1756</v>
      </c>
      <c r="G11008" s="2" t="str">
        <f>"SR-15583"</f>
        <v>SR-15583</v>
      </c>
      <c r="H11008" s="2" t="s">
        <v>44332</v>
      </c>
      <c r="I11008" s="2" t="s">
        <v>44329</v>
      </c>
      <c r="K11008" s="2" t="s">
        <v>3239</v>
      </c>
      <c r="L11008" s="2" t="s">
        <v>62</v>
      </c>
      <c r="M11008" s="2">
        <v>56087.0</v>
      </c>
      <c r="N11008" s="2" t="s">
        <v>21</v>
      </c>
    </row>
    <row r="11009" ht="15.75" customHeight="1">
      <c r="A11009" s="2">
        <v>2019.0</v>
      </c>
      <c r="B11009" s="2" t="s">
        <v>44333</v>
      </c>
      <c r="C11009" s="2" t="s">
        <v>44333</v>
      </c>
      <c r="D11009" s="2" t="str">
        <f>"(717)344-8581"</f>
        <v>(717)344-8581</v>
      </c>
      <c r="E11009" s="2" t="s">
        <v>4871</v>
      </c>
      <c r="F11009" s="2" t="s">
        <v>44334</v>
      </c>
      <c r="G11009" s="2" t="str">
        <f>"SR-15570"</f>
        <v>SR-15570</v>
      </c>
      <c r="H11009" s="2" t="s">
        <v>44335</v>
      </c>
      <c r="I11009" s="2" t="s">
        <v>44336</v>
      </c>
      <c r="K11009" s="2" t="s">
        <v>44337</v>
      </c>
      <c r="L11009" s="2" t="s">
        <v>179</v>
      </c>
      <c r="M11009" s="2">
        <v>19310.0</v>
      </c>
      <c r="N11009" s="2" t="s">
        <v>21</v>
      </c>
    </row>
    <row r="11010" ht="15.75" customHeight="1">
      <c r="A11010" s="2">
        <v>2019.0</v>
      </c>
      <c r="B11010" s="2" t="s">
        <v>4608</v>
      </c>
      <c r="C11010" s="2" t="s">
        <v>40897</v>
      </c>
      <c r="D11010" s="2" t="str">
        <f>"224-563-7541"</f>
        <v>224-563-7541</v>
      </c>
      <c r="E11010" s="2" t="s">
        <v>453</v>
      </c>
      <c r="F11010" s="2" t="s">
        <v>4610</v>
      </c>
      <c r="G11010" s="2" t="str">
        <f>"SR-13976"</f>
        <v>SR-13976</v>
      </c>
      <c r="H11010" s="2" t="s">
        <v>40898</v>
      </c>
      <c r="I11010" s="2" t="s">
        <v>33774</v>
      </c>
      <c r="K11010" s="2" t="s">
        <v>4613</v>
      </c>
      <c r="L11010" s="2" t="s">
        <v>105</v>
      </c>
      <c r="M11010" s="2">
        <v>60047.0</v>
      </c>
      <c r="N11010" s="2" t="s">
        <v>21</v>
      </c>
    </row>
    <row r="11011" ht="15.75" customHeight="1">
      <c r="A11011" s="2">
        <v>2019.0</v>
      </c>
      <c r="B11011" s="2" t="s">
        <v>44338</v>
      </c>
      <c r="C11011" s="2" t="s">
        <v>44339</v>
      </c>
      <c r="D11011" s="2" t="str">
        <f>"269-483-2457"</f>
        <v>269-483-2457</v>
      </c>
      <c r="E11011" s="2" t="s">
        <v>7930</v>
      </c>
      <c r="F11011" s="2" t="s">
        <v>44340</v>
      </c>
      <c r="G11011" s="2" t="str">
        <f>"SR-15584"</f>
        <v>SR-15584</v>
      </c>
      <c r="H11011" s="2" t="s">
        <v>44341</v>
      </c>
      <c r="I11011" s="2" t="s">
        <v>44342</v>
      </c>
      <c r="K11011" s="2" t="s">
        <v>44343</v>
      </c>
      <c r="L11011" s="2" t="s">
        <v>29</v>
      </c>
      <c r="M11011" s="2">
        <v>49099.0</v>
      </c>
      <c r="N11011" s="2" t="s">
        <v>21</v>
      </c>
    </row>
    <row r="11012" ht="15.75" customHeight="1">
      <c r="A11012" s="2">
        <v>2019.0</v>
      </c>
      <c r="B11012" s="2" t="s">
        <v>44344</v>
      </c>
      <c r="C11012" s="2" t="s">
        <v>44344</v>
      </c>
      <c r="D11012" s="2" t="str">
        <f>"3182650688"</f>
        <v>3182650688</v>
      </c>
      <c r="E11012" s="2" t="s">
        <v>256</v>
      </c>
      <c r="F11012" s="2" t="s">
        <v>3052</v>
      </c>
      <c r="G11012" s="2" t="str">
        <f>"SR-15585"</f>
        <v>SR-15585</v>
      </c>
      <c r="H11012" s="2" t="s">
        <v>44345</v>
      </c>
      <c r="I11012" s="2" t="s">
        <v>44346</v>
      </c>
      <c r="K11012" s="2" t="s">
        <v>714</v>
      </c>
      <c r="L11012" s="2" t="s">
        <v>715</v>
      </c>
      <c r="M11012" s="2">
        <v>71270.0</v>
      </c>
      <c r="N11012" s="2" t="s">
        <v>21</v>
      </c>
    </row>
    <row r="11013" ht="15.75" customHeight="1">
      <c r="A11013" s="2">
        <v>2019.0</v>
      </c>
      <c r="B11013" s="2" t="s">
        <v>44347</v>
      </c>
      <c r="C11013" s="2" t="s">
        <v>44348</v>
      </c>
      <c r="D11013" s="2" t="str">
        <f>"907-345-3453"</f>
        <v>907-345-3453</v>
      </c>
      <c r="E11013" s="2" t="s">
        <v>705</v>
      </c>
      <c r="F11013" s="2" t="s">
        <v>3812</v>
      </c>
      <c r="G11013" s="2" t="str">
        <f>"SR-15587"</f>
        <v>SR-15587</v>
      </c>
      <c r="H11013" s="2" t="s">
        <v>44349</v>
      </c>
      <c r="I11013" s="2" t="s">
        <v>44350</v>
      </c>
      <c r="K11013" s="2" t="s">
        <v>69</v>
      </c>
      <c r="L11013" s="2" t="s">
        <v>70</v>
      </c>
      <c r="M11013" s="2">
        <v>99507.0</v>
      </c>
      <c r="N11013" s="2" t="s">
        <v>21</v>
      </c>
    </row>
    <row r="11014" ht="15.75" customHeight="1">
      <c r="A11014" s="2">
        <v>2019.0</v>
      </c>
      <c r="B11014" s="2" t="s">
        <v>6679</v>
      </c>
      <c r="C11014" s="2" t="s">
        <v>44351</v>
      </c>
      <c r="D11014" s="2" t="str">
        <f>"+1 (480) 738-8676"</f>
        <v>+1 (480) 738-8676</v>
      </c>
      <c r="E11014" s="2" t="s">
        <v>1548</v>
      </c>
      <c r="F11014" s="2" t="s">
        <v>6681</v>
      </c>
      <c r="G11014" s="2" t="str">
        <f>"SR-15571"</f>
        <v>SR-15571</v>
      </c>
      <c r="H11014" s="2" t="s">
        <v>37324</v>
      </c>
      <c r="I11014" s="2" t="s">
        <v>44352</v>
      </c>
      <c r="K11014" s="2" t="s">
        <v>4675</v>
      </c>
      <c r="L11014" s="2" t="s">
        <v>422</v>
      </c>
      <c r="M11014" s="2">
        <v>85234.0</v>
      </c>
      <c r="N11014" s="2" t="s">
        <v>21</v>
      </c>
    </row>
    <row r="11015" ht="15.75" customHeight="1">
      <c r="A11015" s="2">
        <v>2019.0</v>
      </c>
      <c r="B11015" s="2" t="s">
        <v>40133</v>
      </c>
      <c r="C11015" s="2" t="s">
        <v>40134</v>
      </c>
      <c r="D11015" s="2" t="str">
        <f>"317-503-7011"</f>
        <v>317-503-7011</v>
      </c>
      <c r="E11015" s="2" t="s">
        <v>9197</v>
      </c>
      <c r="F11015" s="2" t="s">
        <v>40135</v>
      </c>
      <c r="G11015" s="2" t="str">
        <f>"SR-13792"</f>
        <v>SR-13792</v>
      </c>
      <c r="H11015" s="2" t="s">
        <v>40136</v>
      </c>
      <c r="I11015" s="2" t="s">
        <v>40137</v>
      </c>
      <c r="K11015" s="2" t="s">
        <v>3464</v>
      </c>
      <c r="L11015" s="2" t="s">
        <v>149</v>
      </c>
      <c r="M11015" s="2">
        <v>46158.0</v>
      </c>
      <c r="N11015" s="2" t="s">
        <v>21</v>
      </c>
    </row>
    <row r="11016" ht="15.75" customHeight="1">
      <c r="A11016" s="2">
        <v>2019.0</v>
      </c>
      <c r="B11016" s="2" t="s">
        <v>40133</v>
      </c>
      <c r="C11016" s="2" t="s">
        <v>44353</v>
      </c>
      <c r="D11016" s="2" t="str">
        <f>"317-503-7171"</f>
        <v>317-503-7171</v>
      </c>
      <c r="E11016" s="2" t="s">
        <v>4637</v>
      </c>
      <c r="F11016" s="2" t="s">
        <v>40135</v>
      </c>
      <c r="G11016" s="2" t="str">
        <f>"SR-15588"</f>
        <v>SR-15588</v>
      </c>
      <c r="H11016" s="2" t="s">
        <v>44354</v>
      </c>
      <c r="I11016" s="2" t="s">
        <v>40137</v>
      </c>
      <c r="K11016" s="2" t="s">
        <v>3464</v>
      </c>
      <c r="L11016" s="2" t="s">
        <v>149</v>
      </c>
      <c r="M11016" s="2">
        <v>46158.0</v>
      </c>
      <c r="N11016" s="2" t="s">
        <v>21</v>
      </c>
    </row>
    <row r="11017" ht="15.75" customHeight="1">
      <c r="A11017" s="2">
        <v>2019.0</v>
      </c>
      <c r="B11017" s="2" t="s">
        <v>44355</v>
      </c>
      <c r="C11017" s="2" t="s">
        <v>44356</v>
      </c>
      <c r="D11017" s="2" t="str">
        <f>"9032747799"</f>
        <v>9032747799</v>
      </c>
      <c r="E11017" s="2" t="s">
        <v>1450</v>
      </c>
      <c r="F11017" s="2" t="s">
        <v>4237</v>
      </c>
      <c r="G11017" s="2" t="str">
        <f>"SR-15589"</f>
        <v>SR-15589</v>
      </c>
      <c r="H11017" s="2" t="s">
        <v>44357</v>
      </c>
      <c r="I11017" s="2" t="s">
        <v>44358</v>
      </c>
      <c r="K11017" s="2" t="s">
        <v>408</v>
      </c>
      <c r="L11017" s="2" t="s">
        <v>149</v>
      </c>
      <c r="M11017" s="2">
        <v>46077.0</v>
      </c>
      <c r="N11017" s="2" t="s">
        <v>21</v>
      </c>
    </row>
    <row r="11018" ht="15.75" customHeight="1">
      <c r="A11018" s="2">
        <v>2019.0</v>
      </c>
      <c r="B11018" s="2" t="s">
        <v>44359</v>
      </c>
      <c r="C11018" s="2" t="s">
        <v>44360</v>
      </c>
      <c r="D11018" s="2" t="str">
        <f>"7194185432"</f>
        <v>7194185432</v>
      </c>
      <c r="E11018" s="2" t="s">
        <v>503</v>
      </c>
      <c r="F11018" s="2" t="s">
        <v>2985</v>
      </c>
      <c r="G11018" s="2" t="str">
        <f>"SR-15591"</f>
        <v>SR-15591</v>
      </c>
      <c r="H11018" s="2" t="s">
        <v>44361</v>
      </c>
      <c r="I11018" s="2" t="s">
        <v>44362</v>
      </c>
      <c r="K11018" s="2" t="s">
        <v>809</v>
      </c>
      <c r="L11018" s="2" t="s">
        <v>157</v>
      </c>
      <c r="M11018" s="2">
        <v>80920.0</v>
      </c>
      <c r="N11018" s="2" t="s">
        <v>21</v>
      </c>
    </row>
    <row r="11019" ht="15.75" customHeight="1">
      <c r="A11019" s="2">
        <v>2019.0</v>
      </c>
      <c r="B11019" s="2" t="s">
        <v>44363</v>
      </c>
      <c r="C11019" s="2" t="s">
        <v>44364</v>
      </c>
      <c r="D11019" s="2" t="str">
        <f>"484.947.8757"</f>
        <v>484.947.8757</v>
      </c>
      <c r="E11019" s="2" t="s">
        <v>751</v>
      </c>
      <c r="F11019" s="2" t="s">
        <v>44365</v>
      </c>
      <c r="G11019" s="2" t="str">
        <f>"SR-15592"</f>
        <v>SR-15592</v>
      </c>
      <c r="H11019" s="2" t="s">
        <v>44366</v>
      </c>
      <c r="I11019" s="2">
        <v>520.0</v>
      </c>
      <c r="J11019" s="2" t="s">
        <v>44367</v>
      </c>
      <c r="K11019" s="2" t="s">
        <v>44368</v>
      </c>
      <c r="L11019" s="2" t="s">
        <v>179</v>
      </c>
      <c r="M11019" s="2">
        <v>19341.0</v>
      </c>
      <c r="N11019" s="2" t="s">
        <v>21</v>
      </c>
    </row>
    <row r="11020" ht="15.75" customHeight="1">
      <c r="A11020" s="2">
        <v>2019.0</v>
      </c>
      <c r="B11020" s="2" t="s">
        <v>33442</v>
      </c>
      <c r="C11020" s="2" t="s">
        <v>44369</v>
      </c>
      <c r="D11020" s="2" t="str">
        <f>"5153061995"</f>
        <v>5153061995</v>
      </c>
      <c r="E11020" s="2" t="s">
        <v>1263</v>
      </c>
      <c r="F11020" s="2" t="s">
        <v>4330</v>
      </c>
      <c r="G11020" s="2" t="str">
        <f>"SR-15590"</f>
        <v>SR-15590</v>
      </c>
      <c r="H11020" s="2" t="s">
        <v>44370</v>
      </c>
      <c r="I11020" s="2" t="s">
        <v>44371</v>
      </c>
      <c r="K11020" s="2" t="s">
        <v>33446</v>
      </c>
      <c r="L11020" s="2" t="s">
        <v>560</v>
      </c>
      <c r="M11020" s="2">
        <v>50003.0</v>
      </c>
      <c r="N11020" s="2" t="s">
        <v>21</v>
      </c>
    </row>
    <row r="11021" ht="15.75" customHeight="1">
      <c r="A11021" s="2">
        <v>2019.0</v>
      </c>
      <c r="B11021" s="2" t="s">
        <v>44363</v>
      </c>
      <c r="C11021" s="2" t="s">
        <v>44372</v>
      </c>
      <c r="D11021" s="2" t="str">
        <f>"484.883.5116"</f>
        <v>484.883.5116</v>
      </c>
      <c r="E11021" s="2" t="s">
        <v>44373</v>
      </c>
      <c r="F11021" s="2" t="s">
        <v>44365</v>
      </c>
      <c r="G11021" s="2" t="str">
        <f>"SR-15594"</f>
        <v>SR-15594</v>
      </c>
      <c r="H11021" s="2" t="s">
        <v>44374</v>
      </c>
      <c r="I11021" s="2" t="s">
        <v>44375</v>
      </c>
      <c r="K11021" s="2" t="s">
        <v>44368</v>
      </c>
      <c r="L11021" s="2" t="s">
        <v>179</v>
      </c>
      <c r="M11021" s="2">
        <v>19341.0</v>
      </c>
      <c r="N11021" s="2" t="s">
        <v>21</v>
      </c>
    </row>
    <row r="11022" ht="15.75" customHeight="1">
      <c r="A11022" s="2">
        <v>2019.0</v>
      </c>
      <c r="B11022" s="2" t="s">
        <v>44376</v>
      </c>
      <c r="C11022" s="2" t="s">
        <v>44376</v>
      </c>
      <c r="D11022" s="2" t="str">
        <f>"(805) 710-6220"</f>
        <v>(805) 710-6220</v>
      </c>
      <c r="E11022" s="2" t="s">
        <v>5347</v>
      </c>
      <c r="F11022" s="2" t="s">
        <v>10861</v>
      </c>
      <c r="G11022" s="2" t="str">
        <f>"SR-15593"</f>
        <v>SR-15593</v>
      </c>
      <c r="H11022" s="2" t="s">
        <v>44377</v>
      </c>
      <c r="I11022" s="2">
        <v>142.0</v>
      </c>
      <c r="J11022" s="2" t="s">
        <v>44378</v>
      </c>
      <c r="K11022" s="2" t="s">
        <v>10864</v>
      </c>
      <c r="L11022" s="2" t="s">
        <v>222</v>
      </c>
      <c r="M11022" s="2">
        <v>93420.0</v>
      </c>
      <c r="N11022" s="2" t="s">
        <v>21</v>
      </c>
    </row>
    <row r="11023" ht="15.75" customHeight="1">
      <c r="A11023" s="2">
        <v>2019.0</v>
      </c>
      <c r="B11023" s="2" t="s">
        <v>44379</v>
      </c>
      <c r="C11023" s="2" t="s">
        <v>44380</v>
      </c>
      <c r="D11023" s="2" t="str">
        <f>"903-441-3228"</f>
        <v>903-441-3228</v>
      </c>
      <c r="E11023" s="2" t="s">
        <v>144</v>
      </c>
      <c r="F11023" s="2" t="s">
        <v>41013</v>
      </c>
      <c r="G11023" s="2" t="str">
        <f>"SR-15595"</f>
        <v>SR-15595</v>
      </c>
      <c r="H11023" s="2" t="s">
        <v>44381</v>
      </c>
      <c r="I11023" s="2" t="s">
        <v>44382</v>
      </c>
      <c r="K11023" s="2" t="s">
        <v>12008</v>
      </c>
      <c r="L11023" s="2" t="s">
        <v>172</v>
      </c>
      <c r="M11023" s="2">
        <v>75472.0</v>
      </c>
      <c r="N11023" s="2" t="s">
        <v>21</v>
      </c>
    </row>
    <row r="11024" ht="15.75" customHeight="1">
      <c r="A11024" s="2">
        <v>2019.0</v>
      </c>
      <c r="B11024" s="2" t="s">
        <v>44379</v>
      </c>
      <c r="C11024" s="2" t="s">
        <v>41012</v>
      </c>
      <c r="D11024" s="2" t="str">
        <f>"5012592988"</f>
        <v>5012592988</v>
      </c>
      <c r="E11024" s="2" t="s">
        <v>2988</v>
      </c>
      <c r="F11024" s="2" t="s">
        <v>41013</v>
      </c>
      <c r="G11024" s="2" t="str">
        <f>"SR-15597"</f>
        <v>SR-15597</v>
      </c>
      <c r="H11024" s="2" t="s">
        <v>41014</v>
      </c>
      <c r="I11024" s="2" t="s">
        <v>44382</v>
      </c>
      <c r="K11024" s="2" t="s">
        <v>12008</v>
      </c>
      <c r="L11024" s="2" t="s">
        <v>172</v>
      </c>
      <c r="M11024" s="2">
        <v>75472.0</v>
      </c>
      <c r="N11024" s="2" t="s">
        <v>21</v>
      </c>
    </row>
    <row r="11025" ht="15.75" customHeight="1">
      <c r="A11025" s="2">
        <v>2019.0</v>
      </c>
      <c r="B11025" s="2" t="s">
        <v>44379</v>
      </c>
      <c r="C11025" s="2" t="s">
        <v>44383</v>
      </c>
      <c r="D11025" s="2" t="str">
        <f>"903-441-2742"</f>
        <v>903-441-2742</v>
      </c>
      <c r="E11025" s="2" t="s">
        <v>453</v>
      </c>
      <c r="F11025" s="2" t="s">
        <v>41013</v>
      </c>
      <c r="G11025" s="2" t="str">
        <f>"SR-15599"</f>
        <v>SR-15599</v>
      </c>
      <c r="H11025" s="2" t="s">
        <v>44384</v>
      </c>
      <c r="I11025" s="2" t="s">
        <v>44382</v>
      </c>
      <c r="K11025" s="2" t="s">
        <v>12008</v>
      </c>
      <c r="L11025" s="2" t="s">
        <v>172</v>
      </c>
      <c r="M11025" s="2">
        <v>75472.0</v>
      </c>
      <c r="N11025" s="2" t="s">
        <v>21</v>
      </c>
    </row>
    <row r="11026" ht="15.75" customHeight="1">
      <c r="A11026" s="2">
        <v>2019.0</v>
      </c>
      <c r="B11026" s="2" t="s">
        <v>17932</v>
      </c>
      <c r="C11026" s="2" t="s">
        <v>44385</v>
      </c>
      <c r="D11026" s="2" t="str">
        <f>"2146761985"</f>
        <v>2146761985</v>
      </c>
      <c r="E11026" s="2" t="s">
        <v>15</v>
      </c>
      <c r="F11026" s="2" t="s">
        <v>17934</v>
      </c>
      <c r="G11026" s="2" t="str">
        <f>"SR-15558"</f>
        <v>SR-15558</v>
      </c>
      <c r="H11026" s="2" t="s">
        <v>44386</v>
      </c>
      <c r="I11026" s="2" t="s">
        <v>17936</v>
      </c>
      <c r="K11026" s="2" t="s">
        <v>2643</v>
      </c>
      <c r="L11026" s="2" t="s">
        <v>172</v>
      </c>
      <c r="M11026" s="2">
        <v>75028.0</v>
      </c>
      <c r="N11026" s="2" t="s">
        <v>21</v>
      </c>
    </row>
    <row r="11027" ht="15.75" customHeight="1">
      <c r="A11027" s="2">
        <v>2019.0</v>
      </c>
      <c r="B11027" s="2" t="s">
        <v>40952</v>
      </c>
      <c r="C11027" s="2" t="s">
        <v>40952</v>
      </c>
      <c r="D11027" s="2" t="str">
        <f>"5203339374"</f>
        <v>5203339374</v>
      </c>
      <c r="E11027" s="2" t="s">
        <v>38191</v>
      </c>
      <c r="F11027" s="2" t="s">
        <v>278</v>
      </c>
      <c r="G11027" s="2" t="str">
        <f>"SR-12118"</f>
        <v>SR-12118</v>
      </c>
      <c r="H11027" s="2" t="s">
        <v>40953</v>
      </c>
      <c r="I11027" s="2" t="s">
        <v>8469</v>
      </c>
      <c r="K11027" s="2" t="s">
        <v>5946</v>
      </c>
      <c r="L11027" s="2" t="s">
        <v>422</v>
      </c>
      <c r="M11027" s="2">
        <v>85710.0</v>
      </c>
      <c r="N11027" s="2" t="s">
        <v>21</v>
      </c>
    </row>
    <row r="11028" ht="15.75" customHeight="1">
      <c r="A11028" s="2">
        <v>2019.0</v>
      </c>
      <c r="B11028" s="2" t="s">
        <v>23769</v>
      </c>
      <c r="C11028" s="2" t="s">
        <v>44387</v>
      </c>
      <c r="D11028" s="2" t="str">
        <f>"(805)471-3055"</f>
        <v>(805)471-3055</v>
      </c>
      <c r="E11028" s="2" t="s">
        <v>9828</v>
      </c>
      <c r="F11028" s="2" t="s">
        <v>10861</v>
      </c>
      <c r="G11028" s="2" t="str">
        <f>"SR-15376"</f>
        <v>SR-15376</v>
      </c>
      <c r="H11028" s="2" t="s">
        <v>44388</v>
      </c>
      <c r="I11028" s="2" t="s">
        <v>23772</v>
      </c>
      <c r="K11028" s="2" t="s">
        <v>13810</v>
      </c>
      <c r="L11028" s="2" t="s">
        <v>222</v>
      </c>
      <c r="M11028" s="2">
        <v>93401.0</v>
      </c>
      <c r="N11028" s="2" t="s">
        <v>21</v>
      </c>
    </row>
    <row r="11029" ht="15.75" customHeight="1">
      <c r="A11029" s="2">
        <v>2019.0</v>
      </c>
      <c r="B11029" s="2" t="s">
        <v>44389</v>
      </c>
      <c r="C11029" s="2" t="s">
        <v>44390</v>
      </c>
      <c r="D11029" s="2" t="str">
        <f>"6281229006300"</f>
        <v>6281229006300</v>
      </c>
      <c r="E11029" s="2" t="s">
        <v>4111</v>
      </c>
      <c r="F11029" s="2" t="s">
        <v>44391</v>
      </c>
      <c r="G11029" s="2" t="str">
        <f>"SR-15564"</f>
        <v>SR-15564</v>
      </c>
      <c r="H11029" s="2" t="s">
        <v>44392</v>
      </c>
      <c r="I11029" s="2" t="s">
        <v>44393</v>
      </c>
      <c r="K11029" s="2" t="s">
        <v>44394</v>
      </c>
      <c r="L11029" s="2" t="s">
        <v>44395</v>
      </c>
      <c r="M11029" s="2">
        <v>90174.0</v>
      </c>
      <c r="N11029" s="2" t="s">
        <v>42069</v>
      </c>
    </row>
    <row r="11030" ht="15.75" customHeight="1">
      <c r="A11030" s="2">
        <v>2019.0</v>
      </c>
      <c r="B11030" s="2" t="s">
        <v>44396</v>
      </c>
      <c r="C11030" s="2" t="s">
        <v>44397</v>
      </c>
      <c r="D11030" s="2" t="str">
        <f>"7193044824"</f>
        <v>7193044824</v>
      </c>
      <c r="E11030" s="2" t="s">
        <v>1585</v>
      </c>
      <c r="F11030" s="2" t="s">
        <v>984</v>
      </c>
      <c r="G11030" s="2" t="str">
        <f>"SR-15600"</f>
        <v>SR-15600</v>
      </c>
      <c r="H11030" s="2" t="s">
        <v>44398</v>
      </c>
      <c r="I11030" s="2" t="s">
        <v>31021</v>
      </c>
      <c r="K11030" s="2" t="s">
        <v>507</v>
      </c>
      <c r="L11030" s="2" t="s">
        <v>157</v>
      </c>
      <c r="M11030" s="2">
        <v>80132.0</v>
      </c>
      <c r="N11030" s="2" t="s">
        <v>21</v>
      </c>
    </row>
    <row r="11031" ht="15.75" customHeight="1">
      <c r="A11031" s="2">
        <v>2019.0</v>
      </c>
      <c r="B11031" s="2" t="s">
        <v>44399</v>
      </c>
      <c r="C11031" s="2" t="s">
        <v>44400</v>
      </c>
      <c r="D11031" s="2" t="str">
        <f>"7192443520"</f>
        <v>7192443520</v>
      </c>
      <c r="E11031" s="2" t="s">
        <v>2243</v>
      </c>
      <c r="F11031" s="2" t="s">
        <v>984</v>
      </c>
      <c r="G11031" s="2" t="str">
        <f>"SR-15604"</f>
        <v>SR-15604</v>
      </c>
      <c r="H11031" s="2" t="s">
        <v>44401</v>
      </c>
      <c r="I11031" s="2" t="s">
        <v>31021</v>
      </c>
      <c r="K11031" s="2" t="s">
        <v>507</v>
      </c>
      <c r="L11031" s="2" t="s">
        <v>157</v>
      </c>
      <c r="M11031" s="2">
        <v>80132.0</v>
      </c>
      <c r="N11031" s="2" t="s">
        <v>21</v>
      </c>
    </row>
    <row r="11032" ht="15.75" customHeight="1">
      <c r="A11032" s="2">
        <v>2019.0</v>
      </c>
      <c r="B11032" s="2" t="s">
        <v>44402</v>
      </c>
      <c r="C11032" s="2" t="s">
        <v>44402</v>
      </c>
      <c r="D11032" s="2" t="str">
        <f t="shared" ref="D11032:D11033" si="186">"9078418883"</f>
        <v>9078418883</v>
      </c>
      <c r="E11032" s="2" t="s">
        <v>580</v>
      </c>
      <c r="F11032" s="2" t="s">
        <v>44403</v>
      </c>
      <c r="G11032" s="2" t="str">
        <f>"SR-15602"</f>
        <v>SR-15602</v>
      </c>
      <c r="H11032" s="2" t="s">
        <v>44404</v>
      </c>
      <c r="I11032" s="2" t="s">
        <v>44405</v>
      </c>
      <c r="K11032" s="2" t="s">
        <v>13272</v>
      </c>
      <c r="L11032" s="2" t="s">
        <v>70</v>
      </c>
      <c r="M11032" s="2">
        <v>99623.0</v>
      </c>
      <c r="N11032" s="2" t="s">
        <v>21</v>
      </c>
    </row>
    <row r="11033" ht="15.75" customHeight="1">
      <c r="A11033" s="2">
        <v>2019.0</v>
      </c>
      <c r="B11033" s="2" t="s">
        <v>44402</v>
      </c>
      <c r="C11033" s="2" t="s">
        <v>44402</v>
      </c>
      <c r="D11033" s="2" t="str">
        <f t="shared" si="186"/>
        <v>9078418883</v>
      </c>
      <c r="E11033" s="2" t="s">
        <v>44406</v>
      </c>
      <c r="F11033" s="2" t="s">
        <v>44403</v>
      </c>
      <c r="G11033" s="2" t="str">
        <f>"SR-15605"</f>
        <v>SR-15605</v>
      </c>
      <c r="H11033" s="2" t="s">
        <v>44407</v>
      </c>
      <c r="I11033" s="2" t="s">
        <v>44405</v>
      </c>
      <c r="K11033" s="2" t="s">
        <v>13272</v>
      </c>
      <c r="L11033" s="2" t="s">
        <v>70</v>
      </c>
      <c r="M11033" s="2">
        <v>99623.0</v>
      </c>
      <c r="N11033" s="2" t="s">
        <v>21</v>
      </c>
    </row>
    <row r="11034" ht="15.75" customHeight="1">
      <c r="A11034" s="2">
        <v>2019.0</v>
      </c>
      <c r="B11034" s="2" t="s">
        <v>44408</v>
      </c>
      <c r="C11034" s="2" t="s">
        <v>44409</v>
      </c>
      <c r="D11034" s="2" t="str">
        <f>"7194245114"</f>
        <v>7194245114</v>
      </c>
      <c r="E11034" s="2" t="s">
        <v>1725</v>
      </c>
      <c r="F11034" s="2" t="s">
        <v>984</v>
      </c>
      <c r="G11034" s="2" t="str">
        <f>"SR-15606"</f>
        <v>SR-15606</v>
      </c>
      <c r="H11034" s="2" t="s">
        <v>44410</v>
      </c>
      <c r="I11034" s="2" t="s">
        <v>44411</v>
      </c>
      <c r="K11034" s="2" t="s">
        <v>507</v>
      </c>
      <c r="L11034" s="2" t="s">
        <v>157</v>
      </c>
      <c r="M11034" s="2">
        <v>80132.0</v>
      </c>
      <c r="N11034" s="2" t="s">
        <v>21</v>
      </c>
    </row>
    <row r="11035" ht="15.75" customHeight="1">
      <c r="A11035" s="2">
        <v>2019.0</v>
      </c>
      <c r="B11035" s="2" t="s">
        <v>25797</v>
      </c>
      <c r="C11035" s="2" t="s">
        <v>44412</v>
      </c>
      <c r="D11035" s="2" t="str">
        <f>"805-481-6273"</f>
        <v>805-481-6273</v>
      </c>
      <c r="E11035" s="2" t="s">
        <v>4763</v>
      </c>
      <c r="F11035" s="2" t="s">
        <v>17898</v>
      </c>
      <c r="G11035" s="2" t="str">
        <f>"SR-15607"</f>
        <v>SR-15607</v>
      </c>
      <c r="H11035" s="2" t="s">
        <v>44413</v>
      </c>
      <c r="I11035" s="2" t="s">
        <v>44414</v>
      </c>
      <c r="K11035" s="2" t="s">
        <v>10864</v>
      </c>
      <c r="L11035" s="2" t="s">
        <v>222</v>
      </c>
      <c r="M11035" s="2">
        <v>93420.0</v>
      </c>
      <c r="N11035" s="2" t="s">
        <v>21</v>
      </c>
    </row>
    <row r="11036" ht="15.75" customHeight="1">
      <c r="A11036" s="2">
        <v>2019.0</v>
      </c>
      <c r="B11036" s="2" t="s">
        <v>44415</v>
      </c>
      <c r="C11036" s="2" t="s">
        <v>44416</v>
      </c>
      <c r="D11036" s="2" t="str">
        <f>"8057484706"</f>
        <v>8057484706</v>
      </c>
      <c r="E11036" s="2" t="s">
        <v>203</v>
      </c>
      <c r="F11036" s="2" t="s">
        <v>44417</v>
      </c>
      <c r="G11036" s="2" t="str">
        <f>"SR-15609"</f>
        <v>SR-15609</v>
      </c>
      <c r="H11036" s="2" t="s">
        <v>44418</v>
      </c>
      <c r="I11036" s="2" t="s">
        <v>44419</v>
      </c>
      <c r="K11036" s="2" t="s">
        <v>13810</v>
      </c>
      <c r="L11036" s="2" t="s">
        <v>222</v>
      </c>
      <c r="M11036" s="2">
        <v>93401.0</v>
      </c>
      <c r="N11036" s="2" t="s">
        <v>21</v>
      </c>
    </row>
    <row r="11037" ht="15.75" customHeight="1">
      <c r="A11037" s="2">
        <v>2019.0</v>
      </c>
      <c r="B11037" s="2" t="s">
        <v>44420</v>
      </c>
      <c r="C11037" s="2" t="s">
        <v>44420</v>
      </c>
      <c r="D11037" s="2" t="str">
        <f>"(909) 749-7691"</f>
        <v>(909) 749-7691</v>
      </c>
      <c r="E11037" s="2" t="s">
        <v>1263</v>
      </c>
      <c r="F11037" s="2" t="s">
        <v>44421</v>
      </c>
      <c r="G11037" s="2" t="str">
        <f>"SR-15608"</f>
        <v>SR-15608</v>
      </c>
      <c r="H11037" s="2" t="s">
        <v>44422</v>
      </c>
      <c r="I11037" s="2" t="s">
        <v>44423</v>
      </c>
      <c r="K11037" s="2" t="s">
        <v>44424</v>
      </c>
      <c r="L11037" s="2" t="s">
        <v>222</v>
      </c>
      <c r="M11037" s="2">
        <v>92223.0</v>
      </c>
      <c r="N11037" s="2" t="s">
        <v>21</v>
      </c>
    </row>
    <row r="11038" ht="15.75" customHeight="1">
      <c r="A11038" s="2">
        <v>2019.0</v>
      </c>
      <c r="B11038" s="2" t="s">
        <v>44389</v>
      </c>
      <c r="C11038" s="2" t="s">
        <v>44425</v>
      </c>
      <c r="D11038" s="2" t="str">
        <f>"6281229003600"</f>
        <v>6281229003600</v>
      </c>
      <c r="E11038" s="2" t="s">
        <v>44426</v>
      </c>
      <c r="F11038" s="2" t="s">
        <v>44391</v>
      </c>
      <c r="G11038" s="2" t="str">
        <f>"SR-15610"</f>
        <v>SR-15610</v>
      </c>
      <c r="H11038" s="2" t="s">
        <v>44427</v>
      </c>
      <c r="I11038" s="2" t="s">
        <v>44393</v>
      </c>
      <c r="K11038" s="2" t="s">
        <v>44394</v>
      </c>
      <c r="L11038" s="2" t="s">
        <v>44395</v>
      </c>
      <c r="M11038" s="2">
        <v>90174.0</v>
      </c>
      <c r="N11038" s="2" t="s">
        <v>42069</v>
      </c>
    </row>
    <row r="11039" ht="15.75" customHeight="1">
      <c r="A11039" s="2">
        <v>2019.0</v>
      </c>
      <c r="B11039" s="2" t="s">
        <v>40830</v>
      </c>
      <c r="C11039" s="2" t="s">
        <v>40831</v>
      </c>
      <c r="D11039" s="2" t="str">
        <f>"520-241-4792"</f>
        <v>520-241-4792</v>
      </c>
      <c r="E11039" s="2" t="s">
        <v>3778</v>
      </c>
      <c r="F11039" s="2" t="s">
        <v>278</v>
      </c>
      <c r="G11039" s="2" t="str">
        <f>"SR-13771"</f>
        <v>SR-13771</v>
      </c>
      <c r="H11039" s="2" t="s">
        <v>40832</v>
      </c>
      <c r="I11039" s="2" t="s">
        <v>40833</v>
      </c>
      <c r="K11039" s="2" t="s">
        <v>5946</v>
      </c>
      <c r="L11039" s="2" t="s">
        <v>422</v>
      </c>
      <c r="M11039" s="2">
        <v>85710.0</v>
      </c>
      <c r="N11039" s="2" t="s">
        <v>21</v>
      </c>
    </row>
    <row r="11040" ht="15.75" customHeight="1">
      <c r="A11040" s="2">
        <v>2019.0</v>
      </c>
      <c r="B11040" s="2" t="s">
        <v>44428</v>
      </c>
      <c r="C11040" s="2" t="s">
        <v>44429</v>
      </c>
      <c r="D11040" s="2" t="str">
        <f>"248-646-2897"</f>
        <v>248-646-2897</v>
      </c>
      <c r="E11040" s="2" t="s">
        <v>6381</v>
      </c>
      <c r="F11040" s="2" t="s">
        <v>44430</v>
      </c>
      <c r="G11040" s="2" t="str">
        <f>"SR-15572"</f>
        <v>SR-15572</v>
      </c>
      <c r="H11040" s="2" t="s">
        <v>44431</v>
      </c>
      <c r="I11040" s="2" t="s">
        <v>44432</v>
      </c>
      <c r="K11040" s="2" t="s">
        <v>1173</v>
      </c>
      <c r="L11040" s="2" t="s">
        <v>29</v>
      </c>
      <c r="M11040" s="2">
        <v>48009.0</v>
      </c>
      <c r="N11040" s="2" t="s">
        <v>21</v>
      </c>
    </row>
    <row r="11041" ht="15.75" customHeight="1">
      <c r="A11041" s="2">
        <v>2019.0</v>
      </c>
      <c r="B11041" s="2" t="s">
        <v>17159</v>
      </c>
      <c r="C11041" s="2" t="s">
        <v>44433</v>
      </c>
      <c r="D11041" s="2" t="str">
        <f>"9204040866"</f>
        <v>9204040866</v>
      </c>
      <c r="E11041" s="2" t="s">
        <v>32028</v>
      </c>
      <c r="F11041" s="2" t="s">
        <v>6366</v>
      </c>
      <c r="G11041" s="2" t="str">
        <f>"SR-15611"</f>
        <v>SR-15611</v>
      </c>
      <c r="H11041" s="2" t="s">
        <v>44434</v>
      </c>
      <c r="I11041" s="2" t="s">
        <v>44435</v>
      </c>
      <c r="K11041" s="2" t="s">
        <v>7667</v>
      </c>
      <c r="L11041" s="2" t="s">
        <v>193</v>
      </c>
      <c r="M11041" s="2">
        <v>54915.0</v>
      </c>
      <c r="N11041" s="2" t="s">
        <v>21</v>
      </c>
    </row>
    <row r="11042" ht="15.75" customHeight="1">
      <c r="A11042" s="2">
        <v>2019.0</v>
      </c>
      <c r="B11042" s="2" t="s">
        <v>44428</v>
      </c>
      <c r="C11042" s="2" t="s">
        <v>44436</v>
      </c>
      <c r="D11042" s="2" t="str">
        <f>"148-646-2897"</f>
        <v>148-646-2897</v>
      </c>
      <c r="E11042" s="2" t="s">
        <v>36164</v>
      </c>
      <c r="F11042" s="2" t="s">
        <v>44430</v>
      </c>
      <c r="G11042" s="2" t="str">
        <f>"SR-15612"</f>
        <v>SR-15612</v>
      </c>
      <c r="H11042" s="2" t="s">
        <v>44437</v>
      </c>
      <c r="I11042" s="2" t="s">
        <v>44432</v>
      </c>
      <c r="K11042" s="2" t="s">
        <v>1173</v>
      </c>
      <c r="L11042" s="2" t="s">
        <v>29</v>
      </c>
      <c r="M11042" s="2">
        <v>48009.0</v>
      </c>
      <c r="N11042" s="2" t="s">
        <v>21</v>
      </c>
    </row>
    <row r="11043" ht="15.75" customHeight="1">
      <c r="A11043" s="2">
        <v>2019.0</v>
      </c>
      <c r="B11043" s="2" t="s">
        <v>37460</v>
      </c>
      <c r="C11043" s="2" t="s">
        <v>44438</v>
      </c>
      <c r="D11043" s="2" t="str">
        <f>"7196949640"</f>
        <v>7196949640</v>
      </c>
      <c r="E11043" s="2" t="s">
        <v>5760</v>
      </c>
      <c r="F11043" s="2" t="s">
        <v>2362</v>
      </c>
      <c r="G11043" s="2" t="str">
        <f>"SR-15613"</f>
        <v>SR-15613</v>
      </c>
      <c r="H11043" s="2" t="s">
        <v>44439</v>
      </c>
      <c r="I11043" s="2" t="s">
        <v>44440</v>
      </c>
      <c r="K11043" s="2" t="s">
        <v>809</v>
      </c>
      <c r="L11043" s="2" t="s">
        <v>157</v>
      </c>
      <c r="M11043" s="2">
        <v>80918.0</v>
      </c>
      <c r="N11043" s="2" t="s">
        <v>21</v>
      </c>
    </row>
    <row r="11044" ht="15.75" customHeight="1">
      <c r="A11044" s="2">
        <v>2019.0</v>
      </c>
      <c r="B11044" s="2" t="s">
        <v>44441</v>
      </c>
      <c r="C11044" s="2" t="s">
        <v>44441</v>
      </c>
      <c r="D11044" s="2" t="str">
        <f>"3369230003"</f>
        <v>3369230003</v>
      </c>
      <c r="E11044" s="2" t="s">
        <v>160</v>
      </c>
      <c r="F11044" s="2" t="s">
        <v>44442</v>
      </c>
      <c r="G11044" s="2" t="str">
        <f>"SR-15614"</f>
        <v>SR-15614</v>
      </c>
      <c r="H11044" s="2" t="s">
        <v>44443</v>
      </c>
      <c r="I11044" s="2" t="s">
        <v>44444</v>
      </c>
      <c r="K11044" s="2" t="s">
        <v>14919</v>
      </c>
      <c r="L11044" s="2" t="s">
        <v>20</v>
      </c>
      <c r="M11044" s="2">
        <v>27106.0</v>
      </c>
      <c r="N11044" s="2" t="s">
        <v>21</v>
      </c>
    </row>
    <row r="11045" ht="15.75" customHeight="1">
      <c r="A11045" s="2">
        <v>2019.0</v>
      </c>
      <c r="B11045" s="2" t="s">
        <v>44445</v>
      </c>
      <c r="D11045" s="2" t="str">
        <f>""</f>
        <v/>
      </c>
      <c r="E11045" s="2" t="s">
        <v>2306</v>
      </c>
      <c r="F11045" s="2" t="s">
        <v>44446</v>
      </c>
      <c r="G11045" s="2" t="str">
        <f>"SR-15253"</f>
        <v>SR-15253</v>
      </c>
      <c r="H11045" s="2" t="s">
        <v>44447</v>
      </c>
      <c r="N11045" s="2" t="s">
        <v>21</v>
      </c>
    </row>
    <row r="11046" ht="15.75" customHeight="1">
      <c r="A11046" s="2">
        <v>2019.0</v>
      </c>
      <c r="B11046" s="2" t="s">
        <v>28601</v>
      </c>
      <c r="C11046" s="2" t="s">
        <v>31420</v>
      </c>
      <c r="D11046" s="2" t="str">
        <f>"406-697-2627"</f>
        <v>406-697-2627</v>
      </c>
      <c r="E11046" s="2" t="s">
        <v>2031</v>
      </c>
      <c r="F11046" s="2" t="s">
        <v>28603</v>
      </c>
      <c r="G11046" s="2" t="str">
        <f>"SR-10157"</f>
        <v>SR-10157</v>
      </c>
      <c r="H11046" s="2" t="s">
        <v>31421</v>
      </c>
      <c r="I11046" s="2" t="s">
        <v>28605</v>
      </c>
      <c r="K11046" s="2" t="s">
        <v>3548</v>
      </c>
      <c r="L11046" s="2" t="s">
        <v>2696</v>
      </c>
      <c r="M11046" s="2">
        <v>59102.0</v>
      </c>
      <c r="N11046" s="2" t="s">
        <v>21</v>
      </c>
    </row>
    <row r="11047" ht="15.75" customHeight="1">
      <c r="A11047" s="2">
        <v>2019.0</v>
      </c>
      <c r="B11047" s="2" t="s">
        <v>39653</v>
      </c>
      <c r="C11047" s="2" t="s">
        <v>39653</v>
      </c>
      <c r="D11047" s="2" t="str">
        <f>"(901)299-9825"</f>
        <v>(901)299-9825</v>
      </c>
      <c r="E11047" s="2" t="s">
        <v>7754</v>
      </c>
      <c r="F11047" s="2" t="s">
        <v>1151</v>
      </c>
      <c r="G11047" s="2" t="str">
        <f>"SR-13575"</f>
        <v>SR-13575</v>
      </c>
      <c r="H11047" s="2" t="s">
        <v>39654</v>
      </c>
      <c r="I11047" s="2" t="s">
        <v>39655</v>
      </c>
      <c r="K11047" s="2" t="s">
        <v>5678</v>
      </c>
      <c r="L11047" s="2" t="s">
        <v>279</v>
      </c>
      <c r="M11047" s="2">
        <v>38017.0</v>
      </c>
      <c r="N11047" s="2" t="s">
        <v>21</v>
      </c>
    </row>
    <row r="11048" ht="15.75" customHeight="1">
      <c r="A11048" s="2">
        <v>2019.0</v>
      </c>
      <c r="B11048" s="2" t="s">
        <v>28601</v>
      </c>
      <c r="C11048" s="2" t="s">
        <v>44448</v>
      </c>
      <c r="D11048" s="2" t="str">
        <f>"406-697-2627"</f>
        <v>406-697-2627</v>
      </c>
      <c r="E11048" s="2" t="s">
        <v>534</v>
      </c>
      <c r="F11048" s="2" t="s">
        <v>28603</v>
      </c>
      <c r="G11048" s="2" t="str">
        <f>"SR-15616"</f>
        <v>SR-15616</v>
      </c>
      <c r="H11048" s="2" t="s">
        <v>44449</v>
      </c>
      <c r="I11048" s="2" t="s">
        <v>44450</v>
      </c>
      <c r="K11048" s="2" t="s">
        <v>3548</v>
      </c>
      <c r="L11048" s="2" t="s">
        <v>2696</v>
      </c>
      <c r="M11048" s="2">
        <v>59102.0</v>
      </c>
      <c r="N11048" s="2" t="s">
        <v>21</v>
      </c>
    </row>
    <row r="11049" ht="15.75" customHeight="1">
      <c r="A11049" s="2">
        <v>2019.0</v>
      </c>
      <c r="B11049" s="2" t="s">
        <v>44451</v>
      </c>
      <c r="C11049" s="2" t="s">
        <v>44452</v>
      </c>
      <c r="D11049" s="2" t="str">
        <f>"4322221488"</f>
        <v>4322221488</v>
      </c>
      <c r="E11049" s="2" t="s">
        <v>44453</v>
      </c>
      <c r="F11049" s="2" t="s">
        <v>44454</v>
      </c>
      <c r="G11049" s="2" t="str">
        <f>"SR-14103"</f>
        <v>SR-14103</v>
      </c>
      <c r="H11049" s="2" t="s">
        <v>44455</v>
      </c>
      <c r="I11049" s="2" t="s">
        <v>44456</v>
      </c>
      <c r="K11049" s="2" t="s">
        <v>286</v>
      </c>
      <c r="L11049" s="2" t="s">
        <v>172</v>
      </c>
      <c r="M11049" s="2">
        <v>79705.0</v>
      </c>
      <c r="N11049" s="2" t="s">
        <v>21</v>
      </c>
    </row>
    <row r="11050" ht="15.75" customHeight="1">
      <c r="A11050" s="2">
        <v>2019.0</v>
      </c>
      <c r="B11050" s="2" t="s">
        <v>44457</v>
      </c>
      <c r="C11050" s="2" t="s">
        <v>44458</v>
      </c>
      <c r="D11050" s="2" t="str">
        <f>"818-621-5523"</f>
        <v>818-621-5523</v>
      </c>
      <c r="E11050" s="2" t="s">
        <v>465</v>
      </c>
      <c r="F11050" s="2" t="s">
        <v>31701</v>
      </c>
      <c r="G11050" s="2" t="str">
        <f>"SR-15596"</f>
        <v>SR-15596</v>
      </c>
      <c r="H11050" s="2" t="s">
        <v>44459</v>
      </c>
      <c r="I11050" s="2" t="s">
        <v>44460</v>
      </c>
      <c r="K11050" s="2" t="s">
        <v>44461</v>
      </c>
      <c r="L11050" s="2" t="s">
        <v>2696</v>
      </c>
      <c r="M11050" s="2">
        <v>59047.0</v>
      </c>
      <c r="N11050" s="2" t="s">
        <v>21</v>
      </c>
    </row>
    <row r="11051" ht="15.75" customHeight="1">
      <c r="A11051" s="2">
        <v>2019.0</v>
      </c>
      <c r="B11051" s="2" t="s">
        <v>44462</v>
      </c>
      <c r="C11051" s="2" t="s">
        <v>44462</v>
      </c>
      <c r="D11051" s="2" t="str">
        <f>"6084130414"</f>
        <v>6084130414</v>
      </c>
      <c r="E11051" s="2" t="s">
        <v>44463</v>
      </c>
      <c r="F11051" s="2" t="s">
        <v>44464</v>
      </c>
      <c r="G11051" s="2" t="str">
        <f>"SR-15617"</f>
        <v>SR-15617</v>
      </c>
      <c r="H11051" s="2" t="s">
        <v>44465</v>
      </c>
      <c r="I11051" s="2" t="s">
        <v>44466</v>
      </c>
      <c r="K11051" s="2" t="s">
        <v>44467</v>
      </c>
      <c r="L11051" s="2" t="s">
        <v>193</v>
      </c>
      <c r="M11051" s="2">
        <v>53528.0</v>
      </c>
      <c r="N11051" s="2" t="s">
        <v>21</v>
      </c>
    </row>
    <row r="11052" ht="15.75" customHeight="1">
      <c r="A11052" s="2">
        <v>2019.0</v>
      </c>
      <c r="B11052" s="2" t="s">
        <v>44468</v>
      </c>
      <c r="C11052" s="2" t="s">
        <v>44469</v>
      </c>
      <c r="D11052" s="2" t="str">
        <f>"9723333189"</f>
        <v>9723333189</v>
      </c>
      <c r="E11052" s="2" t="s">
        <v>7962</v>
      </c>
      <c r="F11052" s="2" t="s">
        <v>44470</v>
      </c>
      <c r="G11052" s="2" t="str">
        <f>"SR-15603"</f>
        <v>SR-15603</v>
      </c>
      <c r="H11052" s="2" t="s">
        <v>44471</v>
      </c>
      <c r="I11052" s="2" t="s">
        <v>44472</v>
      </c>
      <c r="K11052" s="2" t="s">
        <v>19366</v>
      </c>
      <c r="L11052" s="2" t="s">
        <v>172</v>
      </c>
      <c r="M11052" s="2">
        <v>75032.0</v>
      </c>
      <c r="N11052" s="2" t="s">
        <v>21</v>
      </c>
    </row>
    <row r="11053" ht="15.75" customHeight="1">
      <c r="A11053" s="2">
        <v>2019.0</v>
      </c>
      <c r="B11053" s="2" t="s">
        <v>25389</v>
      </c>
      <c r="C11053" s="2" t="s">
        <v>44473</v>
      </c>
      <c r="D11053" s="2" t="str">
        <f>"9034563872"</f>
        <v>9034563872</v>
      </c>
      <c r="E11053" s="2" t="s">
        <v>847</v>
      </c>
      <c r="F11053" s="2" t="s">
        <v>25391</v>
      </c>
      <c r="G11053" s="2" t="str">
        <f>"SR-15619"</f>
        <v>SR-15619</v>
      </c>
      <c r="H11053" s="2" t="s">
        <v>44474</v>
      </c>
      <c r="I11053" s="2" t="s">
        <v>39121</v>
      </c>
      <c r="K11053" s="2" t="s">
        <v>54</v>
      </c>
      <c r="L11053" s="2" t="s">
        <v>172</v>
      </c>
      <c r="M11053" s="2">
        <v>75402.0</v>
      </c>
      <c r="N11053" s="2" t="s">
        <v>21</v>
      </c>
    </row>
    <row r="11054" ht="15.75" customHeight="1">
      <c r="A11054" s="2">
        <v>2019.0</v>
      </c>
      <c r="B11054" s="2" t="s">
        <v>44475</v>
      </c>
      <c r="C11054" s="2" t="s">
        <v>44475</v>
      </c>
      <c r="D11054" s="2" t="str">
        <f>"360-737-9169"</f>
        <v>360-737-9169</v>
      </c>
      <c r="E11054" s="2" t="s">
        <v>1810</v>
      </c>
      <c r="F11054" s="2" t="s">
        <v>44476</v>
      </c>
      <c r="G11054" s="2" t="str">
        <f>"SR-15618"</f>
        <v>SR-15618</v>
      </c>
      <c r="H11054" s="2" t="s">
        <v>44477</v>
      </c>
      <c r="I11054" s="2" t="s">
        <v>44478</v>
      </c>
      <c r="K11054" s="2" t="s">
        <v>44479</v>
      </c>
      <c r="L11054" s="2" t="s">
        <v>86</v>
      </c>
      <c r="M11054" s="2">
        <v>98671.0</v>
      </c>
      <c r="N11054" s="2" t="s">
        <v>21</v>
      </c>
    </row>
    <row r="11055" ht="15.75" customHeight="1">
      <c r="A11055" s="2">
        <v>2019.0</v>
      </c>
      <c r="B11055" s="2" t="s">
        <v>44480</v>
      </c>
      <c r="C11055" s="2" t="s">
        <v>44481</v>
      </c>
      <c r="D11055" s="2" t="str">
        <f>"601-910-9651"</f>
        <v>601-910-9651</v>
      </c>
      <c r="E11055" s="2" t="s">
        <v>5906</v>
      </c>
      <c r="F11055" s="2" t="s">
        <v>44482</v>
      </c>
      <c r="G11055" s="2" t="str">
        <f>"SR-15620"</f>
        <v>SR-15620</v>
      </c>
      <c r="H11055" s="2" t="s">
        <v>44483</v>
      </c>
      <c r="I11055" s="2" t="s">
        <v>44484</v>
      </c>
      <c r="K11055" s="2" t="s">
        <v>25468</v>
      </c>
      <c r="L11055" s="2" t="s">
        <v>20</v>
      </c>
      <c r="M11055" s="2">
        <v>27284.0</v>
      </c>
      <c r="N11055" s="2" t="s">
        <v>21</v>
      </c>
    </row>
    <row r="11056" ht="15.75" customHeight="1">
      <c r="A11056" s="2">
        <v>2019.0</v>
      </c>
      <c r="B11056" s="2" t="s">
        <v>44485</v>
      </c>
      <c r="C11056" s="2" t="s">
        <v>44486</v>
      </c>
      <c r="D11056" s="2" t="str">
        <f>"2172026015"</f>
        <v>2172026015</v>
      </c>
      <c r="E11056" s="2" t="s">
        <v>2361</v>
      </c>
      <c r="F11056" s="2" t="s">
        <v>34682</v>
      </c>
      <c r="G11056" s="2" t="str">
        <f>"SR-15621"</f>
        <v>SR-15621</v>
      </c>
      <c r="H11056" s="2" t="s">
        <v>44487</v>
      </c>
      <c r="I11056" s="2" t="s">
        <v>44488</v>
      </c>
      <c r="K11056" s="2" t="s">
        <v>44489</v>
      </c>
      <c r="L11056" s="2" t="s">
        <v>105</v>
      </c>
      <c r="M11056" s="2">
        <v>61821.0</v>
      </c>
      <c r="N11056" s="2" t="s">
        <v>21</v>
      </c>
    </row>
    <row r="11057" ht="15.75" customHeight="1">
      <c r="A11057" s="2">
        <v>2019.0</v>
      </c>
      <c r="B11057" s="2" t="s">
        <v>44490</v>
      </c>
      <c r="D11057" s="2" t="str">
        <f>"18155210579"</f>
        <v>18155210579</v>
      </c>
      <c r="E11057" s="2" t="s">
        <v>9513</v>
      </c>
      <c r="F11057" s="2" t="s">
        <v>8310</v>
      </c>
      <c r="G11057" s="2" t="str">
        <f>"SR-15622"</f>
        <v>SR-15622</v>
      </c>
      <c r="H11057" s="2" t="s">
        <v>44491</v>
      </c>
      <c r="I11057" s="2" t="s">
        <v>44492</v>
      </c>
      <c r="K11057" s="2" t="s">
        <v>15120</v>
      </c>
      <c r="L11057" s="2" t="s">
        <v>105</v>
      </c>
      <c r="M11057" s="2">
        <v>60410.0</v>
      </c>
      <c r="N11057" s="2" t="s">
        <v>21</v>
      </c>
    </row>
    <row r="11058" ht="15.75" customHeight="1">
      <c r="A11058" s="2">
        <v>2019.0</v>
      </c>
      <c r="B11058" s="2" t="s">
        <v>44493</v>
      </c>
      <c r="C11058" s="2" t="s">
        <v>44494</v>
      </c>
      <c r="D11058" s="2" t="str">
        <f>"706-825-5529"</f>
        <v>706-825-5529</v>
      </c>
      <c r="E11058" s="2" t="s">
        <v>15</v>
      </c>
      <c r="F11058" s="2" t="s">
        <v>2771</v>
      </c>
      <c r="G11058" s="2" t="str">
        <f>"SR-15615"</f>
        <v>SR-15615</v>
      </c>
      <c r="H11058" s="2" t="s">
        <v>44495</v>
      </c>
      <c r="I11058" s="2" t="s">
        <v>44496</v>
      </c>
      <c r="K11058" s="2" t="s">
        <v>11436</v>
      </c>
      <c r="L11058" s="2" t="s">
        <v>200</v>
      </c>
      <c r="M11058" s="2">
        <v>30900.0</v>
      </c>
      <c r="N11058" s="2" t="s">
        <v>21</v>
      </c>
    </row>
    <row r="11059" ht="15.75" customHeight="1">
      <c r="A11059" s="2">
        <v>2019.0</v>
      </c>
      <c r="B11059" s="2" t="s">
        <v>44497</v>
      </c>
      <c r="C11059" s="2" t="s">
        <v>44498</v>
      </c>
      <c r="D11059" s="2" t="str">
        <f>"5014821879"</f>
        <v>5014821879</v>
      </c>
      <c r="E11059" s="2" t="s">
        <v>261</v>
      </c>
      <c r="F11059" s="2" t="s">
        <v>44499</v>
      </c>
      <c r="G11059" s="2" t="str">
        <f>"SR-15624"</f>
        <v>SR-15624</v>
      </c>
      <c r="H11059" s="2" t="s">
        <v>44500</v>
      </c>
      <c r="I11059" s="2" t="s">
        <v>44501</v>
      </c>
      <c r="K11059" s="2" t="s">
        <v>3164</v>
      </c>
      <c r="L11059" s="2" t="s">
        <v>1012</v>
      </c>
      <c r="M11059" s="2">
        <v>72703.0</v>
      </c>
      <c r="N11059" s="2" t="s">
        <v>21</v>
      </c>
    </row>
    <row r="11060" ht="15.75" customHeight="1">
      <c r="A11060" s="2">
        <v>2019.0</v>
      </c>
      <c r="B11060" s="2" t="s">
        <v>44468</v>
      </c>
      <c r="C11060" s="2" t="s">
        <v>44502</v>
      </c>
      <c r="D11060" s="2" t="str">
        <f>"4699319673"</f>
        <v>4699319673</v>
      </c>
      <c r="E11060" s="2" t="s">
        <v>718</v>
      </c>
      <c r="F11060" s="2" t="s">
        <v>44470</v>
      </c>
      <c r="G11060" s="2" t="str">
        <f>"SR-15623"</f>
        <v>SR-15623</v>
      </c>
      <c r="H11060" s="2" t="s">
        <v>44503</v>
      </c>
      <c r="I11060" s="2" t="s">
        <v>44472</v>
      </c>
      <c r="K11060" s="2" t="s">
        <v>19366</v>
      </c>
      <c r="L11060" s="2" t="s">
        <v>172</v>
      </c>
      <c r="M11060" s="2">
        <v>75032.0</v>
      </c>
      <c r="N11060" s="2" t="s">
        <v>21</v>
      </c>
    </row>
    <row r="11061" ht="15.75" customHeight="1">
      <c r="A11061" s="2">
        <v>2019.0</v>
      </c>
      <c r="B11061" s="2" t="s">
        <v>44504</v>
      </c>
      <c r="C11061" s="2" t="s">
        <v>44505</v>
      </c>
      <c r="D11061" s="2" t="str">
        <f>"2183728670"</f>
        <v>2183728670</v>
      </c>
      <c r="E11061" s="2" t="s">
        <v>288</v>
      </c>
      <c r="F11061" s="2" t="s">
        <v>44506</v>
      </c>
      <c r="G11061" s="2" t="str">
        <f>"SR-15383"</f>
        <v>SR-15383</v>
      </c>
      <c r="H11061" s="2" t="s">
        <v>44507</v>
      </c>
      <c r="I11061" s="2" t="s">
        <v>44508</v>
      </c>
      <c r="K11061" s="2" t="s">
        <v>44509</v>
      </c>
      <c r="L11061" s="2" t="s">
        <v>62</v>
      </c>
      <c r="M11061" s="2">
        <v>55783.0</v>
      </c>
      <c r="N11061" s="2" t="s">
        <v>21</v>
      </c>
    </row>
    <row r="11062" ht="15.75" customHeight="1">
      <c r="A11062" s="2">
        <v>2019.0</v>
      </c>
      <c r="B11062" s="2" t="s">
        <v>44510</v>
      </c>
      <c r="C11062" s="2" t="s">
        <v>44511</v>
      </c>
      <c r="D11062" s="2" t="str">
        <f>"8124493752"</f>
        <v>8124493752</v>
      </c>
      <c r="E11062" s="2" t="s">
        <v>1548</v>
      </c>
      <c r="F11062" s="2" t="s">
        <v>12459</v>
      </c>
      <c r="G11062" s="2" t="str">
        <f>"SR-15569"</f>
        <v>SR-15569</v>
      </c>
      <c r="H11062" s="2" t="s">
        <v>44512</v>
      </c>
      <c r="I11062" s="2" t="s">
        <v>44513</v>
      </c>
      <c r="K11062" s="2" t="s">
        <v>148</v>
      </c>
      <c r="L11062" s="2" t="s">
        <v>149</v>
      </c>
      <c r="M11062" s="2">
        <v>47720.0</v>
      </c>
      <c r="N11062" s="2" t="s">
        <v>21</v>
      </c>
    </row>
    <row r="11063" ht="15.75" customHeight="1">
      <c r="A11063" s="2">
        <v>2019.0</v>
      </c>
      <c r="B11063" s="2" t="s">
        <v>17778</v>
      </c>
      <c r="C11063" s="2" t="s">
        <v>34543</v>
      </c>
      <c r="D11063" s="2" t="str">
        <f>"4057803086"</f>
        <v>4057803086</v>
      </c>
      <c r="E11063" s="2" t="s">
        <v>453</v>
      </c>
      <c r="F11063" s="2" t="s">
        <v>17780</v>
      </c>
      <c r="G11063" s="2" t="str">
        <f>"SR-11002"</f>
        <v>SR-11002</v>
      </c>
      <c r="H11063" s="2" t="s">
        <v>34544</v>
      </c>
      <c r="I11063" s="2" t="s">
        <v>34545</v>
      </c>
      <c r="K11063" s="2" t="s">
        <v>11711</v>
      </c>
      <c r="L11063" s="2" t="s">
        <v>840</v>
      </c>
      <c r="M11063" s="2">
        <v>74076.0</v>
      </c>
      <c r="N11063" s="2" t="s">
        <v>21</v>
      </c>
    </row>
    <row r="11064" ht="15.75" customHeight="1">
      <c r="A11064" s="2">
        <v>2019.0</v>
      </c>
      <c r="B11064" s="2" t="s">
        <v>44514</v>
      </c>
      <c r="C11064" s="2" t="s">
        <v>44515</v>
      </c>
      <c r="D11064" s="2" t="str">
        <f>"2142056183"</f>
        <v>2142056183</v>
      </c>
      <c r="E11064" s="2" t="s">
        <v>456</v>
      </c>
      <c r="F11064" s="2" t="s">
        <v>44516</v>
      </c>
      <c r="G11064" s="2" t="str">
        <f>"SR-15629"</f>
        <v>SR-15629</v>
      </c>
      <c r="H11064" s="2" t="s">
        <v>44517</v>
      </c>
      <c r="I11064" s="2" t="s">
        <v>44518</v>
      </c>
      <c r="K11064" s="2" t="s">
        <v>1756</v>
      </c>
      <c r="L11064" s="2" t="s">
        <v>200</v>
      </c>
      <c r="M11064" s="2">
        <v>30809.0</v>
      </c>
      <c r="N11064" s="2" t="s">
        <v>21</v>
      </c>
    </row>
    <row r="11065" ht="15.75" customHeight="1">
      <c r="A11065" s="2">
        <v>2019.0</v>
      </c>
      <c r="B11065" s="2" t="s">
        <v>44519</v>
      </c>
      <c r="C11065" s="2" t="s">
        <v>44520</v>
      </c>
      <c r="D11065" s="2" t="str">
        <f>"4027506939"</f>
        <v>4027506939</v>
      </c>
      <c r="E11065" s="2" t="s">
        <v>1239</v>
      </c>
      <c r="F11065" s="2" t="s">
        <v>44521</v>
      </c>
      <c r="G11065" s="2" t="str">
        <f>"SR-15626"</f>
        <v>SR-15626</v>
      </c>
      <c r="H11065" s="2" t="s">
        <v>44522</v>
      </c>
      <c r="I11065" s="2" t="s">
        <v>44523</v>
      </c>
      <c r="K11065" s="2" t="s">
        <v>11726</v>
      </c>
      <c r="L11065" s="2" t="s">
        <v>757</v>
      </c>
      <c r="M11065" s="2">
        <v>68701.0</v>
      </c>
      <c r="N11065" s="2" t="s">
        <v>21</v>
      </c>
    </row>
    <row r="11066" ht="15.75" customHeight="1">
      <c r="A11066" s="2">
        <v>2019.0</v>
      </c>
      <c r="B11066" s="2" t="s">
        <v>19740</v>
      </c>
      <c r="C11066" s="2" t="s">
        <v>44524</v>
      </c>
      <c r="D11066" s="2" t="str">
        <f>"8178947998"</f>
        <v>8178947998</v>
      </c>
      <c r="E11066" s="2" t="s">
        <v>2355</v>
      </c>
      <c r="F11066" s="2" t="s">
        <v>19742</v>
      </c>
      <c r="G11066" s="2" t="str">
        <f>"SR-15627"</f>
        <v>SR-15627</v>
      </c>
      <c r="H11066" s="2" t="s">
        <v>44525</v>
      </c>
      <c r="I11066" s="2" t="s">
        <v>44526</v>
      </c>
      <c r="K11066" s="2" t="s">
        <v>2046</v>
      </c>
      <c r="L11066" s="2" t="s">
        <v>172</v>
      </c>
      <c r="M11066" s="2">
        <v>76049.0</v>
      </c>
      <c r="N11066" s="2" t="s">
        <v>21</v>
      </c>
    </row>
    <row r="11067" ht="15.75" customHeight="1">
      <c r="A11067" s="2">
        <v>2019.0</v>
      </c>
      <c r="B11067" s="2" t="s">
        <v>44527</v>
      </c>
      <c r="C11067" s="2" t="s">
        <v>44528</v>
      </c>
      <c r="D11067" s="2" t="str">
        <f>"35699321321"</f>
        <v>35699321321</v>
      </c>
      <c r="E11067" s="2" t="s">
        <v>2314</v>
      </c>
      <c r="F11067" s="2" t="s">
        <v>44529</v>
      </c>
      <c r="G11067" s="2" t="str">
        <f>"SR-15574"</f>
        <v>SR-15574</v>
      </c>
      <c r="H11067" s="2" t="s">
        <v>44530</v>
      </c>
      <c r="I11067" s="2" t="s">
        <v>44531</v>
      </c>
      <c r="J11067" s="2" t="s">
        <v>44532</v>
      </c>
      <c r="K11067" s="2" t="s">
        <v>44533</v>
      </c>
      <c r="M11067" s="2" t="s">
        <v>44534</v>
      </c>
      <c r="N11067" s="2" t="s">
        <v>36760</v>
      </c>
    </row>
    <row r="11068" ht="15.75" customHeight="1">
      <c r="A11068" s="2">
        <v>2019.0</v>
      </c>
      <c r="B11068" s="2" t="s">
        <v>44535</v>
      </c>
      <c r="C11068" s="2" t="s">
        <v>44536</v>
      </c>
      <c r="D11068" s="2" t="str">
        <f>"4029349004"</f>
        <v>4029349004</v>
      </c>
      <c r="E11068" s="2" t="s">
        <v>5858</v>
      </c>
      <c r="F11068" s="2" t="s">
        <v>44537</v>
      </c>
      <c r="G11068" s="2" t="str">
        <f>"SR-15631"</f>
        <v>SR-15631</v>
      </c>
      <c r="H11068" s="2" t="s">
        <v>44538</v>
      </c>
      <c r="I11068" s="2" t="s">
        <v>44539</v>
      </c>
      <c r="K11068" s="2" t="s">
        <v>1470</v>
      </c>
      <c r="L11068" s="2" t="s">
        <v>757</v>
      </c>
      <c r="M11068" s="2">
        <v>68135.0</v>
      </c>
      <c r="N11068" s="2" t="s">
        <v>21</v>
      </c>
    </row>
    <row r="11069" ht="15.75" customHeight="1">
      <c r="A11069" s="2">
        <v>2019.0</v>
      </c>
      <c r="B11069" s="2" t="s">
        <v>44519</v>
      </c>
      <c r="C11069" s="2" t="s">
        <v>44540</v>
      </c>
      <c r="D11069" s="2" t="str">
        <f>"4027506939"</f>
        <v>4027506939</v>
      </c>
      <c r="E11069" s="2" t="s">
        <v>1928</v>
      </c>
      <c r="F11069" s="2" t="s">
        <v>44521</v>
      </c>
      <c r="G11069" s="2" t="str">
        <f>"SR-15625"</f>
        <v>SR-15625</v>
      </c>
      <c r="H11069" s="2" t="s">
        <v>44541</v>
      </c>
      <c r="I11069" s="2" t="s">
        <v>44523</v>
      </c>
      <c r="K11069" s="2" t="s">
        <v>11726</v>
      </c>
      <c r="L11069" s="2" t="s">
        <v>757</v>
      </c>
      <c r="M11069" s="2">
        <v>68701.0</v>
      </c>
      <c r="N11069" s="2" t="s">
        <v>21</v>
      </c>
    </row>
    <row r="11070" ht="15.75" customHeight="1">
      <c r="A11070" s="2">
        <v>2019.0</v>
      </c>
      <c r="B11070" s="2" t="s">
        <v>42073</v>
      </c>
      <c r="C11070" s="2" t="s">
        <v>42074</v>
      </c>
      <c r="D11070" s="2" t="str">
        <f>"405-443-8388"</f>
        <v>405-443-8388</v>
      </c>
      <c r="E11070" s="2" t="s">
        <v>453</v>
      </c>
      <c r="F11070" s="2" t="s">
        <v>5575</v>
      </c>
      <c r="G11070" s="2" t="str">
        <f>"SR-14544"</f>
        <v>SR-14544</v>
      </c>
      <c r="H11070" s="2" t="s">
        <v>42075</v>
      </c>
      <c r="I11070" s="2" t="s">
        <v>42076</v>
      </c>
      <c r="K11070" s="2" t="s">
        <v>2870</v>
      </c>
      <c r="L11070" s="2" t="s">
        <v>840</v>
      </c>
      <c r="M11070" s="2">
        <v>73072.0</v>
      </c>
      <c r="N11070" s="2" t="s">
        <v>21</v>
      </c>
    </row>
    <row r="11071" ht="15.75" customHeight="1">
      <c r="A11071" s="2">
        <v>2019.0</v>
      </c>
      <c r="B11071" s="2" t="s">
        <v>44542</v>
      </c>
      <c r="C11071" s="2" t="s">
        <v>44543</v>
      </c>
      <c r="D11071" s="2" t="str">
        <f>"785-280-0366"</f>
        <v>785-280-0366</v>
      </c>
      <c r="E11071" s="2" t="s">
        <v>590</v>
      </c>
      <c r="F11071" s="2" t="s">
        <v>18634</v>
      </c>
      <c r="G11071" s="2" t="str">
        <f>"SR-15633"</f>
        <v>SR-15633</v>
      </c>
      <c r="H11071" s="2" t="s">
        <v>44544</v>
      </c>
      <c r="I11071" s="2" t="s">
        <v>44545</v>
      </c>
      <c r="K11071" s="2" t="s">
        <v>781</v>
      </c>
      <c r="L11071" s="2" t="s">
        <v>272</v>
      </c>
      <c r="M11071" s="2">
        <v>67410.0</v>
      </c>
      <c r="N11071" s="2" t="s">
        <v>21</v>
      </c>
    </row>
    <row r="11072" ht="15.75" customHeight="1">
      <c r="A11072" s="2">
        <v>2019.0</v>
      </c>
      <c r="B11072" s="2" t="s">
        <v>44546</v>
      </c>
      <c r="C11072" s="2" t="s">
        <v>44547</v>
      </c>
      <c r="D11072" s="2" t="str">
        <f>"214-914-0588"</f>
        <v>214-914-0588</v>
      </c>
      <c r="E11072" s="2" t="s">
        <v>4968</v>
      </c>
      <c r="F11072" s="2" t="s">
        <v>44548</v>
      </c>
      <c r="G11072" s="2" t="str">
        <f>"SR-15634"</f>
        <v>SR-15634</v>
      </c>
      <c r="H11072" s="2" t="s">
        <v>44549</v>
      </c>
      <c r="I11072" s="2" t="s">
        <v>44550</v>
      </c>
      <c r="K11072" s="2" t="s">
        <v>1255</v>
      </c>
      <c r="L11072" s="2" t="s">
        <v>172</v>
      </c>
      <c r="M11072" s="2">
        <v>75225.0</v>
      </c>
      <c r="N11072" s="2" t="s">
        <v>21</v>
      </c>
    </row>
    <row r="11073" ht="15.75" customHeight="1">
      <c r="A11073" s="2">
        <v>2019.0</v>
      </c>
      <c r="B11073" s="2" t="s">
        <v>44551</v>
      </c>
      <c r="C11073" s="2" t="s">
        <v>44552</v>
      </c>
      <c r="D11073" s="2" t="str">
        <f>"719-424-9483"</f>
        <v>719-424-9483</v>
      </c>
      <c r="E11073" s="2" t="s">
        <v>1054</v>
      </c>
      <c r="F11073" s="2" t="s">
        <v>962</v>
      </c>
      <c r="G11073" s="2" t="str">
        <f>"SR-15635"</f>
        <v>SR-15635</v>
      </c>
      <c r="H11073" s="2" t="s">
        <v>44553</v>
      </c>
      <c r="I11073" s="2" t="s">
        <v>22550</v>
      </c>
      <c r="K11073" s="2" t="s">
        <v>809</v>
      </c>
      <c r="L11073" s="2" t="s">
        <v>157</v>
      </c>
      <c r="M11073" s="2">
        <v>80908.0</v>
      </c>
      <c r="N11073" s="2" t="s">
        <v>21</v>
      </c>
    </row>
    <row r="11074" ht="15.75" customHeight="1">
      <c r="A11074" s="2">
        <v>2019.0</v>
      </c>
      <c r="B11074" s="2" t="s">
        <v>44554</v>
      </c>
      <c r="C11074" s="2" t="s">
        <v>44555</v>
      </c>
      <c r="D11074" s="2" t="str">
        <f t="shared" ref="D11074:D11075" si="187">"419-913-9298"</f>
        <v>419-913-9298</v>
      </c>
      <c r="E11074" s="2" t="s">
        <v>167</v>
      </c>
      <c r="F11074" s="2" t="s">
        <v>44556</v>
      </c>
      <c r="G11074" s="2" t="str">
        <f>"SR-15638"</f>
        <v>SR-15638</v>
      </c>
      <c r="H11074" s="2" t="s">
        <v>44557</v>
      </c>
      <c r="I11074" s="2" t="s">
        <v>44558</v>
      </c>
      <c r="K11074" s="2" t="s">
        <v>39465</v>
      </c>
      <c r="L11074" s="2" t="s">
        <v>344</v>
      </c>
      <c r="M11074" s="2">
        <v>43402.0</v>
      </c>
      <c r="N11074" s="2" t="s">
        <v>21</v>
      </c>
    </row>
    <row r="11075" ht="15.75" customHeight="1">
      <c r="A11075" s="2">
        <v>2019.0</v>
      </c>
      <c r="B11075" s="2" t="s">
        <v>44554</v>
      </c>
      <c r="C11075" s="2" t="s">
        <v>44559</v>
      </c>
      <c r="D11075" s="2" t="str">
        <f t="shared" si="187"/>
        <v>419-913-9298</v>
      </c>
      <c r="E11075" s="2" t="s">
        <v>6007</v>
      </c>
      <c r="F11075" s="2" t="s">
        <v>44556</v>
      </c>
      <c r="G11075" s="2" t="str">
        <f>"SR-15639"</f>
        <v>SR-15639</v>
      </c>
      <c r="H11075" s="2" t="s">
        <v>44560</v>
      </c>
      <c r="I11075" s="2" t="s">
        <v>44558</v>
      </c>
      <c r="K11075" s="2" t="s">
        <v>39465</v>
      </c>
      <c r="L11075" s="2" t="s">
        <v>344</v>
      </c>
      <c r="M11075" s="2">
        <v>43402.0</v>
      </c>
      <c r="N11075" s="2" t="s">
        <v>21</v>
      </c>
    </row>
    <row r="11076" ht="15.75" customHeight="1">
      <c r="A11076" s="2">
        <v>2019.0</v>
      </c>
      <c r="B11076" s="2" t="s">
        <v>44561</v>
      </c>
      <c r="C11076" s="2" t="s">
        <v>44562</v>
      </c>
      <c r="D11076" s="2" t="str">
        <f>"307-670-1044"</f>
        <v>307-670-1044</v>
      </c>
      <c r="E11076" s="2" t="s">
        <v>10825</v>
      </c>
      <c r="F11076" s="2" t="s">
        <v>25821</v>
      </c>
      <c r="G11076" s="2" t="str">
        <f>"SR-15227"</f>
        <v>SR-15227</v>
      </c>
      <c r="H11076" s="2" t="s">
        <v>44563</v>
      </c>
      <c r="I11076" s="2" t="s">
        <v>44564</v>
      </c>
      <c r="K11076" s="2" t="s">
        <v>3028</v>
      </c>
      <c r="L11076" s="2" t="s">
        <v>1540</v>
      </c>
      <c r="M11076" s="2">
        <v>82732.0</v>
      </c>
      <c r="N11076" s="2" t="s">
        <v>21</v>
      </c>
    </row>
    <row r="11077" ht="15.75" customHeight="1">
      <c r="A11077" s="2">
        <v>2019.0</v>
      </c>
      <c r="B11077" s="2" t="s">
        <v>44565</v>
      </c>
      <c r="C11077" s="2" t="s">
        <v>44566</v>
      </c>
      <c r="D11077" s="2" t="str">
        <f>"5407596755"</f>
        <v>5407596755</v>
      </c>
      <c r="E11077" s="2" t="s">
        <v>44567</v>
      </c>
      <c r="F11077" s="2" t="s">
        <v>3817</v>
      </c>
      <c r="G11077" s="2" t="str">
        <f>"SR-15628"</f>
        <v>SR-15628</v>
      </c>
      <c r="H11077" s="2" t="s">
        <v>44568</v>
      </c>
      <c r="I11077" s="2" t="s">
        <v>44569</v>
      </c>
      <c r="K11077" s="2" t="s">
        <v>12223</v>
      </c>
      <c r="L11077" s="2" t="s">
        <v>165</v>
      </c>
      <c r="M11077" s="2">
        <v>24121.0</v>
      </c>
      <c r="N11077" s="2" t="s">
        <v>21</v>
      </c>
    </row>
    <row r="11078" ht="15.75" customHeight="1">
      <c r="A11078" s="2">
        <v>2019.0</v>
      </c>
      <c r="B11078" s="2" t="s">
        <v>44570</v>
      </c>
      <c r="C11078" s="2" t="s">
        <v>44571</v>
      </c>
      <c r="D11078" s="2" t="str">
        <f>"(405)633-8597"</f>
        <v>(405)633-8597</v>
      </c>
      <c r="E11078" s="2" t="s">
        <v>5858</v>
      </c>
      <c r="F11078" s="2" t="s">
        <v>27337</v>
      </c>
      <c r="G11078" s="2" t="str">
        <f>"SR-15641"</f>
        <v>SR-15641</v>
      </c>
      <c r="H11078" s="2" t="s">
        <v>44572</v>
      </c>
      <c r="I11078" s="2" t="s">
        <v>44573</v>
      </c>
      <c r="K11078" s="2" t="s">
        <v>1546</v>
      </c>
      <c r="L11078" s="2" t="s">
        <v>840</v>
      </c>
      <c r="M11078" s="2">
        <v>73034.0</v>
      </c>
      <c r="N11078" s="2" t="s">
        <v>21</v>
      </c>
    </row>
    <row r="11079" ht="15.75" customHeight="1">
      <c r="A11079" s="2">
        <v>2019.0</v>
      </c>
      <c r="B11079" s="2" t="s">
        <v>31645</v>
      </c>
      <c r="C11079" s="2" t="s">
        <v>31645</v>
      </c>
      <c r="D11079" s="2" t="str">
        <f>"(520) 612-9304"</f>
        <v>(520) 612-9304</v>
      </c>
      <c r="E11079" s="2" t="s">
        <v>1039</v>
      </c>
      <c r="F11079" s="2" t="s">
        <v>31646</v>
      </c>
      <c r="G11079" s="2" t="str">
        <f>"SR-15642"</f>
        <v>SR-15642</v>
      </c>
      <c r="H11079" s="2" t="s">
        <v>31647</v>
      </c>
      <c r="I11079" s="2" t="s">
        <v>44574</v>
      </c>
      <c r="K11079" s="2" t="s">
        <v>31649</v>
      </c>
      <c r="L11079" s="2" t="s">
        <v>422</v>
      </c>
      <c r="M11079" s="2">
        <v>85629.0</v>
      </c>
      <c r="N11079" s="2" t="s">
        <v>21</v>
      </c>
    </row>
    <row r="11080" ht="15.75" customHeight="1">
      <c r="A11080" s="2">
        <v>2019.0</v>
      </c>
      <c r="B11080" s="2" t="s">
        <v>44575</v>
      </c>
      <c r="C11080" s="2" t="s">
        <v>44576</v>
      </c>
      <c r="D11080" s="2" t="str">
        <f>"615-406-2383"</f>
        <v>615-406-2383</v>
      </c>
      <c r="E11080" s="2" t="s">
        <v>453</v>
      </c>
      <c r="F11080" s="2" t="s">
        <v>44577</v>
      </c>
      <c r="G11080" s="2" t="str">
        <f>"SR-15643"</f>
        <v>SR-15643</v>
      </c>
      <c r="H11080" s="2" t="s">
        <v>44578</v>
      </c>
      <c r="I11080" s="2" t="s">
        <v>44579</v>
      </c>
      <c r="K11080" s="2" t="s">
        <v>37983</v>
      </c>
      <c r="L11080" s="2" t="s">
        <v>279</v>
      </c>
      <c r="M11080" s="2">
        <v>37180.0</v>
      </c>
      <c r="N11080" s="2" t="s">
        <v>21</v>
      </c>
    </row>
    <row r="11081" ht="15.75" customHeight="1">
      <c r="A11081" s="2">
        <v>2019.0</v>
      </c>
      <c r="B11081" s="2" t="s">
        <v>32244</v>
      </c>
      <c r="C11081" s="2" t="s">
        <v>32245</v>
      </c>
      <c r="D11081" s="2" t="str">
        <f>"507-822-9379"</f>
        <v>507-822-9379</v>
      </c>
      <c r="E11081" s="2" t="s">
        <v>862</v>
      </c>
      <c r="F11081" s="2" t="s">
        <v>2875</v>
      </c>
      <c r="G11081" s="2" t="str">
        <f>"SR-10488"</f>
        <v>SR-10488</v>
      </c>
      <c r="H11081" s="2" t="s">
        <v>32246</v>
      </c>
      <c r="I11081" s="2" t="s">
        <v>32247</v>
      </c>
      <c r="K11081" s="2" t="s">
        <v>5101</v>
      </c>
      <c r="L11081" s="2" t="s">
        <v>62</v>
      </c>
      <c r="M11081" s="2">
        <v>56118.0</v>
      </c>
      <c r="N11081" s="2" t="s">
        <v>21</v>
      </c>
    </row>
    <row r="11082" ht="15.75" customHeight="1">
      <c r="A11082" s="2">
        <v>2019.0</v>
      </c>
      <c r="B11082" s="2" t="s">
        <v>44580</v>
      </c>
      <c r="C11082" s="2" t="s">
        <v>44581</v>
      </c>
      <c r="D11082" s="2" t="str">
        <f>"4062203260"</f>
        <v>4062203260</v>
      </c>
      <c r="E11082" s="2" t="s">
        <v>428</v>
      </c>
      <c r="F11082" s="2" t="s">
        <v>44582</v>
      </c>
      <c r="G11082" s="2" t="str">
        <f>"SR-15586"</f>
        <v>SR-15586</v>
      </c>
      <c r="H11082" s="2" t="s">
        <v>44583</v>
      </c>
      <c r="I11082" s="2" t="s">
        <v>44584</v>
      </c>
      <c r="K11082" s="2" t="s">
        <v>2784</v>
      </c>
      <c r="L11082" s="2" t="s">
        <v>2696</v>
      </c>
      <c r="M11082" s="2">
        <v>59047.0</v>
      </c>
      <c r="N11082" s="2" t="s">
        <v>21</v>
      </c>
    </row>
    <row r="11083" ht="15.75" customHeight="1">
      <c r="A11083" s="2">
        <v>2019.0</v>
      </c>
      <c r="B11083" s="2" t="s">
        <v>44585</v>
      </c>
      <c r="C11083" s="2" t="s">
        <v>44586</v>
      </c>
      <c r="D11083" s="2" t="str">
        <f>"303-250-3851"</f>
        <v>303-250-3851</v>
      </c>
      <c r="E11083" s="2" t="s">
        <v>44587</v>
      </c>
      <c r="F11083" s="2" t="s">
        <v>26949</v>
      </c>
      <c r="G11083" s="2" t="str">
        <f>"SR-15644"</f>
        <v>SR-15644</v>
      </c>
      <c r="H11083" s="2" t="s">
        <v>44588</v>
      </c>
      <c r="I11083" s="2" t="s">
        <v>44589</v>
      </c>
      <c r="K11083" s="2" t="s">
        <v>519</v>
      </c>
      <c r="L11083" s="2" t="s">
        <v>157</v>
      </c>
      <c r="M11083" s="2">
        <v>80465.0</v>
      </c>
      <c r="N11083" s="2" t="s">
        <v>21</v>
      </c>
    </row>
    <row r="11084" ht="15.75" customHeight="1">
      <c r="A11084" s="2">
        <v>2019.0</v>
      </c>
      <c r="B11084" s="2" t="s">
        <v>44590</v>
      </c>
      <c r="C11084" s="2" t="s">
        <v>44591</v>
      </c>
      <c r="D11084" s="2" t="str">
        <f>"208-755-9089"</f>
        <v>208-755-9089</v>
      </c>
      <c r="E11084" s="2" t="s">
        <v>19261</v>
      </c>
      <c r="F11084" s="2" t="s">
        <v>44592</v>
      </c>
      <c r="G11084" s="2" t="str">
        <f>"SR-15645"</f>
        <v>SR-15645</v>
      </c>
      <c r="H11084" s="2" t="s">
        <v>44593</v>
      </c>
      <c r="I11084" s="2" t="s">
        <v>44594</v>
      </c>
      <c r="K11084" s="2" t="s">
        <v>44595</v>
      </c>
      <c r="L11084" s="2" t="s">
        <v>344</v>
      </c>
      <c r="M11084" s="2">
        <v>43560.0</v>
      </c>
      <c r="N11084" s="2" t="s">
        <v>21</v>
      </c>
    </row>
    <row r="11085" ht="15.75" customHeight="1">
      <c r="A11085" s="2">
        <v>2019.0</v>
      </c>
      <c r="B11085" s="2" t="s">
        <v>43206</v>
      </c>
      <c r="C11085" s="2" t="s">
        <v>44596</v>
      </c>
      <c r="D11085" s="2" t="str">
        <f>"719-282-1848"</f>
        <v>719-282-1848</v>
      </c>
      <c r="E11085" s="2" t="s">
        <v>1782</v>
      </c>
      <c r="F11085" s="2" t="s">
        <v>43208</v>
      </c>
      <c r="G11085" s="2" t="str">
        <f>"SR-15647"</f>
        <v>SR-15647</v>
      </c>
      <c r="H11085" s="2" t="s">
        <v>44597</v>
      </c>
      <c r="I11085" s="2" t="s">
        <v>44598</v>
      </c>
      <c r="K11085" s="2" t="s">
        <v>809</v>
      </c>
      <c r="L11085" s="2" t="s">
        <v>157</v>
      </c>
      <c r="M11085" s="2">
        <v>80920.0</v>
      </c>
      <c r="N11085" s="2" t="s">
        <v>21</v>
      </c>
    </row>
    <row r="11086" ht="15.75" customHeight="1">
      <c r="A11086" s="2">
        <v>2019.0</v>
      </c>
      <c r="B11086" s="2" t="s">
        <v>44599</v>
      </c>
      <c r="C11086" s="2" t="s">
        <v>44600</v>
      </c>
      <c r="D11086" s="2" t="str">
        <f>"17143967934"</f>
        <v>17143967934</v>
      </c>
      <c r="E11086" s="2" t="s">
        <v>373</v>
      </c>
      <c r="F11086" s="2" t="s">
        <v>24289</v>
      </c>
      <c r="G11086" s="2" t="str">
        <f>"SR-15649"</f>
        <v>SR-15649</v>
      </c>
      <c r="H11086" s="2" t="s">
        <v>44601</v>
      </c>
      <c r="I11086" s="2" t="s">
        <v>44602</v>
      </c>
      <c r="K11086" s="2" t="s">
        <v>12334</v>
      </c>
      <c r="L11086" s="2" t="s">
        <v>222</v>
      </c>
      <c r="M11086" s="2">
        <v>92887.0</v>
      </c>
      <c r="N11086" s="2" t="s">
        <v>21</v>
      </c>
    </row>
    <row r="11087" ht="15.75" customHeight="1">
      <c r="A11087" s="2">
        <v>2019.0</v>
      </c>
      <c r="B11087" s="2" t="s">
        <v>44603</v>
      </c>
      <c r="C11087" s="2" t="s">
        <v>44604</v>
      </c>
      <c r="D11087" s="2" t="str">
        <f>"586.360.6574"</f>
        <v>586.360.6574</v>
      </c>
      <c r="E11087" s="2" t="s">
        <v>160</v>
      </c>
      <c r="F11087" s="2" t="s">
        <v>44605</v>
      </c>
      <c r="G11087" s="2" t="str">
        <f>"SR-15648"</f>
        <v>SR-15648</v>
      </c>
      <c r="H11087" s="2" t="s">
        <v>44606</v>
      </c>
      <c r="I11087" s="2" t="s">
        <v>44607</v>
      </c>
      <c r="K11087" s="2" t="s">
        <v>44608</v>
      </c>
      <c r="L11087" s="2" t="s">
        <v>29</v>
      </c>
      <c r="M11087" s="2">
        <v>48081.0</v>
      </c>
      <c r="N11087" s="2" t="s">
        <v>21</v>
      </c>
    </row>
    <row r="11088" ht="15.75" customHeight="1">
      <c r="A11088" s="2">
        <v>2019.0</v>
      </c>
      <c r="B11088" s="2" t="s">
        <v>44609</v>
      </c>
      <c r="C11088" s="2" t="s">
        <v>44610</v>
      </c>
      <c r="D11088" s="2" t="str">
        <f>"303-693-5422"</f>
        <v>303-693-5422</v>
      </c>
      <c r="E11088" s="2" t="s">
        <v>3173</v>
      </c>
      <c r="F11088" s="2" t="s">
        <v>44611</v>
      </c>
      <c r="G11088" s="2" t="str">
        <f>"SR-15650"</f>
        <v>SR-15650</v>
      </c>
      <c r="H11088" s="2" t="s">
        <v>44612</v>
      </c>
      <c r="I11088" s="2" t="s">
        <v>44613</v>
      </c>
      <c r="K11088" s="2" t="s">
        <v>992</v>
      </c>
      <c r="L11088" s="2" t="s">
        <v>157</v>
      </c>
      <c r="M11088" s="2">
        <v>80015.0</v>
      </c>
      <c r="N11088" s="2" t="s">
        <v>21</v>
      </c>
    </row>
    <row r="11089" ht="15.75" customHeight="1">
      <c r="A11089" s="2">
        <v>2019.0</v>
      </c>
      <c r="B11089" s="2" t="s">
        <v>44614</v>
      </c>
      <c r="C11089" s="2" t="s">
        <v>44615</v>
      </c>
      <c r="D11089" s="2" t="str">
        <f>"8054582801"</f>
        <v>8054582801</v>
      </c>
      <c r="E11089" s="2" t="s">
        <v>23927</v>
      </c>
      <c r="F11089" s="2" t="s">
        <v>44616</v>
      </c>
      <c r="G11089" s="2" t="str">
        <f>"SR-12169"</f>
        <v>SR-12169</v>
      </c>
      <c r="H11089" s="2" t="s">
        <v>44617</v>
      </c>
      <c r="I11089" s="2" t="s">
        <v>44618</v>
      </c>
      <c r="J11089" s="2" t="s">
        <v>44619</v>
      </c>
      <c r="K11089" s="2" t="s">
        <v>2784</v>
      </c>
      <c r="L11089" s="2" t="s">
        <v>172</v>
      </c>
      <c r="M11089" s="2">
        <v>77399.0</v>
      </c>
      <c r="N11089" s="2" t="s">
        <v>21</v>
      </c>
    </row>
    <row r="11090" ht="15.75" customHeight="1">
      <c r="A11090" s="2">
        <v>2019.0</v>
      </c>
      <c r="B11090" s="2" t="s">
        <v>44614</v>
      </c>
      <c r="C11090" s="2" t="s">
        <v>44614</v>
      </c>
      <c r="D11090" s="2" t="str">
        <f>"8054583717"</f>
        <v>8054583717</v>
      </c>
      <c r="E11090" s="2" t="s">
        <v>4782</v>
      </c>
      <c r="F11090" s="2" t="s">
        <v>44616</v>
      </c>
      <c r="G11090" s="2" t="str">
        <f>"SR-15652"</f>
        <v>SR-15652</v>
      </c>
      <c r="H11090" s="2" t="s">
        <v>44620</v>
      </c>
      <c r="I11090" s="2" t="s">
        <v>44621</v>
      </c>
      <c r="J11090" s="2" t="s">
        <v>44619</v>
      </c>
      <c r="K11090" s="2" t="s">
        <v>2784</v>
      </c>
      <c r="L11090" s="2" t="s">
        <v>172</v>
      </c>
      <c r="M11090" s="2">
        <v>77399.0</v>
      </c>
      <c r="N11090" s="2" t="s">
        <v>21</v>
      </c>
    </row>
    <row r="11091" ht="15.75" customHeight="1">
      <c r="A11091" s="2">
        <v>2019.0</v>
      </c>
      <c r="B11091" s="2" t="s">
        <v>44622</v>
      </c>
      <c r="C11091" s="2" t="s">
        <v>44623</v>
      </c>
      <c r="D11091" s="2" t="str">
        <f>"7208786722"</f>
        <v>7208786722</v>
      </c>
      <c r="E11091" s="2" t="s">
        <v>908</v>
      </c>
      <c r="F11091" s="2" t="s">
        <v>2761</v>
      </c>
      <c r="G11091" s="2" t="str">
        <f>"SR-15520"</f>
        <v>SR-15520</v>
      </c>
      <c r="H11091" s="2" t="s">
        <v>44624</v>
      </c>
      <c r="I11091" s="2" t="s">
        <v>44625</v>
      </c>
      <c r="K11091" s="2" t="s">
        <v>1398</v>
      </c>
      <c r="L11091" s="2" t="s">
        <v>157</v>
      </c>
      <c r="M11091" s="2">
        <v>80104.0</v>
      </c>
      <c r="N11091" s="2" t="s">
        <v>21</v>
      </c>
    </row>
    <row r="11092" ht="15.75" customHeight="1">
      <c r="A11092" s="2">
        <v>2019.0</v>
      </c>
      <c r="B11092" s="2" t="s">
        <v>9108</v>
      </c>
      <c r="C11092" s="2" t="s">
        <v>44626</v>
      </c>
      <c r="D11092" s="2" t="str">
        <f>"3033245113"</f>
        <v>3033245113</v>
      </c>
      <c r="E11092" s="2" t="s">
        <v>843</v>
      </c>
      <c r="F11092" s="2" t="s">
        <v>2174</v>
      </c>
      <c r="G11092" s="2" t="str">
        <f>"SR-15654"</f>
        <v>SR-15654</v>
      </c>
      <c r="H11092" s="2" t="s">
        <v>41236</v>
      </c>
      <c r="I11092" s="2" t="s">
        <v>44627</v>
      </c>
      <c r="K11092" s="2" t="s">
        <v>9112</v>
      </c>
      <c r="L11092" s="2" t="s">
        <v>157</v>
      </c>
      <c r="M11092" s="2">
        <v>80439.0</v>
      </c>
      <c r="N11092" s="2" t="s">
        <v>21</v>
      </c>
    </row>
    <row r="11093" ht="15.75" customHeight="1">
      <c r="A11093" s="2">
        <v>2019.0</v>
      </c>
      <c r="B11093" s="2" t="s">
        <v>44628</v>
      </c>
      <c r="C11093" s="2" t="s">
        <v>44629</v>
      </c>
      <c r="D11093" s="2" t="str">
        <f>"9134498638"</f>
        <v>9134498638</v>
      </c>
      <c r="E11093" s="2" t="s">
        <v>580</v>
      </c>
      <c r="F11093" s="2" t="s">
        <v>44630</v>
      </c>
      <c r="G11093" s="2" t="str">
        <f>"SR-15655"</f>
        <v>SR-15655</v>
      </c>
      <c r="H11093" s="2" t="s">
        <v>44631</v>
      </c>
      <c r="I11093" s="2" t="s">
        <v>44632</v>
      </c>
      <c r="K11093" s="2" t="s">
        <v>3329</v>
      </c>
      <c r="L11093" s="2" t="s">
        <v>272</v>
      </c>
      <c r="M11093" s="2">
        <v>66219.0</v>
      </c>
      <c r="N11093" s="2" t="s">
        <v>21</v>
      </c>
    </row>
    <row r="11094" ht="15.75" customHeight="1">
      <c r="A11094" s="2">
        <v>2019.0</v>
      </c>
      <c r="B11094" s="2" t="s">
        <v>44633</v>
      </c>
      <c r="C11094" s="2" t="s">
        <v>44634</v>
      </c>
      <c r="D11094" s="2" t="str">
        <f>"6199059929"</f>
        <v>6199059929</v>
      </c>
      <c r="E11094" s="2" t="s">
        <v>4406</v>
      </c>
      <c r="F11094" s="2" t="s">
        <v>31</v>
      </c>
      <c r="G11094" s="2" t="str">
        <f>"SR-15547"</f>
        <v>SR-15547</v>
      </c>
      <c r="H11094" s="2" t="s">
        <v>44635</v>
      </c>
      <c r="I11094" s="2" t="s">
        <v>44636</v>
      </c>
      <c r="K11094" s="2" t="s">
        <v>8250</v>
      </c>
      <c r="L11094" s="2" t="s">
        <v>222</v>
      </c>
      <c r="M11094" s="2">
        <v>92115.0</v>
      </c>
      <c r="N11094" s="2" t="s">
        <v>21</v>
      </c>
    </row>
    <row r="11095" ht="15.75" customHeight="1">
      <c r="A11095" s="2">
        <v>2019.0</v>
      </c>
      <c r="B11095" s="2" t="s">
        <v>31726</v>
      </c>
      <c r="C11095" s="2" t="s">
        <v>31731</v>
      </c>
      <c r="D11095" s="2" t="str">
        <f>"425-466-8383"</f>
        <v>425-466-8383</v>
      </c>
      <c r="E11095" s="2" t="s">
        <v>31732</v>
      </c>
      <c r="F11095" s="2" t="s">
        <v>13725</v>
      </c>
      <c r="G11095" s="2" t="str">
        <f>"SR-9990"</f>
        <v>SR-9990</v>
      </c>
      <c r="H11095" s="2" t="s">
        <v>31733</v>
      </c>
      <c r="I11095" s="2" t="s">
        <v>31734</v>
      </c>
      <c r="K11095" s="2" t="s">
        <v>31735</v>
      </c>
      <c r="L11095" s="2" t="s">
        <v>86</v>
      </c>
      <c r="M11095" s="2">
        <v>98198.0</v>
      </c>
      <c r="N11095" s="2" t="s">
        <v>21</v>
      </c>
    </row>
    <row r="11096" ht="15.75" customHeight="1">
      <c r="A11096" s="2">
        <v>2019.0</v>
      </c>
      <c r="B11096" s="2" t="s">
        <v>44633</v>
      </c>
      <c r="C11096" s="2" t="s">
        <v>44637</v>
      </c>
      <c r="D11096" s="2" t="str">
        <f>"6199059250"</f>
        <v>6199059250</v>
      </c>
      <c r="E11096" s="2" t="s">
        <v>7476</v>
      </c>
      <c r="F11096" s="2" t="s">
        <v>31</v>
      </c>
      <c r="G11096" s="2" t="str">
        <f>"SR-15548"</f>
        <v>SR-15548</v>
      </c>
      <c r="H11096" s="2" t="s">
        <v>44638</v>
      </c>
      <c r="I11096" s="2" t="s">
        <v>44636</v>
      </c>
      <c r="K11096" s="2" t="s">
        <v>8250</v>
      </c>
      <c r="L11096" s="2" t="s">
        <v>222</v>
      </c>
      <c r="M11096" s="2">
        <v>92115.0</v>
      </c>
      <c r="N11096" s="2" t="s">
        <v>21</v>
      </c>
    </row>
    <row r="11097" ht="15.75" customHeight="1">
      <c r="A11097" s="2">
        <v>2019.0</v>
      </c>
      <c r="B11097" s="2" t="s">
        <v>31726</v>
      </c>
      <c r="C11097" s="2" t="s">
        <v>44639</v>
      </c>
      <c r="D11097" s="2" t="str">
        <f>"503-305-0538"</f>
        <v>503-305-0538</v>
      </c>
      <c r="E11097" s="2" t="s">
        <v>44640</v>
      </c>
      <c r="F11097" s="2" t="s">
        <v>44641</v>
      </c>
      <c r="G11097" s="2" t="str">
        <f>"SR-15656"</f>
        <v>SR-15656</v>
      </c>
      <c r="H11097" s="2" t="s">
        <v>44642</v>
      </c>
      <c r="I11097" s="2" t="s">
        <v>44643</v>
      </c>
      <c r="K11097" s="2" t="s">
        <v>13748</v>
      </c>
      <c r="L11097" s="2" t="s">
        <v>2389</v>
      </c>
      <c r="M11097" s="2">
        <v>97034.0</v>
      </c>
      <c r="N11097" s="2" t="s">
        <v>21</v>
      </c>
    </row>
    <row r="11098" ht="15.75" customHeight="1">
      <c r="A11098" s="2">
        <v>2019.0</v>
      </c>
      <c r="B11098" s="2" t="s">
        <v>12747</v>
      </c>
      <c r="C11098" s="2" t="s">
        <v>35010</v>
      </c>
      <c r="D11098" s="2" t="str">
        <f>"765-717-5039"</f>
        <v>765-717-5039</v>
      </c>
      <c r="E11098" s="2" t="s">
        <v>1088</v>
      </c>
      <c r="F11098" s="2" t="s">
        <v>12749</v>
      </c>
      <c r="G11098" s="2" t="str">
        <f>"SR-8161"</f>
        <v>SR-8161</v>
      </c>
      <c r="H11098" s="2" t="s">
        <v>35011</v>
      </c>
      <c r="I11098" s="2" t="s">
        <v>35012</v>
      </c>
      <c r="K11098" s="2" t="s">
        <v>35013</v>
      </c>
      <c r="L11098" s="2" t="s">
        <v>149</v>
      </c>
      <c r="M11098" s="2">
        <v>46062.0</v>
      </c>
      <c r="N11098" s="2" t="s">
        <v>21</v>
      </c>
    </row>
    <row r="11099" ht="15.75" customHeight="1">
      <c r="A11099" s="2">
        <v>2019.0</v>
      </c>
      <c r="B11099" s="2" t="s">
        <v>44644</v>
      </c>
      <c r="C11099" s="2" t="s">
        <v>44645</v>
      </c>
      <c r="D11099" s="2" t="str">
        <f>"612-979-3594"</f>
        <v>612-979-3594</v>
      </c>
      <c r="E11099" s="2" t="s">
        <v>2965</v>
      </c>
      <c r="F11099" s="2" t="s">
        <v>2328</v>
      </c>
      <c r="G11099" s="2" t="str">
        <f>"SR-15632"</f>
        <v>SR-15632</v>
      </c>
      <c r="H11099" s="2" t="s">
        <v>44646</v>
      </c>
      <c r="I11099" s="2" t="s">
        <v>2330</v>
      </c>
      <c r="K11099" s="2" t="s">
        <v>1490</v>
      </c>
      <c r="L11099" s="2" t="s">
        <v>62</v>
      </c>
      <c r="M11099" s="2">
        <v>55347.0</v>
      </c>
      <c r="N11099" s="2" t="s">
        <v>21</v>
      </c>
    </row>
    <row r="11100" ht="15.75" customHeight="1">
      <c r="A11100" s="2">
        <v>2019.0</v>
      </c>
      <c r="B11100" s="2" t="s">
        <v>44647</v>
      </c>
      <c r="C11100" s="2" t="s">
        <v>44647</v>
      </c>
      <c r="D11100" s="2" t="str">
        <f>"918-671-6345"</f>
        <v>918-671-6345</v>
      </c>
      <c r="E11100" s="2" t="s">
        <v>301</v>
      </c>
      <c r="F11100" s="2" t="s">
        <v>44648</v>
      </c>
      <c r="G11100" s="2" t="str">
        <f>"SR-15464"</f>
        <v>SR-15464</v>
      </c>
      <c r="H11100" s="2" t="s">
        <v>44649</v>
      </c>
      <c r="I11100" s="2" t="s">
        <v>44650</v>
      </c>
      <c r="K11100" s="2" t="s">
        <v>20517</v>
      </c>
      <c r="L11100" s="2" t="s">
        <v>840</v>
      </c>
      <c r="M11100" s="2">
        <v>74135.0</v>
      </c>
      <c r="N11100" s="2" t="s">
        <v>21</v>
      </c>
    </row>
    <row r="11101" ht="15.75" customHeight="1">
      <c r="A11101" s="2">
        <v>2019.0</v>
      </c>
      <c r="B11101" s="2" t="s">
        <v>32738</v>
      </c>
      <c r="C11101" s="2" t="s">
        <v>44651</v>
      </c>
      <c r="D11101" s="2" t="str">
        <f>"402-321-4763"</f>
        <v>402-321-4763</v>
      </c>
      <c r="E11101" s="2" t="s">
        <v>239</v>
      </c>
      <c r="F11101" s="2" t="s">
        <v>32741</v>
      </c>
      <c r="G11101" s="2" t="str">
        <f>"SR-15657"</f>
        <v>SR-15657</v>
      </c>
      <c r="H11101" s="2" t="s">
        <v>44652</v>
      </c>
      <c r="I11101" s="2" t="s">
        <v>32743</v>
      </c>
      <c r="K11101" s="2" t="s">
        <v>1470</v>
      </c>
      <c r="L11101" s="2" t="s">
        <v>757</v>
      </c>
      <c r="M11101" s="2">
        <v>68106.0</v>
      </c>
      <c r="N11101" s="2" t="s">
        <v>21</v>
      </c>
    </row>
    <row r="11102" ht="15.75" customHeight="1">
      <c r="A11102" s="2">
        <v>2019.0</v>
      </c>
      <c r="B11102" s="2" t="s">
        <v>44653</v>
      </c>
      <c r="C11102" s="2" t="s">
        <v>44653</v>
      </c>
      <c r="D11102" s="2" t="str">
        <f>"740-524-4912"</f>
        <v>740-524-4912</v>
      </c>
      <c r="E11102" s="2" t="s">
        <v>5760</v>
      </c>
      <c r="F11102" s="2" t="s">
        <v>13877</v>
      </c>
      <c r="G11102" s="2" t="str">
        <f>"SR-15334"</f>
        <v>SR-15334</v>
      </c>
      <c r="H11102" s="2" t="s">
        <v>44654</v>
      </c>
      <c r="I11102" s="2" t="s">
        <v>43502</v>
      </c>
      <c r="K11102" s="2" t="s">
        <v>41353</v>
      </c>
      <c r="L11102" s="2" t="s">
        <v>344</v>
      </c>
      <c r="M11102" s="2">
        <v>43074.0</v>
      </c>
      <c r="N11102" s="2" t="s">
        <v>21</v>
      </c>
    </row>
    <row r="11103" ht="15.75" customHeight="1">
      <c r="A11103" s="2">
        <v>2019.0</v>
      </c>
      <c r="B11103" s="2" t="s">
        <v>44655</v>
      </c>
      <c r="C11103" s="2" t="s">
        <v>44656</v>
      </c>
      <c r="D11103" s="2" t="str">
        <f>"5177060108"</f>
        <v>5177060108</v>
      </c>
      <c r="E11103" s="2" t="s">
        <v>1946</v>
      </c>
      <c r="F11103" s="2" t="s">
        <v>44657</v>
      </c>
      <c r="G11103" s="2" t="str">
        <f>"SR-15658"</f>
        <v>SR-15658</v>
      </c>
      <c r="H11103" s="2" t="s">
        <v>44658</v>
      </c>
      <c r="I11103" s="2" t="s">
        <v>44659</v>
      </c>
      <c r="K11103" s="2" t="s">
        <v>44660</v>
      </c>
      <c r="L11103" s="2" t="s">
        <v>29</v>
      </c>
      <c r="M11103" s="2">
        <v>48864.0</v>
      </c>
      <c r="N11103" s="2" t="s">
        <v>21</v>
      </c>
    </row>
    <row r="11104" ht="15.75" customHeight="1">
      <c r="A11104" s="2">
        <v>2019.0</v>
      </c>
      <c r="B11104" s="2" t="s">
        <v>44661</v>
      </c>
      <c r="C11104" s="2" t="s">
        <v>44662</v>
      </c>
      <c r="D11104" s="2" t="str">
        <f>"571-330-1413"</f>
        <v>571-330-1413</v>
      </c>
      <c r="E11104" s="2" t="s">
        <v>3977</v>
      </c>
      <c r="F11104" s="2" t="s">
        <v>44663</v>
      </c>
      <c r="G11104" s="2" t="str">
        <f>"SR-15332"</f>
        <v>SR-15332</v>
      </c>
      <c r="H11104" s="2" t="s">
        <v>44664</v>
      </c>
      <c r="I11104" s="2" t="s">
        <v>44665</v>
      </c>
      <c r="K11104" s="2" t="s">
        <v>21389</v>
      </c>
      <c r="L11104" s="2" t="s">
        <v>165</v>
      </c>
      <c r="M11104" s="2">
        <v>20155.0</v>
      </c>
      <c r="N11104" s="2" t="s">
        <v>21</v>
      </c>
    </row>
    <row r="11105" ht="15.75" customHeight="1">
      <c r="A11105" s="2">
        <v>2019.0</v>
      </c>
      <c r="B11105" s="2" t="s">
        <v>44666</v>
      </c>
      <c r="C11105" s="2" t="s">
        <v>44667</v>
      </c>
      <c r="D11105" s="2" t="str">
        <f>"540-931-5121"</f>
        <v>540-931-5121</v>
      </c>
      <c r="E11105" s="2" t="s">
        <v>44668</v>
      </c>
      <c r="F11105" s="2" t="s">
        <v>4652</v>
      </c>
      <c r="G11105" s="2" t="str">
        <f>"SR-15659"</f>
        <v>SR-15659</v>
      </c>
      <c r="H11105" s="2" t="s">
        <v>44669</v>
      </c>
      <c r="I11105" s="2" t="s">
        <v>44670</v>
      </c>
      <c r="K11105" s="2" t="s">
        <v>17530</v>
      </c>
      <c r="L11105" s="2" t="s">
        <v>279</v>
      </c>
      <c r="M11105" s="2">
        <v>37029.0</v>
      </c>
      <c r="N11105" s="2" t="s">
        <v>21</v>
      </c>
    </row>
    <row r="11106" ht="15.75" customHeight="1">
      <c r="A11106" s="2">
        <v>2019.0</v>
      </c>
      <c r="B11106" s="2" t="s">
        <v>44671</v>
      </c>
      <c r="C11106" s="2" t="s">
        <v>44672</v>
      </c>
      <c r="D11106" s="2" t="str">
        <f>"7062840370"</f>
        <v>7062840370</v>
      </c>
      <c r="E11106" s="2" t="s">
        <v>44673</v>
      </c>
      <c r="F11106" s="2" t="s">
        <v>19742</v>
      </c>
      <c r="G11106" s="2" t="str">
        <f>"SR-15662"</f>
        <v>SR-15662</v>
      </c>
      <c r="H11106" s="2" t="s">
        <v>44674</v>
      </c>
      <c r="I11106" s="2" t="s">
        <v>44675</v>
      </c>
      <c r="K11106" s="2" t="s">
        <v>199</v>
      </c>
      <c r="L11106" s="2" t="s">
        <v>200</v>
      </c>
      <c r="M11106" s="2">
        <v>30907.0</v>
      </c>
      <c r="N11106" s="2" t="s">
        <v>21</v>
      </c>
    </row>
    <row r="11107" ht="15.75" customHeight="1">
      <c r="A11107" s="2">
        <v>2019.0</v>
      </c>
      <c r="B11107" s="2" t="s">
        <v>44676</v>
      </c>
      <c r="C11107" s="2" t="s">
        <v>44677</v>
      </c>
      <c r="D11107" s="2" t="str">
        <f>"920-381-8305"</f>
        <v>920-381-8305</v>
      </c>
      <c r="E11107" s="2" t="s">
        <v>2941</v>
      </c>
      <c r="F11107" s="2" t="s">
        <v>44678</v>
      </c>
      <c r="G11107" s="2" t="str">
        <f>"SR-15661"</f>
        <v>SR-15661</v>
      </c>
      <c r="H11107" s="2" t="s">
        <v>44679</v>
      </c>
      <c r="I11107" s="2" t="s">
        <v>44680</v>
      </c>
      <c r="K11107" s="2" t="s">
        <v>7667</v>
      </c>
      <c r="L11107" s="2" t="s">
        <v>193</v>
      </c>
      <c r="M11107" s="2">
        <v>54915.0</v>
      </c>
      <c r="N11107" s="2" t="s">
        <v>21</v>
      </c>
    </row>
    <row r="11108" ht="15.75" customHeight="1">
      <c r="A11108" s="2">
        <v>2019.0</v>
      </c>
      <c r="B11108" s="2" t="s">
        <v>39765</v>
      </c>
      <c r="C11108" s="2" t="s">
        <v>39766</v>
      </c>
      <c r="D11108" s="2" t="str">
        <f>"8434690331"</f>
        <v>8434690331</v>
      </c>
      <c r="E11108" s="2" t="s">
        <v>534</v>
      </c>
      <c r="F11108" s="2" t="s">
        <v>2771</v>
      </c>
      <c r="G11108" s="2" t="str">
        <f>"SR-13243"</f>
        <v>SR-13243</v>
      </c>
      <c r="H11108" s="2" t="s">
        <v>39767</v>
      </c>
      <c r="I11108" s="2" t="s">
        <v>39768</v>
      </c>
      <c r="K11108" s="2" t="s">
        <v>19068</v>
      </c>
      <c r="L11108" s="2" t="s">
        <v>200</v>
      </c>
      <c r="M11108" s="2">
        <v>30813.0</v>
      </c>
      <c r="N11108" s="2" t="s">
        <v>21</v>
      </c>
    </row>
    <row r="11109" ht="15.75" customHeight="1">
      <c r="A11109" s="2">
        <v>2019.0</v>
      </c>
      <c r="B11109" s="2" t="s">
        <v>44681</v>
      </c>
      <c r="C11109" s="2" t="s">
        <v>44681</v>
      </c>
      <c r="D11109" s="2" t="str">
        <f>"775-247-0712"</f>
        <v>775-247-0712</v>
      </c>
      <c r="E11109" s="2" t="s">
        <v>1239</v>
      </c>
      <c r="F11109" s="2" t="s">
        <v>44682</v>
      </c>
      <c r="G11109" s="2" t="str">
        <f>"SR-15663"</f>
        <v>SR-15663</v>
      </c>
      <c r="H11109" s="2" t="s">
        <v>44683</v>
      </c>
      <c r="I11109" s="2" t="s">
        <v>44684</v>
      </c>
      <c r="J11109" s="2" t="s">
        <v>44685</v>
      </c>
      <c r="K11109" s="2" t="s">
        <v>44686</v>
      </c>
      <c r="L11109" s="2" t="s">
        <v>1419</v>
      </c>
      <c r="M11109" s="2">
        <v>89449.0</v>
      </c>
      <c r="N11109" s="2" t="s">
        <v>21</v>
      </c>
    </row>
    <row r="11110" ht="15.75" customHeight="1">
      <c r="A11110" s="2">
        <v>2019.0</v>
      </c>
      <c r="B11110" s="2" t="s">
        <v>44687</v>
      </c>
      <c r="C11110" s="2" t="s">
        <v>44688</v>
      </c>
      <c r="D11110" s="2" t="str">
        <f>"7047781705"</f>
        <v>7047781705</v>
      </c>
      <c r="E11110" s="2" t="s">
        <v>15</v>
      </c>
      <c r="F11110" s="2" t="s">
        <v>35432</v>
      </c>
      <c r="G11110" s="2" t="str">
        <f>"SR-15664"</f>
        <v>SR-15664</v>
      </c>
      <c r="H11110" s="2" t="s">
        <v>44689</v>
      </c>
      <c r="I11110" s="2" t="s">
        <v>44690</v>
      </c>
      <c r="K11110" s="2" t="s">
        <v>11041</v>
      </c>
      <c r="L11110" s="2" t="s">
        <v>165</v>
      </c>
      <c r="M11110" s="2">
        <v>22901.0</v>
      </c>
      <c r="N11110" s="2" t="s">
        <v>21</v>
      </c>
    </row>
    <row r="11111" ht="15.75" customHeight="1">
      <c r="A11111" s="2">
        <v>2019.0</v>
      </c>
      <c r="B11111" s="2" t="s">
        <v>26655</v>
      </c>
      <c r="C11111" s="2" t="s">
        <v>44691</v>
      </c>
      <c r="D11111" s="2" t="str">
        <f>"7203735389"</f>
        <v>7203735389</v>
      </c>
      <c r="E11111" s="2" t="s">
        <v>718</v>
      </c>
      <c r="F11111" s="2" t="s">
        <v>26657</v>
      </c>
      <c r="G11111" s="2" t="str">
        <f>"SR-15653"</f>
        <v>SR-15653</v>
      </c>
      <c r="H11111" s="2" t="s">
        <v>44692</v>
      </c>
      <c r="I11111" s="2" t="s">
        <v>26659</v>
      </c>
      <c r="K11111" s="2" t="s">
        <v>992</v>
      </c>
      <c r="L11111" s="2" t="s">
        <v>157</v>
      </c>
      <c r="M11111" s="2">
        <v>80015.0</v>
      </c>
      <c r="N11111" s="2" t="s">
        <v>21</v>
      </c>
    </row>
    <row r="11112" ht="15.75" customHeight="1">
      <c r="A11112" s="2">
        <v>2019.0</v>
      </c>
      <c r="B11112" s="2" t="s">
        <v>44693</v>
      </c>
      <c r="C11112" s="2" t="s">
        <v>44694</v>
      </c>
      <c r="D11112" s="2" t="str">
        <f>"4179899386"</f>
        <v>4179899386</v>
      </c>
      <c r="E11112" s="2" t="s">
        <v>44695</v>
      </c>
      <c r="F11112" s="2" t="s">
        <v>44696</v>
      </c>
      <c r="G11112" s="2" t="str">
        <f>"SR-15665"</f>
        <v>SR-15665</v>
      </c>
      <c r="H11112" s="2" t="s">
        <v>44697</v>
      </c>
      <c r="I11112" s="2" t="s">
        <v>44698</v>
      </c>
      <c r="K11112" s="2" t="s">
        <v>44699</v>
      </c>
      <c r="L11112" s="2" t="s">
        <v>214</v>
      </c>
      <c r="M11112" s="2">
        <v>65746.0</v>
      </c>
      <c r="N11112" s="2" t="s">
        <v>21</v>
      </c>
    </row>
    <row r="11113" ht="15.75" customHeight="1">
      <c r="A11113" s="2">
        <v>2019.0</v>
      </c>
      <c r="B11113" s="2" t="s">
        <v>44700</v>
      </c>
      <c r="C11113" s="2" t="s">
        <v>44700</v>
      </c>
      <c r="D11113" s="2" t="str">
        <f>"8067812281"</f>
        <v>8067812281</v>
      </c>
      <c r="E11113" s="2" t="s">
        <v>485</v>
      </c>
      <c r="F11113" s="2" t="s">
        <v>44701</v>
      </c>
      <c r="G11113" s="2" t="str">
        <f>"SR-15666"</f>
        <v>SR-15666</v>
      </c>
      <c r="H11113" s="2" t="s">
        <v>44702</v>
      </c>
      <c r="I11113" s="2" t="s">
        <v>44703</v>
      </c>
      <c r="K11113" s="2" t="s">
        <v>1121</v>
      </c>
      <c r="L11113" s="2" t="s">
        <v>172</v>
      </c>
      <c r="M11113" s="2">
        <v>79413.0</v>
      </c>
      <c r="N11113" s="2" t="s">
        <v>21</v>
      </c>
    </row>
    <row r="11114" ht="15.75" customHeight="1">
      <c r="A11114" s="2">
        <v>2019.0</v>
      </c>
      <c r="B11114" s="2" t="s">
        <v>44704</v>
      </c>
      <c r="C11114" s="2" t="s">
        <v>44704</v>
      </c>
      <c r="D11114" s="2" t="str">
        <f>"7752336700"</f>
        <v>7752336700</v>
      </c>
      <c r="E11114" s="2" t="s">
        <v>386</v>
      </c>
      <c r="F11114" s="2" t="s">
        <v>44682</v>
      </c>
      <c r="G11114" s="2" t="str">
        <f>"SR-15667"</f>
        <v>SR-15667</v>
      </c>
      <c r="H11114" s="2" t="s">
        <v>44705</v>
      </c>
      <c r="I11114" s="2" t="s">
        <v>44706</v>
      </c>
      <c r="J11114" s="2" t="s">
        <v>44707</v>
      </c>
      <c r="K11114" s="2" t="s">
        <v>44686</v>
      </c>
      <c r="L11114" s="2" t="s">
        <v>1419</v>
      </c>
      <c r="M11114" s="2">
        <v>89449.0</v>
      </c>
      <c r="N11114" s="2" t="s">
        <v>21</v>
      </c>
    </row>
    <row r="11115" ht="15.75" customHeight="1">
      <c r="A11115" s="2">
        <v>2019.0</v>
      </c>
      <c r="B11115" s="2" t="s">
        <v>44708</v>
      </c>
      <c r="C11115" s="2" t="s">
        <v>44709</v>
      </c>
      <c r="D11115" s="2" t="str">
        <f>"2812502769"</f>
        <v>2812502769</v>
      </c>
      <c r="E11115" s="2" t="s">
        <v>44710</v>
      </c>
      <c r="F11115" s="2" t="s">
        <v>44711</v>
      </c>
      <c r="G11115" s="2" t="str">
        <f>"SR-15668"</f>
        <v>SR-15668</v>
      </c>
      <c r="H11115" s="2" t="s">
        <v>44712</v>
      </c>
      <c r="I11115" s="2" t="s">
        <v>44713</v>
      </c>
      <c r="K11115" s="2" t="s">
        <v>1141</v>
      </c>
      <c r="L11115" s="2" t="s">
        <v>172</v>
      </c>
      <c r="M11115" s="2">
        <v>78747.0</v>
      </c>
      <c r="N11115" s="2" t="s">
        <v>21</v>
      </c>
    </row>
    <row r="11116" ht="15.75" customHeight="1">
      <c r="A11116" s="2">
        <v>2019.0</v>
      </c>
      <c r="B11116" s="2" t="s">
        <v>44714</v>
      </c>
      <c r="C11116" s="2" t="s">
        <v>44715</v>
      </c>
      <c r="D11116" s="2" t="str">
        <f>"7192165609"</f>
        <v>7192165609</v>
      </c>
      <c r="E11116" s="2" t="s">
        <v>26136</v>
      </c>
      <c r="F11116" s="2" t="s">
        <v>44716</v>
      </c>
      <c r="G11116" s="2" t="str">
        <f>"SR-15490"</f>
        <v>SR-15490</v>
      </c>
      <c r="H11116" s="2" t="s">
        <v>44717</v>
      </c>
      <c r="I11116" s="2" t="s">
        <v>44718</v>
      </c>
      <c r="K11116" s="2" t="s">
        <v>809</v>
      </c>
      <c r="L11116" s="2" t="s">
        <v>157</v>
      </c>
      <c r="M11116" s="2">
        <v>80919.0</v>
      </c>
      <c r="N11116" s="2" t="s">
        <v>21</v>
      </c>
    </row>
    <row r="11117" ht="15.75" customHeight="1">
      <c r="A11117" s="2">
        <v>2019.0</v>
      </c>
      <c r="B11117" s="2" t="s">
        <v>19486</v>
      </c>
      <c r="C11117" s="2" t="s">
        <v>41269</v>
      </c>
      <c r="D11117" s="2" t="str">
        <f>"346-310-0916"</f>
        <v>346-310-0916</v>
      </c>
      <c r="E11117" s="2" t="s">
        <v>339</v>
      </c>
      <c r="F11117" s="2" t="s">
        <v>3842</v>
      </c>
      <c r="G11117" s="2" t="str">
        <f>"SR-14154"</f>
        <v>SR-14154</v>
      </c>
      <c r="H11117" s="2" t="s">
        <v>41270</v>
      </c>
      <c r="I11117" s="2" t="s">
        <v>41271</v>
      </c>
      <c r="K11117" s="2" t="s">
        <v>6499</v>
      </c>
      <c r="L11117" s="2" t="s">
        <v>172</v>
      </c>
      <c r="M11117" s="2">
        <v>77493.0</v>
      </c>
      <c r="N11117" s="2" t="s">
        <v>21</v>
      </c>
    </row>
    <row r="11118" ht="15.75" customHeight="1">
      <c r="A11118" s="2">
        <v>2019.0</v>
      </c>
      <c r="B11118" s="2" t="s">
        <v>44719</v>
      </c>
      <c r="C11118" s="2" t="s">
        <v>44719</v>
      </c>
      <c r="D11118" s="2" t="str">
        <f>"4022376310"</f>
        <v>4022376310</v>
      </c>
      <c r="E11118" s="2" t="s">
        <v>10131</v>
      </c>
      <c r="F11118" s="2" t="s">
        <v>10132</v>
      </c>
      <c r="G11118" s="2" t="str">
        <f>"SR-15601"</f>
        <v>SR-15601</v>
      </c>
      <c r="H11118" s="2" t="s">
        <v>10133</v>
      </c>
      <c r="I11118" s="2" t="s">
        <v>24697</v>
      </c>
      <c r="K11118" s="2" t="s">
        <v>4981</v>
      </c>
      <c r="L11118" s="2" t="s">
        <v>757</v>
      </c>
      <c r="M11118" s="2">
        <v>68008.0</v>
      </c>
      <c r="N11118" s="2" t="s">
        <v>21</v>
      </c>
    </row>
    <row r="11119" ht="15.75" customHeight="1">
      <c r="A11119" s="2">
        <v>2019.0</v>
      </c>
      <c r="B11119" s="2" t="s">
        <v>44720</v>
      </c>
      <c r="C11119" s="2" t="s">
        <v>44721</v>
      </c>
      <c r="D11119" s="2" t="str">
        <f>"6142829849"</f>
        <v>6142829849</v>
      </c>
      <c r="E11119" s="2" t="s">
        <v>57</v>
      </c>
      <c r="F11119" s="2" t="s">
        <v>44722</v>
      </c>
      <c r="G11119" s="2" t="str">
        <f>"SR-7332"</f>
        <v>SR-7332</v>
      </c>
      <c r="H11119" s="2" t="s">
        <v>44723</v>
      </c>
      <c r="I11119" s="2" t="s">
        <v>44724</v>
      </c>
      <c r="K11119" s="2" t="s">
        <v>2771</v>
      </c>
      <c r="L11119" s="2" t="s">
        <v>344</v>
      </c>
      <c r="M11119" s="2">
        <v>43065.0</v>
      </c>
      <c r="N11119" s="2" t="s">
        <v>21</v>
      </c>
    </row>
    <row r="11120" ht="15.75" customHeight="1">
      <c r="A11120" s="2">
        <v>2019.0</v>
      </c>
      <c r="B11120" s="2" t="s">
        <v>44725</v>
      </c>
      <c r="C11120" s="2" t="s">
        <v>44726</v>
      </c>
      <c r="D11120" s="2" t="str">
        <f>"7068605631"</f>
        <v>7068605631</v>
      </c>
      <c r="E11120" s="2" t="s">
        <v>3831</v>
      </c>
      <c r="F11120" s="2" t="s">
        <v>8766</v>
      </c>
      <c r="G11120" s="2" t="str">
        <f>"SR-15669"</f>
        <v>SR-15669</v>
      </c>
      <c r="H11120" s="2" t="s">
        <v>44727</v>
      </c>
      <c r="I11120" s="2" t="s">
        <v>44728</v>
      </c>
      <c r="K11120" s="2" t="s">
        <v>11436</v>
      </c>
      <c r="L11120" s="2" t="s">
        <v>200</v>
      </c>
      <c r="M11120" s="2">
        <v>30907.0</v>
      </c>
      <c r="N11120" s="2" t="s">
        <v>21</v>
      </c>
    </row>
    <row r="11121" ht="15.75" customHeight="1">
      <c r="A11121" s="2">
        <v>2019.0</v>
      </c>
      <c r="B11121" s="2" t="s">
        <v>44729</v>
      </c>
      <c r="C11121" s="2" t="s">
        <v>44729</v>
      </c>
      <c r="D11121" s="2" t="str">
        <f>"7606193343"</f>
        <v>7606193343</v>
      </c>
      <c r="E11121" s="2" t="s">
        <v>16505</v>
      </c>
      <c r="F11121" s="2" t="s">
        <v>44730</v>
      </c>
      <c r="G11121" s="2" t="str">
        <f>"SR-15670"</f>
        <v>SR-15670</v>
      </c>
      <c r="H11121" s="2" t="s">
        <v>44731</v>
      </c>
      <c r="I11121" s="2" t="s">
        <v>44732</v>
      </c>
      <c r="K11121" s="2" t="s">
        <v>44733</v>
      </c>
      <c r="L11121" s="2" t="s">
        <v>222</v>
      </c>
      <c r="M11121" s="2">
        <v>92253.0</v>
      </c>
      <c r="N11121" s="2" t="s">
        <v>21</v>
      </c>
    </row>
    <row r="11122" ht="15.75" customHeight="1">
      <c r="A11122" s="2">
        <v>2019.0</v>
      </c>
      <c r="B11122" s="2" t="s">
        <v>44734</v>
      </c>
      <c r="C11122" s="2" t="s">
        <v>44735</v>
      </c>
      <c r="D11122" s="2" t="str">
        <f>"9104677009"</f>
        <v>9104677009</v>
      </c>
      <c r="E11122" s="2" t="s">
        <v>2378</v>
      </c>
      <c r="F11122" s="2" t="s">
        <v>256</v>
      </c>
      <c r="G11122" s="2" t="str">
        <f>"SR-15671"</f>
        <v>SR-15671</v>
      </c>
      <c r="H11122" s="2" t="s">
        <v>44736</v>
      </c>
      <c r="I11122" s="2" t="s">
        <v>44737</v>
      </c>
      <c r="K11122" s="2" t="s">
        <v>451</v>
      </c>
      <c r="L11122" s="2" t="s">
        <v>20</v>
      </c>
      <c r="M11122" s="2">
        <v>28540.0</v>
      </c>
      <c r="N11122" s="2" t="s">
        <v>21</v>
      </c>
    </row>
    <row r="11123" ht="15.75" customHeight="1">
      <c r="A11123" s="2">
        <v>2019.0</v>
      </c>
      <c r="B11123" s="2" t="s">
        <v>44738</v>
      </c>
      <c r="C11123" s="2" t="s">
        <v>30438</v>
      </c>
      <c r="D11123" s="2" t="str">
        <f>"817-733-7173"</f>
        <v>817-733-7173</v>
      </c>
      <c r="E11123" s="2" t="s">
        <v>1810</v>
      </c>
      <c r="F11123" s="2" t="s">
        <v>26437</v>
      </c>
      <c r="G11123" s="2" t="str">
        <f>"SR-15672"</f>
        <v>SR-15672</v>
      </c>
      <c r="H11123" s="2" t="s">
        <v>30439</v>
      </c>
      <c r="I11123" s="2" t="s">
        <v>44739</v>
      </c>
      <c r="K11123" s="2" t="s">
        <v>26440</v>
      </c>
      <c r="L11123" s="2" t="s">
        <v>172</v>
      </c>
      <c r="M11123" s="2">
        <v>76259.0</v>
      </c>
      <c r="N11123" s="2" t="s">
        <v>21</v>
      </c>
    </row>
    <row r="11124" ht="15.75" customHeight="1">
      <c r="A11124" s="2">
        <v>2019.0</v>
      </c>
      <c r="B11124" s="2" t="s">
        <v>44740</v>
      </c>
      <c r="C11124" s="2" t="s">
        <v>44741</v>
      </c>
      <c r="D11124" s="2" t="str">
        <f>"5053304749"</f>
        <v>5053304749</v>
      </c>
      <c r="E11124" s="2" t="s">
        <v>44742</v>
      </c>
      <c r="F11124" s="2" t="s">
        <v>44743</v>
      </c>
      <c r="G11124" s="2" t="str">
        <f>"SR-15660"</f>
        <v>SR-15660</v>
      </c>
      <c r="H11124" s="2" t="s">
        <v>44744</v>
      </c>
      <c r="I11124" s="2" t="s">
        <v>44745</v>
      </c>
      <c r="K11124" s="2" t="s">
        <v>1054</v>
      </c>
      <c r="L11124" s="2" t="s">
        <v>157</v>
      </c>
      <c r="M11124" s="2">
        <v>80138.0</v>
      </c>
      <c r="N11124" s="2" t="s">
        <v>21</v>
      </c>
    </row>
    <row r="11125" ht="15.75" customHeight="1">
      <c r="A11125" s="2">
        <v>2019.0</v>
      </c>
      <c r="B11125" s="2" t="s">
        <v>44746</v>
      </c>
      <c r="C11125" s="2" t="s">
        <v>44746</v>
      </c>
      <c r="D11125" s="2" t="str">
        <f>"5125902447"</f>
        <v>5125902447</v>
      </c>
      <c r="E11125" s="2" t="s">
        <v>1263</v>
      </c>
      <c r="F11125" s="2" t="s">
        <v>40547</v>
      </c>
      <c r="G11125" s="2" t="str">
        <f>"SR-15598"</f>
        <v>SR-15598</v>
      </c>
      <c r="H11125" s="2" t="s">
        <v>44747</v>
      </c>
      <c r="I11125" s="2" t="s">
        <v>44748</v>
      </c>
      <c r="K11125" s="2" t="s">
        <v>44749</v>
      </c>
      <c r="L11125" s="2" t="s">
        <v>172</v>
      </c>
      <c r="M11125" s="2">
        <v>78737.0</v>
      </c>
      <c r="N11125" s="2" t="s">
        <v>21</v>
      </c>
    </row>
    <row r="11126" ht="15.75" customHeight="1">
      <c r="A11126" s="2">
        <v>2019.0</v>
      </c>
      <c r="B11126" s="2" t="s">
        <v>40546</v>
      </c>
      <c r="C11126" s="2" t="s">
        <v>40546</v>
      </c>
      <c r="D11126" s="2" t="str">
        <f>"6362951086"</f>
        <v>6362951086</v>
      </c>
      <c r="E11126" s="2" t="s">
        <v>4300</v>
      </c>
      <c r="F11126" s="2" t="s">
        <v>40547</v>
      </c>
      <c r="G11126" s="2" t="str">
        <f>"SR-13885"</f>
        <v>SR-13885</v>
      </c>
      <c r="H11126" s="2" t="s">
        <v>40548</v>
      </c>
      <c r="I11126" s="2" t="s">
        <v>40549</v>
      </c>
      <c r="K11126" s="2" t="s">
        <v>1141</v>
      </c>
      <c r="L11126" s="2" t="s">
        <v>172</v>
      </c>
      <c r="M11126" s="2">
        <v>78736.0</v>
      </c>
      <c r="N11126" s="2" t="s">
        <v>21</v>
      </c>
    </row>
    <row r="11127" ht="15.75" customHeight="1">
      <c r="A11127" s="2">
        <v>2019.0</v>
      </c>
      <c r="B11127" s="2" t="s">
        <v>44750</v>
      </c>
      <c r="C11127" s="2" t="s">
        <v>44751</v>
      </c>
      <c r="D11127" s="2" t="str">
        <f>"12708013659"</f>
        <v>12708013659</v>
      </c>
      <c r="E11127" s="2" t="s">
        <v>690</v>
      </c>
      <c r="F11127" s="2" t="s">
        <v>31968</v>
      </c>
      <c r="G11127" s="2" t="str">
        <f>"SR-15673"</f>
        <v>SR-15673</v>
      </c>
      <c r="H11127" s="2" t="s">
        <v>44752</v>
      </c>
      <c r="I11127" s="2" t="s">
        <v>44753</v>
      </c>
      <c r="K11127" s="2" t="s">
        <v>44754</v>
      </c>
      <c r="L11127" s="2" t="s">
        <v>1236</v>
      </c>
      <c r="M11127" s="2">
        <v>40108.0</v>
      </c>
      <c r="N11127" s="2" t="s">
        <v>21</v>
      </c>
    </row>
    <row r="11128" ht="15.75" customHeight="1">
      <c r="A11128" s="2">
        <v>2019.0</v>
      </c>
      <c r="B11128" s="2" t="s">
        <v>44755</v>
      </c>
      <c r="C11128" s="2" t="s">
        <v>44755</v>
      </c>
      <c r="D11128" s="2" t="str">
        <f>"8153269184"</f>
        <v>8153269184</v>
      </c>
      <c r="E11128" s="2" t="s">
        <v>19222</v>
      </c>
      <c r="F11128" s="2" t="s">
        <v>94</v>
      </c>
      <c r="G11128" s="2" t="str">
        <f>"SR-15674"</f>
        <v>SR-15674</v>
      </c>
      <c r="H11128" s="2" t="s">
        <v>44756</v>
      </c>
      <c r="I11128" s="2" t="s">
        <v>44757</v>
      </c>
      <c r="K11128" s="2" t="s">
        <v>21022</v>
      </c>
      <c r="L11128" s="2" t="s">
        <v>105</v>
      </c>
      <c r="M11128" s="2">
        <v>60187.0</v>
      </c>
      <c r="N11128" s="2" t="s">
        <v>21</v>
      </c>
    </row>
    <row r="11129" ht="15.75" customHeight="1">
      <c r="A11129" s="2">
        <v>2019.0</v>
      </c>
      <c r="B11129" s="2" t="s">
        <v>44740</v>
      </c>
      <c r="C11129" s="2" t="s">
        <v>44758</v>
      </c>
      <c r="D11129" s="2" t="str">
        <f>"5053304749"</f>
        <v>5053304749</v>
      </c>
      <c r="E11129" s="2" t="s">
        <v>1664</v>
      </c>
      <c r="F11129" s="2" t="s">
        <v>44743</v>
      </c>
      <c r="G11129" s="2" t="str">
        <f>"SR-15676"</f>
        <v>SR-15676</v>
      </c>
      <c r="H11129" s="2" t="s">
        <v>44759</v>
      </c>
      <c r="I11129" s="2" t="s">
        <v>44745</v>
      </c>
      <c r="K11129" s="2" t="s">
        <v>1054</v>
      </c>
      <c r="L11129" s="2" t="s">
        <v>157</v>
      </c>
      <c r="M11129" s="2">
        <v>80138.0</v>
      </c>
      <c r="N11129" s="2" t="s">
        <v>21</v>
      </c>
    </row>
    <row r="11130" ht="15.75" customHeight="1">
      <c r="A11130" s="2">
        <v>2019.0</v>
      </c>
      <c r="B11130" s="2" t="s">
        <v>44760</v>
      </c>
      <c r="C11130" s="2" t="s">
        <v>44761</v>
      </c>
      <c r="D11130" s="2" t="str">
        <f>"(573) 453-8097"</f>
        <v>(573) 453-8097</v>
      </c>
      <c r="E11130" s="2" t="s">
        <v>678</v>
      </c>
      <c r="F11130" s="2" t="s">
        <v>44762</v>
      </c>
      <c r="G11130" s="2" t="str">
        <f>"SR-15678"</f>
        <v>SR-15678</v>
      </c>
      <c r="H11130" s="2" t="s">
        <v>44763</v>
      </c>
      <c r="I11130" s="2" t="s">
        <v>44764</v>
      </c>
      <c r="K11130" s="2" t="s">
        <v>5131</v>
      </c>
      <c r="L11130" s="2" t="s">
        <v>214</v>
      </c>
      <c r="M11130" s="2">
        <v>65560.0</v>
      </c>
      <c r="N11130" s="2" t="s">
        <v>21</v>
      </c>
    </row>
    <row r="11131" ht="15.75" customHeight="1">
      <c r="A11131" s="2">
        <v>2019.0</v>
      </c>
      <c r="B11131" s="2" t="s">
        <v>44765</v>
      </c>
      <c r="C11131" s="2" t="s">
        <v>44765</v>
      </c>
      <c r="D11131" s="2" t="str">
        <f>"8135510569"</f>
        <v>8135510569</v>
      </c>
      <c r="E11131" s="2" t="s">
        <v>485</v>
      </c>
      <c r="F11131" s="2" t="s">
        <v>7724</v>
      </c>
      <c r="G11131" s="2" t="str">
        <f>"SR-15337"</f>
        <v>SR-15337</v>
      </c>
      <c r="H11131" s="2" t="s">
        <v>44766</v>
      </c>
      <c r="I11131" s="2" t="s">
        <v>44767</v>
      </c>
      <c r="K11131" s="2" t="s">
        <v>32928</v>
      </c>
      <c r="L11131" s="2" t="s">
        <v>208</v>
      </c>
      <c r="M11131" s="2">
        <v>33569.0</v>
      </c>
      <c r="N11131" s="2" t="s">
        <v>21</v>
      </c>
    </row>
    <row r="11132" ht="15.75" customHeight="1">
      <c r="A11132" s="2">
        <v>2019.0</v>
      </c>
      <c r="B11132" s="2" t="s">
        <v>44768</v>
      </c>
      <c r="C11132" s="2" t="s">
        <v>44769</v>
      </c>
      <c r="D11132" s="2" t="str">
        <f>"225-726-9303"</f>
        <v>225-726-9303</v>
      </c>
      <c r="E11132" s="2" t="s">
        <v>21482</v>
      </c>
      <c r="F11132" s="2" t="s">
        <v>12320</v>
      </c>
      <c r="G11132" s="2" t="str">
        <f>"SR-15677"</f>
        <v>SR-15677</v>
      </c>
      <c r="H11132" s="2" t="s">
        <v>44770</v>
      </c>
      <c r="I11132" s="2" t="s">
        <v>44771</v>
      </c>
      <c r="K11132" s="2" t="s">
        <v>3654</v>
      </c>
      <c r="L11132" s="2" t="s">
        <v>715</v>
      </c>
      <c r="M11132" s="2">
        <v>70809.0</v>
      </c>
      <c r="N11132" s="2" t="s">
        <v>21</v>
      </c>
    </row>
    <row r="11133" ht="15.75" customHeight="1">
      <c r="A11133" s="2">
        <v>2019.0</v>
      </c>
      <c r="B11133" s="2" t="s">
        <v>44772</v>
      </c>
      <c r="C11133" s="2" t="s">
        <v>44773</v>
      </c>
      <c r="D11133" s="2" t="str">
        <f>"406-851-1844"</f>
        <v>406-851-1844</v>
      </c>
      <c r="E11133" s="2" t="s">
        <v>3434</v>
      </c>
      <c r="F11133" s="2" t="s">
        <v>44774</v>
      </c>
      <c r="G11133" s="2" t="str">
        <f>"SR-15679"</f>
        <v>SR-15679</v>
      </c>
      <c r="H11133" s="2" t="s">
        <v>44775</v>
      </c>
      <c r="I11133" s="2" t="s">
        <v>44776</v>
      </c>
      <c r="K11133" s="2" t="s">
        <v>5318</v>
      </c>
      <c r="L11133" s="2" t="s">
        <v>2696</v>
      </c>
      <c r="M11133" s="2">
        <v>59301.0</v>
      </c>
      <c r="N11133" s="2" t="s">
        <v>21</v>
      </c>
    </row>
    <row r="11134" ht="15.75" customHeight="1">
      <c r="A11134" s="2">
        <v>2019.0</v>
      </c>
      <c r="B11134" s="2" t="s">
        <v>44777</v>
      </c>
      <c r="C11134" s="2" t="s">
        <v>44778</v>
      </c>
      <c r="D11134" s="2" t="str">
        <f>"7192017032"</f>
        <v>7192017032</v>
      </c>
      <c r="E11134" s="2" t="s">
        <v>2126</v>
      </c>
      <c r="F11134" s="2" t="s">
        <v>13926</v>
      </c>
      <c r="G11134" s="2" t="str">
        <f>"SR-15680"</f>
        <v>SR-15680</v>
      </c>
      <c r="H11134" s="2" t="s">
        <v>44779</v>
      </c>
      <c r="I11134" s="2" t="s">
        <v>44780</v>
      </c>
      <c r="K11134" s="2" t="s">
        <v>809</v>
      </c>
      <c r="L11134" s="2" t="s">
        <v>157</v>
      </c>
      <c r="M11134" s="2">
        <v>80908.0</v>
      </c>
      <c r="N11134" s="2" t="s">
        <v>21</v>
      </c>
    </row>
    <row r="11135" ht="15.75" customHeight="1">
      <c r="A11135" s="2">
        <v>2019.0</v>
      </c>
      <c r="B11135" s="2" t="s">
        <v>44781</v>
      </c>
      <c r="D11135" s="2" t="str">
        <f>""</f>
        <v/>
      </c>
      <c r="E11135" s="2" t="s">
        <v>2309</v>
      </c>
      <c r="F11135" s="2" t="s">
        <v>44782</v>
      </c>
      <c r="G11135" s="2" t="str">
        <f>"SR-15683"</f>
        <v>SR-15683</v>
      </c>
      <c r="H11135" s="2" t="s">
        <v>44783</v>
      </c>
      <c r="N11135" s="2" t="s">
        <v>21</v>
      </c>
    </row>
    <row r="11136" ht="15.75" customHeight="1">
      <c r="A11136" s="2">
        <v>2019.0</v>
      </c>
      <c r="B11136" s="2" t="s">
        <v>44784</v>
      </c>
      <c r="C11136" s="2" t="s">
        <v>44785</v>
      </c>
      <c r="D11136" s="2" t="str">
        <f>"7202445658"</f>
        <v>7202445658</v>
      </c>
      <c r="E11136" s="2" t="s">
        <v>38390</v>
      </c>
      <c r="F11136" s="2" t="s">
        <v>199</v>
      </c>
      <c r="G11136" s="2" t="str">
        <f>"SR-15684"</f>
        <v>SR-15684</v>
      </c>
      <c r="H11136" s="2" t="s">
        <v>44786</v>
      </c>
      <c r="I11136" s="2" t="s">
        <v>44787</v>
      </c>
      <c r="K11136" s="2" t="s">
        <v>185</v>
      </c>
      <c r="L11136" s="2" t="s">
        <v>157</v>
      </c>
      <c r="M11136" s="2">
        <v>80111.0</v>
      </c>
      <c r="N11136" s="2" t="s">
        <v>21</v>
      </c>
    </row>
    <row r="11137" ht="15.75" customHeight="1">
      <c r="A11137" s="2">
        <v>2019.0</v>
      </c>
      <c r="B11137" s="2" t="s">
        <v>44788</v>
      </c>
      <c r="C11137" s="2" t="s">
        <v>44789</v>
      </c>
      <c r="D11137" s="2" t="str">
        <f>"8323162264"</f>
        <v>8323162264</v>
      </c>
      <c r="E11137" s="2" t="s">
        <v>2296</v>
      </c>
      <c r="F11137" s="2" t="s">
        <v>44790</v>
      </c>
      <c r="G11137" s="2" t="str">
        <f>"SR-15685"</f>
        <v>SR-15685</v>
      </c>
      <c r="H11137" s="2" t="s">
        <v>44791</v>
      </c>
      <c r="I11137" s="2" t="s">
        <v>44792</v>
      </c>
      <c r="K11137" s="2" t="s">
        <v>3524</v>
      </c>
      <c r="L11137" s="2" t="s">
        <v>172</v>
      </c>
      <c r="M11137" s="2">
        <v>77546.0</v>
      </c>
      <c r="N11137" s="2" t="s">
        <v>21</v>
      </c>
    </row>
    <row r="11138" ht="15.75" customHeight="1">
      <c r="A11138" s="2">
        <v>2019.0</v>
      </c>
      <c r="B11138" s="2" t="s">
        <v>44793</v>
      </c>
      <c r="C11138" s="2" t="s">
        <v>44794</v>
      </c>
      <c r="D11138" s="2" t="str">
        <f>"6156131646"</f>
        <v>6156131646</v>
      </c>
      <c r="E11138" s="2" t="s">
        <v>44795</v>
      </c>
      <c r="F11138" s="2" t="s">
        <v>591</v>
      </c>
      <c r="G11138" s="2" t="str">
        <f>"SR-15686"</f>
        <v>SR-15686</v>
      </c>
      <c r="H11138" s="2" t="s">
        <v>44796</v>
      </c>
      <c r="I11138" s="2" t="s">
        <v>44797</v>
      </c>
      <c r="K11138" s="2" t="s">
        <v>1133</v>
      </c>
      <c r="L11138" s="2" t="s">
        <v>222</v>
      </c>
      <c r="M11138" s="2">
        <v>91208.0</v>
      </c>
      <c r="N11138" s="2" t="s">
        <v>21</v>
      </c>
    </row>
    <row r="11139" ht="15.75" customHeight="1">
      <c r="A11139" s="2">
        <v>2019.0</v>
      </c>
      <c r="B11139" s="2" t="s">
        <v>44798</v>
      </c>
      <c r="C11139" s="2" t="s">
        <v>44799</v>
      </c>
      <c r="D11139" s="2" t="str">
        <f>"2186841713"</f>
        <v>2186841713</v>
      </c>
      <c r="E11139" s="2" t="s">
        <v>7498</v>
      </c>
      <c r="F11139" s="2" t="s">
        <v>44800</v>
      </c>
      <c r="G11139" s="2" t="str">
        <f>"SR-15687"</f>
        <v>SR-15687</v>
      </c>
      <c r="H11139" s="2" t="s">
        <v>44801</v>
      </c>
      <c r="I11139" s="2" t="s">
        <v>44802</v>
      </c>
      <c r="J11139" s="2" t="s">
        <v>44803</v>
      </c>
      <c r="K11139" s="2" t="s">
        <v>44804</v>
      </c>
      <c r="L11139" s="2" t="s">
        <v>62</v>
      </c>
      <c r="M11139" s="2">
        <v>56701.0</v>
      </c>
      <c r="N11139" s="2" t="s">
        <v>21</v>
      </c>
    </row>
    <row r="11140" ht="15.75" customHeight="1">
      <c r="A11140" s="2">
        <v>2019.0</v>
      </c>
      <c r="B11140" s="2" t="s">
        <v>44805</v>
      </c>
      <c r="C11140" s="2" t="s">
        <v>44806</v>
      </c>
      <c r="D11140" s="2" t="str">
        <f>"703-395-9781"</f>
        <v>703-395-9781</v>
      </c>
      <c r="E11140" s="2" t="s">
        <v>44807</v>
      </c>
      <c r="F11140" s="2" t="s">
        <v>428</v>
      </c>
      <c r="G11140" s="2" t="str">
        <f>"SR-9882"</f>
        <v>SR-9882</v>
      </c>
      <c r="H11140" s="2" t="s">
        <v>44808</v>
      </c>
      <c r="I11140" s="2" t="s">
        <v>44809</v>
      </c>
      <c r="K11140" s="2" t="s">
        <v>29636</v>
      </c>
      <c r="L11140" s="2" t="s">
        <v>165</v>
      </c>
      <c r="M11140" s="2">
        <v>20175.0</v>
      </c>
      <c r="N11140" s="2" t="s">
        <v>21</v>
      </c>
    </row>
    <row r="11141" ht="15.75" customHeight="1">
      <c r="A11141" s="2">
        <v>2019.0</v>
      </c>
      <c r="B11141" s="2" t="s">
        <v>30761</v>
      </c>
      <c r="C11141" s="2" t="s">
        <v>44810</v>
      </c>
      <c r="D11141" s="2" t="str">
        <f>"219 866 1266"</f>
        <v>219 866 1266</v>
      </c>
      <c r="E11141" s="2" t="s">
        <v>2250</v>
      </c>
      <c r="F11141" s="2" t="s">
        <v>30762</v>
      </c>
      <c r="G11141" s="2" t="str">
        <f>"SR-15691"</f>
        <v>SR-15691</v>
      </c>
      <c r="H11141" s="2" t="s">
        <v>44811</v>
      </c>
      <c r="I11141" s="2" t="s">
        <v>44812</v>
      </c>
      <c r="K11141" s="2" t="s">
        <v>16647</v>
      </c>
      <c r="L11141" s="2" t="s">
        <v>149</v>
      </c>
      <c r="M11141" s="2">
        <v>47995.0</v>
      </c>
      <c r="N11141" s="2" t="s">
        <v>21</v>
      </c>
    </row>
    <row r="11142" ht="15.75" customHeight="1">
      <c r="A11142" s="2">
        <v>2019.0</v>
      </c>
      <c r="B11142" s="2" t="s">
        <v>44813</v>
      </c>
      <c r="C11142" s="2" t="s">
        <v>44814</v>
      </c>
      <c r="D11142" s="2" t="str">
        <f>"4326970764"</f>
        <v>4326970764</v>
      </c>
      <c r="E11142" s="2" t="s">
        <v>7996</v>
      </c>
      <c r="F11142" s="2" t="s">
        <v>645</v>
      </c>
      <c r="G11142" s="2" t="str">
        <f>"SR-15692"</f>
        <v>SR-15692</v>
      </c>
      <c r="H11142" s="2" t="s">
        <v>44815</v>
      </c>
      <c r="I11142" s="2" t="s">
        <v>44816</v>
      </c>
      <c r="K11142" s="2" t="s">
        <v>286</v>
      </c>
      <c r="L11142" s="2" t="s">
        <v>172</v>
      </c>
      <c r="M11142" s="2">
        <v>79707.0</v>
      </c>
      <c r="N11142" s="2" t="s">
        <v>21</v>
      </c>
    </row>
    <row r="11143" ht="15.75" customHeight="1">
      <c r="A11143" s="2">
        <v>2019.0</v>
      </c>
      <c r="B11143" s="2" t="s">
        <v>31183</v>
      </c>
      <c r="C11143" s="2" t="s">
        <v>44817</v>
      </c>
      <c r="D11143" s="2" t="str">
        <f>"406-702-4656"</f>
        <v>406-702-4656</v>
      </c>
      <c r="E11143" s="2" t="s">
        <v>217</v>
      </c>
      <c r="F11143" s="2" t="s">
        <v>3545</v>
      </c>
      <c r="G11143" s="2" t="str">
        <f>"SR-15695"</f>
        <v>SR-15695</v>
      </c>
      <c r="H11143" s="2" t="s">
        <v>44818</v>
      </c>
      <c r="I11143" s="2" t="s">
        <v>44819</v>
      </c>
      <c r="K11143" s="2" t="s">
        <v>3548</v>
      </c>
      <c r="L11143" s="2" t="s">
        <v>2696</v>
      </c>
      <c r="M11143" s="2">
        <v>59105.0</v>
      </c>
      <c r="N11143" s="2" t="s">
        <v>21</v>
      </c>
    </row>
    <row r="11144" ht="15.75" customHeight="1">
      <c r="A11144" s="2">
        <v>2019.0</v>
      </c>
      <c r="B11144" s="2" t="s">
        <v>44820</v>
      </c>
      <c r="C11144" s="2" t="s">
        <v>44821</v>
      </c>
      <c r="D11144" s="2" t="str">
        <f>"6076391702"</f>
        <v>6076391702</v>
      </c>
      <c r="E11144" s="2" t="s">
        <v>44822</v>
      </c>
      <c r="F11144" s="2" t="s">
        <v>11981</v>
      </c>
      <c r="G11144" s="2" t="str">
        <f>"SR-15698"</f>
        <v>SR-15698</v>
      </c>
      <c r="H11144" s="2" t="s">
        <v>44823</v>
      </c>
      <c r="I11144" s="2" t="s">
        <v>44824</v>
      </c>
      <c r="K11144" s="2" t="s">
        <v>44825</v>
      </c>
      <c r="L11144" s="2" t="s">
        <v>142</v>
      </c>
      <c r="M11144" s="2">
        <v>13730.0</v>
      </c>
      <c r="N11144" s="2" t="s">
        <v>21</v>
      </c>
    </row>
    <row r="11145" ht="15.75" customHeight="1">
      <c r="A11145" s="2">
        <v>2019.0</v>
      </c>
      <c r="B11145" s="2" t="s">
        <v>44826</v>
      </c>
      <c r="C11145" s="2" t="s">
        <v>44826</v>
      </c>
      <c r="D11145" s="2" t="str">
        <f>"5528981199"</f>
        <v>5528981199</v>
      </c>
      <c r="E11145" s="2" t="s">
        <v>977</v>
      </c>
      <c r="F11145" s="2" t="s">
        <v>44827</v>
      </c>
      <c r="G11145" s="2" t="str">
        <f>"SR-15675"</f>
        <v>SR-15675</v>
      </c>
      <c r="H11145" s="2" t="s">
        <v>44828</v>
      </c>
      <c r="I11145" s="2" t="s">
        <v>44829</v>
      </c>
      <c r="K11145" s="2" t="s">
        <v>44830</v>
      </c>
      <c r="L11145" s="2" t="s">
        <v>44831</v>
      </c>
      <c r="M11145" s="2">
        <v>14200.0</v>
      </c>
      <c r="N11145" s="2" t="s">
        <v>7784</v>
      </c>
    </row>
    <row r="11146" ht="15.75" customHeight="1">
      <c r="A11146" s="2">
        <v>2019.0</v>
      </c>
      <c r="B11146" s="2" t="s">
        <v>32065</v>
      </c>
      <c r="C11146" s="2" t="s">
        <v>32066</v>
      </c>
      <c r="D11146" s="2" t="str">
        <f>"2055355712"</f>
        <v>2055355712</v>
      </c>
      <c r="E11146" s="2" t="s">
        <v>847</v>
      </c>
      <c r="F11146" s="2" t="s">
        <v>32067</v>
      </c>
      <c r="G11146" s="2" t="str">
        <f>"SR-9780"</f>
        <v>SR-9780</v>
      </c>
      <c r="H11146" s="2" t="s">
        <v>32068</v>
      </c>
      <c r="I11146" s="2" t="s">
        <v>32069</v>
      </c>
      <c r="K11146" s="2" t="s">
        <v>31376</v>
      </c>
      <c r="L11146" s="2" t="s">
        <v>539</v>
      </c>
      <c r="M11146" s="2">
        <v>35406.0</v>
      </c>
      <c r="N11146" s="2" t="s">
        <v>21</v>
      </c>
    </row>
    <row r="11147" ht="15.75" customHeight="1">
      <c r="A11147" s="2">
        <v>2019.0</v>
      </c>
      <c r="B11147" s="2" t="s">
        <v>32065</v>
      </c>
      <c r="D11147" s="2" t="str">
        <f>""</f>
        <v/>
      </c>
      <c r="E11147" s="2" t="s">
        <v>256</v>
      </c>
      <c r="F11147" s="2" t="s">
        <v>32067</v>
      </c>
      <c r="G11147" s="2" t="str">
        <f>"SR-15700"</f>
        <v>SR-15700</v>
      </c>
      <c r="H11147" s="2" t="s">
        <v>44832</v>
      </c>
      <c r="N11147" s="2" t="s">
        <v>21</v>
      </c>
    </row>
    <row r="11148" ht="15.75" customHeight="1">
      <c r="A11148" s="2">
        <v>2019.0</v>
      </c>
      <c r="B11148" s="2" t="s">
        <v>37419</v>
      </c>
      <c r="C11148" s="2" t="s">
        <v>37420</v>
      </c>
      <c r="D11148" s="2" t="str">
        <f>"909-496-2983"</f>
        <v>909-496-2983</v>
      </c>
      <c r="E11148" s="2" t="s">
        <v>11423</v>
      </c>
      <c r="F11148" s="2" t="s">
        <v>37421</v>
      </c>
      <c r="G11148" s="2" t="str">
        <f>"SR-12747"</f>
        <v>SR-12747</v>
      </c>
      <c r="H11148" s="2" t="s">
        <v>37422</v>
      </c>
      <c r="I11148" s="2" t="s">
        <v>37423</v>
      </c>
      <c r="K11148" s="2" t="s">
        <v>37424</v>
      </c>
      <c r="L11148" s="2" t="s">
        <v>222</v>
      </c>
      <c r="M11148" s="2">
        <v>92220.0</v>
      </c>
      <c r="N11148" s="2" t="s">
        <v>21</v>
      </c>
    </row>
    <row r="11149" ht="15.75" customHeight="1">
      <c r="A11149" s="2">
        <v>2019.0</v>
      </c>
      <c r="B11149" s="2" t="s">
        <v>11364</v>
      </c>
      <c r="C11149" s="2" t="s">
        <v>44833</v>
      </c>
      <c r="D11149" s="2" t="str">
        <f>"6202293403"</f>
        <v>6202293403</v>
      </c>
      <c r="E11149" s="2" t="s">
        <v>5906</v>
      </c>
      <c r="F11149" s="2" t="s">
        <v>256</v>
      </c>
      <c r="G11149" s="2" t="str">
        <f>"SR-15706"</f>
        <v>SR-15706</v>
      </c>
      <c r="H11149" s="2" t="s">
        <v>44834</v>
      </c>
      <c r="I11149" s="2" t="s">
        <v>3681</v>
      </c>
      <c r="K11149" s="2" t="s">
        <v>3530</v>
      </c>
      <c r="L11149" s="2" t="s">
        <v>272</v>
      </c>
      <c r="M11149" s="2">
        <v>67156.0</v>
      </c>
      <c r="N11149" s="2" t="s">
        <v>21</v>
      </c>
    </row>
    <row r="11150" ht="15.75" customHeight="1">
      <c r="A11150" s="2">
        <v>2019.0</v>
      </c>
      <c r="B11150" s="2" t="s">
        <v>44835</v>
      </c>
      <c r="C11150" s="2" t="s">
        <v>44836</v>
      </c>
      <c r="D11150" s="2" t="str">
        <f>"5125749565"</f>
        <v>5125749565</v>
      </c>
      <c r="E11150" s="2" t="s">
        <v>44837</v>
      </c>
      <c r="F11150" s="2" t="s">
        <v>2486</v>
      </c>
      <c r="G11150" s="2" t="str">
        <f>"SR-15703"</f>
        <v>SR-15703</v>
      </c>
      <c r="H11150" s="2" t="s">
        <v>44838</v>
      </c>
      <c r="I11150" s="2" t="s">
        <v>44839</v>
      </c>
      <c r="K11150" s="2" t="s">
        <v>1141</v>
      </c>
      <c r="L11150" s="2" t="s">
        <v>172</v>
      </c>
      <c r="M11150" s="2">
        <v>78735.0</v>
      </c>
      <c r="N11150" s="2" t="s">
        <v>21</v>
      </c>
    </row>
    <row r="11151" ht="15.75" customHeight="1">
      <c r="A11151" s="2">
        <v>2019.0</v>
      </c>
      <c r="B11151" s="2" t="s">
        <v>44835</v>
      </c>
      <c r="C11151" s="2" t="s">
        <v>44840</v>
      </c>
      <c r="D11151" s="2" t="str">
        <f>"5129148803"</f>
        <v>5129148803</v>
      </c>
      <c r="E11151" s="2" t="s">
        <v>4946</v>
      </c>
      <c r="F11151" s="2" t="s">
        <v>2486</v>
      </c>
      <c r="G11151" s="2" t="str">
        <f>"SR-15713"</f>
        <v>SR-15713</v>
      </c>
      <c r="H11151" s="2" t="s">
        <v>44841</v>
      </c>
      <c r="I11151" s="2" t="s">
        <v>44839</v>
      </c>
      <c r="K11151" s="2" t="s">
        <v>1141</v>
      </c>
      <c r="L11151" s="2" t="s">
        <v>172</v>
      </c>
      <c r="M11151" s="2">
        <v>78735.0</v>
      </c>
      <c r="N11151" s="2" t="s">
        <v>21</v>
      </c>
    </row>
    <row r="11152" ht="15.75" customHeight="1">
      <c r="A11152" s="2">
        <v>2019.0</v>
      </c>
      <c r="B11152" s="2" t="s">
        <v>44198</v>
      </c>
      <c r="C11152" s="2" t="s">
        <v>44842</v>
      </c>
      <c r="D11152" s="2" t="str">
        <f>"623-670-1789"</f>
        <v>623-670-1789</v>
      </c>
      <c r="E11152" s="2" t="s">
        <v>217</v>
      </c>
      <c r="F11152" s="2" t="s">
        <v>44199</v>
      </c>
      <c r="G11152" s="2" t="str">
        <f>"SR-15637"</f>
        <v>SR-15637</v>
      </c>
      <c r="H11152" s="2" t="s">
        <v>44843</v>
      </c>
      <c r="I11152" s="2" t="s">
        <v>44844</v>
      </c>
      <c r="K11152" s="2" t="s">
        <v>44202</v>
      </c>
      <c r="L11152" s="2" t="s">
        <v>422</v>
      </c>
      <c r="M11152" s="2">
        <v>85373.0</v>
      </c>
      <c r="N11152" s="2" t="s">
        <v>21</v>
      </c>
    </row>
    <row r="11153" ht="15.75" customHeight="1">
      <c r="A11153" s="2">
        <v>2019.0</v>
      </c>
      <c r="B11153" s="2" t="s">
        <v>44845</v>
      </c>
      <c r="C11153" s="2" t="s">
        <v>44845</v>
      </c>
      <c r="D11153" s="2" t="str">
        <f>"2023298554"</f>
        <v>2023298554</v>
      </c>
      <c r="E11153" s="2" t="s">
        <v>1251</v>
      </c>
      <c r="F11153" s="2" t="s">
        <v>44846</v>
      </c>
      <c r="G11153" s="2" t="str">
        <f>"SR-15452"</f>
        <v>SR-15452</v>
      </c>
      <c r="H11153" s="2" t="s">
        <v>44847</v>
      </c>
      <c r="I11153" s="2" t="s">
        <v>44848</v>
      </c>
      <c r="K11153" s="2" t="s">
        <v>809</v>
      </c>
      <c r="L11153" s="2" t="s">
        <v>157</v>
      </c>
      <c r="M11153" s="2">
        <v>80924.0</v>
      </c>
      <c r="N11153" s="2" t="s">
        <v>21</v>
      </c>
    </row>
    <row r="11154" ht="15.75" customHeight="1">
      <c r="A11154" s="2">
        <v>2019.0</v>
      </c>
      <c r="B11154" s="2" t="s">
        <v>44849</v>
      </c>
      <c r="C11154" s="2" t="s">
        <v>44850</v>
      </c>
      <c r="D11154" s="2" t="str">
        <f>"832-783-0445"</f>
        <v>832-783-0445</v>
      </c>
      <c r="E11154" s="2" t="s">
        <v>7758</v>
      </c>
      <c r="F11154" s="2" t="s">
        <v>4011</v>
      </c>
      <c r="G11154" s="2" t="str">
        <f>"SR-15723"</f>
        <v>SR-15723</v>
      </c>
      <c r="H11154" s="2" t="s">
        <v>44851</v>
      </c>
      <c r="I11154" s="2" t="s">
        <v>44852</v>
      </c>
      <c r="K11154" s="2" t="s">
        <v>5855</v>
      </c>
      <c r="L11154" s="2" t="s">
        <v>172</v>
      </c>
      <c r="M11154" s="2">
        <v>77389.0</v>
      </c>
      <c r="N11154" s="2" t="s">
        <v>21</v>
      </c>
    </row>
    <row r="11155" ht="15.75" customHeight="1">
      <c r="A11155" s="2">
        <v>2019.0</v>
      </c>
      <c r="B11155" s="2" t="s">
        <v>44849</v>
      </c>
      <c r="C11155" s="2" t="s">
        <v>44853</v>
      </c>
      <c r="D11155" s="2" t="str">
        <f>"832-953-6853"</f>
        <v>832-953-6853</v>
      </c>
      <c r="E11155" s="2" t="s">
        <v>21251</v>
      </c>
      <c r="F11155" s="2" t="s">
        <v>4011</v>
      </c>
      <c r="G11155" s="2" t="str">
        <f>"SR-15716"</f>
        <v>SR-15716</v>
      </c>
      <c r="H11155" s="2" t="s">
        <v>44854</v>
      </c>
      <c r="I11155" s="2" t="s">
        <v>44852</v>
      </c>
      <c r="K11155" s="2" t="s">
        <v>5855</v>
      </c>
      <c r="L11155" s="2" t="s">
        <v>172</v>
      </c>
      <c r="M11155" s="2">
        <v>77389.0</v>
      </c>
      <c r="N11155" s="2" t="s">
        <v>21</v>
      </c>
    </row>
    <row r="11156" ht="15.75" customHeight="1">
      <c r="A11156" s="2">
        <v>2019.0</v>
      </c>
      <c r="B11156" s="2" t="s">
        <v>44855</v>
      </c>
      <c r="C11156" s="2" t="s">
        <v>44855</v>
      </c>
      <c r="D11156" s="2" t="str">
        <f>"303-660-4815"</f>
        <v>303-660-4815</v>
      </c>
      <c r="E11156" s="2" t="s">
        <v>1928</v>
      </c>
      <c r="F11156" s="2" t="s">
        <v>44856</v>
      </c>
      <c r="G11156" s="2" t="str">
        <f>"SR-15724"</f>
        <v>SR-15724</v>
      </c>
      <c r="H11156" s="2" t="s">
        <v>44857</v>
      </c>
      <c r="I11156" s="2" t="s">
        <v>44858</v>
      </c>
      <c r="K11156" s="2" t="s">
        <v>6308</v>
      </c>
      <c r="L11156" s="2" t="s">
        <v>157</v>
      </c>
      <c r="M11156" s="2">
        <v>80116.0</v>
      </c>
      <c r="N11156" s="2" t="s">
        <v>21</v>
      </c>
    </row>
    <row r="11157" ht="15.75" customHeight="1">
      <c r="A11157" s="2">
        <v>2019.0</v>
      </c>
      <c r="B11157" s="2" t="s">
        <v>41070</v>
      </c>
      <c r="C11157" s="2" t="s">
        <v>44859</v>
      </c>
      <c r="D11157" s="2" t="str">
        <f>"8179035471"</f>
        <v>8179035471</v>
      </c>
      <c r="E11157" s="2" t="s">
        <v>659</v>
      </c>
      <c r="F11157" s="2" t="s">
        <v>41072</v>
      </c>
      <c r="G11157" s="2" t="str">
        <f>"SR-15727"</f>
        <v>SR-15727</v>
      </c>
      <c r="H11157" s="2" t="s">
        <v>44860</v>
      </c>
      <c r="I11157" s="2" t="s">
        <v>44861</v>
      </c>
      <c r="K11157" s="2" t="s">
        <v>20269</v>
      </c>
      <c r="L11157" s="2" t="s">
        <v>172</v>
      </c>
      <c r="M11157" s="2">
        <v>76043.0</v>
      </c>
      <c r="N11157" s="2" t="s">
        <v>21</v>
      </c>
    </row>
    <row r="11158" ht="15.75" customHeight="1">
      <c r="A11158" s="2">
        <v>2019.0</v>
      </c>
      <c r="B11158" s="2" t="s">
        <v>24351</v>
      </c>
      <c r="C11158" s="2" t="s">
        <v>44862</v>
      </c>
      <c r="D11158" s="2" t="str">
        <f>"9063700628"</f>
        <v>9063700628</v>
      </c>
      <c r="E11158" s="2" t="s">
        <v>44863</v>
      </c>
      <c r="F11158" s="2" t="s">
        <v>24354</v>
      </c>
      <c r="G11158" s="2" t="str">
        <f>"SR-15446"</f>
        <v>SR-15446</v>
      </c>
      <c r="H11158" s="2" t="s">
        <v>44864</v>
      </c>
      <c r="I11158" s="2" t="s">
        <v>44865</v>
      </c>
      <c r="K11158" s="2" t="s">
        <v>11619</v>
      </c>
      <c r="L11158" s="2" t="s">
        <v>29</v>
      </c>
      <c r="M11158" s="2">
        <v>49916.0</v>
      </c>
      <c r="N11158" s="2" t="s">
        <v>21</v>
      </c>
    </row>
    <row r="11159" ht="15.75" customHeight="1">
      <c r="A11159" s="2">
        <v>2019.0</v>
      </c>
      <c r="B11159" s="2" t="s">
        <v>44866</v>
      </c>
      <c r="C11159" s="2" t="s">
        <v>44867</v>
      </c>
      <c r="D11159" s="2" t="str">
        <f>"432 212 3113"</f>
        <v>432 212 3113</v>
      </c>
      <c r="E11159" s="2" t="s">
        <v>44868</v>
      </c>
      <c r="F11159" s="2" t="s">
        <v>44869</v>
      </c>
      <c r="G11159" s="2" t="str">
        <f>"SR-15719"</f>
        <v>SR-15719</v>
      </c>
      <c r="H11159" s="2" t="s">
        <v>44870</v>
      </c>
      <c r="I11159" s="2" t="s">
        <v>44871</v>
      </c>
      <c r="K11159" s="2" t="s">
        <v>286</v>
      </c>
      <c r="L11159" s="2" t="s">
        <v>172</v>
      </c>
      <c r="M11159" s="2">
        <v>79705.0</v>
      </c>
      <c r="N11159" s="2" t="s">
        <v>21</v>
      </c>
    </row>
    <row r="11160" ht="15.75" customHeight="1">
      <c r="A11160" s="2">
        <v>2019.0</v>
      </c>
      <c r="B11160" s="2" t="s">
        <v>44872</v>
      </c>
      <c r="C11160" s="2" t="s">
        <v>44872</v>
      </c>
      <c r="D11160" s="2" t="str">
        <f>"8068319324"</f>
        <v>8068319324</v>
      </c>
      <c r="E11160" s="2" t="s">
        <v>6606</v>
      </c>
      <c r="F11160" s="2" t="s">
        <v>2906</v>
      </c>
      <c r="G11160" s="2" t="str">
        <f>"SR-15737"</f>
        <v>SR-15737</v>
      </c>
      <c r="H11160" s="2" t="s">
        <v>44873</v>
      </c>
      <c r="I11160" s="2" t="s">
        <v>44874</v>
      </c>
      <c r="K11160" s="2" t="s">
        <v>1121</v>
      </c>
      <c r="L11160" s="2" t="s">
        <v>172</v>
      </c>
      <c r="M11160" s="2">
        <v>79423.0</v>
      </c>
      <c r="N11160" s="2" t="s">
        <v>21</v>
      </c>
    </row>
    <row r="11161" ht="15.75" customHeight="1">
      <c r="A11161" s="2">
        <v>2019.0</v>
      </c>
      <c r="B11161" s="2" t="s">
        <v>44875</v>
      </c>
      <c r="C11161" s="2" t="s">
        <v>44876</v>
      </c>
      <c r="D11161" s="2" t="str">
        <f>"2147147465"</f>
        <v>2147147465</v>
      </c>
      <c r="E11161" s="2" t="s">
        <v>1034</v>
      </c>
      <c r="F11161" s="2" t="s">
        <v>3144</v>
      </c>
      <c r="G11161" s="2" t="str">
        <f>"SR-15739"</f>
        <v>SR-15739</v>
      </c>
      <c r="H11161" s="2" t="s">
        <v>44877</v>
      </c>
      <c r="I11161" s="2" t="s">
        <v>44878</v>
      </c>
      <c r="K11161" s="2" t="s">
        <v>37347</v>
      </c>
      <c r="L11161" s="2" t="s">
        <v>172</v>
      </c>
      <c r="M11161" s="2">
        <v>75077.0</v>
      </c>
      <c r="N11161" s="2" t="s">
        <v>21</v>
      </c>
    </row>
    <row r="11162" ht="15.75" customHeight="1">
      <c r="A11162" s="2">
        <v>2019.0</v>
      </c>
      <c r="B11162" s="2" t="s">
        <v>32354</v>
      </c>
      <c r="C11162" s="2" t="s">
        <v>35822</v>
      </c>
      <c r="D11162" s="2" t="str">
        <f>"530-878-8950"</f>
        <v>530-878-8950</v>
      </c>
      <c r="E11162" s="2" t="s">
        <v>5760</v>
      </c>
      <c r="F11162" s="2" t="s">
        <v>12683</v>
      </c>
      <c r="G11162" s="2" t="str">
        <f>"SR-13524"</f>
        <v>SR-13524</v>
      </c>
      <c r="H11162" s="2" t="s">
        <v>35823</v>
      </c>
      <c r="I11162" s="2" t="s">
        <v>32355</v>
      </c>
      <c r="K11162" s="2" t="s">
        <v>15823</v>
      </c>
      <c r="L11162" s="2" t="s">
        <v>222</v>
      </c>
      <c r="M11162" s="2">
        <v>95722.0</v>
      </c>
      <c r="N11162" s="2" t="s">
        <v>21</v>
      </c>
    </row>
    <row r="11163" ht="15.75" customHeight="1">
      <c r="A11163" s="2">
        <v>2019.0</v>
      </c>
      <c r="B11163" s="2" t="s">
        <v>44879</v>
      </c>
      <c r="C11163" s="2" t="s">
        <v>44880</v>
      </c>
      <c r="D11163" s="2" t="str">
        <f>"4808481686"</f>
        <v>4808481686</v>
      </c>
      <c r="E11163" s="2" t="s">
        <v>373</v>
      </c>
      <c r="F11163" s="2" t="s">
        <v>44881</v>
      </c>
      <c r="G11163" s="2" t="str">
        <f>"SR-15740"</f>
        <v>SR-15740</v>
      </c>
      <c r="H11163" s="2" t="s">
        <v>44882</v>
      </c>
      <c r="I11163" s="2" t="s">
        <v>44883</v>
      </c>
      <c r="K11163" s="2" t="s">
        <v>1593</v>
      </c>
      <c r="L11163" s="2" t="s">
        <v>422</v>
      </c>
      <c r="M11163" s="2">
        <v>85254.0</v>
      </c>
      <c r="N11163" s="2" t="s">
        <v>21</v>
      </c>
    </row>
    <row r="11164" ht="15.75" customHeight="1">
      <c r="A11164" s="2">
        <v>2019.0</v>
      </c>
      <c r="B11164" s="2" t="s">
        <v>44884</v>
      </c>
      <c r="C11164" s="2" t="s">
        <v>44885</v>
      </c>
      <c r="D11164" s="2" t="str">
        <f>"903-454-9727"</f>
        <v>903-454-9727</v>
      </c>
      <c r="E11164" s="2" t="s">
        <v>2361</v>
      </c>
      <c r="F11164" s="2" t="s">
        <v>35432</v>
      </c>
      <c r="G11164" s="2" t="str">
        <f>"SR-15738"</f>
        <v>SR-15738</v>
      </c>
      <c r="H11164" s="2" t="s">
        <v>44886</v>
      </c>
      <c r="I11164" s="2" t="s">
        <v>44887</v>
      </c>
      <c r="K11164" s="2" t="s">
        <v>54</v>
      </c>
      <c r="L11164" s="2" t="s">
        <v>172</v>
      </c>
      <c r="M11164" s="2">
        <v>75401.0</v>
      </c>
      <c r="N11164" s="2" t="s">
        <v>21</v>
      </c>
    </row>
    <row r="11165" ht="15.75" customHeight="1">
      <c r="A11165" s="2">
        <v>2019.0</v>
      </c>
      <c r="B11165" s="2" t="s">
        <v>44888</v>
      </c>
      <c r="C11165" s="2" t="s">
        <v>44889</v>
      </c>
      <c r="D11165" s="2" t="str">
        <f>"6195084958"</f>
        <v>6195084958</v>
      </c>
      <c r="E11165" s="2" t="s">
        <v>22910</v>
      </c>
      <c r="F11165" s="2" t="s">
        <v>44890</v>
      </c>
      <c r="G11165" s="2" t="str">
        <f>"SR-15407"</f>
        <v>SR-15407</v>
      </c>
      <c r="H11165" s="2" t="s">
        <v>44891</v>
      </c>
      <c r="I11165" s="2" t="s">
        <v>44892</v>
      </c>
      <c r="K11165" s="2" t="s">
        <v>8444</v>
      </c>
      <c r="L11165" s="2" t="s">
        <v>222</v>
      </c>
      <c r="M11165" s="2">
        <v>92020.0</v>
      </c>
      <c r="N11165" s="2" t="s">
        <v>21</v>
      </c>
    </row>
    <row r="11166" ht="15.75" customHeight="1">
      <c r="A11166" s="2">
        <v>2019.0</v>
      </c>
      <c r="B11166" s="2" t="s">
        <v>44893</v>
      </c>
      <c r="C11166" s="2" t="s">
        <v>44893</v>
      </c>
      <c r="D11166" s="2" t="str">
        <f>"5127518232"</f>
        <v>5127518232</v>
      </c>
      <c r="E11166" s="2" t="s">
        <v>50</v>
      </c>
      <c r="F11166" s="2" t="s">
        <v>2771</v>
      </c>
      <c r="G11166" s="2" t="str">
        <f>"SR-15729"</f>
        <v>SR-15729</v>
      </c>
      <c r="H11166" s="2" t="s">
        <v>44894</v>
      </c>
      <c r="I11166" s="2" t="s">
        <v>44895</v>
      </c>
      <c r="K11166" s="2" t="s">
        <v>1141</v>
      </c>
      <c r="L11166" s="2" t="s">
        <v>172</v>
      </c>
      <c r="M11166" s="2">
        <v>78746.0</v>
      </c>
      <c r="N11166" s="2" t="s">
        <v>21</v>
      </c>
    </row>
    <row r="11167" ht="15.75" customHeight="1">
      <c r="A11167" s="2">
        <v>2019.0</v>
      </c>
      <c r="B11167" s="2" t="s">
        <v>44896</v>
      </c>
      <c r="C11167" s="2" t="s">
        <v>44897</v>
      </c>
      <c r="D11167" s="2" t="str">
        <f>"763-222-3543"</f>
        <v>763-222-3543</v>
      </c>
      <c r="E11167" s="2" t="s">
        <v>3305</v>
      </c>
      <c r="F11167" s="2" t="s">
        <v>18929</v>
      </c>
      <c r="G11167" s="2" t="str">
        <f>"SR-15745"</f>
        <v>SR-15745</v>
      </c>
      <c r="H11167" s="2" t="s">
        <v>44898</v>
      </c>
      <c r="I11167" s="2" t="s">
        <v>44899</v>
      </c>
      <c r="K11167" s="2" t="s">
        <v>8609</v>
      </c>
      <c r="L11167" s="2" t="s">
        <v>62</v>
      </c>
      <c r="M11167" s="2">
        <v>55369.0</v>
      </c>
      <c r="N11167" s="2" t="s">
        <v>21</v>
      </c>
    </row>
    <row r="11168" ht="15.75" customHeight="1">
      <c r="A11168" s="2">
        <v>2019.0</v>
      </c>
      <c r="B11168" s="2" t="s">
        <v>44900</v>
      </c>
      <c r="C11168" s="2" t="s">
        <v>44901</v>
      </c>
      <c r="D11168" s="2" t="str">
        <f>"7194219422"</f>
        <v>7194219422</v>
      </c>
      <c r="E11168" s="2" t="s">
        <v>830</v>
      </c>
      <c r="F11168" s="2" t="s">
        <v>36262</v>
      </c>
      <c r="G11168" s="2" t="str">
        <f>"SR-15746"</f>
        <v>SR-15746</v>
      </c>
      <c r="H11168" s="2" t="s">
        <v>44902</v>
      </c>
      <c r="I11168" s="2" t="s">
        <v>36264</v>
      </c>
      <c r="K11168" s="2" t="s">
        <v>809</v>
      </c>
      <c r="L11168" s="2" t="s">
        <v>157</v>
      </c>
      <c r="M11168" s="2">
        <v>80921.0</v>
      </c>
      <c r="N11168" s="2" t="s">
        <v>21</v>
      </c>
    </row>
    <row r="11169" ht="15.75" customHeight="1">
      <c r="A11169" s="2">
        <v>2019.0</v>
      </c>
      <c r="B11169" s="2" t="s">
        <v>44903</v>
      </c>
      <c r="C11169" s="2" t="s">
        <v>44904</v>
      </c>
      <c r="D11169" s="2" t="str">
        <f>"740-973-8208"</f>
        <v>740-973-8208</v>
      </c>
      <c r="E11169" s="2" t="s">
        <v>11959</v>
      </c>
      <c r="F11169" s="2" t="s">
        <v>44905</v>
      </c>
      <c r="G11169" s="2" t="str">
        <f>"SR-15712"</f>
        <v>SR-15712</v>
      </c>
      <c r="H11169" s="2" t="s">
        <v>44906</v>
      </c>
      <c r="I11169" s="2" t="s">
        <v>44907</v>
      </c>
      <c r="K11169" s="2" t="s">
        <v>44908</v>
      </c>
      <c r="L11169" s="2" t="s">
        <v>344</v>
      </c>
      <c r="M11169" s="2">
        <v>43821.0</v>
      </c>
      <c r="N11169" s="2" t="s">
        <v>21</v>
      </c>
    </row>
    <row r="11170" ht="15.75" customHeight="1">
      <c r="A11170" s="2">
        <v>2019.0</v>
      </c>
      <c r="B11170" s="2" t="s">
        <v>44909</v>
      </c>
      <c r="C11170" s="2" t="s">
        <v>44910</v>
      </c>
      <c r="D11170" s="2" t="str">
        <f>"4102005622"</f>
        <v>4102005622</v>
      </c>
      <c r="E11170" s="2" t="s">
        <v>267</v>
      </c>
      <c r="F11170" s="2" t="s">
        <v>44911</v>
      </c>
      <c r="G11170" s="2" t="str">
        <f>"SR-15747"</f>
        <v>SR-15747</v>
      </c>
      <c r="H11170" s="2" t="s">
        <v>44912</v>
      </c>
      <c r="I11170" s="2" t="s">
        <v>44913</v>
      </c>
      <c r="K11170" s="2" t="s">
        <v>9717</v>
      </c>
      <c r="L11170" s="2" t="s">
        <v>1868</v>
      </c>
      <c r="M11170" s="2">
        <v>21666.0</v>
      </c>
      <c r="N11170" s="2" t="s">
        <v>21</v>
      </c>
    </row>
    <row r="11171" ht="15.75" customHeight="1">
      <c r="A11171" s="2">
        <v>2019.0</v>
      </c>
      <c r="B11171" s="2" t="s">
        <v>44914</v>
      </c>
      <c r="C11171" s="2" t="s">
        <v>44914</v>
      </c>
      <c r="D11171" s="2" t="str">
        <f>"407-912-4284"</f>
        <v>407-912-4284</v>
      </c>
      <c r="E11171" s="2" t="s">
        <v>301</v>
      </c>
      <c r="F11171" s="2" t="s">
        <v>10871</v>
      </c>
      <c r="G11171" s="2" t="str">
        <f>"SR-15704"</f>
        <v>SR-15704</v>
      </c>
      <c r="H11171" s="2" t="s">
        <v>44915</v>
      </c>
      <c r="I11171" s="2" t="s">
        <v>44916</v>
      </c>
      <c r="K11171" s="2" t="s">
        <v>357</v>
      </c>
      <c r="L11171" s="2" t="s">
        <v>172</v>
      </c>
      <c r="M11171" s="2">
        <v>75093.0</v>
      </c>
      <c r="N11171" s="2" t="s">
        <v>21</v>
      </c>
    </row>
    <row r="11172" ht="15.75" customHeight="1">
      <c r="A11172" s="2">
        <v>2019.0</v>
      </c>
      <c r="B11172" s="2" t="s">
        <v>40742</v>
      </c>
      <c r="C11172" s="2" t="s">
        <v>40743</v>
      </c>
      <c r="D11172" s="2" t="str">
        <f>"8154098111"</f>
        <v>8154098111</v>
      </c>
      <c r="E11172" s="2" t="s">
        <v>29458</v>
      </c>
      <c r="F11172" s="2" t="s">
        <v>22708</v>
      </c>
      <c r="G11172" s="2" t="str">
        <f>"SR-13747"</f>
        <v>SR-13747</v>
      </c>
      <c r="H11172" s="2" t="s">
        <v>40744</v>
      </c>
      <c r="I11172" s="2" t="s">
        <v>40745</v>
      </c>
      <c r="K11172" s="2" t="s">
        <v>40746</v>
      </c>
      <c r="L11172" s="2" t="s">
        <v>105</v>
      </c>
      <c r="M11172" s="2">
        <v>61065.0</v>
      </c>
      <c r="N11172" s="2" t="s">
        <v>21</v>
      </c>
    </row>
    <row r="11173" ht="15.75" customHeight="1">
      <c r="A11173" s="2">
        <v>2019.0</v>
      </c>
      <c r="B11173" s="2" t="s">
        <v>44917</v>
      </c>
      <c r="C11173" s="2" t="s">
        <v>44917</v>
      </c>
      <c r="D11173" s="2" t="str">
        <f>"8157138691"</f>
        <v>8157138691</v>
      </c>
      <c r="E11173" s="2" t="s">
        <v>1767</v>
      </c>
      <c r="F11173" s="2" t="s">
        <v>379</v>
      </c>
      <c r="G11173" s="2" t="str">
        <f>"SR-15757"</f>
        <v>SR-15757</v>
      </c>
      <c r="H11173" s="2" t="s">
        <v>44918</v>
      </c>
      <c r="I11173" s="2" t="s">
        <v>44919</v>
      </c>
      <c r="K11173" s="2" t="s">
        <v>25130</v>
      </c>
      <c r="L11173" s="2" t="s">
        <v>105</v>
      </c>
      <c r="M11173" s="2">
        <v>61111.0</v>
      </c>
      <c r="N11173" s="2" t="s">
        <v>21</v>
      </c>
    </row>
    <row r="11174" ht="15.75" customHeight="1">
      <c r="A11174" s="2">
        <v>2019.0</v>
      </c>
      <c r="B11174" s="2" t="s">
        <v>42526</v>
      </c>
      <c r="C11174" s="2" t="s">
        <v>42527</v>
      </c>
      <c r="D11174" s="2" t="str">
        <f>"248-980-1686"</f>
        <v>248-980-1686</v>
      </c>
      <c r="E11174" s="2" t="s">
        <v>9707</v>
      </c>
      <c r="F11174" s="2" t="s">
        <v>25366</v>
      </c>
      <c r="G11174" s="2" t="str">
        <f>"SR-14734"</f>
        <v>SR-14734</v>
      </c>
      <c r="H11174" s="2" t="s">
        <v>42528</v>
      </c>
      <c r="I11174" s="2" t="s">
        <v>42529</v>
      </c>
      <c r="K11174" s="2" t="s">
        <v>42530</v>
      </c>
      <c r="L11174" s="2" t="s">
        <v>29</v>
      </c>
      <c r="M11174" s="2">
        <v>48350.0</v>
      </c>
      <c r="N11174" s="2" t="s">
        <v>21</v>
      </c>
    </row>
    <row r="11175" ht="15.75" customHeight="1">
      <c r="A11175" s="2">
        <v>2019.0</v>
      </c>
      <c r="B11175" s="2" t="s">
        <v>44920</v>
      </c>
      <c r="C11175" s="2" t="s">
        <v>44921</v>
      </c>
      <c r="D11175" s="2" t="str">
        <f>"2532639881"</f>
        <v>2532639881</v>
      </c>
      <c r="E11175" s="2" t="s">
        <v>385</v>
      </c>
      <c r="F11175" s="2" t="s">
        <v>42919</v>
      </c>
      <c r="G11175" s="2" t="str">
        <f>"SR-15759"</f>
        <v>SR-15759</v>
      </c>
      <c r="H11175" s="2" t="s">
        <v>44922</v>
      </c>
      <c r="I11175" s="2" t="s">
        <v>44923</v>
      </c>
      <c r="K11175" s="2" t="s">
        <v>14632</v>
      </c>
      <c r="L11175" s="2" t="s">
        <v>86</v>
      </c>
      <c r="M11175" s="2">
        <v>98466.0</v>
      </c>
      <c r="N11175" s="2" t="s">
        <v>21</v>
      </c>
    </row>
    <row r="11176" ht="15.75" customHeight="1">
      <c r="A11176" s="2">
        <v>2019.0</v>
      </c>
      <c r="B11176" s="2" t="s">
        <v>44924</v>
      </c>
      <c r="C11176" s="2" t="s">
        <v>44925</v>
      </c>
      <c r="D11176" s="2" t="str">
        <f>"949-677-1775"</f>
        <v>949-677-1775</v>
      </c>
      <c r="E11176" s="2" t="s">
        <v>1094</v>
      </c>
      <c r="F11176" s="2" t="s">
        <v>2753</v>
      </c>
      <c r="G11176" s="2" t="str">
        <f>"SR-15760"</f>
        <v>SR-15760</v>
      </c>
      <c r="H11176" s="2" t="s">
        <v>30601</v>
      </c>
      <c r="I11176" s="2" t="s">
        <v>44926</v>
      </c>
      <c r="K11176" s="2" t="s">
        <v>2171</v>
      </c>
      <c r="L11176" s="2" t="s">
        <v>222</v>
      </c>
      <c r="M11176" s="2">
        <v>92677.0</v>
      </c>
      <c r="N11176" s="2" t="s">
        <v>21</v>
      </c>
    </row>
    <row r="11177" ht="15.75" customHeight="1">
      <c r="A11177" s="2">
        <v>2019.0</v>
      </c>
      <c r="B11177" s="2" t="s">
        <v>44927</v>
      </c>
      <c r="C11177" s="2" t="s">
        <v>44927</v>
      </c>
      <c r="D11177" s="2" t="str">
        <f>"(972) 971-3857"</f>
        <v>(972) 971-3857</v>
      </c>
      <c r="E11177" s="2" t="s">
        <v>6606</v>
      </c>
      <c r="F11177" s="2" t="s">
        <v>615</v>
      </c>
      <c r="G11177" s="2" t="str">
        <f>"SR-15755"</f>
        <v>SR-15755</v>
      </c>
      <c r="H11177" s="2" t="s">
        <v>31609</v>
      </c>
      <c r="I11177" s="2" t="s">
        <v>44928</v>
      </c>
      <c r="K11177" s="2" t="s">
        <v>4079</v>
      </c>
      <c r="L11177" s="2" t="s">
        <v>172</v>
      </c>
      <c r="M11177" s="2">
        <v>75043.0</v>
      </c>
      <c r="N11177" s="2" t="s">
        <v>21</v>
      </c>
    </row>
    <row r="11178" ht="15.75" customHeight="1">
      <c r="A11178" s="2">
        <v>2019.0</v>
      </c>
      <c r="B11178" s="2" t="s">
        <v>44929</v>
      </c>
      <c r="C11178" s="2" t="s">
        <v>44930</v>
      </c>
      <c r="D11178" s="2" t="str">
        <f>"8042439712"</f>
        <v>8042439712</v>
      </c>
      <c r="E11178" s="2" t="s">
        <v>651</v>
      </c>
      <c r="F11178" s="2" t="s">
        <v>44931</v>
      </c>
      <c r="G11178" s="2" t="str">
        <f>"SR-15761"</f>
        <v>SR-15761</v>
      </c>
      <c r="H11178" s="2" t="s">
        <v>44932</v>
      </c>
      <c r="I11178" s="2" t="s">
        <v>44933</v>
      </c>
      <c r="K11178" s="2" t="s">
        <v>44934</v>
      </c>
      <c r="L11178" s="2" t="s">
        <v>165</v>
      </c>
      <c r="M11178" s="2">
        <v>23236.0</v>
      </c>
      <c r="N11178" s="2" t="s">
        <v>21</v>
      </c>
    </row>
    <row r="11179" ht="15.75" customHeight="1">
      <c r="A11179" s="2">
        <v>2019.0</v>
      </c>
      <c r="B11179" s="2" t="s">
        <v>44927</v>
      </c>
      <c r="C11179" s="2" t="s">
        <v>44935</v>
      </c>
      <c r="D11179" s="2" t="str">
        <f>"(469)-986-8268"</f>
        <v>(469)-986-8268</v>
      </c>
      <c r="E11179" s="2" t="s">
        <v>301</v>
      </c>
      <c r="F11179" s="2" t="s">
        <v>615</v>
      </c>
      <c r="G11179" s="2" t="str">
        <f>"SR-15762"</f>
        <v>SR-15762</v>
      </c>
      <c r="H11179" s="2" t="s">
        <v>44936</v>
      </c>
      <c r="I11179" s="2" t="s">
        <v>44928</v>
      </c>
      <c r="K11179" s="2" t="s">
        <v>4079</v>
      </c>
      <c r="L11179" s="2" t="s">
        <v>172</v>
      </c>
      <c r="M11179" s="2">
        <v>75043.0</v>
      </c>
      <c r="N11179" s="2" t="s">
        <v>21</v>
      </c>
    </row>
    <row r="11180" ht="15.75" customHeight="1">
      <c r="A11180" s="2">
        <v>2019.0</v>
      </c>
      <c r="B11180" s="2" t="s">
        <v>44937</v>
      </c>
      <c r="C11180" s="2" t="s">
        <v>44938</v>
      </c>
      <c r="D11180" s="2" t="str">
        <f>"3182454349"</f>
        <v>3182454349</v>
      </c>
      <c r="E11180" s="2" t="s">
        <v>44939</v>
      </c>
      <c r="F11180" s="2" t="s">
        <v>44940</v>
      </c>
      <c r="G11180" s="2" t="str">
        <f>"SR-15764"</f>
        <v>SR-15764</v>
      </c>
      <c r="H11180" s="2" t="s">
        <v>44941</v>
      </c>
      <c r="I11180" s="2" t="s">
        <v>44942</v>
      </c>
      <c r="K11180" s="2" t="s">
        <v>28133</v>
      </c>
      <c r="L11180" s="2" t="s">
        <v>200</v>
      </c>
      <c r="M11180" s="2">
        <v>30087.0</v>
      </c>
      <c r="N11180" s="2" t="s">
        <v>21</v>
      </c>
    </row>
    <row r="11181" ht="15.75" customHeight="1">
      <c r="A11181" s="2">
        <v>2019.0</v>
      </c>
      <c r="B11181" s="2" t="s">
        <v>37990</v>
      </c>
      <c r="C11181" s="2" t="s">
        <v>37991</v>
      </c>
      <c r="D11181" s="2" t="str">
        <f>"3036185954"</f>
        <v>3036185954</v>
      </c>
      <c r="E11181" s="2" t="s">
        <v>453</v>
      </c>
      <c r="F11181" s="2" t="s">
        <v>1169</v>
      </c>
      <c r="G11181" s="2" t="str">
        <f>"SR-12933"</f>
        <v>SR-12933</v>
      </c>
      <c r="H11181" s="2" t="s">
        <v>37992</v>
      </c>
      <c r="I11181" s="2" t="s">
        <v>37993</v>
      </c>
      <c r="K11181" s="2" t="s">
        <v>37994</v>
      </c>
      <c r="L11181" s="2" t="s">
        <v>179</v>
      </c>
      <c r="M11181" s="2">
        <v>19063.0</v>
      </c>
      <c r="N11181" s="2" t="s">
        <v>21</v>
      </c>
    </row>
    <row r="11182" ht="15.75" customHeight="1">
      <c r="A11182" s="2">
        <v>2019.0</v>
      </c>
      <c r="B11182" s="2" t="s">
        <v>39520</v>
      </c>
      <c r="C11182" s="2" t="s">
        <v>44943</v>
      </c>
      <c r="D11182" s="2" t="str">
        <f t="shared" ref="D11182:D11183" si="188">"4103146787"</f>
        <v>4103146787</v>
      </c>
      <c r="E11182" s="2" t="s">
        <v>5760</v>
      </c>
      <c r="F11182" s="2" t="s">
        <v>15934</v>
      </c>
      <c r="G11182" s="2" t="str">
        <f>"SR-15766"</f>
        <v>SR-15766</v>
      </c>
      <c r="H11182" s="2" t="s">
        <v>44944</v>
      </c>
      <c r="I11182" s="2" t="s">
        <v>39523</v>
      </c>
      <c r="K11182" s="2" t="s">
        <v>2750</v>
      </c>
      <c r="L11182" s="2" t="s">
        <v>1868</v>
      </c>
      <c r="M11182" s="2">
        <v>21044.0</v>
      </c>
      <c r="N11182" s="2" t="s">
        <v>21</v>
      </c>
    </row>
    <row r="11183" ht="15.75" customHeight="1">
      <c r="A11183" s="2">
        <v>2019.0</v>
      </c>
      <c r="B11183" s="2" t="s">
        <v>39520</v>
      </c>
      <c r="C11183" s="2" t="s">
        <v>39521</v>
      </c>
      <c r="D11183" s="2" t="str">
        <f t="shared" si="188"/>
        <v>4103146787</v>
      </c>
      <c r="E11183" s="2" t="s">
        <v>651</v>
      </c>
      <c r="F11183" s="2" t="s">
        <v>15934</v>
      </c>
      <c r="G11183" s="2" t="str">
        <f>"SR-13606"</f>
        <v>SR-13606</v>
      </c>
      <c r="H11183" s="2" t="s">
        <v>39522</v>
      </c>
      <c r="I11183" s="2" t="s">
        <v>39523</v>
      </c>
      <c r="K11183" s="2" t="s">
        <v>2750</v>
      </c>
      <c r="L11183" s="2" t="s">
        <v>1868</v>
      </c>
      <c r="M11183" s="2">
        <v>21044.0</v>
      </c>
      <c r="N11183" s="2" t="s">
        <v>21</v>
      </c>
    </row>
    <row r="11184" ht="15.75" customHeight="1">
      <c r="A11184" s="2">
        <v>2019.0</v>
      </c>
      <c r="B11184" s="2" t="s">
        <v>44945</v>
      </c>
      <c r="C11184" s="2" t="s">
        <v>44946</v>
      </c>
      <c r="D11184" s="2" t="str">
        <f>"9402688202"</f>
        <v>9402688202</v>
      </c>
      <c r="E11184" s="2" t="s">
        <v>44947</v>
      </c>
      <c r="F11184" s="2" t="s">
        <v>9221</v>
      </c>
      <c r="G11184" s="2" t="str">
        <f>"SR-15770"</f>
        <v>SR-15770</v>
      </c>
      <c r="H11184" s="2" t="s">
        <v>44948</v>
      </c>
      <c r="I11184" s="2" t="s">
        <v>44949</v>
      </c>
      <c r="K11184" s="2" t="s">
        <v>29233</v>
      </c>
      <c r="L11184" s="2" t="s">
        <v>172</v>
      </c>
      <c r="M11184" s="2">
        <v>76226.0</v>
      </c>
      <c r="N11184" s="2" t="s">
        <v>21</v>
      </c>
    </row>
    <row r="11185" ht="15.75" customHeight="1">
      <c r="A11185" s="2">
        <v>2019.0</v>
      </c>
      <c r="B11185" s="2" t="s">
        <v>44950</v>
      </c>
      <c r="C11185" s="2" t="s">
        <v>44951</v>
      </c>
      <c r="D11185" s="2" t="str">
        <f>"7203525475"</f>
        <v>7203525475</v>
      </c>
      <c r="E11185" s="2" t="s">
        <v>824</v>
      </c>
      <c r="F11185" s="2" t="s">
        <v>44952</v>
      </c>
      <c r="G11185" s="2" t="str">
        <f>"SR-15769"</f>
        <v>SR-15769</v>
      </c>
      <c r="H11185" s="2" t="s">
        <v>44953</v>
      </c>
      <c r="I11185" s="2" t="s">
        <v>44954</v>
      </c>
      <c r="K11185" s="2" t="s">
        <v>6915</v>
      </c>
      <c r="L11185" s="2" t="s">
        <v>157</v>
      </c>
      <c r="M11185" s="2">
        <v>80021.0</v>
      </c>
      <c r="N11185" s="2" t="s">
        <v>21</v>
      </c>
    </row>
    <row r="11186" ht="15.75" customHeight="1">
      <c r="A11186" s="2">
        <v>2019.0</v>
      </c>
      <c r="B11186" s="2" t="s">
        <v>44955</v>
      </c>
      <c r="C11186" s="2" t="s">
        <v>44955</v>
      </c>
      <c r="D11186" s="2" t="str">
        <f>"7314133518"</f>
        <v>7314133518</v>
      </c>
      <c r="E11186" s="2" t="s">
        <v>4763</v>
      </c>
      <c r="F11186" s="2" t="s">
        <v>32351</v>
      </c>
      <c r="G11186" s="2" t="str">
        <f>"SR-15773"</f>
        <v>SR-15773</v>
      </c>
      <c r="H11186" s="2" t="s">
        <v>44956</v>
      </c>
      <c r="I11186" s="2" t="s">
        <v>44957</v>
      </c>
      <c r="K11186" s="2" t="s">
        <v>44958</v>
      </c>
      <c r="L11186" s="2" t="s">
        <v>279</v>
      </c>
      <c r="M11186" s="2">
        <v>38040.0</v>
      </c>
      <c r="N11186" s="2" t="s">
        <v>21</v>
      </c>
    </row>
    <row r="11187" ht="15.75" customHeight="1">
      <c r="A11187" s="2">
        <v>2019.0</v>
      </c>
      <c r="B11187" s="2" t="s">
        <v>44959</v>
      </c>
      <c r="C11187" s="2" t="s">
        <v>44959</v>
      </c>
      <c r="D11187" s="2" t="str">
        <f>"4325598680"</f>
        <v>4325598680</v>
      </c>
      <c r="E11187" s="2" t="s">
        <v>2010</v>
      </c>
      <c r="F11187" s="2" t="s">
        <v>44960</v>
      </c>
      <c r="G11187" s="2" t="str">
        <f>"SR-15710"</f>
        <v>SR-15710</v>
      </c>
      <c r="H11187" s="2" t="s">
        <v>44961</v>
      </c>
      <c r="I11187" s="2" t="s">
        <v>44962</v>
      </c>
      <c r="K11187" s="2" t="s">
        <v>286</v>
      </c>
      <c r="L11187" s="2" t="s">
        <v>172</v>
      </c>
      <c r="M11187" s="2">
        <v>79707.0</v>
      </c>
      <c r="N11187" s="2" t="s">
        <v>21</v>
      </c>
    </row>
    <row r="11188" ht="15.75" customHeight="1">
      <c r="A11188" s="2">
        <v>2019.0</v>
      </c>
      <c r="B11188" s="2" t="s">
        <v>44963</v>
      </c>
      <c r="C11188" s="2" t="s">
        <v>44964</v>
      </c>
      <c r="D11188" s="2" t="str">
        <f>"5037240505"</f>
        <v>5037240505</v>
      </c>
      <c r="E11188" s="2" t="s">
        <v>1251</v>
      </c>
      <c r="F11188" s="2" t="s">
        <v>44965</v>
      </c>
      <c r="G11188" s="2" t="str">
        <f>"SR-15778"</f>
        <v>SR-15778</v>
      </c>
      <c r="H11188" s="2" t="s">
        <v>44966</v>
      </c>
      <c r="I11188" s="2" t="s">
        <v>44967</v>
      </c>
      <c r="K11188" s="2" t="s">
        <v>39782</v>
      </c>
      <c r="L11188" s="2" t="s">
        <v>2389</v>
      </c>
      <c r="M11188" s="2">
        <v>97333.0</v>
      </c>
      <c r="N11188" s="2" t="s">
        <v>21</v>
      </c>
    </row>
    <row r="11189" ht="15.75" customHeight="1">
      <c r="A11189" s="2">
        <v>2019.0</v>
      </c>
      <c r="B11189" s="2" t="s">
        <v>44968</v>
      </c>
      <c r="C11189" s="2" t="s">
        <v>44968</v>
      </c>
      <c r="D11189" s="2" t="str">
        <f>"208-920-0303"</f>
        <v>208-920-0303</v>
      </c>
      <c r="E11189" s="2" t="s">
        <v>15</v>
      </c>
      <c r="F11189" s="2" t="s">
        <v>23996</v>
      </c>
      <c r="G11189" s="2" t="str">
        <f>"SR-15780"</f>
        <v>SR-15780</v>
      </c>
      <c r="H11189" s="2" t="s">
        <v>44969</v>
      </c>
      <c r="I11189" s="2" t="s">
        <v>44970</v>
      </c>
      <c r="K11189" s="2" t="s">
        <v>19729</v>
      </c>
      <c r="L11189" s="2" t="s">
        <v>2613</v>
      </c>
      <c r="M11189" s="2">
        <v>83864.0</v>
      </c>
      <c r="N11189" s="2" t="s">
        <v>21</v>
      </c>
    </row>
    <row r="11190" ht="15.75" customHeight="1">
      <c r="A11190" s="2">
        <v>2019.0</v>
      </c>
      <c r="B11190" s="2" t="s">
        <v>29080</v>
      </c>
      <c r="C11190" s="2" t="s">
        <v>44971</v>
      </c>
      <c r="D11190" s="2" t="str">
        <f>"5128271032"</f>
        <v>5128271032</v>
      </c>
      <c r="E11190" s="2" t="s">
        <v>22910</v>
      </c>
      <c r="F11190" s="2" t="s">
        <v>1151</v>
      </c>
      <c r="G11190" s="2" t="str">
        <f>"SR-15781"</f>
        <v>SR-15781</v>
      </c>
      <c r="H11190" s="2" t="s">
        <v>44972</v>
      </c>
      <c r="I11190" s="2" t="s">
        <v>12776</v>
      </c>
      <c r="K11190" s="2" t="s">
        <v>12777</v>
      </c>
      <c r="L11190" s="2" t="s">
        <v>172</v>
      </c>
      <c r="M11190" s="2">
        <v>78669.0</v>
      </c>
      <c r="N11190" s="2" t="s">
        <v>21</v>
      </c>
    </row>
    <row r="11191" ht="15.75" customHeight="1">
      <c r="A11191" s="2">
        <v>2019.0</v>
      </c>
      <c r="B11191" s="2" t="s">
        <v>44973</v>
      </c>
      <c r="C11191" s="2" t="s">
        <v>44974</v>
      </c>
      <c r="D11191" s="2" t="str">
        <f>"317-966-0371"</f>
        <v>317-966-0371</v>
      </c>
      <c r="E11191" s="2" t="s">
        <v>1725</v>
      </c>
      <c r="F11191" s="2" t="s">
        <v>44975</v>
      </c>
      <c r="G11191" s="2" t="str">
        <f>"SR-15776"</f>
        <v>SR-15776</v>
      </c>
      <c r="H11191" s="2" t="s">
        <v>44976</v>
      </c>
      <c r="I11191" s="2" t="s">
        <v>44977</v>
      </c>
      <c r="K11191" s="2" t="s">
        <v>408</v>
      </c>
      <c r="L11191" s="2" t="s">
        <v>149</v>
      </c>
      <c r="M11191" s="2">
        <v>46077.0</v>
      </c>
      <c r="N11191" s="2" t="s">
        <v>21</v>
      </c>
    </row>
    <row r="11192" ht="15.75" customHeight="1">
      <c r="A11192" s="2">
        <v>2019.0</v>
      </c>
      <c r="B11192" s="2" t="s">
        <v>44973</v>
      </c>
      <c r="C11192" s="2" t="s">
        <v>44978</v>
      </c>
      <c r="D11192" s="2" t="str">
        <f>"317-966-7181"</f>
        <v>317-966-7181</v>
      </c>
      <c r="E11192" s="2" t="s">
        <v>4769</v>
      </c>
      <c r="F11192" s="2" t="s">
        <v>44975</v>
      </c>
      <c r="G11192" s="2" t="str">
        <f>"SR-15782"</f>
        <v>SR-15782</v>
      </c>
      <c r="H11192" s="2" t="s">
        <v>44979</v>
      </c>
      <c r="I11192" s="2" t="s">
        <v>44977</v>
      </c>
      <c r="K11192" s="2" t="s">
        <v>408</v>
      </c>
      <c r="L11192" s="2" t="s">
        <v>149</v>
      </c>
      <c r="M11192" s="2">
        <v>46077.0</v>
      </c>
      <c r="N11192" s="2" t="s">
        <v>21</v>
      </c>
    </row>
    <row r="11193" ht="15.75" customHeight="1">
      <c r="A11193" s="2">
        <v>2019.0</v>
      </c>
      <c r="B11193" s="2" t="s">
        <v>44980</v>
      </c>
      <c r="C11193" s="2" t="s">
        <v>44981</v>
      </c>
      <c r="D11193" s="2" t="str">
        <f>"4062080057"</f>
        <v>4062080057</v>
      </c>
      <c r="E11193" s="2" t="s">
        <v>44982</v>
      </c>
      <c r="F11193" s="2" t="s">
        <v>44983</v>
      </c>
      <c r="G11193" s="2" t="str">
        <f>"SR-15696"</f>
        <v>SR-15696</v>
      </c>
      <c r="H11193" s="2" t="s">
        <v>44984</v>
      </c>
      <c r="I11193" s="2" t="s">
        <v>44985</v>
      </c>
      <c r="K11193" s="2" t="s">
        <v>3548</v>
      </c>
      <c r="L11193" s="2" t="s">
        <v>2696</v>
      </c>
      <c r="M11193" s="2">
        <v>59102.0</v>
      </c>
      <c r="N11193" s="2" t="s">
        <v>21</v>
      </c>
    </row>
    <row r="11194" ht="15.75" customHeight="1">
      <c r="A11194" s="2">
        <v>2019.0</v>
      </c>
      <c r="B11194" s="2" t="s">
        <v>44986</v>
      </c>
      <c r="C11194" s="2" t="s">
        <v>44986</v>
      </c>
      <c r="D11194" s="2" t="str">
        <f>"7196405416"</f>
        <v>7196405416</v>
      </c>
      <c r="E11194" s="2" t="s">
        <v>44987</v>
      </c>
      <c r="F11194" s="2" t="s">
        <v>1373</v>
      </c>
      <c r="G11194" s="2" t="str">
        <f>"SR-15774"</f>
        <v>SR-15774</v>
      </c>
      <c r="H11194" s="2" t="s">
        <v>44988</v>
      </c>
      <c r="I11194" s="2" t="s">
        <v>44989</v>
      </c>
      <c r="K11194" s="2" t="s">
        <v>809</v>
      </c>
      <c r="L11194" s="2" t="s">
        <v>157</v>
      </c>
      <c r="M11194" s="2">
        <v>80923.0</v>
      </c>
      <c r="N11194" s="2" t="s">
        <v>21</v>
      </c>
    </row>
    <row r="11195" ht="15.75" customHeight="1">
      <c r="A11195" s="2">
        <v>2019.0</v>
      </c>
      <c r="B11195" s="2" t="s">
        <v>44990</v>
      </c>
      <c r="C11195" s="2" t="s">
        <v>44990</v>
      </c>
      <c r="D11195" s="2" t="str">
        <f>"6146193562"</f>
        <v>6146193562</v>
      </c>
      <c r="E11195" s="2" t="s">
        <v>7046</v>
      </c>
      <c r="F11195" s="2" t="s">
        <v>13877</v>
      </c>
      <c r="G11195" s="2" t="str">
        <f>"SR-15775"</f>
        <v>SR-15775</v>
      </c>
      <c r="H11195" s="2" t="s">
        <v>44991</v>
      </c>
      <c r="I11195" s="2" t="s">
        <v>44992</v>
      </c>
      <c r="K11195" s="2" t="s">
        <v>41353</v>
      </c>
      <c r="L11195" s="2" t="s">
        <v>344</v>
      </c>
      <c r="M11195" s="2">
        <v>43074.0</v>
      </c>
      <c r="N11195" s="2" t="s">
        <v>21</v>
      </c>
    </row>
    <row r="11196" ht="15.75" customHeight="1">
      <c r="A11196" s="2">
        <v>2019.0</v>
      </c>
      <c r="B11196" s="2" t="s">
        <v>44993</v>
      </c>
      <c r="C11196" s="2" t="s">
        <v>44994</v>
      </c>
      <c r="D11196" s="2" t="str">
        <f>"2345429347"</f>
        <v>2345429347</v>
      </c>
      <c r="E11196" s="2" t="s">
        <v>11370</v>
      </c>
      <c r="F11196" s="2" t="s">
        <v>13355</v>
      </c>
      <c r="G11196" s="2" t="str">
        <f>"SR-15786"</f>
        <v>SR-15786</v>
      </c>
      <c r="H11196" s="2" t="s">
        <v>44995</v>
      </c>
      <c r="I11196" s="2" t="s">
        <v>44996</v>
      </c>
      <c r="K11196" s="2" t="s">
        <v>44997</v>
      </c>
      <c r="L11196" s="2" t="s">
        <v>344</v>
      </c>
      <c r="M11196" s="2">
        <v>44216.0</v>
      </c>
      <c r="N11196" s="2" t="s">
        <v>21</v>
      </c>
    </row>
    <row r="11197" ht="15.75" customHeight="1">
      <c r="A11197" s="2">
        <v>2019.0</v>
      </c>
      <c r="B11197" s="2" t="s">
        <v>44998</v>
      </c>
      <c r="C11197" s="2" t="s">
        <v>44999</v>
      </c>
      <c r="D11197" s="2" t="str">
        <f>"717-315-4182?"</f>
        <v>717-315-4182?</v>
      </c>
      <c r="E11197" s="2" t="s">
        <v>417</v>
      </c>
      <c r="F11197" s="2" t="s">
        <v>45000</v>
      </c>
      <c r="G11197" s="2" t="str">
        <f>"SR-15791"</f>
        <v>SR-15791</v>
      </c>
      <c r="H11197" s="2" t="s">
        <v>45001</v>
      </c>
      <c r="I11197" s="2" t="s">
        <v>45002</v>
      </c>
      <c r="K11197" s="2" t="s">
        <v>45003</v>
      </c>
      <c r="L11197" s="2" t="s">
        <v>179</v>
      </c>
      <c r="M11197" s="2">
        <v>17019.0</v>
      </c>
      <c r="N11197" s="2" t="s">
        <v>21</v>
      </c>
    </row>
    <row r="11198" ht="15.75" customHeight="1">
      <c r="A11198" s="2">
        <v>2019.0</v>
      </c>
      <c r="B11198" s="2" t="s">
        <v>45004</v>
      </c>
      <c r="C11198" s="2" t="s">
        <v>45005</v>
      </c>
      <c r="D11198" s="2" t="str">
        <f>"(717) 766-4364"</f>
        <v>(717) 766-4364</v>
      </c>
      <c r="E11198" s="2" t="s">
        <v>705</v>
      </c>
      <c r="F11198" s="2" t="s">
        <v>45006</v>
      </c>
      <c r="G11198" s="2" t="str">
        <f>"SR-15792"</f>
        <v>SR-15792</v>
      </c>
      <c r="H11198" s="2" t="s">
        <v>45007</v>
      </c>
      <c r="I11198" s="2" t="s">
        <v>45008</v>
      </c>
      <c r="K11198" s="2" t="s">
        <v>45003</v>
      </c>
      <c r="L11198" s="2" t="s">
        <v>179</v>
      </c>
      <c r="M11198" s="2">
        <v>17019.0</v>
      </c>
      <c r="N11198" s="2" t="s">
        <v>21</v>
      </c>
    </row>
    <row r="11199" ht="15.75" customHeight="1">
      <c r="A11199" s="2">
        <v>2019.0</v>
      </c>
      <c r="B11199" s="2" t="s">
        <v>37544</v>
      </c>
      <c r="C11199" s="2" t="s">
        <v>37545</v>
      </c>
      <c r="D11199" s="2" t="str">
        <f>"(605)280-6604"</f>
        <v>(605)280-6604</v>
      </c>
      <c r="E11199" s="2" t="s">
        <v>1529</v>
      </c>
      <c r="F11199" s="2" t="s">
        <v>7004</v>
      </c>
      <c r="G11199" s="2" t="str">
        <f>"SR-12817"</f>
        <v>SR-12817</v>
      </c>
      <c r="H11199" s="2" t="s">
        <v>37546</v>
      </c>
      <c r="I11199" s="2" t="s">
        <v>7006</v>
      </c>
      <c r="K11199" s="2" t="s">
        <v>4355</v>
      </c>
      <c r="L11199" s="2" t="s">
        <v>920</v>
      </c>
      <c r="M11199" s="2">
        <v>57501.0</v>
      </c>
      <c r="N11199" s="2" t="s">
        <v>21</v>
      </c>
    </row>
    <row r="11200" ht="15.75" customHeight="1">
      <c r="A11200" s="2">
        <v>2019.0</v>
      </c>
      <c r="B11200" s="2" t="s">
        <v>45009</v>
      </c>
      <c r="C11200" s="2" t="s">
        <v>45010</v>
      </c>
      <c r="D11200" s="2" t="str">
        <f>"3366718651"</f>
        <v>3366718651</v>
      </c>
      <c r="E11200" s="2" t="s">
        <v>2167</v>
      </c>
      <c r="F11200" s="2" t="s">
        <v>30128</v>
      </c>
      <c r="G11200" s="2" t="str">
        <f>"SR-15787"</f>
        <v>SR-15787</v>
      </c>
      <c r="H11200" s="2" t="s">
        <v>45011</v>
      </c>
      <c r="I11200" s="2" t="s">
        <v>45012</v>
      </c>
      <c r="K11200" s="2" t="s">
        <v>25468</v>
      </c>
      <c r="L11200" s="2" t="s">
        <v>20</v>
      </c>
      <c r="M11200" s="2">
        <v>27284.0</v>
      </c>
      <c r="N11200" s="2" t="s">
        <v>21</v>
      </c>
    </row>
    <row r="11201" ht="15.75" customHeight="1">
      <c r="A11201" s="2">
        <v>2019.0</v>
      </c>
      <c r="B11201" s="2" t="s">
        <v>18568</v>
      </c>
      <c r="C11201" s="2" t="s">
        <v>45013</v>
      </c>
      <c r="D11201" s="2" t="str">
        <f>"806-787-1815"</f>
        <v>806-787-1815</v>
      </c>
      <c r="E11201" s="2" t="s">
        <v>2162</v>
      </c>
      <c r="F11201" s="2" t="s">
        <v>3826</v>
      </c>
      <c r="G11201" s="2" t="str">
        <f>"SR-15804"</f>
        <v>SR-15804</v>
      </c>
      <c r="H11201" s="2" t="s">
        <v>45014</v>
      </c>
      <c r="I11201" s="2" t="s">
        <v>3828</v>
      </c>
      <c r="K11201" s="2" t="s">
        <v>1121</v>
      </c>
      <c r="L11201" s="2" t="s">
        <v>172</v>
      </c>
      <c r="M11201" s="2">
        <v>79416.0</v>
      </c>
      <c r="N11201" s="2" t="s">
        <v>21</v>
      </c>
    </row>
    <row r="11202" ht="15.75" customHeight="1">
      <c r="A11202" s="2">
        <v>2019.0</v>
      </c>
      <c r="B11202" s="2" t="s">
        <v>45015</v>
      </c>
      <c r="C11202" s="2" t="s">
        <v>45015</v>
      </c>
      <c r="D11202" s="2" t="str">
        <f>"7176753457"</f>
        <v>7176753457</v>
      </c>
      <c r="E11202" s="2" t="s">
        <v>367</v>
      </c>
      <c r="F11202" s="2" t="s">
        <v>645</v>
      </c>
      <c r="G11202" s="2" t="str">
        <f>"SR-15801"</f>
        <v>SR-15801</v>
      </c>
      <c r="H11202" s="2" t="s">
        <v>18203</v>
      </c>
      <c r="I11202" s="2" t="s">
        <v>45016</v>
      </c>
      <c r="K11202" s="2" t="s">
        <v>45017</v>
      </c>
      <c r="L11202" s="2" t="s">
        <v>179</v>
      </c>
      <c r="M11202" s="2">
        <v>17073.0</v>
      </c>
      <c r="N11202" s="2" t="s">
        <v>21</v>
      </c>
    </row>
    <row r="11203" ht="15.75" customHeight="1">
      <c r="A11203" s="2">
        <v>2019.0</v>
      </c>
      <c r="B11203" s="2" t="s">
        <v>45018</v>
      </c>
      <c r="C11203" s="2" t="s">
        <v>45018</v>
      </c>
      <c r="D11203" s="2" t="str">
        <f>"18645572564"</f>
        <v>18645572564</v>
      </c>
      <c r="E11203" s="2" t="s">
        <v>167</v>
      </c>
      <c r="F11203" s="2" t="s">
        <v>645</v>
      </c>
      <c r="G11203" s="2" t="str">
        <f>"SR-15799"</f>
        <v>SR-15799</v>
      </c>
      <c r="H11203" s="2" t="s">
        <v>45019</v>
      </c>
      <c r="I11203" s="2" t="s">
        <v>45020</v>
      </c>
      <c r="K11203" s="2" t="s">
        <v>6915</v>
      </c>
      <c r="L11203" s="2" t="s">
        <v>55</v>
      </c>
      <c r="M11203" s="2">
        <v>29693.0</v>
      </c>
      <c r="N11203" s="2" t="s">
        <v>21</v>
      </c>
    </row>
    <row r="11204" ht="15.75" customHeight="1">
      <c r="A11204" s="2">
        <v>2019.0</v>
      </c>
      <c r="B11204" s="2" t="s">
        <v>38044</v>
      </c>
      <c r="D11204" s="2" t="str">
        <f>""</f>
        <v/>
      </c>
      <c r="E11204" s="2" t="s">
        <v>7145</v>
      </c>
      <c r="F11204" s="2" t="s">
        <v>38045</v>
      </c>
      <c r="G11204" s="2" t="str">
        <f>"SR-12913"</f>
        <v>SR-12913</v>
      </c>
      <c r="H11204" s="2" t="s">
        <v>38046</v>
      </c>
    </row>
    <row r="11205" ht="15.75" customHeight="1">
      <c r="A11205" s="2">
        <v>2019.0</v>
      </c>
      <c r="B11205" s="2" t="s">
        <v>45021</v>
      </c>
      <c r="C11205" s="2" t="s">
        <v>45021</v>
      </c>
      <c r="D11205" s="2" t="str">
        <f>"5759565106"</f>
        <v>5759565106</v>
      </c>
      <c r="E11205" s="2" t="s">
        <v>16667</v>
      </c>
      <c r="F11205" s="2" t="s">
        <v>12673</v>
      </c>
      <c r="G11205" s="2" t="str">
        <f>"SR-15788"</f>
        <v>SR-15788</v>
      </c>
      <c r="H11205" s="2" t="s">
        <v>45022</v>
      </c>
      <c r="I11205" s="2" t="s">
        <v>45023</v>
      </c>
      <c r="J11205" s="2" t="s">
        <v>45024</v>
      </c>
      <c r="K11205" s="2" t="s">
        <v>45025</v>
      </c>
      <c r="L11205" s="2" t="s">
        <v>789</v>
      </c>
      <c r="M11205" s="2">
        <v>88023.0</v>
      </c>
      <c r="N11205" s="2" t="s">
        <v>21</v>
      </c>
    </row>
    <row r="11206" ht="15.75" customHeight="1">
      <c r="A11206" s="2">
        <v>2019.0</v>
      </c>
      <c r="B11206" s="2" t="s">
        <v>45026</v>
      </c>
      <c r="C11206" s="2" t="s">
        <v>45027</v>
      </c>
      <c r="D11206" s="2" t="str">
        <f>"4028964453"</f>
        <v>4028964453</v>
      </c>
      <c r="E11206" s="2" t="s">
        <v>4763</v>
      </c>
      <c r="F11206" s="2" t="s">
        <v>9770</v>
      </c>
      <c r="G11206" s="2" t="str">
        <f>"SR-15807"</f>
        <v>SR-15807</v>
      </c>
      <c r="H11206" s="2" t="s">
        <v>45028</v>
      </c>
      <c r="I11206" s="2" t="s">
        <v>45029</v>
      </c>
      <c r="K11206" s="2" t="s">
        <v>1470</v>
      </c>
      <c r="L11206" s="2" t="s">
        <v>757</v>
      </c>
      <c r="M11206" s="2">
        <v>68135.0</v>
      </c>
      <c r="N11206" s="2" t="s">
        <v>21</v>
      </c>
    </row>
    <row r="11207" ht="15.75" customHeight="1">
      <c r="A11207" s="2">
        <v>2019.0</v>
      </c>
      <c r="B11207" s="2" t="s">
        <v>16330</v>
      </c>
      <c r="C11207" s="2" t="s">
        <v>16330</v>
      </c>
      <c r="D11207" s="2" t="str">
        <f>"501 288 2171"</f>
        <v>501 288 2171</v>
      </c>
      <c r="E11207" s="2" t="s">
        <v>580</v>
      </c>
      <c r="F11207" s="2" t="s">
        <v>16332</v>
      </c>
      <c r="G11207" s="2" t="str">
        <f>"SR-15808"</f>
        <v>SR-15808</v>
      </c>
      <c r="H11207" s="2" t="s">
        <v>45030</v>
      </c>
      <c r="I11207" s="2" t="s">
        <v>16334</v>
      </c>
      <c r="K11207" s="2" t="s">
        <v>11976</v>
      </c>
      <c r="L11207" s="2" t="s">
        <v>1012</v>
      </c>
      <c r="M11207" s="2">
        <v>72023.0</v>
      </c>
      <c r="N11207" s="2" t="s">
        <v>21</v>
      </c>
    </row>
    <row r="11208" ht="15.75" customHeight="1">
      <c r="A11208" s="2">
        <v>2019.0</v>
      </c>
      <c r="B11208" s="2" t="s">
        <v>45031</v>
      </c>
      <c r="C11208" s="2" t="s">
        <v>45031</v>
      </c>
      <c r="D11208" s="2" t="str">
        <f>"64-815-3321"</f>
        <v>64-815-3321</v>
      </c>
      <c r="E11208" s="2" t="s">
        <v>10622</v>
      </c>
      <c r="F11208" s="2" t="s">
        <v>45032</v>
      </c>
      <c r="G11208" s="2" t="str">
        <f>"SR-15785"</f>
        <v>SR-15785</v>
      </c>
      <c r="H11208" s="2" t="s">
        <v>45033</v>
      </c>
      <c r="I11208" s="2" t="s">
        <v>45034</v>
      </c>
      <c r="K11208" s="2" t="s">
        <v>2421</v>
      </c>
      <c r="L11208" s="2" t="s">
        <v>344</v>
      </c>
      <c r="M11208" s="2">
        <v>43231.0</v>
      </c>
      <c r="N11208" s="2" t="s">
        <v>21</v>
      </c>
    </row>
    <row r="11209" ht="15.75" customHeight="1">
      <c r="A11209" s="2">
        <v>2019.0</v>
      </c>
      <c r="B11209" s="2" t="s">
        <v>45035</v>
      </c>
      <c r="C11209" s="2" t="s">
        <v>45036</v>
      </c>
      <c r="D11209" s="2" t="str">
        <f>"717-336-6873"</f>
        <v>717-336-6873</v>
      </c>
      <c r="E11209" s="2" t="s">
        <v>45037</v>
      </c>
      <c r="F11209" s="2" t="s">
        <v>32112</v>
      </c>
      <c r="G11209" s="2" t="str">
        <f>"SR-14858"</f>
        <v>SR-14858</v>
      </c>
      <c r="H11209" s="2" t="s">
        <v>45038</v>
      </c>
      <c r="I11209" s="2" t="s">
        <v>45039</v>
      </c>
      <c r="K11209" s="2" t="s">
        <v>6760</v>
      </c>
      <c r="L11209" s="2" t="s">
        <v>179</v>
      </c>
      <c r="M11209" s="2">
        <v>17578.0</v>
      </c>
      <c r="N11209" s="2" t="s">
        <v>21</v>
      </c>
    </row>
    <row r="11210" ht="15.75" customHeight="1">
      <c r="A11210" s="2">
        <v>2019.0</v>
      </c>
      <c r="B11210" s="2" t="s">
        <v>45040</v>
      </c>
      <c r="C11210" s="2" t="s">
        <v>45040</v>
      </c>
      <c r="D11210" s="2" t="str">
        <f>"720-366-2808"</f>
        <v>720-366-2808</v>
      </c>
      <c r="E11210" s="2" t="s">
        <v>8820</v>
      </c>
      <c r="F11210" s="2" t="s">
        <v>6290</v>
      </c>
      <c r="G11210" s="2" t="str">
        <f>"SR-15812"</f>
        <v>SR-15812</v>
      </c>
      <c r="H11210" s="2" t="s">
        <v>45041</v>
      </c>
      <c r="I11210" s="2" t="s">
        <v>6292</v>
      </c>
      <c r="K11210" s="2" t="s">
        <v>1054</v>
      </c>
      <c r="L11210" s="2" t="s">
        <v>157</v>
      </c>
      <c r="M11210" s="2">
        <v>80134.0</v>
      </c>
      <c r="N11210" s="2" t="s">
        <v>21</v>
      </c>
    </row>
    <row r="11211" ht="15.75" customHeight="1">
      <c r="A11211" s="2">
        <v>2019.0</v>
      </c>
      <c r="B11211" s="2" t="s">
        <v>45042</v>
      </c>
      <c r="C11211" s="2" t="s">
        <v>45043</v>
      </c>
      <c r="D11211" s="2" t="str">
        <f>"720-594-0698"</f>
        <v>720-594-0698</v>
      </c>
      <c r="E11211" s="2" t="s">
        <v>1000</v>
      </c>
      <c r="F11211" s="2" t="s">
        <v>45044</v>
      </c>
      <c r="G11211" s="2" t="str">
        <f>"SR-15813"</f>
        <v>SR-15813</v>
      </c>
      <c r="H11211" s="2" t="s">
        <v>45045</v>
      </c>
      <c r="I11211" s="2" t="s">
        <v>45046</v>
      </c>
      <c r="K11211" s="2" t="s">
        <v>1398</v>
      </c>
      <c r="L11211" s="2" t="s">
        <v>157</v>
      </c>
      <c r="M11211" s="2">
        <v>80104.0</v>
      </c>
      <c r="N11211" s="2" t="s">
        <v>21</v>
      </c>
    </row>
    <row r="11212" ht="15.75" customHeight="1">
      <c r="A11212" s="2">
        <v>2019.0</v>
      </c>
      <c r="B11212" s="2" t="s">
        <v>28045</v>
      </c>
      <c r="C11212" s="2" t="s">
        <v>45047</v>
      </c>
      <c r="D11212" s="2" t="str">
        <f>"8287736971"</f>
        <v>8287736971</v>
      </c>
      <c r="E11212" s="2" t="s">
        <v>843</v>
      </c>
      <c r="F11212" s="2" t="s">
        <v>28047</v>
      </c>
      <c r="G11212" s="2" t="str">
        <f>"SR-15816"</f>
        <v>SR-15816</v>
      </c>
      <c r="H11212" s="2" t="s">
        <v>45048</v>
      </c>
      <c r="I11212" s="2" t="s">
        <v>28049</v>
      </c>
      <c r="K11212" s="2" t="s">
        <v>10856</v>
      </c>
      <c r="L11212" s="2" t="s">
        <v>20</v>
      </c>
      <c r="M11212" s="2">
        <v>28607.0</v>
      </c>
      <c r="N11212" s="2" t="s">
        <v>21</v>
      </c>
    </row>
    <row r="11213" ht="15.75" customHeight="1">
      <c r="A11213" s="2">
        <v>2019.0</v>
      </c>
      <c r="B11213" s="2" t="s">
        <v>45049</v>
      </c>
      <c r="C11213" s="2" t="s">
        <v>45050</v>
      </c>
      <c r="D11213" s="2" t="str">
        <f>"7034774410"</f>
        <v>7034774410</v>
      </c>
      <c r="E11213" s="2" t="s">
        <v>385</v>
      </c>
      <c r="F11213" s="2" t="s">
        <v>25821</v>
      </c>
      <c r="G11213" s="2" t="str">
        <f>"SR-15815"</f>
        <v>SR-15815</v>
      </c>
      <c r="H11213" s="2" t="s">
        <v>45051</v>
      </c>
      <c r="I11213" s="2" t="s">
        <v>45052</v>
      </c>
      <c r="K11213" s="2" t="s">
        <v>20327</v>
      </c>
      <c r="L11213" s="2" t="s">
        <v>165</v>
      </c>
      <c r="M11213" s="2">
        <v>20136.0</v>
      </c>
      <c r="N11213" s="2" t="s">
        <v>21</v>
      </c>
    </row>
    <row r="11214" ht="15.75" customHeight="1">
      <c r="A11214" s="2">
        <v>2019.0</v>
      </c>
      <c r="B11214" s="2" t="s">
        <v>45049</v>
      </c>
      <c r="C11214" s="2" t="s">
        <v>45053</v>
      </c>
      <c r="D11214" s="2" t="str">
        <f>"5716355128"</f>
        <v>5716355128</v>
      </c>
      <c r="E11214" s="2" t="s">
        <v>1094</v>
      </c>
      <c r="F11214" s="2" t="s">
        <v>44132</v>
      </c>
      <c r="G11214" s="2" t="str">
        <f>"SR-15818"</f>
        <v>SR-15818</v>
      </c>
      <c r="H11214" s="2" t="s">
        <v>45054</v>
      </c>
      <c r="I11214" s="2" t="s">
        <v>45055</v>
      </c>
      <c r="K11214" s="2" t="s">
        <v>7148</v>
      </c>
      <c r="L11214" s="2" t="s">
        <v>165</v>
      </c>
      <c r="M11214" s="2">
        <v>20110.0</v>
      </c>
      <c r="N11214" s="2" t="s">
        <v>21</v>
      </c>
    </row>
    <row r="11215" ht="15.75" customHeight="1">
      <c r="A11215" s="2">
        <v>2019.0</v>
      </c>
      <c r="B11215" s="2" t="s">
        <v>45056</v>
      </c>
      <c r="C11215" s="2" t="s">
        <v>45057</v>
      </c>
      <c r="D11215" s="2" t="str">
        <f>"(904) 616-5416"</f>
        <v>(904) 616-5416</v>
      </c>
      <c r="E11215" s="2" t="s">
        <v>3305</v>
      </c>
      <c r="F11215" s="2" t="s">
        <v>15689</v>
      </c>
      <c r="G11215" s="2" t="str">
        <f>"SR-15819"</f>
        <v>SR-15819</v>
      </c>
      <c r="H11215" s="2" t="s">
        <v>45058</v>
      </c>
      <c r="I11215" s="2" t="s">
        <v>45059</v>
      </c>
      <c r="K11215" s="2" t="s">
        <v>451</v>
      </c>
      <c r="L11215" s="2" t="s">
        <v>208</v>
      </c>
      <c r="M11215" s="2">
        <v>32210.0</v>
      </c>
      <c r="N11215" s="2" t="s">
        <v>21</v>
      </c>
    </row>
    <row r="11216" ht="15.75" customHeight="1">
      <c r="A11216" s="2">
        <v>2019.0</v>
      </c>
      <c r="B11216" s="2" t="s">
        <v>45060</v>
      </c>
      <c r="C11216" s="2" t="s">
        <v>45060</v>
      </c>
      <c r="D11216" s="2" t="str">
        <f>"3219463102"</f>
        <v>3219463102</v>
      </c>
      <c r="E11216" s="2" t="s">
        <v>15</v>
      </c>
      <c r="F11216" s="2" t="s">
        <v>45061</v>
      </c>
      <c r="G11216" s="2" t="str">
        <f>"SR-15820"</f>
        <v>SR-15820</v>
      </c>
      <c r="H11216" s="2" t="s">
        <v>45062</v>
      </c>
      <c r="I11216" s="2" t="s">
        <v>45063</v>
      </c>
      <c r="K11216" s="2" t="s">
        <v>4724</v>
      </c>
      <c r="L11216" s="2" t="s">
        <v>208</v>
      </c>
      <c r="M11216" s="2">
        <v>32812.0</v>
      </c>
      <c r="N11216" s="2" t="s">
        <v>21</v>
      </c>
    </row>
    <row r="11217" ht="15.75" customHeight="1">
      <c r="A11217" s="2">
        <v>2019.0</v>
      </c>
      <c r="B11217" s="2" t="s">
        <v>45064</v>
      </c>
      <c r="C11217" s="2" t="s">
        <v>45065</v>
      </c>
      <c r="D11217" s="2" t="str">
        <f t="shared" ref="D11217:D11218" si="189">"3166805878"</f>
        <v>3166805878</v>
      </c>
      <c r="E11217" s="2" t="s">
        <v>167</v>
      </c>
      <c r="F11217" s="2" t="s">
        <v>12392</v>
      </c>
      <c r="G11217" s="2" t="str">
        <f>"SR-15821"</f>
        <v>SR-15821</v>
      </c>
      <c r="H11217" s="2" t="s">
        <v>45066</v>
      </c>
      <c r="I11217" s="2" t="s">
        <v>45067</v>
      </c>
      <c r="K11217" s="2" t="s">
        <v>3212</v>
      </c>
      <c r="L11217" s="2" t="s">
        <v>272</v>
      </c>
      <c r="M11217" s="2">
        <v>67114.0</v>
      </c>
      <c r="N11217" s="2" t="s">
        <v>21</v>
      </c>
    </row>
    <row r="11218" ht="15.75" customHeight="1">
      <c r="A11218" s="2">
        <v>2019.0</v>
      </c>
      <c r="B11218" s="2" t="s">
        <v>45064</v>
      </c>
      <c r="C11218" s="2" t="s">
        <v>45068</v>
      </c>
      <c r="D11218" s="2" t="str">
        <f t="shared" si="189"/>
        <v>3166805878</v>
      </c>
      <c r="E11218" s="2" t="s">
        <v>678</v>
      </c>
      <c r="F11218" s="2" t="s">
        <v>12392</v>
      </c>
      <c r="G11218" s="2" t="str">
        <f>"SR-15822"</f>
        <v>SR-15822</v>
      </c>
      <c r="H11218" s="2" t="s">
        <v>45069</v>
      </c>
      <c r="I11218" s="2" t="s">
        <v>45067</v>
      </c>
      <c r="K11218" s="2" t="s">
        <v>3212</v>
      </c>
      <c r="L11218" s="2" t="s">
        <v>272</v>
      </c>
      <c r="M11218" s="2">
        <v>67114.0</v>
      </c>
      <c r="N11218" s="2" t="s">
        <v>21</v>
      </c>
    </row>
    <row r="11219" ht="15.75" customHeight="1">
      <c r="A11219" s="2">
        <v>2019.0</v>
      </c>
      <c r="B11219" s="2" t="s">
        <v>45070</v>
      </c>
      <c r="C11219" s="2" t="s">
        <v>45071</v>
      </c>
      <c r="D11219" s="2" t="str">
        <f>"720-289-5851"</f>
        <v>720-289-5851</v>
      </c>
      <c r="E11219" s="2" t="s">
        <v>4769</v>
      </c>
      <c r="F11219" s="2" t="s">
        <v>3561</v>
      </c>
      <c r="G11219" s="2" t="str">
        <f>"SR-15823"</f>
        <v>SR-15823</v>
      </c>
      <c r="H11219" s="2" t="s">
        <v>45072</v>
      </c>
      <c r="I11219" s="2" t="s">
        <v>45073</v>
      </c>
      <c r="K11219" s="2" t="s">
        <v>507</v>
      </c>
      <c r="L11219" s="2" t="s">
        <v>157</v>
      </c>
      <c r="M11219" s="2">
        <v>80132.0</v>
      </c>
      <c r="N11219" s="2" t="s">
        <v>21</v>
      </c>
    </row>
    <row r="11220" ht="15.75" customHeight="1">
      <c r="A11220" s="2">
        <v>2019.0</v>
      </c>
      <c r="B11220" s="2" t="s">
        <v>45074</v>
      </c>
      <c r="C11220" s="2" t="s">
        <v>45075</v>
      </c>
      <c r="D11220" s="2" t="str">
        <f>"6516001309"</f>
        <v>6516001309</v>
      </c>
      <c r="E11220" s="2" t="s">
        <v>644</v>
      </c>
      <c r="F11220" s="2" t="s">
        <v>45076</v>
      </c>
      <c r="G11220" s="2" t="str">
        <f>"SR-15825"</f>
        <v>SR-15825</v>
      </c>
      <c r="H11220" s="2" t="s">
        <v>45077</v>
      </c>
      <c r="I11220" s="2" t="s">
        <v>45078</v>
      </c>
      <c r="K11220" s="2" t="s">
        <v>2046</v>
      </c>
      <c r="L11220" s="2" t="s">
        <v>172</v>
      </c>
      <c r="M11220" s="2">
        <v>76049.0</v>
      </c>
      <c r="N11220" s="2" t="s">
        <v>21</v>
      </c>
    </row>
    <row r="11221" ht="15.75" customHeight="1">
      <c r="A11221" s="2">
        <v>2019.0</v>
      </c>
      <c r="B11221" s="2" t="s">
        <v>45079</v>
      </c>
      <c r="C11221" s="2" t="s">
        <v>45080</v>
      </c>
      <c r="D11221" s="2" t="str">
        <f>"903-747-2867"</f>
        <v>903-747-2867</v>
      </c>
      <c r="E11221" s="2" t="s">
        <v>1263</v>
      </c>
      <c r="F11221" s="2" t="s">
        <v>6932</v>
      </c>
      <c r="G11221" s="2" t="str">
        <f>"SR-15829"</f>
        <v>SR-15829</v>
      </c>
      <c r="H11221" s="2" t="s">
        <v>45081</v>
      </c>
      <c r="I11221" s="2" t="s">
        <v>45082</v>
      </c>
      <c r="K11221" s="2" t="s">
        <v>14138</v>
      </c>
      <c r="L11221" s="2" t="s">
        <v>172</v>
      </c>
      <c r="M11221" s="2">
        <v>75791.0</v>
      </c>
      <c r="N11221" s="2" t="s">
        <v>21</v>
      </c>
    </row>
    <row r="11222" ht="15.75" customHeight="1">
      <c r="A11222" s="2">
        <v>2019.0</v>
      </c>
      <c r="B11222" s="2" t="s">
        <v>45083</v>
      </c>
      <c r="C11222" s="2" t="s">
        <v>45084</v>
      </c>
      <c r="D11222" s="2" t="str">
        <f>"520-589-8468"</f>
        <v>520-589-8468</v>
      </c>
      <c r="E11222" s="2" t="s">
        <v>22942</v>
      </c>
      <c r="F11222" s="2" t="s">
        <v>15730</v>
      </c>
      <c r="G11222" s="2" t="str">
        <f>"SR-15830"</f>
        <v>SR-15830</v>
      </c>
      <c r="H11222" s="2" t="s">
        <v>45085</v>
      </c>
      <c r="I11222" s="2" t="s">
        <v>45086</v>
      </c>
      <c r="K11222" s="2" t="s">
        <v>5946</v>
      </c>
      <c r="L11222" s="2" t="s">
        <v>422</v>
      </c>
      <c r="M11222" s="2">
        <v>85742.0</v>
      </c>
      <c r="N11222" s="2" t="s">
        <v>21</v>
      </c>
    </row>
    <row r="11223" ht="15.75" customHeight="1">
      <c r="A11223" s="2">
        <v>2019.0</v>
      </c>
      <c r="B11223" s="2" t="s">
        <v>45087</v>
      </c>
      <c r="C11223" s="2" t="s">
        <v>45087</v>
      </c>
      <c r="D11223" s="2" t="str">
        <f>"15707773705"</f>
        <v>15707773705</v>
      </c>
      <c r="E11223" s="2" t="s">
        <v>12027</v>
      </c>
      <c r="F11223" s="2" t="s">
        <v>45088</v>
      </c>
      <c r="G11223" s="2" t="str">
        <f>"SR-15394"</f>
        <v>SR-15394</v>
      </c>
      <c r="H11223" s="2" t="s">
        <v>45089</v>
      </c>
      <c r="I11223" s="2" t="s">
        <v>45090</v>
      </c>
      <c r="K11223" s="2" t="s">
        <v>45091</v>
      </c>
      <c r="L11223" s="2" t="s">
        <v>179</v>
      </c>
      <c r="M11223" s="2">
        <v>17756.0</v>
      </c>
      <c r="N11223" s="2" t="s">
        <v>21</v>
      </c>
    </row>
    <row r="11224" ht="15.75" customHeight="1">
      <c r="A11224" s="2">
        <v>2019.0</v>
      </c>
      <c r="B11224" s="2" t="s">
        <v>19498</v>
      </c>
      <c r="C11224" s="2" t="s">
        <v>45092</v>
      </c>
      <c r="D11224" s="2" t="str">
        <f>"620-7791756"</f>
        <v>620-7791756</v>
      </c>
      <c r="E11224" s="2" t="s">
        <v>2243</v>
      </c>
      <c r="F11224" s="2" t="s">
        <v>5476</v>
      </c>
      <c r="G11224" s="2" t="str">
        <f>"SR-15831"</f>
        <v>SR-15831</v>
      </c>
      <c r="H11224" s="2" t="s">
        <v>45093</v>
      </c>
      <c r="I11224" s="2" t="s">
        <v>31936</v>
      </c>
      <c r="K11224" s="2" t="s">
        <v>31937</v>
      </c>
      <c r="L11224" s="2" t="s">
        <v>272</v>
      </c>
      <c r="M11224" s="2">
        <v>67301.0</v>
      </c>
      <c r="N11224" s="2" t="s">
        <v>21</v>
      </c>
    </row>
    <row r="11225" ht="15.75" customHeight="1">
      <c r="A11225" s="2">
        <v>2019.0</v>
      </c>
      <c r="B11225" s="2" t="s">
        <v>45094</v>
      </c>
      <c r="C11225" s="2" t="s">
        <v>45094</v>
      </c>
      <c r="D11225" s="2" t="str">
        <f>"6159680581"</f>
        <v>6159680581</v>
      </c>
      <c r="E11225" s="2" t="s">
        <v>2018</v>
      </c>
      <c r="F11225" s="2" t="s">
        <v>45095</v>
      </c>
      <c r="G11225" s="2" t="str">
        <f>"SR-15835"</f>
        <v>SR-15835</v>
      </c>
      <c r="H11225" s="2" t="s">
        <v>45096</v>
      </c>
      <c r="I11225" s="2" t="s">
        <v>45097</v>
      </c>
      <c r="K11225" s="2" t="s">
        <v>12405</v>
      </c>
      <c r="L11225" s="2" t="s">
        <v>279</v>
      </c>
      <c r="M11225" s="2">
        <v>37129.0</v>
      </c>
      <c r="N11225" s="2" t="s">
        <v>21</v>
      </c>
    </row>
    <row r="11226" ht="15.75" customHeight="1">
      <c r="A11226" s="2">
        <v>2019.0</v>
      </c>
      <c r="B11226" s="2" t="s">
        <v>45098</v>
      </c>
      <c r="C11226" s="2" t="s">
        <v>45098</v>
      </c>
      <c r="D11226" s="2" t="str">
        <f>"817-894-7656"</f>
        <v>817-894-7656</v>
      </c>
      <c r="E11226" s="2" t="s">
        <v>453</v>
      </c>
      <c r="F11226" s="2" t="s">
        <v>21971</v>
      </c>
      <c r="G11226" s="2" t="str">
        <f>"SR-15836"</f>
        <v>SR-15836</v>
      </c>
      <c r="H11226" s="2" t="s">
        <v>45099</v>
      </c>
      <c r="I11226" s="2" t="s">
        <v>45100</v>
      </c>
      <c r="K11226" s="2" t="s">
        <v>1260</v>
      </c>
      <c r="L11226" s="2" t="s">
        <v>172</v>
      </c>
      <c r="M11226" s="2">
        <v>76116.0</v>
      </c>
      <c r="N11226" s="2" t="s">
        <v>21</v>
      </c>
    </row>
    <row r="11227" ht="15.75" customHeight="1">
      <c r="A11227" s="2">
        <v>2019.0</v>
      </c>
      <c r="B11227" s="2" t="s">
        <v>45101</v>
      </c>
      <c r="C11227" s="2" t="s">
        <v>45102</v>
      </c>
      <c r="D11227" s="2" t="str">
        <f>"7727084922"</f>
        <v>7727084922</v>
      </c>
      <c r="E11227" s="2" t="s">
        <v>167</v>
      </c>
      <c r="F11227" s="2" t="s">
        <v>43046</v>
      </c>
      <c r="G11227" s="2" t="str">
        <f>"SR-15839"</f>
        <v>SR-15839</v>
      </c>
      <c r="H11227" s="2" t="s">
        <v>45103</v>
      </c>
      <c r="I11227" s="2" t="s">
        <v>43048</v>
      </c>
      <c r="K11227" s="2" t="s">
        <v>43049</v>
      </c>
      <c r="L11227" s="2" t="s">
        <v>208</v>
      </c>
      <c r="M11227" s="2">
        <v>34983.0</v>
      </c>
      <c r="N11227" s="2" t="s">
        <v>21</v>
      </c>
    </row>
    <row r="11228" ht="15.75" customHeight="1">
      <c r="A11228" s="2">
        <v>2019.0</v>
      </c>
      <c r="B11228" s="2" t="s">
        <v>45104</v>
      </c>
      <c r="C11228" s="2" t="s">
        <v>45105</v>
      </c>
      <c r="D11228" s="2" t="str">
        <f>"772-607-3483"</f>
        <v>772-607-3483</v>
      </c>
      <c r="E11228" s="2" t="s">
        <v>1032</v>
      </c>
      <c r="F11228" s="2" t="s">
        <v>283</v>
      </c>
      <c r="G11228" s="2" t="str">
        <f>"SR-15843"</f>
        <v>SR-15843</v>
      </c>
      <c r="H11228" s="2" t="s">
        <v>45106</v>
      </c>
      <c r="I11228" s="2" t="s">
        <v>45107</v>
      </c>
      <c r="K11228" s="2" t="s">
        <v>43049</v>
      </c>
      <c r="L11228" s="2" t="s">
        <v>208</v>
      </c>
      <c r="M11228" s="2">
        <v>34984.0</v>
      </c>
      <c r="N11228" s="2" t="s">
        <v>21</v>
      </c>
    </row>
    <row r="11229" ht="15.75" customHeight="1">
      <c r="A11229" s="2">
        <v>2019.0</v>
      </c>
      <c r="B11229" s="2" t="s">
        <v>45108</v>
      </c>
      <c r="C11229" s="2" t="s">
        <v>45109</v>
      </c>
      <c r="D11229" s="2" t="str">
        <f>"8285507842"</f>
        <v>8285507842</v>
      </c>
      <c r="E11229" s="2" t="s">
        <v>45110</v>
      </c>
      <c r="F11229" s="2" t="s">
        <v>45111</v>
      </c>
      <c r="G11229" s="2" t="str">
        <f>"SR-15732"</f>
        <v>SR-15732</v>
      </c>
      <c r="H11229" s="2" t="s">
        <v>45112</v>
      </c>
      <c r="I11229" s="2" t="s">
        <v>45113</v>
      </c>
      <c r="K11229" s="2" t="s">
        <v>1901</v>
      </c>
      <c r="L11229" s="2" t="s">
        <v>1722</v>
      </c>
      <c r="M11229" s="2">
        <v>39759.0</v>
      </c>
      <c r="N11229" s="2" t="s">
        <v>21</v>
      </c>
    </row>
    <row r="11230" ht="15.75" customHeight="1">
      <c r="A11230" s="2">
        <v>2019.0</v>
      </c>
      <c r="B11230" s="2" t="s">
        <v>32026</v>
      </c>
      <c r="C11230" s="2" t="s">
        <v>45114</v>
      </c>
      <c r="D11230" s="2" t="str">
        <f>"14439875987"</f>
        <v>14439875987</v>
      </c>
      <c r="E11230" s="2" t="s">
        <v>81</v>
      </c>
      <c r="F11230" s="2" t="s">
        <v>529</v>
      </c>
      <c r="G11230" s="2" t="str">
        <f>"SR-15717"</f>
        <v>SR-15717</v>
      </c>
      <c r="H11230" s="2" t="s">
        <v>45115</v>
      </c>
      <c r="I11230" s="2" t="s">
        <v>32030</v>
      </c>
      <c r="K11230" s="2" t="s">
        <v>32031</v>
      </c>
      <c r="L11230" s="2" t="s">
        <v>1868</v>
      </c>
      <c r="M11230" s="2">
        <v>21160.0</v>
      </c>
      <c r="N11230" s="2" t="s">
        <v>21</v>
      </c>
    </row>
    <row r="11231" ht="15.75" customHeight="1">
      <c r="A11231" s="2">
        <v>2019.0</v>
      </c>
      <c r="B11231" s="2" t="s">
        <v>45116</v>
      </c>
      <c r="C11231" s="2" t="s">
        <v>45116</v>
      </c>
      <c r="D11231" s="2" t="str">
        <f>"6159721125"</f>
        <v>6159721125</v>
      </c>
      <c r="E11231" s="2" t="s">
        <v>4716</v>
      </c>
      <c r="F11231" s="2" t="s">
        <v>45117</v>
      </c>
      <c r="G11231" s="2" t="str">
        <f>"SR-15846"</f>
        <v>SR-15846</v>
      </c>
      <c r="H11231" s="2" t="s">
        <v>45118</v>
      </c>
      <c r="I11231" s="2" t="s">
        <v>45119</v>
      </c>
      <c r="K11231" s="2" t="s">
        <v>7445</v>
      </c>
      <c r="L11231" s="2" t="s">
        <v>279</v>
      </c>
      <c r="M11231" s="2">
        <v>37174.0</v>
      </c>
      <c r="N11231" s="2" t="s">
        <v>21</v>
      </c>
    </row>
    <row r="11232" ht="15.75" customHeight="1">
      <c r="A11232" s="2">
        <v>2019.0</v>
      </c>
      <c r="B11232" s="2" t="s">
        <v>45120</v>
      </c>
      <c r="C11232" s="2" t="s">
        <v>45121</v>
      </c>
      <c r="D11232" s="2" t="str">
        <f>"585-746-2796"</f>
        <v>585-746-2796</v>
      </c>
      <c r="E11232" s="2" t="s">
        <v>1306</v>
      </c>
      <c r="F11232" s="2" t="s">
        <v>45122</v>
      </c>
      <c r="G11232" s="2" t="str">
        <f>"SR-15847"</f>
        <v>SR-15847</v>
      </c>
      <c r="H11232" s="2" t="s">
        <v>45123</v>
      </c>
      <c r="I11232" s="2" t="s">
        <v>45124</v>
      </c>
      <c r="K11232" s="2" t="s">
        <v>29830</v>
      </c>
      <c r="L11232" s="2" t="s">
        <v>142</v>
      </c>
      <c r="M11232" s="2">
        <v>14472.0</v>
      </c>
      <c r="N11232" s="2" t="s">
        <v>21</v>
      </c>
    </row>
    <row r="11233" ht="15.75" customHeight="1">
      <c r="A11233" s="2">
        <v>2019.0</v>
      </c>
      <c r="B11233" s="2" t="s">
        <v>45125</v>
      </c>
      <c r="C11233" s="2" t="s">
        <v>45126</v>
      </c>
      <c r="D11233" s="2" t="str">
        <f>"13174108547"</f>
        <v>13174108547</v>
      </c>
      <c r="E11233" s="2" t="s">
        <v>5134</v>
      </c>
      <c r="F11233" s="2" t="s">
        <v>45127</v>
      </c>
      <c r="G11233" s="2" t="str">
        <f>"SR-15828"</f>
        <v>SR-15828</v>
      </c>
      <c r="H11233" s="2" t="s">
        <v>45128</v>
      </c>
      <c r="I11233" s="2" t="s">
        <v>45129</v>
      </c>
      <c r="K11233" s="2" t="s">
        <v>40314</v>
      </c>
      <c r="L11233" s="2" t="s">
        <v>149</v>
      </c>
      <c r="M11233" s="2">
        <v>46121.0</v>
      </c>
      <c r="N11233" s="2" t="s">
        <v>21</v>
      </c>
    </row>
    <row r="11234" ht="15.75" customHeight="1">
      <c r="A11234" s="2">
        <v>2019.0</v>
      </c>
      <c r="B11234" s="2" t="s">
        <v>45130</v>
      </c>
      <c r="C11234" s="2" t="s">
        <v>45131</v>
      </c>
      <c r="D11234" s="2" t="str">
        <f>"9495251835"</f>
        <v>9495251835</v>
      </c>
      <c r="E11234" s="2" t="s">
        <v>45132</v>
      </c>
      <c r="F11234" s="2" t="s">
        <v>23653</v>
      </c>
      <c r="G11234" s="2" t="str">
        <f>"SR-15381"</f>
        <v>SR-15381</v>
      </c>
      <c r="H11234" s="2" t="s">
        <v>45133</v>
      </c>
      <c r="I11234" s="2" t="s">
        <v>45134</v>
      </c>
      <c r="K11234" s="2" t="s">
        <v>16116</v>
      </c>
      <c r="L11234" s="2" t="s">
        <v>222</v>
      </c>
      <c r="M11234" s="2">
        <v>92630.0</v>
      </c>
      <c r="N11234" s="2" t="s">
        <v>21</v>
      </c>
    </row>
    <row r="11235" ht="15.75" customHeight="1">
      <c r="A11235" s="2">
        <v>2019.0</v>
      </c>
      <c r="B11235" s="2" t="s">
        <v>45135</v>
      </c>
      <c r="C11235" s="2" t="s">
        <v>45136</v>
      </c>
      <c r="D11235" s="2" t="str">
        <f>"702-460-1506"</f>
        <v>702-460-1506</v>
      </c>
      <c r="E11235" s="2" t="s">
        <v>1208</v>
      </c>
      <c r="F11235" s="2" t="s">
        <v>45137</v>
      </c>
      <c r="G11235" s="2" t="str">
        <f>"SR-15833"</f>
        <v>SR-15833</v>
      </c>
      <c r="H11235" s="2" t="s">
        <v>45138</v>
      </c>
      <c r="I11235" s="2" t="s">
        <v>45139</v>
      </c>
      <c r="K11235" s="2" t="s">
        <v>3128</v>
      </c>
      <c r="L11235" s="2" t="s">
        <v>1419</v>
      </c>
      <c r="M11235" s="2">
        <v>89145.0</v>
      </c>
      <c r="N11235" s="2" t="s">
        <v>21</v>
      </c>
    </row>
    <row r="11236" ht="15.75" customHeight="1">
      <c r="A11236" s="2">
        <v>2019.0</v>
      </c>
      <c r="B11236" s="2" t="s">
        <v>45083</v>
      </c>
      <c r="C11236" s="2" t="s">
        <v>45140</v>
      </c>
      <c r="D11236" s="2" t="str">
        <f>"520-955-3159"</f>
        <v>520-955-3159</v>
      </c>
      <c r="E11236" s="2" t="s">
        <v>843</v>
      </c>
      <c r="F11236" s="2" t="s">
        <v>15730</v>
      </c>
      <c r="G11236" s="2" t="str">
        <f>"SR-15856"</f>
        <v>SR-15856</v>
      </c>
      <c r="H11236" s="2" t="s">
        <v>45141</v>
      </c>
      <c r="I11236" s="2" t="s">
        <v>45086</v>
      </c>
      <c r="K11236" s="2" t="s">
        <v>5946</v>
      </c>
      <c r="L11236" s="2" t="s">
        <v>422</v>
      </c>
      <c r="M11236" s="2">
        <v>85742.0</v>
      </c>
      <c r="N11236" s="2" t="s">
        <v>21</v>
      </c>
    </row>
    <row r="11237" ht="15.75" customHeight="1">
      <c r="A11237" s="2">
        <v>2019.0</v>
      </c>
      <c r="B11237" s="2" t="s">
        <v>45142</v>
      </c>
      <c r="C11237" s="2" t="s">
        <v>45143</v>
      </c>
      <c r="D11237" s="2" t="str">
        <f>"620-491-0413"</f>
        <v>620-491-0413</v>
      </c>
      <c r="E11237" s="2" t="s">
        <v>428</v>
      </c>
      <c r="F11237" s="2" t="s">
        <v>45144</v>
      </c>
      <c r="G11237" s="2" t="str">
        <f>"SR-15855"</f>
        <v>SR-15855</v>
      </c>
      <c r="H11237" s="2" t="s">
        <v>45145</v>
      </c>
      <c r="I11237" s="2" t="s">
        <v>45146</v>
      </c>
      <c r="K11237" s="2" t="s">
        <v>45147</v>
      </c>
      <c r="L11237" s="2" t="s">
        <v>272</v>
      </c>
      <c r="M11237" s="2">
        <v>67068.0</v>
      </c>
      <c r="N11237" s="2" t="s">
        <v>21</v>
      </c>
    </row>
    <row r="11238" ht="15.75" customHeight="1">
      <c r="A11238" s="2">
        <v>2019.0</v>
      </c>
      <c r="B11238" s="2" t="s">
        <v>45148</v>
      </c>
      <c r="C11238" s="2" t="s">
        <v>45148</v>
      </c>
      <c r="D11238" s="2" t="str">
        <f>"6052223555"</f>
        <v>6052223555</v>
      </c>
      <c r="E11238" s="2" t="s">
        <v>1533</v>
      </c>
      <c r="F11238" s="2" t="s">
        <v>2955</v>
      </c>
      <c r="G11238" s="2" t="str">
        <f>"SR-15794"</f>
        <v>SR-15794</v>
      </c>
      <c r="H11238" s="2" t="s">
        <v>45149</v>
      </c>
      <c r="I11238" s="2" t="s">
        <v>45150</v>
      </c>
      <c r="K11238" s="2" t="s">
        <v>2958</v>
      </c>
      <c r="L11238" s="2" t="s">
        <v>920</v>
      </c>
      <c r="M11238" s="2">
        <v>57564.0</v>
      </c>
      <c r="N11238" s="2" t="s">
        <v>21</v>
      </c>
    </row>
    <row r="11239" ht="15.75" customHeight="1">
      <c r="A11239" s="2">
        <v>2019.0</v>
      </c>
      <c r="B11239" s="2" t="s">
        <v>45151</v>
      </c>
      <c r="C11239" s="2" t="s">
        <v>45152</v>
      </c>
      <c r="D11239" s="2" t="str">
        <f>"8287731644"</f>
        <v>8287731644</v>
      </c>
      <c r="E11239" s="2" t="s">
        <v>4401</v>
      </c>
      <c r="F11239" s="2" t="s">
        <v>45153</v>
      </c>
      <c r="G11239" s="2" t="str">
        <f>"SR-15857"</f>
        <v>SR-15857</v>
      </c>
      <c r="H11239" s="2" t="s">
        <v>45154</v>
      </c>
      <c r="I11239" s="2" t="s">
        <v>45155</v>
      </c>
      <c r="K11239" s="2" t="s">
        <v>45156</v>
      </c>
      <c r="L11239" s="2" t="s">
        <v>20</v>
      </c>
      <c r="M11239" s="2">
        <v>28605.0</v>
      </c>
      <c r="N11239" s="2" t="s">
        <v>21</v>
      </c>
    </row>
    <row r="11240" ht="15.75" customHeight="1">
      <c r="A11240" s="2">
        <v>2019.0</v>
      </c>
      <c r="B11240" s="2" t="s">
        <v>45157</v>
      </c>
      <c r="C11240" s="2" t="s">
        <v>45157</v>
      </c>
      <c r="D11240" s="2" t="str">
        <f>"3205837918"</f>
        <v>3205837918</v>
      </c>
      <c r="E11240" s="2" t="s">
        <v>4763</v>
      </c>
      <c r="F11240" s="2" t="s">
        <v>37231</v>
      </c>
      <c r="G11240" s="2" t="str">
        <f>"SR-15858"</f>
        <v>SR-15858</v>
      </c>
      <c r="H11240" s="2" t="s">
        <v>45158</v>
      </c>
      <c r="I11240" s="2" t="s">
        <v>45159</v>
      </c>
      <c r="K11240" s="2" t="s">
        <v>37234</v>
      </c>
      <c r="L11240" s="2" t="s">
        <v>62</v>
      </c>
      <c r="M11240" s="2">
        <v>55325.0</v>
      </c>
      <c r="N11240" s="2" t="s">
        <v>21</v>
      </c>
    </row>
    <row r="11241" ht="15.75" customHeight="1">
      <c r="A11241" s="2">
        <v>2019.0</v>
      </c>
      <c r="B11241" s="2" t="s">
        <v>45160</v>
      </c>
      <c r="C11241" s="2" t="s">
        <v>45160</v>
      </c>
      <c r="D11241" s="2" t="str">
        <f>"719-464-4208"</f>
        <v>719-464-4208</v>
      </c>
      <c r="E11241" s="2" t="s">
        <v>10942</v>
      </c>
      <c r="F11241" s="2" t="s">
        <v>45161</v>
      </c>
      <c r="G11241" s="2" t="str">
        <f>"SR-15859"</f>
        <v>SR-15859</v>
      </c>
      <c r="H11241" s="2" t="s">
        <v>45162</v>
      </c>
      <c r="I11241" s="2" t="s">
        <v>45163</v>
      </c>
      <c r="K11241" s="2" t="s">
        <v>809</v>
      </c>
      <c r="L11241" s="2" t="s">
        <v>157</v>
      </c>
      <c r="M11241" s="2">
        <v>80920.0</v>
      </c>
      <c r="N11241" s="2" t="s">
        <v>21</v>
      </c>
    </row>
    <row r="11242" ht="15.75" customHeight="1">
      <c r="A11242" s="2">
        <v>2019.0</v>
      </c>
      <c r="B11242" s="2" t="s">
        <v>45164</v>
      </c>
      <c r="C11242" s="2" t="s">
        <v>45165</v>
      </c>
      <c r="D11242" s="2" t="str">
        <f>"352-461-6509"</f>
        <v>352-461-6509</v>
      </c>
      <c r="E11242" s="2" t="s">
        <v>1744</v>
      </c>
      <c r="F11242" s="2" t="s">
        <v>737</v>
      </c>
      <c r="G11242" s="2" t="str">
        <f>"SR-15861"</f>
        <v>SR-15861</v>
      </c>
      <c r="H11242" s="2" t="s">
        <v>45166</v>
      </c>
      <c r="I11242" s="2" t="s">
        <v>45167</v>
      </c>
      <c r="K11242" s="2" t="s">
        <v>24227</v>
      </c>
      <c r="L11242" s="2" t="s">
        <v>208</v>
      </c>
      <c r="M11242" s="2">
        <v>34484.0</v>
      </c>
      <c r="N11242" s="2" t="s">
        <v>21</v>
      </c>
    </row>
    <row r="11243" ht="15.75" customHeight="1">
      <c r="A11243" s="2">
        <v>2019.0</v>
      </c>
      <c r="B11243" s="2" t="s">
        <v>45168</v>
      </c>
      <c r="C11243" s="2" t="s">
        <v>45169</v>
      </c>
      <c r="D11243" s="2" t="str">
        <f>"4023690862"</f>
        <v>4023690862</v>
      </c>
      <c r="E11243" s="2" t="s">
        <v>1548</v>
      </c>
      <c r="F11243" s="2" t="s">
        <v>45170</v>
      </c>
      <c r="G11243" s="2" t="str">
        <f>"SR-15863"</f>
        <v>SR-15863</v>
      </c>
      <c r="H11243" s="2" t="s">
        <v>45171</v>
      </c>
      <c r="I11243" s="2" t="s">
        <v>45172</v>
      </c>
      <c r="K11243" s="2" t="s">
        <v>5732</v>
      </c>
      <c r="L11243" s="2" t="s">
        <v>757</v>
      </c>
      <c r="M11243" s="2">
        <v>68745.0</v>
      </c>
      <c r="N11243" s="2" t="s">
        <v>21</v>
      </c>
    </row>
    <row r="11244" ht="15.75" customHeight="1">
      <c r="A11244" s="2">
        <v>2019.0</v>
      </c>
      <c r="B11244" s="2" t="s">
        <v>45173</v>
      </c>
      <c r="C11244" s="2" t="s">
        <v>45174</v>
      </c>
      <c r="D11244" s="2" t="str">
        <f>"803-389-3985"</f>
        <v>803-389-3985</v>
      </c>
      <c r="E11244" s="2" t="s">
        <v>225</v>
      </c>
      <c r="F11244" s="2" t="s">
        <v>45175</v>
      </c>
      <c r="G11244" s="2" t="str">
        <f>"SR-15867"</f>
        <v>SR-15867</v>
      </c>
      <c r="H11244" s="2" t="s">
        <v>45176</v>
      </c>
      <c r="I11244" s="2" t="s">
        <v>45177</v>
      </c>
      <c r="K11244" s="2" t="s">
        <v>40422</v>
      </c>
      <c r="L11244" s="2" t="s">
        <v>55</v>
      </c>
      <c r="M11244" s="2">
        <v>29708.0</v>
      </c>
      <c r="N11244" s="2" t="s">
        <v>21</v>
      </c>
    </row>
    <row r="11245" ht="15.75" customHeight="1">
      <c r="A11245" s="2">
        <v>2019.0</v>
      </c>
      <c r="B11245" s="2" t="s">
        <v>45178</v>
      </c>
      <c r="C11245" s="2" t="s">
        <v>45178</v>
      </c>
      <c r="D11245" s="2" t="str">
        <f>"5755747922"</f>
        <v>5755747922</v>
      </c>
      <c r="E11245" s="2" t="s">
        <v>1664</v>
      </c>
      <c r="F11245" s="2" t="s">
        <v>45179</v>
      </c>
      <c r="G11245" s="2" t="str">
        <f>"SR-15868"</f>
        <v>SR-15868</v>
      </c>
      <c r="H11245" s="2" t="s">
        <v>45180</v>
      </c>
      <c r="I11245" s="2" t="s">
        <v>45181</v>
      </c>
      <c r="K11245" s="2" t="s">
        <v>3292</v>
      </c>
      <c r="L11245" s="2" t="s">
        <v>789</v>
      </c>
      <c r="M11245" s="2">
        <v>88026.0</v>
      </c>
      <c r="N11245" s="2" t="s">
        <v>21</v>
      </c>
    </row>
    <row r="11246" ht="15.75" customHeight="1">
      <c r="A11246" s="2">
        <v>2019.0</v>
      </c>
      <c r="B11246" s="2" t="s">
        <v>45182</v>
      </c>
      <c r="C11246" s="2" t="s">
        <v>45182</v>
      </c>
      <c r="D11246" s="2" t="str">
        <f>"(714)-273-2849"</f>
        <v>(714)-273-2849</v>
      </c>
      <c r="E11246" s="2" t="s">
        <v>3400</v>
      </c>
      <c r="F11246" s="2" t="s">
        <v>45183</v>
      </c>
      <c r="G11246" s="2" t="str">
        <f>"SR-15869"</f>
        <v>SR-15869</v>
      </c>
      <c r="H11246" s="2" t="s">
        <v>45184</v>
      </c>
      <c r="I11246" s="2" t="s">
        <v>45185</v>
      </c>
      <c r="K11246" s="2" t="s">
        <v>809</v>
      </c>
      <c r="L11246" s="2" t="s">
        <v>157</v>
      </c>
      <c r="M11246" s="2">
        <v>80919.0</v>
      </c>
      <c r="N11246" s="2" t="s">
        <v>21</v>
      </c>
    </row>
    <row r="11247" ht="15.75" customHeight="1">
      <c r="A11247" s="2">
        <v>2019.0</v>
      </c>
      <c r="B11247" s="2" t="s">
        <v>45186</v>
      </c>
      <c r="C11247" s="2" t="s">
        <v>45187</v>
      </c>
      <c r="D11247" s="2" t="str">
        <f>"3523965575"</f>
        <v>3523965575</v>
      </c>
      <c r="E11247" s="2" t="s">
        <v>6244</v>
      </c>
      <c r="F11247" s="2" t="s">
        <v>45188</v>
      </c>
      <c r="G11247" s="2" t="str">
        <f>"SR-15870"</f>
        <v>SR-15870</v>
      </c>
      <c r="H11247" s="2" t="s">
        <v>45189</v>
      </c>
      <c r="I11247" s="2" t="s">
        <v>45190</v>
      </c>
      <c r="K11247" s="2" t="s">
        <v>4126</v>
      </c>
      <c r="L11247" s="2" t="s">
        <v>165</v>
      </c>
      <c r="M11247" s="2">
        <v>24502.0</v>
      </c>
      <c r="N11247" s="2" t="s">
        <v>21</v>
      </c>
    </row>
    <row r="11248" ht="15.75" customHeight="1">
      <c r="A11248" s="2">
        <v>2019.0</v>
      </c>
      <c r="B11248" s="2" t="s">
        <v>45186</v>
      </c>
      <c r="C11248" s="2" t="s">
        <v>45191</v>
      </c>
      <c r="D11248" s="2" t="str">
        <f>"3522723921"</f>
        <v>3522723921</v>
      </c>
      <c r="E11248" s="2" t="s">
        <v>1051</v>
      </c>
      <c r="F11248" s="2" t="s">
        <v>45188</v>
      </c>
      <c r="G11248" s="2" t="str">
        <f>"SR-15871"</f>
        <v>SR-15871</v>
      </c>
      <c r="H11248" s="2" t="s">
        <v>45192</v>
      </c>
      <c r="I11248" s="2" t="s">
        <v>45190</v>
      </c>
      <c r="K11248" s="2" t="s">
        <v>4126</v>
      </c>
      <c r="L11248" s="2" t="s">
        <v>165</v>
      </c>
      <c r="M11248" s="2">
        <v>24502.0</v>
      </c>
      <c r="N11248" s="2" t="s">
        <v>21</v>
      </c>
    </row>
    <row r="11249" ht="15.75" customHeight="1">
      <c r="A11249" s="2">
        <v>2019.0</v>
      </c>
      <c r="B11249" s="2" t="s">
        <v>28863</v>
      </c>
      <c r="C11249" s="2" t="s">
        <v>45193</v>
      </c>
      <c r="D11249" s="2" t="str">
        <f>"3074135892"</f>
        <v>3074135892</v>
      </c>
      <c r="E11249" s="2" t="s">
        <v>908</v>
      </c>
      <c r="F11249" s="2" t="s">
        <v>6463</v>
      </c>
      <c r="G11249" s="2" t="str">
        <f>"SR-15879"</f>
        <v>SR-15879</v>
      </c>
      <c r="H11249" s="2" t="s">
        <v>45194</v>
      </c>
      <c r="I11249" s="2" t="s">
        <v>45195</v>
      </c>
      <c r="J11249" s="2" t="s">
        <v>45196</v>
      </c>
      <c r="K11249" s="2" t="s">
        <v>847</v>
      </c>
      <c r="L11249" s="2" t="s">
        <v>1540</v>
      </c>
      <c r="M11249" s="2">
        <v>83014.0</v>
      </c>
      <c r="N11249" s="2" t="s">
        <v>21</v>
      </c>
    </row>
    <row r="11250" ht="15.75" customHeight="1">
      <c r="A11250" s="2">
        <v>2019.0</v>
      </c>
      <c r="B11250" s="2" t="s">
        <v>45197</v>
      </c>
      <c r="C11250" s="2" t="s">
        <v>45198</v>
      </c>
      <c r="D11250" s="2" t="str">
        <f>"913 963 6470"</f>
        <v>913 963 6470</v>
      </c>
      <c r="E11250" s="2" t="s">
        <v>1088</v>
      </c>
      <c r="F11250" s="2" t="s">
        <v>645</v>
      </c>
      <c r="G11250" s="2" t="str">
        <f>"SR-15880"</f>
        <v>SR-15880</v>
      </c>
      <c r="H11250" s="2" t="s">
        <v>45199</v>
      </c>
      <c r="I11250" s="2" t="s">
        <v>45200</v>
      </c>
      <c r="K11250" s="2" t="s">
        <v>959</v>
      </c>
      <c r="L11250" s="2" t="s">
        <v>272</v>
      </c>
      <c r="M11250" s="2">
        <v>66043.0</v>
      </c>
      <c r="N11250" s="2" t="s">
        <v>21</v>
      </c>
    </row>
    <row r="11251" ht="15.75" customHeight="1">
      <c r="A11251" s="2">
        <v>2019.0</v>
      </c>
      <c r="B11251" s="2" t="s">
        <v>45201</v>
      </c>
      <c r="C11251" s="2" t="s">
        <v>45202</v>
      </c>
      <c r="D11251" s="2" t="str">
        <f>"913-206-3202"</f>
        <v>913-206-3202</v>
      </c>
      <c r="E11251" s="2" t="s">
        <v>2361</v>
      </c>
      <c r="F11251" s="2" t="s">
        <v>984</v>
      </c>
      <c r="G11251" s="2" t="str">
        <f>"SR-15881"</f>
        <v>SR-15881</v>
      </c>
      <c r="H11251" s="2" t="s">
        <v>45203</v>
      </c>
      <c r="I11251" s="2" t="s">
        <v>45204</v>
      </c>
      <c r="K11251" s="2" t="s">
        <v>1067</v>
      </c>
      <c r="L11251" s="2" t="s">
        <v>272</v>
      </c>
      <c r="M11251" s="2">
        <v>66062.0</v>
      </c>
      <c r="N11251" s="2" t="s">
        <v>21</v>
      </c>
    </row>
    <row r="11252" ht="15.75" customHeight="1">
      <c r="A11252" s="2">
        <v>2019.0</v>
      </c>
      <c r="B11252" s="2" t="s">
        <v>36007</v>
      </c>
      <c r="D11252" s="2" t="str">
        <f>"901-267-2552"</f>
        <v>901-267-2552</v>
      </c>
      <c r="E11252" s="2" t="s">
        <v>36008</v>
      </c>
      <c r="F11252" s="2" t="s">
        <v>15519</v>
      </c>
      <c r="G11252" s="2" t="str">
        <f>"SR-11604"</f>
        <v>SR-11604</v>
      </c>
      <c r="H11252" s="2" t="s">
        <v>36009</v>
      </c>
      <c r="I11252" s="2" t="s">
        <v>36010</v>
      </c>
      <c r="K11252" s="2" t="s">
        <v>5437</v>
      </c>
      <c r="L11252" s="2" t="s">
        <v>279</v>
      </c>
      <c r="M11252" s="2">
        <v>38135.0</v>
      </c>
      <c r="N11252" s="2" t="s">
        <v>21</v>
      </c>
    </row>
    <row r="11253" ht="15.75" customHeight="1">
      <c r="A11253" s="2">
        <v>2019.0</v>
      </c>
      <c r="B11253" s="2" t="s">
        <v>45205</v>
      </c>
      <c r="C11253" s="2" t="s">
        <v>45206</v>
      </c>
      <c r="D11253" s="2" t="str">
        <f>"769-798-1855"</f>
        <v>769-798-1855</v>
      </c>
      <c r="E11253" s="2" t="s">
        <v>580</v>
      </c>
      <c r="F11253" s="2" t="s">
        <v>45207</v>
      </c>
      <c r="G11253" s="2" t="str">
        <f>"SR-15883"</f>
        <v>SR-15883</v>
      </c>
      <c r="H11253" s="2" t="s">
        <v>45208</v>
      </c>
      <c r="I11253" s="2" t="s">
        <v>45209</v>
      </c>
      <c r="K11253" s="2" t="s">
        <v>659</v>
      </c>
      <c r="L11253" s="2" t="s">
        <v>1722</v>
      </c>
      <c r="M11253" s="2">
        <v>39110.0</v>
      </c>
      <c r="N11253" s="2" t="s">
        <v>21</v>
      </c>
    </row>
    <row r="11254" ht="15.75" customHeight="1">
      <c r="A11254" s="2">
        <v>2019.0</v>
      </c>
      <c r="B11254" s="2" t="s">
        <v>45210</v>
      </c>
      <c r="C11254" s="2" t="s">
        <v>45211</v>
      </c>
      <c r="D11254" s="2" t="str">
        <f>"12227085961"</f>
        <v>12227085961</v>
      </c>
      <c r="E11254" s="2" t="s">
        <v>4139</v>
      </c>
      <c r="F11254" s="2" t="s">
        <v>45212</v>
      </c>
      <c r="G11254" s="2" t="str">
        <f>"SR-15885"</f>
        <v>SR-15885</v>
      </c>
      <c r="H11254" s="2" t="s">
        <v>45213</v>
      </c>
      <c r="I11254" s="2" t="s">
        <v>45214</v>
      </c>
      <c r="K11254" s="2" t="s">
        <v>45215</v>
      </c>
      <c r="N11254" s="2" t="s">
        <v>7784</v>
      </c>
    </row>
    <row r="11255" ht="15.75" customHeight="1">
      <c r="A11255" s="2">
        <v>2019.0</v>
      </c>
      <c r="B11255" s="2" t="s">
        <v>45216</v>
      </c>
      <c r="C11255" s="2" t="s">
        <v>45216</v>
      </c>
      <c r="D11255" s="2" t="str">
        <f>"3039689102"</f>
        <v>3039689102</v>
      </c>
      <c r="E11255" s="2" t="s">
        <v>10825</v>
      </c>
      <c r="F11255" s="2" t="s">
        <v>17981</v>
      </c>
      <c r="G11255" s="2" t="str">
        <f>"SR-15888"</f>
        <v>SR-15888</v>
      </c>
      <c r="H11255" s="2" t="s">
        <v>45217</v>
      </c>
      <c r="I11255" s="2" t="s">
        <v>45218</v>
      </c>
      <c r="K11255" s="2" t="s">
        <v>1398</v>
      </c>
      <c r="L11255" s="2" t="s">
        <v>157</v>
      </c>
      <c r="M11255" s="2">
        <v>80104.0</v>
      </c>
      <c r="N11255" s="2" t="s">
        <v>21</v>
      </c>
    </row>
    <row r="11256" ht="15.75" customHeight="1">
      <c r="A11256" s="2">
        <v>2019.0</v>
      </c>
      <c r="B11256" s="2" t="s">
        <v>45219</v>
      </c>
      <c r="C11256" s="2" t="s">
        <v>45219</v>
      </c>
      <c r="D11256" s="2" t="str">
        <f>"2076668592"</f>
        <v>2076668592</v>
      </c>
      <c r="E11256" s="2" t="s">
        <v>301</v>
      </c>
      <c r="F11256" s="2" t="s">
        <v>42877</v>
      </c>
      <c r="G11256" s="2" t="str">
        <f>"SR-15720"</f>
        <v>SR-15720</v>
      </c>
      <c r="H11256" s="2" t="s">
        <v>45220</v>
      </c>
      <c r="I11256" s="2" t="s">
        <v>45221</v>
      </c>
      <c r="K11256" s="2" t="s">
        <v>45222</v>
      </c>
      <c r="L11256" s="2" t="s">
        <v>3737</v>
      </c>
      <c r="M11256" s="2">
        <v>4287.0</v>
      </c>
      <c r="N11256" s="2" t="s">
        <v>21</v>
      </c>
    </row>
    <row r="11257" ht="15.75" customHeight="1">
      <c r="A11257" s="2">
        <v>2019.0</v>
      </c>
      <c r="B11257" s="2" t="s">
        <v>45223</v>
      </c>
      <c r="C11257" s="2" t="s">
        <v>45224</v>
      </c>
      <c r="D11257" s="2" t="str">
        <f>"3165584222"</f>
        <v>3165584222</v>
      </c>
      <c r="E11257" s="2" t="s">
        <v>3191</v>
      </c>
      <c r="F11257" s="2" t="s">
        <v>45225</v>
      </c>
      <c r="G11257" s="2" t="str">
        <f>"SR-15890"</f>
        <v>SR-15890</v>
      </c>
      <c r="H11257" s="2" t="s">
        <v>45226</v>
      </c>
      <c r="I11257" s="2" t="s">
        <v>45227</v>
      </c>
      <c r="K11257" s="2" t="s">
        <v>11436</v>
      </c>
      <c r="L11257" s="2" t="s">
        <v>272</v>
      </c>
      <c r="M11257" s="2">
        <v>67010.0</v>
      </c>
      <c r="N11257" s="2" t="s">
        <v>21</v>
      </c>
    </row>
    <row r="11258" ht="15.75" customHeight="1">
      <c r="A11258" s="2">
        <v>2019.0</v>
      </c>
      <c r="B11258" s="2" t="s">
        <v>16829</v>
      </c>
      <c r="C11258" s="2" t="s">
        <v>45228</v>
      </c>
      <c r="D11258" s="2" t="str">
        <f>"7203576900"</f>
        <v>7203576900</v>
      </c>
      <c r="E11258" s="2" t="s">
        <v>2941</v>
      </c>
      <c r="F11258" s="2" t="s">
        <v>94</v>
      </c>
      <c r="G11258" s="2" t="str">
        <f>"SR-15751"</f>
        <v>SR-15751</v>
      </c>
      <c r="H11258" s="2" t="s">
        <v>45229</v>
      </c>
      <c r="I11258" s="2" t="s">
        <v>45230</v>
      </c>
      <c r="K11258" s="2" t="s">
        <v>21311</v>
      </c>
      <c r="L11258" s="2" t="s">
        <v>208</v>
      </c>
      <c r="M11258" s="2">
        <v>32006.0</v>
      </c>
      <c r="N11258" s="2" t="s">
        <v>21</v>
      </c>
    </row>
    <row r="11259" ht="15.75" customHeight="1">
      <c r="A11259" s="2">
        <v>2019.0</v>
      </c>
      <c r="B11259" s="2" t="s">
        <v>45231</v>
      </c>
      <c r="C11259" s="2" t="s">
        <v>45232</v>
      </c>
      <c r="D11259" s="2" t="str">
        <f>"402-699-5733"</f>
        <v>402-699-5733</v>
      </c>
      <c r="E11259" s="2" t="s">
        <v>373</v>
      </c>
      <c r="F11259" s="2" t="s">
        <v>45233</v>
      </c>
      <c r="G11259" s="2" t="str">
        <f>"SR-15850"</f>
        <v>SR-15850</v>
      </c>
      <c r="H11259" s="2" t="s">
        <v>45234</v>
      </c>
      <c r="I11259" s="2" t="s">
        <v>45235</v>
      </c>
      <c r="K11259" s="2" t="s">
        <v>1470</v>
      </c>
      <c r="L11259" s="2" t="s">
        <v>757</v>
      </c>
      <c r="M11259" s="2">
        <v>68138.0</v>
      </c>
      <c r="N11259" s="2" t="s">
        <v>21</v>
      </c>
    </row>
    <row r="11260" ht="15.75" customHeight="1">
      <c r="A11260" s="2">
        <v>2019.0</v>
      </c>
      <c r="B11260" s="2" t="s">
        <v>45236</v>
      </c>
      <c r="C11260" s="2" t="s">
        <v>45236</v>
      </c>
      <c r="D11260" s="2" t="str">
        <f>"(316)749-3205"</f>
        <v>(316)749-3205</v>
      </c>
      <c r="E11260" s="2" t="s">
        <v>250</v>
      </c>
      <c r="F11260" s="2" t="s">
        <v>45237</v>
      </c>
      <c r="G11260" s="2" t="str">
        <f>"SR-15893"</f>
        <v>SR-15893</v>
      </c>
      <c r="H11260" s="2" t="s">
        <v>45238</v>
      </c>
      <c r="I11260" s="2" t="s">
        <v>45239</v>
      </c>
      <c r="K11260" s="2" t="s">
        <v>29369</v>
      </c>
      <c r="L11260" s="2" t="s">
        <v>272</v>
      </c>
      <c r="M11260" s="2">
        <v>67220.0</v>
      </c>
      <c r="N11260" s="2" t="s">
        <v>21</v>
      </c>
    </row>
    <row r="11261" ht="15.75" customHeight="1">
      <c r="A11261" s="2">
        <v>2019.0</v>
      </c>
      <c r="B11261" s="2" t="s">
        <v>45240</v>
      </c>
      <c r="C11261" s="2" t="s">
        <v>45240</v>
      </c>
      <c r="D11261" s="2" t="str">
        <f>"2818884920"</f>
        <v>2818884920</v>
      </c>
      <c r="E11261" s="2" t="s">
        <v>6121</v>
      </c>
      <c r="F11261" s="2" t="s">
        <v>737</v>
      </c>
      <c r="G11261" s="2" t="str">
        <f>"SR-15894"</f>
        <v>SR-15894</v>
      </c>
      <c r="H11261" s="2" t="s">
        <v>45241</v>
      </c>
      <c r="I11261" s="2" t="s">
        <v>45242</v>
      </c>
      <c r="K11261" s="2" t="s">
        <v>444</v>
      </c>
      <c r="L11261" s="2" t="s">
        <v>172</v>
      </c>
      <c r="M11261" s="2">
        <v>77063.0</v>
      </c>
      <c r="N11261" s="2" t="s">
        <v>21</v>
      </c>
    </row>
    <row r="11262" ht="15.75" customHeight="1">
      <c r="A11262" s="2">
        <v>2019.0</v>
      </c>
      <c r="B11262" s="2" t="s">
        <v>45243</v>
      </c>
      <c r="C11262" s="2" t="s">
        <v>45244</v>
      </c>
      <c r="D11262" s="2" t="str">
        <f>"308 340 8534"</f>
        <v>308 340 8534</v>
      </c>
      <c r="E11262" s="2" t="s">
        <v>8605</v>
      </c>
      <c r="F11262" s="2" t="s">
        <v>18888</v>
      </c>
      <c r="G11262" s="2" t="str">
        <f>"SR-15898"</f>
        <v>SR-15898</v>
      </c>
      <c r="H11262" s="2" t="s">
        <v>45245</v>
      </c>
      <c r="I11262" s="2" t="s">
        <v>45246</v>
      </c>
      <c r="K11262" s="2" t="s">
        <v>18891</v>
      </c>
      <c r="L11262" s="2" t="s">
        <v>757</v>
      </c>
      <c r="M11262" s="2">
        <v>69043.0</v>
      </c>
      <c r="N11262" s="2" t="s">
        <v>21</v>
      </c>
    </row>
    <row r="11263" ht="15.75" customHeight="1">
      <c r="A11263" s="2">
        <v>2019.0</v>
      </c>
      <c r="B11263" s="2" t="s">
        <v>45247</v>
      </c>
      <c r="C11263" s="2" t="s">
        <v>45248</v>
      </c>
      <c r="D11263" s="2" t="str">
        <f>"8328902003"</f>
        <v>8328902003</v>
      </c>
      <c r="E11263" s="2" t="s">
        <v>16650</v>
      </c>
      <c r="F11263" s="2" t="s">
        <v>35668</v>
      </c>
      <c r="G11263" s="2" t="str">
        <f>"SR-15899"</f>
        <v>SR-15899</v>
      </c>
      <c r="H11263" s="2" t="s">
        <v>45249</v>
      </c>
      <c r="I11263" s="2" t="s">
        <v>45250</v>
      </c>
      <c r="K11263" s="2" t="s">
        <v>4350</v>
      </c>
      <c r="L11263" s="2" t="s">
        <v>172</v>
      </c>
      <c r="M11263" s="2">
        <v>77377.0</v>
      </c>
      <c r="N11263" s="2" t="s">
        <v>21</v>
      </c>
    </row>
    <row r="11264" ht="15.75" customHeight="1">
      <c r="A11264" s="2">
        <v>2019.0</v>
      </c>
      <c r="B11264" s="2" t="s">
        <v>45251</v>
      </c>
      <c r="C11264" s="2" t="s">
        <v>45252</v>
      </c>
      <c r="D11264" s="2" t="str">
        <f>"7133038376"</f>
        <v>7133038376</v>
      </c>
      <c r="E11264" s="2" t="s">
        <v>485</v>
      </c>
      <c r="F11264" s="2" t="s">
        <v>45253</v>
      </c>
      <c r="G11264" s="2" t="str">
        <f>"SR-15901"</f>
        <v>SR-15901</v>
      </c>
      <c r="H11264" s="2" t="s">
        <v>45254</v>
      </c>
      <c r="I11264" s="2" t="s">
        <v>45255</v>
      </c>
      <c r="K11264" s="2" t="s">
        <v>4350</v>
      </c>
      <c r="L11264" s="2" t="s">
        <v>172</v>
      </c>
      <c r="M11264" s="2">
        <v>77377.0</v>
      </c>
      <c r="N11264" s="2" t="s">
        <v>21</v>
      </c>
    </row>
    <row r="11265" ht="15.75" customHeight="1">
      <c r="A11265" s="2">
        <v>2019.0</v>
      </c>
      <c r="B11265" s="2" t="s">
        <v>45256</v>
      </c>
      <c r="C11265" s="2" t="s">
        <v>45257</v>
      </c>
      <c r="D11265" s="2" t="str">
        <f>"515-509-6313"</f>
        <v>515-509-6313</v>
      </c>
      <c r="E11265" s="2" t="s">
        <v>373</v>
      </c>
      <c r="F11265" s="2" t="s">
        <v>45258</v>
      </c>
      <c r="G11265" s="2" t="str">
        <f>"SR-15902"</f>
        <v>SR-15902</v>
      </c>
      <c r="H11265" s="2" t="s">
        <v>45259</v>
      </c>
      <c r="I11265" s="2" t="s">
        <v>45260</v>
      </c>
      <c r="K11265" s="2" t="s">
        <v>45261</v>
      </c>
      <c r="L11265" s="2" t="s">
        <v>560</v>
      </c>
      <c r="M11265" s="2">
        <v>50124.0</v>
      </c>
      <c r="N11265" s="2" t="s">
        <v>21</v>
      </c>
    </row>
    <row r="11266" ht="15.75" customHeight="1">
      <c r="A11266" s="2">
        <v>2019.0</v>
      </c>
      <c r="B11266" s="2" t="s">
        <v>45262</v>
      </c>
      <c r="C11266" s="2" t="s">
        <v>45263</v>
      </c>
      <c r="D11266" s="2" t="str">
        <f>"6205324571"</f>
        <v>6205324571</v>
      </c>
      <c r="E11266" s="2" t="s">
        <v>15872</v>
      </c>
      <c r="F11266" s="2" t="s">
        <v>45264</v>
      </c>
      <c r="G11266" s="2" t="str">
        <f>"SR-15904"</f>
        <v>SR-15904</v>
      </c>
      <c r="H11266" s="2" t="s">
        <v>45265</v>
      </c>
      <c r="I11266" s="2" t="s">
        <v>45266</v>
      </c>
      <c r="K11266" s="2" t="s">
        <v>45147</v>
      </c>
      <c r="L11266" s="2" t="s">
        <v>272</v>
      </c>
      <c r="M11266" s="2">
        <v>67068.0</v>
      </c>
      <c r="N11266" s="2" t="s">
        <v>21</v>
      </c>
    </row>
    <row r="11267" ht="15.75" customHeight="1">
      <c r="A11267" s="2">
        <v>2019.0</v>
      </c>
      <c r="B11267" s="2" t="s">
        <v>8918</v>
      </c>
      <c r="C11267" s="2" t="s">
        <v>18892</v>
      </c>
      <c r="D11267" s="2" t="str">
        <f t="shared" ref="D11267:D11268" si="190">"5152103229"</f>
        <v>5152103229</v>
      </c>
      <c r="E11267" s="2" t="s">
        <v>590</v>
      </c>
      <c r="F11267" s="2" t="s">
        <v>8920</v>
      </c>
      <c r="G11267" s="2" t="str">
        <f>"SR-5864"</f>
        <v>SR-5864</v>
      </c>
      <c r="H11267" s="2" t="s">
        <v>18893</v>
      </c>
      <c r="I11267" s="2" t="s">
        <v>18894</v>
      </c>
      <c r="K11267" s="2" t="s">
        <v>8923</v>
      </c>
      <c r="L11267" s="2" t="s">
        <v>560</v>
      </c>
      <c r="M11267" s="2">
        <v>50327.0</v>
      </c>
      <c r="N11267" s="2" t="s">
        <v>21</v>
      </c>
    </row>
    <row r="11268" ht="15.75" customHeight="1">
      <c r="A11268" s="2">
        <v>2019.0</v>
      </c>
      <c r="B11268" s="2" t="s">
        <v>8918</v>
      </c>
      <c r="C11268" s="2" t="s">
        <v>45267</v>
      </c>
      <c r="D11268" s="2" t="str">
        <f t="shared" si="190"/>
        <v>5152103229</v>
      </c>
      <c r="E11268" s="2" t="s">
        <v>282</v>
      </c>
      <c r="F11268" s="2" t="s">
        <v>8920</v>
      </c>
      <c r="G11268" s="2" t="str">
        <f>"SR-15907"</f>
        <v>SR-15907</v>
      </c>
      <c r="H11268" s="2" t="s">
        <v>45268</v>
      </c>
      <c r="I11268" s="2" t="s">
        <v>18894</v>
      </c>
      <c r="K11268" s="2" t="s">
        <v>8923</v>
      </c>
      <c r="L11268" s="2" t="s">
        <v>560</v>
      </c>
      <c r="M11268" s="2">
        <v>50327.0</v>
      </c>
      <c r="N11268" s="2" t="s">
        <v>21</v>
      </c>
    </row>
    <row r="11269" ht="15.75" customHeight="1">
      <c r="A11269" s="2">
        <v>2019.0</v>
      </c>
      <c r="B11269" s="2" t="s">
        <v>31458</v>
      </c>
      <c r="C11269" s="2" t="s">
        <v>31458</v>
      </c>
      <c r="D11269" s="2" t="str">
        <f>"2147665978"</f>
        <v>2147665978</v>
      </c>
      <c r="E11269" s="2" t="s">
        <v>2572</v>
      </c>
      <c r="F11269" s="2" t="s">
        <v>31459</v>
      </c>
      <c r="G11269" s="2" t="str">
        <f>"SR-12979"</f>
        <v>SR-12979</v>
      </c>
      <c r="H11269" s="2" t="s">
        <v>31460</v>
      </c>
      <c r="I11269" s="2" t="s">
        <v>31461</v>
      </c>
      <c r="K11269" s="2" t="s">
        <v>357</v>
      </c>
      <c r="L11269" s="2" t="s">
        <v>172</v>
      </c>
      <c r="M11269" s="2">
        <v>75025.0</v>
      </c>
      <c r="N11269" s="2" t="s">
        <v>21</v>
      </c>
    </row>
    <row r="11270" ht="15.75" customHeight="1">
      <c r="A11270" s="2">
        <v>2019.0</v>
      </c>
      <c r="B11270" s="2" t="s">
        <v>45269</v>
      </c>
      <c r="C11270" s="2" t="s">
        <v>45269</v>
      </c>
      <c r="D11270" s="2" t="str">
        <f>"3862837551"</f>
        <v>3862837551</v>
      </c>
      <c r="E11270" s="2" t="s">
        <v>160</v>
      </c>
      <c r="F11270" s="2" t="s">
        <v>19006</v>
      </c>
      <c r="G11270" s="2" t="str">
        <f>"SR-15910"</f>
        <v>SR-15910</v>
      </c>
      <c r="H11270" s="2" t="s">
        <v>45270</v>
      </c>
      <c r="I11270" s="2" t="s">
        <v>45271</v>
      </c>
      <c r="K11270" s="2" t="s">
        <v>6988</v>
      </c>
      <c r="L11270" s="2" t="s">
        <v>165</v>
      </c>
      <c r="M11270" s="2">
        <v>23464.0</v>
      </c>
      <c r="N11270" s="2" t="s">
        <v>21</v>
      </c>
    </row>
    <row r="11271" ht="15.75" customHeight="1">
      <c r="A11271" s="2">
        <v>2019.0</v>
      </c>
      <c r="B11271" s="2" t="s">
        <v>45272</v>
      </c>
      <c r="C11271" s="2" t="s">
        <v>45273</v>
      </c>
      <c r="D11271" s="2" t="str">
        <f>"907-694-4183"</f>
        <v>907-694-4183</v>
      </c>
      <c r="E11271" s="2" t="s">
        <v>45274</v>
      </c>
      <c r="F11271" s="2" t="s">
        <v>45275</v>
      </c>
      <c r="G11271" s="2" t="str">
        <f>"SR-15912"</f>
        <v>SR-15912</v>
      </c>
      <c r="H11271" s="2" t="s">
        <v>45276</v>
      </c>
      <c r="I11271" s="2" t="s">
        <v>45277</v>
      </c>
      <c r="K11271" s="2" t="s">
        <v>1729</v>
      </c>
      <c r="L11271" s="2" t="s">
        <v>70</v>
      </c>
      <c r="M11271" s="2">
        <v>99577.0</v>
      </c>
      <c r="N11271" s="2" t="s">
        <v>21</v>
      </c>
    </row>
    <row r="11272" ht="15.75" customHeight="1">
      <c r="A11272" s="2">
        <v>2019.0</v>
      </c>
      <c r="B11272" s="2" t="s">
        <v>29532</v>
      </c>
      <c r="C11272" s="2" t="s">
        <v>45278</v>
      </c>
      <c r="D11272" s="2" t="str">
        <f>"405-562-7096"</f>
        <v>405-562-7096</v>
      </c>
      <c r="E11272" s="2" t="s">
        <v>373</v>
      </c>
      <c r="F11272" s="2" t="s">
        <v>29534</v>
      </c>
      <c r="G11272" s="2" t="str">
        <f>"SR-15913"</f>
        <v>SR-15913</v>
      </c>
      <c r="H11272" s="2" t="s">
        <v>45279</v>
      </c>
      <c r="I11272" s="2" t="s">
        <v>29536</v>
      </c>
      <c r="K11272" s="2" t="s">
        <v>1546</v>
      </c>
      <c r="L11272" s="2" t="s">
        <v>840</v>
      </c>
      <c r="M11272" s="2">
        <v>73025.0</v>
      </c>
      <c r="N11272" s="2" t="s">
        <v>21</v>
      </c>
    </row>
    <row r="11273" ht="15.75" customHeight="1">
      <c r="A11273" s="2">
        <v>2019.0</v>
      </c>
      <c r="B11273" s="2" t="s">
        <v>45280</v>
      </c>
      <c r="C11273" s="2" t="s">
        <v>45280</v>
      </c>
      <c r="D11273" s="2" t="str">
        <f>"972-835-7174"</f>
        <v>972-835-7174</v>
      </c>
      <c r="E11273" s="2" t="s">
        <v>301</v>
      </c>
      <c r="F11273" s="2" t="s">
        <v>45281</v>
      </c>
      <c r="G11273" s="2" t="str">
        <f>"SR-15900"</f>
        <v>SR-15900</v>
      </c>
      <c r="H11273" s="2" t="s">
        <v>45282</v>
      </c>
      <c r="I11273" s="2" t="s">
        <v>45283</v>
      </c>
      <c r="K11273" s="2" t="s">
        <v>615</v>
      </c>
      <c r="L11273" s="2" t="s">
        <v>172</v>
      </c>
      <c r="M11273" s="2">
        <v>75071.0</v>
      </c>
      <c r="N11273" s="2" t="s">
        <v>21</v>
      </c>
    </row>
    <row r="11274" ht="15.75" customHeight="1">
      <c r="A11274" s="2">
        <v>2019.0</v>
      </c>
      <c r="B11274" s="2" t="s">
        <v>45284</v>
      </c>
      <c r="C11274" s="2" t="s">
        <v>45285</v>
      </c>
      <c r="D11274" s="2" t="str">
        <f>"770-878-8048"</f>
        <v>770-878-8048</v>
      </c>
      <c r="E11274" s="2" t="s">
        <v>45286</v>
      </c>
      <c r="F11274" s="2" t="s">
        <v>12676</v>
      </c>
      <c r="G11274" s="2" t="str">
        <f>"SR-15917"</f>
        <v>SR-15917</v>
      </c>
      <c r="H11274" s="2" t="s">
        <v>45287</v>
      </c>
      <c r="I11274" s="2" t="s">
        <v>45288</v>
      </c>
      <c r="K11274" s="2" t="s">
        <v>45289</v>
      </c>
      <c r="L11274" s="2" t="s">
        <v>222</v>
      </c>
      <c r="M11274" s="2">
        <v>30121.0</v>
      </c>
      <c r="N11274" s="2" t="s">
        <v>21</v>
      </c>
    </row>
    <row r="11275" ht="15.75" customHeight="1">
      <c r="A11275" s="2">
        <v>2019.0</v>
      </c>
      <c r="B11275" s="2" t="s">
        <v>45290</v>
      </c>
      <c r="C11275" s="2" t="s">
        <v>45291</v>
      </c>
      <c r="D11275" s="2" t="str">
        <f t="shared" ref="D11275:D11276" si="191">"231-861-0603"</f>
        <v>231-861-0603</v>
      </c>
      <c r="E11275" s="2" t="s">
        <v>1088</v>
      </c>
      <c r="F11275" s="2" t="s">
        <v>51</v>
      </c>
      <c r="G11275" s="2" t="str">
        <f>"SR-15918"</f>
        <v>SR-15918</v>
      </c>
      <c r="H11275" s="2" t="s">
        <v>45292</v>
      </c>
      <c r="I11275" s="2" t="s">
        <v>45293</v>
      </c>
      <c r="K11275" s="2" t="s">
        <v>9150</v>
      </c>
      <c r="L11275" s="2" t="s">
        <v>29</v>
      </c>
      <c r="M11275" s="2">
        <v>49421.0</v>
      </c>
      <c r="N11275" s="2" t="s">
        <v>21</v>
      </c>
    </row>
    <row r="11276" ht="15.75" customHeight="1">
      <c r="A11276" s="2">
        <v>2019.0</v>
      </c>
      <c r="B11276" s="2" t="s">
        <v>45290</v>
      </c>
      <c r="C11276" s="2" t="s">
        <v>45294</v>
      </c>
      <c r="D11276" s="2" t="str">
        <f t="shared" si="191"/>
        <v>231-861-0603</v>
      </c>
      <c r="E11276" s="2" t="s">
        <v>843</v>
      </c>
      <c r="F11276" s="2" t="s">
        <v>51</v>
      </c>
      <c r="G11276" s="2" t="str">
        <f>"SR-15919"</f>
        <v>SR-15919</v>
      </c>
      <c r="H11276" s="2" t="s">
        <v>45295</v>
      </c>
      <c r="I11276" s="2" t="s">
        <v>45293</v>
      </c>
      <c r="K11276" s="2" t="s">
        <v>9150</v>
      </c>
      <c r="L11276" s="2" t="s">
        <v>29</v>
      </c>
      <c r="M11276" s="2">
        <v>49421.0</v>
      </c>
      <c r="N11276" s="2" t="s">
        <v>21</v>
      </c>
    </row>
    <row r="11277" ht="15.75" customHeight="1">
      <c r="A11277" s="2">
        <v>2019.0</v>
      </c>
      <c r="B11277" s="2" t="s">
        <v>27482</v>
      </c>
      <c r="C11277" s="2" t="s">
        <v>45296</v>
      </c>
      <c r="D11277" s="2" t="str">
        <f>"6082879880"</f>
        <v>6082879880</v>
      </c>
      <c r="E11277" s="2" t="s">
        <v>2083</v>
      </c>
      <c r="F11277" s="2" t="s">
        <v>27485</v>
      </c>
      <c r="G11277" s="2" t="str">
        <f>"SR-15920"</f>
        <v>SR-15920</v>
      </c>
      <c r="H11277" s="2" t="s">
        <v>45297</v>
      </c>
      <c r="I11277" s="2" t="s">
        <v>27487</v>
      </c>
      <c r="K11277" s="2" t="s">
        <v>27488</v>
      </c>
      <c r="L11277" s="2" t="s">
        <v>193</v>
      </c>
      <c r="M11277" s="2">
        <v>53597.0</v>
      </c>
      <c r="N11277" s="2" t="s">
        <v>21</v>
      </c>
    </row>
    <row r="11278" ht="15.75" customHeight="1">
      <c r="A11278" s="2">
        <v>2019.0</v>
      </c>
      <c r="B11278" s="2" t="s">
        <v>23764</v>
      </c>
      <c r="C11278" s="2" t="s">
        <v>45298</v>
      </c>
      <c r="D11278" s="2" t="str">
        <f>"208-920-1653"</f>
        <v>208-920-1653</v>
      </c>
      <c r="E11278" s="2" t="s">
        <v>4111</v>
      </c>
      <c r="F11278" s="2" t="s">
        <v>23766</v>
      </c>
      <c r="G11278" s="2" t="str">
        <f>"SR-15922"</f>
        <v>SR-15922</v>
      </c>
      <c r="H11278" s="2" t="s">
        <v>45299</v>
      </c>
      <c r="I11278" s="2" t="s">
        <v>45300</v>
      </c>
      <c r="K11278" s="2" t="s">
        <v>19729</v>
      </c>
      <c r="L11278" s="2" t="s">
        <v>2613</v>
      </c>
      <c r="M11278" s="2">
        <v>83864.0</v>
      </c>
      <c r="N11278" s="2" t="s">
        <v>21</v>
      </c>
    </row>
    <row r="11279" ht="15.75" customHeight="1">
      <c r="A11279" s="2">
        <v>2019.0</v>
      </c>
      <c r="B11279" s="2" t="s">
        <v>45301</v>
      </c>
      <c r="C11279" s="2" t="s">
        <v>45301</v>
      </c>
      <c r="D11279" s="2" t="str">
        <f>"010-4158-5952"</f>
        <v>010-4158-5952</v>
      </c>
      <c r="E11279" s="2" t="s">
        <v>45302</v>
      </c>
      <c r="F11279" s="2" t="s">
        <v>45303</v>
      </c>
      <c r="G11279" s="2" t="str">
        <f>"SR-15905"</f>
        <v>SR-15905</v>
      </c>
      <c r="H11279" s="2" t="s">
        <v>45304</v>
      </c>
      <c r="I11279" s="2" t="s">
        <v>45305</v>
      </c>
      <c r="J11279" s="2" t="s">
        <v>45306</v>
      </c>
      <c r="K11279" s="2" t="s">
        <v>45307</v>
      </c>
      <c r="L11279" s="2" t="s">
        <v>26071</v>
      </c>
      <c r="M11279" s="2">
        <v>14986.0</v>
      </c>
      <c r="N11279" s="2" t="s">
        <v>1626</v>
      </c>
    </row>
    <row r="11280" ht="15.75" customHeight="1">
      <c r="A11280" s="2">
        <v>2019.0</v>
      </c>
      <c r="B11280" s="2" t="s">
        <v>30570</v>
      </c>
      <c r="C11280" s="2" t="s">
        <v>30571</v>
      </c>
      <c r="D11280" s="2" t="str">
        <f>"3369530914"</f>
        <v>3369530914</v>
      </c>
      <c r="E11280" s="2" t="s">
        <v>5548</v>
      </c>
      <c r="F11280" s="2" t="s">
        <v>30572</v>
      </c>
      <c r="G11280" s="2" t="str">
        <f>"SR-9655"</f>
        <v>SR-9655</v>
      </c>
      <c r="H11280" s="2" t="s">
        <v>30573</v>
      </c>
      <c r="I11280" s="2" t="s">
        <v>30574</v>
      </c>
      <c r="K11280" s="2" t="s">
        <v>30575</v>
      </c>
      <c r="L11280" s="2" t="s">
        <v>20</v>
      </c>
      <c r="M11280" s="2">
        <v>28450.0</v>
      </c>
      <c r="N11280" s="2" t="s">
        <v>21</v>
      </c>
    </row>
    <row r="11281" ht="15.75" customHeight="1">
      <c r="A11281" s="2">
        <v>2019.0</v>
      </c>
      <c r="B11281" s="2" t="s">
        <v>43017</v>
      </c>
      <c r="C11281" s="2" t="s">
        <v>43024</v>
      </c>
      <c r="D11281" s="2" t="str">
        <f>"9717240364"</f>
        <v>9717240364</v>
      </c>
      <c r="E11281" s="2" t="s">
        <v>908</v>
      </c>
      <c r="F11281" s="2" t="s">
        <v>43019</v>
      </c>
      <c r="G11281" s="2" t="str">
        <f>"SR-14980"</f>
        <v>SR-14980</v>
      </c>
      <c r="H11281" s="2" t="s">
        <v>43025</v>
      </c>
      <c r="I11281" s="2" t="s">
        <v>43021</v>
      </c>
      <c r="K11281" s="2" t="s">
        <v>788</v>
      </c>
      <c r="L11281" s="2" t="s">
        <v>2389</v>
      </c>
      <c r="M11281" s="2">
        <v>97124.0</v>
      </c>
      <c r="N11281" s="2" t="s">
        <v>21</v>
      </c>
    </row>
    <row r="11282" ht="15.75" customHeight="1">
      <c r="A11282" s="2">
        <v>2019.0</v>
      </c>
      <c r="B11282" s="2" t="s">
        <v>43017</v>
      </c>
      <c r="C11282" s="2" t="s">
        <v>43022</v>
      </c>
      <c r="D11282" s="2" t="str">
        <f>"503-686-1853"</f>
        <v>503-686-1853</v>
      </c>
      <c r="E11282" s="2" t="s">
        <v>4300</v>
      </c>
      <c r="F11282" s="2" t="s">
        <v>43019</v>
      </c>
      <c r="G11282" s="2" t="str">
        <f>"SR-15004"</f>
        <v>SR-15004</v>
      </c>
      <c r="H11282" s="2" t="s">
        <v>43023</v>
      </c>
      <c r="I11282" s="2" t="s">
        <v>43021</v>
      </c>
      <c r="K11282" s="2" t="s">
        <v>788</v>
      </c>
      <c r="L11282" s="2" t="s">
        <v>2389</v>
      </c>
      <c r="M11282" s="2">
        <v>97124.0</v>
      </c>
      <c r="N11282" s="2" t="s">
        <v>21</v>
      </c>
    </row>
    <row r="11283" ht="15.75" customHeight="1">
      <c r="A11283" s="2">
        <v>2019.0</v>
      </c>
      <c r="B11283" s="2" t="s">
        <v>43017</v>
      </c>
      <c r="C11283" s="2" t="s">
        <v>43018</v>
      </c>
      <c r="D11283" s="2" t="str">
        <f>"9717274779"</f>
        <v>9717274779</v>
      </c>
      <c r="E11283" s="2" t="s">
        <v>678</v>
      </c>
      <c r="F11283" s="2" t="s">
        <v>43019</v>
      </c>
      <c r="G11283" s="2" t="str">
        <f>"SR-15005"</f>
        <v>SR-15005</v>
      </c>
      <c r="H11283" s="2" t="s">
        <v>43020</v>
      </c>
      <c r="I11283" s="2" t="s">
        <v>43021</v>
      </c>
      <c r="K11283" s="2" t="s">
        <v>788</v>
      </c>
      <c r="L11283" s="2" t="s">
        <v>2389</v>
      </c>
      <c r="M11283" s="2">
        <v>97124.0</v>
      </c>
      <c r="N11283" s="2" t="s">
        <v>21</v>
      </c>
    </row>
    <row r="11284" ht="15.75" customHeight="1">
      <c r="A11284" s="2">
        <v>2019.0</v>
      </c>
      <c r="B11284" s="2" t="s">
        <v>45308</v>
      </c>
      <c r="C11284" s="2" t="s">
        <v>32280</v>
      </c>
      <c r="D11284" s="2" t="str">
        <f>"970-856-3142"</f>
        <v>970-856-3142</v>
      </c>
      <c r="E11284" s="2" t="s">
        <v>2167</v>
      </c>
      <c r="F11284" s="2" t="s">
        <v>32281</v>
      </c>
      <c r="G11284" s="2" t="str">
        <f>"SR-15927"</f>
        <v>SR-15927</v>
      </c>
      <c r="H11284" s="2" t="s">
        <v>32282</v>
      </c>
      <c r="I11284" s="2" t="s">
        <v>45309</v>
      </c>
      <c r="K11284" s="2" t="s">
        <v>32284</v>
      </c>
      <c r="L11284" s="2" t="s">
        <v>157</v>
      </c>
      <c r="M11284" s="2">
        <v>81413.0</v>
      </c>
      <c r="N11284" s="2" t="s">
        <v>21</v>
      </c>
    </row>
    <row r="11285" ht="15.75" customHeight="1">
      <c r="A11285" s="2">
        <v>2019.0</v>
      </c>
      <c r="B11285" s="2" t="s">
        <v>45310</v>
      </c>
      <c r="C11285" s="2" t="s">
        <v>45311</v>
      </c>
      <c r="D11285" s="2" t="str">
        <f>"831-706-5899"</f>
        <v>831-706-5899</v>
      </c>
      <c r="E11285" s="2" t="s">
        <v>2361</v>
      </c>
      <c r="F11285" s="2" t="s">
        <v>45312</v>
      </c>
      <c r="G11285" s="2" t="str">
        <f>"SR-15930"</f>
        <v>SR-15930</v>
      </c>
      <c r="H11285" s="2" t="s">
        <v>45313</v>
      </c>
      <c r="I11285" s="2" t="s">
        <v>45314</v>
      </c>
      <c r="K11285" s="2" t="s">
        <v>21775</v>
      </c>
      <c r="L11285" s="2" t="s">
        <v>222</v>
      </c>
      <c r="M11285" s="2">
        <v>95066.0</v>
      </c>
      <c r="N11285" s="2" t="s">
        <v>21</v>
      </c>
    </row>
    <row r="11286" ht="15.75" customHeight="1">
      <c r="A11286" s="2">
        <v>2019.0</v>
      </c>
      <c r="B11286" s="2" t="s">
        <v>45315</v>
      </c>
      <c r="C11286" s="2" t="s">
        <v>45316</v>
      </c>
      <c r="D11286" s="2" t="str">
        <f>"6177125076"</f>
        <v>6177125076</v>
      </c>
      <c r="E11286" s="2" t="s">
        <v>955</v>
      </c>
      <c r="F11286" s="2" t="s">
        <v>45317</v>
      </c>
      <c r="G11286" s="2" t="str">
        <f>"SR-15860"</f>
        <v>SR-15860</v>
      </c>
      <c r="H11286" s="2" t="s">
        <v>45318</v>
      </c>
      <c r="I11286" s="2" t="s">
        <v>45319</v>
      </c>
      <c r="J11286" s="2" t="s">
        <v>45320</v>
      </c>
      <c r="K11286" s="2" t="s">
        <v>45320</v>
      </c>
      <c r="L11286" s="2" t="s">
        <v>4108</v>
      </c>
      <c r="M11286" s="2">
        <v>1922.0</v>
      </c>
      <c r="N11286" s="2" t="s">
        <v>21</v>
      </c>
    </row>
    <row r="11287" ht="15.75" customHeight="1">
      <c r="A11287" s="2">
        <v>2019.0</v>
      </c>
      <c r="B11287" s="2" t="s">
        <v>45321</v>
      </c>
      <c r="D11287" s="2" t="str">
        <f>""</f>
        <v/>
      </c>
      <c r="E11287" s="2" t="s">
        <v>41654</v>
      </c>
      <c r="F11287" s="2" t="s">
        <v>5748</v>
      </c>
      <c r="G11287" s="2" t="str">
        <f>"SR-15864"</f>
        <v>SR-15864</v>
      </c>
      <c r="H11287" s="2" t="s">
        <v>45322</v>
      </c>
      <c r="N11287" s="2" t="s">
        <v>21</v>
      </c>
    </row>
    <row r="11288" ht="15.75" customHeight="1">
      <c r="A11288" s="2">
        <v>2019.0</v>
      </c>
      <c r="B11288" s="2" t="s">
        <v>4553</v>
      </c>
      <c r="C11288" s="2" t="s">
        <v>45323</v>
      </c>
      <c r="D11288" s="2" t="str">
        <f>"8134867306"</f>
        <v>8134867306</v>
      </c>
      <c r="E11288" s="2" t="s">
        <v>225</v>
      </c>
      <c r="F11288" s="2" t="s">
        <v>4556</v>
      </c>
      <c r="G11288" s="2" t="str">
        <f>"SR-15933"</f>
        <v>SR-15933</v>
      </c>
      <c r="H11288" s="2" t="s">
        <v>45324</v>
      </c>
      <c r="I11288" s="2" t="s">
        <v>4558</v>
      </c>
      <c r="K11288" s="2" t="s">
        <v>3431</v>
      </c>
      <c r="L11288" s="2" t="s">
        <v>208</v>
      </c>
      <c r="M11288" s="2">
        <v>33618.0</v>
      </c>
      <c r="N11288" s="2" t="s">
        <v>21</v>
      </c>
    </row>
    <row r="11289" ht="15.75" customHeight="1">
      <c r="A11289" s="2">
        <v>2019.0</v>
      </c>
      <c r="B11289" s="2" t="s">
        <v>45325</v>
      </c>
      <c r="C11289" s="2" t="s">
        <v>45325</v>
      </c>
      <c r="D11289" s="2" t="str">
        <f>"8067520575"</f>
        <v>8067520575</v>
      </c>
      <c r="E11289" s="2" t="s">
        <v>45326</v>
      </c>
      <c r="F11289" s="2" t="s">
        <v>34521</v>
      </c>
      <c r="G11289" s="2" t="str">
        <f>"SR-15935"</f>
        <v>SR-15935</v>
      </c>
      <c r="H11289" s="2" t="s">
        <v>45327</v>
      </c>
      <c r="I11289" s="2" t="s">
        <v>45328</v>
      </c>
      <c r="K11289" s="2" t="s">
        <v>34290</v>
      </c>
      <c r="L11289" s="2" t="s">
        <v>29</v>
      </c>
      <c r="M11289" s="2">
        <v>48823.0</v>
      </c>
      <c r="N11289" s="2" t="s">
        <v>21</v>
      </c>
    </row>
    <row r="11290" ht="15.75" customHeight="1">
      <c r="A11290" s="2">
        <v>2019.0</v>
      </c>
      <c r="B11290" s="2" t="s">
        <v>45329</v>
      </c>
      <c r="C11290" s="2" t="s">
        <v>39956</v>
      </c>
      <c r="D11290" s="2" t="str">
        <f>"269-254-6595"</f>
        <v>269-254-6595</v>
      </c>
      <c r="E11290" s="2" t="s">
        <v>843</v>
      </c>
      <c r="F11290" s="2" t="s">
        <v>32621</v>
      </c>
      <c r="G11290" s="2" t="str">
        <f>"SR-15934"</f>
        <v>SR-15934</v>
      </c>
      <c r="H11290" s="2" t="s">
        <v>39957</v>
      </c>
      <c r="I11290" s="2" t="s">
        <v>39958</v>
      </c>
      <c r="K11290" s="2" t="s">
        <v>13760</v>
      </c>
      <c r="L11290" s="2" t="s">
        <v>29</v>
      </c>
      <c r="M11290" s="2">
        <v>49032.0</v>
      </c>
      <c r="N11290" s="2" t="s">
        <v>21</v>
      </c>
    </row>
    <row r="11291" ht="15.75" customHeight="1">
      <c r="A11291" s="2">
        <v>2019.0</v>
      </c>
      <c r="B11291" s="2" t="s">
        <v>45330</v>
      </c>
      <c r="C11291" s="2" t="s">
        <v>45331</v>
      </c>
      <c r="D11291" s="2" t="str">
        <f>"423-665-2911"</f>
        <v>423-665-2911</v>
      </c>
      <c r="E11291" s="2" t="s">
        <v>465</v>
      </c>
      <c r="F11291" s="2" t="s">
        <v>23077</v>
      </c>
      <c r="G11291" s="2" t="str">
        <f>"SR-15937"</f>
        <v>SR-15937</v>
      </c>
      <c r="H11291" s="2" t="s">
        <v>45332</v>
      </c>
      <c r="I11291" s="2" t="s">
        <v>45333</v>
      </c>
      <c r="K11291" s="2" t="s">
        <v>1408</v>
      </c>
      <c r="L11291" s="2" t="s">
        <v>279</v>
      </c>
      <c r="M11291" s="2">
        <v>37323.0</v>
      </c>
      <c r="N11291" s="2" t="s">
        <v>21</v>
      </c>
    </row>
    <row r="11292" ht="15.75" customHeight="1">
      <c r="A11292" s="2">
        <v>2019.0</v>
      </c>
      <c r="B11292" s="2" t="s">
        <v>25469</v>
      </c>
      <c r="C11292" s="2" t="s">
        <v>45334</v>
      </c>
      <c r="D11292" s="2" t="str">
        <f>"2566170937"</f>
        <v>2566170937</v>
      </c>
      <c r="E11292" s="2" t="s">
        <v>1263</v>
      </c>
      <c r="F11292" s="2" t="s">
        <v>25471</v>
      </c>
      <c r="G11292" s="2" t="str">
        <f>"SR-15793"</f>
        <v>SR-15793</v>
      </c>
      <c r="H11292" s="2" t="s">
        <v>45335</v>
      </c>
      <c r="I11292" s="2" t="s">
        <v>45336</v>
      </c>
      <c r="K11292" s="2" t="s">
        <v>1398</v>
      </c>
      <c r="L11292" s="2" t="s">
        <v>157</v>
      </c>
      <c r="M11292" s="2">
        <v>80109.0</v>
      </c>
      <c r="N11292" s="2" t="s">
        <v>21</v>
      </c>
    </row>
    <row r="11293" ht="15.75" customHeight="1">
      <c r="A11293" s="2">
        <v>2019.0</v>
      </c>
      <c r="B11293" s="2" t="s">
        <v>45337</v>
      </c>
      <c r="C11293" s="2" t="s">
        <v>45337</v>
      </c>
      <c r="D11293" s="2" t="str">
        <f>"(403)815-5658"</f>
        <v>(403)815-5658</v>
      </c>
      <c r="E11293" s="2" t="s">
        <v>45338</v>
      </c>
      <c r="F11293" s="2" t="s">
        <v>18820</v>
      </c>
      <c r="G11293" s="2" t="str">
        <f>"SR-15936"</f>
        <v>SR-15936</v>
      </c>
      <c r="H11293" s="2" t="s">
        <v>45339</v>
      </c>
      <c r="I11293" s="2" t="s">
        <v>30197</v>
      </c>
      <c r="K11293" s="2" t="s">
        <v>45340</v>
      </c>
      <c r="L11293" s="2" t="s">
        <v>2397</v>
      </c>
      <c r="M11293" s="2" t="s">
        <v>30198</v>
      </c>
      <c r="N11293" s="2" t="s">
        <v>1602</v>
      </c>
    </row>
    <row r="11294" ht="15.75" customHeight="1">
      <c r="A11294" s="2">
        <v>2019.0</v>
      </c>
      <c r="B11294" s="2" t="s">
        <v>45341</v>
      </c>
      <c r="C11294" s="2" t="s">
        <v>45341</v>
      </c>
      <c r="D11294" s="2" t="str">
        <f>"231-330-7254"</f>
        <v>231-330-7254</v>
      </c>
      <c r="E11294" s="2" t="s">
        <v>2162</v>
      </c>
      <c r="F11294" s="2" t="s">
        <v>45342</v>
      </c>
      <c r="G11294" s="2" t="str">
        <f>"SR-15947"</f>
        <v>SR-15947</v>
      </c>
      <c r="H11294" s="2" t="s">
        <v>45343</v>
      </c>
      <c r="I11294" s="2" t="s">
        <v>45344</v>
      </c>
      <c r="K11294" s="2" t="s">
        <v>45345</v>
      </c>
      <c r="L11294" s="2" t="s">
        <v>29</v>
      </c>
      <c r="M11294" s="2">
        <v>49770.0</v>
      </c>
      <c r="N11294" s="2" t="s">
        <v>21</v>
      </c>
    </row>
    <row r="11295" ht="15.75" customHeight="1">
      <c r="A11295" s="2">
        <v>2019.0</v>
      </c>
      <c r="B11295" s="2" t="s">
        <v>45346</v>
      </c>
      <c r="C11295" s="2" t="s">
        <v>45347</v>
      </c>
      <c r="D11295" s="2" t="str">
        <f>"225-406-9830"</f>
        <v>225-406-9830</v>
      </c>
      <c r="E11295" s="2" t="s">
        <v>2243</v>
      </c>
      <c r="F11295" s="2" t="s">
        <v>45348</v>
      </c>
      <c r="G11295" s="2" t="str">
        <f>"SR-15944"</f>
        <v>SR-15944</v>
      </c>
      <c r="H11295" s="2" t="s">
        <v>45349</v>
      </c>
      <c r="I11295" s="2" t="s">
        <v>45350</v>
      </c>
      <c r="K11295" s="2" t="s">
        <v>45351</v>
      </c>
      <c r="L11295" s="2" t="s">
        <v>715</v>
      </c>
      <c r="M11295" s="2">
        <v>70726.0</v>
      </c>
      <c r="N11295" s="2" t="s">
        <v>21</v>
      </c>
    </row>
    <row r="11296" ht="15.75" customHeight="1">
      <c r="A11296" s="2">
        <v>2019.0</v>
      </c>
      <c r="B11296" s="2" t="s">
        <v>45352</v>
      </c>
      <c r="C11296" s="2" t="s">
        <v>45353</v>
      </c>
      <c r="D11296" s="2" t="str">
        <f>"5875746451"</f>
        <v>5875746451</v>
      </c>
      <c r="E11296" s="2" t="s">
        <v>45354</v>
      </c>
      <c r="F11296" s="2" t="s">
        <v>45355</v>
      </c>
      <c r="G11296" s="2" t="str">
        <f>"SR-15939"</f>
        <v>SR-15939</v>
      </c>
      <c r="H11296" s="2" t="s">
        <v>45356</v>
      </c>
      <c r="I11296" s="2" t="s">
        <v>45357</v>
      </c>
      <c r="K11296" s="2" t="s">
        <v>6725</v>
      </c>
      <c r="L11296" s="2" t="s">
        <v>2397</v>
      </c>
      <c r="M11296" s="2" t="s">
        <v>45358</v>
      </c>
      <c r="N11296" s="2" t="s">
        <v>1602</v>
      </c>
    </row>
    <row r="11297" ht="15.75" customHeight="1">
      <c r="A11297" s="2">
        <v>2019.0</v>
      </c>
      <c r="B11297" s="2" t="s">
        <v>45359</v>
      </c>
      <c r="C11297" s="2" t="s">
        <v>45359</v>
      </c>
      <c r="D11297" s="2" t="str">
        <f>"214-766-8543"</f>
        <v>214-766-8543</v>
      </c>
      <c r="E11297" s="2" t="s">
        <v>453</v>
      </c>
      <c r="F11297" s="2" t="s">
        <v>20114</v>
      </c>
      <c r="G11297" s="2" t="str">
        <f>"SR-15950"</f>
        <v>SR-15950</v>
      </c>
      <c r="H11297" s="2" t="s">
        <v>45360</v>
      </c>
      <c r="I11297" s="2" t="s">
        <v>20116</v>
      </c>
      <c r="K11297" s="2" t="s">
        <v>2643</v>
      </c>
      <c r="L11297" s="2" t="s">
        <v>172</v>
      </c>
      <c r="M11297" s="2">
        <v>75028.0</v>
      </c>
      <c r="N11297" s="2" t="s">
        <v>21</v>
      </c>
    </row>
    <row r="11298" ht="15.75" customHeight="1">
      <c r="A11298" s="2">
        <v>2019.0</v>
      </c>
      <c r="B11298" s="2" t="s">
        <v>45361</v>
      </c>
      <c r="C11298" s="2" t="s">
        <v>45362</v>
      </c>
      <c r="D11298" s="2" t="str">
        <f>"4439261771"</f>
        <v>4439261771</v>
      </c>
      <c r="E11298" s="2" t="s">
        <v>167</v>
      </c>
      <c r="F11298" s="2" t="s">
        <v>45363</v>
      </c>
      <c r="G11298" s="2" t="str">
        <f>"SR-15949"</f>
        <v>SR-15949</v>
      </c>
      <c r="H11298" s="2" t="s">
        <v>45364</v>
      </c>
      <c r="I11298" s="2" t="s">
        <v>45365</v>
      </c>
      <c r="K11298" s="2" t="s">
        <v>9334</v>
      </c>
      <c r="L11298" s="2" t="s">
        <v>165</v>
      </c>
      <c r="M11298" s="2">
        <v>22032.0</v>
      </c>
      <c r="N11298" s="2" t="s">
        <v>21</v>
      </c>
    </row>
    <row r="11299" ht="15.75" customHeight="1">
      <c r="A11299" s="2">
        <v>2019.0</v>
      </c>
      <c r="B11299" s="2" t="s">
        <v>39095</v>
      </c>
      <c r="C11299" s="2" t="s">
        <v>39096</v>
      </c>
      <c r="D11299" s="2" t="str">
        <f>"5402777697"</f>
        <v>5402777697</v>
      </c>
      <c r="E11299" s="2" t="s">
        <v>2147</v>
      </c>
      <c r="F11299" s="2" t="s">
        <v>18199</v>
      </c>
      <c r="G11299" s="2" t="str">
        <f>"SR-13277"</f>
        <v>SR-13277</v>
      </c>
      <c r="H11299" s="2" t="s">
        <v>39097</v>
      </c>
      <c r="I11299" s="2" t="s">
        <v>39098</v>
      </c>
      <c r="K11299" s="2" t="s">
        <v>2461</v>
      </c>
      <c r="L11299" s="2" t="s">
        <v>165</v>
      </c>
      <c r="M11299" s="2">
        <v>22611.0</v>
      </c>
      <c r="N11299" s="2" t="s">
        <v>21</v>
      </c>
    </row>
    <row r="11300" ht="15.75" customHeight="1">
      <c r="A11300" s="2">
        <v>2019.0</v>
      </c>
      <c r="B11300" s="2" t="s">
        <v>45366</v>
      </c>
      <c r="C11300" s="2" t="s">
        <v>45366</v>
      </c>
      <c r="D11300" s="2" t="str">
        <f>"720-252-7216"</f>
        <v>720-252-7216</v>
      </c>
      <c r="E11300" s="2" t="s">
        <v>45367</v>
      </c>
      <c r="F11300" s="2" t="s">
        <v>256</v>
      </c>
      <c r="G11300" s="2" t="str">
        <f>"SR-15951"</f>
        <v>SR-15951</v>
      </c>
      <c r="H11300" s="2" t="s">
        <v>45368</v>
      </c>
      <c r="I11300" s="2" t="s">
        <v>45369</v>
      </c>
      <c r="K11300" s="2" t="s">
        <v>1398</v>
      </c>
      <c r="L11300" s="2" t="s">
        <v>157</v>
      </c>
      <c r="M11300" s="2">
        <v>80104.0</v>
      </c>
      <c r="N11300" s="2" t="s">
        <v>21</v>
      </c>
    </row>
    <row r="11301" ht="15.75" customHeight="1">
      <c r="A11301" s="2">
        <v>2019.0</v>
      </c>
      <c r="B11301" s="2" t="s">
        <v>45370</v>
      </c>
      <c r="D11301" s="2" t="str">
        <f>""</f>
        <v/>
      </c>
      <c r="E11301" s="2" t="s">
        <v>45371</v>
      </c>
      <c r="F11301" s="2" t="s">
        <v>45372</v>
      </c>
      <c r="G11301" s="2" t="str">
        <f>"SR-15946"</f>
        <v>SR-15946</v>
      </c>
      <c r="H11301" s="2" t="s">
        <v>45373</v>
      </c>
    </row>
    <row r="11302" ht="15.75" customHeight="1">
      <c r="A11302" s="2">
        <v>2019.0</v>
      </c>
      <c r="B11302" s="2" t="s">
        <v>45374</v>
      </c>
      <c r="C11302" s="2" t="s">
        <v>45374</v>
      </c>
      <c r="D11302" s="2" t="str">
        <f>"2767348797"</f>
        <v>2767348797</v>
      </c>
      <c r="E11302" s="2" t="s">
        <v>1585</v>
      </c>
      <c r="F11302" s="2" t="s">
        <v>14086</v>
      </c>
      <c r="G11302" s="2" t="str">
        <f>"SR-15841"</f>
        <v>SR-15841</v>
      </c>
      <c r="H11302" s="2" t="s">
        <v>45375</v>
      </c>
      <c r="I11302" s="2" t="s">
        <v>45376</v>
      </c>
      <c r="K11302" s="2" t="s">
        <v>11207</v>
      </c>
      <c r="L11302" s="2" t="s">
        <v>165</v>
      </c>
      <c r="M11302" s="2">
        <v>24055.0</v>
      </c>
      <c r="N11302" s="2" t="s">
        <v>21</v>
      </c>
    </row>
    <row r="11303" ht="15.75" customHeight="1">
      <c r="A11303" s="2">
        <v>2019.0</v>
      </c>
      <c r="B11303" s="2" t="s">
        <v>31878</v>
      </c>
      <c r="C11303" s="2" t="s">
        <v>45377</v>
      </c>
      <c r="D11303" s="2" t="str">
        <f>"303-200-4995"</f>
        <v>303-200-4995</v>
      </c>
      <c r="E11303" s="2" t="s">
        <v>651</v>
      </c>
      <c r="F11303" s="2" t="s">
        <v>31880</v>
      </c>
      <c r="G11303" s="2" t="str">
        <f>"SR-15956"</f>
        <v>SR-15956</v>
      </c>
      <c r="H11303" s="2" t="s">
        <v>45378</v>
      </c>
      <c r="I11303" s="2" t="s">
        <v>31882</v>
      </c>
      <c r="K11303" s="2" t="s">
        <v>1054</v>
      </c>
      <c r="L11303" s="2" t="s">
        <v>157</v>
      </c>
      <c r="M11303" s="2">
        <v>80138.0</v>
      </c>
      <c r="N11303" s="2" t="s">
        <v>21</v>
      </c>
    </row>
    <row r="11304" ht="15.75" customHeight="1">
      <c r="A11304" s="2">
        <v>2019.0</v>
      </c>
      <c r="B11304" s="2" t="s">
        <v>38287</v>
      </c>
      <c r="C11304" s="2" t="s">
        <v>45379</v>
      </c>
      <c r="D11304" s="2" t="str">
        <f>"734-999-7700"</f>
        <v>734-999-7700</v>
      </c>
      <c r="E11304" s="2" t="s">
        <v>373</v>
      </c>
      <c r="F11304" s="2" t="s">
        <v>38289</v>
      </c>
      <c r="G11304" s="2" t="str">
        <f>"SR-15958"</f>
        <v>SR-15958</v>
      </c>
      <c r="H11304" s="2" t="s">
        <v>45380</v>
      </c>
      <c r="I11304" s="2" t="s">
        <v>38291</v>
      </c>
      <c r="K11304" s="2" t="s">
        <v>36133</v>
      </c>
      <c r="L11304" s="2" t="s">
        <v>179</v>
      </c>
      <c r="M11304" s="2">
        <v>19335.0</v>
      </c>
      <c r="N11304" s="2" t="s">
        <v>21</v>
      </c>
    </row>
    <row r="11305" ht="15.75" customHeight="1">
      <c r="A11305" s="2">
        <v>2019.0</v>
      </c>
      <c r="B11305" s="2" t="s">
        <v>45381</v>
      </c>
      <c r="C11305" s="2" t="s">
        <v>45382</v>
      </c>
      <c r="D11305" s="2" t="str">
        <f>"7013407314"</f>
        <v>7013407314</v>
      </c>
      <c r="E11305" s="2" t="s">
        <v>36331</v>
      </c>
      <c r="F11305" s="2" t="s">
        <v>6833</v>
      </c>
      <c r="G11305" s="2" t="str">
        <f>"SR-15960"</f>
        <v>SR-15960</v>
      </c>
      <c r="H11305" s="2" t="s">
        <v>45383</v>
      </c>
      <c r="I11305" s="2" t="s">
        <v>45384</v>
      </c>
      <c r="K11305" s="2" t="s">
        <v>5965</v>
      </c>
      <c r="L11305" s="2" t="s">
        <v>2534</v>
      </c>
      <c r="M11305" s="2">
        <v>58701.0</v>
      </c>
      <c r="N11305" s="2" t="s">
        <v>21</v>
      </c>
    </row>
    <row r="11306" ht="15.75" customHeight="1">
      <c r="A11306" s="2">
        <v>2019.0</v>
      </c>
      <c r="B11306" s="2" t="s">
        <v>34273</v>
      </c>
      <c r="C11306" s="2" t="s">
        <v>34273</v>
      </c>
      <c r="D11306" s="2" t="str">
        <f>"3045732717"</f>
        <v>3045732717</v>
      </c>
      <c r="E11306" s="2" t="s">
        <v>2031</v>
      </c>
      <c r="F11306" s="2" t="s">
        <v>10116</v>
      </c>
      <c r="G11306" s="2" t="str">
        <f>"SR-15961"</f>
        <v>SR-15961</v>
      </c>
      <c r="H11306" s="2" t="s">
        <v>45385</v>
      </c>
      <c r="I11306" s="2" t="s">
        <v>34276</v>
      </c>
      <c r="K11306" s="2" t="s">
        <v>34277</v>
      </c>
      <c r="L11306" s="2" t="s">
        <v>6449</v>
      </c>
      <c r="M11306" s="2">
        <v>25962.0</v>
      </c>
      <c r="N11306" s="2" t="s">
        <v>21</v>
      </c>
    </row>
    <row r="11307" ht="15.75" customHeight="1">
      <c r="A11307" s="2">
        <v>2019.0</v>
      </c>
      <c r="B11307" s="2" t="s">
        <v>45386</v>
      </c>
      <c r="C11307" s="2" t="s">
        <v>45387</v>
      </c>
      <c r="D11307" s="2" t="str">
        <f>"540-974-1956"</f>
        <v>540-974-1956</v>
      </c>
      <c r="E11307" s="2" t="s">
        <v>339</v>
      </c>
      <c r="F11307" s="2" t="s">
        <v>45388</v>
      </c>
      <c r="G11307" s="2" t="str">
        <f>"SR-15962"</f>
        <v>SR-15962</v>
      </c>
      <c r="H11307" s="2" t="s">
        <v>45389</v>
      </c>
      <c r="I11307" s="2" t="s">
        <v>45390</v>
      </c>
      <c r="K11307" s="2" t="s">
        <v>594</v>
      </c>
      <c r="L11307" s="2" t="s">
        <v>165</v>
      </c>
      <c r="M11307" s="2">
        <v>22602.0</v>
      </c>
      <c r="N11307" s="2" t="s">
        <v>21</v>
      </c>
    </row>
    <row r="11308" ht="15.75" customHeight="1">
      <c r="A11308" s="2">
        <v>2019.0</v>
      </c>
      <c r="B11308" s="2" t="s">
        <v>45391</v>
      </c>
      <c r="C11308" s="2" t="s">
        <v>45392</v>
      </c>
      <c r="D11308" s="2" t="str">
        <f>"8322770384"</f>
        <v>8322770384</v>
      </c>
      <c r="E11308" s="2" t="s">
        <v>3743</v>
      </c>
      <c r="F11308" s="2" t="s">
        <v>45393</v>
      </c>
      <c r="G11308" s="2" t="str">
        <f>"SR-15963"</f>
        <v>SR-15963</v>
      </c>
      <c r="H11308" s="2" t="s">
        <v>45394</v>
      </c>
      <c r="I11308" s="2" t="s">
        <v>45395</v>
      </c>
      <c r="K11308" s="2" t="s">
        <v>19696</v>
      </c>
      <c r="L11308" s="2" t="s">
        <v>172</v>
      </c>
      <c r="M11308" s="2">
        <v>77584.0</v>
      </c>
      <c r="N11308" s="2" t="s">
        <v>21</v>
      </c>
    </row>
    <row r="11309" ht="15.75" customHeight="1">
      <c r="A11309" s="2">
        <v>2019.0</v>
      </c>
      <c r="B11309" s="2" t="s">
        <v>45396</v>
      </c>
      <c r="C11309" s="2" t="s">
        <v>45396</v>
      </c>
      <c r="D11309" s="2" t="str">
        <f>"9859749005"</f>
        <v>9859749005</v>
      </c>
      <c r="E11309" s="2" t="s">
        <v>678</v>
      </c>
      <c r="F11309" s="2" t="s">
        <v>448</v>
      </c>
      <c r="G11309" s="2" t="str">
        <f>"SR-15853"</f>
        <v>SR-15853</v>
      </c>
      <c r="H11309" s="2" t="s">
        <v>45397</v>
      </c>
      <c r="I11309" s="2" t="s">
        <v>45398</v>
      </c>
      <c r="K11309" s="2" t="s">
        <v>45399</v>
      </c>
      <c r="L11309" s="2" t="s">
        <v>715</v>
      </c>
      <c r="M11309" s="2">
        <v>70454.0</v>
      </c>
      <c r="N11309" s="2" t="s">
        <v>21</v>
      </c>
    </row>
    <row r="11310" ht="15.75" customHeight="1">
      <c r="A11310" s="2">
        <v>2019.0</v>
      </c>
      <c r="B11310" s="2" t="s">
        <v>42346</v>
      </c>
      <c r="C11310" s="2" t="s">
        <v>31011</v>
      </c>
      <c r="D11310" s="2" t="str">
        <f>"7344339632"</f>
        <v>7344339632</v>
      </c>
      <c r="E11310" s="2" t="s">
        <v>644</v>
      </c>
      <c r="F11310" s="2" t="s">
        <v>31012</v>
      </c>
      <c r="G11310" s="2" t="str">
        <f>"SR-15964"</f>
        <v>SR-15964</v>
      </c>
      <c r="H11310" s="2" t="s">
        <v>31013</v>
      </c>
      <c r="I11310" s="2" t="s">
        <v>31014</v>
      </c>
      <c r="K11310" s="2" t="s">
        <v>7174</v>
      </c>
      <c r="L11310" s="2" t="s">
        <v>29</v>
      </c>
      <c r="M11310" s="2">
        <v>48130.0</v>
      </c>
      <c r="N11310" s="2" t="s">
        <v>21</v>
      </c>
    </row>
    <row r="11311" ht="15.75" customHeight="1">
      <c r="A11311" s="2">
        <v>2019.0</v>
      </c>
      <c r="B11311" s="2" t="s">
        <v>42346</v>
      </c>
      <c r="C11311" s="2" t="s">
        <v>42347</v>
      </c>
      <c r="D11311" s="2" t="str">
        <f>"7346049830"</f>
        <v>7346049830</v>
      </c>
      <c r="E11311" s="2" t="s">
        <v>3196</v>
      </c>
      <c r="F11311" s="2" t="s">
        <v>42348</v>
      </c>
      <c r="G11311" s="2" t="str">
        <f>"SR-15965"</f>
        <v>SR-15965</v>
      </c>
      <c r="H11311" s="2" t="s">
        <v>45400</v>
      </c>
      <c r="I11311" s="2" t="s">
        <v>42350</v>
      </c>
      <c r="K11311" s="2" t="s">
        <v>7174</v>
      </c>
      <c r="L11311" s="2" t="s">
        <v>29</v>
      </c>
      <c r="M11311" s="2">
        <v>48130.0</v>
      </c>
      <c r="N11311" s="2" t="s">
        <v>21</v>
      </c>
    </row>
    <row r="11312" ht="15.75" customHeight="1">
      <c r="A11312" s="2">
        <v>2019.0</v>
      </c>
      <c r="B11312" s="2" t="s">
        <v>45401</v>
      </c>
      <c r="C11312" s="2" t="s">
        <v>45401</v>
      </c>
      <c r="D11312" s="2" t="str">
        <f>"719-482-5414"</f>
        <v>719-482-5414</v>
      </c>
      <c r="E11312" s="2" t="s">
        <v>45402</v>
      </c>
      <c r="F11312" s="2" t="s">
        <v>16251</v>
      </c>
      <c r="G11312" s="2" t="str">
        <f>"SR-15968"</f>
        <v>SR-15968</v>
      </c>
      <c r="H11312" s="2" t="s">
        <v>45403</v>
      </c>
      <c r="I11312" s="2" t="s">
        <v>45404</v>
      </c>
      <c r="K11312" s="2" t="s">
        <v>5531</v>
      </c>
      <c r="L11312" s="2" t="s">
        <v>422</v>
      </c>
      <c r="M11312" s="2">
        <v>85207.0</v>
      </c>
      <c r="N11312" s="2" t="s">
        <v>21</v>
      </c>
    </row>
    <row r="11313" ht="15.75" customHeight="1">
      <c r="A11313" s="2">
        <v>2019.0</v>
      </c>
      <c r="B11313" s="2" t="s">
        <v>45405</v>
      </c>
      <c r="C11313" s="2" t="s">
        <v>45406</v>
      </c>
      <c r="D11313" s="2" t="str">
        <f>"540-551-2718"</f>
        <v>540-551-2718</v>
      </c>
      <c r="E11313" s="2" t="s">
        <v>2863</v>
      </c>
      <c r="F11313" s="2" t="s">
        <v>89</v>
      </c>
      <c r="G11313" s="2" t="str">
        <f>"SR-15969"</f>
        <v>SR-15969</v>
      </c>
      <c r="H11313" s="2" t="s">
        <v>45407</v>
      </c>
      <c r="I11313" s="2" t="s">
        <v>45408</v>
      </c>
      <c r="K11313" s="2" t="s">
        <v>45409</v>
      </c>
      <c r="L11313" s="2" t="s">
        <v>165</v>
      </c>
      <c r="M11313" s="2">
        <v>22853.0</v>
      </c>
      <c r="N11313" s="2" t="s">
        <v>21</v>
      </c>
    </row>
    <row r="11314" ht="15.75" customHeight="1">
      <c r="A11314" s="2">
        <v>2019.0</v>
      </c>
      <c r="B11314" s="2" t="s">
        <v>45410</v>
      </c>
      <c r="C11314" s="2" t="s">
        <v>45411</v>
      </c>
      <c r="D11314" s="2" t="str">
        <f>"2074809009"</f>
        <v>2074809009</v>
      </c>
      <c r="E11314" s="2" t="s">
        <v>4555</v>
      </c>
      <c r="F11314" s="2" t="s">
        <v>8565</v>
      </c>
      <c r="G11314" s="2" t="str">
        <f>"SR-15970"</f>
        <v>SR-15970</v>
      </c>
      <c r="H11314" s="2" t="s">
        <v>45412</v>
      </c>
      <c r="I11314" s="2" t="s">
        <v>45413</v>
      </c>
      <c r="K11314" s="2" t="s">
        <v>32344</v>
      </c>
      <c r="L11314" s="2" t="s">
        <v>3737</v>
      </c>
      <c r="M11314" s="2">
        <v>4345.0</v>
      </c>
      <c r="N11314" s="2" t="s">
        <v>21</v>
      </c>
    </row>
    <row r="11315" ht="15.75" customHeight="1">
      <c r="A11315" s="2">
        <v>2019.0</v>
      </c>
      <c r="B11315" s="2" t="s">
        <v>45414</v>
      </c>
      <c r="C11315" s="2" t="s">
        <v>45415</v>
      </c>
      <c r="D11315" s="2" t="str">
        <f>"702-863-9791"</f>
        <v>702-863-9791</v>
      </c>
      <c r="E11315" s="2" t="s">
        <v>705</v>
      </c>
      <c r="F11315" s="2" t="s">
        <v>2954</v>
      </c>
      <c r="G11315" s="2" t="str">
        <f>"SR-15848"</f>
        <v>SR-15848</v>
      </c>
      <c r="H11315" s="2" t="s">
        <v>45416</v>
      </c>
      <c r="I11315" s="2" t="s">
        <v>45417</v>
      </c>
      <c r="K11315" s="2" t="s">
        <v>309</v>
      </c>
      <c r="L11315" s="2" t="s">
        <v>1419</v>
      </c>
      <c r="M11315" s="2">
        <v>89002.0</v>
      </c>
      <c r="N11315" s="2" t="s">
        <v>21</v>
      </c>
    </row>
    <row r="11316" ht="15.75" customHeight="1">
      <c r="A11316" s="2">
        <v>2019.0</v>
      </c>
      <c r="B11316" s="2" t="s">
        <v>45418</v>
      </c>
      <c r="D11316" s="2" t="str">
        <f>""</f>
        <v/>
      </c>
      <c r="E11316" s="2" t="s">
        <v>15626</v>
      </c>
      <c r="F11316" s="2" t="s">
        <v>45419</v>
      </c>
      <c r="G11316" s="2" t="str">
        <f>"SR-15771"</f>
        <v>SR-15771</v>
      </c>
      <c r="H11316" s="2" t="s">
        <v>45420</v>
      </c>
      <c r="N11316" s="2" t="s">
        <v>21</v>
      </c>
    </row>
    <row r="11317" ht="15.75" customHeight="1">
      <c r="A11317" s="2">
        <v>2019.0</v>
      </c>
      <c r="B11317" s="2" t="s">
        <v>45421</v>
      </c>
      <c r="C11317" s="2" t="s">
        <v>45421</v>
      </c>
      <c r="D11317" s="2" t="str">
        <f>"8638405600"</f>
        <v>8638405600</v>
      </c>
      <c r="E11317" s="2" t="s">
        <v>203</v>
      </c>
      <c r="F11317" s="2" t="s">
        <v>36960</v>
      </c>
      <c r="G11317" s="2" t="str">
        <f>"SR-15973"</f>
        <v>SR-15973</v>
      </c>
      <c r="H11317" s="2" t="s">
        <v>45422</v>
      </c>
      <c r="I11317" s="2" t="s">
        <v>45423</v>
      </c>
      <c r="K11317" s="2" t="s">
        <v>26300</v>
      </c>
      <c r="L11317" s="2" t="s">
        <v>208</v>
      </c>
      <c r="M11317" s="2">
        <v>33852.0</v>
      </c>
      <c r="N11317" s="2" t="s">
        <v>21</v>
      </c>
    </row>
    <row r="11318" ht="15.75" customHeight="1">
      <c r="A11318" s="2">
        <v>2019.0</v>
      </c>
      <c r="B11318" s="2" t="s">
        <v>4344</v>
      </c>
      <c r="C11318" s="2" t="s">
        <v>45424</v>
      </c>
      <c r="D11318" s="2" t="str">
        <f>"2817335398"</f>
        <v>2817335398</v>
      </c>
      <c r="E11318" s="2" t="s">
        <v>1208</v>
      </c>
      <c r="F11318" s="2" t="s">
        <v>4347</v>
      </c>
      <c r="G11318" s="2" t="str">
        <f>"SR-15975"</f>
        <v>SR-15975</v>
      </c>
      <c r="H11318" s="2" t="s">
        <v>45425</v>
      </c>
      <c r="I11318" s="2" t="s">
        <v>45426</v>
      </c>
      <c r="K11318" s="2" t="s">
        <v>4350</v>
      </c>
      <c r="L11318" s="2" t="s">
        <v>172</v>
      </c>
      <c r="M11318" s="2">
        <v>77377.0</v>
      </c>
      <c r="N11318" s="2" t="s">
        <v>21</v>
      </c>
    </row>
    <row r="11319" ht="15.75" customHeight="1">
      <c r="A11319" s="2">
        <v>2019.0</v>
      </c>
      <c r="B11319" s="2" t="s">
        <v>45427</v>
      </c>
      <c r="C11319" s="2" t="s">
        <v>45428</v>
      </c>
      <c r="D11319" s="2" t="str">
        <f>"8062924459"</f>
        <v>8062924459</v>
      </c>
      <c r="E11319" s="2" t="s">
        <v>261</v>
      </c>
      <c r="F11319" s="2" t="s">
        <v>45429</v>
      </c>
      <c r="G11319" s="2" t="str">
        <f>"SR-15878"</f>
        <v>SR-15878</v>
      </c>
      <c r="H11319" s="2" t="s">
        <v>45430</v>
      </c>
      <c r="I11319" s="2" t="s">
        <v>45431</v>
      </c>
      <c r="K11319" s="2" t="s">
        <v>29060</v>
      </c>
      <c r="L11319" s="2" t="s">
        <v>172</v>
      </c>
      <c r="M11319" s="2">
        <v>79072.0</v>
      </c>
      <c r="N11319" s="2" t="s">
        <v>21</v>
      </c>
    </row>
    <row r="11320" ht="15.75" customHeight="1">
      <c r="A11320" s="2">
        <v>2019.0</v>
      </c>
      <c r="B11320" s="2" t="s">
        <v>45432</v>
      </c>
      <c r="C11320" s="2" t="s">
        <v>45432</v>
      </c>
      <c r="D11320" s="2" t="str">
        <f>"9702148013"</f>
        <v>9702148013</v>
      </c>
      <c r="E11320" s="2" t="s">
        <v>217</v>
      </c>
      <c r="F11320" s="2" t="s">
        <v>962</v>
      </c>
      <c r="G11320" s="2" t="str">
        <f>"SR-15805"</f>
        <v>SR-15805</v>
      </c>
      <c r="H11320" s="2" t="s">
        <v>45433</v>
      </c>
      <c r="I11320" s="2" t="s">
        <v>45434</v>
      </c>
      <c r="K11320" s="2" t="s">
        <v>656</v>
      </c>
      <c r="L11320" s="2" t="s">
        <v>157</v>
      </c>
      <c r="M11320" s="2">
        <v>80624.0</v>
      </c>
      <c r="N11320" s="2" t="s">
        <v>21</v>
      </c>
    </row>
    <row r="11321" ht="15.75" customHeight="1">
      <c r="A11321" s="2">
        <v>2019.0</v>
      </c>
      <c r="B11321" s="2" t="s">
        <v>45435</v>
      </c>
      <c r="C11321" s="2" t="s">
        <v>45436</v>
      </c>
      <c r="D11321" s="2" t="str">
        <f>"9194140507"</f>
        <v>9194140507</v>
      </c>
      <c r="E11321" s="2" t="s">
        <v>45437</v>
      </c>
      <c r="F11321" s="2" t="s">
        <v>529</v>
      </c>
      <c r="G11321" s="2" t="str">
        <f>"SR-15976"</f>
        <v>SR-15976</v>
      </c>
      <c r="H11321" s="2" t="s">
        <v>45438</v>
      </c>
      <c r="I11321" s="2" t="s">
        <v>45439</v>
      </c>
      <c r="K11321" s="2" t="s">
        <v>26041</v>
      </c>
      <c r="L11321" s="2" t="s">
        <v>20</v>
      </c>
      <c r="M11321" s="2">
        <v>27577.0</v>
      </c>
      <c r="N11321" s="2" t="s">
        <v>21</v>
      </c>
    </row>
    <row r="11322" ht="15.75" customHeight="1">
      <c r="A11322" s="2">
        <v>2019.0</v>
      </c>
      <c r="B11322" s="2" t="s">
        <v>45440</v>
      </c>
      <c r="C11322" s="2" t="s">
        <v>45440</v>
      </c>
      <c r="D11322" s="2" t="str">
        <f>"4792731855"</f>
        <v>4792731855</v>
      </c>
      <c r="E11322" s="2" t="s">
        <v>385</v>
      </c>
      <c r="F11322" s="2" t="s">
        <v>5911</v>
      </c>
      <c r="G11322" s="2" t="str">
        <f>"SR-15175"</f>
        <v>SR-15175</v>
      </c>
      <c r="H11322" s="2" t="s">
        <v>45441</v>
      </c>
      <c r="I11322" s="2" t="s">
        <v>45442</v>
      </c>
      <c r="K11322" s="2" t="s">
        <v>14516</v>
      </c>
      <c r="L11322" s="2" t="s">
        <v>1012</v>
      </c>
      <c r="M11322" s="2">
        <v>72712.0</v>
      </c>
      <c r="N11322" s="2" t="s">
        <v>21</v>
      </c>
    </row>
    <row r="11323" ht="15.75" customHeight="1">
      <c r="A11323" s="2">
        <v>2019.0</v>
      </c>
      <c r="B11323" s="2" t="s">
        <v>45440</v>
      </c>
      <c r="C11323" s="2" t="s">
        <v>45443</v>
      </c>
      <c r="D11323" s="2" t="str">
        <f>"4793200076"</f>
        <v>4793200076</v>
      </c>
      <c r="E11323" s="2" t="s">
        <v>45444</v>
      </c>
      <c r="F11323" s="2" t="s">
        <v>5911</v>
      </c>
      <c r="G11323" s="2" t="str">
        <f>"SR-15979"</f>
        <v>SR-15979</v>
      </c>
      <c r="H11323" s="2" t="s">
        <v>45445</v>
      </c>
      <c r="I11323" s="2" t="s">
        <v>45446</v>
      </c>
      <c r="J11323" s="2" t="s">
        <v>45447</v>
      </c>
      <c r="K11323" s="2" t="s">
        <v>14516</v>
      </c>
      <c r="L11323" s="2" t="s">
        <v>1012</v>
      </c>
      <c r="M11323" s="2">
        <v>72712.0</v>
      </c>
      <c r="N11323" s="2" t="s">
        <v>21</v>
      </c>
    </row>
    <row r="11324" ht="15.75" customHeight="1">
      <c r="A11324" s="2">
        <v>2019.0</v>
      </c>
      <c r="B11324" s="2" t="s">
        <v>45448</v>
      </c>
      <c r="C11324" s="2" t="s">
        <v>45449</v>
      </c>
      <c r="D11324" s="2" t="str">
        <f>"901-853-6211"</f>
        <v>901-853-6211</v>
      </c>
      <c r="E11324" s="2" t="s">
        <v>3693</v>
      </c>
      <c r="F11324" s="2" t="s">
        <v>6532</v>
      </c>
      <c r="G11324" s="2" t="str">
        <f>"SR-15906"</f>
        <v>SR-15906</v>
      </c>
      <c r="H11324" s="2" t="s">
        <v>45450</v>
      </c>
      <c r="I11324" s="2" t="s">
        <v>45451</v>
      </c>
      <c r="K11324" s="2" t="s">
        <v>26470</v>
      </c>
      <c r="L11324" s="2" t="s">
        <v>279</v>
      </c>
      <c r="M11324" s="2">
        <v>38067.0</v>
      </c>
      <c r="N11324" s="2" t="s">
        <v>21</v>
      </c>
    </row>
    <row r="11325" ht="15.75" customHeight="1">
      <c r="A11325" s="2">
        <v>2019.0</v>
      </c>
      <c r="B11325" s="2" t="s">
        <v>6421</v>
      </c>
      <c r="C11325" s="2" t="s">
        <v>45452</v>
      </c>
      <c r="D11325" s="2" t="str">
        <f>"2144497385"</f>
        <v>2144497385</v>
      </c>
      <c r="E11325" s="2" t="s">
        <v>217</v>
      </c>
      <c r="F11325" s="2" t="s">
        <v>457</v>
      </c>
      <c r="G11325" s="2" t="str">
        <f>"SR-14121"</f>
        <v>SR-14121</v>
      </c>
      <c r="H11325" s="2" t="s">
        <v>45453</v>
      </c>
      <c r="I11325" s="2" t="s">
        <v>45454</v>
      </c>
      <c r="K11325" s="2" t="s">
        <v>1255</v>
      </c>
      <c r="L11325" s="2" t="s">
        <v>172</v>
      </c>
      <c r="M11325" s="2">
        <v>75243.0</v>
      </c>
      <c r="N11325" s="2" t="s">
        <v>21</v>
      </c>
    </row>
    <row r="11326" ht="15.75" customHeight="1">
      <c r="A11326" s="2">
        <v>2019.0</v>
      </c>
      <c r="B11326" s="2" t="s">
        <v>45455</v>
      </c>
      <c r="C11326" s="2" t="s">
        <v>45455</v>
      </c>
      <c r="D11326" s="2" t="str">
        <f>"508-948-8972"</f>
        <v>508-948-8972</v>
      </c>
      <c r="E11326" s="2" t="s">
        <v>1263</v>
      </c>
      <c r="F11326" s="2" t="s">
        <v>28594</v>
      </c>
      <c r="G11326" s="2" t="str">
        <f>"SR-15952"</f>
        <v>SR-15952</v>
      </c>
      <c r="H11326" s="2" t="s">
        <v>45456</v>
      </c>
      <c r="I11326" s="2" t="s">
        <v>45457</v>
      </c>
      <c r="K11326" s="2" t="s">
        <v>45458</v>
      </c>
      <c r="L11326" s="2" t="s">
        <v>4108</v>
      </c>
      <c r="M11326" s="2">
        <v>1532.0</v>
      </c>
      <c r="N11326" s="2" t="s">
        <v>21</v>
      </c>
    </row>
    <row r="11327" ht="15.75" customHeight="1">
      <c r="A11327" s="2">
        <v>2019.0</v>
      </c>
      <c r="B11327" s="2" t="s">
        <v>45459</v>
      </c>
      <c r="C11327" s="2" t="s">
        <v>45459</v>
      </c>
      <c r="D11327" s="2" t="str">
        <f>"612-772-3078"</f>
        <v>612-772-3078</v>
      </c>
      <c r="E11327" s="2" t="s">
        <v>119</v>
      </c>
      <c r="F11327" s="2" t="s">
        <v>6889</v>
      </c>
      <c r="G11327" s="2" t="str">
        <f>"SR-15981"</f>
        <v>SR-15981</v>
      </c>
      <c r="H11327" s="2" t="s">
        <v>45460</v>
      </c>
      <c r="I11327" s="2" t="s">
        <v>45461</v>
      </c>
      <c r="K11327" s="2" t="s">
        <v>45462</v>
      </c>
      <c r="L11327" s="2" t="s">
        <v>62</v>
      </c>
      <c r="M11327" s="2">
        <v>55354.0</v>
      </c>
      <c r="N11327" s="2" t="s">
        <v>21</v>
      </c>
    </row>
    <row r="11328" ht="15.75" customHeight="1">
      <c r="A11328" s="2">
        <v>2019.0</v>
      </c>
      <c r="B11328" s="2" t="s">
        <v>45463</v>
      </c>
      <c r="C11328" s="2" t="s">
        <v>45464</v>
      </c>
      <c r="D11328" s="2" t="str">
        <f>"9898240071"</f>
        <v>9898240071</v>
      </c>
      <c r="E11328" s="2" t="s">
        <v>843</v>
      </c>
      <c r="F11328" s="2" t="s">
        <v>18140</v>
      </c>
      <c r="G11328" s="2" t="str">
        <f>"SR-15985"</f>
        <v>SR-15985</v>
      </c>
      <c r="H11328" s="2" t="s">
        <v>45465</v>
      </c>
      <c r="I11328" s="2" t="s">
        <v>45466</v>
      </c>
      <c r="K11328" s="2" t="s">
        <v>12211</v>
      </c>
      <c r="L11328" s="2" t="s">
        <v>29</v>
      </c>
      <c r="M11328" s="2">
        <v>48883.0</v>
      </c>
      <c r="N11328" s="2" t="s">
        <v>21</v>
      </c>
    </row>
    <row r="11329" ht="15.75" customHeight="1">
      <c r="A11329" s="2">
        <v>2019.0</v>
      </c>
      <c r="B11329" s="2" t="s">
        <v>45463</v>
      </c>
      <c r="C11329" s="2" t="s">
        <v>45467</v>
      </c>
      <c r="D11329" s="2" t="str">
        <f>"9898240149"</f>
        <v>9898240149</v>
      </c>
      <c r="E11329" s="2" t="s">
        <v>4300</v>
      </c>
      <c r="F11329" s="2" t="s">
        <v>18140</v>
      </c>
      <c r="G11329" s="2" t="str">
        <f>"SR-15988"</f>
        <v>SR-15988</v>
      </c>
      <c r="H11329" s="2" t="s">
        <v>45468</v>
      </c>
      <c r="I11329" s="2" t="s">
        <v>45469</v>
      </c>
      <c r="K11329" s="2" t="s">
        <v>12211</v>
      </c>
      <c r="L11329" s="2" t="s">
        <v>29</v>
      </c>
      <c r="M11329" s="2">
        <v>48883.0</v>
      </c>
      <c r="N11329" s="2" t="s">
        <v>21</v>
      </c>
    </row>
    <row r="11330" ht="15.75" customHeight="1">
      <c r="A11330" s="2">
        <v>2019.0</v>
      </c>
      <c r="B11330" s="2" t="s">
        <v>45470</v>
      </c>
      <c r="C11330" s="2" t="s">
        <v>45470</v>
      </c>
      <c r="D11330" s="2" t="str">
        <f>"7194824828"</f>
        <v>7194824828</v>
      </c>
      <c r="E11330" s="2" t="s">
        <v>1440</v>
      </c>
      <c r="F11330" s="2" t="s">
        <v>45471</v>
      </c>
      <c r="G11330" s="2" t="str">
        <f>"SR-15986"</f>
        <v>SR-15986</v>
      </c>
      <c r="H11330" s="2" t="s">
        <v>45472</v>
      </c>
      <c r="I11330" s="2" t="s">
        <v>45473</v>
      </c>
      <c r="K11330" s="2" t="s">
        <v>809</v>
      </c>
      <c r="L11330" s="2" t="s">
        <v>157</v>
      </c>
      <c r="M11330" s="2">
        <v>80908.0</v>
      </c>
      <c r="N11330" s="2" t="s">
        <v>21</v>
      </c>
    </row>
    <row r="11331" ht="15.75" customHeight="1">
      <c r="A11331" s="2">
        <v>2019.0</v>
      </c>
      <c r="B11331" s="2" t="s">
        <v>45474</v>
      </c>
      <c r="C11331" s="2" t="s">
        <v>45474</v>
      </c>
      <c r="D11331" s="2" t="str">
        <f>"7194420609"</f>
        <v>7194420609</v>
      </c>
      <c r="E11331" s="2" t="s">
        <v>3196</v>
      </c>
      <c r="F11331" s="2" t="s">
        <v>45471</v>
      </c>
      <c r="G11331" s="2" t="str">
        <f>"SR-15987"</f>
        <v>SR-15987</v>
      </c>
      <c r="H11331" s="2" t="s">
        <v>45475</v>
      </c>
      <c r="I11331" s="2" t="s">
        <v>45473</v>
      </c>
      <c r="K11331" s="2" t="s">
        <v>809</v>
      </c>
      <c r="L11331" s="2" t="s">
        <v>157</v>
      </c>
      <c r="M11331" s="2">
        <v>80908.0</v>
      </c>
      <c r="N11331" s="2" t="s">
        <v>21</v>
      </c>
    </row>
    <row r="11332" ht="15.75" customHeight="1">
      <c r="A11332" s="2">
        <v>2019.0</v>
      </c>
      <c r="B11332" s="2" t="s">
        <v>45476</v>
      </c>
      <c r="D11332" s="2" t="str">
        <f>""</f>
        <v/>
      </c>
      <c r="E11332" s="2" t="s">
        <v>15048</v>
      </c>
      <c r="F11332" s="2" t="s">
        <v>45471</v>
      </c>
      <c r="G11332" s="2" t="str">
        <f>"SR-15995"</f>
        <v>SR-15995</v>
      </c>
      <c r="H11332" s="2" t="s">
        <v>45477</v>
      </c>
      <c r="N11332" s="2" t="s">
        <v>21</v>
      </c>
    </row>
    <row r="11333" ht="15.75" customHeight="1">
      <c r="A11333" s="2">
        <v>2019.0</v>
      </c>
      <c r="B11333" s="2" t="s">
        <v>45478</v>
      </c>
      <c r="C11333" s="2" t="s">
        <v>45478</v>
      </c>
      <c r="D11333" s="2" t="str">
        <f>"3216631415"</f>
        <v>3216631415</v>
      </c>
      <c r="E11333" s="2" t="s">
        <v>2243</v>
      </c>
      <c r="F11333" s="2" t="s">
        <v>4721</v>
      </c>
      <c r="G11333" s="2" t="str">
        <f>"SR-15999"</f>
        <v>SR-15999</v>
      </c>
      <c r="H11333" s="2" t="s">
        <v>45479</v>
      </c>
      <c r="I11333" s="2" t="s">
        <v>45480</v>
      </c>
      <c r="K11333" s="2" t="s">
        <v>4724</v>
      </c>
      <c r="L11333" s="2" t="s">
        <v>208</v>
      </c>
      <c r="M11333" s="2">
        <v>32825.0</v>
      </c>
      <c r="N11333" s="2" t="s">
        <v>21</v>
      </c>
    </row>
    <row r="11334" ht="15.75" customHeight="1">
      <c r="A11334" s="2">
        <v>2019.0</v>
      </c>
      <c r="B11334" s="2" t="s">
        <v>45481</v>
      </c>
      <c r="D11334" s="2" t="str">
        <f>""</f>
        <v/>
      </c>
      <c r="E11334" s="2" t="s">
        <v>137</v>
      </c>
      <c r="F11334" s="2" t="s">
        <v>14328</v>
      </c>
      <c r="G11334" s="2" t="str">
        <f>"SR-16000"</f>
        <v>SR-16000</v>
      </c>
      <c r="H11334" s="2" t="s">
        <v>45482</v>
      </c>
      <c r="N11334" s="2" t="s">
        <v>21</v>
      </c>
    </row>
    <row r="11335" ht="15.75" customHeight="1">
      <c r="A11335" s="2">
        <v>2019.0</v>
      </c>
      <c r="B11335" s="2" t="s">
        <v>45483</v>
      </c>
      <c r="C11335" s="2" t="s">
        <v>45484</v>
      </c>
      <c r="D11335" s="2" t="str">
        <f>"3034620493"</f>
        <v>3034620493</v>
      </c>
      <c r="E11335" s="2" t="s">
        <v>5858</v>
      </c>
      <c r="F11335" s="2" t="s">
        <v>3100</v>
      </c>
      <c r="G11335" s="2" t="str">
        <f>"SR-16001"</f>
        <v>SR-16001</v>
      </c>
      <c r="H11335" s="2" t="s">
        <v>45485</v>
      </c>
      <c r="I11335" s="2" t="s">
        <v>45486</v>
      </c>
      <c r="K11335" s="2" t="s">
        <v>2527</v>
      </c>
      <c r="L11335" s="2" t="s">
        <v>157</v>
      </c>
      <c r="M11335" s="2">
        <v>80220.0</v>
      </c>
      <c r="N11335" s="2" t="s">
        <v>21</v>
      </c>
    </row>
    <row r="11336" ht="15.75" customHeight="1">
      <c r="A11336" s="2">
        <v>2019.0</v>
      </c>
      <c r="B11336" s="2" t="s">
        <v>45487</v>
      </c>
      <c r="C11336" s="2" t="s">
        <v>45488</v>
      </c>
      <c r="D11336" s="2" t="str">
        <f>"620-617-8713"</f>
        <v>620-617-8713</v>
      </c>
      <c r="E11336" s="2" t="s">
        <v>23409</v>
      </c>
      <c r="F11336" s="2" t="s">
        <v>457</v>
      </c>
      <c r="G11336" s="2" t="str">
        <f>"SR-16002"</f>
        <v>SR-16002</v>
      </c>
      <c r="H11336" s="2" t="s">
        <v>45489</v>
      </c>
      <c r="I11336" s="2" t="s">
        <v>45490</v>
      </c>
      <c r="K11336" s="2" t="s">
        <v>13753</v>
      </c>
      <c r="L11336" s="2" t="s">
        <v>272</v>
      </c>
      <c r="M11336" s="2">
        <v>67530.0</v>
      </c>
      <c r="N11336" s="2" t="s">
        <v>21</v>
      </c>
    </row>
    <row r="11337" ht="15.75" customHeight="1">
      <c r="A11337" s="2">
        <v>2019.0</v>
      </c>
      <c r="B11337" s="2" t="s">
        <v>45491</v>
      </c>
      <c r="C11337" s="2" t="s">
        <v>45492</v>
      </c>
      <c r="D11337" s="2" t="str">
        <f>"5133752358"</f>
        <v>5133752358</v>
      </c>
      <c r="E11337" s="2" t="s">
        <v>651</v>
      </c>
      <c r="F11337" s="2" t="s">
        <v>45493</v>
      </c>
      <c r="G11337" s="2" t="str">
        <f>"SR-15948"</f>
        <v>SR-15948</v>
      </c>
      <c r="H11337" s="2" t="s">
        <v>45494</v>
      </c>
      <c r="I11337" s="2" t="s">
        <v>45495</v>
      </c>
      <c r="K11337" s="2" t="s">
        <v>3103</v>
      </c>
      <c r="L11337" s="2" t="s">
        <v>272</v>
      </c>
      <c r="M11337" s="2">
        <v>66210.0</v>
      </c>
      <c r="N11337" s="2" t="s">
        <v>21</v>
      </c>
    </row>
    <row r="11338" ht="15.75" customHeight="1">
      <c r="A11338" s="2">
        <v>2019.0</v>
      </c>
      <c r="B11338" s="2" t="s">
        <v>41204</v>
      </c>
      <c r="C11338" s="2" t="s">
        <v>45496</v>
      </c>
      <c r="D11338" s="2" t="str">
        <f>"8135050575"</f>
        <v>8135050575</v>
      </c>
      <c r="E11338" s="2" t="s">
        <v>261</v>
      </c>
      <c r="F11338" s="2" t="s">
        <v>41206</v>
      </c>
      <c r="G11338" s="2" t="str">
        <f>"SR-15842"</f>
        <v>SR-15842</v>
      </c>
      <c r="H11338" s="2" t="s">
        <v>45497</v>
      </c>
      <c r="I11338" s="2" t="s">
        <v>41208</v>
      </c>
      <c r="K11338" s="2" t="s">
        <v>3431</v>
      </c>
      <c r="L11338" s="2" t="s">
        <v>208</v>
      </c>
      <c r="M11338" s="2">
        <v>33626.0</v>
      </c>
      <c r="N11338" s="2" t="s">
        <v>21</v>
      </c>
    </row>
    <row r="11339" ht="15.75" customHeight="1">
      <c r="A11339" s="2">
        <v>2019.0</v>
      </c>
      <c r="B11339" s="2" t="s">
        <v>45498</v>
      </c>
      <c r="D11339" s="2" t="str">
        <f>""</f>
        <v/>
      </c>
      <c r="E11339" s="2" t="s">
        <v>225</v>
      </c>
      <c r="F11339" s="2" t="s">
        <v>17296</v>
      </c>
      <c r="G11339" s="2" t="str">
        <f>"SR-16003"</f>
        <v>SR-16003</v>
      </c>
      <c r="H11339" s="2" t="s">
        <v>45499</v>
      </c>
      <c r="N11339" s="2" t="s">
        <v>21</v>
      </c>
    </row>
    <row r="11340" ht="15.75" customHeight="1">
      <c r="A11340" s="2">
        <v>2019.0</v>
      </c>
      <c r="B11340" s="2" t="s">
        <v>45500</v>
      </c>
      <c r="C11340" s="2" t="s">
        <v>45501</v>
      </c>
      <c r="D11340" s="2" t="str">
        <f>"7806604106"</f>
        <v>7806604106</v>
      </c>
      <c r="E11340" s="2" t="s">
        <v>45502</v>
      </c>
      <c r="F11340" s="2" t="s">
        <v>13833</v>
      </c>
      <c r="G11340" s="2" t="str">
        <f>"SR-16007"</f>
        <v>SR-16007</v>
      </c>
      <c r="H11340" s="2" t="s">
        <v>45503</v>
      </c>
      <c r="I11340" s="2" t="s">
        <v>45504</v>
      </c>
      <c r="K11340" s="2" t="s">
        <v>13836</v>
      </c>
      <c r="L11340" s="2" t="s">
        <v>2397</v>
      </c>
      <c r="M11340" s="2" t="s">
        <v>13837</v>
      </c>
      <c r="N11340" s="2" t="s">
        <v>1602</v>
      </c>
    </row>
    <row r="11341" ht="15.75" customHeight="1">
      <c r="A11341" s="2">
        <v>2019.0</v>
      </c>
      <c r="B11341" s="2" t="s">
        <v>36421</v>
      </c>
      <c r="C11341" s="2" t="s">
        <v>45505</v>
      </c>
      <c r="D11341" s="2" t="str">
        <f>"218-244-1395"</f>
        <v>218-244-1395</v>
      </c>
      <c r="E11341" s="2" t="s">
        <v>1208</v>
      </c>
      <c r="F11341" s="2" t="s">
        <v>36423</v>
      </c>
      <c r="G11341" s="2" t="str">
        <f>"SR-16008"</f>
        <v>SR-16008</v>
      </c>
      <c r="H11341" s="2" t="s">
        <v>45506</v>
      </c>
      <c r="I11341" s="2">
        <v>21333.0</v>
      </c>
      <c r="K11341" s="2" t="s">
        <v>40</v>
      </c>
      <c r="L11341" s="2" t="s">
        <v>62</v>
      </c>
      <c r="M11341" s="2">
        <v>55744.0</v>
      </c>
      <c r="N11341" s="2" t="s">
        <v>21</v>
      </c>
    </row>
    <row r="11342" ht="15.75" customHeight="1">
      <c r="A11342" s="2">
        <v>2019.0</v>
      </c>
      <c r="B11342" s="2" t="s">
        <v>45500</v>
      </c>
      <c r="C11342" s="2" t="s">
        <v>45507</v>
      </c>
      <c r="D11342" s="2" t="str">
        <f>"5873353227"</f>
        <v>5873353227</v>
      </c>
      <c r="E11342" s="2" t="s">
        <v>7292</v>
      </c>
      <c r="F11342" s="2" t="s">
        <v>28901</v>
      </c>
      <c r="G11342" s="2" t="str">
        <f>"SR-16009"</f>
        <v>SR-16009</v>
      </c>
      <c r="H11342" s="2" t="s">
        <v>45508</v>
      </c>
      <c r="I11342" s="2" t="s">
        <v>45509</v>
      </c>
      <c r="K11342" s="2" t="s">
        <v>13836</v>
      </c>
      <c r="M11342" s="2" t="s">
        <v>45510</v>
      </c>
      <c r="N11342" s="2" t="s">
        <v>1602</v>
      </c>
    </row>
    <row r="11343" ht="15.75" customHeight="1">
      <c r="A11343" s="2">
        <v>2019.0</v>
      </c>
      <c r="B11343" s="2" t="s">
        <v>37736</v>
      </c>
      <c r="C11343" s="2" t="s">
        <v>37740</v>
      </c>
      <c r="D11343" s="2" t="str">
        <f>"205-913-5777"</f>
        <v>205-913-5777</v>
      </c>
      <c r="E11343" s="2" t="s">
        <v>1094</v>
      </c>
      <c r="F11343" s="2" t="s">
        <v>17571</v>
      </c>
      <c r="G11343" s="2" t="str">
        <f>"SR-12870"</f>
        <v>SR-12870</v>
      </c>
      <c r="H11343" s="2" t="s">
        <v>37741</v>
      </c>
      <c r="I11343" s="2" t="s">
        <v>37738</v>
      </c>
      <c r="K11343" s="2" t="s">
        <v>37739</v>
      </c>
      <c r="L11343" s="2" t="s">
        <v>200</v>
      </c>
      <c r="M11343" s="2">
        <v>30110.0</v>
      </c>
      <c r="N11343" s="2" t="s">
        <v>21</v>
      </c>
    </row>
    <row r="11344" ht="15.75" customHeight="1">
      <c r="A11344" s="2">
        <v>2019.0</v>
      </c>
      <c r="B11344" s="2" t="s">
        <v>31203</v>
      </c>
      <c r="C11344" s="2" t="s">
        <v>45511</v>
      </c>
      <c r="D11344" s="2" t="str">
        <f>"3036929710"</f>
        <v>3036929710</v>
      </c>
      <c r="E11344" s="2" t="s">
        <v>1076</v>
      </c>
      <c r="F11344" s="2" t="s">
        <v>31205</v>
      </c>
      <c r="G11344" s="2" t="str">
        <f>"SR-16014"</f>
        <v>SR-16014</v>
      </c>
      <c r="H11344" s="2" t="s">
        <v>45512</v>
      </c>
      <c r="I11344" s="2" t="s">
        <v>31207</v>
      </c>
      <c r="K11344" s="2" t="s">
        <v>2527</v>
      </c>
      <c r="L11344" s="2" t="s">
        <v>157</v>
      </c>
      <c r="M11344" s="2">
        <v>80237.0</v>
      </c>
      <c r="N11344" s="2" t="s">
        <v>21</v>
      </c>
    </row>
    <row r="11345" ht="15.75" customHeight="1">
      <c r="A11345" s="2">
        <v>2019.0</v>
      </c>
      <c r="B11345" s="2" t="s">
        <v>45513</v>
      </c>
      <c r="C11345" s="2" t="s">
        <v>45513</v>
      </c>
      <c r="D11345" s="2" t="str">
        <f>"434-258-7592"</f>
        <v>434-258-7592</v>
      </c>
      <c r="E11345" s="2" t="s">
        <v>2162</v>
      </c>
      <c r="F11345" s="2" t="s">
        <v>45514</v>
      </c>
      <c r="G11345" s="2" t="str">
        <f>"SR-16015"</f>
        <v>SR-16015</v>
      </c>
      <c r="H11345" s="2" t="s">
        <v>45515</v>
      </c>
      <c r="I11345" s="2" t="s">
        <v>45516</v>
      </c>
      <c r="K11345" s="2" t="s">
        <v>4126</v>
      </c>
      <c r="L11345" s="2" t="s">
        <v>165</v>
      </c>
      <c r="M11345" s="2">
        <v>24502.0</v>
      </c>
      <c r="N11345" s="2" t="s">
        <v>21</v>
      </c>
    </row>
    <row r="11346" ht="15.75" customHeight="1">
      <c r="A11346" s="2">
        <v>2019.0</v>
      </c>
      <c r="B11346" s="2" t="s">
        <v>45517</v>
      </c>
      <c r="C11346" s="2" t="s">
        <v>45518</v>
      </c>
      <c r="D11346" s="2" t="str">
        <f>"6153377588"</f>
        <v>6153377588</v>
      </c>
      <c r="E11346" s="2" t="s">
        <v>42697</v>
      </c>
      <c r="F11346" s="2" t="s">
        <v>45519</v>
      </c>
      <c r="G11346" s="2" t="str">
        <f>"SR-16017"</f>
        <v>SR-16017</v>
      </c>
      <c r="H11346" s="2" t="s">
        <v>45520</v>
      </c>
      <c r="I11346" s="2" t="s">
        <v>45521</v>
      </c>
      <c r="K11346" s="2" t="s">
        <v>731</v>
      </c>
      <c r="L11346" s="2" t="s">
        <v>279</v>
      </c>
      <c r="M11346" s="2">
        <v>37214.0</v>
      </c>
      <c r="N11346" s="2" t="s">
        <v>21</v>
      </c>
    </row>
    <row r="11347" ht="15.75" customHeight="1">
      <c r="A11347" s="2">
        <v>2019.0</v>
      </c>
      <c r="B11347" s="2" t="s">
        <v>45522</v>
      </c>
      <c r="C11347" s="2" t="s">
        <v>45522</v>
      </c>
      <c r="D11347" s="2" t="str">
        <f>"4074623410"</f>
        <v>4074623410</v>
      </c>
      <c r="E11347" s="2" t="s">
        <v>9975</v>
      </c>
      <c r="F11347" s="2" t="s">
        <v>3656</v>
      </c>
      <c r="G11347" s="2" t="str">
        <f>"SR-13377"</f>
        <v>SR-13377</v>
      </c>
      <c r="H11347" s="2" t="s">
        <v>45523</v>
      </c>
      <c r="I11347" s="2" t="s">
        <v>45524</v>
      </c>
      <c r="K11347" s="2" t="s">
        <v>21062</v>
      </c>
      <c r="L11347" s="2" t="s">
        <v>208</v>
      </c>
      <c r="M11347" s="2">
        <v>34787.0</v>
      </c>
      <c r="N11347" s="2" t="s">
        <v>21</v>
      </c>
    </row>
    <row r="11348" ht="15.75" customHeight="1">
      <c r="A11348" s="2">
        <v>2019.0</v>
      </c>
      <c r="B11348" s="2" t="s">
        <v>45525</v>
      </c>
      <c r="C11348" s="2" t="s">
        <v>45526</v>
      </c>
      <c r="D11348" s="2" t="str">
        <f>"442920521091"</f>
        <v>442920521091</v>
      </c>
      <c r="E11348" s="2" t="s">
        <v>1197</v>
      </c>
      <c r="F11348" s="2" t="s">
        <v>32990</v>
      </c>
      <c r="G11348" s="2" t="str">
        <f>"SR-16005"</f>
        <v>SR-16005</v>
      </c>
      <c r="H11348" s="2" t="s">
        <v>45527</v>
      </c>
      <c r="I11348" s="2" t="s">
        <v>45528</v>
      </c>
      <c r="K11348" s="2" t="s">
        <v>45529</v>
      </c>
      <c r="L11348" s="2" t="s">
        <v>45529</v>
      </c>
      <c r="M11348" s="2" t="s">
        <v>45530</v>
      </c>
      <c r="N11348" s="2" t="s">
        <v>22523</v>
      </c>
    </row>
    <row r="11349" ht="15.75" customHeight="1">
      <c r="A11349" s="2">
        <v>2019.0</v>
      </c>
      <c r="B11349" s="2" t="s">
        <v>45531</v>
      </c>
      <c r="C11349" s="2" t="s">
        <v>45531</v>
      </c>
      <c r="D11349" s="2" t="str">
        <f>"507-340-3673"</f>
        <v>507-340-3673</v>
      </c>
      <c r="E11349" s="2" t="s">
        <v>580</v>
      </c>
      <c r="F11349" s="2" t="s">
        <v>11233</v>
      </c>
      <c r="G11349" s="2" t="str">
        <f>"SR-15974"</f>
        <v>SR-15974</v>
      </c>
      <c r="H11349" s="2" t="s">
        <v>45532</v>
      </c>
      <c r="I11349" s="2" t="s">
        <v>11235</v>
      </c>
      <c r="K11349" s="2" t="s">
        <v>11236</v>
      </c>
      <c r="L11349" s="2" t="s">
        <v>62</v>
      </c>
      <c r="M11349" s="2">
        <v>56001.0</v>
      </c>
      <c r="N11349" s="2" t="s">
        <v>21</v>
      </c>
    </row>
    <row r="11350" ht="15.75" customHeight="1">
      <c r="A11350" s="2">
        <v>2019.0</v>
      </c>
      <c r="B11350" s="2" t="s">
        <v>45533</v>
      </c>
      <c r="C11350" s="2" t="s">
        <v>45534</v>
      </c>
      <c r="D11350" s="2" t="str">
        <f>"810.834.7168"</f>
        <v>810.834.7168</v>
      </c>
      <c r="E11350" s="2" t="s">
        <v>3878</v>
      </c>
      <c r="F11350" s="2" t="s">
        <v>45535</v>
      </c>
      <c r="G11350" s="2" t="str">
        <f>"SR-16006"</f>
        <v>SR-16006</v>
      </c>
      <c r="H11350" s="2" t="s">
        <v>45536</v>
      </c>
      <c r="I11350" s="2" t="s">
        <v>45537</v>
      </c>
      <c r="K11350" s="2" t="s">
        <v>45538</v>
      </c>
      <c r="L11350" s="2" t="s">
        <v>29</v>
      </c>
      <c r="M11350" s="2">
        <v>48446.0</v>
      </c>
      <c r="N11350" s="2" t="s">
        <v>21</v>
      </c>
    </row>
    <row r="11351" ht="15.75" customHeight="1">
      <c r="A11351" s="2">
        <v>2019.0</v>
      </c>
      <c r="B11351" s="2" t="s">
        <v>45539</v>
      </c>
      <c r="C11351" s="2" t="s">
        <v>45540</v>
      </c>
      <c r="D11351" s="2" t="str">
        <f>"703-398-3502"</f>
        <v>703-398-3502</v>
      </c>
      <c r="E11351" s="2" t="s">
        <v>1197</v>
      </c>
      <c r="F11351" s="2" t="s">
        <v>45541</v>
      </c>
      <c r="G11351" s="2" t="str">
        <f>"SR-15921"</f>
        <v>SR-15921</v>
      </c>
      <c r="H11351" s="2" t="s">
        <v>45542</v>
      </c>
      <c r="I11351" s="2" t="s">
        <v>45543</v>
      </c>
      <c r="K11351" s="2" t="s">
        <v>10664</v>
      </c>
      <c r="L11351" s="2" t="s">
        <v>165</v>
      </c>
      <c r="M11351" s="2">
        <v>22191.0</v>
      </c>
      <c r="N11351" s="2" t="s">
        <v>21</v>
      </c>
    </row>
    <row r="11352" ht="15.75" customHeight="1">
      <c r="A11352" s="2">
        <v>2019.0</v>
      </c>
      <c r="B11352" s="2" t="s">
        <v>45544</v>
      </c>
      <c r="C11352" s="2" t="s">
        <v>45545</v>
      </c>
      <c r="D11352" s="2" t="str">
        <f>"9139547091"</f>
        <v>9139547091</v>
      </c>
      <c r="E11352" s="2" t="s">
        <v>33694</v>
      </c>
      <c r="F11352" s="2" t="s">
        <v>45546</v>
      </c>
      <c r="G11352" s="2" t="str">
        <f>"SR-16021"</f>
        <v>SR-16021</v>
      </c>
      <c r="H11352" s="2" t="s">
        <v>45547</v>
      </c>
      <c r="I11352" s="2" t="s">
        <v>45548</v>
      </c>
      <c r="K11352" s="2" t="s">
        <v>3103</v>
      </c>
      <c r="L11352" s="2" t="s">
        <v>272</v>
      </c>
      <c r="M11352" s="2">
        <v>66212.0</v>
      </c>
      <c r="N11352" s="2" t="s">
        <v>21</v>
      </c>
    </row>
    <row r="11353" ht="15.75" customHeight="1">
      <c r="A11353" s="2">
        <v>2019.0</v>
      </c>
      <c r="B11353" s="2" t="s">
        <v>45549</v>
      </c>
      <c r="C11353" s="2" t="s">
        <v>45549</v>
      </c>
      <c r="D11353" s="2" t="str">
        <f>"3189252500"</f>
        <v>3189252500</v>
      </c>
      <c r="E11353" s="2" t="s">
        <v>301</v>
      </c>
      <c r="F11353" s="2" t="s">
        <v>45550</v>
      </c>
      <c r="G11353" s="2" t="str">
        <f>"SR-16024"</f>
        <v>SR-16024</v>
      </c>
      <c r="H11353" s="2" t="s">
        <v>45551</v>
      </c>
      <c r="I11353" s="2" t="s">
        <v>45552</v>
      </c>
      <c r="K11353" s="2" t="s">
        <v>45553</v>
      </c>
      <c r="L11353" s="2" t="s">
        <v>715</v>
      </c>
      <c r="M11353" s="2">
        <v>71078.0</v>
      </c>
      <c r="N11353" s="2" t="s">
        <v>21</v>
      </c>
    </row>
    <row r="11354" ht="15.75" customHeight="1">
      <c r="A11354" s="2">
        <v>2019.0</v>
      </c>
      <c r="B11354" s="2" t="s">
        <v>36286</v>
      </c>
      <c r="D11354" s="2" t="str">
        <f>""</f>
        <v/>
      </c>
      <c r="E11354" s="2" t="s">
        <v>1548</v>
      </c>
      <c r="F11354" s="2" t="s">
        <v>36287</v>
      </c>
      <c r="G11354" s="2" t="str">
        <f>"SR-11465"</f>
        <v>SR-11465</v>
      </c>
      <c r="H11354" s="2" t="s">
        <v>36288</v>
      </c>
      <c r="N11354" s="2" t="s">
        <v>21</v>
      </c>
    </row>
    <row r="11355" ht="15.75" customHeight="1">
      <c r="A11355" s="2">
        <v>2019.0</v>
      </c>
      <c r="B11355" s="2" t="s">
        <v>45554</v>
      </c>
      <c r="C11355" s="2" t="s">
        <v>45555</v>
      </c>
      <c r="D11355" s="2" t="str">
        <f>"3039017778"</f>
        <v>3039017778</v>
      </c>
      <c r="E11355" s="2" t="s">
        <v>45556</v>
      </c>
      <c r="F11355" s="2" t="s">
        <v>1529</v>
      </c>
      <c r="G11355" s="2" t="str">
        <f>"SR-16026"</f>
        <v>SR-16026</v>
      </c>
      <c r="H11355" s="2" t="s">
        <v>45557</v>
      </c>
      <c r="I11355" s="2" t="s">
        <v>45558</v>
      </c>
      <c r="K11355" s="2" t="s">
        <v>1398</v>
      </c>
      <c r="L11355" s="2" t="s">
        <v>157</v>
      </c>
      <c r="M11355" s="2">
        <v>80104.0</v>
      </c>
      <c r="N11355" s="2" t="s">
        <v>21</v>
      </c>
    </row>
    <row r="11356" ht="15.75" customHeight="1">
      <c r="A11356" s="2">
        <v>2019.0</v>
      </c>
      <c r="B11356" s="2" t="s">
        <v>45559</v>
      </c>
      <c r="C11356" s="2" t="s">
        <v>45560</v>
      </c>
      <c r="D11356" s="2" t="str">
        <f>"2255057978"</f>
        <v>2255057978</v>
      </c>
      <c r="E11356" s="2" t="s">
        <v>2753</v>
      </c>
      <c r="F11356" s="2" t="s">
        <v>8390</v>
      </c>
      <c r="G11356" s="2" t="str">
        <f>"SR-16025"</f>
        <v>SR-16025</v>
      </c>
      <c r="H11356" s="2" t="s">
        <v>45561</v>
      </c>
      <c r="I11356" s="2" t="s">
        <v>45562</v>
      </c>
      <c r="K11356" s="2" t="s">
        <v>4350</v>
      </c>
      <c r="L11356" s="2" t="s">
        <v>172</v>
      </c>
      <c r="M11356" s="2">
        <v>77377.0</v>
      </c>
      <c r="N11356" s="2" t="s">
        <v>21</v>
      </c>
    </row>
    <row r="11357" ht="15.75" customHeight="1">
      <c r="A11357" s="2">
        <v>2019.0</v>
      </c>
      <c r="B11357" s="2" t="s">
        <v>26916</v>
      </c>
      <c r="C11357" s="2" t="s">
        <v>45563</v>
      </c>
      <c r="D11357" s="2" t="str">
        <f>"7012135537"</f>
        <v>7012135537</v>
      </c>
      <c r="E11357" s="2" t="s">
        <v>100</v>
      </c>
      <c r="F11357" s="2" t="s">
        <v>26918</v>
      </c>
      <c r="G11357" s="2" t="str">
        <f>"SR-16027"</f>
        <v>SR-16027</v>
      </c>
      <c r="H11357" s="2" t="s">
        <v>45564</v>
      </c>
      <c r="I11357" s="2" t="s">
        <v>45565</v>
      </c>
      <c r="K11357" s="2" t="s">
        <v>45566</v>
      </c>
      <c r="L11357" s="2" t="s">
        <v>208</v>
      </c>
      <c r="M11357" s="2">
        <v>32444.0</v>
      </c>
      <c r="N11357" s="2" t="s">
        <v>21</v>
      </c>
    </row>
    <row r="11358" ht="15.75" customHeight="1">
      <c r="A11358" s="2">
        <v>2019.0</v>
      </c>
      <c r="B11358" s="2" t="s">
        <v>20808</v>
      </c>
      <c r="C11358" s="2" t="s">
        <v>33737</v>
      </c>
      <c r="D11358" s="2" t="str">
        <f>"+61411159322"</f>
        <v>+61411159322</v>
      </c>
      <c r="E11358" s="2" t="s">
        <v>33738</v>
      </c>
      <c r="F11358" s="2" t="s">
        <v>20810</v>
      </c>
      <c r="G11358" s="2" t="str">
        <f>"SR-10889"</f>
        <v>SR-10889</v>
      </c>
      <c r="H11358" s="2" t="s">
        <v>33739</v>
      </c>
      <c r="I11358" s="2" t="s">
        <v>20812</v>
      </c>
      <c r="K11358" s="2" t="s">
        <v>20813</v>
      </c>
      <c r="L11358" s="2" t="s">
        <v>33740</v>
      </c>
      <c r="M11358" s="2">
        <v>3130.0</v>
      </c>
      <c r="N11358" s="2" t="s">
        <v>4442</v>
      </c>
    </row>
    <row r="11359" ht="15.75" customHeight="1">
      <c r="A11359" s="2">
        <v>2019.0</v>
      </c>
      <c r="B11359" s="2" t="s">
        <v>20808</v>
      </c>
      <c r="C11359" s="2" t="s">
        <v>45567</v>
      </c>
      <c r="D11359" s="2" t="str">
        <f>"+61-411-159-322"</f>
        <v>+61-411-159-322</v>
      </c>
      <c r="E11359" s="2" t="s">
        <v>4769</v>
      </c>
      <c r="F11359" s="2" t="s">
        <v>20810</v>
      </c>
      <c r="G11359" s="2" t="str">
        <f>"SR-16031"</f>
        <v>SR-16031</v>
      </c>
      <c r="H11359" s="2" t="s">
        <v>45568</v>
      </c>
      <c r="I11359" s="2" t="s">
        <v>20812</v>
      </c>
      <c r="K11359" s="2" t="s">
        <v>20813</v>
      </c>
      <c r="L11359" s="2" t="s">
        <v>33740</v>
      </c>
      <c r="M11359" s="2">
        <v>3130.0</v>
      </c>
      <c r="N11359" s="2" t="s">
        <v>4442</v>
      </c>
    </row>
    <row r="11360" ht="15.75" customHeight="1">
      <c r="A11360" s="2">
        <v>2019.0</v>
      </c>
      <c r="B11360" s="2" t="s">
        <v>45569</v>
      </c>
      <c r="C11360" s="2" t="s">
        <v>45570</v>
      </c>
      <c r="D11360" s="2" t="str">
        <f>"260-710-6629"</f>
        <v>260-710-6629</v>
      </c>
      <c r="E11360" s="2" t="s">
        <v>45571</v>
      </c>
      <c r="F11360" s="2" t="s">
        <v>4497</v>
      </c>
      <c r="G11360" s="2" t="str">
        <f>"SR-16016"</f>
        <v>SR-16016</v>
      </c>
      <c r="H11360" s="2" t="s">
        <v>45572</v>
      </c>
      <c r="I11360" s="2" t="s">
        <v>45573</v>
      </c>
      <c r="K11360" s="2" t="s">
        <v>4379</v>
      </c>
      <c r="L11360" s="2" t="s">
        <v>149</v>
      </c>
      <c r="M11360" s="2">
        <v>46765.0</v>
      </c>
      <c r="N11360" s="2" t="s">
        <v>21</v>
      </c>
    </row>
    <row r="11361" ht="15.75" customHeight="1">
      <c r="A11361" s="2">
        <v>2019.0</v>
      </c>
      <c r="B11361" s="2" t="s">
        <v>18460</v>
      </c>
      <c r="C11361" s="2" t="s">
        <v>45574</v>
      </c>
      <c r="D11361" s="2" t="str">
        <f>"407-281-0932"</f>
        <v>407-281-0932</v>
      </c>
      <c r="E11361" s="2" t="s">
        <v>4148</v>
      </c>
      <c r="F11361" s="2" t="s">
        <v>9267</v>
      </c>
      <c r="G11361" s="2" t="str">
        <f>"SR-16032"</f>
        <v>SR-16032</v>
      </c>
      <c r="H11361" s="2" t="s">
        <v>45575</v>
      </c>
      <c r="I11361" s="2" t="s">
        <v>18463</v>
      </c>
      <c r="K11361" s="2" t="s">
        <v>4724</v>
      </c>
      <c r="L11361" s="2" t="s">
        <v>208</v>
      </c>
      <c r="M11361" s="2">
        <v>32828.0</v>
      </c>
      <c r="N11361" s="2" t="s">
        <v>21</v>
      </c>
    </row>
    <row r="11362" ht="15.75" customHeight="1">
      <c r="A11362" s="2">
        <v>2019.0</v>
      </c>
      <c r="B11362" s="2" t="s">
        <v>45576</v>
      </c>
      <c r="C11362" s="2" t="s">
        <v>45577</v>
      </c>
      <c r="D11362" s="2" t="str">
        <f>"616-881-0003"</f>
        <v>616-881-0003</v>
      </c>
      <c r="E11362" s="2" t="s">
        <v>225</v>
      </c>
      <c r="F11362" s="2" t="s">
        <v>45578</v>
      </c>
      <c r="G11362" s="2" t="str">
        <f>"SR-16035"</f>
        <v>SR-16035</v>
      </c>
      <c r="H11362" s="2" t="s">
        <v>45579</v>
      </c>
      <c r="I11362" s="2" t="s">
        <v>45580</v>
      </c>
      <c r="K11362" s="2" t="s">
        <v>40</v>
      </c>
      <c r="L11362" s="2" t="s">
        <v>29</v>
      </c>
      <c r="M11362" s="2">
        <v>49546.0</v>
      </c>
      <c r="N11362" s="2" t="s">
        <v>21</v>
      </c>
    </row>
    <row r="11363" ht="15.75" customHeight="1">
      <c r="A11363" s="2">
        <v>2019.0</v>
      </c>
      <c r="B11363" s="2" t="s">
        <v>24107</v>
      </c>
      <c r="C11363" s="2" t="s">
        <v>45581</v>
      </c>
      <c r="D11363" s="2" t="str">
        <f>"865-210-6345"</f>
        <v>865-210-6345</v>
      </c>
      <c r="E11363" s="2" t="s">
        <v>282</v>
      </c>
      <c r="F11363" s="2" t="s">
        <v>18007</v>
      </c>
      <c r="G11363" s="2" t="str">
        <f>"SR-16033"</f>
        <v>SR-16033</v>
      </c>
      <c r="H11363" s="2" t="s">
        <v>45582</v>
      </c>
      <c r="I11363" s="2" t="s">
        <v>18009</v>
      </c>
      <c r="K11363" s="2" t="s">
        <v>6168</v>
      </c>
      <c r="L11363" s="2" t="s">
        <v>279</v>
      </c>
      <c r="M11363" s="2">
        <v>37934.0</v>
      </c>
      <c r="N11363" s="2" t="s">
        <v>21</v>
      </c>
    </row>
    <row r="11364" ht="15.75" customHeight="1">
      <c r="A11364" s="2">
        <v>2019.0</v>
      </c>
      <c r="B11364" s="2" t="s">
        <v>45583</v>
      </c>
      <c r="C11364" s="2" t="s">
        <v>45583</v>
      </c>
      <c r="D11364" s="2" t="str">
        <f>"9706310435"</f>
        <v>9706310435</v>
      </c>
      <c r="E11364" s="2" t="s">
        <v>167</v>
      </c>
      <c r="F11364" s="2" t="s">
        <v>45584</v>
      </c>
      <c r="G11364" s="2" t="str">
        <f>"SR-16038"</f>
        <v>SR-16038</v>
      </c>
      <c r="H11364" s="2" t="s">
        <v>45585</v>
      </c>
      <c r="I11364" s="2" t="s">
        <v>45586</v>
      </c>
      <c r="K11364" s="2" t="s">
        <v>656</v>
      </c>
      <c r="L11364" s="2" t="s">
        <v>157</v>
      </c>
      <c r="M11364" s="2">
        <v>80526.0</v>
      </c>
      <c r="N11364" s="2" t="s">
        <v>21</v>
      </c>
    </row>
    <row r="11365" ht="15.75" customHeight="1">
      <c r="A11365" s="2">
        <v>2019.0</v>
      </c>
      <c r="B11365" s="2" t="s">
        <v>45587</v>
      </c>
      <c r="C11365" s="2" t="s">
        <v>45588</v>
      </c>
      <c r="D11365" s="2" t="str">
        <f>"6199943632"</f>
        <v>6199943632</v>
      </c>
      <c r="E11365" s="2" t="s">
        <v>659</v>
      </c>
      <c r="F11365" s="2" t="s">
        <v>45589</v>
      </c>
      <c r="G11365" s="2" t="str">
        <f>"SR-16039"</f>
        <v>SR-16039</v>
      </c>
      <c r="H11365" s="2" t="s">
        <v>45590</v>
      </c>
      <c r="I11365" s="2" t="s">
        <v>45591</v>
      </c>
      <c r="K11365" s="2" t="s">
        <v>9810</v>
      </c>
      <c r="L11365" s="2" t="s">
        <v>222</v>
      </c>
      <c r="M11365" s="2">
        <v>91942.0</v>
      </c>
      <c r="N11365" s="2" t="s">
        <v>21</v>
      </c>
    </row>
    <row r="11366" ht="15.75" customHeight="1">
      <c r="A11366" s="2">
        <v>2019.0</v>
      </c>
      <c r="B11366" s="2" t="s">
        <v>45592</v>
      </c>
      <c r="C11366" s="2" t="s">
        <v>45592</v>
      </c>
      <c r="D11366" s="2" t="str">
        <f>"9703174785"</f>
        <v>9703174785</v>
      </c>
      <c r="E11366" s="2" t="s">
        <v>3555</v>
      </c>
      <c r="F11366" s="2" t="s">
        <v>45593</v>
      </c>
      <c r="G11366" s="2" t="str">
        <f>"SR-15983"</f>
        <v>SR-15983</v>
      </c>
      <c r="H11366" s="2" t="s">
        <v>45594</v>
      </c>
      <c r="I11366" s="2" t="s">
        <v>45595</v>
      </c>
      <c r="K11366" s="2" t="s">
        <v>28561</v>
      </c>
      <c r="L11366" s="2" t="s">
        <v>157</v>
      </c>
      <c r="M11366" s="2">
        <v>81147.0</v>
      </c>
      <c r="N11366" s="2" t="s">
        <v>21</v>
      </c>
    </row>
    <row r="11367" ht="15.75" customHeight="1">
      <c r="A11367" s="2">
        <v>2019.0</v>
      </c>
      <c r="B11367" s="2" t="s">
        <v>39407</v>
      </c>
      <c r="C11367" s="2" t="s">
        <v>39408</v>
      </c>
      <c r="D11367" s="2" t="str">
        <f>"9282451424"</f>
        <v>9282451424</v>
      </c>
      <c r="E11367" s="2" t="s">
        <v>6121</v>
      </c>
      <c r="F11367" s="2" t="s">
        <v>5721</v>
      </c>
      <c r="G11367" s="2" t="str">
        <f>"SR-13447"</f>
        <v>SR-13447</v>
      </c>
      <c r="H11367" s="2" t="s">
        <v>39409</v>
      </c>
      <c r="I11367" s="2" t="s">
        <v>39410</v>
      </c>
      <c r="K11367" s="2" t="s">
        <v>4420</v>
      </c>
      <c r="L11367" s="2" t="s">
        <v>422</v>
      </c>
      <c r="M11367" s="2">
        <v>86503.0</v>
      </c>
      <c r="N11367" s="2" t="s">
        <v>21</v>
      </c>
    </row>
    <row r="11368" ht="15.75" customHeight="1">
      <c r="A11368" s="2">
        <v>2019.0</v>
      </c>
      <c r="B11368" s="2" t="s">
        <v>45596</v>
      </c>
      <c r="C11368" s="2" t="s">
        <v>45596</v>
      </c>
      <c r="D11368" s="2" t="str">
        <f>"970-903-4743"</f>
        <v>970-903-4743</v>
      </c>
      <c r="E11368" s="2" t="s">
        <v>19261</v>
      </c>
      <c r="F11368" s="2" t="s">
        <v>45597</v>
      </c>
      <c r="G11368" s="2" t="str">
        <f>"SR-15886"</f>
        <v>SR-15886</v>
      </c>
      <c r="H11368" s="2" t="s">
        <v>45598</v>
      </c>
      <c r="I11368" s="2" t="s">
        <v>45599</v>
      </c>
      <c r="K11368" s="2" t="s">
        <v>28561</v>
      </c>
      <c r="L11368" s="2" t="s">
        <v>157</v>
      </c>
      <c r="M11368" s="2">
        <v>81147.0</v>
      </c>
      <c r="N11368" s="2" t="s">
        <v>21</v>
      </c>
    </row>
    <row r="11369" ht="15.75" customHeight="1">
      <c r="A11369" s="2">
        <v>2019.0</v>
      </c>
      <c r="B11369" s="2" t="s">
        <v>45600</v>
      </c>
      <c r="C11369" s="2" t="s">
        <v>45601</v>
      </c>
      <c r="D11369" s="2" t="str">
        <f>"9705070074"</f>
        <v>9705070074</v>
      </c>
      <c r="E11369" s="2" t="s">
        <v>27484</v>
      </c>
      <c r="F11369" s="2" t="s">
        <v>45602</v>
      </c>
      <c r="G11369" s="2" t="str">
        <f>"SR-15887"</f>
        <v>SR-15887</v>
      </c>
      <c r="H11369" s="2" t="s">
        <v>45603</v>
      </c>
      <c r="I11369" s="2" t="s">
        <v>45604</v>
      </c>
      <c r="K11369" s="2" t="s">
        <v>28561</v>
      </c>
      <c r="L11369" s="2" t="s">
        <v>157</v>
      </c>
      <c r="M11369" s="2">
        <v>81147.0</v>
      </c>
      <c r="N11369" s="2" t="s">
        <v>21</v>
      </c>
    </row>
    <row r="11370" ht="15.75" customHeight="1">
      <c r="A11370" s="2">
        <v>2019.0</v>
      </c>
      <c r="B11370" s="2" t="s">
        <v>4414</v>
      </c>
      <c r="C11370" s="2" t="s">
        <v>28558</v>
      </c>
      <c r="D11370" s="2" t="str">
        <f>"928-245-7679"</f>
        <v>928-245-7679</v>
      </c>
      <c r="E11370" s="2" t="s">
        <v>2089</v>
      </c>
      <c r="F11370" s="2" t="s">
        <v>4417</v>
      </c>
      <c r="G11370" s="2" t="str">
        <f>"SR-7767"</f>
        <v>SR-7767</v>
      </c>
      <c r="H11370" s="2" t="s">
        <v>28559</v>
      </c>
      <c r="I11370" s="2" t="s">
        <v>28560</v>
      </c>
      <c r="K11370" s="2" t="s">
        <v>28561</v>
      </c>
      <c r="L11370" s="2" t="s">
        <v>157</v>
      </c>
      <c r="M11370" s="2">
        <v>81147.0</v>
      </c>
      <c r="N11370" s="2" t="s">
        <v>21</v>
      </c>
    </row>
    <row r="11371" ht="15.75" customHeight="1">
      <c r="A11371" s="2">
        <v>2019.0</v>
      </c>
      <c r="B11371" s="2" t="s">
        <v>4414</v>
      </c>
      <c r="C11371" s="2" t="s">
        <v>4414</v>
      </c>
      <c r="D11371" s="2" t="str">
        <f>"9282457679"</f>
        <v>9282457679</v>
      </c>
      <c r="E11371" s="2" t="s">
        <v>2480</v>
      </c>
      <c r="F11371" s="2" t="s">
        <v>4417</v>
      </c>
      <c r="G11371" s="2" t="str">
        <f>"SR-13169"</f>
        <v>SR-13169</v>
      </c>
      <c r="H11371" s="2" t="s">
        <v>39406</v>
      </c>
      <c r="I11371" s="2" t="s">
        <v>28560</v>
      </c>
      <c r="K11371" s="2" t="s">
        <v>28561</v>
      </c>
      <c r="L11371" s="2" t="s">
        <v>157</v>
      </c>
      <c r="M11371" s="2">
        <v>81147.0</v>
      </c>
      <c r="N11371" s="2" t="s">
        <v>21</v>
      </c>
    </row>
    <row r="11372" ht="15.75" customHeight="1">
      <c r="A11372" s="2">
        <v>2019.0</v>
      </c>
      <c r="B11372" s="2" t="s">
        <v>21467</v>
      </c>
      <c r="C11372" s="2" t="s">
        <v>45605</v>
      </c>
      <c r="D11372" s="2" t="str">
        <f>"719-694-8699"</f>
        <v>719-694-8699</v>
      </c>
      <c r="E11372" s="2" t="s">
        <v>3196</v>
      </c>
      <c r="F11372" s="2" t="s">
        <v>21469</v>
      </c>
      <c r="G11372" s="2" t="str">
        <f>"SR-16037"</f>
        <v>SR-16037</v>
      </c>
      <c r="H11372" s="2" t="s">
        <v>45606</v>
      </c>
      <c r="I11372" s="2" t="s">
        <v>21471</v>
      </c>
      <c r="K11372" s="2" t="s">
        <v>809</v>
      </c>
      <c r="L11372" s="2" t="s">
        <v>157</v>
      </c>
      <c r="M11372" s="2">
        <v>80920.0</v>
      </c>
      <c r="N11372" s="2" t="s">
        <v>21</v>
      </c>
    </row>
    <row r="11373" ht="15.75" customHeight="1">
      <c r="A11373" s="2">
        <v>2019.0</v>
      </c>
      <c r="B11373" s="2" t="s">
        <v>45607</v>
      </c>
      <c r="C11373" s="2" t="s">
        <v>45608</v>
      </c>
      <c r="D11373" s="2" t="str">
        <f>"8179969215"</f>
        <v>8179969215</v>
      </c>
      <c r="E11373" s="2" t="s">
        <v>678</v>
      </c>
      <c r="F11373" s="2" t="s">
        <v>486</v>
      </c>
      <c r="G11373" s="2" t="str">
        <f>"SR-14904"</f>
        <v>SR-14904</v>
      </c>
      <c r="H11373" s="2" t="s">
        <v>45609</v>
      </c>
      <c r="I11373" s="2" t="s">
        <v>45610</v>
      </c>
      <c r="K11373" s="2" t="s">
        <v>6017</v>
      </c>
      <c r="L11373" s="2" t="s">
        <v>172</v>
      </c>
      <c r="M11373" s="2">
        <v>76008.0</v>
      </c>
      <c r="N11373" s="2" t="s">
        <v>21</v>
      </c>
    </row>
    <row r="11374" ht="15.75" customHeight="1">
      <c r="A11374" s="2">
        <v>2019.0</v>
      </c>
      <c r="B11374" s="2" t="s">
        <v>45607</v>
      </c>
      <c r="C11374" s="2" t="s">
        <v>45607</v>
      </c>
      <c r="D11374" s="2" t="str">
        <f>"8176883226"</f>
        <v>8176883226</v>
      </c>
      <c r="E11374" s="2" t="s">
        <v>453</v>
      </c>
      <c r="F11374" s="2" t="s">
        <v>486</v>
      </c>
      <c r="G11374" s="2" t="str">
        <f>"SR-16040"</f>
        <v>SR-16040</v>
      </c>
      <c r="H11374" s="2" t="s">
        <v>22553</v>
      </c>
      <c r="I11374" s="2" t="s">
        <v>45610</v>
      </c>
      <c r="K11374" s="2" t="s">
        <v>6017</v>
      </c>
      <c r="L11374" s="2" t="s">
        <v>172</v>
      </c>
      <c r="M11374" s="2">
        <v>76008.0</v>
      </c>
      <c r="N11374" s="2" t="s">
        <v>21</v>
      </c>
    </row>
    <row r="11375" ht="15.75" customHeight="1">
      <c r="A11375" s="2">
        <v>2019.0</v>
      </c>
      <c r="B11375" s="2" t="s">
        <v>45607</v>
      </c>
      <c r="C11375" s="2" t="s">
        <v>45611</v>
      </c>
      <c r="D11375" s="2" t="str">
        <f>"8179250081"</f>
        <v>8179250081</v>
      </c>
      <c r="E11375" s="2" t="s">
        <v>1946</v>
      </c>
      <c r="F11375" s="2" t="s">
        <v>486</v>
      </c>
      <c r="G11375" s="2" t="str">
        <f>"SR-16041"</f>
        <v>SR-16041</v>
      </c>
      <c r="H11375" s="2" t="s">
        <v>45612</v>
      </c>
      <c r="I11375" s="2">
        <v>1601.0</v>
      </c>
      <c r="J11375" s="2" t="s">
        <v>45613</v>
      </c>
      <c r="K11375" s="2" t="s">
        <v>6017</v>
      </c>
      <c r="L11375" s="2" t="s">
        <v>172</v>
      </c>
      <c r="M11375" s="2">
        <v>76008.0</v>
      </c>
      <c r="N11375" s="2" t="s">
        <v>21</v>
      </c>
    </row>
    <row r="11376" ht="15.75" customHeight="1">
      <c r="A11376" s="2">
        <v>2019.0</v>
      </c>
      <c r="B11376" s="2" t="s">
        <v>45614</v>
      </c>
      <c r="C11376" s="2" t="s">
        <v>45615</v>
      </c>
      <c r="D11376" s="2" t="str">
        <f>"260-349-2629"</f>
        <v>260-349-2629</v>
      </c>
      <c r="E11376" s="2" t="s">
        <v>7145</v>
      </c>
      <c r="F11376" s="2" t="s">
        <v>45616</v>
      </c>
      <c r="G11376" s="2" t="str">
        <f>"SR-16043"</f>
        <v>SR-16043</v>
      </c>
      <c r="H11376" s="2" t="s">
        <v>45617</v>
      </c>
      <c r="I11376" s="2" t="s">
        <v>45618</v>
      </c>
      <c r="K11376" s="2" t="s">
        <v>6994</v>
      </c>
      <c r="L11376" s="2" t="s">
        <v>149</v>
      </c>
      <c r="M11376" s="2">
        <v>46710.0</v>
      </c>
      <c r="N11376" s="2" t="s">
        <v>21</v>
      </c>
    </row>
    <row r="11377" ht="15.75" customHeight="1">
      <c r="A11377" s="2">
        <v>2019.0</v>
      </c>
      <c r="B11377" s="2" t="s">
        <v>38665</v>
      </c>
      <c r="C11377" s="2" t="s">
        <v>38666</v>
      </c>
      <c r="D11377" s="2" t="str">
        <f>"3036679341"</f>
        <v>3036679341</v>
      </c>
      <c r="E11377" s="2" t="s">
        <v>12166</v>
      </c>
      <c r="F11377" s="2" t="s">
        <v>19814</v>
      </c>
      <c r="G11377" s="2" t="str">
        <f>"SR-13206"</f>
        <v>SR-13206</v>
      </c>
      <c r="H11377" s="2" t="s">
        <v>38667</v>
      </c>
      <c r="I11377" s="2" t="s">
        <v>38668</v>
      </c>
      <c r="K11377" s="2" t="s">
        <v>1502</v>
      </c>
      <c r="L11377" s="2" t="s">
        <v>157</v>
      </c>
      <c r="M11377" s="2">
        <v>80005.0</v>
      </c>
      <c r="N11377" s="2" t="s">
        <v>21</v>
      </c>
    </row>
    <row r="11378" ht="15.75" customHeight="1">
      <c r="A11378" s="2">
        <v>2019.0</v>
      </c>
      <c r="B11378" s="2" t="s">
        <v>45619</v>
      </c>
      <c r="C11378" s="2" t="s">
        <v>45620</v>
      </c>
      <c r="D11378" s="2" t="str">
        <f>"426-667-0106"</f>
        <v>426-667-0106</v>
      </c>
      <c r="E11378" s="2" t="s">
        <v>11370</v>
      </c>
      <c r="F11378" s="2" t="s">
        <v>6351</v>
      </c>
      <c r="G11378" s="2" t="str">
        <f>"SR-16044"</f>
        <v>SR-16044</v>
      </c>
      <c r="H11378" s="2" t="s">
        <v>45621</v>
      </c>
      <c r="I11378" s="2" t="s">
        <v>45622</v>
      </c>
      <c r="K11378" s="2" t="s">
        <v>5671</v>
      </c>
      <c r="L11378" s="2" t="s">
        <v>279</v>
      </c>
      <c r="M11378" s="2">
        <v>37377.0</v>
      </c>
      <c r="N11378" s="2" t="s">
        <v>21</v>
      </c>
    </row>
    <row r="11379" ht="15.75" customHeight="1">
      <c r="A11379" s="2">
        <v>2019.0</v>
      </c>
      <c r="B11379" s="2" t="s">
        <v>45623</v>
      </c>
      <c r="C11379" s="2" t="s">
        <v>45624</v>
      </c>
      <c r="D11379" s="2" t="str">
        <f>"2183400758"</f>
        <v>2183400758</v>
      </c>
      <c r="E11379" s="2" t="s">
        <v>9707</v>
      </c>
      <c r="F11379" s="2" t="s">
        <v>1615</v>
      </c>
      <c r="G11379" s="2" t="str">
        <f>"SR-16042"</f>
        <v>SR-16042</v>
      </c>
      <c r="H11379" s="2" t="s">
        <v>45625</v>
      </c>
      <c r="I11379" s="2" t="s">
        <v>45626</v>
      </c>
      <c r="K11379" s="2" t="s">
        <v>40</v>
      </c>
      <c r="L11379" s="2" t="s">
        <v>62</v>
      </c>
      <c r="M11379" s="2">
        <v>55744.0</v>
      </c>
      <c r="N11379" s="2" t="s">
        <v>21</v>
      </c>
    </row>
    <row r="11380" ht="15.75" customHeight="1">
      <c r="A11380" s="2">
        <v>2019.0</v>
      </c>
      <c r="B11380" s="2" t="s">
        <v>45627</v>
      </c>
      <c r="C11380" s="2" t="s">
        <v>45628</v>
      </c>
      <c r="D11380" s="2" t="str">
        <f>"6156890108"</f>
        <v>6156890108</v>
      </c>
      <c r="E11380" s="2" t="s">
        <v>1208</v>
      </c>
      <c r="F11380" s="2" t="s">
        <v>45629</v>
      </c>
      <c r="G11380" s="2" t="str">
        <f>"SR-16045"</f>
        <v>SR-16045</v>
      </c>
      <c r="H11380" s="2" t="s">
        <v>45630</v>
      </c>
      <c r="I11380" s="2" t="s">
        <v>45631</v>
      </c>
      <c r="K11380" s="2" t="s">
        <v>507</v>
      </c>
      <c r="L11380" s="2" t="s">
        <v>157</v>
      </c>
      <c r="M11380" s="2">
        <v>80132.0</v>
      </c>
      <c r="N11380" s="2" t="s">
        <v>21</v>
      </c>
    </row>
    <row r="11381" ht="15.75" customHeight="1">
      <c r="A11381" s="2">
        <v>2019.0</v>
      </c>
      <c r="B11381" s="2" t="s">
        <v>19168</v>
      </c>
      <c r="C11381" s="2" t="s">
        <v>19168</v>
      </c>
      <c r="D11381" s="2" t="str">
        <f>"8286913025"</f>
        <v>8286913025</v>
      </c>
      <c r="E11381" s="2" t="s">
        <v>261</v>
      </c>
      <c r="F11381" s="2" t="s">
        <v>3977</v>
      </c>
      <c r="G11381" s="2" t="str">
        <f>"SR-5288"</f>
        <v>SR-5288</v>
      </c>
      <c r="H11381" s="2" t="s">
        <v>19169</v>
      </c>
      <c r="I11381" s="2" t="s">
        <v>19170</v>
      </c>
      <c r="K11381" s="2" t="s">
        <v>2421</v>
      </c>
      <c r="L11381" s="2" t="s">
        <v>20</v>
      </c>
      <c r="M11381" s="2">
        <v>28722.0</v>
      </c>
      <c r="N11381" s="2" t="s">
        <v>21</v>
      </c>
    </row>
    <row r="11382" ht="15.75" customHeight="1">
      <c r="A11382" s="2">
        <v>2019.0</v>
      </c>
      <c r="B11382" s="2" t="s">
        <v>45632</v>
      </c>
      <c r="C11382" s="2" t="s">
        <v>45633</v>
      </c>
      <c r="D11382" s="2" t="str">
        <f>"307-383-2128"</f>
        <v>307-383-2128</v>
      </c>
      <c r="E11382" s="2" t="s">
        <v>37063</v>
      </c>
      <c r="F11382" s="2" t="s">
        <v>18477</v>
      </c>
      <c r="G11382" s="2" t="str">
        <f>"SR-16019"</f>
        <v>SR-16019</v>
      </c>
      <c r="H11382" s="2" t="s">
        <v>45634</v>
      </c>
      <c r="I11382" s="2" t="s">
        <v>45635</v>
      </c>
      <c r="K11382" s="2" t="s">
        <v>45636</v>
      </c>
      <c r="L11382" s="2" t="s">
        <v>1540</v>
      </c>
      <c r="M11382" s="2">
        <v>82332.0</v>
      </c>
      <c r="N11382" s="2" t="s">
        <v>21</v>
      </c>
    </row>
    <row r="11383" ht="15.75" customHeight="1">
      <c r="A11383" s="2">
        <v>2019.0</v>
      </c>
      <c r="B11383" s="2" t="s">
        <v>9349</v>
      </c>
      <c r="C11383" s="2" t="s">
        <v>45637</v>
      </c>
      <c r="D11383" s="2" t="str">
        <f>"231 220 1079"</f>
        <v>231 220 1079</v>
      </c>
      <c r="E11383" s="2" t="s">
        <v>1987</v>
      </c>
      <c r="F11383" s="2" t="s">
        <v>45638</v>
      </c>
      <c r="G11383" s="2" t="str">
        <f>"SR-15892"</f>
        <v>SR-15892</v>
      </c>
      <c r="H11383" s="2" t="s">
        <v>45639</v>
      </c>
      <c r="I11383" s="2" t="s">
        <v>9353</v>
      </c>
      <c r="K11383" s="2" t="s">
        <v>4782</v>
      </c>
      <c r="L11383" s="2" t="s">
        <v>29</v>
      </c>
      <c r="M11383" s="2">
        <v>49455.0</v>
      </c>
      <c r="N11383" s="2" t="s">
        <v>21</v>
      </c>
    </row>
    <row r="11384" ht="15.75" customHeight="1">
      <c r="A11384" s="2">
        <v>2019.0</v>
      </c>
      <c r="B11384" s="2" t="s">
        <v>45640</v>
      </c>
      <c r="C11384" s="2" t="s">
        <v>45641</v>
      </c>
      <c r="D11384" s="2" t="str">
        <f>"3098381771"</f>
        <v>3098381771</v>
      </c>
      <c r="E11384" s="2" t="s">
        <v>41416</v>
      </c>
      <c r="F11384" s="2" t="s">
        <v>45642</v>
      </c>
      <c r="G11384" s="2" t="str">
        <f>"SR-15916"</f>
        <v>SR-15916</v>
      </c>
      <c r="H11384" s="2" t="s">
        <v>45643</v>
      </c>
      <c r="I11384" s="2" t="s">
        <v>45644</v>
      </c>
      <c r="K11384" s="2" t="s">
        <v>14381</v>
      </c>
      <c r="L11384" s="2" t="s">
        <v>105</v>
      </c>
      <c r="M11384" s="2">
        <v>61761.0</v>
      </c>
      <c r="N11384" s="2" t="s">
        <v>21</v>
      </c>
    </row>
    <row r="11385" ht="15.75" customHeight="1">
      <c r="A11385" s="2">
        <v>2019.0</v>
      </c>
      <c r="B11385" s="2" t="s">
        <v>45645</v>
      </c>
      <c r="C11385" s="2" t="s">
        <v>45645</v>
      </c>
      <c r="D11385" s="2" t="str">
        <f>"480-980-4017"</f>
        <v>480-980-4017</v>
      </c>
      <c r="E11385" s="2" t="s">
        <v>261</v>
      </c>
      <c r="F11385" s="2" t="s">
        <v>1718</v>
      </c>
      <c r="G11385" s="2" t="str">
        <f>"SR-16049"</f>
        <v>SR-16049</v>
      </c>
      <c r="H11385" s="2" t="s">
        <v>45646</v>
      </c>
      <c r="I11385" s="2" t="s">
        <v>45647</v>
      </c>
      <c r="K11385" s="2" t="s">
        <v>2841</v>
      </c>
      <c r="L11385" s="2" t="s">
        <v>422</v>
      </c>
      <c r="M11385" s="2">
        <v>85249.0</v>
      </c>
      <c r="N11385" s="2" t="s">
        <v>21</v>
      </c>
    </row>
    <row r="11386" ht="15.75" customHeight="1">
      <c r="A11386" s="2">
        <v>2019.0</v>
      </c>
      <c r="B11386" s="2" t="s">
        <v>45648</v>
      </c>
      <c r="C11386" s="2" t="s">
        <v>45648</v>
      </c>
      <c r="D11386" s="2" t="str">
        <f>"5868541650"</f>
        <v>5868541650</v>
      </c>
      <c r="E11386" s="2" t="s">
        <v>45649</v>
      </c>
      <c r="F11386" s="2" t="s">
        <v>45650</v>
      </c>
      <c r="G11386" s="2" t="str">
        <f>"SR-16048"</f>
        <v>SR-16048</v>
      </c>
      <c r="H11386" s="2" t="s">
        <v>45651</v>
      </c>
      <c r="I11386" s="2" t="s">
        <v>45652</v>
      </c>
      <c r="K11386" s="2" t="s">
        <v>8122</v>
      </c>
      <c r="L11386" s="2" t="s">
        <v>29</v>
      </c>
      <c r="M11386" s="2">
        <v>48047.0</v>
      </c>
      <c r="N11386" s="2" t="s">
        <v>21</v>
      </c>
    </row>
    <row r="11387" ht="15.75" customHeight="1">
      <c r="A11387" s="2">
        <v>2019.0</v>
      </c>
      <c r="B11387" s="2" t="s">
        <v>45653</v>
      </c>
      <c r="C11387" s="2" t="s">
        <v>45654</v>
      </c>
      <c r="D11387" s="2" t="str">
        <f>"407-467-2672"</f>
        <v>407-467-2672</v>
      </c>
      <c r="E11387" s="2" t="s">
        <v>339</v>
      </c>
      <c r="F11387" s="2" t="s">
        <v>45655</v>
      </c>
      <c r="G11387" s="2" t="str">
        <f>"SR-16050"</f>
        <v>SR-16050</v>
      </c>
      <c r="H11387" s="2" t="s">
        <v>45656</v>
      </c>
      <c r="I11387" s="2" t="s">
        <v>45657</v>
      </c>
      <c r="K11387" s="2" t="s">
        <v>2764</v>
      </c>
      <c r="L11387" s="2" t="s">
        <v>208</v>
      </c>
      <c r="M11387" s="2">
        <v>32792.0</v>
      </c>
      <c r="N11387" s="2" t="s">
        <v>21</v>
      </c>
    </row>
    <row r="11388" ht="15.75" customHeight="1">
      <c r="A11388" s="2">
        <v>2019.0</v>
      </c>
      <c r="B11388" s="2" t="s">
        <v>40556</v>
      </c>
      <c r="C11388" s="2" t="s">
        <v>40557</v>
      </c>
      <c r="D11388" s="2" t="str">
        <f>"916-960-9691"</f>
        <v>916-960-9691</v>
      </c>
      <c r="E11388" s="2" t="s">
        <v>2126</v>
      </c>
      <c r="F11388" s="2" t="s">
        <v>40558</v>
      </c>
      <c r="G11388" s="2" t="str">
        <f>"SR-13889"</f>
        <v>SR-13889</v>
      </c>
      <c r="H11388" s="2" t="s">
        <v>40559</v>
      </c>
      <c r="I11388" s="2" t="s">
        <v>40560</v>
      </c>
      <c r="K11388" s="2" t="s">
        <v>572</v>
      </c>
      <c r="L11388" s="2" t="s">
        <v>222</v>
      </c>
      <c r="M11388" s="2">
        <v>95648.0</v>
      </c>
      <c r="N11388" s="2" t="s">
        <v>21</v>
      </c>
    </row>
    <row r="11389" ht="15.75" customHeight="1">
      <c r="A11389" s="2">
        <v>2019.0</v>
      </c>
      <c r="B11389" s="2" t="s">
        <v>45658</v>
      </c>
      <c r="C11389" s="2" t="s">
        <v>45659</v>
      </c>
      <c r="D11389" s="2" t="str">
        <f>"260-557-8170"</f>
        <v>260-557-8170</v>
      </c>
      <c r="E11389" s="2" t="s">
        <v>16732</v>
      </c>
      <c r="F11389" s="2" t="s">
        <v>984</v>
      </c>
      <c r="G11389" s="2" t="str">
        <f>"SR-15731"</f>
        <v>SR-15731</v>
      </c>
      <c r="H11389" s="2" t="s">
        <v>45660</v>
      </c>
      <c r="I11389" s="2" t="s">
        <v>45661</v>
      </c>
      <c r="K11389" s="2" t="s">
        <v>45662</v>
      </c>
      <c r="L11389" s="2" t="s">
        <v>172</v>
      </c>
      <c r="M11389" s="2">
        <v>76028.0</v>
      </c>
      <c r="N11389" s="2" t="s">
        <v>21</v>
      </c>
    </row>
    <row r="11390" ht="15.75" customHeight="1">
      <c r="A11390" s="2">
        <v>2019.0</v>
      </c>
      <c r="B11390" s="2" t="s">
        <v>45663</v>
      </c>
      <c r="C11390" s="2" t="s">
        <v>45664</v>
      </c>
      <c r="D11390" s="2" t="str">
        <f>"6056452133"</f>
        <v>6056452133</v>
      </c>
      <c r="E11390" s="2" t="s">
        <v>24485</v>
      </c>
      <c r="F11390" s="2" t="s">
        <v>45665</v>
      </c>
      <c r="G11390" s="2" t="str">
        <f>"SR-15877"</f>
        <v>SR-15877</v>
      </c>
      <c r="H11390" s="2" t="s">
        <v>45666</v>
      </c>
      <c r="I11390" s="2" t="s">
        <v>45667</v>
      </c>
      <c r="K11390" s="2" t="s">
        <v>45668</v>
      </c>
      <c r="L11390" s="2" t="s">
        <v>920</v>
      </c>
      <c r="M11390" s="2">
        <v>57783.0</v>
      </c>
      <c r="N11390" s="2" t="s">
        <v>21</v>
      </c>
    </row>
    <row r="11391" ht="15.75" customHeight="1">
      <c r="A11391" s="2">
        <v>2019.0</v>
      </c>
      <c r="B11391" s="2" t="s">
        <v>39028</v>
      </c>
      <c r="C11391" s="2" t="s">
        <v>39029</v>
      </c>
      <c r="D11391" s="2" t="str">
        <f>"715-642-4283"</f>
        <v>715-642-4283</v>
      </c>
      <c r="E11391" s="2" t="s">
        <v>167</v>
      </c>
      <c r="F11391" s="2" t="s">
        <v>39030</v>
      </c>
      <c r="G11391" s="2" t="str">
        <f>"SR-13261"</f>
        <v>SR-13261</v>
      </c>
      <c r="H11391" s="2" t="s">
        <v>39031</v>
      </c>
      <c r="I11391" s="2" t="s">
        <v>39032</v>
      </c>
      <c r="K11391" s="2" t="s">
        <v>39033</v>
      </c>
      <c r="L11391" s="2" t="s">
        <v>193</v>
      </c>
      <c r="M11391" s="2">
        <v>54728.0</v>
      </c>
      <c r="N11391" s="2" t="s">
        <v>21</v>
      </c>
    </row>
    <row r="11392" ht="15.75" customHeight="1">
      <c r="A11392" s="2">
        <v>2019.0</v>
      </c>
      <c r="B11392" s="2" t="s">
        <v>45669</v>
      </c>
      <c r="C11392" s="2" t="s">
        <v>45669</v>
      </c>
      <c r="D11392" s="2" t="str">
        <f>"7156442382"</f>
        <v>7156442382</v>
      </c>
      <c r="E11392" s="2" t="s">
        <v>45670</v>
      </c>
      <c r="F11392" s="2" t="s">
        <v>45671</v>
      </c>
      <c r="G11392" s="2" t="str">
        <f>"SR-16052"</f>
        <v>SR-16052</v>
      </c>
      <c r="H11392" s="2" t="s">
        <v>45672</v>
      </c>
      <c r="I11392" s="2" t="s">
        <v>45673</v>
      </c>
      <c r="K11392" s="2" t="s">
        <v>327</v>
      </c>
      <c r="L11392" s="2" t="s">
        <v>193</v>
      </c>
      <c r="M11392" s="2">
        <v>54768.0</v>
      </c>
      <c r="N11392" s="2" t="s">
        <v>21</v>
      </c>
    </row>
    <row r="11393" ht="15.75" customHeight="1">
      <c r="A11393" s="2">
        <v>2019.0</v>
      </c>
      <c r="B11393" s="2" t="s">
        <v>28407</v>
      </c>
      <c r="C11393" s="2" t="s">
        <v>39083</v>
      </c>
      <c r="D11393" s="2" t="str">
        <f>"1224 7154131"</f>
        <v>1224 7154131</v>
      </c>
      <c r="E11393" s="2" t="s">
        <v>282</v>
      </c>
      <c r="F11393" s="2" t="s">
        <v>28409</v>
      </c>
      <c r="G11393" s="2" t="str">
        <f>"SR-13015"</f>
        <v>SR-13015</v>
      </c>
      <c r="H11393" s="2" t="s">
        <v>39084</v>
      </c>
      <c r="I11393" s="2" t="s">
        <v>39085</v>
      </c>
      <c r="K11393" s="2" t="s">
        <v>39086</v>
      </c>
      <c r="L11393" s="2" t="s">
        <v>105</v>
      </c>
      <c r="M11393" s="2">
        <v>60048.0</v>
      </c>
      <c r="N11393" s="2" t="s">
        <v>21</v>
      </c>
    </row>
    <row r="11394" ht="15.75" customHeight="1">
      <c r="A11394" s="2">
        <v>2019.0</v>
      </c>
      <c r="B11394" s="2" t="s">
        <v>45674</v>
      </c>
      <c r="C11394" s="2" t="s">
        <v>45675</v>
      </c>
      <c r="D11394" s="2" t="str">
        <f>"989-423-1482"</f>
        <v>989-423-1482</v>
      </c>
      <c r="E11394" s="2" t="s">
        <v>45676</v>
      </c>
      <c r="F11394" s="2" t="s">
        <v>15786</v>
      </c>
      <c r="G11394" s="2" t="str">
        <f>"SR-16053"</f>
        <v>SR-16053</v>
      </c>
      <c r="H11394" s="2" t="s">
        <v>45677</v>
      </c>
      <c r="I11394" s="2" t="s">
        <v>45678</v>
      </c>
      <c r="K11394" s="2" t="s">
        <v>286</v>
      </c>
      <c r="L11394" s="2" t="s">
        <v>29</v>
      </c>
      <c r="M11394" s="2">
        <v>48640.0</v>
      </c>
      <c r="N11394" s="2" t="s">
        <v>21</v>
      </c>
    </row>
    <row r="11395" ht="15.75" customHeight="1">
      <c r="A11395" s="2">
        <v>2019.0</v>
      </c>
      <c r="B11395" s="2" t="s">
        <v>45679</v>
      </c>
      <c r="C11395" s="2" t="s">
        <v>45680</v>
      </c>
      <c r="D11395" s="2" t="str">
        <f>"720-331-5014"</f>
        <v>720-331-5014</v>
      </c>
      <c r="E11395" s="2" t="s">
        <v>404</v>
      </c>
      <c r="F11395" s="2" t="s">
        <v>45681</v>
      </c>
      <c r="G11395" s="2" t="str">
        <f>"SR-16055"</f>
        <v>SR-16055</v>
      </c>
      <c r="H11395" s="2" t="s">
        <v>45682</v>
      </c>
      <c r="I11395" s="2" t="s">
        <v>45683</v>
      </c>
      <c r="K11395" s="2" t="s">
        <v>1520</v>
      </c>
      <c r="L11395" s="2" t="s">
        <v>157</v>
      </c>
      <c r="M11395" s="2">
        <v>80015.0</v>
      </c>
      <c r="N11395" s="2" t="s">
        <v>21</v>
      </c>
    </row>
    <row r="11396" ht="15.75" customHeight="1">
      <c r="A11396" s="2">
        <v>2019.0</v>
      </c>
      <c r="B11396" s="2" t="s">
        <v>45684</v>
      </c>
      <c r="C11396" s="2" t="s">
        <v>45685</v>
      </c>
      <c r="D11396" s="2" t="str">
        <f>"3374233359"</f>
        <v>3374233359</v>
      </c>
      <c r="E11396" s="2" t="s">
        <v>282</v>
      </c>
      <c r="F11396" s="2" t="s">
        <v>9467</v>
      </c>
      <c r="G11396" s="2" t="str">
        <f>"SR-16056"</f>
        <v>SR-16056</v>
      </c>
      <c r="H11396" s="2" t="s">
        <v>45686</v>
      </c>
      <c r="I11396" s="2" t="s">
        <v>45687</v>
      </c>
      <c r="K11396" s="2" t="s">
        <v>1907</v>
      </c>
      <c r="L11396" s="2" t="s">
        <v>715</v>
      </c>
      <c r="M11396" s="2">
        <v>70634.0</v>
      </c>
      <c r="N11396" s="2" t="s">
        <v>21</v>
      </c>
    </row>
    <row r="11397" ht="15.75" customHeight="1">
      <c r="A11397" s="2">
        <v>2019.0</v>
      </c>
      <c r="B11397" s="2" t="s">
        <v>45120</v>
      </c>
      <c r="C11397" s="2" t="s">
        <v>45688</v>
      </c>
      <c r="D11397" s="2" t="str">
        <f>"585-746-2796"</f>
        <v>585-746-2796</v>
      </c>
      <c r="E11397" s="2" t="s">
        <v>144</v>
      </c>
      <c r="F11397" s="2" t="s">
        <v>45122</v>
      </c>
      <c r="G11397" s="2" t="str">
        <f>"SR-16060"</f>
        <v>SR-16060</v>
      </c>
      <c r="H11397" s="2" t="s">
        <v>45689</v>
      </c>
      <c r="I11397" s="2" t="s">
        <v>45124</v>
      </c>
      <c r="K11397" s="2" t="s">
        <v>29830</v>
      </c>
      <c r="L11397" s="2" t="s">
        <v>142</v>
      </c>
      <c r="M11397" s="2">
        <v>14472.0</v>
      </c>
      <c r="N11397" s="2" t="s">
        <v>21</v>
      </c>
    </row>
    <row r="11398" ht="15.75" customHeight="1">
      <c r="A11398" s="2">
        <v>2019.0</v>
      </c>
      <c r="B11398" s="2" t="s">
        <v>45690</v>
      </c>
      <c r="C11398" s="2" t="s">
        <v>45691</v>
      </c>
      <c r="D11398" s="2" t="str">
        <f>"6156388347"</f>
        <v>6156388347</v>
      </c>
      <c r="E11398" s="2" t="s">
        <v>6381</v>
      </c>
      <c r="F11398" s="2" t="s">
        <v>45692</v>
      </c>
      <c r="G11398" s="2" t="str">
        <f>"SR-16057"</f>
        <v>SR-16057</v>
      </c>
      <c r="H11398" s="2" t="s">
        <v>45693</v>
      </c>
      <c r="I11398" s="2" t="s">
        <v>45694</v>
      </c>
      <c r="K11398" s="2" t="s">
        <v>41878</v>
      </c>
      <c r="L11398" s="2" t="s">
        <v>105</v>
      </c>
      <c r="M11398" s="2">
        <v>62960.0</v>
      </c>
      <c r="N11398" s="2" t="s">
        <v>21</v>
      </c>
    </row>
    <row r="11399" ht="15.75" customHeight="1">
      <c r="A11399" s="2">
        <v>2019.0</v>
      </c>
      <c r="B11399" s="2" t="s">
        <v>40737</v>
      </c>
      <c r="C11399" s="2" t="s">
        <v>40738</v>
      </c>
      <c r="D11399" s="2" t="str">
        <f>"9106850960"</f>
        <v>9106850960</v>
      </c>
      <c r="E11399" s="2" t="s">
        <v>977</v>
      </c>
      <c r="F11399" s="2" t="s">
        <v>40739</v>
      </c>
      <c r="G11399" s="2" t="str">
        <f>"SR-13628"</f>
        <v>SR-13628</v>
      </c>
      <c r="H11399" s="2" t="s">
        <v>40740</v>
      </c>
      <c r="I11399" s="2" t="s">
        <v>40741</v>
      </c>
      <c r="K11399" s="2" t="s">
        <v>21169</v>
      </c>
      <c r="L11399" s="2" t="s">
        <v>20</v>
      </c>
      <c r="M11399" s="2">
        <v>28443.0</v>
      </c>
      <c r="N11399" s="2" t="s">
        <v>21</v>
      </c>
    </row>
    <row r="11400" ht="15.75" customHeight="1">
      <c r="A11400" s="2">
        <v>2019.0</v>
      </c>
      <c r="B11400" s="2" t="s">
        <v>45695</v>
      </c>
      <c r="C11400" s="2" t="s">
        <v>45696</v>
      </c>
      <c r="D11400" s="2" t="str">
        <f>"717-677-9548"</f>
        <v>717-677-9548</v>
      </c>
      <c r="E11400" s="2" t="s">
        <v>2598</v>
      </c>
      <c r="F11400" s="2" t="s">
        <v>45697</v>
      </c>
      <c r="G11400" s="2" t="str">
        <f>"SR-15092"</f>
        <v>SR-15092</v>
      </c>
      <c r="H11400" s="2" t="s">
        <v>45698</v>
      </c>
      <c r="I11400" s="2" t="s">
        <v>45699</v>
      </c>
      <c r="K11400" s="2" t="s">
        <v>45700</v>
      </c>
      <c r="L11400" s="2" t="s">
        <v>179</v>
      </c>
      <c r="M11400" s="2">
        <v>17325.0</v>
      </c>
      <c r="N11400" s="2" t="s">
        <v>21</v>
      </c>
    </row>
    <row r="11401" ht="15.75" customHeight="1">
      <c r="A11401" s="2">
        <v>2019.0</v>
      </c>
      <c r="B11401" s="2" t="s">
        <v>45701</v>
      </c>
      <c r="C11401" s="2" t="s">
        <v>45702</v>
      </c>
      <c r="D11401" s="2" t="str">
        <f>"352-288-4491"</f>
        <v>352-288-4491</v>
      </c>
      <c r="E11401" s="2" t="s">
        <v>45703</v>
      </c>
      <c r="F11401" s="2" t="s">
        <v>5281</v>
      </c>
      <c r="G11401" s="2" t="str">
        <f>"SR-15957"</f>
        <v>SR-15957</v>
      </c>
      <c r="H11401" s="2" t="s">
        <v>45704</v>
      </c>
      <c r="I11401" s="2" t="s">
        <v>45705</v>
      </c>
      <c r="K11401" s="2" t="s">
        <v>45706</v>
      </c>
      <c r="L11401" s="2" t="s">
        <v>208</v>
      </c>
      <c r="M11401" s="2">
        <v>32179.0</v>
      </c>
      <c r="N11401" s="2" t="s">
        <v>21</v>
      </c>
    </row>
    <row r="11402" ht="15.75" customHeight="1">
      <c r="A11402" s="2">
        <v>2019.0</v>
      </c>
      <c r="B11402" s="2" t="s">
        <v>45707</v>
      </c>
      <c r="C11402" s="2" t="s">
        <v>45707</v>
      </c>
      <c r="D11402" s="2" t="str">
        <f>"7817755841"</f>
        <v>7817755841</v>
      </c>
      <c r="E11402" s="2" t="s">
        <v>5420</v>
      </c>
      <c r="F11402" s="2" t="s">
        <v>45708</v>
      </c>
      <c r="G11402" s="2" t="str">
        <f>"SR-16023"</f>
        <v>SR-16023</v>
      </c>
      <c r="H11402" s="2" t="s">
        <v>45709</v>
      </c>
      <c r="I11402" s="2" t="s">
        <v>45710</v>
      </c>
      <c r="K11402" s="2" t="s">
        <v>40515</v>
      </c>
      <c r="L11402" s="2" t="s">
        <v>222</v>
      </c>
      <c r="M11402" s="2">
        <v>91105.0</v>
      </c>
      <c r="N11402" s="2" t="s">
        <v>21</v>
      </c>
    </row>
    <row r="11403" ht="15.75" customHeight="1">
      <c r="A11403" s="2">
        <v>2019.0</v>
      </c>
      <c r="B11403" s="2" t="s">
        <v>45711</v>
      </c>
      <c r="C11403" s="2" t="s">
        <v>45711</v>
      </c>
      <c r="D11403" s="2" t="str">
        <f>"6159701924"</f>
        <v>6159701924</v>
      </c>
      <c r="E11403" s="2" t="s">
        <v>339</v>
      </c>
      <c r="F11403" s="2" t="s">
        <v>19742</v>
      </c>
      <c r="G11403" s="2" t="str">
        <f>"SR-16051"</f>
        <v>SR-16051</v>
      </c>
      <c r="H11403" s="2" t="s">
        <v>45712</v>
      </c>
      <c r="I11403" s="2" t="s">
        <v>45713</v>
      </c>
      <c r="K11403" s="2" t="s">
        <v>32831</v>
      </c>
      <c r="L11403" s="2" t="s">
        <v>279</v>
      </c>
      <c r="M11403" s="2">
        <v>37187.0</v>
      </c>
      <c r="N11403" s="2" t="s">
        <v>21</v>
      </c>
    </row>
    <row r="11404" ht="15.75" customHeight="1">
      <c r="A11404" s="2">
        <v>2019.0</v>
      </c>
      <c r="B11404" s="2" t="s">
        <v>45714</v>
      </c>
      <c r="C11404" s="2" t="s">
        <v>45715</v>
      </c>
      <c r="D11404" s="2" t="str">
        <f>"3178813775"</f>
        <v>3178813775</v>
      </c>
      <c r="E11404" s="2" t="s">
        <v>4300</v>
      </c>
      <c r="F11404" s="2" t="s">
        <v>45716</v>
      </c>
      <c r="G11404" s="2" t="str">
        <f>"SR-16059"</f>
        <v>SR-16059</v>
      </c>
      <c r="H11404" s="2" t="s">
        <v>45717</v>
      </c>
      <c r="I11404" s="2" t="s">
        <v>45718</v>
      </c>
      <c r="K11404" s="2" t="s">
        <v>1188</v>
      </c>
      <c r="L11404" s="2" t="s">
        <v>149</v>
      </c>
      <c r="M11404" s="2">
        <v>46227.0</v>
      </c>
      <c r="N11404" s="2" t="s">
        <v>21</v>
      </c>
    </row>
    <row r="11405" ht="15.75" customHeight="1">
      <c r="A11405" s="2">
        <v>2019.0</v>
      </c>
      <c r="B11405" s="2" t="s">
        <v>45719</v>
      </c>
      <c r="D11405" s="2" t="str">
        <f>"763-222-3138"</f>
        <v>763-222-3138</v>
      </c>
      <c r="E11405" s="2" t="s">
        <v>45720</v>
      </c>
      <c r="F11405" s="2" t="s">
        <v>12373</v>
      </c>
      <c r="G11405" s="2" t="str">
        <f>"SR-16061"</f>
        <v>SR-16061</v>
      </c>
      <c r="H11405" s="2" t="s">
        <v>45721</v>
      </c>
      <c r="I11405" s="2" t="s">
        <v>45722</v>
      </c>
      <c r="K11405" s="2" t="s">
        <v>35053</v>
      </c>
      <c r="L11405" s="2" t="s">
        <v>62</v>
      </c>
      <c r="M11405" s="2">
        <v>55374.0</v>
      </c>
      <c r="N11405" s="2" t="s">
        <v>21</v>
      </c>
    </row>
    <row r="11406" ht="15.75" customHeight="1">
      <c r="A11406" s="2">
        <v>2019.0</v>
      </c>
      <c r="B11406" s="2" t="s">
        <v>39811</v>
      </c>
      <c r="C11406" s="2" t="s">
        <v>39812</v>
      </c>
      <c r="D11406" s="2" t="str">
        <f>"+61434196829"</f>
        <v>+61434196829</v>
      </c>
      <c r="E11406" s="2" t="s">
        <v>261</v>
      </c>
      <c r="F11406" s="2" t="s">
        <v>39813</v>
      </c>
      <c r="G11406" s="2" t="str">
        <f>"SR-13428"</f>
        <v>SR-13428</v>
      </c>
      <c r="H11406" s="2" t="s">
        <v>39814</v>
      </c>
      <c r="I11406" s="2" t="s">
        <v>39815</v>
      </c>
      <c r="K11406" s="2" t="s">
        <v>39816</v>
      </c>
      <c r="L11406" s="2" t="s">
        <v>39817</v>
      </c>
      <c r="M11406" s="2">
        <v>3156.0</v>
      </c>
      <c r="N11406" s="2" t="s">
        <v>4442</v>
      </c>
    </row>
    <row r="11407" ht="15.75" customHeight="1">
      <c r="A11407" s="2">
        <v>2019.0</v>
      </c>
      <c r="B11407" s="2" t="s">
        <v>45723</v>
      </c>
      <c r="C11407" s="2" t="s">
        <v>45723</v>
      </c>
      <c r="D11407" s="2" t="str">
        <f>"6572478276"</f>
        <v>6572478276</v>
      </c>
      <c r="E11407" s="2" t="s">
        <v>1548</v>
      </c>
      <c r="F11407" s="2" t="s">
        <v>4627</v>
      </c>
      <c r="G11407" s="2" t="str">
        <f>"SR-16063"</f>
        <v>SR-16063</v>
      </c>
      <c r="H11407" s="2" t="s">
        <v>45724</v>
      </c>
      <c r="I11407" s="2" t="s">
        <v>45725</v>
      </c>
      <c r="K11407" s="2" t="s">
        <v>1398</v>
      </c>
      <c r="L11407" s="2" t="s">
        <v>157</v>
      </c>
      <c r="M11407" s="2">
        <v>80108.0</v>
      </c>
      <c r="N11407" s="2" t="s">
        <v>21</v>
      </c>
    </row>
    <row r="11408" ht="15.75" customHeight="1">
      <c r="A11408" s="2">
        <v>2019.0</v>
      </c>
      <c r="B11408" s="2" t="s">
        <v>45726</v>
      </c>
      <c r="C11408" s="2" t="s">
        <v>45727</v>
      </c>
      <c r="D11408" s="2" t="str">
        <f>"407-227-0883"</f>
        <v>407-227-0883</v>
      </c>
      <c r="E11408" s="2" t="s">
        <v>1094</v>
      </c>
      <c r="F11408" s="2" t="s">
        <v>45728</v>
      </c>
      <c r="G11408" s="2" t="str">
        <f>"SR-16064"</f>
        <v>SR-16064</v>
      </c>
      <c r="H11408" s="2" t="s">
        <v>45729</v>
      </c>
      <c r="I11408" s="2" t="s">
        <v>45730</v>
      </c>
      <c r="K11408" s="2" t="s">
        <v>525</v>
      </c>
      <c r="L11408" s="2" t="s">
        <v>208</v>
      </c>
      <c r="M11408" s="2">
        <v>32750.0</v>
      </c>
      <c r="N11408" s="2" t="s">
        <v>21</v>
      </c>
    </row>
    <row r="11409" ht="15.75" customHeight="1">
      <c r="A11409" s="2">
        <v>2019.0</v>
      </c>
      <c r="B11409" s="2" t="s">
        <v>45731</v>
      </c>
      <c r="C11409" s="2" t="s">
        <v>45732</v>
      </c>
      <c r="D11409" s="2" t="str">
        <f>"936-777-5587"</f>
        <v>936-777-5587</v>
      </c>
      <c r="E11409" s="2" t="s">
        <v>43</v>
      </c>
      <c r="F11409" s="2" t="s">
        <v>10942</v>
      </c>
      <c r="G11409" s="2" t="str">
        <f>"SR-16065"</f>
        <v>SR-16065</v>
      </c>
      <c r="H11409" s="2" t="s">
        <v>45733</v>
      </c>
      <c r="I11409" s="2" t="s">
        <v>45734</v>
      </c>
      <c r="K11409" s="2" t="s">
        <v>538</v>
      </c>
      <c r="L11409" s="2" t="s">
        <v>172</v>
      </c>
      <c r="M11409" s="2">
        <v>77356.0</v>
      </c>
      <c r="N11409" s="2" t="s">
        <v>21</v>
      </c>
    </row>
    <row r="11410" ht="15.75" customHeight="1">
      <c r="A11410" s="2">
        <v>2019.0</v>
      </c>
      <c r="B11410" s="2" t="s">
        <v>45735</v>
      </c>
      <c r="C11410" s="2" t="s">
        <v>45735</v>
      </c>
      <c r="D11410" s="2" t="str">
        <f>"8312780736"</f>
        <v>8312780736</v>
      </c>
      <c r="E11410" s="2" t="s">
        <v>580</v>
      </c>
      <c r="F11410" s="2" t="s">
        <v>45736</v>
      </c>
      <c r="G11410" s="2" t="str">
        <f>"SR-15945"</f>
        <v>SR-15945</v>
      </c>
      <c r="H11410" s="2" t="s">
        <v>45737</v>
      </c>
      <c r="I11410" s="2" t="s">
        <v>45738</v>
      </c>
      <c r="K11410" s="2" t="s">
        <v>21775</v>
      </c>
      <c r="L11410" s="2" t="s">
        <v>222</v>
      </c>
      <c r="M11410" s="2">
        <v>95066.0</v>
      </c>
      <c r="N11410" s="2" t="s">
        <v>21</v>
      </c>
    </row>
    <row r="11411" ht="15.75" customHeight="1">
      <c r="A11411" s="2">
        <v>2019.0</v>
      </c>
      <c r="B11411" s="2" t="s">
        <v>34803</v>
      </c>
      <c r="C11411" s="2" t="s">
        <v>45739</v>
      </c>
      <c r="D11411" s="2" t="str">
        <f>"7192461244"</f>
        <v>7192461244</v>
      </c>
      <c r="E11411" s="2" t="s">
        <v>3305</v>
      </c>
      <c r="F11411" s="2" t="s">
        <v>6360</v>
      </c>
      <c r="G11411" s="2" t="str">
        <f>"SR-16066"</f>
        <v>SR-16066</v>
      </c>
      <c r="H11411" s="2" t="s">
        <v>45740</v>
      </c>
      <c r="I11411" s="2" t="s">
        <v>45741</v>
      </c>
      <c r="K11411" s="2" t="s">
        <v>809</v>
      </c>
      <c r="L11411" s="2" t="s">
        <v>157</v>
      </c>
      <c r="M11411" s="2">
        <v>80920.0</v>
      </c>
      <c r="N11411" s="2" t="s">
        <v>21</v>
      </c>
    </row>
    <row r="11412" ht="15.75" customHeight="1">
      <c r="A11412" s="2">
        <v>2019.0</v>
      </c>
      <c r="B11412" s="2" t="s">
        <v>45742</v>
      </c>
      <c r="C11412" s="2" t="s">
        <v>45743</v>
      </c>
      <c r="D11412" s="2" t="str">
        <f>"7634581606"</f>
        <v>7634581606</v>
      </c>
      <c r="E11412" s="2" t="s">
        <v>955</v>
      </c>
      <c r="F11412" s="2" t="s">
        <v>45744</v>
      </c>
      <c r="G11412" s="2" t="str">
        <f>"SR-15772"</f>
        <v>SR-15772</v>
      </c>
      <c r="H11412" s="2" t="s">
        <v>45745</v>
      </c>
      <c r="I11412" s="2" t="s">
        <v>45746</v>
      </c>
      <c r="K11412" s="2" t="s">
        <v>3031</v>
      </c>
      <c r="L11412" s="2" t="s">
        <v>62</v>
      </c>
      <c r="M11412" s="2">
        <v>55443.0</v>
      </c>
      <c r="N11412" s="2" t="s">
        <v>21</v>
      </c>
    </row>
    <row r="11413" ht="15.75" customHeight="1">
      <c r="A11413" s="2">
        <v>2019.0</v>
      </c>
      <c r="B11413" s="2" t="s">
        <v>45747</v>
      </c>
      <c r="C11413" s="2" t="s">
        <v>45748</v>
      </c>
      <c r="D11413" s="2" t="str">
        <f>"760-440-6816"</f>
        <v>760-440-6816</v>
      </c>
      <c r="E11413" s="2" t="s">
        <v>339</v>
      </c>
      <c r="F11413" s="2" t="s">
        <v>4497</v>
      </c>
      <c r="G11413" s="2" t="str">
        <f>"SR-16067"</f>
        <v>SR-16067</v>
      </c>
      <c r="H11413" s="2" t="s">
        <v>45749</v>
      </c>
      <c r="I11413" s="2" t="s">
        <v>45750</v>
      </c>
      <c r="J11413" s="2" t="s">
        <v>45751</v>
      </c>
      <c r="K11413" s="2" t="s">
        <v>45752</v>
      </c>
      <c r="L11413" s="2" t="s">
        <v>222</v>
      </c>
      <c r="M11413" s="2">
        <v>92065.0</v>
      </c>
      <c r="N11413" s="2" t="s">
        <v>21</v>
      </c>
    </row>
    <row r="11414" ht="15.75" customHeight="1">
      <c r="A11414" s="2">
        <v>2019.0</v>
      </c>
      <c r="B11414" s="2" t="s">
        <v>45753</v>
      </c>
      <c r="C11414" s="2" t="s">
        <v>45754</v>
      </c>
      <c r="D11414" s="2" t="str">
        <f>"720.648.3031"</f>
        <v>720.648.3031</v>
      </c>
      <c r="E11414" s="2" t="s">
        <v>1094</v>
      </c>
      <c r="F11414" s="2" t="s">
        <v>28031</v>
      </c>
      <c r="G11414" s="2" t="str">
        <f>"SR-14967"</f>
        <v>SR-14967</v>
      </c>
      <c r="H11414" s="2" t="s">
        <v>45755</v>
      </c>
      <c r="I11414" s="2" t="s">
        <v>45756</v>
      </c>
      <c r="K11414" s="2" t="s">
        <v>1398</v>
      </c>
      <c r="L11414" s="2" t="s">
        <v>157</v>
      </c>
      <c r="M11414" s="2">
        <v>80104.0</v>
      </c>
      <c r="N11414" s="2" t="s">
        <v>21</v>
      </c>
    </row>
    <row r="11415" ht="15.75" customHeight="1">
      <c r="A11415" s="2">
        <v>2019.0</v>
      </c>
      <c r="B11415" s="2" t="s">
        <v>45757</v>
      </c>
      <c r="C11415" s="2" t="s">
        <v>45757</v>
      </c>
      <c r="D11415" s="2" t="str">
        <f>"803-463-9080"</f>
        <v>803-463-9080</v>
      </c>
      <c r="E11415" s="2" t="s">
        <v>1548</v>
      </c>
      <c r="F11415" s="2" t="s">
        <v>45758</v>
      </c>
      <c r="G11415" s="2" t="str">
        <f>"SR-15701"</f>
        <v>SR-15701</v>
      </c>
      <c r="H11415" s="2" t="s">
        <v>45759</v>
      </c>
      <c r="I11415" s="2" t="s">
        <v>45760</v>
      </c>
      <c r="K11415" s="2" t="s">
        <v>2750</v>
      </c>
      <c r="L11415" s="2" t="s">
        <v>55</v>
      </c>
      <c r="M11415" s="2">
        <v>29206.0</v>
      </c>
      <c r="N11415" s="2" t="s">
        <v>21</v>
      </c>
    </row>
    <row r="11416" ht="15.75" customHeight="1">
      <c r="A11416" s="2">
        <v>2019.0</v>
      </c>
      <c r="B11416" s="2" t="s">
        <v>45761</v>
      </c>
      <c r="C11416" s="2" t="s">
        <v>45761</v>
      </c>
      <c r="D11416" s="2" t="str">
        <f>"806-549-1210"</f>
        <v>806-549-1210</v>
      </c>
      <c r="E11416" s="2" t="s">
        <v>2695</v>
      </c>
      <c r="F11416" s="2" t="s">
        <v>3320</v>
      </c>
      <c r="G11416" s="2" t="str">
        <f>"SR-16072"</f>
        <v>SR-16072</v>
      </c>
      <c r="H11416" s="2" t="s">
        <v>45762</v>
      </c>
      <c r="I11416" s="2" t="s">
        <v>45763</v>
      </c>
      <c r="K11416" s="2" t="s">
        <v>1121</v>
      </c>
      <c r="L11416" s="2" t="s">
        <v>172</v>
      </c>
      <c r="M11416" s="2">
        <v>79424.0</v>
      </c>
      <c r="N11416" s="2" t="s">
        <v>21</v>
      </c>
    </row>
    <row r="11417" ht="15.75" customHeight="1">
      <c r="A11417" s="2">
        <v>2019.0</v>
      </c>
      <c r="B11417" s="2" t="s">
        <v>45764</v>
      </c>
      <c r="C11417" s="2" t="s">
        <v>45765</v>
      </c>
      <c r="D11417" s="2" t="str">
        <f>"352-425-0375"</f>
        <v>352-425-0375</v>
      </c>
      <c r="E11417" s="2" t="s">
        <v>13027</v>
      </c>
      <c r="F11417" s="2" t="s">
        <v>19126</v>
      </c>
      <c r="G11417" s="2" t="str">
        <f>"SR-16073"</f>
        <v>SR-16073</v>
      </c>
      <c r="H11417" s="2" t="s">
        <v>45766</v>
      </c>
      <c r="I11417" s="2" t="s">
        <v>45767</v>
      </c>
      <c r="K11417" s="2" t="s">
        <v>18063</v>
      </c>
      <c r="L11417" s="2" t="s">
        <v>208</v>
      </c>
      <c r="M11417" s="2">
        <v>34480.0</v>
      </c>
      <c r="N11417" s="2" t="s">
        <v>21</v>
      </c>
    </row>
    <row r="11418" ht="15.75" customHeight="1">
      <c r="A11418" s="2">
        <v>2019.0</v>
      </c>
      <c r="B11418" s="2" t="s">
        <v>45768</v>
      </c>
      <c r="C11418" s="2" t="s">
        <v>45769</v>
      </c>
      <c r="D11418" s="2" t="str">
        <f>"719-551-0163"</f>
        <v>719-551-0163</v>
      </c>
      <c r="E11418" s="2" t="s">
        <v>696</v>
      </c>
      <c r="F11418" s="2" t="s">
        <v>45770</v>
      </c>
      <c r="G11418" s="2" t="str">
        <f>"SR-16075"</f>
        <v>SR-16075</v>
      </c>
      <c r="H11418" s="2" t="s">
        <v>45771</v>
      </c>
      <c r="I11418" s="2" t="s">
        <v>45772</v>
      </c>
      <c r="K11418" s="2" t="s">
        <v>809</v>
      </c>
      <c r="L11418" s="2" t="s">
        <v>157</v>
      </c>
      <c r="M11418" s="2">
        <v>80908.0</v>
      </c>
      <c r="N11418" s="2" t="s">
        <v>21</v>
      </c>
    </row>
    <row r="11419" ht="15.75" customHeight="1">
      <c r="A11419" s="2">
        <v>2019.0</v>
      </c>
      <c r="B11419" s="2" t="s">
        <v>45773</v>
      </c>
      <c r="C11419" s="2" t="s">
        <v>45773</v>
      </c>
      <c r="D11419" s="2" t="str">
        <f>"7346213911"</f>
        <v>7346213911</v>
      </c>
      <c r="E11419" s="2" t="s">
        <v>830</v>
      </c>
      <c r="F11419" s="2" t="s">
        <v>11233</v>
      </c>
      <c r="G11419" s="2" t="str">
        <f>"SR-15832"</f>
        <v>SR-15832</v>
      </c>
      <c r="H11419" s="2" t="s">
        <v>45774</v>
      </c>
      <c r="I11419" s="2" t="s">
        <v>45775</v>
      </c>
      <c r="K11419" s="2" t="s">
        <v>615</v>
      </c>
      <c r="L11419" s="2" t="s">
        <v>172</v>
      </c>
      <c r="M11419" s="2">
        <v>75072.0</v>
      </c>
      <c r="N11419" s="2" t="s">
        <v>21</v>
      </c>
    </row>
    <row r="11420" ht="15.75" customHeight="1">
      <c r="A11420" s="2">
        <v>2019.0</v>
      </c>
      <c r="B11420" s="2" t="s">
        <v>19193</v>
      </c>
      <c r="C11420" s="2" t="s">
        <v>45776</v>
      </c>
      <c r="D11420" s="2" t="str">
        <f>"724-831-2004"</f>
        <v>724-831-2004</v>
      </c>
      <c r="E11420" s="2" t="s">
        <v>644</v>
      </c>
      <c r="F11420" s="2" t="s">
        <v>1301</v>
      </c>
      <c r="G11420" s="2" t="str">
        <f>"SR-16076"</f>
        <v>SR-16076</v>
      </c>
      <c r="H11420" s="2" t="s">
        <v>45777</v>
      </c>
      <c r="I11420" s="2" t="s">
        <v>45778</v>
      </c>
      <c r="K11420" s="2" t="s">
        <v>19197</v>
      </c>
      <c r="L11420" s="2" t="s">
        <v>179</v>
      </c>
      <c r="M11420" s="2">
        <v>16063.0</v>
      </c>
      <c r="N11420" s="2" t="s">
        <v>21</v>
      </c>
    </row>
    <row r="11421" ht="15.75" customHeight="1">
      <c r="A11421" s="2">
        <v>2019.0</v>
      </c>
      <c r="B11421" s="2" t="s">
        <v>37609</v>
      </c>
      <c r="C11421" s="2" t="s">
        <v>37610</v>
      </c>
      <c r="D11421" s="2" t="str">
        <f>"2146326352"</f>
        <v>2146326352</v>
      </c>
      <c r="E11421" s="2" t="s">
        <v>1000</v>
      </c>
      <c r="F11421" s="2" t="s">
        <v>27198</v>
      </c>
      <c r="G11421" s="2" t="str">
        <f>"SR-12825"</f>
        <v>SR-12825</v>
      </c>
      <c r="H11421" s="2" t="s">
        <v>37611</v>
      </c>
      <c r="I11421" s="2" t="s">
        <v>37612</v>
      </c>
      <c r="K11421" s="2" t="s">
        <v>615</v>
      </c>
      <c r="L11421" s="2" t="s">
        <v>172</v>
      </c>
      <c r="M11421" s="2">
        <v>75071.0</v>
      </c>
      <c r="N11421" s="2" t="s">
        <v>21</v>
      </c>
    </row>
    <row r="11422" ht="15.75" customHeight="1">
      <c r="A11422" s="2">
        <v>2019.0</v>
      </c>
      <c r="B11422" s="2" t="s">
        <v>41415</v>
      </c>
      <c r="C11422" s="2" t="s">
        <v>41415</v>
      </c>
      <c r="D11422" s="2" t="str">
        <f>"7249676386"</f>
        <v>7249676386</v>
      </c>
      <c r="E11422" s="2" t="s">
        <v>41416</v>
      </c>
      <c r="F11422" s="2" t="s">
        <v>16749</v>
      </c>
      <c r="G11422" s="2" t="str">
        <f>"SR-13581"</f>
        <v>SR-13581</v>
      </c>
      <c r="H11422" s="2" t="s">
        <v>41417</v>
      </c>
      <c r="I11422" s="2" t="s">
        <v>41418</v>
      </c>
      <c r="K11422" s="2" t="s">
        <v>41419</v>
      </c>
      <c r="L11422" s="2" t="s">
        <v>179</v>
      </c>
      <c r="M11422" s="2">
        <v>16127.0</v>
      </c>
      <c r="N11422" s="2" t="s">
        <v>21</v>
      </c>
    </row>
    <row r="11423" ht="15.75" customHeight="1">
      <c r="A11423" s="2">
        <v>2019.0</v>
      </c>
      <c r="B11423" s="2" t="s">
        <v>45779</v>
      </c>
      <c r="C11423" s="2" t="s">
        <v>45780</v>
      </c>
      <c r="D11423" s="2" t="str">
        <f>"9378300589"</f>
        <v>9378300589</v>
      </c>
      <c r="E11423" s="2" t="s">
        <v>13309</v>
      </c>
      <c r="F11423" s="2" t="s">
        <v>45781</v>
      </c>
      <c r="G11423" s="2" t="str">
        <f>"SR-15997"</f>
        <v>SR-15997</v>
      </c>
      <c r="H11423" s="2" t="s">
        <v>45782</v>
      </c>
      <c r="I11423" s="2" t="s">
        <v>45783</v>
      </c>
      <c r="K11423" s="2" t="s">
        <v>4310</v>
      </c>
      <c r="L11423" s="2" t="s">
        <v>344</v>
      </c>
      <c r="M11423" s="2">
        <v>45424.0</v>
      </c>
      <c r="N11423" s="2" t="s">
        <v>21</v>
      </c>
    </row>
    <row r="11424" ht="15.75" customHeight="1">
      <c r="A11424" s="2">
        <v>2019.0</v>
      </c>
      <c r="B11424" s="2" t="s">
        <v>45784</v>
      </c>
      <c r="C11424" s="2" t="s">
        <v>45784</v>
      </c>
      <c r="D11424" s="2" t="str">
        <f>"89132148770"</f>
        <v>89132148770</v>
      </c>
      <c r="E11424" s="2" t="s">
        <v>977</v>
      </c>
      <c r="F11424" s="2" t="s">
        <v>45785</v>
      </c>
      <c r="G11424" s="2" t="str">
        <f>"SR-15573"</f>
        <v>SR-15573</v>
      </c>
      <c r="H11424" s="2" t="s">
        <v>45786</v>
      </c>
      <c r="I11424" s="2" t="s">
        <v>33347</v>
      </c>
      <c r="K11424" s="2" t="s">
        <v>33348</v>
      </c>
      <c r="L11424" s="2" t="s">
        <v>33349</v>
      </c>
      <c r="M11424" s="2">
        <v>656002.0</v>
      </c>
      <c r="N11424" s="2" t="s">
        <v>33350</v>
      </c>
    </row>
    <row r="11425" ht="15.75" customHeight="1">
      <c r="A11425" s="2">
        <v>2019.0</v>
      </c>
      <c r="B11425" s="2" t="s">
        <v>45787</v>
      </c>
      <c r="C11425" s="2" t="s">
        <v>45788</v>
      </c>
      <c r="D11425" s="2" t="str">
        <f>"717-602-2087"</f>
        <v>717-602-2087</v>
      </c>
      <c r="E11425" s="2" t="s">
        <v>6170</v>
      </c>
      <c r="F11425" s="2" t="s">
        <v>45789</v>
      </c>
      <c r="G11425" s="2" t="str">
        <f>"SR-15928"</f>
        <v>SR-15928</v>
      </c>
      <c r="H11425" s="2" t="s">
        <v>45790</v>
      </c>
      <c r="I11425" s="2" t="s">
        <v>45791</v>
      </c>
      <c r="K11425" s="2" t="s">
        <v>45003</v>
      </c>
      <c r="L11425" s="2" t="s">
        <v>179</v>
      </c>
      <c r="M11425" s="2">
        <v>17019.0</v>
      </c>
      <c r="N11425" s="2" t="s">
        <v>21</v>
      </c>
    </row>
    <row r="11426" ht="15.75" customHeight="1">
      <c r="A11426" s="2">
        <v>2019.0</v>
      </c>
      <c r="B11426" s="2" t="s">
        <v>45787</v>
      </c>
      <c r="C11426" s="2" t="s">
        <v>45792</v>
      </c>
      <c r="D11426" s="2" t="str">
        <f>"717-691-5465"</f>
        <v>717-691-5465</v>
      </c>
      <c r="E11426" s="2" t="s">
        <v>250</v>
      </c>
      <c r="F11426" s="2" t="s">
        <v>17591</v>
      </c>
      <c r="G11426" s="2" t="str">
        <f>"SR-16010"</f>
        <v>SR-16010</v>
      </c>
      <c r="H11426" s="2" t="s">
        <v>45793</v>
      </c>
      <c r="I11426" s="2" t="s">
        <v>45794</v>
      </c>
      <c r="K11426" s="2" t="s">
        <v>32115</v>
      </c>
      <c r="L11426" s="2" t="s">
        <v>179</v>
      </c>
      <c r="M11426" s="2">
        <v>17055.0</v>
      </c>
      <c r="N11426" s="2" t="s">
        <v>21</v>
      </c>
    </row>
    <row r="11427" ht="15.75" customHeight="1">
      <c r="A11427" s="2">
        <v>2019.0</v>
      </c>
      <c r="B11427" s="2" t="s">
        <v>45787</v>
      </c>
      <c r="C11427" s="2" t="s">
        <v>45795</v>
      </c>
      <c r="D11427" s="2" t="str">
        <f>"717-317-1438"</f>
        <v>717-317-1438</v>
      </c>
      <c r="E11427" s="2" t="s">
        <v>11885</v>
      </c>
      <c r="F11427" s="2" t="s">
        <v>32118</v>
      </c>
      <c r="G11427" s="2" t="str">
        <f>"SR-16011"</f>
        <v>SR-16011</v>
      </c>
      <c r="H11427" s="2" t="s">
        <v>45796</v>
      </c>
      <c r="I11427" s="2" t="s">
        <v>45797</v>
      </c>
      <c r="K11427" s="2" t="s">
        <v>32115</v>
      </c>
      <c r="L11427" s="2" t="s">
        <v>179</v>
      </c>
      <c r="M11427" s="2">
        <v>17055.0</v>
      </c>
      <c r="N11427" s="2" t="s">
        <v>21</v>
      </c>
    </row>
    <row r="11428" ht="15.75" customHeight="1">
      <c r="A11428" s="2">
        <v>2019.0</v>
      </c>
      <c r="B11428" s="2" t="s">
        <v>38339</v>
      </c>
      <c r="C11428" s="2" t="s">
        <v>38339</v>
      </c>
      <c r="D11428" s="2" t="str">
        <f>"7195886503"</f>
        <v>7195886503</v>
      </c>
      <c r="E11428" s="2" t="s">
        <v>908</v>
      </c>
      <c r="F11428" s="2" t="s">
        <v>30555</v>
      </c>
      <c r="G11428" s="2" t="str">
        <f>"SR-16079"</f>
        <v>SR-16079</v>
      </c>
      <c r="H11428" s="2" t="s">
        <v>38340</v>
      </c>
      <c r="I11428" s="2" t="s">
        <v>45798</v>
      </c>
      <c r="K11428" s="2" t="s">
        <v>30558</v>
      </c>
      <c r="L11428" s="2" t="s">
        <v>157</v>
      </c>
      <c r="M11428" s="2">
        <v>81154.0</v>
      </c>
      <c r="N11428" s="2" t="s">
        <v>21</v>
      </c>
    </row>
    <row r="11429" ht="15.75" customHeight="1">
      <c r="A11429" s="2">
        <v>2019.0</v>
      </c>
      <c r="B11429" s="2" t="s">
        <v>45799</v>
      </c>
      <c r="C11429" s="2" t="s">
        <v>45800</v>
      </c>
      <c r="D11429" s="2" t="str">
        <f>"4322301788"</f>
        <v>4322301788</v>
      </c>
      <c r="E11429" s="2" t="s">
        <v>45801</v>
      </c>
      <c r="F11429" s="2" t="s">
        <v>15631</v>
      </c>
      <c r="G11429" s="2" t="str">
        <f>"SR-15803"</f>
        <v>SR-15803</v>
      </c>
      <c r="H11429" s="2" t="s">
        <v>45802</v>
      </c>
      <c r="I11429" s="2" t="s">
        <v>45803</v>
      </c>
      <c r="K11429" s="2" t="s">
        <v>286</v>
      </c>
      <c r="L11429" s="2" t="s">
        <v>172</v>
      </c>
      <c r="M11429" s="2">
        <v>79706.0</v>
      </c>
      <c r="N11429" s="2" t="s">
        <v>21</v>
      </c>
    </row>
    <row r="11430" ht="15.75" customHeight="1">
      <c r="A11430" s="2">
        <v>2019.0</v>
      </c>
      <c r="B11430" s="2" t="s">
        <v>45804</v>
      </c>
      <c r="C11430" s="2" t="s">
        <v>45805</v>
      </c>
      <c r="D11430" s="2" t="str">
        <f>"304-578-9022"</f>
        <v>304-578-9022</v>
      </c>
      <c r="E11430" s="2" t="s">
        <v>2243</v>
      </c>
      <c r="F11430" s="2" t="s">
        <v>16749</v>
      </c>
      <c r="G11430" s="2" t="str">
        <f>"SR-16036"</f>
        <v>SR-16036</v>
      </c>
      <c r="H11430" s="2" t="s">
        <v>45806</v>
      </c>
      <c r="I11430" s="2" t="s">
        <v>45807</v>
      </c>
      <c r="K11430" s="2" t="s">
        <v>45808</v>
      </c>
      <c r="L11430" s="2" t="s">
        <v>6449</v>
      </c>
      <c r="M11430" s="2">
        <v>25813.0</v>
      </c>
      <c r="N11430" s="2" t="s">
        <v>21</v>
      </c>
    </row>
    <row r="11431" ht="15.75" customHeight="1">
      <c r="A11431" s="2">
        <v>2019.0</v>
      </c>
      <c r="B11431" s="2" t="s">
        <v>45809</v>
      </c>
      <c r="C11431" s="2" t="s">
        <v>45810</v>
      </c>
      <c r="D11431" s="2" t="str">
        <f>"8175590104"</f>
        <v>8175590104</v>
      </c>
      <c r="E11431" s="2" t="s">
        <v>45811</v>
      </c>
      <c r="F11431" s="2" t="s">
        <v>4358</v>
      </c>
      <c r="G11431" s="2" t="str">
        <f>"SR-16082"</f>
        <v>SR-16082</v>
      </c>
      <c r="H11431" s="2" t="s">
        <v>45812</v>
      </c>
      <c r="I11431" s="2" t="s">
        <v>45813</v>
      </c>
      <c r="K11431" s="2" t="s">
        <v>5729</v>
      </c>
      <c r="L11431" s="2" t="s">
        <v>172</v>
      </c>
      <c r="M11431" s="2">
        <v>76087.0</v>
      </c>
      <c r="N11431" s="2" t="s">
        <v>21</v>
      </c>
    </row>
    <row r="11432" ht="15.75" customHeight="1">
      <c r="A11432" s="2">
        <v>2019.0</v>
      </c>
      <c r="B11432" s="2" t="s">
        <v>45814</v>
      </c>
      <c r="C11432" s="2" t="s">
        <v>45815</v>
      </c>
      <c r="D11432" s="2" t="str">
        <f>"7742671311"</f>
        <v>7742671311</v>
      </c>
      <c r="E11432" s="2" t="s">
        <v>19353</v>
      </c>
      <c r="F11432" s="2" t="s">
        <v>33583</v>
      </c>
      <c r="G11432" s="2" t="str">
        <f>"SR-16081"</f>
        <v>SR-16081</v>
      </c>
      <c r="H11432" s="2" t="s">
        <v>45816</v>
      </c>
      <c r="I11432" s="2" t="s">
        <v>33585</v>
      </c>
      <c r="K11432" s="2" t="s">
        <v>33198</v>
      </c>
      <c r="L11432" s="2" t="s">
        <v>4108</v>
      </c>
      <c r="M11432" s="2">
        <v>1532.0</v>
      </c>
      <c r="N11432" s="2" t="s">
        <v>21</v>
      </c>
    </row>
    <row r="11433" ht="15.75" customHeight="1">
      <c r="A11433" s="2">
        <v>2019.0</v>
      </c>
      <c r="B11433" s="2" t="s">
        <v>45817</v>
      </c>
      <c r="C11433" s="2" t="s">
        <v>45817</v>
      </c>
      <c r="D11433" s="2" t="str">
        <f>"6308085439"</f>
        <v>6308085439</v>
      </c>
      <c r="E11433" s="2" t="s">
        <v>38262</v>
      </c>
      <c r="F11433" s="2" t="s">
        <v>94</v>
      </c>
      <c r="G11433" s="2" t="str">
        <f>"SR-16085"</f>
        <v>SR-16085</v>
      </c>
      <c r="H11433" s="2" t="s">
        <v>45818</v>
      </c>
      <c r="I11433" s="2" t="s">
        <v>45819</v>
      </c>
      <c r="K11433" s="2" t="s">
        <v>6618</v>
      </c>
      <c r="L11433" s="2" t="s">
        <v>105</v>
      </c>
      <c r="M11433" s="2">
        <v>60101.0</v>
      </c>
      <c r="N11433" s="2" t="s">
        <v>21</v>
      </c>
    </row>
    <row r="11434" ht="15.75" customHeight="1">
      <c r="A11434" s="2">
        <v>2019.0</v>
      </c>
      <c r="B11434" s="2" t="s">
        <v>45820</v>
      </c>
      <c r="C11434" s="2" t="s">
        <v>45820</v>
      </c>
      <c r="D11434" s="2" t="str">
        <f>"6622516527"</f>
        <v>6622516527</v>
      </c>
      <c r="E11434" s="2" t="s">
        <v>57</v>
      </c>
      <c r="F11434" s="2" t="s">
        <v>45821</v>
      </c>
      <c r="G11434" s="2" t="str">
        <f>"SR-15849"</f>
        <v>SR-15849</v>
      </c>
      <c r="H11434" s="2" t="s">
        <v>45822</v>
      </c>
      <c r="I11434" s="2" t="s">
        <v>45823</v>
      </c>
      <c r="K11434" s="2" t="s">
        <v>2421</v>
      </c>
      <c r="L11434" s="2" t="s">
        <v>1722</v>
      </c>
      <c r="M11434" s="2">
        <v>39705.0</v>
      </c>
      <c r="N11434" s="2" t="s">
        <v>21</v>
      </c>
    </row>
    <row r="11435" ht="15.75" customHeight="1">
      <c r="A11435" s="2">
        <v>2019.0</v>
      </c>
      <c r="B11435" s="2" t="s">
        <v>45824</v>
      </c>
      <c r="C11435" s="2" t="s">
        <v>45824</v>
      </c>
      <c r="D11435" s="2" t="str">
        <f>"847-271-2701"</f>
        <v>847-271-2701</v>
      </c>
      <c r="E11435" s="2" t="s">
        <v>45825</v>
      </c>
      <c r="F11435" s="2" t="s">
        <v>30507</v>
      </c>
      <c r="G11435" s="2" t="str">
        <f>"SR-16084"</f>
        <v>SR-16084</v>
      </c>
      <c r="H11435" s="2" t="s">
        <v>45826</v>
      </c>
      <c r="I11435" s="2" t="s">
        <v>30509</v>
      </c>
      <c r="K11435" s="2" t="s">
        <v>30510</v>
      </c>
      <c r="L11435" s="2" t="s">
        <v>105</v>
      </c>
      <c r="M11435" s="2">
        <v>60060.0</v>
      </c>
      <c r="N11435" s="2" t="s">
        <v>21</v>
      </c>
    </row>
    <row r="11436" ht="15.75" customHeight="1">
      <c r="A11436" s="2">
        <v>2019.0</v>
      </c>
      <c r="B11436" s="2" t="s">
        <v>22254</v>
      </c>
      <c r="C11436" s="2" t="s">
        <v>45827</v>
      </c>
      <c r="D11436" s="2" t="str">
        <f>"815-528-8332"</f>
        <v>815-528-8332</v>
      </c>
      <c r="E11436" s="2" t="s">
        <v>45828</v>
      </c>
      <c r="F11436" s="2" t="s">
        <v>22256</v>
      </c>
      <c r="G11436" s="2" t="str">
        <f>"SR-16086"</f>
        <v>SR-16086</v>
      </c>
      <c r="H11436" s="2" t="s">
        <v>45829</v>
      </c>
      <c r="I11436" s="2" t="s">
        <v>45830</v>
      </c>
      <c r="K11436" s="2" t="s">
        <v>42025</v>
      </c>
      <c r="L11436" s="2" t="s">
        <v>105</v>
      </c>
      <c r="M11436" s="2">
        <v>60081.0</v>
      </c>
      <c r="N11436" s="2" t="s">
        <v>21</v>
      </c>
    </row>
    <row r="11437" ht="15.75" customHeight="1">
      <c r="A11437" s="2">
        <v>2019.0</v>
      </c>
      <c r="B11437" s="2" t="s">
        <v>45804</v>
      </c>
      <c r="C11437" s="2" t="s">
        <v>45831</v>
      </c>
      <c r="D11437" s="2" t="str">
        <f>"304-237-5562"</f>
        <v>304-237-5562</v>
      </c>
      <c r="E11437" s="2" t="s">
        <v>25964</v>
      </c>
      <c r="F11437" s="2" t="s">
        <v>89</v>
      </c>
      <c r="G11437" s="2" t="str">
        <f>"SR-16083"</f>
        <v>SR-16083</v>
      </c>
      <c r="H11437" s="2" t="s">
        <v>45832</v>
      </c>
      <c r="I11437" s="2" t="s">
        <v>45833</v>
      </c>
      <c r="K11437" s="2" t="s">
        <v>5305</v>
      </c>
      <c r="L11437" s="2" t="s">
        <v>6449</v>
      </c>
      <c r="M11437" s="2">
        <v>25832.0</v>
      </c>
      <c r="N11437" s="2" t="s">
        <v>21</v>
      </c>
    </row>
    <row r="11438" ht="15.75" customHeight="1">
      <c r="A11438" s="2">
        <v>2019.0</v>
      </c>
      <c r="B11438" s="2" t="s">
        <v>45834</v>
      </c>
      <c r="C11438" s="2" t="s">
        <v>45835</v>
      </c>
      <c r="D11438" s="2" t="str">
        <f>"9017134693"</f>
        <v>9017134693</v>
      </c>
      <c r="E11438" s="2" t="s">
        <v>137</v>
      </c>
      <c r="F11438" s="2" t="s">
        <v>94</v>
      </c>
      <c r="G11438" s="2" t="str">
        <f>"SR-16087"</f>
        <v>SR-16087</v>
      </c>
      <c r="H11438" s="2" t="s">
        <v>29655</v>
      </c>
      <c r="I11438" s="2" t="s">
        <v>45836</v>
      </c>
      <c r="K11438" s="2" t="s">
        <v>26748</v>
      </c>
      <c r="L11438" s="2" t="s">
        <v>279</v>
      </c>
      <c r="M11438" s="2">
        <v>38053.0</v>
      </c>
      <c r="N11438" s="2" t="s">
        <v>21</v>
      </c>
    </row>
    <row r="11439" ht="15.75" customHeight="1">
      <c r="A11439" s="2">
        <v>2019.0</v>
      </c>
      <c r="B11439" s="2" t="s">
        <v>45804</v>
      </c>
      <c r="C11439" s="2" t="s">
        <v>45837</v>
      </c>
      <c r="D11439" s="2" t="str">
        <f>"304-228-3276"</f>
        <v>304-228-3276</v>
      </c>
      <c r="E11439" s="2" t="s">
        <v>580</v>
      </c>
      <c r="F11439" s="2" t="s">
        <v>45838</v>
      </c>
      <c r="G11439" s="2" t="str">
        <f>"SR-16088"</f>
        <v>SR-16088</v>
      </c>
      <c r="H11439" s="2" t="s">
        <v>45839</v>
      </c>
      <c r="I11439" s="2" t="s">
        <v>45840</v>
      </c>
      <c r="K11439" s="2" t="s">
        <v>45841</v>
      </c>
      <c r="L11439" s="2" t="s">
        <v>6449</v>
      </c>
      <c r="M11439" s="2">
        <v>25802.0</v>
      </c>
      <c r="N11439" s="2" t="s">
        <v>21</v>
      </c>
    </row>
    <row r="11440" ht="15.75" customHeight="1">
      <c r="A11440" s="2">
        <v>2019.0</v>
      </c>
      <c r="B11440" s="2" t="s">
        <v>45842</v>
      </c>
      <c r="C11440" s="2" t="s">
        <v>45843</v>
      </c>
      <c r="D11440" s="2" t="str">
        <f>"7205143245"</f>
        <v>7205143245</v>
      </c>
      <c r="E11440" s="2" t="s">
        <v>17710</v>
      </c>
      <c r="F11440" s="2" t="s">
        <v>45844</v>
      </c>
      <c r="G11440" s="2" t="str">
        <f>"SR-16089"</f>
        <v>SR-16089</v>
      </c>
      <c r="H11440" s="2" t="s">
        <v>45845</v>
      </c>
      <c r="I11440" s="2" t="s">
        <v>45846</v>
      </c>
      <c r="K11440" s="2" t="s">
        <v>45847</v>
      </c>
      <c r="L11440" s="2" t="s">
        <v>157</v>
      </c>
      <c r="M11440" s="2">
        <v>80104.0</v>
      </c>
      <c r="N11440" s="2" t="s">
        <v>21</v>
      </c>
    </row>
    <row r="11441" ht="15.75" customHeight="1">
      <c r="A11441" s="2">
        <v>2019.0</v>
      </c>
      <c r="B11441" s="2" t="s">
        <v>16883</v>
      </c>
      <c r="C11441" s="2" t="s">
        <v>45848</v>
      </c>
      <c r="D11441" s="2" t="str">
        <f>"7314312168"</f>
        <v>7314312168</v>
      </c>
      <c r="E11441" s="2" t="s">
        <v>339</v>
      </c>
      <c r="F11441" s="2" t="s">
        <v>591</v>
      </c>
      <c r="G11441" s="2" t="str">
        <f>"SR-15640"</f>
        <v>SR-15640</v>
      </c>
      <c r="H11441" s="2" t="s">
        <v>21535</v>
      </c>
      <c r="I11441" s="2" t="s">
        <v>16884</v>
      </c>
      <c r="K11441" s="2" t="s">
        <v>1257</v>
      </c>
      <c r="L11441" s="2" t="s">
        <v>279</v>
      </c>
      <c r="M11441" s="2">
        <v>38305.0</v>
      </c>
      <c r="N11441" s="2" t="s">
        <v>21</v>
      </c>
    </row>
    <row r="11442" ht="15.75" customHeight="1">
      <c r="A11442" s="2">
        <v>2019.0</v>
      </c>
      <c r="B11442" s="2" t="s">
        <v>33965</v>
      </c>
      <c r="C11442" s="2" t="s">
        <v>45849</v>
      </c>
      <c r="D11442" s="2" t="str">
        <f>"405-423-8973"</f>
        <v>405-423-8973</v>
      </c>
      <c r="E11442" s="2" t="s">
        <v>882</v>
      </c>
      <c r="F11442" s="2" t="s">
        <v>33968</v>
      </c>
      <c r="G11442" s="2" t="str">
        <f>"SR-16092"</f>
        <v>SR-16092</v>
      </c>
      <c r="H11442" s="2" t="s">
        <v>45850</v>
      </c>
      <c r="I11442" s="2" t="s">
        <v>33970</v>
      </c>
      <c r="K11442" s="2" t="s">
        <v>13776</v>
      </c>
      <c r="L11442" s="2" t="s">
        <v>840</v>
      </c>
      <c r="M11442" s="2">
        <v>73044.0</v>
      </c>
      <c r="N11442" s="2" t="s">
        <v>21</v>
      </c>
    </row>
    <row r="11443" ht="15.75" customHeight="1">
      <c r="A11443" s="2">
        <v>2019.0</v>
      </c>
      <c r="B11443" s="2" t="s">
        <v>45851</v>
      </c>
      <c r="C11443" s="2" t="s">
        <v>45852</v>
      </c>
      <c r="D11443" s="2" t="str">
        <f>"9073069383"</f>
        <v>9073069383</v>
      </c>
      <c r="E11443" s="2" t="s">
        <v>18277</v>
      </c>
      <c r="F11443" s="2" t="s">
        <v>5051</v>
      </c>
      <c r="G11443" s="2" t="str">
        <f>"SR-16093"</f>
        <v>SR-16093</v>
      </c>
      <c r="H11443" s="2" t="s">
        <v>45853</v>
      </c>
      <c r="I11443" s="2" t="s">
        <v>45854</v>
      </c>
      <c r="K11443" s="2" t="s">
        <v>1729</v>
      </c>
      <c r="L11443" s="2" t="s">
        <v>70</v>
      </c>
      <c r="M11443" s="2">
        <v>99577.0</v>
      </c>
      <c r="N11443" s="2" t="s">
        <v>21</v>
      </c>
    </row>
    <row r="11444" ht="15.75" customHeight="1">
      <c r="A11444" s="2">
        <v>2019.0</v>
      </c>
      <c r="B11444" s="2" t="s">
        <v>16883</v>
      </c>
      <c r="C11444" s="2" t="s">
        <v>16883</v>
      </c>
      <c r="D11444" s="2" t="str">
        <f>"7314312168"</f>
        <v>7314312168</v>
      </c>
      <c r="E11444" s="2" t="s">
        <v>1032</v>
      </c>
      <c r="F11444" s="2" t="s">
        <v>591</v>
      </c>
      <c r="G11444" s="2" t="str">
        <f>"SR-16094"</f>
        <v>SR-16094</v>
      </c>
      <c r="H11444" s="2" t="s">
        <v>45855</v>
      </c>
      <c r="I11444" s="2" t="s">
        <v>16884</v>
      </c>
      <c r="K11444" s="2" t="s">
        <v>1257</v>
      </c>
      <c r="L11444" s="2" t="s">
        <v>279</v>
      </c>
      <c r="M11444" s="2">
        <v>38305.0</v>
      </c>
      <c r="N11444" s="2" t="s">
        <v>21</v>
      </c>
    </row>
    <row r="11445" ht="15.75" customHeight="1">
      <c r="A11445" s="2">
        <v>2019.0</v>
      </c>
      <c r="B11445" s="2" t="s">
        <v>45856</v>
      </c>
      <c r="C11445" s="2" t="s">
        <v>45856</v>
      </c>
      <c r="D11445" s="2" t="str">
        <f>"708 921 4764"</f>
        <v>708 921 4764</v>
      </c>
      <c r="E11445" s="2" t="s">
        <v>45857</v>
      </c>
      <c r="F11445" s="2" t="s">
        <v>45858</v>
      </c>
      <c r="G11445" s="2" t="str">
        <f>"SR-16096"</f>
        <v>SR-16096</v>
      </c>
      <c r="H11445" s="2" t="s">
        <v>45859</v>
      </c>
      <c r="I11445" s="2" t="s">
        <v>45860</v>
      </c>
      <c r="K11445" s="2" t="s">
        <v>3845</v>
      </c>
      <c r="L11445" s="2" t="s">
        <v>105</v>
      </c>
      <c r="M11445" s="2">
        <v>60423.0</v>
      </c>
      <c r="N11445" s="2" t="s">
        <v>21</v>
      </c>
    </row>
    <row r="11446" ht="15.75" customHeight="1">
      <c r="A11446" s="2">
        <v>2019.0</v>
      </c>
      <c r="B11446" s="2" t="s">
        <v>45861</v>
      </c>
      <c r="C11446" s="2" t="s">
        <v>45862</v>
      </c>
      <c r="D11446" s="2" t="str">
        <f>"6162063215"</f>
        <v>6162063215</v>
      </c>
      <c r="E11446" s="2" t="s">
        <v>1239</v>
      </c>
      <c r="F11446" s="2" t="s">
        <v>45863</v>
      </c>
      <c r="G11446" s="2" t="str">
        <f>"SR-16097"</f>
        <v>SR-16097</v>
      </c>
      <c r="H11446" s="2" t="s">
        <v>45864</v>
      </c>
      <c r="I11446" s="2" t="s">
        <v>45865</v>
      </c>
      <c r="K11446" s="2" t="s">
        <v>7204</v>
      </c>
      <c r="L11446" s="2" t="s">
        <v>29</v>
      </c>
      <c r="M11446" s="2">
        <v>49316.0</v>
      </c>
      <c r="N11446" s="2" t="s">
        <v>21</v>
      </c>
    </row>
    <row r="11447" ht="15.75" customHeight="1">
      <c r="A11447" s="2">
        <v>2019.0</v>
      </c>
      <c r="B11447" s="2" t="s">
        <v>32404</v>
      </c>
      <c r="C11447" s="2" t="s">
        <v>45866</v>
      </c>
      <c r="D11447" s="2" t="str">
        <f>"402-604-9098"</f>
        <v>402-604-9098</v>
      </c>
      <c r="E11447" s="2" t="s">
        <v>492</v>
      </c>
      <c r="F11447" s="2" t="s">
        <v>32406</v>
      </c>
      <c r="G11447" s="2" t="str">
        <f>"SR-16018"</f>
        <v>SR-16018</v>
      </c>
      <c r="H11447" s="2" t="s">
        <v>45867</v>
      </c>
      <c r="I11447" s="2" t="s">
        <v>45868</v>
      </c>
      <c r="K11447" s="2" t="s">
        <v>21836</v>
      </c>
      <c r="L11447" s="2" t="s">
        <v>757</v>
      </c>
      <c r="M11447" s="2">
        <v>68841.0</v>
      </c>
      <c r="N11447" s="2" t="s">
        <v>21</v>
      </c>
    </row>
    <row r="11448" ht="15.75" customHeight="1">
      <c r="A11448" s="2">
        <v>2019.0</v>
      </c>
      <c r="B11448" s="2" t="s">
        <v>45869</v>
      </c>
      <c r="C11448" s="2" t="s">
        <v>45870</v>
      </c>
      <c r="D11448" s="2" t="str">
        <f>"469-773-8590"</f>
        <v>469-773-8590</v>
      </c>
      <c r="E11448" s="2" t="s">
        <v>24317</v>
      </c>
      <c r="F11448" s="2" t="s">
        <v>10116</v>
      </c>
      <c r="G11448" s="2" t="str">
        <f>"SR-16095"</f>
        <v>SR-16095</v>
      </c>
      <c r="H11448" s="2" t="s">
        <v>45871</v>
      </c>
      <c r="I11448" s="2" t="s">
        <v>45872</v>
      </c>
      <c r="K11448" s="2" t="s">
        <v>11179</v>
      </c>
      <c r="L11448" s="2" t="s">
        <v>172</v>
      </c>
      <c r="M11448" s="2">
        <v>76065.0</v>
      </c>
      <c r="N11448" s="2" t="s">
        <v>21</v>
      </c>
    </row>
    <row r="11449" ht="15.75" customHeight="1">
      <c r="A11449" s="2">
        <v>2019.0</v>
      </c>
      <c r="B11449" s="2" t="s">
        <v>45873</v>
      </c>
      <c r="C11449" s="2" t="s">
        <v>45874</v>
      </c>
      <c r="D11449" s="2" t="str">
        <f>"3092030409"</f>
        <v>3092030409</v>
      </c>
      <c r="E11449" s="2" t="s">
        <v>824</v>
      </c>
      <c r="F11449" s="2" t="s">
        <v>45875</v>
      </c>
      <c r="G11449" s="2" t="str">
        <f>"SR-16099"</f>
        <v>SR-16099</v>
      </c>
      <c r="H11449" s="2" t="s">
        <v>45876</v>
      </c>
      <c r="I11449" s="2" t="s">
        <v>45877</v>
      </c>
      <c r="K11449" s="2" t="s">
        <v>45878</v>
      </c>
      <c r="L11449" s="2" t="s">
        <v>105</v>
      </c>
      <c r="M11449" s="2">
        <v>61265.0</v>
      </c>
      <c r="N11449" s="2" t="s">
        <v>21</v>
      </c>
    </row>
    <row r="11450" ht="15.75" customHeight="1">
      <c r="A11450" s="2">
        <v>2019.0</v>
      </c>
      <c r="B11450" s="2" t="s">
        <v>45879</v>
      </c>
      <c r="C11450" s="2" t="s">
        <v>45880</v>
      </c>
      <c r="D11450" s="2" t="str">
        <f>"4695524517"</f>
        <v>4695524517</v>
      </c>
      <c r="E11450" s="2" t="s">
        <v>4769</v>
      </c>
      <c r="F11450" s="2" t="s">
        <v>45881</v>
      </c>
      <c r="G11450" s="2" t="str">
        <f>"SR-16101"</f>
        <v>SR-16101</v>
      </c>
      <c r="H11450" s="2" t="s">
        <v>45882</v>
      </c>
      <c r="I11450" s="2" t="s">
        <v>45883</v>
      </c>
      <c r="K11450" s="2" t="s">
        <v>21040</v>
      </c>
      <c r="L11450" s="2" t="s">
        <v>172</v>
      </c>
      <c r="M11450" s="2">
        <v>75143.0</v>
      </c>
      <c r="N11450" s="2" t="s">
        <v>21</v>
      </c>
    </row>
    <row r="11451" ht="15.75" customHeight="1">
      <c r="A11451" s="2">
        <v>2019.0</v>
      </c>
      <c r="B11451" s="2" t="s">
        <v>45873</v>
      </c>
      <c r="C11451" s="2" t="s">
        <v>45884</v>
      </c>
      <c r="D11451" s="2" t="str">
        <f>"3097148352"</f>
        <v>3097148352</v>
      </c>
      <c r="E11451" s="2" t="s">
        <v>45885</v>
      </c>
      <c r="F11451" s="2" t="s">
        <v>666</v>
      </c>
      <c r="G11451" s="2" t="str">
        <f>"SR-16102"</f>
        <v>SR-16102</v>
      </c>
      <c r="H11451" s="2" t="s">
        <v>45886</v>
      </c>
      <c r="I11451" s="2" t="s">
        <v>45887</v>
      </c>
      <c r="K11451" s="2" t="s">
        <v>45888</v>
      </c>
      <c r="L11451" s="2" t="s">
        <v>105</v>
      </c>
      <c r="M11451" s="2">
        <v>61241.0</v>
      </c>
      <c r="N11451" s="2" t="s">
        <v>21</v>
      </c>
    </row>
    <row r="11452" ht="15.75" customHeight="1">
      <c r="A11452" s="2">
        <v>2019.0</v>
      </c>
      <c r="B11452" s="2" t="s">
        <v>45889</v>
      </c>
      <c r="C11452" s="2" t="s">
        <v>45889</v>
      </c>
      <c r="D11452" s="2" t="str">
        <f>"(440) 299-8703"</f>
        <v>(440) 299-8703</v>
      </c>
      <c r="E11452" s="2" t="s">
        <v>485</v>
      </c>
      <c r="F11452" s="2" t="s">
        <v>45890</v>
      </c>
      <c r="G11452" s="2" t="str">
        <f>"SR-15914"</f>
        <v>SR-15914</v>
      </c>
      <c r="H11452" s="2" t="s">
        <v>45891</v>
      </c>
      <c r="I11452" s="2" t="s">
        <v>45892</v>
      </c>
      <c r="K11452" s="2" t="s">
        <v>13972</v>
      </c>
      <c r="L11452" s="2" t="s">
        <v>344</v>
      </c>
      <c r="M11452" s="2">
        <v>44024.0</v>
      </c>
      <c r="N11452" s="2" t="s">
        <v>21</v>
      </c>
    </row>
    <row r="11453" ht="15.75" customHeight="1">
      <c r="A11453" s="2">
        <v>2019.0</v>
      </c>
      <c r="B11453" s="2" t="s">
        <v>45873</v>
      </c>
      <c r="C11453" s="2" t="s">
        <v>45893</v>
      </c>
      <c r="D11453" s="2" t="str">
        <f>"3097382344"</f>
        <v>3097382344</v>
      </c>
      <c r="E11453" s="2" t="s">
        <v>282</v>
      </c>
      <c r="F11453" s="2" t="s">
        <v>2954</v>
      </c>
      <c r="G11453" s="2" t="str">
        <f>"SR-16104"</f>
        <v>SR-16104</v>
      </c>
      <c r="H11453" s="2" t="s">
        <v>45894</v>
      </c>
      <c r="I11453" s="2" t="s">
        <v>45895</v>
      </c>
      <c r="K11453" s="2" t="s">
        <v>13779</v>
      </c>
      <c r="L11453" s="2" t="s">
        <v>105</v>
      </c>
      <c r="M11453" s="2">
        <v>61264.0</v>
      </c>
      <c r="N11453" s="2" t="s">
        <v>21</v>
      </c>
    </row>
    <row r="11454" ht="15.75" customHeight="1">
      <c r="A11454" s="2">
        <v>2019.0</v>
      </c>
      <c r="B11454" s="2" t="s">
        <v>45896</v>
      </c>
      <c r="C11454" s="2" t="s">
        <v>45897</v>
      </c>
      <c r="D11454" s="2" t="str">
        <f>"215-431-9818"</f>
        <v>215-431-9818</v>
      </c>
      <c r="E11454" s="2" t="s">
        <v>1803</v>
      </c>
      <c r="F11454" s="2" t="s">
        <v>45898</v>
      </c>
      <c r="G11454" s="2" t="str">
        <f>"SR-15998"</f>
        <v>SR-15998</v>
      </c>
      <c r="H11454" s="2" t="s">
        <v>45899</v>
      </c>
      <c r="I11454" s="2" t="s">
        <v>45900</v>
      </c>
      <c r="K11454" s="2" t="s">
        <v>36133</v>
      </c>
      <c r="L11454" s="2" t="s">
        <v>179</v>
      </c>
      <c r="M11454" s="2">
        <v>19335.0</v>
      </c>
      <c r="N11454" s="2" t="s">
        <v>21</v>
      </c>
    </row>
    <row r="11455" ht="15.75" customHeight="1">
      <c r="A11455" s="2">
        <v>2019.0</v>
      </c>
      <c r="B11455" s="2" t="s">
        <v>45901</v>
      </c>
      <c r="C11455" s="2" t="s">
        <v>45902</v>
      </c>
      <c r="D11455" s="2" t="str">
        <f>"5098795261"</f>
        <v>5098795261</v>
      </c>
      <c r="E11455" s="2" t="s">
        <v>12075</v>
      </c>
      <c r="F11455" s="2" t="s">
        <v>45903</v>
      </c>
      <c r="G11455" s="2" t="str">
        <f>"SR-16103"</f>
        <v>SR-16103</v>
      </c>
      <c r="H11455" s="2" t="s">
        <v>45904</v>
      </c>
      <c r="I11455" s="2" t="s">
        <v>45905</v>
      </c>
      <c r="K11455" s="2" t="s">
        <v>1413</v>
      </c>
      <c r="L11455" s="2" t="s">
        <v>86</v>
      </c>
      <c r="M11455" s="2">
        <v>99208.0</v>
      </c>
      <c r="N11455" s="2" t="s">
        <v>21</v>
      </c>
    </row>
    <row r="11456" ht="15.75" customHeight="1">
      <c r="A11456" s="2">
        <v>2019.0</v>
      </c>
      <c r="B11456" s="2" t="s">
        <v>45873</v>
      </c>
      <c r="C11456" s="2" t="s">
        <v>45906</v>
      </c>
      <c r="D11456" s="2" t="str">
        <f>"9134162421"</f>
        <v>9134162421</v>
      </c>
      <c r="E11456" s="2" t="s">
        <v>7145</v>
      </c>
      <c r="F11456" s="2" t="s">
        <v>1151</v>
      </c>
      <c r="G11456" s="2" t="str">
        <f>"SR-16105"</f>
        <v>SR-16105</v>
      </c>
      <c r="H11456" s="2" t="s">
        <v>38653</v>
      </c>
      <c r="I11456" s="2" t="s">
        <v>45907</v>
      </c>
      <c r="K11456" s="2" t="s">
        <v>6360</v>
      </c>
      <c r="L11456" s="2" t="s">
        <v>560</v>
      </c>
      <c r="M11456" s="2">
        <v>52802.0</v>
      </c>
      <c r="N11456" s="2" t="s">
        <v>21</v>
      </c>
    </row>
    <row r="11457" ht="15.75" customHeight="1">
      <c r="A11457" s="2">
        <v>2019.0</v>
      </c>
      <c r="B11457" s="2" t="s">
        <v>34678</v>
      </c>
      <c r="C11457" s="2" t="s">
        <v>45908</v>
      </c>
      <c r="D11457" s="2" t="str">
        <f>"6038092492"</f>
        <v>6038092492</v>
      </c>
      <c r="E11457" s="2" t="s">
        <v>843</v>
      </c>
      <c r="F11457" s="2" t="s">
        <v>690</v>
      </c>
      <c r="G11457" s="2" t="str">
        <f>"SR-16098"</f>
        <v>SR-16098</v>
      </c>
      <c r="H11457" s="2" t="s">
        <v>45909</v>
      </c>
      <c r="I11457" s="2" t="s">
        <v>45910</v>
      </c>
      <c r="K11457" s="2" t="s">
        <v>34682</v>
      </c>
      <c r="L11457" s="2" t="s">
        <v>19930</v>
      </c>
      <c r="M11457" s="2">
        <v>3049.0</v>
      </c>
      <c r="N11457" s="2" t="s">
        <v>21</v>
      </c>
    </row>
    <row r="11458" ht="15.75" customHeight="1">
      <c r="A11458" s="2">
        <v>2019.0</v>
      </c>
      <c r="B11458" s="2" t="s">
        <v>45873</v>
      </c>
      <c r="C11458" s="2" t="s">
        <v>45911</v>
      </c>
      <c r="D11458" s="2" t="str">
        <f>"5636390433"</f>
        <v>5636390433</v>
      </c>
      <c r="E11458" s="2" t="s">
        <v>217</v>
      </c>
      <c r="F11458" s="2" t="s">
        <v>45912</v>
      </c>
      <c r="G11458" s="2" t="str">
        <f>"SR-16106"</f>
        <v>SR-16106</v>
      </c>
      <c r="H11458" s="2" t="s">
        <v>45913</v>
      </c>
      <c r="I11458" s="2" t="s">
        <v>45914</v>
      </c>
      <c r="K11458" s="2" t="s">
        <v>45915</v>
      </c>
      <c r="L11458" s="2" t="s">
        <v>560</v>
      </c>
      <c r="M11458" s="2">
        <v>52726.0</v>
      </c>
      <c r="N11458" s="2" t="s">
        <v>21</v>
      </c>
    </row>
    <row r="11459" ht="15.75" customHeight="1">
      <c r="A11459" s="2">
        <v>2019.0</v>
      </c>
      <c r="B11459" s="2" t="s">
        <v>45916</v>
      </c>
      <c r="C11459" s="2" t="s">
        <v>45916</v>
      </c>
      <c r="D11459" s="2" t="str">
        <f>"9402188264"</f>
        <v>9402188264</v>
      </c>
      <c r="E11459" s="2" t="s">
        <v>45917</v>
      </c>
      <c r="F11459" s="2" t="s">
        <v>7523</v>
      </c>
      <c r="G11459" s="2" t="str">
        <f>"SR-16107"</f>
        <v>SR-16107</v>
      </c>
      <c r="H11459" s="2" t="s">
        <v>45918</v>
      </c>
      <c r="I11459" s="2" t="s">
        <v>45919</v>
      </c>
      <c r="K11459" s="2" t="s">
        <v>6539</v>
      </c>
      <c r="L11459" s="2" t="s">
        <v>172</v>
      </c>
      <c r="M11459" s="2">
        <v>76210.0</v>
      </c>
      <c r="N11459" s="2" t="s">
        <v>21</v>
      </c>
    </row>
    <row r="11460" ht="15.75" customHeight="1">
      <c r="A11460" s="2">
        <v>2019.0</v>
      </c>
      <c r="B11460" s="2" t="s">
        <v>45873</v>
      </c>
      <c r="C11460" s="2" t="s">
        <v>45920</v>
      </c>
      <c r="D11460" s="2" t="str">
        <f>"3097568510"</f>
        <v>3097568510</v>
      </c>
      <c r="E11460" s="2" t="s">
        <v>6526</v>
      </c>
      <c r="F11460" s="2" t="s">
        <v>4824</v>
      </c>
      <c r="G11460" s="2" t="str">
        <f>"SR-16108"</f>
        <v>SR-16108</v>
      </c>
      <c r="H11460" s="2" t="s">
        <v>45921</v>
      </c>
      <c r="I11460" s="2" t="s">
        <v>45922</v>
      </c>
      <c r="K11460" s="2" t="s">
        <v>13779</v>
      </c>
      <c r="L11460" s="2" t="s">
        <v>105</v>
      </c>
      <c r="M11460" s="2">
        <v>61264.0</v>
      </c>
      <c r="N11460" s="2" t="s">
        <v>21</v>
      </c>
    </row>
    <row r="11461" ht="15.75" customHeight="1">
      <c r="A11461" s="2">
        <v>2019.0</v>
      </c>
      <c r="B11461" s="2" t="s">
        <v>45923</v>
      </c>
      <c r="C11461" s="2" t="s">
        <v>45924</v>
      </c>
      <c r="D11461" s="2" t="str">
        <f>"504-838-7292"</f>
        <v>504-838-7292</v>
      </c>
      <c r="E11461" s="2" t="s">
        <v>5667</v>
      </c>
      <c r="F11461" s="2" t="s">
        <v>1451</v>
      </c>
      <c r="G11461" s="2" t="str">
        <f>"SR-16109"</f>
        <v>SR-16109</v>
      </c>
      <c r="H11461" s="2" t="s">
        <v>45925</v>
      </c>
      <c r="I11461" s="2" t="s">
        <v>45926</v>
      </c>
      <c r="K11461" s="2" t="s">
        <v>45927</v>
      </c>
      <c r="L11461" s="2" t="s">
        <v>715</v>
      </c>
      <c r="M11461" s="2">
        <v>70001.0</v>
      </c>
      <c r="N11461" s="2" t="s">
        <v>21</v>
      </c>
    </row>
    <row r="11462" ht="15.75" customHeight="1">
      <c r="A11462" s="2">
        <v>2019.0</v>
      </c>
      <c r="B11462" s="2" t="s">
        <v>45873</v>
      </c>
      <c r="C11462" s="2" t="s">
        <v>45928</v>
      </c>
      <c r="D11462" s="2" t="str">
        <f>"3097568830"</f>
        <v>3097568830</v>
      </c>
      <c r="E11462" s="2" t="s">
        <v>14788</v>
      </c>
      <c r="F11462" s="2" t="s">
        <v>4824</v>
      </c>
      <c r="G11462" s="2" t="str">
        <f>"SR-16110"</f>
        <v>SR-16110</v>
      </c>
      <c r="H11462" s="2" t="s">
        <v>45929</v>
      </c>
      <c r="I11462" s="2" t="s">
        <v>45922</v>
      </c>
      <c r="K11462" s="2" t="s">
        <v>13779</v>
      </c>
      <c r="L11462" s="2" t="s">
        <v>105</v>
      </c>
      <c r="M11462" s="2">
        <v>61264.0</v>
      </c>
      <c r="N11462" s="2" t="s">
        <v>21</v>
      </c>
    </row>
    <row r="11463" ht="15.75" customHeight="1">
      <c r="A11463" s="2">
        <v>2019.0</v>
      </c>
      <c r="B11463" s="2" t="s">
        <v>45930</v>
      </c>
      <c r="C11463" s="2" t="s">
        <v>45931</v>
      </c>
      <c r="D11463" s="2" t="str">
        <f>"308-730-7030"</f>
        <v>308-730-7030</v>
      </c>
      <c r="E11463" s="2" t="s">
        <v>1141</v>
      </c>
      <c r="F11463" s="2" t="s">
        <v>4154</v>
      </c>
      <c r="G11463" s="2" t="str">
        <f>"SR-16113"</f>
        <v>SR-16113</v>
      </c>
      <c r="H11463" s="2" t="s">
        <v>45932</v>
      </c>
      <c r="I11463" s="2" t="s">
        <v>45933</v>
      </c>
      <c r="K11463" s="2" t="s">
        <v>23851</v>
      </c>
      <c r="L11463" s="2" t="s">
        <v>757</v>
      </c>
      <c r="M11463" s="2">
        <v>68862.0</v>
      </c>
      <c r="N11463" s="2" t="s">
        <v>21</v>
      </c>
    </row>
    <row r="11464" ht="15.75" customHeight="1">
      <c r="A11464" s="2">
        <v>2019.0</v>
      </c>
      <c r="B11464" s="2" t="s">
        <v>45934</v>
      </c>
      <c r="C11464" s="2" t="s">
        <v>45935</v>
      </c>
      <c r="D11464" s="2" t="str">
        <f>"951-295-7211"</f>
        <v>951-295-7211</v>
      </c>
      <c r="E11464" s="2" t="s">
        <v>9010</v>
      </c>
      <c r="F11464" s="2" t="s">
        <v>21596</v>
      </c>
      <c r="G11464" s="2" t="str">
        <f>"SR-16114"</f>
        <v>SR-16114</v>
      </c>
      <c r="H11464" s="2" t="s">
        <v>45936</v>
      </c>
      <c r="I11464" s="2" t="s">
        <v>45937</v>
      </c>
      <c r="K11464" s="2" t="s">
        <v>13889</v>
      </c>
      <c r="L11464" s="2" t="s">
        <v>222</v>
      </c>
      <c r="M11464" s="2">
        <v>92373.0</v>
      </c>
      <c r="N11464" s="2" t="s">
        <v>21</v>
      </c>
    </row>
    <row r="11465" ht="15.75" customHeight="1">
      <c r="A11465" s="2">
        <v>2019.0</v>
      </c>
      <c r="B11465" s="2" t="s">
        <v>45873</v>
      </c>
      <c r="C11465" s="2" t="s">
        <v>45938</v>
      </c>
      <c r="D11465" s="2" t="str">
        <f>"7125774430"</f>
        <v>7125774430</v>
      </c>
      <c r="E11465" s="2" t="s">
        <v>45939</v>
      </c>
      <c r="F11465" s="2" t="s">
        <v>45940</v>
      </c>
      <c r="G11465" s="2" t="str">
        <f>"SR-16112"</f>
        <v>SR-16112</v>
      </c>
      <c r="H11465" s="2" t="s">
        <v>45941</v>
      </c>
      <c r="I11465" s="2" t="s">
        <v>45942</v>
      </c>
      <c r="K11465" s="2" t="s">
        <v>6360</v>
      </c>
      <c r="L11465" s="2" t="s">
        <v>560</v>
      </c>
      <c r="M11465" s="2">
        <v>52804.0</v>
      </c>
      <c r="N11465" s="2" t="s">
        <v>21</v>
      </c>
    </row>
    <row r="11466" ht="15.75" customHeight="1">
      <c r="A11466" s="2">
        <v>2019.0</v>
      </c>
      <c r="B11466" s="2" t="s">
        <v>45873</v>
      </c>
      <c r="C11466" s="2" t="s">
        <v>45943</v>
      </c>
      <c r="D11466" s="2" t="str">
        <f>"3097376414"</f>
        <v>3097376414</v>
      </c>
      <c r="E11466" s="2" t="s">
        <v>2243</v>
      </c>
      <c r="F11466" s="2" t="s">
        <v>11171</v>
      </c>
      <c r="G11466" s="2" t="str">
        <f>"SR-16116"</f>
        <v>SR-16116</v>
      </c>
      <c r="H11466" s="2" t="s">
        <v>45944</v>
      </c>
      <c r="I11466" s="2" t="s">
        <v>45945</v>
      </c>
      <c r="K11466" s="2" t="s">
        <v>6017</v>
      </c>
      <c r="L11466" s="2" t="s">
        <v>105</v>
      </c>
      <c r="M11466" s="2">
        <v>61231.0</v>
      </c>
      <c r="N11466" s="2" t="s">
        <v>21</v>
      </c>
    </row>
    <row r="11467" ht="15.75" customHeight="1">
      <c r="A11467" s="2">
        <v>2019.0</v>
      </c>
      <c r="B11467" s="2" t="s">
        <v>45946</v>
      </c>
      <c r="C11467" s="2" t="s">
        <v>45947</v>
      </c>
      <c r="D11467" s="2" t="str">
        <f>"7323090606"</f>
        <v>7323090606</v>
      </c>
      <c r="E11467" s="2" t="s">
        <v>12075</v>
      </c>
      <c r="F11467" s="2" t="s">
        <v>45948</v>
      </c>
      <c r="G11467" s="2" t="str">
        <f>"SR-16077"</f>
        <v>SR-16077</v>
      </c>
      <c r="H11467" s="2" t="s">
        <v>45949</v>
      </c>
      <c r="I11467" s="2" t="s">
        <v>45950</v>
      </c>
      <c r="K11467" s="2" t="s">
        <v>40314</v>
      </c>
      <c r="L11467" s="2" t="s">
        <v>179</v>
      </c>
      <c r="M11467" s="2">
        <v>19320.0</v>
      </c>
      <c r="N11467" s="2" t="s">
        <v>21</v>
      </c>
    </row>
    <row r="11468" ht="15.75" customHeight="1">
      <c r="A11468" s="2">
        <v>2019.0</v>
      </c>
      <c r="B11468" s="2" t="s">
        <v>45930</v>
      </c>
      <c r="C11468" s="2" t="s">
        <v>45951</v>
      </c>
      <c r="D11468" s="2" t="str">
        <f>"308-730-7144"</f>
        <v>308-730-7144</v>
      </c>
      <c r="E11468" s="2" t="s">
        <v>666</v>
      </c>
      <c r="F11468" s="2" t="s">
        <v>4154</v>
      </c>
      <c r="G11468" s="2" t="str">
        <f>"SR-16118"</f>
        <v>SR-16118</v>
      </c>
      <c r="H11468" s="2" t="s">
        <v>45952</v>
      </c>
      <c r="I11468" s="2" t="s">
        <v>45933</v>
      </c>
      <c r="K11468" s="2" t="s">
        <v>23851</v>
      </c>
      <c r="L11468" s="2" t="s">
        <v>757</v>
      </c>
      <c r="M11468" s="2">
        <v>68862.0</v>
      </c>
      <c r="N11468" s="2" t="s">
        <v>21</v>
      </c>
    </row>
    <row r="11469" ht="15.75" customHeight="1">
      <c r="A11469" s="2">
        <v>2019.0</v>
      </c>
      <c r="B11469" s="2" t="s">
        <v>45953</v>
      </c>
      <c r="C11469" s="2" t="s">
        <v>45954</v>
      </c>
      <c r="D11469" s="2" t="str">
        <f>"8602273454"</f>
        <v>8602273454</v>
      </c>
      <c r="E11469" s="2" t="s">
        <v>678</v>
      </c>
      <c r="F11469" s="2" t="s">
        <v>45955</v>
      </c>
      <c r="G11469" s="2" t="str">
        <f>"SR-16111"</f>
        <v>SR-16111</v>
      </c>
      <c r="H11469" s="2" t="s">
        <v>45956</v>
      </c>
      <c r="I11469" s="2" t="s">
        <v>45957</v>
      </c>
      <c r="J11469" s="2" t="s">
        <v>45958</v>
      </c>
      <c r="K11469" s="2" t="s">
        <v>45959</v>
      </c>
      <c r="L11469" s="2" t="s">
        <v>4836</v>
      </c>
      <c r="M11469" s="2">
        <v>6414.0</v>
      </c>
      <c r="N11469" s="2" t="s">
        <v>21</v>
      </c>
    </row>
    <row r="11470" ht="15.75" customHeight="1">
      <c r="A11470" s="2">
        <v>2019.0</v>
      </c>
      <c r="B11470" s="2" t="s">
        <v>45960</v>
      </c>
      <c r="C11470" s="2" t="s">
        <v>45961</v>
      </c>
      <c r="D11470" s="2" t="str">
        <f>"3087302710"</f>
        <v>3087302710</v>
      </c>
      <c r="E11470" s="2" t="s">
        <v>160</v>
      </c>
      <c r="F11470" s="2" t="s">
        <v>6760</v>
      </c>
      <c r="G11470" s="2" t="str">
        <f>"SR-5530"</f>
        <v>SR-5530</v>
      </c>
      <c r="H11470" s="2" t="s">
        <v>45962</v>
      </c>
      <c r="I11470" s="2" t="s">
        <v>45963</v>
      </c>
      <c r="K11470" s="2" t="s">
        <v>23851</v>
      </c>
      <c r="L11470" s="2" t="s">
        <v>757</v>
      </c>
      <c r="M11470" s="2">
        <v>68862.0</v>
      </c>
      <c r="N11470" s="2" t="s">
        <v>21</v>
      </c>
    </row>
    <row r="11471" ht="15.75" customHeight="1">
      <c r="A11471" s="2">
        <v>2019.0</v>
      </c>
      <c r="B11471" s="2" t="s">
        <v>33066</v>
      </c>
      <c r="C11471" s="2" t="s">
        <v>45964</v>
      </c>
      <c r="D11471" s="2" t="str">
        <f>"907-953-7183"</f>
        <v>907-953-7183</v>
      </c>
      <c r="E11471" s="2" t="s">
        <v>100</v>
      </c>
      <c r="F11471" s="2" t="s">
        <v>45965</v>
      </c>
      <c r="G11471" s="2" t="str">
        <f>"SR-16117"</f>
        <v>SR-16117</v>
      </c>
      <c r="H11471" s="2" t="s">
        <v>45966</v>
      </c>
      <c r="I11471" s="2" t="s">
        <v>45967</v>
      </c>
      <c r="K11471" s="2" t="s">
        <v>1336</v>
      </c>
      <c r="L11471" s="2" t="s">
        <v>70</v>
      </c>
      <c r="M11471" s="2">
        <v>99669.0</v>
      </c>
      <c r="N11471" s="2" t="s">
        <v>21</v>
      </c>
    </row>
    <row r="11472" ht="15.75" customHeight="1">
      <c r="A11472" s="2">
        <v>2019.0</v>
      </c>
      <c r="B11472" s="2" t="s">
        <v>45960</v>
      </c>
      <c r="C11472" s="2" t="s">
        <v>45968</v>
      </c>
      <c r="D11472" s="2" t="str">
        <f>"3087300497"</f>
        <v>3087300497</v>
      </c>
      <c r="E11472" s="2" t="s">
        <v>386</v>
      </c>
      <c r="F11472" s="2" t="s">
        <v>6760</v>
      </c>
      <c r="G11472" s="2" t="str">
        <f>"SR-16119"</f>
        <v>SR-16119</v>
      </c>
      <c r="H11472" s="2" t="s">
        <v>45969</v>
      </c>
      <c r="I11472" s="2" t="s">
        <v>45963</v>
      </c>
      <c r="K11472" s="2" t="s">
        <v>23851</v>
      </c>
      <c r="L11472" s="2" t="s">
        <v>757</v>
      </c>
      <c r="M11472" s="2">
        <v>68862.0</v>
      </c>
      <c r="N11472" s="2" t="s">
        <v>21</v>
      </c>
    </row>
    <row r="11473" ht="15.75" customHeight="1">
      <c r="A11473" s="2">
        <v>2019.0</v>
      </c>
      <c r="B11473" s="2" t="s">
        <v>45970</v>
      </c>
      <c r="C11473" s="2" t="s">
        <v>45971</v>
      </c>
      <c r="D11473" s="2" t="str">
        <f>"303-646-0424"</f>
        <v>303-646-0424</v>
      </c>
      <c r="E11473" s="2" t="s">
        <v>12783</v>
      </c>
      <c r="F11473" s="2" t="s">
        <v>45972</v>
      </c>
      <c r="G11473" s="2" t="str">
        <f>"SR-16013"</f>
        <v>SR-16013</v>
      </c>
      <c r="H11473" s="2" t="s">
        <v>45973</v>
      </c>
      <c r="I11473" s="2" t="s">
        <v>45974</v>
      </c>
      <c r="K11473" s="2" t="s">
        <v>1054</v>
      </c>
      <c r="L11473" s="2" t="s">
        <v>157</v>
      </c>
      <c r="M11473" s="2">
        <v>80138.0</v>
      </c>
      <c r="N11473" s="2" t="s">
        <v>21</v>
      </c>
    </row>
    <row r="11474" ht="15.75" customHeight="1">
      <c r="A11474" s="2">
        <v>2019.0</v>
      </c>
      <c r="B11474" s="2" t="s">
        <v>42612</v>
      </c>
      <c r="C11474" s="2" t="s">
        <v>42613</v>
      </c>
      <c r="D11474" s="2" t="str">
        <f>"469-343-5037"</f>
        <v>469-343-5037</v>
      </c>
      <c r="E11474" s="2" t="s">
        <v>3111</v>
      </c>
      <c r="F11474" s="2" t="s">
        <v>10775</v>
      </c>
      <c r="G11474" s="2" t="str">
        <f>"SR-14771"</f>
        <v>SR-14771</v>
      </c>
      <c r="H11474" s="2" t="s">
        <v>42614</v>
      </c>
      <c r="I11474" s="2" t="s">
        <v>42615</v>
      </c>
      <c r="K11474" s="2" t="s">
        <v>42616</v>
      </c>
      <c r="L11474" s="2" t="s">
        <v>172</v>
      </c>
      <c r="M11474" s="2">
        <v>75065.0</v>
      </c>
      <c r="N11474" s="2" t="s">
        <v>21</v>
      </c>
    </row>
    <row r="11475" ht="15.75" customHeight="1">
      <c r="A11475" s="2">
        <v>2019.0</v>
      </c>
      <c r="B11475" s="2" t="s">
        <v>33066</v>
      </c>
      <c r="C11475" s="2" t="s">
        <v>45975</v>
      </c>
      <c r="D11475" s="2" t="str">
        <f>"907-420-4445"</f>
        <v>907-420-4445</v>
      </c>
      <c r="E11475" s="2" t="s">
        <v>301</v>
      </c>
      <c r="F11475" s="2" t="s">
        <v>17535</v>
      </c>
      <c r="G11475" s="2" t="str">
        <f>"SR-16120"</f>
        <v>SR-16120</v>
      </c>
      <c r="H11475" s="2" t="s">
        <v>45976</v>
      </c>
      <c r="I11475" s="2" t="s">
        <v>17537</v>
      </c>
      <c r="K11475" s="2" t="s">
        <v>1336</v>
      </c>
      <c r="L11475" s="2" t="s">
        <v>70</v>
      </c>
      <c r="M11475" s="2">
        <v>99669.0</v>
      </c>
      <c r="N11475" s="2" t="s">
        <v>21</v>
      </c>
    </row>
    <row r="11476" ht="15.75" customHeight="1">
      <c r="A11476" s="2">
        <v>2019.0</v>
      </c>
      <c r="B11476" s="2" t="s">
        <v>33066</v>
      </c>
      <c r="C11476" s="2" t="s">
        <v>45977</v>
      </c>
      <c r="D11476" s="2" t="str">
        <f>"19073981008"</f>
        <v>19073981008</v>
      </c>
      <c r="E11476" s="2" t="s">
        <v>45978</v>
      </c>
      <c r="F11476" s="2" t="s">
        <v>17496</v>
      </c>
      <c r="G11476" s="2" t="str">
        <f>"SR-16121"</f>
        <v>SR-16121</v>
      </c>
      <c r="H11476" s="2" t="s">
        <v>45979</v>
      </c>
      <c r="I11476" s="2" t="s">
        <v>45980</v>
      </c>
      <c r="K11476" s="2" t="s">
        <v>45981</v>
      </c>
      <c r="L11476" s="2" t="s">
        <v>70</v>
      </c>
      <c r="M11476" s="2">
        <v>99611.0</v>
      </c>
      <c r="N11476" s="2" t="s">
        <v>21</v>
      </c>
    </row>
    <row r="11477" ht="15.75" customHeight="1">
      <c r="A11477" s="2">
        <v>2019.0</v>
      </c>
      <c r="B11477" s="2" t="s">
        <v>45982</v>
      </c>
      <c r="C11477" s="2" t="s">
        <v>45983</v>
      </c>
      <c r="D11477" s="2" t="str">
        <f>"239290-9061"</f>
        <v>239290-9061</v>
      </c>
      <c r="E11477" s="2" t="s">
        <v>2857</v>
      </c>
      <c r="F11477" s="2" t="s">
        <v>45984</v>
      </c>
      <c r="G11477" s="2" t="str">
        <f>"SR-15980"</f>
        <v>SR-15980</v>
      </c>
      <c r="H11477" s="2" t="s">
        <v>45985</v>
      </c>
      <c r="I11477" s="2" t="s">
        <v>45986</v>
      </c>
      <c r="K11477" s="2" t="s">
        <v>5046</v>
      </c>
      <c r="L11477" s="2" t="s">
        <v>208</v>
      </c>
      <c r="M11477" s="2">
        <v>34120.0</v>
      </c>
      <c r="N11477" s="2" t="s">
        <v>21</v>
      </c>
    </row>
    <row r="11478" ht="15.75" customHeight="1">
      <c r="A11478" s="2">
        <v>2019.0</v>
      </c>
      <c r="B11478" s="2" t="s">
        <v>23665</v>
      </c>
      <c r="C11478" s="2" t="s">
        <v>45987</v>
      </c>
      <c r="D11478" s="2" t="str">
        <f>"7742733141"</f>
        <v>7742733141</v>
      </c>
      <c r="E11478" s="2" t="s">
        <v>1324</v>
      </c>
      <c r="F11478" s="2" t="s">
        <v>23667</v>
      </c>
      <c r="G11478" s="2" t="str">
        <f>"SR-16123"</f>
        <v>SR-16123</v>
      </c>
      <c r="H11478" s="2" t="s">
        <v>45988</v>
      </c>
      <c r="I11478" s="2" t="s">
        <v>45989</v>
      </c>
      <c r="K11478" s="2" t="s">
        <v>831</v>
      </c>
      <c r="L11478" s="2" t="s">
        <v>4108</v>
      </c>
      <c r="M11478" s="2">
        <v>2766.0</v>
      </c>
      <c r="N11478" s="2" t="s">
        <v>21</v>
      </c>
    </row>
    <row r="11479" ht="15.75" customHeight="1">
      <c r="A11479" s="2">
        <v>2019.0</v>
      </c>
      <c r="B11479" s="2" t="s">
        <v>45982</v>
      </c>
      <c r="C11479" s="2" t="s">
        <v>45990</v>
      </c>
      <c r="D11479" s="2" t="str">
        <f>"239 290 9061"</f>
        <v>239 290 9061</v>
      </c>
      <c r="E11479" s="2" t="s">
        <v>1278</v>
      </c>
      <c r="F11479" s="2" t="s">
        <v>45984</v>
      </c>
      <c r="G11479" s="2" t="str">
        <f>"SR-14064"</f>
        <v>SR-14064</v>
      </c>
      <c r="H11479" s="2" t="s">
        <v>45991</v>
      </c>
      <c r="I11479" s="2" t="s">
        <v>45986</v>
      </c>
      <c r="K11479" s="2" t="s">
        <v>5046</v>
      </c>
      <c r="L11479" s="2" t="s">
        <v>208</v>
      </c>
      <c r="M11479" s="2">
        <v>34120.0</v>
      </c>
      <c r="N11479" s="2" t="s">
        <v>21</v>
      </c>
    </row>
    <row r="11480" ht="15.75" customHeight="1">
      <c r="A11480" s="2">
        <v>2019.0</v>
      </c>
      <c r="B11480" s="2" t="s">
        <v>45992</v>
      </c>
      <c r="C11480" s="2" t="s">
        <v>45993</v>
      </c>
      <c r="D11480" s="2" t="str">
        <f>"518-761-6641"</f>
        <v>518-761-6641</v>
      </c>
      <c r="E11480" s="2" t="s">
        <v>45994</v>
      </c>
      <c r="F11480" s="2" t="s">
        <v>12016</v>
      </c>
      <c r="G11480" s="2" t="str">
        <f>"SR-16054"</f>
        <v>SR-16054</v>
      </c>
      <c r="H11480" s="2" t="s">
        <v>45995</v>
      </c>
      <c r="I11480" s="2" t="s">
        <v>12018</v>
      </c>
      <c r="K11480" s="2" t="s">
        <v>12019</v>
      </c>
      <c r="L11480" s="2" t="s">
        <v>142</v>
      </c>
      <c r="M11480" s="2">
        <v>12804.0</v>
      </c>
      <c r="N11480" s="2" t="s">
        <v>21</v>
      </c>
    </row>
    <row r="11481" ht="15.75" customHeight="1">
      <c r="A11481" s="2">
        <v>2019.0</v>
      </c>
      <c r="B11481" s="2" t="s">
        <v>45996</v>
      </c>
      <c r="C11481" s="2" t="s">
        <v>45997</v>
      </c>
      <c r="D11481" s="2" t="str">
        <f>"402-679-9017"</f>
        <v>402-679-9017</v>
      </c>
      <c r="E11481" s="2" t="s">
        <v>580</v>
      </c>
      <c r="F11481" s="2" t="s">
        <v>17518</v>
      </c>
      <c r="G11481" s="2" t="str">
        <f>"SR-16062"</f>
        <v>SR-16062</v>
      </c>
      <c r="H11481" s="2" t="s">
        <v>45998</v>
      </c>
      <c r="I11481" s="2" t="s">
        <v>45999</v>
      </c>
      <c r="K11481" s="2" t="s">
        <v>1470</v>
      </c>
      <c r="L11481" s="2" t="s">
        <v>757</v>
      </c>
      <c r="M11481" s="2">
        <v>68134.0</v>
      </c>
      <c r="N11481" s="2" t="s">
        <v>21</v>
      </c>
    </row>
    <row r="11482" ht="15.75" customHeight="1">
      <c r="A11482" s="2">
        <v>2019.0</v>
      </c>
      <c r="B11482" s="2" t="s">
        <v>46000</v>
      </c>
      <c r="C11482" s="2" t="s">
        <v>46001</v>
      </c>
      <c r="D11482" s="2" t="str">
        <f>"17173428291"</f>
        <v>17173428291</v>
      </c>
      <c r="E11482" s="2" t="s">
        <v>1208</v>
      </c>
      <c r="F11482" s="2" t="s">
        <v>4652</v>
      </c>
      <c r="G11482" s="2" t="str">
        <f>"SR-15682"</f>
        <v>SR-15682</v>
      </c>
      <c r="H11482" s="2" t="s">
        <v>46002</v>
      </c>
      <c r="I11482" s="2" t="s">
        <v>46003</v>
      </c>
      <c r="K11482" s="2" t="s">
        <v>29763</v>
      </c>
      <c r="L11482" s="2" t="s">
        <v>179</v>
      </c>
      <c r="M11482" s="2">
        <v>17552.0</v>
      </c>
      <c r="N11482" s="2" t="s">
        <v>21</v>
      </c>
    </row>
    <row r="11483" ht="15.75" customHeight="1">
      <c r="A11483" s="2">
        <v>2019.0</v>
      </c>
      <c r="B11483" s="2" t="s">
        <v>46004</v>
      </c>
      <c r="C11483" s="2" t="s">
        <v>46004</v>
      </c>
      <c r="D11483" s="2" t="str">
        <f>"614-935-9817"</f>
        <v>614-935-9817</v>
      </c>
      <c r="E11483" s="2" t="s">
        <v>225</v>
      </c>
      <c r="F11483" s="2" t="s">
        <v>428</v>
      </c>
      <c r="G11483" s="2" t="str">
        <f>"SR-16127"</f>
        <v>SR-16127</v>
      </c>
      <c r="H11483" s="2" t="s">
        <v>46005</v>
      </c>
      <c r="I11483" s="2" t="s">
        <v>46006</v>
      </c>
      <c r="K11483" s="2" t="s">
        <v>3503</v>
      </c>
      <c r="L11483" s="2" t="s">
        <v>344</v>
      </c>
      <c r="M11483" s="2">
        <v>43146.0</v>
      </c>
      <c r="N11483" s="2" t="s">
        <v>21</v>
      </c>
    </row>
    <row r="11484" ht="15.75" customHeight="1">
      <c r="A11484" s="2">
        <v>2019.0</v>
      </c>
      <c r="B11484" s="2" t="s">
        <v>25591</v>
      </c>
      <c r="C11484" s="2" t="s">
        <v>46007</v>
      </c>
      <c r="D11484" s="2" t="str">
        <f>"8654740880"</f>
        <v>8654740880</v>
      </c>
      <c r="E11484" s="2" t="s">
        <v>1974</v>
      </c>
      <c r="F11484" s="2" t="s">
        <v>5414</v>
      </c>
      <c r="G11484" s="2" t="str">
        <f>"SR-16128"</f>
        <v>SR-16128</v>
      </c>
      <c r="H11484" s="2" t="s">
        <v>16565</v>
      </c>
      <c r="I11484" s="2" t="s">
        <v>25594</v>
      </c>
      <c r="K11484" s="2" t="s">
        <v>3630</v>
      </c>
      <c r="L11484" s="2" t="s">
        <v>279</v>
      </c>
      <c r="M11484" s="2">
        <v>37820.0</v>
      </c>
      <c r="N11484" s="2" t="s">
        <v>21</v>
      </c>
    </row>
    <row r="11485" ht="15.75" customHeight="1">
      <c r="A11485" s="2">
        <v>2019.0</v>
      </c>
      <c r="B11485" s="2" t="s">
        <v>46008</v>
      </c>
      <c r="C11485" s="2" t="s">
        <v>46009</v>
      </c>
      <c r="D11485" s="2" t="str">
        <f>"9013554661"</f>
        <v>9013554661</v>
      </c>
      <c r="E11485" s="2" t="s">
        <v>1039</v>
      </c>
      <c r="F11485" s="2" t="s">
        <v>18007</v>
      </c>
      <c r="G11485" s="2" t="str">
        <f>"SR-16071"</f>
        <v>SR-16071</v>
      </c>
      <c r="H11485" s="2" t="s">
        <v>46010</v>
      </c>
      <c r="I11485" s="2" t="s">
        <v>46011</v>
      </c>
      <c r="K11485" s="2" t="s">
        <v>5437</v>
      </c>
      <c r="L11485" s="2" t="s">
        <v>279</v>
      </c>
      <c r="M11485" s="2">
        <v>38135.0</v>
      </c>
      <c r="N11485" s="2" t="s">
        <v>21</v>
      </c>
    </row>
    <row r="11486" ht="15.75" customHeight="1">
      <c r="A11486" s="2">
        <v>2019.0</v>
      </c>
      <c r="B11486" s="2" t="s">
        <v>25591</v>
      </c>
      <c r="C11486" s="2" t="s">
        <v>46012</v>
      </c>
      <c r="D11486" s="2" t="str">
        <f>"8653072126"</f>
        <v>8653072126</v>
      </c>
      <c r="E11486" s="2" t="s">
        <v>1094</v>
      </c>
      <c r="F11486" s="2" t="s">
        <v>5414</v>
      </c>
      <c r="G11486" s="2" t="str">
        <f>"SR-16132"</f>
        <v>SR-16132</v>
      </c>
      <c r="H11486" s="2" t="s">
        <v>46013</v>
      </c>
      <c r="I11486" s="2" t="s">
        <v>25594</v>
      </c>
      <c r="K11486" s="2" t="s">
        <v>3630</v>
      </c>
      <c r="L11486" s="2" t="s">
        <v>279</v>
      </c>
      <c r="M11486" s="2">
        <v>37820.0</v>
      </c>
      <c r="N11486" s="2" t="s">
        <v>21</v>
      </c>
    </row>
    <row r="11487" ht="15.75" customHeight="1">
      <c r="A11487" s="2">
        <v>2019.0</v>
      </c>
      <c r="B11487" s="2" t="s">
        <v>31581</v>
      </c>
      <c r="C11487" s="2" t="s">
        <v>46014</v>
      </c>
      <c r="D11487" s="2" t="str">
        <f>"240-446-7376"</f>
        <v>240-446-7376</v>
      </c>
      <c r="E11487" s="2" t="s">
        <v>8887</v>
      </c>
      <c r="F11487" s="2" t="s">
        <v>863</v>
      </c>
      <c r="G11487" s="2" t="str">
        <f>"SR-16131"</f>
        <v>SR-16131</v>
      </c>
      <c r="H11487" s="2" t="s">
        <v>46015</v>
      </c>
      <c r="I11487" s="2" t="s">
        <v>31584</v>
      </c>
      <c r="K11487" s="2" t="s">
        <v>2897</v>
      </c>
      <c r="L11487" s="2" t="s">
        <v>208</v>
      </c>
      <c r="M11487" s="2">
        <v>33076.0</v>
      </c>
      <c r="N11487" s="2" t="s">
        <v>21</v>
      </c>
    </row>
    <row r="11488" ht="15.75" customHeight="1">
      <c r="A11488" s="2">
        <v>2019.0</v>
      </c>
      <c r="B11488" s="2" t="s">
        <v>46016</v>
      </c>
      <c r="C11488" s="2" t="s">
        <v>46017</v>
      </c>
      <c r="D11488" s="2" t="str">
        <f>"9547465459"</f>
        <v>9547465459</v>
      </c>
      <c r="E11488" s="2" t="s">
        <v>471</v>
      </c>
      <c r="F11488" s="2" t="s">
        <v>4501</v>
      </c>
      <c r="G11488" s="2" t="str">
        <f>"SR-16129"</f>
        <v>SR-16129</v>
      </c>
      <c r="H11488" s="2" t="s">
        <v>46018</v>
      </c>
      <c r="I11488" s="2" t="s">
        <v>23785</v>
      </c>
      <c r="K11488" s="2" t="s">
        <v>23786</v>
      </c>
      <c r="L11488" s="2" t="s">
        <v>208</v>
      </c>
      <c r="M11488" s="2">
        <v>33322.0</v>
      </c>
      <c r="N11488" s="2" t="s">
        <v>21</v>
      </c>
    </row>
    <row r="11489" ht="15.75" customHeight="1">
      <c r="A11489" s="2">
        <v>2019.0</v>
      </c>
      <c r="B11489" s="2" t="s">
        <v>46019</v>
      </c>
      <c r="C11489" s="2" t="s">
        <v>46020</v>
      </c>
      <c r="D11489" s="2" t="str">
        <f>"5408775305"</f>
        <v>5408775305</v>
      </c>
      <c r="E11489" s="2" t="s">
        <v>50</v>
      </c>
      <c r="F11489" s="2" t="s">
        <v>46021</v>
      </c>
      <c r="G11489" s="2" t="str">
        <f>"SR-16130"</f>
        <v>SR-16130</v>
      </c>
      <c r="H11489" s="2" t="s">
        <v>46022</v>
      </c>
      <c r="I11489" s="2" t="s">
        <v>46023</v>
      </c>
      <c r="K11489" s="2" t="s">
        <v>594</v>
      </c>
      <c r="L11489" s="2" t="s">
        <v>165</v>
      </c>
      <c r="M11489" s="2">
        <v>22601.0</v>
      </c>
      <c r="N11489" s="2" t="s">
        <v>21</v>
      </c>
    </row>
    <row r="11490" ht="15.75" customHeight="1">
      <c r="A11490" s="2">
        <v>2019.0</v>
      </c>
      <c r="B11490" s="2" t="s">
        <v>13435</v>
      </c>
      <c r="C11490" s="2" t="s">
        <v>46024</v>
      </c>
      <c r="D11490" s="2" t="str">
        <f>"704-441-3687"</f>
        <v>704-441-3687</v>
      </c>
      <c r="E11490" s="2" t="s">
        <v>1015</v>
      </c>
      <c r="F11490" s="2" t="s">
        <v>13437</v>
      </c>
      <c r="G11490" s="2" t="str">
        <f>"SR-16135"</f>
        <v>SR-16135</v>
      </c>
      <c r="H11490" s="2" t="s">
        <v>46025</v>
      </c>
      <c r="I11490" s="2" t="s">
        <v>13439</v>
      </c>
      <c r="K11490" s="2" t="s">
        <v>4304</v>
      </c>
      <c r="L11490" s="2" t="s">
        <v>20</v>
      </c>
      <c r="M11490" s="2">
        <v>28173.0</v>
      </c>
      <c r="N11490" s="2" t="s">
        <v>21</v>
      </c>
    </row>
    <row r="11491" ht="15.75" customHeight="1">
      <c r="A11491" s="2">
        <v>2019.0</v>
      </c>
      <c r="B11491" s="2" t="s">
        <v>46026</v>
      </c>
      <c r="C11491" s="2" t="s">
        <v>46027</v>
      </c>
      <c r="D11491" s="2" t="str">
        <f>"(804)550-5492"</f>
        <v>(804)550-5492</v>
      </c>
      <c r="E11491" s="2" t="s">
        <v>367</v>
      </c>
      <c r="F11491" s="2" t="s">
        <v>41253</v>
      </c>
      <c r="G11491" s="2" t="str">
        <f>"SR-15967"</f>
        <v>SR-15967</v>
      </c>
      <c r="H11491" s="2" t="s">
        <v>46028</v>
      </c>
      <c r="I11491" s="2" t="s">
        <v>46029</v>
      </c>
      <c r="K11491" s="2" t="s">
        <v>7971</v>
      </c>
      <c r="L11491" s="2" t="s">
        <v>165</v>
      </c>
      <c r="M11491" s="2">
        <v>23116.0</v>
      </c>
      <c r="N11491" s="2" t="s">
        <v>21</v>
      </c>
    </row>
    <row r="11492" ht="15.75" customHeight="1">
      <c r="A11492" s="2">
        <v>2019.0</v>
      </c>
      <c r="B11492" s="2" t="s">
        <v>24023</v>
      </c>
      <c r="C11492" s="2" t="s">
        <v>46030</v>
      </c>
      <c r="D11492" s="2" t="str">
        <f>"754-779-5309"</f>
        <v>754-779-5309</v>
      </c>
      <c r="E11492" s="2" t="s">
        <v>2243</v>
      </c>
      <c r="F11492" s="2" t="s">
        <v>19353</v>
      </c>
      <c r="G11492" s="2" t="str">
        <f>"SR-16133"</f>
        <v>SR-16133</v>
      </c>
      <c r="H11492" s="2" t="s">
        <v>46031</v>
      </c>
      <c r="I11492" s="2" t="s">
        <v>46032</v>
      </c>
      <c r="K11492" s="2" t="s">
        <v>10022</v>
      </c>
      <c r="L11492" s="2" t="s">
        <v>208</v>
      </c>
      <c r="M11492" s="2">
        <v>33325.0</v>
      </c>
      <c r="N11492" s="2" t="s">
        <v>21</v>
      </c>
    </row>
    <row r="11493" ht="15.75" customHeight="1">
      <c r="A11493" s="2">
        <v>2019.0</v>
      </c>
      <c r="B11493" s="2" t="s">
        <v>45804</v>
      </c>
      <c r="C11493" s="2" t="s">
        <v>46033</v>
      </c>
      <c r="D11493" s="2" t="str">
        <f>"304-546-9895"</f>
        <v>304-546-9895</v>
      </c>
      <c r="E11493" s="2" t="s">
        <v>12838</v>
      </c>
      <c r="F11493" s="2" t="s">
        <v>22708</v>
      </c>
      <c r="G11493" s="2" t="str">
        <f>"SR-16091"</f>
        <v>SR-16091</v>
      </c>
      <c r="H11493" s="2" t="s">
        <v>46034</v>
      </c>
      <c r="I11493" s="2" t="s">
        <v>46035</v>
      </c>
      <c r="K11493" s="2" t="s">
        <v>45808</v>
      </c>
      <c r="L11493" s="2" t="s">
        <v>6449</v>
      </c>
      <c r="M11493" s="2">
        <v>25813.0</v>
      </c>
      <c r="N11493" s="2" t="s">
        <v>21</v>
      </c>
    </row>
    <row r="11494" ht="15.75" customHeight="1">
      <c r="A11494" s="2">
        <v>2019.0</v>
      </c>
      <c r="B11494" s="2" t="s">
        <v>46036</v>
      </c>
      <c r="C11494" s="2" t="s">
        <v>46037</v>
      </c>
      <c r="D11494" s="2" t="str">
        <f>"781-449-2481"</f>
        <v>781-449-2481</v>
      </c>
      <c r="E11494" s="2" t="s">
        <v>5548</v>
      </c>
      <c r="F11494" s="2" t="s">
        <v>12555</v>
      </c>
      <c r="G11494" s="2" t="str">
        <f>"SR-15147"</f>
        <v>SR-15147</v>
      </c>
      <c r="H11494" s="2" t="s">
        <v>46038</v>
      </c>
      <c r="I11494" s="2" t="s">
        <v>46039</v>
      </c>
      <c r="K11494" s="2" t="s">
        <v>46040</v>
      </c>
      <c r="L11494" s="2" t="s">
        <v>4108</v>
      </c>
      <c r="M11494" s="2">
        <v>2492.0</v>
      </c>
      <c r="N11494" s="2" t="s">
        <v>21</v>
      </c>
    </row>
    <row r="11495" ht="15.75" customHeight="1">
      <c r="A11495" s="2">
        <v>2019.0</v>
      </c>
      <c r="B11495" s="2" t="s">
        <v>45804</v>
      </c>
      <c r="C11495" s="2" t="s">
        <v>46041</v>
      </c>
      <c r="D11495" s="2" t="str">
        <f>"304-553-3654"</f>
        <v>304-553-3654</v>
      </c>
      <c r="E11495" s="2" t="s">
        <v>16192</v>
      </c>
      <c r="F11495" s="2" t="s">
        <v>22708</v>
      </c>
      <c r="G11495" s="2" t="str">
        <f>"SR-16090"</f>
        <v>SR-16090</v>
      </c>
      <c r="H11495" s="2" t="s">
        <v>46042</v>
      </c>
      <c r="I11495" s="2" t="s">
        <v>46035</v>
      </c>
      <c r="K11495" s="2" t="s">
        <v>45808</v>
      </c>
      <c r="L11495" s="2" t="s">
        <v>6449</v>
      </c>
      <c r="M11495" s="2">
        <v>25813.0</v>
      </c>
      <c r="N11495" s="2" t="s">
        <v>21</v>
      </c>
    </row>
    <row r="11496" ht="15.75" customHeight="1">
      <c r="A11496" s="2">
        <v>2019.0</v>
      </c>
      <c r="B11496" s="2" t="s">
        <v>46043</v>
      </c>
      <c r="C11496" s="2" t="s">
        <v>46043</v>
      </c>
      <c r="D11496" s="2" t="str">
        <f>"3369786240"</f>
        <v>3369786240</v>
      </c>
      <c r="E11496" s="2" t="s">
        <v>46044</v>
      </c>
      <c r="F11496" s="2" t="s">
        <v>17893</v>
      </c>
      <c r="G11496" s="2" t="str">
        <f>"SR-16137"</f>
        <v>SR-16137</v>
      </c>
      <c r="H11496" s="2" t="s">
        <v>46045</v>
      </c>
      <c r="I11496" s="2" t="s">
        <v>46046</v>
      </c>
      <c r="K11496" s="2" t="s">
        <v>31</v>
      </c>
      <c r="L11496" s="2" t="s">
        <v>20</v>
      </c>
      <c r="M11496" s="2">
        <v>27021.0</v>
      </c>
      <c r="N11496" s="2" t="s">
        <v>21</v>
      </c>
    </row>
    <row r="11497" ht="15.75" customHeight="1">
      <c r="A11497" s="2">
        <v>2019.0</v>
      </c>
      <c r="B11497" s="2" t="s">
        <v>46047</v>
      </c>
      <c r="C11497" s="2" t="s">
        <v>46048</v>
      </c>
      <c r="D11497" s="2" t="str">
        <f>"910-620-9915"</f>
        <v>910-620-9915</v>
      </c>
      <c r="E11497" s="2" t="s">
        <v>46049</v>
      </c>
      <c r="F11497" s="2" t="s">
        <v>46050</v>
      </c>
      <c r="G11497" s="2" t="str">
        <f>"SR-16134"</f>
        <v>SR-16134</v>
      </c>
      <c r="H11497" s="2" t="s">
        <v>46051</v>
      </c>
      <c r="I11497" s="2" t="s">
        <v>46052</v>
      </c>
      <c r="K11497" s="2" t="s">
        <v>11784</v>
      </c>
      <c r="L11497" s="2" t="s">
        <v>20</v>
      </c>
      <c r="M11497" s="2">
        <v>28411.0</v>
      </c>
      <c r="N11497" s="2" t="s">
        <v>21</v>
      </c>
    </row>
    <row r="11498" ht="15.75" customHeight="1">
      <c r="A11498" s="2">
        <v>2019.0</v>
      </c>
      <c r="B11498" s="2" t="s">
        <v>46053</v>
      </c>
      <c r="C11498" s="2" t="s">
        <v>46053</v>
      </c>
      <c r="D11498" s="2" t="str">
        <f>"5099483630"</f>
        <v>5099483630</v>
      </c>
      <c r="E11498" s="2" t="s">
        <v>46054</v>
      </c>
      <c r="F11498" s="2" t="s">
        <v>46055</v>
      </c>
      <c r="G11498" s="2" t="str">
        <f>"SR-16138"</f>
        <v>SR-16138</v>
      </c>
      <c r="H11498" s="2" t="s">
        <v>46056</v>
      </c>
      <c r="I11498" s="2" t="s">
        <v>46057</v>
      </c>
      <c r="K11498" s="2" t="s">
        <v>9516</v>
      </c>
      <c r="L11498" s="2" t="s">
        <v>86</v>
      </c>
      <c r="M11498" s="2">
        <v>99301.0</v>
      </c>
      <c r="N11498" s="2" t="s">
        <v>21</v>
      </c>
    </row>
    <row r="11499" ht="15.75" customHeight="1">
      <c r="A11499" s="2">
        <v>2019.0</v>
      </c>
      <c r="B11499" s="2" t="s">
        <v>46058</v>
      </c>
      <c r="C11499" s="2" t="s">
        <v>46059</v>
      </c>
      <c r="D11499" s="2" t="str">
        <f>"3032486647"</f>
        <v>3032486647</v>
      </c>
      <c r="E11499" s="2" t="s">
        <v>1141</v>
      </c>
      <c r="F11499" s="2" t="s">
        <v>353</v>
      </c>
      <c r="G11499" s="2" t="str">
        <f>"SR-16139"</f>
        <v>SR-16139</v>
      </c>
      <c r="H11499" s="2" t="s">
        <v>46060</v>
      </c>
      <c r="I11499" s="2" t="s">
        <v>46061</v>
      </c>
      <c r="K11499" s="2" t="s">
        <v>1398</v>
      </c>
      <c r="L11499" s="2" t="s">
        <v>157</v>
      </c>
      <c r="M11499" s="2">
        <v>80104.0</v>
      </c>
      <c r="N11499" s="2" t="s">
        <v>21</v>
      </c>
    </row>
    <row r="11500" ht="15.75" customHeight="1">
      <c r="A11500" s="2">
        <v>2019.0</v>
      </c>
      <c r="B11500" s="2" t="s">
        <v>33066</v>
      </c>
      <c r="C11500" s="2" t="s">
        <v>46062</v>
      </c>
      <c r="D11500" s="2" t="str">
        <f>"9072623284"</f>
        <v>9072623284</v>
      </c>
      <c r="E11500" s="2" t="s">
        <v>4010</v>
      </c>
      <c r="F11500" s="2" t="s">
        <v>41520</v>
      </c>
      <c r="G11500" s="2" t="str">
        <f>"SR-16124"</f>
        <v>SR-16124</v>
      </c>
      <c r="H11500" s="2" t="s">
        <v>46063</v>
      </c>
      <c r="I11500" s="2" t="s">
        <v>46064</v>
      </c>
      <c r="K11500" s="2" t="s">
        <v>1336</v>
      </c>
      <c r="L11500" s="2" t="s">
        <v>70</v>
      </c>
      <c r="M11500" s="2">
        <v>99669.0</v>
      </c>
      <c r="N11500" s="2" t="s">
        <v>21</v>
      </c>
    </row>
    <row r="11501" ht="15.75" customHeight="1">
      <c r="A11501" s="2">
        <v>2019.0</v>
      </c>
      <c r="B11501" s="2" t="s">
        <v>46065</v>
      </c>
      <c r="C11501" s="2" t="s">
        <v>46066</v>
      </c>
      <c r="D11501" s="2" t="str">
        <f>"5403145381"</f>
        <v>5403145381</v>
      </c>
      <c r="E11501" s="2" t="s">
        <v>13609</v>
      </c>
      <c r="F11501" s="2" t="s">
        <v>46067</v>
      </c>
      <c r="G11501" s="2" t="str">
        <f>"SR-16140"</f>
        <v>SR-16140</v>
      </c>
      <c r="H11501" s="2" t="s">
        <v>46068</v>
      </c>
      <c r="I11501" s="2" t="s">
        <v>46069</v>
      </c>
      <c r="K11501" s="2" t="s">
        <v>46070</v>
      </c>
      <c r="L11501" s="2" t="s">
        <v>165</v>
      </c>
      <c r="M11501" s="2">
        <v>24179.0</v>
      </c>
      <c r="N11501" s="2" t="s">
        <v>21</v>
      </c>
    </row>
    <row r="11502" ht="15.75" customHeight="1">
      <c r="A11502" s="2">
        <v>2019.0</v>
      </c>
      <c r="B11502" s="2" t="s">
        <v>46071</v>
      </c>
      <c r="C11502" s="2" t="s">
        <v>46071</v>
      </c>
      <c r="D11502" s="2" t="str">
        <f>"402-686-1753"</f>
        <v>402-686-1753</v>
      </c>
      <c r="E11502" s="2" t="s">
        <v>124</v>
      </c>
      <c r="F11502" s="2" t="s">
        <v>46072</v>
      </c>
      <c r="G11502" s="2" t="str">
        <f>"SR-16141"</f>
        <v>SR-16141</v>
      </c>
      <c r="H11502" s="2" t="s">
        <v>46073</v>
      </c>
      <c r="I11502" s="2" t="s">
        <v>46074</v>
      </c>
      <c r="K11502" s="2" t="s">
        <v>4981</v>
      </c>
      <c r="L11502" s="2" t="s">
        <v>757</v>
      </c>
      <c r="M11502" s="2">
        <v>68008.0</v>
      </c>
      <c r="N11502" s="2" t="s">
        <v>21</v>
      </c>
    </row>
    <row r="11503" ht="15.75" customHeight="1">
      <c r="A11503" s="2">
        <v>2019.0</v>
      </c>
      <c r="B11503" s="2" t="s">
        <v>46075</v>
      </c>
      <c r="D11503" s="2" t="str">
        <f>""</f>
        <v/>
      </c>
      <c r="E11503" s="2" t="s">
        <v>1455</v>
      </c>
      <c r="F11503" s="2" t="s">
        <v>32964</v>
      </c>
      <c r="G11503" s="2" t="str">
        <f>"SR-16142"</f>
        <v>SR-16142</v>
      </c>
      <c r="H11503" s="2" t="s">
        <v>46076</v>
      </c>
      <c r="N11503" s="2" t="s">
        <v>21</v>
      </c>
    </row>
    <row r="11504" ht="15.75" customHeight="1">
      <c r="A11504" s="2">
        <v>2019.0</v>
      </c>
      <c r="B11504" s="2" t="s">
        <v>39211</v>
      </c>
      <c r="C11504" s="2" t="s">
        <v>39212</v>
      </c>
      <c r="D11504" s="2" t="str">
        <f>"8593125244"</f>
        <v>8593125244</v>
      </c>
      <c r="E11504" s="2" t="s">
        <v>37022</v>
      </c>
      <c r="F11504" s="2" t="s">
        <v>39213</v>
      </c>
      <c r="G11504" s="2" t="str">
        <f>"SR-13290"</f>
        <v>SR-13290</v>
      </c>
      <c r="H11504" s="2" t="s">
        <v>39214</v>
      </c>
      <c r="I11504" s="2" t="s">
        <v>39215</v>
      </c>
      <c r="K11504" s="2" t="s">
        <v>39216</v>
      </c>
      <c r="L11504" s="2" t="s">
        <v>1236</v>
      </c>
      <c r="M11504" s="2">
        <v>40356.0</v>
      </c>
      <c r="N11504" s="2" t="s">
        <v>21</v>
      </c>
    </row>
    <row r="11505" ht="15.75" customHeight="1">
      <c r="A11505" s="2">
        <v>2019.0</v>
      </c>
      <c r="B11505" s="2" t="s">
        <v>46077</v>
      </c>
      <c r="C11505" s="2" t="s">
        <v>46078</v>
      </c>
      <c r="D11505" s="2" t="str">
        <f>"540-842-4244"</f>
        <v>540-842-4244</v>
      </c>
      <c r="E11505" s="2" t="s">
        <v>5280</v>
      </c>
      <c r="F11505" s="2" t="s">
        <v>46079</v>
      </c>
      <c r="G11505" s="2" t="str">
        <f>"SR-15694"</f>
        <v>SR-15694</v>
      </c>
      <c r="H11505" s="2" t="s">
        <v>46080</v>
      </c>
      <c r="I11505" s="2" t="s">
        <v>46081</v>
      </c>
      <c r="K11505" s="2" t="s">
        <v>12164</v>
      </c>
      <c r="L11505" s="2" t="s">
        <v>165</v>
      </c>
      <c r="M11505" s="2">
        <v>22401.0</v>
      </c>
      <c r="N11505" s="2" t="s">
        <v>21</v>
      </c>
    </row>
    <row r="11506" ht="15.75" customHeight="1">
      <c r="A11506" s="2">
        <v>2019.0</v>
      </c>
      <c r="B11506" s="2" t="s">
        <v>46082</v>
      </c>
      <c r="C11506" s="2" t="s">
        <v>46082</v>
      </c>
      <c r="D11506" s="2" t="str">
        <f>"2404349885"</f>
        <v>2404349885</v>
      </c>
      <c r="E11506" s="2" t="s">
        <v>26592</v>
      </c>
      <c r="F11506" s="2" t="s">
        <v>58</v>
      </c>
      <c r="G11506" s="2" t="str">
        <f>"SR-16144"</f>
        <v>SR-16144</v>
      </c>
      <c r="H11506" s="2" t="s">
        <v>46083</v>
      </c>
      <c r="I11506" s="2" t="s">
        <v>46084</v>
      </c>
      <c r="K11506" s="2" t="s">
        <v>28240</v>
      </c>
      <c r="L11506" s="2" t="s">
        <v>1868</v>
      </c>
      <c r="M11506" s="2">
        <v>20634.0</v>
      </c>
      <c r="N11506" s="2" t="s">
        <v>21</v>
      </c>
    </row>
    <row r="11507" ht="15.75" customHeight="1">
      <c r="A11507" s="2">
        <v>2019.0</v>
      </c>
      <c r="B11507" s="2" t="s">
        <v>46043</v>
      </c>
      <c r="C11507" s="2" t="s">
        <v>46085</v>
      </c>
      <c r="D11507" s="2" t="str">
        <f>"3364140165"</f>
        <v>3364140165</v>
      </c>
      <c r="E11507" s="2" t="s">
        <v>1483</v>
      </c>
      <c r="F11507" s="2" t="s">
        <v>46086</v>
      </c>
      <c r="G11507" s="2" t="str">
        <f>"SR-16145"</f>
        <v>SR-16145</v>
      </c>
      <c r="H11507" s="2" t="s">
        <v>46087</v>
      </c>
      <c r="I11507" s="2" t="s">
        <v>46088</v>
      </c>
      <c r="K11507" s="2" t="s">
        <v>46089</v>
      </c>
      <c r="L11507" s="2" t="s">
        <v>20</v>
      </c>
      <c r="M11507" s="2">
        <v>27052.0</v>
      </c>
      <c r="N11507" s="2" t="s">
        <v>21</v>
      </c>
    </row>
    <row r="11508" ht="15.75" customHeight="1">
      <c r="A11508" s="2">
        <v>2019.0</v>
      </c>
      <c r="B11508" s="2" t="s">
        <v>46090</v>
      </c>
      <c r="C11508" s="2" t="s">
        <v>46091</v>
      </c>
      <c r="D11508" s="2" t="str">
        <f>"7068443865"</f>
        <v>7068443865</v>
      </c>
      <c r="E11508" s="2" t="s">
        <v>1782</v>
      </c>
      <c r="F11508" s="2" t="s">
        <v>46092</v>
      </c>
      <c r="G11508" s="2" t="str">
        <f>"SR-16146"</f>
        <v>SR-16146</v>
      </c>
      <c r="H11508" s="2" t="s">
        <v>46093</v>
      </c>
      <c r="I11508" s="2" t="s">
        <v>46094</v>
      </c>
      <c r="K11508" s="2" t="s">
        <v>22278</v>
      </c>
      <c r="L11508" s="2" t="s">
        <v>200</v>
      </c>
      <c r="M11508" s="2">
        <v>30165.0</v>
      </c>
      <c r="N11508" s="2" t="s">
        <v>21</v>
      </c>
    </row>
    <row r="11509" ht="15.75" customHeight="1">
      <c r="A11509" s="2">
        <v>2019.0</v>
      </c>
      <c r="B11509" s="2" t="s">
        <v>18408</v>
      </c>
      <c r="C11509" s="2" t="s">
        <v>18409</v>
      </c>
      <c r="D11509" s="2" t="str">
        <f>"4055093868"</f>
        <v>4055093868</v>
      </c>
      <c r="E11509" s="2" t="s">
        <v>4871</v>
      </c>
      <c r="F11509" s="2" t="s">
        <v>18410</v>
      </c>
      <c r="G11509" s="2" t="str">
        <f>"SR-5433"</f>
        <v>SR-5433</v>
      </c>
      <c r="H11509" s="2" t="s">
        <v>18411</v>
      </c>
      <c r="I11509" s="2" t="s">
        <v>18412</v>
      </c>
      <c r="K11509" s="2" t="s">
        <v>1546</v>
      </c>
      <c r="L11509" s="2" t="s">
        <v>840</v>
      </c>
      <c r="M11509" s="2">
        <v>73003.0</v>
      </c>
      <c r="N11509" s="2" t="s">
        <v>21</v>
      </c>
    </row>
    <row r="11510" ht="15.75" customHeight="1">
      <c r="A11510" s="2">
        <v>2019.0</v>
      </c>
      <c r="B11510" s="2" t="s">
        <v>46095</v>
      </c>
      <c r="D11510" s="2" t="str">
        <f>"5806605527"</f>
        <v>5806605527</v>
      </c>
      <c r="E11510" s="2" t="s">
        <v>4129</v>
      </c>
      <c r="F11510" s="2" t="s">
        <v>46096</v>
      </c>
      <c r="G11510" s="2" t="str">
        <f>"SR-16148"</f>
        <v>SR-16148</v>
      </c>
      <c r="H11510" s="2" t="s">
        <v>46097</v>
      </c>
      <c r="I11510" s="2" t="s">
        <v>46098</v>
      </c>
      <c r="K11510" s="2" t="s">
        <v>46099</v>
      </c>
      <c r="L11510" s="2" t="s">
        <v>840</v>
      </c>
      <c r="M11510" s="2">
        <v>73632.0</v>
      </c>
      <c r="N11510" s="2" t="s">
        <v>21</v>
      </c>
    </row>
    <row r="11511" ht="15.75" customHeight="1">
      <c r="A11511" s="2">
        <v>2019.0</v>
      </c>
      <c r="B11511" s="2" t="s">
        <v>46100</v>
      </c>
      <c r="C11511" s="2" t="s">
        <v>46100</v>
      </c>
      <c r="D11511" s="2" t="str">
        <f>"6625741667"</f>
        <v>6625741667</v>
      </c>
      <c r="E11511" s="2" t="s">
        <v>13215</v>
      </c>
      <c r="F11511" s="2" t="s">
        <v>10955</v>
      </c>
      <c r="G11511" s="2" t="str">
        <f>"SR-16149"</f>
        <v>SR-16149</v>
      </c>
      <c r="H11511" s="2" t="s">
        <v>46101</v>
      </c>
      <c r="I11511" s="2" t="s">
        <v>46102</v>
      </c>
      <c r="K11511" s="2" t="s">
        <v>46103</v>
      </c>
      <c r="L11511" s="2" t="s">
        <v>20</v>
      </c>
      <c r="M11511" s="2">
        <v>27606.0</v>
      </c>
      <c r="N11511" s="2" t="s">
        <v>21</v>
      </c>
    </row>
    <row r="11512" ht="15.75" customHeight="1">
      <c r="A11512" s="2">
        <v>2019.0</v>
      </c>
      <c r="B11512" s="2" t="s">
        <v>33066</v>
      </c>
      <c r="C11512" s="2" t="s">
        <v>46104</v>
      </c>
      <c r="D11512" s="2" t="str">
        <f>"907-262-4387"</f>
        <v>907-262-4387</v>
      </c>
      <c r="E11512" s="2" t="s">
        <v>1015</v>
      </c>
      <c r="F11512" s="2" t="s">
        <v>2497</v>
      </c>
      <c r="G11512" s="2" t="str">
        <f>"SR-16150"</f>
        <v>SR-16150</v>
      </c>
      <c r="H11512" s="2" t="s">
        <v>46105</v>
      </c>
      <c r="I11512" s="2" t="s">
        <v>46106</v>
      </c>
      <c r="K11512" s="2" t="s">
        <v>1387</v>
      </c>
      <c r="L11512" s="2" t="s">
        <v>70</v>
      </c>
      <c r="M11512" s="2">
        <v>99672.0</v>
      </c>
      <c r="N11512" s="2" t="s">
        <v>21</v>
      </c>
    </row>
    <row r="11513" ht="15.75" customHeight="1">
      <c r="A11513" s="2">
        <v>2019.0</v>
      </c>
      <c r="B11513" s="2" t="s">
        <v>46107</v>
      </c>
      <c r="C11513" s="2" t="s">
        <v>46108</v>
      </c>
      <c r="D11513" s="2" t="str">
        <f>"8285699043"</f>
        <v>8285699043</v>
      </c>
      <c r="E11513" s="2" t="s">
        <v>2243</v>
      </c>
      <c r="F11513" s="2" t="s">
        <v>46109</v>
      </c>
      <c r="G11513" s="2" t="str">
        <f>"SR-15943"</f>
        <v>SR-15943</v>
      </c>
      <c r="H11513" s="2" t="s">
        <v>46110</v>
      </c>
      <c r="I11513" s="2" t="s">
        <v>46111</v>
      </c>
      <c r="K11513" s="2" t="s">
        <v>46112</v>
      </c>
      <c r="L11513" s="2" t="s">
        <v>20</v>
      </c>
      <c r="M11513" s="2">
        <v>27028.0</v>
      </c>
      <c r="N11513" s="2" t="s">
        <v>21</v>
      </c>
    </row>
    <row r="11514" ht="15.75" customHeight="1">
      <c r="A11514" s="2">
        <v>2019.0</v>
      </c>
      <c r="B11514" s="2" t="s">
        <v>46113</v>
      </c>
      <c r="C11514" s="2" t="s">
        <v>46113</v>
      </c>
      <c r="D11514" s="2" t="str">
        <f>"5017735825"</f>
        <v>5017735825</v>
      </c>
      <c r="E11514" s="2" t="s">
        <v>1263</v>
      </c>
      <c r="F11514" s="2" t="s">
        <v>1756</v>
      </c>
      <c r="G11514" s="2" t="str">
        <f>"SR-15872"</f>
        <v>SR-15872</v>
      </c>
      <c r="H11514" s="2" t="s">
        <v>46114</v>
      </c>
      <c r="I11514" s="2" t="s">
        <v>46115</v>
      </c>
      <c r="K11514" s="2" t="s">
        <v>1759</v>
      </c>
      <c r="L11514" s="2" t="s">
        <v>1012</v>
      </c>
      <c r="M11514" s="2">
        <v>72212.0</v>
      </c>
      <c r="N11514" s="2" t="s">
        <v>21</v>
      </c>
    </row>
    <row r="11515" ht="15.75" customHeight="1">
      <c r="A11515" s="2">
        <v>2019.0</v>
      </c>
      <c r="B11515" s="2" t="s">
        <v>46116</v>
      </c>
      <c r="C11515" s="2" t="s">
        <v>46116</v>
      </c>
      <c r="D11515" s="2" t="str">
        <f>"8289632606"</f>
        <v>8289632606</v>
      </c>
      <c r="E11515" s="2" t="s">
        <v>167</v>
      </c>
      <c r="F11515" s="2" t="s">
        <v>3964</v>
      </c>
      <c r="G11515" s="2" t="str">
        <f>"SR-16152"</f>
        <v>SR-16152</v>
      </c>
      <c r="H11515" s="2" t="s">
        <v>46117</v>
      </c>
      <c r="I11515" s="2" t="s">
        <v>46118</v>
      </c>
      <c r="K11515" s="2" t="s">
        <v>10856</v>
      </c>
      <c r="L11515" s="2" t="s">
        <v>20</v>
      </c>
      <c r="M11515" s="2">
        <v>28607.0</v>
      </c>
      <c r="N11515" s="2" t="s">
        <v>21</v>
      </c>
    </row>
    <row r="11516" ht="15.75" customHeight="1">
      <c r="A11516" s="2">
        <v>2019.0</v>
      </c>
      <c r="B11516" s="2" t="s">
        <v>46119</v>
      </c>
      <c r="C11516" s="2" t="s">
        <v>46120</v>
      </c>
      <c r="D11516" s="2" t="str">
        <f>"8126861110"</f>
        <v>8126861110</v>
      </c>
      <c r="E11516" s="2" t="s">
        <v>46121</v>
      </c>
      <c r="F11516" s="2" t="s">
        <v>1987</v>
      </c>
      <c r="G11516" s="2" t="str">
        <f>"SR-16151"</f>
        <v>SR-16151</v>
      </c>
      <c r="H11516" s="2" t="s">
        <v>46122</v>
      </c>
      <c r="I11516" s="2" t="s">
        <v>46123</v>
      </c>
      <c r="K11516" s="2" t="s">
        <v>46124</v>
      </c>
      <c r="L11516" s="2" t="s">
        <v>149</v>
      </c>
      <c r="M11516" s="2">
        <v>47537.0</v>
      </c>
      <c r="N11516" s="2" t="s">
        <v>21</v>
      </c>
    </row>
    <row r="11517" ht="15.75" customHeight="1">
      <c r="A11517" s="2">
        <v>2019.0</v>
      </c>
      <c r="B11517" s="2" t="s">
        <v>46125</v>
      </c>
      <c r="D11517" s="2" t="str">
        <f>""</f>
        <v/>
      </c>
      <c r="E11517" s="2" t="s">
        <v>37643</v>
      </c>
      <c r="F11517" s="2" t="s">
        <v>21366</v>
      </c>
      <c r="G11517" s="2" t="str">
        <f>"SR-16158"</f>
        <v>SR-16158</v>
      </c>
      <c r="H11517" s="2" t="s">
        <v>46126</v>
      </c>
    </row>
    <row r="11518" ht="15.75" customHeight="1">
      <c r="A11518" s="2">
        <v>2019.0</v>
      </c>
      <c r="B11518" s="2" t="s">
        <v>46127</v>
      </c>
      <c r="C11518" s="2" t="s">
        <v>46128</v>
      </c>
      <c r="D11518" s="2" t="str">
        <f>"4073145584"</f>
        <v>4073145584</v>
      </c>
      <c r="E11518" s="2" t="s">
        <v>46129</v>
      </c>
      <c r="F11518" s="2" t="s">
        <v>46130</v>
      </c>
      <c r="G11518" s="2" t="str">
        <f>"SR-16157"</f>
        <v>SR-16157</v>
      </c>
      <c r="H11518" s="2" t="s">
        <v>46131</v>
      </c>
      <c r="I11518" s="2" t="s">
        <v>46132</v>
      </c>
      <c r="K11518" s="2" t="s">
        <v>46133</v>
      </c>
      <c r="L11518" s="2" t="s">
        <v>208</v>
      </c>
      <c r="M11518" s="2">
        <v>32776.0</v>
      </c>
      <c r="N11518" s="2" t="s">
        <v>21</v>
      </c>
    </row>
    <row r="11519" ht="15.75" customHeight="1">
      <c r="A11519" s="2">
        <v>2019.0</v>
      </c>
      <c r="B11519" s="2" t="s">
        <v>46134</v>
      </c>
      <c r="C11519" s="2" t="s">
        <v>46135</v>
      </c>
      <c r="D11519" s="2" t="str">
        <f>"7692343073"</f>
        <v>7692343073</v>
      </c>
      <c r="E11519" s="2" t="s">
        <v>46136</v>
      </c>
      <c r="F11519" s="2" t="s">
        <v>18891</v>
      </c>
      <c r="G11519" s="2" t="str">
        <f>"SR-16126"</f>
        <v>SR-16126</v>
      </c>
      <c r="H11519" s="2" t="s">
        <v>46137</v>
      </c>
      <c r="I11519" s="2" t="s">
        <v>46138</v>
      </c>
      <c r="K11519" s="2" t="s">
        <v>46139</v>
      </c>
      <c r="L11519" s="2" t="s">
        <v>200</v>
      </c>
      <c r="M11519" s="2">
        <v>30523.0</v>
      </c>
      <c r="N11519" s="2" t="s">
        <v>21</v>
      </c>
    </row>
    <row r="11520" ht="15.75" customHeight="1">
      <c r="A11520" s="2">
        <v>2019.0</v>
      </c>
      <c r="B11520" s="2" t="s">
        <v>46140</v>
      </c>
      <c r="C11520" s="2" t="s">
        <v>46141</v>
      </c>
      <c r="D11520" s="2" t="str">
        <f>"9705496854"</f>
        <v>9705496854</v>
      </c>
      <c r="E11520" s="2" t="s">
        <v>2438</v>
      </c>
      <c r="F11520" s="2" t="s">
        <v>44285</v>
      </c>
      <c r="G11520" s="2" t="str">
        <f>"SR-16160"</f>
        <v>SR-16160</v>
      </c>
      <c r="H11520" s="2" t="s">
        <v>46142</v>
      </c>
      <c r="I11520" s="2" t="s">
        <v>46143</v>
      </c>
      <c r="K11520" s="2" t="s">
        <v>32284</v>
      </c>
      <c r="L11520" s="2" t="s">
        <v>157</v>
      </c>
      <c r="M11520" s="2">
        <v>81413.0</v>
      </c>
      <c r="N11520" s="2" t="s">
        <v>21</v>
      </c>
    </row>
    <row r="11521" ht="15.75" customHeight="1">
      <c r="A11521" s="2">
        <v>2019.0</v>
      </c>
      <c r="B11521" s="2" t="s">
        <v>46144</v>
      </c>
      <c r="C11521" s="2" t="s">
        <v>46145</v>
      </c>
      <c r="D11521" s="2" t="str">
        <f>"2027930211"</f>
        <v>2027930211</v>
      </c>
      <c r="E11521" s="2" t="s">
        <v>46146</v>
      </c>
      <c r="F11521" s="2" t="s">
        <v>46147</v>
      </c>
      <c r="G11521" s="2" t="str">
        <f>"SR-16058"</f>
        <v>SR-16058</v>
      </c>
      <c r="H11521" s="2" t="s">
        <v>46148</v>
      </c>
      <c r="I11521" s="2" t="s">
        <v>46149</v>
      </c>
      <c r="J11521" s="2" t="s">
        <v>46150</v>
      </c>
      <c r="K11521" s="2" t="s">
        <v>46151</v>
      </c>
      <c r="L11521" s="2" t="s">
        <v>165</v>
      </c>
      <c r="M11521" s="2">
        <v>22044.0</v>
      </c>
      <c r="N11521" s="2" t="s">
        <v>21</v>
      </c>
    </row>
    <row r="11522" ht="15.75" customHeight="1">
      <c r="A11522" s="2">
        <v>2019.0</v>
      </c>
      <c r="B11522" s="2" t="s">
        <v>7139</v>
      </c>
      <c r="C11522" s="2" t="s">
        <v>46152</v>
      </c>
      <c r="D11522" s="2" t="str">
        <f>"703 501 6514"</f>
        <v>703 501 6514</v>
      </c>
      <c r="E11522" s="2" t="s">
        <v>678</v>
      </c>
      <c r="F11522" s="2" t="s">
        <v>2753</v>
      </c>
      <c r="G11522" s="2" t="str">
        <f>"SR-16159"</f>
        <v>SR-16159</v>
      </c>
      <c r="H11522" s="2" t="s">
        <v>46153</v>
      </c>
      <c r="I11522" s="2" t="s">
        <v>46154</v>
      </c>
      <c r="K11522" s="2" t="s">
        <v>7148</v>
      </c>
      <c r="L11522" s="2" t="s">
        <v>165</v>
      </c>
      <c r="M11522" s="2">
        <v>20112.0</v>
      </c>
      <c r="N11522" s="2" t="s">
        <v>21</v>
      </c>
    </row>
    <row r="11523" ht="15.75" customHeight="1">
      <c r="A11523" s="2">
        <v>2019.0</v>
      </c>
      <c r="B11523" s="2" t="s">
        <v>46134</v>
      </c>
      <c r="C11523" s="2" t="s">
        <v>46155</v>
      </c>
      <c r="D11523" s="2" t="str">
        <f>"7692348131"</f>
        <v>7692348131</v>
      </c>
      <c r="E11523" s="2" t="s">
        <v>1585</v>
      </c>
      <c r="F11523" s="2" t="s">
        <v>18891</v>
      </c>
      <c r="G11523" s="2" t="str">
        <f>"SR-16163"</f>
        <v>SR-16163</v>
      </c>
      <c r="H11523" s="2" t="s">
        <v>46156</v>
      </c>
      <c r="I11523" s="2" t="s">
        <v>46138</v>
      </c>
      <c r="K11523" s="2" t="s">
        <v>46139</v>
      </c>
      <c r="L11523" s="2" t="s">
        <v>200</v>
      </c>
      <c r="M11523" s="2">
        <v>30523.0</v>
      </c>
      <c r="N11523" s="2" t="s">
        <v>21</v>
      </c>
    </row>
    <row r="11524" ht="15.75" customHeight="1">
      <c r="A11524" s="2">
        <v>2019.0</v>
      </c>
      <c r="B11524" s="2" t="s">
        <v>46157</v>
      </c>
      <c r="C11524" s="2" t="s">
        <v>46157</v>
      </c>
      <c r="D11524" s="2" t="str">
        <f>"614-946-1151"</f>
        <v>614-946-1151</v>
      </c>
      <c r="E11524" s="2" t="s">
        <v>1682</v>
      </c>
      <c r="F11524" s="2" t="s">
        <v>42877</v>
      </c>
      <c r="G11524" s="2" t="str">
        <f>"SR-16162"</f>
        <v>SR-16162</v>
      </c>
      <c r="H11524" s="2" t="s">
        <v>46158</v>
      </c>
      <c r="I11524" s="2" t="s">
        <v>46159</v>
      </c>
      <c r="K11524" s="2" t="s">
        <v>2421</v>
      </c>
      <c r="L11524" s="2" t="s">
        <v>344</v>
      </c>
      <c r="M11524" s="2">
        <v>43207.0</v>
      </c>
      <c r="N11524" s="2" t="s">
        <v>21</v>
      </c>
    </row>
    <row r="11525" ht="15.75" customHeight="1">
      <c r="A11525" s="2">
        <v>2019.0</v>
      </c>
      <c r="B11525" s="2" t="s">
        <v>46160</v>
      </c>
      <c r="C11525" s="2" t="s">
        <v>46161</v>
      </c>
      <c r="D11525" s="2" t="str">
        <f>"9015859163"</f>
        <v>9015859163</v>
      </c>
      <c r="E11525" s="2" t="s">
        <v>13585</v>
      </c>
      <c r="F11525" s="2" t="s">
        <v>10210</v>
      </c>
      <c r="G11525" s="2" t="str">
        <f>"SR-15862"</f>
        <v>SR-15862</v>
      </c>
      <c r="H11525" s="2" t="s">
        <v>46162</v>
      </c>
      <c r="I11525" s="2" t="s">
        <v>46163</v>
      </c>
      <c r="K11525" s="2" t="s">
        <v>22064</v>
      </c>
      <c r="L11525" s="2" t="s">
        <v>279</v>
      </c>
      <c r="M11525" s="2">
        <v>38016.0</v>
      </c>
      <c r="N11525" s="2" t="s">
        <v>21</v>
      </c>
    </row>
    <row r="11526" ht="15.75" customHeight="1">
      <c r="A11526" s="2">
        <v>2019.0</v>
      </c>
      <c r="B11526" s="2" t="s">
        <v>32210</v>
      </c>
      <c r="C11526" s="2" t="s">
        <v>46164</v>
      </c>
      <c r="D11526" s="2" t="str">
        <f>"507-383-3267"</f>
        <v>507-383-3267</v>
      </c>
      <c r="E11526" s="2" t="s">
        <v>651</v>
      </c>
      <c r="F11526" s="2" t="s">
        <v>29522</v>
      </c>
      <c r="G11526" s="2" t="str">
        <f>"SR-16165"</f>
        <v>SR-16165</v>
      </c>
      <c r="H11526" s="2" t="s">
        <v>46165</v>
      </c>
      <c r="I11526" s="2" t="s">
        <v>46166</v>
      </c>
      <c r="J11526" s="2" t="s">
        <v>32243</v>
      </c>
      <c r="K11526" s="2" t="s">
        <v>32215</v>
      </c>
      <c r="L11526" s="2" t="s">
        <v>62</v>
      </c>
      <c r="M11526" s="2">
        <v>56045.0</v>
      </c>
      <c r="N11526" s="2" t="s">
        <v>21</v>
      </c>
    </row>
    <row r="11527" ht="15.75" customHeight="1">
      <c r="A11527" s="2">
        <v>2019.0</v>
      </c>
      <c r="B11527" s="2" t="s">
        <v>46167</v>
      </c>
      <c r="C11527" s="2" t="s">
        <v>46168</v>
      </c>
      <c r="D11527" s="2" t="str">
        <f>"6053505458"</f>
        <v>6053505458</v>
      </c>
      <c r="E11527" s="2" t="s">
        <v>1946</v>
      </c>
      <c r="F11527" s="2" t="s">
        <v>457</v>
      </c>
      <c r="G11527" s="2" t="str">
        <f>"SR-15342"</f>
        <v>SR-15342</v>
      </c>
      <c r="H11527" s="2" t="s">
        <v>46169</v>
      </c>
      <c r="I11527" s="2" t="s">
        <v>46170</v>
      </c>
      <c r="K11527" s="2" t="s">
        <v>10798</v>
      </c>
      <c r="L11527" s="2" t="s">
        <v>920</v>
      </c>
      <c r="M11527" s="2">
        <v>57350.0</v>
      </c>
      <c r="N11527" s="2" t="s">
        <v>21</v>
      </c>
    </row>
    <row r="11528" ht="15.75" customHeight="1">
      <c r="A11528" s="2">
        <v>2019.0</v>
      </c>
      <c r="B11528" s="2" t="s">
        <v>46171</v>
      </c>
      <c r="C11528" s="2" t="s">
        <v>46172</v>
      </c>
      <c r="D11528" s="2" t="str">
        <f>"719-271-9766"</f>
        <v>719-271-9766</v>
      </c>
      <c r="E11528" s="2" t="s">
        <v>1548</v>
      </c>
      <c r="F11528" s="2" t="s">
        <v>485</v>
      </c>
      <c r="G11528" s="2" t="str">
        <f>"SR-16168"</f>
        <v>SR-16168</v>
      </c>
      <c r="H11528" s="2" t="s">
        <v>46173</v>
      </c>
      <c r="I11528" s="2" t="s">
        <v>46174</v>
      </c>
      <c r="K11528" s="2" t="s">
        <v>809</v>
      </c>
      <c r="L11528" s="2" t="s">
        <v>157</v>
      </c>
      <c r="M11528" s="2">
        <v>80924.0</v>
      </c>
      <c r="N11528" s="2" t="s">
        <v>21</v>
      </c>
    </row>
    <row r="11529" ht="15.75" customHeight="1">
      <c r="A11529" s="2">
        <v>2019.0</v>
      </c>
      <c r="B11529" s="2" t="s">
        <v>46175</v>
      </c>
      <c r="C11529" s="2" t="s">
        <v>46176</v>
      </c>
      <c r="D11529" s="2" t="str">
        <f>"8327324567"</f>
        <v>8327324567</v>
      </c>
      <c r="E11529" s="2" t="s">
        <v>651</v>
      </c>
      <c r="F11529" s="2" t="s">
        <v>14745</v>
      </c>
      <c r="G11529" s="2" t="str">
        <f>"SR-16167"</f>
        <v>SR-16167</v>
      </c>
      <c r="H11529" s="2" t="s">
        <v>46177</v>
      </c>
      <c r="I11529" s="2" t="s">
        <v>46178</v>
      </c>
      <c r="K11529" s="2" t="s">
        <v>12522</v>
      </c>
      <c r="L11529" s="2" t="s">
        <v>172</v>
      </c>
      <c r="M11529" s="2">
        <v>77433.0</v>
      </c>
      <c r="N11529" s="2" t="s">
        <v>21</v>
      </c>
    </row>
    <row r="11530" ht="15.75" customHeight="1">
      <c r="A11530" s="2">
        <v>2019.0</v>
      </c>
      <c r="B11530" s="2" t="s">
        <v>46179</v>
      </c>
      <c r="C11530" s="2" t="s">
        <v>46180</v>
      </c>
      <c r="D11530" s="2" t="str">
        <f>"3344144077"</f>
        <v>3344144077</v>
      </c>
      <c r="E11530" s="2" t="s">
        <v>81</v>
      </c>
      <c r="F11530" s="2" t="s">
        <v>283</v>
      </c>
      <c r="G11530" s="2" t="str">
        <f>"SR-16169"</f>
        <v>SR-16169</v>
      </c>
      <c r="H11530" s="2" t="s">
        <v>46181</v>
      </c>
      <c r="I11530" s="2" t="s">
        <v>46182</v>
      </c>
      <c r="K11530" s="2" t="s">
        <v>809</v>
      </c>
      <c r="L11530" s="2" t="s">
        <v>157</v>
      </c>
      <c r="M11530" s="2">
        <v>80918.0</v>
      </c>
      <c r="N11530" s="2" t="s">
        <v>21</v>
      </c>
    </row>
    <row r="11531" ht="15.75" customHeight="1">
      <c r="A11531" s="2">
        <v>2019.0</v>
      </c>
      <c r="B11531" s="2" t="s">
        <v>32210</v>
      </c>
      <c r="C11531" s="2" t="s">
        <v>46183</v>
      </c>
      <c r="D11531" s="2" t="str">
        <f>"507.402.8852"</f>
        <v>507.402.8852</v>
      </c>
      <c r="E11531" s="2" t="s">
        <v>15</v>
      </c>
      <c r="F11531" s="2" t="s">
        <v>29522</v>
      </c>
      <c r="G11531" s="2" t="str">
        <f>"SR-16171"</f>
        <v>SR-16171</v>
      </c>
      <c r="H11531" s="2" t="s">
        <v>46184</v>
      </c>
      <c r="I11531" s="2" t="s">
        <v>32213</v>
      </c>
      <c r="J11531" s="2" t="s">
        <v>32214</v>
      </c>
      <c r="K11531" s="2" t="s">
        <v>32215</v>
      </c>
      <c r="L11531" s="2" t="s">
        <v>62</v>
      </c>
      <c r="M11531" s="2">
        <v>56045.0</v>
      </c>
      <c r="N11531" s="2" t="s">
        <v>21</v>
      </c>
    </row>
    <row r="11532" ht="15.75" customHeight="1">
      <c r="A11532" s="2">
        <v>2019.0</v>
      </c>
      <c r="B11532" s="2" t="s">
        <v>46185</v>
      </c>
      <c r="C11532" s="2" t="s">
        <v>46186</v>
      </c>
      <c r="D11532" s="2" t="str">
        <f>"(208) 794-5048"</f>
        <v>(208) 794-5048</v>
      </c>
      <c r="E11532" s="2" t="s">
        <v>250</v>
      </c>
      <c r="F11532" s="2" t="s">
        <v>1732</v>
      </c>
      <c r="G11532" s="2" t="str">
        <f>"SR-15982"</f>
        <v>SR-15982</v>
      </c>
      <c r="H11532" s="2" t="s">
        <v>46187</v>
      </c>
      <c r="I11532" s="2" t="s">
        <v>46188</v>
      </c>
      <c r="K11532" s="2" t="s">
        <v>20485</v>
      </c>
      <c r="L11532" s="2" t="s">
        <v>2613</v>
      </c>
      <c r="M11532" s="2">
        <v>83646.0</v>
      </c>
      <c r="N11532" s="2" t="s">
        <v>21</v>
      </c>
    </row>
    <row r="11533" ht="15.75" customHeight="1">
      <c r="A11533" s="2">
        <v>2019.0</v>
      </c>
      <c r="B11533" s="2" t="s">
        <v>46189</v>
      </c>
      <c r="C11533" s="2" t="s">
        <v>46190</v>
      </c>
      <c r="D11533" s="2" t="str">
        <f>"603-748-8891"</f>
        <v>603-748-8891</v>
      </c>
      <c r="E11533" s="2" t="s">
        <v>6381</v>
      </c>
      <c r="F11533" s="2" t="s">
        <v>46191</v>
      </c>
      <c r="G11533" s="2" t="str">
        <f>"SR-16170"</f>
        <v>SR-16170</v>
      </c>
      <c r="H11533" s="2" t="s">
        <v>46192</v>
      </c>
      <c r="I11533" s="2" t="s">
        <v>46193</v>
      </c>
      <c r="K11533" s="2" t="s">
        <v>46194</v>
      </c>
      <c r="L11533" s="2" t="s">
        <v>19930</v>
      </c>
      <c r="M11533" s="2">
        <v>3242.0</v>
      </c>
      <c r="N11533" s="2" t="s">
        <v>21</v>
      </c>
    </row>
    <row r="11534" ht="15.75" customHeight="1">
      <c r="A11534" s="2">
        <v>2019.0</v>
      </c>
      <c r="B11534" s="2" t="s">
        <v>46195</v>
      </c>
      <c r="C11534" s="2" t="s">
        <v>46196</v>
      </c>
      <c r="D11534" s="2" t="str">
        <f>"615-516-9233"</f>
        <v>615-516-9233</v>
      </c>
      <c r="E11534" s="2" t="s">
        <v>10981</v>
      </c>
      <c r="F11534" s="2" t="s">
        <v>386</v>
      </c>
      <c r="G11534" s="2" t="str">
        <f>"SR-16122"</f>
        <v>SR-16122</v>
      </c>
      <c r="H11534" s="2" t="s">
        <v>46197</v>
      </c>
      <c r="I11534" s="2" t="s">
        <v>46198</v>
      </c>
      <c r="K11534" s="2" t="s">
        <v>278</v>
      </c>
      <c r="L11534" s="2" t="s">
        <v>279</v>
      </c>
      <c r="M11534" s="2">
        <v>37064.0</v>
      </c>
      <c r="N11534" s="2" t="s">
        <v>21</v>
      </c>
    </row>
    <row r="11535" ht="15.75" customHeight="1">
      <c r="A11535" s="2">
        <v>2019.0</v>
      </c>
      <c r="B11535" s="2" t="s">
        <v>46195</v>
      </c>
      <c r="C11535" s="2" t="s">
        <v>46199</v>
      </c>
      <c r="D11535" s="2" t="str">
        <f>"6155212037"</f>
        <v>6155212037</v>
      </c>
      <c r="E11535" s="2" t="s">
        <v>4300</v>
      </c>
      <c r="F11535" s="2" t="s">
        <v>386</v>
      </c>
      <c r="G11535" s="2" t="str">
        <f>"SR-16174"</f>
        <v>SR-16174</v>
      </c>
      <c r="H11535" s="2" t="s">
        <v>46200</v>
      </c>
      <c r="I11535" s="2" t="s">
        <v>46198</v>
      </c>
      <c r="K11535" s="2" t="s">
        <v>278</v>
      </c>
      <c r="L11535" s="2" t="s">
        <v>279</v>
      </c>
      <c r="M11535" s="2">
        <v>37064.0</v>
      </c>
      <c r="N11535" s="2" t="s">
        <v>21</v>
      </c>
    </row>
    <row r="11536" ht="15.75" customHeight="1">
      <c r="A11536" s="2">
        <v>2019.0</v>
      </c>
      <c r="B11536" s="2" t="s">
        <v>46189</v>
      </c>
      <c r="C11536" s="2" t="s">
        <v>46201</v>
      </c>
      <c r="D11536" s="2" t="str">
        <f>"603-748-7099"</f>
        <v>603-748-7099</v>
      </c>
      <c r="E11536" s="2" t="s">
        <v>2306</v>
      </c>
      <c r="F11536" s="2" t="s">
        <v>46191</v>
      </c>
      <c r="G11536" s="2" t="str">
        <f>"SR-16176"</f>
        <v>SR-16176</v>
      </c>
      <c r="H11536" s="2" t="s">
        <v>46202</v>
      </c>
      <c r="I11536" s="2" t="s">
        <v>46193</v>
      </c>
      <c r="K11536" s="2" t="s">
        <v>46194</v>
      </c>
      <c r="L11536" s="2" t="s">
        <v>19930</v>
      </c>
      <c r="M11536" s="2">
        <v>3242.0</v>
      </c>
      <c r="N11536" s="2" t="s">
        <v>21</v>
      </c>
    </row>
    <row r="11537" ht="15.75" customHeight="1">
      <c r="A11537" s="2">
        <v>2019.0</v>
      </c>
      <c r="B11537" s="2" t="s">
        <v>46203</v>
      </c>
      <c r="C11537" s="2" t="s">
        <v>46204</v>
      </c>
      <c r="D11537" s="2" t="str">
        <f>"4027612259"</f>
        <v>4027612259</v>
      </c>
      <c r="E11537" s="2" t="s">
        <v>1263</v>
      </c>
      <c r="F11537" s="2" t="s">
        <v>1040</v>
      </c>
      <c r="G11537" s="2" t="str">
        <f>"SR-16177"</f>
        <v>SR-16177</v>
      </c>
      <c r="H11537" s="2" t="s">
        <v>46205</v>
      </c>
      <c r="I11537" s="2" t="s">
        <v>46206</v>
      </c>
      <c r="K11537" s="2" t="s">
        <v>46207</v>
      </c>
      <c r="L11537" s="2" t="s">
        <v>757</v>
      </c>
      <c r="M11537" s="2">
        <v>68405.0</v>
      </c>
      <c r="N11537" s="2" t="s">
        <v>21</v>
      </c>
    </row>
    <row r="11538" ht="15.75" customHeight="1">
      <c r="A11538" s="2">
        <v>2019.0</v>
      </c>
      <c r="B11538" s="2" t="s">
        <v>46208</v>
      </c>
      <c r="C11538" s="2" t="s">
        <v>46209</v>
      </c>
      <c r="D11538" s="2" t="str">
        <f>"254-223-4719"</f>
        <v>254-223-4719</v>
      </c>
      <c r="E11538" s="2" t="s">
        <v>465</v>
      </c>
      <c r="F11538" s="2" t="s">
        <v>13459</v>
      </c>
      <c r="G11538" s="2" t="str">
        <f>"SR-16178"</f>
        <v>SR-16178</v>
      </c>
      <c r="H11538" s="2" t="s">
        <v>46210</v>
      </c>
      <c r="I11538" s="2" t="s">
        <v>46211</v>
      </c>
      <c r="K11538" s="2" t="s">
        <v>6230</v>
      </c>
      <c r="L11538" s="2" t="s">
        <v>172</v>
      </c>
      <c r="M11538" s="2">
        <v>76528.0</v>
      </c>
      <c r="N11538" s="2" t="s">
        <v>21</v>
      </c>
    </row>
    <row r="11539" ht="15.75" customHeight="1">
      <c r="A11539" s="2">
        <v>2019.0</v>
      </c>
      <c r="B11539" s="2" t="s">
        <v>46212</v>
      </c>
      <c r="C11539" s="2" t="s">
        <v>46213</v>
      </c>
      <c r="D11539" s="2" t="str">
        <f>"8325923662"</f>
        <v>8325923662</v>
      </c>
      <c r="E11539" s="2" t="s">
        <v>584</v>
      </c>
      <c r="F11539" s="2" t="s">
        <v>12289</v>
      </c>
      <c r="G11539" s="2" t="str">
        <f>"SR-16125"</f>
        <v>SR-16125</v>
      </c>
      <c r="H11539" s="2" t="s">
        <v>46214</v>
      </c>
      <c r="I11539" s="2" t="s">
        <v>46215</v>
      </c>
      <c r="K11539" s="2" t="s">
        <v>5855</v>
      </c>
      <c r="L11539" s="2" t="s">
        <v>172</v>
      </c>
      <c r="M11539" s="2">
        <v>77386.0</v>
      </c>
      <c r="N11539" s="2" t="s">
        <v>21</v>
      </c>
    </row>
    <row r="11540" ht="15.75" customHeight="1">
      <c r="A11540" s="2">
        <v>2019.0</v>
      </c>
      <c r="B11540" s="2" t="s">
        <v>41234</v>
      </c>
      <c r="C11540" s="2" t="s">
        <v>41235</v>
      </c>
      <c r="D11540" s="2" t="str">
        <f>"(423) 646-4163"</f>
        <v>(423) 646-4163</v>
      </c>
      <c r="E11540" s="2" t="s">
        <v>843</v>
      </c>
      <c r="F11540" s="2" t="s">
        <v>2174</v>
      </c>
      <c r="G11540" s="2" t="str">
        <f>"SR-13789"</f>
        <v>SR-13789</v>
      </c>
      <c r="H11540" s="2" t="s">
        <v>41236</v>
      </c>
      <c r="I11540" s="2" t="s">
        <v>41237</v>
      </c>
      <c r="K11540" s="2" t="s">
        <v>5493</v>
      </c>
      <c r="L11540" s="2" t="s">
        <v>279</v>
      </c>
      <c r="M11540" s="2">
        <v>37621.0</v>
      </c>
      <c r="N11540" s="2" t="s">
        <v>21</v>
      </c>
    </row>
    <row r="11541" ht="15.75" customHeight="1">
      <c r="A11541" s="2">
        <v>2019.0</v>
      </c>
      <c r="B11541" s="2" t="s">
        <v>46216</v>
      </c>
      <c r="C11541" s="2" t="s">
        <v>46216</v>
      </c>
      <c r="D11541" s="2" t="str">
        <f>"(402)-761-2259"</f>
        <v>(402)-761-2259</v>
      </c>
      <c r="E11541" s="2" t="s">
        <v>453</v>
      </c>
      <c r="F11541" s="2" t="s">
        <v>1040</v>
      </c>
      <c r="G11541" s="2" t="str">
        <f>"SR-15984"</f>
        <v>SR-15984</v>
      </c>
      <c r="H11541" s="2" t="s">
        <v>46217</v>
      </c>
      <c r="I11541" s="2" t="s">
        <v>15804</v>
      </c>
      <c r="K11541" s="2" t="s">
        <v>3141</v>
      </c>
      <c r="L11541" s="2" t="s">
        <v>757</v>
      </c>
      <c r="M11541" s="2">
        <v>68405.0</v>
      </c>
      <c r="N11541" s="2" t="s">
        <v>21</v>
      </c>
    </row>
    <row r="11542" ht="15.75" customHeight="1">
      <c r="A11542" s="2">
        <v>2019.0</v>
      </c>
      <c r="B11542" s="2" t="s">
        <v>46218</v>
      </c>
      <c r="C11542" s="2" t="s">
        <v>46218</v>
      </c>
      <c r="D11542" s="2" t="str">
        <f>"8067908727"</f>
        <v>8067908727</v>
      </c>
      <c r="E11542" s="2" t="s">
        <v>46219</v>
      </c>
      <c r="F11542" s="2" t="s">
        <v>46220</v>
      </c>
      <c r="G11542" s="2" t="str">
        <f>"SR-16180"</f>
        <v>SR-16180</v>
      </c>
      <c r="H11542" s="2" t="s">
        <v>46221</v>
      </c>
      <c r="I11542" s="2" t="s">
        <v>46222</v>
      </c>
      <c r="K11542" s="2" t="s">
        <v>1121</v>
      </c>
      <c r="L11542" s="2" t="s">
        <v>172</v>
      </c>
      <c r="M11542" s="2">
        <v>79423.0</v>
      </c>
      <c r="N11542" s="2" t="s">
        <v>21</v>
      </c>
    </row>
    <row r="11543" ht="15.75" customHeight="1">
      <c r="A11543" s="2">
        <v>2019.0</v>
      </c>
      <c r="B11543" s="2" t="s">
        <v>46223</v>
      </c>
      <c r="C11543" s="2" t="s">
        <v>46224</v>
      </c>
      <c r="D11543" s="2" t="str">
        <f>"3602650367"</f>
        <v>3602650367</v>
      </c>
      <c r="E11543" s="2" t="s">
        <v>7996</v>
      </c>
      <c r="F11543" s="2" t="s">
        <v>46225</v>
      </c>
      <c r="G11543" s="2" t="str">
        <f>"SR-16172"</f>
        <v>SR-16172</v>
      </c>
      <c r="H11543" s="2" t="s">
        <v>46226</v>
      </c>
      <c r="I11543" s="2" t="s">
        <v>46227</v>
      </c>
      <c r="K11543" s="2" t="s">
        <v>11843</v>
      </c>
      <c r="L11543" s="2" t="s">
        <v>86</v>
      </c>
      <c r="M11543" s="2">
        <v>98353.0</v>
      </c>
      <c r="N11543" s="2" t="s">
        <v>21</v>
      </c>
    </row>
    <row r="11544" ht="15.75" customHeight="1">
      <c r="A11544" s="2">
        <v>2019.0</v>
      </c>
      <c r="B11544" s="2" t="s">
        <v>46228</v>
      </c>
      <c r="C11544" s="2" t="s">
        <v>46228</v>
      </c>
      <c r="D11544" s="2" t="str">
        <f>"3072729708"</f>
        <v>3072729708</v>
      </c>
      <c r="E11544" s="2" t="s">
        <v>46229</v>
      </c>
      <c r="F11544" s="2" t="s">
        <v>46230</v>
      </c>
      <c r="G11544" s="2" t="str">
        <f>"SR-16034"</f>
        <v>SR-16034</v>
      </c>
      <c r="H11544" s="2" t="s">
        <v>46231</v>
      </c>
      <c r="I11544" s="2" t="s">
        <v>46232</v>
      </c>
      <c r="K11544" s="2" t="s">
        <v>46233</v>
      </c>
      <c r="L11544" s="2" t="s">
        <v>1540</v>
      </c>
      <c r="M11544" s="2">
        <v>82435.0</v>
      </c>
      <c r="N11544" s="2" t="s">
        <v>21</v>
      </c>
    </row>
    <row r="11545" ht="15.75" customHeight="1">
      <c r="A11545" s="2">
        <v>2019.0</v>
      </c>
      <c r="B11545" s="2" t="s">
        <v>46223</v>
      </c>
      <c r="C11545" s="2" t="s">
        <v>46234</v>
      </c>
      <c r="D11545" s="2" t="str">
        <f>"3602650367"</f>
        <v>3602650367</v>
      </c>
      <c r="E11545" s="2" t="s">
        <v>1725</v>
      </c>
      <c r="F11545" s="2" t="s">
        <v>46225</v>
      </c>
      <c r="G11545" s="2" t="str">
        <f>"SR-16181"</f>
        <v>SR-16181</v>
      </c>
      <c r="H11545" s="2" t="s">
        <v>46235</v>
      </c>
      <c r="I11545" s="2" t="s">
        <v>46227</v>
      </c>
      <c r="K11545" s="2" t="s">
        <v>11843</v>
      </c>
      <c r="L11545" s="2" t="s">
        <v>86</v>
      </c>
      <c r="M11545" s="2">
        <v>98353.0</v>
      </c>
      <c r="N11545" s="2" t="s">
        <v>21</v>
      </c>
    </row>
    <row r="11546" ht="15.75" customHeight="1">
      <c r="A11546" s="2">
        <v>2019.0</v>
      </c>
      <c r="B11546" s="2" t="s">
        <v>46236</v>
      </c>
      <c r="D11546" s="2" t="str">
        <f>""</f>
        <v/>
      </c>
      <c r="E11546" s="2" t="s">
        <v>32135</v>
      </c>
      <c r="F11546" s="2" t="s">
        <v>46237</v>
      </c>
      <c r="G11546" s="2" t="str">
        <f>"SR-16164"</f>
        <v>SR-16164</v>
      </c>
      <c r="H11546" s="2" t="s">
        <v>46238</v>
      </c>
      <c r="N11546" s="2" t="s">
        <v>21</v>
      </c>
    </row>
    <row r="11547" ht="15.75" customHeight="1">
      <c r="A11547" s="2">
        <v>2019.0</v>
      </c>
      <c r="B11547" s="2" t="s">
        <v>46239</v>
      </c>
      <c r="C11547" s="2" t="s">
        <v>46240</v>
      </c>
      <c r="D11547" s="2" t="str">
        <f t="shared" ref="D11547:D11548" si="192">"6184072309"</f>
        <v>6184072309</v>
      </c>
      <c r="E11547" s="2" t="s">
        <v>46241</v>
      </c>
      <c r="F11547" s="2" t="s">
        <v>11388</v>
      </c>
      <c r="G11547" s="2" t="str">
        <f>"SR-16029"</f>
        <v>SR-16029</v>
      </c>
      <c r="H11547" s="2" t="s">
        <v>46242</v>
      </c>
      <c r="I11547" s="2" t="s">
        <v>46243</v>
      </c>
      <c r="K11547" s="2" t="s">
        <v>27547</v>
      </c>
      <c r="L11547" s="2" t="s">
        <v>157</v>
      </c>
      <c r="M11547" s="2">
        <v>81416.0</v>
      </c>
      <c r="N11547" s="2" t="s">
        <v>21</v>
      </c>
    </row>
    <row r="11548" ht="15.75" customHeight="1">
      <c r="A11548" s="2">
        <v>2019.0</v>
      </c>
      <c r="B11548" s="2" t="s">
        <v>46239</v>
      </c>
      <c r="C11548" s="2" t="s">
        <v>46244</v>
      </c>
      <c r="D11548" s="2" t="str">
        <f t="shared" si="192"/>
        <v>6184072309</v>
      </c>
      <c r="E11548" s="2" t="s">
        <v>385</v>
      </c>
      <c r="F11548" s="2" t="s">
        <v>11388</v>
      </c>
      <c r="G11548" s="2" t="str">
        <f>"SR-14552"</f>
        <v>SR-14552</v>
      </c>
      <c r="H11548" s="2" t="s">
        <v>46245</v>
      </c>
      <c r="I11548" s="2" t="s">
        <v>46243</v>
      </c>
      <c r="K11548" s="2" t="s">
        <v>27547</v>
      </c>
      <c r="L11548" s="2" t="s">
        <v>157</v>
      </c>
      <c r="M11548" s="2">
        <v>81416.0</v>
      </c>
      <c r="N11548" s="2" t="s">
        <v>21</v>
      </c>
    </row>
    <row r="11549" ht="15.75" customHeight="1">
      <c r="A11549" s="2">
        <v>2019.0</v>
      </c>
      <c r="B11549" s="2" t="s">
        <v>46246</v>
      </c>
      <c r="C11549" s="2" t="s">
        <v>46246</v>
      </c>
      <c r="D11549" s="2" t="str">
        <f>"3609618919"</f>
        <v>3609618919</v>
      </c>
      <c r="E11549" s="2" t="s">
        <v>10566</v>
      </c>
      <c r="F11549" s="2" t="s">
        <v>46247</v>
      </c>
      <c r="G11549" s="2" t="str">
        <f>"SR-16069"</f>
        <v>SR-16069</v>
      </c>
      <c r="H11549" s="2" t="s">
        <v>46248</v>
      </c>
      <c r="I11549" s="2" t="s">
        <v>46249</v>
      </c>
      <c r="K11549" s="2" t="s">
        <v>22159</v>
      </c>
      <c r="L11549" s="2" t="s">
        <v>86</v>
      </c>
      <c r="M11549" s="2">
        <v>98264.0</v>
      </c>
      <c r="N11549" s="2" t="s">
        <v>21</v>
      </c>
    </row>
    <row r="11550" ht="15.75" customHeight="1">
      <c r="A11550" s="2">
        <v>2019.0</v>
      </c>
      <c r="B11550" s="2" t="s">
        <v>46250</v>
      </c>
      <c r="C11550" s="2" t="s">
        <v>46251</v>
      </c>
      <c r="D11550" s="2" t="str">
        <f>"9702312962"</f>
        <v>9702312962</v>
      </c>
      <c r="E11550" s="2" t="s">
        <v>453</v>
      </c>
      <c r="F11550" s="2" t="s">
        <v>1960</v>
      </c>
      <c r="G11550" s="2" t="str">
        <f>"SR-16184"</f>
        <v>SR-16184</v>
      </c>
      <c r="H11550" s="2" t="s">
        <v>46252</v>
      </c>
      <c r="I11550" s="2" t="s">
        <v>46253</v>
      </c>
      <c r="K11550" s="2" t="s">
        <v>1048</v>
      </c>
      <c r="L11550" s="2" t="s">
        <v>157</v>
      </c>
      <c r="M11550" s="2">
        <v>80538.0</v>
      </c>
      <c r="N11550" s="2" t="s">
        <v>21</v>
      </c>
    </row>
    <row r="11551" ht="15.75" customHeight="1">
      <c r="A11551" s="2">
        <v>2019.0</v>
      </c>
      <c r="B11551" s="2" t="s">
        <v>35119</v>
      </c>
      <c r="C11551" s="2" t="s">
        <v>35120</v>
      </c>
      <c r="D11551" s="2" t="str">
        <f>"6266166111"</f>
        <v>6266166111</v>
      </c>
      <c r="E11551" s="2" t="s">
        <v>35121</v>
      </c>
      <c r="F11551" s="2" t="s">
        <v>14417</v>
      </c>
      <c r="G11551" s="2" t="str">
        <f>"SR-11004"</f>
        <v>SR-11004</v>
      </c>
      <c r="H11551" s="2" t="s">
        <v>35122</v>
      </c>
      <c r="I11551" s="2" t="s">
        <v>35123</v>
      </c>
      <c r="K11551" s="2" t="s">
        <v>13889</v>
      </c>
      <c r="L11551" s="2" t="s">
        <v>222</v>
      </c>
      <c r="M11551" s="2">
        <v>92373.0</v>
      </c>
      <c r="N11551" s="2" t="s">
        <v>21</v>
      </c>
    </row>
    <row r="11552" ht="15.75" customHeight="1">
      <c r="A11552" s="2">
        <v>2019.0</v>
      </c>
      <c r="B11552" s="2" t="s">
        <v>46254</v>
      </c>
      <c r="C11552" s="2" t="s">
        <v>46255</v>
      </c>
      <c r="D11552" s="2" t="str">
        <f>"469-769-2576"</f>
        <v>469-769-2576</v>
      </c>
      <c r="E11552" s="2" t="s">
        <v>21870</v>
      </c>
      <c r="F11552" s="2" t="s">
        <v>24310</v>
      </c>
      <c r="G11552" s="2" t="str">
        <f>"SR-16185"</f>
        <v>SR-16185</v>
      </c>
      <c r="H11552" s="2" t="s">
        <v>46256</v>
      </c>
      <c r="I11552" s="2" t="s">
        <v>46257</v>
      </c>
      <c r="K11552" s="2" t="s">
        <v>4079</v>
      </c>
      <c r="L11552" s="2" t="s">
        <v>172</v>
      </c>
      <c r="M11552" s="2">
        <v>75043.0</v>
      </c>
      <c r="N11552" s="2" t="s">
        <v>21</v>
      </c>
    </row>
    <row r="11553" ht="15.75" customHeight="1">
      <c r="A11553" s="2">
        <v>2019.0</v>
      </c>
      <c r="B11553" s="2" t="s">
        <v>46258</v>
      </c>
      <c r="C11553" s="2" t="s">
        <v>46259</v>
      </c>
      <c r="D11553" s="2" t="str">
        <f t="shared" ref="D11553:D11554" si="193">"6154988319"</f>
        <v>6154988319</v>
      </c>
      <c r="E11553" s="2" t="s">
        <v>46260</v>
      </c>
      <c r="F11553" s="2" t="s">
        <v>939</v>
      </c>
      <c r="G11553" s="2" t="str">
        <f>"SR-16187"</f>
        <v>SR-16187</v>
      </c>
      <c r="H11553" s="2" t="s">
        <v>46261</v>
      </c>
      <c r="I11553" s="2" t="s">
        <v>46262</v>
      </c>
      <c r="K11553" s="2" t="s">
        <v>9868</v>
      </c>
      <c r="L11553" s="2" t="s">
        <v>279</v>
      </c>
      <c r="M11553" s="2">
        <v>37027.0</v>
      </c>
      <c r="N11553" s="2" t="s">
        <v>21</v>
      </c>
    </row>
    <row r="11554" ht="15.75" customHeight="1">
      <c r="A11554" s="2">
        <v>2019.0</v>
      </c>
      <c r="B11554" s="2" t="s">
        <v>46258</v>
      </c>
      <c r="C11554" s="2" t="s">
        <v>46263</v>
      </c>
      <c r="D11554" s="2" t="str">
        <f t="shared" si="193"/>
        <v>6154988319</v>
      </c>
      <c r="E11554" s="2" t="s">
        <v>250</v>
      </c>
      <c r="F11554" s="2" t="s">
        <v>939</v>
      </c>
      <c r="G11554" s="2" t="str">
        <f>"SR-16188"</f>
        <v>SR-16188</v>
      </c>
      <c r="H11554" s="2" t="s">
        <v>46264</v>
      </c>
      <c r="I11554" s="2" t="s">
        <v>46262</v>
      </c>
      <c r="K11554" s="2" t="s">
        <v>9868</v>
      </c>
      <c r="L11554" s="2" t="s">
        <v>279</v>
      </c>
      <c r="M11554" s="2">
        <v>37027.0</v>
      </c>
      <c r="N11554" s="2" t="s">
        <v>21</v>
      </c>
    </row>
    <row r="11555" ht="15.75" customHeight="1">
      <c r="A11555" s="2">
        <v>2019.0</v>
      </c>
      <c r="B11555" s="2" t="s">
        <v>46265</v>
      </c>
      <c r="C11555" s="2" t="s">
        <v>46265</v>
      </c>
      <c r="D11555" s="2" t="str">
        <f>"616-875-6026"</f>
        <v>616-875-6026</v>
      </c>
      <c r="E11555" s="2" t="s">
        <v>14000</v>
      </c>
      <c r="F11555" s="2" t="s">
        <v>16425</v>
      </c>
      <c r="G11555" s="2" t="str">
        <f>"SR-15908"</f>
        <v>SR-15908</v>
      </c>
      <c r="H11555" s="2" t="s">
        <v>46266</v>
      </c>
      <c r="I11555" s="2" t="s">
        <v>46267</v>
      </c>
      <c r="K11555" s="2" t="s">
        <v>16428</v>
      </c>
      <c r="L11555" s="2" t="s">
        <v>29</v>
      </c>
      <c r="M11555" s="2">
        <v>49426.0</v>
      </c>
      <c r="N11555" s="2" t="s">
        <v>21</v>
      </c>
    </row>
    <row r="11556" ht="15.75" customHeight="1">
      <c r="A11556" s="2">
        <v>2019.0</v>
      </c>
      <c r="B11556" s="2" t="s">
        <v>46127</v>
      </c>
      <c r="C11556" s="2" t="s">
        <v>46268</v>
      </c>
      <c r="D11556" s="2" t="str">
        <f>"407-749-9330"</f>
        <v>407-749-9330</v>
      </c>
      <c r="E11556" s="2" t="s">
        <v>6266</v>
      </c>
      <c r="F11556" s="2" t="s">
        <v>46130</v>
      </c>
      <c r="G11556" s="2" t="str">
        <f>"SR-16161"</f>
        <v>SR-16161</v>
      </c>
      <c r="H11556" s="2" t="s">
        <v>46269</v>
      </c>
      <c r="I11556" s="2" t="s">
        <v>46132</v>
      </c>
      <c r="K11556" s="2" t="s">
        <v>46133</v>
      </c>
      <c r="L11556" s="2" t="s">
        <v>208</v>
      </c>
      <c r="M11556" s="2">
        <v>32776.0</v>
      </c>
      <c r="N11556" s="2" t="s">
        <v>21</v>
      </c>
    </row>
    <row r="11557" ht="15.75" customHeight="1">
      <c r="A11557" s="2">
        <v>2019.0</v>
      </c>
      <c r="B11557" s="2" t="s">
        <v>46270</v>
      </c>
      <c r="C11557" s="2" t="s">
        <v>46271</v>
      </c>
      <c r="D11557" s="2" t="str">
        <f>"480-329-3609"</f>
        <v>480-329-3609</v>
      </c>
      <c r="E11557" s="2" t="s">
        <v>46272</v>
      </c>
      <c r="F11557" s="2" t="s">
        <v>46273</v>
      </c>
      <c r="G11557" s="2" t="str">
        <f>"SR-13856"</f>
        <v>SR-13856</v>
      </c>
      <c r="H11557" s="2" t="s">
        <v>46274</v>
      </c>
      <c r="I11557" s="2" t="s">
        <v>46275</v>
      </c>
      <c r="K11557" s="2" t="s">
        <v>5531</v>
      </c>
      <c r="L11557" s="2" t="s">
        <v>422</v>
      </c>
      <c r="M11557" s="2">
        <v>85203.0</v>
      </c>
      <c r="N11557" s="2" t="s">
        <v>21</v>
      </c>
    </row>
    <row r="11558" ht="15.75" customHeight="1">
      <c r="A11558" s="2">
        <v>2019.0</v>
      </c>
      <c r="B11558" s="2" t="s">
        <v>46276</v>
      </c>
      <c r="C11558" s="2" t="s">
        <v>46277</v>
      </c>
      <c r="D11558" s="2" t="str">
        <f>"4107216460"</f>
        <v>4107216460</v>
      </c>
      <c r="E11558" s="2" t="s">
        <v>1782</v>
      </c>
      <c r="F11558" s="2" t="s">
        <v>46278</v>
      </c>
      <c r="G11558" s="2" t="str">
        <f>"SR-16189"</f>
        <v>SR-16189</v>
      </c>
      <c r="H11558" s="2" t="s">
        <v>46279</v>
      </c>
      <c r="I11558" s="2" t="s">
        <v>46280</v>
      </c>
      <c r="K11558" s="2" t="s">
        <v>21445</v>
      </c>
      <c r="L11558" s="2" t="s">
        <v>1868</v>
      </c>
      <c r="M11558" s="2">
        <v>21114.0</v>
      </c>
      <c r="N11558" s="2" t="s">
        <v>21</v>
      </c>
    </row>
    <row r="11559" ht="15.75" customHeight="1">
      <c r="A11559" s="2">
        <v>2019.0</v>
      </c>
      <c r="B11559" s="2" t="s">
        <v>46281</v>
      </c>
      <c r="C11559" s="2" t="s">
        <v>46282</v>
      </c>
      <c r="D11559" s="2" t="str">
        <f>"7203717698"</f>
        <v>7203717698</v>
      </c>
      <c r="E11559" s="2" t="s">
        <v>6381</v>
      </c>
      <c r="F11559" s="2" t="s">
        <v>21040</v>
      </c>
      <c r="G11559" s="2" t="str">
        <f>"SR-16193"</f>
        <v>SR-16193</v>
      </c>
      <c r="H11559" s="2" t="s">
        <v>46283</v>
      </c>
      <c r="I11559" s="2" t="s">
        <v>46284</v>
      </c>
      <c r="K11559" s="2" t="s">
        <v>18005</v>
      </c>
      <c r="L11559" s="2" t="s">
        <v>157</v>
      </c>
      <c r="M11559" s="2">
        <v>80108.0</v>
      </c>
      <c r="N11559" s="2" t="s">
        <v>21</v>
      </c>
    </row>
    <row r="11560" ht="15.75" customHeight="1">
      <c r="A11560" s="2">
        <v>2019.0</v>
      </c>
      <c r="B11560" s="2" t="s">
        <v>29663</v>
      </c>
      <c r="C11560" s="2" t="s">
        <v>46285</v>
      </c>
      <c r="D11560" s="2" t="str">
        <f>"719 528-8687"</f>
        <v>719 528-8687</v>
      </c>
      <c r="E11560" s="2" t="s">
        <v>3878</v>
      </c>
      <c r="F11560" s="2" t="s">
        <v>5542</v>
      </c>
      <c r="G11560" s="2" t="str">
        <f>"SR-16199"</f>
        <v>SR-16199</v>
      </c>
      <c r="H11560" s="2" t="s">
        <v>46286</v>
      </c>
      <c r="I11560" s="2" t="s">
        <v>29666</v>
      </c>
      <c r="K11560" s="2" t="s">
        <v>809</v>
      </c>
      <c r="L11560" s="2" t="s">
        <v>157</v>
      </c>
      <c r="M11560" s="2">
        <v>80918.0</v>
      </c>
      <c r="N11560" s="2" t="s">
        <v>21</v>
      </c>
    </row>
    <row r="11561" ht="15.75" customHeight="1">
      <c r="A11561" s="2">
        <v>2019.0</v>
      </c>
      <c r="B11561" s="2" t="s">
        <v>46287</v>
      </c>
      <c r="C11561" s="2" t="s">
        <v>46287</v>
      </c>
      <c r="D11561" s="2" t="str">
        <f>"3033199535"</f>
        <v>3033199535</v>
      </c>
      <c r="E11561" s="2" t="s">
        <v>46288</v>
      </c>
      <c r="F11561" s="2" t="s">
        <v>8020</v>
      </c>
      <c r="G11561" s="2" t="str">
        <f>"SR-16182"</f>
        <v>SR-16182</v>
      </c>
      <c r="H11561" s="2" t="s">
        <v>46289</v>
      </c>
      <c r="I11561" s="2" t="s">
        <v>46290</v>
      </c>
      <c r="K11561" s="2" t="s">
        <v>5412</v>
      </c>
      <c r="L11561" s="2" t="s">
        <v>157</v>
      </c>
      <c r="M11561" s="2">
        <v>80135.0</v>
      </c>
      <c r="N11561" s="2" t="s">
        <v>21</v>
      </c>
    </row>
    <row r="11562" ht="15.75" customHeight="1">
      <c r="A11562" s="2">
        <v>2019.0</v>
      </c>
      <c r="B11562" s="2" t="s">
        <v>7666</v>
      </c>
      <c r="C11562" s="2" t="s">
        <v>46291</v>
      </c>
      <c r="D11562" s="2" t="str">
        <f>"2294856733"</f>
        <v>2294856733</v>
      </c>
      <c r="E11562" s="2" t="s">
        <v>39039</v>
      </c>
      <c r="F11562" s="2" t="s">
        <v>7667</v>
      </c>
      <c r="G11562" s="2" t="str">
        <f>"SR-15996"</f>
        <v>SR-15996</v>
      </c>
      <c r="H11562" s="2" t="s">
        <v>46292</v>
      </c>
      <c r="I11562" s="2" t="s">
        <v>46293</v>
      </c>
      <c r="K11562" s="2" t="s">
        <v>7670</v>
      </c>
      <c r="L11562" s="2" t="s">
        <v>200</v>
      </c>
      <c r="M11562" s="2">
        <v>31705.0</v>
      </c>
      <c r="N11562" s="2" t="s">
        <v>21</v>
      </c>
    </row>
    <row r="11563" ht="15.75" customHeight="1">
      <c r="A11563" s="2">
        <v>2019.0</v>
      </c>
      <c r="B11563" s="2" t="s">
        <v>46294</v>
      </c>
      <c r="C11563" s="2" t="s">
        <v>46294</v>
      </c>
      <c r="D11563" s="2" t="str">
        <f>"+82-10-4817-5598"</f>
        <v>+82-10-4817-5598</v>
      </c>
      <c r="E11563" s="2" t="s">
        <v>46295</v>
      </c>
      <c r="F11563" s="2" t="s">
        <v>6824</v>
      </c>
      <c r="G11563" s="2" t="str">
        <f>"SR-16030"</f>
        <v>SR-16030</v>
      </c>
      <c r="H11563" s="2" t="s">
        <v>46296</v>
      </c>
      <c r="I11563" s="2" t="s">
        <v>46297</v>
      </c>
      <c r="K11563" s="2" t="s">
        <v>46298</v>
      </c>
      <c r="N11563" s="2" t="s">
        <v>1626</v>
      </c>
    </row>
    <row r="11564" ht="15.75" customHeight="1">
      <c r="A11564" s="2">
        <v>2019.0</v>
      </c>
      <c r="B11564" s="2" t="s">
        <v>37897</v>
      </c>
      <c r="C11564" s="2" t="s">
        <v>37897</v>
      </c>
      <c r="D11564" s="2" t="str">
        <f>"8179452319"</f>
        <v>8179452319</v>
      </c>
      <c r="E11564" s="2" t="s">
        <v>18715</v>
      </c>
      <c r="F11564" s="2" t="s">
        <v>3236</v>
      </c>
      <c r="G11564" s="2" t="str">
        <f>"SR-16201"</f>
        <v>SR-16201</v>
      </c>
      <c r="H11564" s="2" t="s">
        <v>46299</v>
      </c>
      <c r="I11564" s="2" t="s">
        <v>37899</v>
      </c>
      <c r="K11564" s="2" t="s">
        <v>1260</v>
      </c>
      <c r="L11564" s="2" t="s">
        <v>172</v>
      </c>
      <c r="M11564" s="2">
        <v>76107.0</v>
      </c>
      <c r="N11564" s="2" t="s">
        <v>21</v>
      </c>
    </row>
    <row r="11565" ht="15.75" customHeight="1">
      <c r="A11565" s="2">
        <v>2019.0</v>
      </c>
      <c r="B11565" s="2" t="s">
        <v>46300</v>
      </c>
      <c r="C11565" s="2" t="s">
        <v>46301</v>
      </c>
      <c r="D11565" s="2" t="str">
        <f>"6364487865"</f>
        <v>6364487865</v>
      </c>
      <c r="E11565" s="2" t="s">
        <v>2126</v>
      </c>
      <c r="F11565" s="2" t="s">
        <v>3806</v>
      </c>
      <c r="G11565" s="2" t="str">
        <f>"SR-16192"</f>
        <v>SR-16192</v>
      </c>
      <c r="H11565" s="2" t="s">
        <v>46302</v>
      </c>
      <c r="I11565" s="2" t="s">
        <v>46303</v>
      </c>
      <c r="K11565" s="2" t="s">
        <v>22653</v>
      </c>
      <c r="L11565" s="2" t="s">
        <v>214</v>
      </c>
      <c r="M11565" s="2">
        <v>63069.0</v>
      </c>
      <c r="N11565" s="2" t="s">
        <v>21</v>
      </c>
    </row>
    <row r="11566" ht="15.75" customHeight="1">
      <c r="A11566" s="2">
        <v>2019.0</v>
      </c>
      <c r="B11566" s="2" t="s">
        <v>46304</v>
      </c>
      <c r="D11566" s="2" t="str">
        <f>""</f>
        <v/>
      </c>
      <c r="E11566" s="2" t="s">
        <v>6792</v>
      </c>
      <c r="F11566" s="2" t="s">
        <v>847</v>
      </c>
      <c r="G11566" s="2" t="str">
        <f>"SR-15721"</f>
        <v>SR-15721</v>
      </c>
      <c r="H11566" s="2" t="s">
        <v>46305</v>
      </c>
      <c r="N11566" s="2" t="s">
        <v>21</v>
      </c>
    </row>
    <row r="11567" ht="15.75" customHeight="1">
      <c r="A11567" s="2">
        <v>2019.0</v>
      </c>
      <c r="B11567" s="2" t="s">
        <v>13435</v>
      </c>
      <c r="C11567" s="2" t="s">
        <v>46306</v>
      </c>
      <c r="D11567" s="2" t="str">
        <f>"704-789-3714"</f>
        <v>704-789-3714</v>
      </c>
      <c r="E11567" s="2" t="s">
        <v>2401</v>
      </c>
      <c r="F11567" s="2" t="s">
        <v>13437</v>
      </c>
      <c r="G11567" s="2" t="str">
        <f>"SR-16136"</f>
        <v>SR-16136</v>
      </c>
      <c r="H11567" s="2" t="s">
        <v>46307</v>
      </c>
      <c r="I11567" s="2" t="s">
        <v>13439</v>
      </c>
      <c r="K11567" s="2" t="s">
        <v>4304</v>
      </c>
      <c r="L11567" s="2" t="s">
        <v>20</v>
      </c>
      <c r="M11567" s="2">
        <v>28173.0</v>
      </c>
      <c r="N11567" s="2" t="s">
        <v>21</v>
      </c>
    </row>
    <row r="11568" ht="15.75" customHeight="1">
      <c r="A11568" s="2">
        <v>2019.0</v>
      </c>
      <c r="B11568" s="2" t="s">
        <v>31638</v>
      </c>
      <c r="C11568" s="2" t="s">
        <v>46308</v>
      </c>
      <c r="D11568" s="2" t="str">
        <f>"2103832022"</f>
        <v>2103832022</v>
      </c>
      <c r="E11568" s="2" t="s">
        <v>137</v>
      </c>
      <c r="F11568" s="2" t="s">
        <v>23273</v>
      </c>
      <c r="G11568" s="2" t="str">
        <f>"SR-16207"</f>
        <v>SR-16207</v>
      </c>
      <c r="H11568" s="2" t="s">
        <v>46309</v>
      </c>
      <c r="I11568" s="2" t="s">
        <v>31641</v>
      </c>
      <c r="K11568" s="2" t="s">
        <v>1141</v>
      </c>
      <c r="L11568" s="2" t="s">
        <v>172</v>
      </c>
      <c r="M11568" s="2">
        <v>78749.0</v>
      </c>
      <c r="N11568" s="2" t="s">
        <v>21</v>
      </c>
    </row>
    <row r="11569" ht="15.75" customHeight="1">
      <c r="A11569" s="2">
        <v>2019.0</v>
      </c>
      <c r="B11569" s="2" t="s">
        <v>46310</v>
      </c>
      <c r="C11569" s="2" t="s">
        <v>46311</v>
      </c>
      <c r="D11569" s="2" t="str">
        <f>"7035014182"</f>
        <v>7035014182</v>
      </c>
      <c r="E11569" s="2" t="s">
        <v>23544</v>
      </c>
      <c r="F11569" s="2" t="s">
        <v>962</v>
      </c>
      <c r="G11569" s="2" t="str">
        <f>"SR-15153"</f>
        <v>SR-15153</v>
      </c>
      <c r="H11569" s="2" t="s">
        <v>46312</v>
      </c>
      <c r="I11569" s="2" t="s">
        <v>46313</v>
      </c>
      <c r="K11569" s="2" t="s">
        <v>11041</v>
      </c>
      <c r="L11569" s="2" t="s">
        <v>165</v>
      </c>
      <c r="M11569" s="2">
        <v>22911.0</v>
      </c>
      <c r="N11569" s="2" t="s">
        <v>21</v>
      </c>
    </row>
    <row r="11570" ht="15.75" customHeight="1">
      <c r="A11570" s="2">
        <v>2019.0</v>
      </c>
      <c r="B11570" s="2" t="s">
        <v>46314</v>
      </c>
      <c r="C11570" s="2" t="s">
        <v>46315</v>
      </c>
      <c r="D11570" s="2" t="str">
        <f>"5126568619"</f>
        <v>5126568619</v>
      </c>
      <c r="E11570" s="2" t="s">
        <v>2243</v>
      </c>
      <c r="F11570" s="2" t="s">
        <v>46316</v>
      </c>
      <c r="G11570" s="2" t="str">
        <f>"SR-16208"</f>
        <v>SR-16208</v>
      </c>
      <c r="H11570" s="2" t="s">
        <v>46317</v>
      </c>
      <c r="I11570" s="2" t="s">
        <v>46318</v>
      </c>
      <c r="K11570" s="2" t="s">
        <v>1255</v>
      </c>
      <c r="L11570" s="2" t="s">
        <v>172</v>
      </c>
      <c r="M11570" s="2">
        <v>75229.0</v>
      </c>
      <c r="N11570" s="2" t="s">
        <v>21</v>
      </c>
    </row>
    <row r="11571" ht="15.75" customHeight="1">
      <c r="A11571" s="2">
        <v>2019.0</v>
      </c>
      <c r="B11571" s="2" t="s">
        <v>46319</v>
      </c>
      <c r="C11571" s="2" t="s">
        <v>46320</v>
      </c>
      <c r="D11571" s="2" t="str">
        <f>"8562374871"</f>
        <v>8562374871</v>
      </c>
      <c r="E11571" s="2" t="s">
        <v>46321</v>
      </c>
      <c r="F11571" s="2" t="s">
        <v>46322</v>
      </c>
      <c r="G11571" s="2" t="str">
        <f>"SR-16209"</f>
        <v>SR-16209</v>
      </c>
      <c r="H11571" s="2" t="s">
        <v>46323</v>
      </c>
      <c r="I11571" s="2" t="s">
        <v>46324</v>
      </c>
      <c r="K11571" s="2" t="s">
        <v>46325</v>
      </c>
      <c r="L11571" s="2" t="s">
        <v>3618</v>
      </c>
      <c r="M11571" s="2">
        <v>8094.0</v>
      </c>
      <c r="N11571" s="2" t="s">
        <v>21</v>
      </c>
    </row>
    <row r="11572" ht="15.75" customHeight="1">
      <c r="A11572" s="2">
        <v>2019.0</v>
      </c>
      <c r="B11572" s="2" t="s">
        <v>46326</v>
      </c>
      <c r="C11572" s="2" t="s">
        <v>46327</v>
      </c>
      <c r="D11572" s="2" t="str">
        <f>"215-370-1865"</f>
        <v>215-370-1865</v>
      </c>
      <c r="E11572" s="2" t="s">
        <v>46328</v>
      </c>
      <c r="F11572" s="2" t="s">
        <v>23163</v>
      </c>
      <c r="G11572" s="2" t="str">
        <f>"SR-15814"</f>
        <v>SR-15814</v>
      </c>
      <c r="H11572" s="2" t="s">
        <v>46329</v>
      </c>
      <c r="I11572" s="2" t="s">
        <v>46330</v>
      </c>
      <c r="K11572" s="2" t="s">
        <v>1398</v>
      </c>
      <c r="L11572" s="2" t="s">
        <v>157</v>
      </c>
      <c r="M11572" s="2">
        <v>80109.0</v>
      </c>
      <c r="N11572" s="2" t="s">
        <v>21</v>
      </c>
    </row>
    <row r="11573" ht="15.75" customHeight="1">
      <c r="A11573" s="2">
        <v>2019.0</v>
      </c>
      <c r="B11573" s="2" t="s">
        <v>46331</v>
      </c>
      <c r="C11573" s="2" t="s">
        <v>46332</v>
      </c>
      <c r="D11573" s="2" t="str">
        <f>"7209754310"</f>
        <v>7209754310</v>
      </c>
      <c r="E11573" s="2" t="s">
        <v>9513</v>
      </c>
      <c r="F11573" s="2" t="s">
        <v>46333</v>
      </c>
      <c r="G11573" s="2" t="str">
        <f>"SR-16155"</f>
        <v>SR-16155</v>
      </c>
      <c r="H11573" s="2" t="s">
        <v>46334</v>
      </c>
      <c r="I11573" s="2" t="s">
        <v>46335</v>
      </c>
      <c r="K11573" s="2" t="s">
        <v>992</v>
      </c>
      <c r="L11573" s="2" t="s">
        <v>157</v>
      </c>
      <c r="M11573" s="2">
        <v>80015.0</v>
      </c>
      <c r="N11573" s="2" t="s">
        <v>21</v>
      </c>
    </row>
    <row r="11574" ht="15.75" customHeight="1">
      <c r="A11574" s="2">
        <v>2019.0</v>
      </c>
      <c r="B11574" s="2" t="s">
        <v>41308</v>
      </c>
      <c r="C11574" s="2" t="s">
        <v>41309</v>
      </c>
      <c r="D11574" s="2" t="str">
        <f>"214 563-0981"</f>
        <v>214 563-0981</v>
      </c>
      <c r="E11574" s="2" t="s">
        <v>41310</v>
      </c>
      <c r="F11574" s="2" t="s">
        <v>5637</v>
      </c>
      <c r="G11574" s="2" t="str">
        <f>"SR-14282"</f>
        <v>SR-14282</v>
      </c>
      <c r="H11574" s="2" t="s">
        <v>41311</v>
      </c>
      <c r="I11574" s="2" t="s">
        <v>41312</v>
      </c>
      <c r="K11574" s="2" t="s">
        <v>1255</v>
      </c>
      <c r="L11574" s="2" t="s">
        <v>172</v>
      </c>
      <c r="M11574" s="2">
        <v>75229.0</v>
      </c>
      <c r="N11574" s="2" t="s">
        <v>21</v>
      </c>
    </row>
    <row r="11575" ht="15.75" customHeight="1">
      <c r="A11575" s="2">
        <v>2019.0</v>
      </c>
      <c r="B11575" s="2" t="s">
        <v>46336</v>
      </c>
      <c r="C11575" s="2" t="s">
        <v>46337</v>
      </c>
      <c r="D11575" s="2" t="str">
        <f>"3257217311"</f>
        <v>3257217311</v>
      </c>
      <c r="E11575" s="2" t="s">
        <v>1450</v>
      </c>
      <c r="F11575" s="2" t="s">
        <v>16291</v>
      </c>
      <c r="G11575" s="2" t="str">
        <f>"SR-16212"</f>
        <v>SR-16212</v>
      </c>
      <c r="H11575" s="2" t="s">
        <v>46338</v>
      </c>
      <c r="I11575" s="2" t="s">
        <v>46339</v>
      </c>
      <c r="K11575" s="2" t="s">
        <v>5505</v>
      </c>
      <c r="L11575" s="2" t="s">
        <v>172</v>
      </c>
      <c r="M11575" s="2">
        <v>79501.0</v>
      </c>
      <c r="N11575" s="2" t="s">
        <v>21</v>
      </c>
    </row>
    <row r="11576" ht="15.75" customHeight="1">
      <c r="A11576" s="2">
        <v>2019.0</v>
      </c>
      <c r="B11576" s="2" t="s">
        <v>37537</v>
      </c>
      <c r="C11576" s="2" t="s">
        <v>37538</v>
      </c>
      <c r="D11576" s="2" t="str">
        <f>"605-224-1616"</f>
        <v>605-224-1616</v>
      </c>
      <c r="E11576" s="2" t="s">
        <v>718</v>
      </c>
      <c r="F11576" s="2" t="s">
        <v>37539</v>
      </c>
      <c r="G11576" s="2" t="str">
        <f>"SR-12811"</f>
        <v>SR-12811</v>
      </c>
      <c r="H11576" s="2" t="s">
        <v>37540</v>
      </c>
      <c r="I11576" s="2" t="s">
        <v>37541</v>
      </c>
      <c r="K11576" s="2" t="s">
        <v>4355</v>
      </c>
      <c r="L11576" s="2" t="s">
        <v>920</v>
      </c>
      <c r="M11576" s="2">
        <v>57501.0</v>
      </c>
      <c r="N11576" s="2" t="s">
        <v>21</v>
      </c>
    </row>
    <row r="11577" ht="15.75" customHeight="1">
      <c r="A11577" s="2">
        <v>2019.0</v>
      </c>
      <c r="B11577" s="2" t="s">
        <v>37537</v>
      </c>
      <c r="C11577" s="2" t="s">
        <v>46340</v>
      </c>
      <c r="D11577" s="2" t="str">
        <f>"605-222-6505"</f>
        <v>605-222-6505</v>
      </c>
      <c r="E11577" s="2" t="s">
        <v>46341</v>
      </c>
      <c r="F11577" s="2" t="s">
        <v>46342</v>
      </c>
      <c r="G11577" s="2" t="str">
        <f>"SR-16214"</f>
        <v>SR-16214</v>
      </c>
      <c r="H11577" s="2" t="s">
        <v>46343</v>
      </c>
      <c r="I11577" s="2" t="s">
        <v>46344</v>
      </c>
      <c r="K11577" s="2" t="s">
        <v>4355</v>
      </c>
      <c r="L11577" s="2" t="s">
        <v>920</v>
      </c>
      <c r="M11577" s="2">
        <v>57501.0</v>
      </c>
      <c r="N11577" s="2" t="s">
        <v>21</v>
      </c>
    </row>
    <row r="11578" ht="15.75" customHeight="1">
      <c r="A11578" s="2">
        <v>2019.0</v>
      </c>
      <c r="B11578" s="2" t="s">
        <v>46345</v>
      </c>
      <c r="C11578" s="2" t="s">
        <v>46345</v>
      </c>
      <c r="D11578" s="2" t="str">
        <f>"6623416535"</f>
        <v>6623416535</v>
      </c>
      <c r="E11578" s="2" t="s">
        <v>167</v>
      </c>
      <c r="F11578" s="2" t="s">
        <v>639</v>
      </c>
      <c r="G11578" s="2" t="str">
        <f>"SR-16215"</f>
        <v>SR-16215</v>
      </c>
      <c r="H11578" s="2" t="s">
        <v>46346</v>
      </c>
      <c r="I11578" s="2" t="s">
        <v>46347</v>
      </c>
      <c r="K11578" s="2" t="s">
        <v>1901</v>
      </c>
      <c r="L11578" s="2" t="s">
        <v>1722</v>
      </c>
      <c r="M11578" s="2">
        <v>39759.0</v>
      </c>
      <c r="N11578" s="2" t="s">
        <v>21</v>
      </c>
    </row>
    <row r="11579" ht="15.75" customHeight="1">
      <c r="A11579" s="2">
        <v>2019.0</v>
      </c>
      <c r="B11579" s="2" t="s">
        <v>46348</v>
      </c>
      <c r="C11579" s="2" t="s">
        <v>46349</v>
      </c>
      <c r="D11579" s="2" t="str">
        <f>"7202268820"</f>
        <v>7202268820</v>
      </c>
      <c r="E11579" s="2" t="s">
        <v>1263</v>
      </c>
      <c r="F11579" s="2" t="s">
        <v>46350</v>
      </c>
      <c r="G11579" s="2" t="str">
        <f>"SR-16028"</f>
        <v>SR-16028</v>
      </c>
      <c r="H11579" s="2" t="s">
        <v>46351</v>
      </c>
      <c r="I11579" s="2" t="s">
        <v>46352</v>
      </c>
      <c r="K11579" s="2" t="s">
        <v>1520</v>
      </c>
      <c r="L11579" s="2" t="s">
        <v>157</v>
      </c>
      <c r="M11579" s="2">
        <v>80013.0</v>
      </c>
      <c r="N11579" s="2" t="s">
        <v>21</v>
      </c>
    </row>
    <row r="11580" ht="15.75" customHeight="1">
      <c r="A11580" s="2">
        <v>2019.0</v>
      </c>
      <c r="B11580" s="2" t="s">
        <v>39491</v>
      </c>
      <c r="C11580" s="2" t="s">
        <v>46353</v>
      </c>
      <c r="D11580" s="2" t="str">
        <f>"4024321502"</f>
        <v>4024321502</v>
      </c>
      <c r="E11580" s="2" t="s">
        <v>678</v>
      </c>
      <c r="F11580" s="2" t="s">
        <v>39493</v>
      </c>
      <c r="G11580" s="2" t="str">
        <f>"SR-13600"</f>
        <v>SR-13600</v>
      </c>
      <c r="H11580" s="2" t="s">
        <v>46354</v>
      </c>
      <c r="I11580" s="2" t="s">
        <v>46355</v>
      </c>
      <c r="K11580" s="2" t="s">
        <v>41391</v>
      </c>
      <c r="L11580" s="2" t="s">
        <v>757</v>
      </c>
      <c r="M11580" s="2">
        <v>68347.0</v>
      </c>
      <c r="N11580" s="2" t="s">
        <v>21</v>
      </c>
    </row>
    <row r="11581" ht="15.75" customHeight="1">
      <c r="A11581" s="2">
        <v>2019.0</v>
      </c>
      <c r="B11581" s="2" t="s">
        <v>46356</v>
      </c>
      <c r="C11581" s="2" t="s">
        <v>46356</v>
      </c>
      <c r="D11581" s="2" t="str">
        <f>"6153085920"</f>
        <v>6153085920</v>
      </c>
      <c r="E11581" s="2" t="s">
        <v>456</v>
      </c>
      <c r="F11581" s="2" t="s">
        <v>7692</v>
      </c>
      <c r="G11581" s="2" t="str">
        <f>"SR-16223"</f>
        <v>SR-16223</v>
      </c>
      <c r="H11581" s="2" t="s">
        <v>46357</v>
      </c>
      <c r="I11581" s="2" t="s">
        <v>46358</v>
      </c>
      <c r="K11581" s="2" t="s">
        <v>3286</v>
      </c>
      <c r="L11581" s="2" t="s">
        <v>279</v>
      </c>
      <c r="M11581" s="2">
        <v>37055.0</v>
      </c>
      <c r="N11581" s="2" t="s">
        <v>21</v>
      </c>
    </row>
    <row r="11582" ht="15.75" customHeight="1">
      <c r="A11582" s="2">
        <v>2019.0</v>
      </c>
      <c r="B11582" s="2" t="s">
        <v>46359</v>
      </c>
      <c r="C11582" s="2" t="s">
        <v>46360</v>
      </c>
      <c r="D11582" s="2" t="str">
        <f>"615-596-3696"</f>
        <v>615-596-3696</v>
      </c>
      <c r="E11582" s="2" t="s">
        <v>22906</v>
      </c>
      <c r="F11582" s="2" t="s">
        <v>15549</v>
      </c>
      <c r="G11582" s="2" t="str">
        <f>"SR-16194"</f>
        <v>SR-16194</v>
      </c>
      <c r="H11582" s="2" t="s">
        <v>46361</v>
      </c>
      <c r="I11582" s="2" t="s">
        <v>46362</v>
      </c>
      <c r="J11582" s="2" t="s">
        <v>46363</v>
      </c>
      <c r="K11582" s="2" t="s">
        <v>278</v>
      </c>
      <c r="L11582" s="2" t="s">
        <v>279</v>
      </c>
      <c r="M11582" s="2">
        <v>37064.0</v>
      </c>
      <c r="N11582" s="2" t="s">
        <v>21</v>
      </c>
    </row>
    <row r="11583" ht="15.75" customHeight="1">
      <c r="A11583" s="2">
        <v>2019.0</v>
      </c>
      <c r="B11583" s="2" t="s">
        <v>46364</v>
      </c>
      <c r="C11583" s="2" t="s">
        <v>46364</v>
      </c>
      <c r="D11583" s="2" t="str">
        <f>"6158012397"</f>
        <v>6158012397</v>
      </c>
      <c r="E11583" s="2" t="s">
        <v>217</v>
      </c>
      <c r="F11583" s="2" t="s">
        <v>46365</v>
      </c>
      <c r="G11583" s="2" t="str">
        <f>"SR-16225"</f>
        <v>SR-16225</v>
      </c>
      <c r="H11583" s="2" t="s">
        <v>46366</v>
      </c>
      <c r="I11583" s="2" t="s">
        <v>46367</v>
      </c>
      <c r="K11583" s="2" t="s">
        <v>12405</v>
      </c>
      <c r="L11583" s="2" t="s">
        <v>279</v>
      </c>
      <c r="M11583" s="2">
        <v>37130.0</v>
      </c>
      <c r="N11583" s="2" t="s">
        <v>21</v>
      </c>
    </row>
    <row r="11584" ht="15.75" customHeight="1">
      <c r="A11584" s="2">
        <v>2019.0</v>
      </c>
      <c r="B11584" s="2" t="s">
        <v>46368</v>
      </c>
      <c r="C11584" s="2" t="s">
        <v>46369</v>
      </c>
      <c r="D11584" s="2" t="str">
        <f>"3096346177"</f>
        <v>3096346177</v>
      </c>
      <c r="E11584" s="2" t="s">
        <v>1015</v>
      </c>
      <c r="F11584" s="2" t="s">
        <v>19878</v>
      </c>
      <c r="G11584" s="2" t="str">
        <f>"SR-16226"</f>
        <v>SR-16226</v>
      </c>
      <c r="H11584" s="2" t="s">
        <v>46370</v>
      </c>
      <c r="I11584" s="2" t="s">
        <v>46371</v>
      </c>
      <c r="K11584" s="2" t="s">
        <v>123</v>
      </c>
      <c r="L11584" s="2" t="s">
        <v>105</v>
      </c>
      <c r="M11584" s="2">
        <v>61611.0</v>
      </c>
      <c r="N11584" s="2" t="s">
        <v>21</v>
      </c>
    </row>
    <row r="11585" ht="15.75" customHeight="1">
      <c r="A11585" s="2">
        <v>2019.0</v>
      </c>
      <c r="B11585" s="2" t="s">
        <v>46372</v>
      </c>
      <c r="C11585" s="2" t="s">
        <v>46373</v>
      </c>
      <c r="D11585" s="2" t="str">
        <f>"2528640878"</f>
        <v>2528640878</v>
      </c>
      <c r="E11585" s="2" t="s">
        <v>15</v>
      </c>
      <c r="F11585" s="2" t="s">
        <v>3978</v>
      </c>
      <c r="G11585" s="2" t="str">
        <f>"SR-16228"</f>
        <v>SR-16228</v>
      </c>
      <c r="H11585" s="2" t="s">
        <v>20099</v>
      </c>
      <c r="I11585" s="2" t="s">
        <v>46374</v>
      </c>
      <c r="K11585" s="2" t="s">
        <v>6658</v>
      </c>
      <c r="L11585" s="2" t="s">
        <v>20</v>
      </c>
      <c r="M11585" s="2">
        <v>28025.0</v>
      </c>
      <c r="N11585" s="2" t="s">
        <v>21</v>
      </c>
    </row>
    <row r="11586" ht="15.75" customHeight="1">
      <c r="A11586" s="2">
        <v>2019.0</v>
      </c>
      <c r="B11586" s="2" t="s">
        <v>46375</v>
      </c>
      <c r="C11586" s="2" t="s">
        <v>46376</v>
      </c>
      <c r="D11586" s="2" t="str">
        <f>"2819668459"</f>
        <v>2819668459</v>
      </c>
      <c r="E11586" s="2" t="s">
        <v>2243</v>
      </c>
      <c r="F11586" s="2" t="s">
        <v>1312</v>
      </c>
      <c r="G11586" s="2" t="str">
        <f>"SR-16233"</f>
        <v>SR-16233</v>
      </c>
      <c r="H11586" s="2" t="s">
        <v>46377</v>
      </c>
      <c r="I11586" s="2" t="s">
        <v>46378</v>
      </c>
      <c r="K11586" s="2" t="s">
        <v>23806</v>
      </c>
      <c r="L11586" s="2" t="s">
        <v>172</v>
      </c>
      <c r="M11586" s="2">
        <v>77441.0</v>
      </c>
      <c r="N11586" s="2" t="s">
        <v>21</v>
      </c>
    </row>
    <row r="11587" ht="15.75" customHeight="1">
      <c r="A11587" s="2">
        <v>2019.0</v>
      </c>
      <c r="B11587" s="2" t="s">
        <v>46379</v>
      </c>
      <c r="C11587" s="2" t="s">
        <v>46379</v>
      </c>
      <c r="D11587" s="2" t="str">
        <f>"9727402407"</f>
        <v>9727402407</v>
      </c>
      <c r="E11587" s="2" t="s">
        <v>705</v>
      </c>
      <c r="F11587" s="2" t="s">
        <v>46380</v>
      </c>
      <c r="G11587" s="2" t="str">
        <f>"SR-16237"</f>
        <v>SR-16237</v>
      </c>
      <c r="H11587" s="2" t="s">
        <v>46381</v>
      </c>
      <c r="I11587" s="2" t="s">
        <v>46382</v>
      </c>
      <c r="K11587" s="2" t="s">
        <v>475</v>
      </c>
      <c r="L11587" s="2" t="s">
        <v>172</v>
      </c>
      <c r="M11587" s="2">
        <v>75098.0</v>
      </c>
      <c r="N11587" s="2" t="s">
        <v>21</v>
      </c>
    </row>
    <row r="11588" ht="15.75" customHeight="1">
      <c r="A11588" s="2">
        <v>2019.0</v>
      </c>
      <c r="B11588" s="2" t="s">
        <v>46383</v>
      </c>
      <c r="C11588" s="2" t="s">
        <v>46384</v>
      </c>
      <c r="D11588" s="2" t="str">
        <f>"8044677910"</f>
        <v>8044677910</v>
      </c>
      <c r="E11588" s="2" t="s">
        <v>8887</v>
      </c>
      <c r="F11588" s="2" t="s">
        <v>22675</v>
      </c>
      <c r="G11588" s="2" t="str">
        <f>"SR-13234"</f>
        <v>SR-13234</v>
      </c>
      <c r="H11588" s="2" t="s">
        <v>46385</v>
      </c>
      <c r="I11588" s="2" t="s">
        <v>46386</v>
      </c>
      <c r="K11588" s="2" t="s">
        <v>11179</v>
      </c>
      <c r="L11588" s="2" t="s">
        <v>165</v>
      </c>
      <c r="M11588" s="2">
        <v>23114.0</v>
      </c>
      <c r="N11588" s="2" t="s">
        <v>21</v>
      </c>
    </row>
    <row r="11589" ht="15.75" customHeight="1">
      <c r="A11589" s="2">
        <v>2019.0</v>
      </c>
      <c r="B11589" s="2" t="s">
        <v>46387</v>
      </c>
      <c r="D11589" s="2" t="str">
        <f>""</f>
        <v/>
      </c>
      <c r="E11589" s="2" t="s">
        <v>36490</v>
      </c>
      <c r="F11589" s="2" t="s">
        <v>27491</v>
      </c>
      <c r="G11589" s="2" t="str">
        <f>"SR-15690"</f>
        <v>SR-15690</v>
      </c>
      <c r="H11589" s="2" t="s">
        <v>46388</v>
      </c>
      <c r="N11589" s="2" t="s">
        <v>21</v>
      </c>
    </row>
    <row r="11590" ht="15.75" customHeight="1">
      <c r="A11590" s="2">
        <v>2019.0</v>
      </c>
      <c r="B11590" s="2" t="s">
        <v>35814</v>
      </c>
      <c r="C11590" s="2" t="s">
        <v>35814</v>
      </c>
      <c r="D11590" s="2" t="str">
        <f>"773-850-9684"</f>
        <v>773-850-9684</v>
      </c>
      <c r="E11590" s="2" t="s">
        <v>4300</v>
      </c>
      <c r="F11590" s="2" t="s">
        <v>529</v>
      </c>
      <c r="G11590" s="2" t="str">
        <f>"SR-11533"</f>
        <v>SR-11533</v>
      </c>
      <c r="H11590" s="2" t="s">
        <v>35815</v>
      </c>
      <c r="I11590" s="2" t="s">
        <v>35816</v>
      </c>
      <c r="K11590" s="2" t="s">
        <v>18221</v>
      </c>
      <c r="L11590" s="2" t="s">
        <v>105</v>
      </c>
      <c r="M11590" s="2">
        <v>60645.0</v>
      </c>
      <c r="N11590" s="2" t="s">
        <v>21</v>
      </c>
    </row>
    <row r="11591" ht="15.75" customHeight="1">
      <c r="A11591" s="2">
        <v>2019.0</v>
      </c>
      <c r="B11591" s="2" t="s">
        <v>46389</v>
      </c>
      <c r="C11591" s="2" t="s">
        <v>46390</v>
      </c>
      <c r="D11591" s="2" t="str">
        <f>"720-560-1996"</f>
        <v>720-560-1996</v>
      </c>
      <c r="E11591" s="2" t="s">
        <v>386</v>
      </c>
      <c r="F11591" s="2" t="s">
        <v>12931</v>
      </c>
      <c r="G11591" s="2" t="str">
        <f>"SR-16250"</f>
        <v>SR-16250</v>
      </c>
      <c r="H11591" s="2" t="s">
        <v>46391</v>
      </c>
      <c r="I11591" s="2" t="s">
        <v>46392</v>
      </c>
      <c r="K11591" s="2" t="s">
        <v>41970</v>
      </c>
      <c r="L11591" s="2" t="s">
        <v>157</v>
      </c>
      <c r="M11591" s="2">
        <v>80111.0</v>
      </c>
      <c r="N11591" s="2" t="s">
        <v>21</v>
      </c>
    </row>
    <row r="11592" ht="15.75" customHeight="1">
      <c r="A11592" s="2">
        <v>2019.0</v>
      </c>
      <c r="B11592" s="2" t="s">
        <v>46393</v>
      </c>
      <c r="C11592" s="2" t="s">
        <v>46394</v>
      </c>
      <c r="D11592" s="2" t="str">
        <f>"(209)588-8954"</f>
        <v>(209)588-8954</v>
      </c>
      <c r="E11592" s="2" t="s">
        <v>678</v>
      </c>
      <c r="F11592" s="2" t="s">
        <v>46395</v>
      </c>
      <c r="G11592" s="2" t="str">
        <f>"SR-16249"</f>
        <v>SR-16249</v>
      </c>
      <c r="H11592" s="2" t="s">
        <v>46396</v>
      </c>
      <c r="I11592" s="2" t="s">
        <v>46397</v>
      </c>
      <c r="K11592" s="2" t="s">
        <v>22724</v>
      </c>
      <c r="L11592" s="2" t="s">
        <v>222</v>
      </c>
      <c r="M11592" s="2">
        <v>95370.0</v>
      </c>
      <c r="N11592" s="2" t="s">
        <v>21</v>
      </c>
    </row>
    <row r="11593" ht="15.75" customHeight="1">
      <c r="A11593" s="2">
        <v>2019.0</v>
      </c>
      <c r="B11593" s="2" t="s">
        <v>46398</v>
      </c>
      <c r="C11593" s="2" t="s">
        <v>46398</v>
      </c>
      <c r="D11593" s="2" t="str">
        <f>"6159391773"</f>
        <v>6159391773</v>
      </c>
      <c r="E11593" s="2" t="s">
        <v>339</v>
      </c>
      <c r="F11593" s="2" t="s">
        <v>3144</v>
      </c>
      <c r="G11593" s="2" t="str">
        <f>"SR-16251"</f>
        <v>SR-16251</v>
      </c>
      <c r="H11593" s="2" t="s">
        <v>16199</v>
      </c>
      <c r="I11593" s="2" t="s">
        <v>31555</v>
      </c>
      <c r="K11593" s="2" t="s">
        <v>278</v>
      </c>
      <c r="L11593" s="2" t="s">
        <v>279</v>
      </c>
      <c r="M11593" s="2">
        <v>37069.0</v>
      </c>
      <c r="N11593" s="2" t="s">
        <v>21</v>
      </c>
    </row>
    <row r="11594" ht="15.75" customHeight="1">
      <c r="A11594" s="2">
        <v>2019.0</v>
      </c>
      <c r="B11594" s="2" t="s">
        <v>46399</v>
      </c>
      <c r="C11594" s="2" t="s">
        <v>46400</v>
      </c>
      <c r="D11594" s="2" t="str">
        <f>"8132774521"</f>
        <v>8132774521</v>
      </c>
      <c r="E11594" s="2" t="s">
        <v>1263</v>
      </c>
      <c r="F11594" s="2" t="s">
        <v>34750</v>
      </c>
      <c r="G11594" s="2" t="str">
        <f>"SR-16190"</f>
        <v>SR-16190</v>
      </c>
      <c r="H11594" s="2" t="s">
        <v>46401</v>
      </c>
      <c r="I11594" s="2" t="s">
        <v>46402</v>
      </c>
      <c r="K11594" s="2" t="s">
        <v>168</v>
      </c>
      <c r="L11594" s="2" t="s">
        <v>208</v>
      </c>
      <c r="M11594" s="2">
        <v>33558.0</v>
      </c>
      <c r="N11594" s="2" t="s">
        <v>21</v>
      </c>
    </row>
    <row r="11595" ht="15.75" customHeight="1">
      <c r="A11595" s="2">
        <v>2019.0</v>
      </c>
      <c r="B11595" s="2" t="s">
        <v>46403</v>
      </c>
      <c r="C11595" s="2" t="s">
        <v>46403</v>
      </c>
      <c r="D11595" s="2" t="str">
        <f>"8434739533"</f>
        <v>8434739533</v>
      </c>
      <c r="E11595" s="2" t="s">
        <v>373</v>
      </c>
      <c r="F11595" s="2" t="s">
        <v>8390</v>
      </c>
      <c r="G11595" s="2" t="str">
        <f>"SR-16252"</f>
        <v>SR-16252</v>
      </c>
      <c r="H11595" s="2" t="s">
        <v>46404</v>
      </c>
      <c r="I11595" s="2" t="s">
        <v>46405</v>
      </c>
      <c r="K11595" s="2" t="s">
        <v>4552</v>
      </c>
      <c r="L11595" s="2" t="s">
        <v>55</v>
      </c>
      <c r="M11595" s="2">
        <v>29910.0</v>
      </c>
      <c r="N11595" s="2" t="s">
        <v>21</v>
      </c>
    </row>
    <row r="11596" ht="15.75" customHeight="1">
      <c r="A11596" s="2">
        <v>2019.0</v>
      </c>
      <c r="B11596" s="2" t="s">
        <v>46406</v>
      </c>
      <c r="C11596" s="2" t="s">
        <v>46407</v>
      </c>
      <c r="D11596" s="2" t="str">
        <f>"903-920-4336"</f>
        <v>903-920-4336</v>
      </c>
      <c r="E11596" s="2" t="s">
        <v>46408</v>
      </c>
      <c r="F11596" s="2" t="s">
        <v>46409</v>
      </c>
      <c r="G11596" s="2" t="str">
        <f>"SR-16211"</f>
        <v>SR-16211</v>
      </c>
      <c r="H11596" s="2" t="s">
        <v>46410</v>
      </c>
      <c r="I11596" s="2" t="s">
        <v>46411</v>
      </c>
      <c r="K11596" s="2" t="s">
        <v>33504</v>
      </c>
      <c r="L11596" s="2" t="s">
        <v>172</v>
      </c>
      <c r="M11596" s="2">
        <v>75762.0</v>
      </c>
      <c r="N11596" s="2" t="s">
        <v>21</v>
      </c>
    </row>
    <row r="11597" ht="15.75" customHeight="1">
      <c r="A11597" s="2">
        <v>2019.0</v>
      </c>
      <c r="B11597" s="2" t="s">
        <v>12939</v>
      </c>
      <c r="C11597" s="2" t="s">
        <v>46412</v>
      </c>
      <c r="D11597" s="2" t="str">
        <f>"720-278-4572"</f>
        <v>720-278-4572</v>
      </c>
      <c r="E11597" s="2" t="s">
        <v>584</v>
      </c>
      <c r="F11597" s="2" t="s">
        <v>12941</v>
      </c>
      <c r="G11597" s="2" t="str">
        <f>"SR-16236"</f>
        <v>SR-16236</v>
      </c>
      <c r="H11597" s="2" t="s">
        <v>46413</v>
      </c>
      <c r="I11597" s="2" t="s">
        <v>12943</v>
      </c>
      <c r="K11597" s="2" t="s">
        <v>1054</v>
      </c>
      <c r="L11597" s="2" t="s">
        <v>157</v>
      </c>
      <c r="M11597" s="2">
        <v>80134.0</v>
      </c>
      <c r="N11597" s="2" t="s">
        <v>21</v>
      </c>
    </row>
    <row r="11598" ht="15.75" customHeight="1">
      <c r="A11598" s="2">
        <v>2019.0</v>
      </c>
      <c r="B11598" s="2" t="s">
        <v>46414</v>
      </c>
      <c r="C11598" s="2" t="s">
        <v>46415</v>
      </c>
      <c r="D11598" s="2" t="str">
        <f>"910-581-8047"</f>
        <v>910-581-8047</v>
      </c>
      <c r="E11598" s="2" t="s">
        <v>46416</v>
      </c>
      <c r="F11598" s="2" t="s">
        <v>1423</v>
      </c>
      <c r="G11598" s="2" t="str">
        <f>"SR-16257"</f>
        <v>SR-16257</v>
      </c>
      <c r="H11598" s="2" t="s">
        <v>46417</v>
      </c>
      <c r="I11598" s="2" t="s">
        <v>46418</v>
      </c>
      <c r="K11598" s="2" t="s">
        <v>24482</v>
      </c>
      <c r="L11598" s="2" t="s">
        <v>422</v>
      </c>
      <c r="M11598" s="2">
        <v>85641.0</v>
      </c>
      <c r="N11598" s="2" t="s">
        <v>21</v>
      </c>
    </row>
    <row r="11599" ht="15.75" customHeight="1">
      <c r="A11599" s="2">
        <v>2019.0</v>
      </c>
      <c r="B11599" s="2" t="s">
        <v>46419</v>
      </c>
      <c r="C11599" s="2" t="s">
        <v>46420</v>
      </c>
      <c r="D11599" s="2" t="str">
        <f>"8632232768"</f>
        <v>8632232768</v>
      </c>
      <c r="E11599" s="2" t="s">
        <v>2912</v>
      </c>
      <c r="F11599" s="2" t="s">
        <v>1586</v>
      </c>
      <c r="G11599" s="2" t="str">
        <f>"SR-16262"</f>
        <v>SR-16262</v>
      </c>
      <c r="H11599" s="2" t="s">
        <v>46421</v>
      </c>
      <c r="I11599" s="2" t="s">
        <v>46422</v>
      </c>
      <c r="K11599" s="2" t="s">
        <v>46423</v>
      </c>
      <c r="L11599" s="2" t="s">
        <v>208</v>
      </c>
      <c r="M11599" s="2">
        <v>33827.0</v>
      </c>
      <c r="N11599" s="2" t="s">
        <v>21</v>
      </c>
    </row>
    <row r="11600" ht="15.75" customHeight="1">
      <c r="A11600" s="2">
        <v>2019.0</v>
      </c>
      <c r="B11600" s="2" t="s">
        <v>46424</v>
      </c>
      <c r="C11600" s="2" t="s">
        <v>46425</v>
      </c>
      <c r="D11600" s="2" t="str">
        <f>"4023794045"</f>
        <v>4023794045</v>
      </c>
      <c r="E11600" s="2" t="s">
        <v>16852</v>
      </c>
      <c r="F11600" s="2" t="s">
        <v>666</v>
      </c>
      <c r="G11600" s="2" t="str">
        <f>"SR-16264"</f>
        <v>SR-16264</v>
      </c>
      <c r="H11600" s="2" t="s">
        <v>46426</v>
      </c>
      <c r="I11600" s="2" t="s">
        <v>46427</v>
      </c>
      <c r="K11600" s="2" t="s">
        <v>11726</v>
      </c>
      <c r="L11600" s="2" t="s">
        <v>757</v>
      </c>
      <c r="M11600" s="2">
        <v>68701.0</v>
      </c>
      <c r="N11600" s="2" t="s">
        <v>21</v>
      </c>
    </row>
    <row r="11601" ht="15.75" customHeight="1">
      <c r="A11601" s="2">
        <v>2019.0</v>
      </c>
      <c r="B11601" s="2" t="s">
        <v>46428</v>
      </c>
      <c r="C11601" s="2" t="s">
        <v>46428</v>
      </c>
      <c r="D11601" s="2" t="str">
        <f>"8432631259"</f>
        <v>8432631259</v>
      </c>
      <c r="E11601" s="2" t="s">
        <v>33694</v>
      </c>
      <c r="F11601" s="2" t="s">
        <v>8390</v>
      </c>
      <c r="G11601" s="2" t="str">
        <f>"SR-16253"</f>
        <v>SR-16253</v>
      </c>
      <c r="H11601" s="2" t="s">
        <v>46429</v>
      </c>
      <c r="I11601" s="2" t="s">
        <v>46430</v>
      </c>
      <c r="K11601" s="2" t="s">
        <v>4552</v>
      </c>
      <c r="L11601" s="2" t="s">
        <v>55</v>
      </c>
      <c r="M11601" s="2">
        <v>29910.0</v>
      </c>
      <c r="N11601" s="2" t="s">
        <v>21</v>
      </c>
    </row>
    <row r="11602" ht="15.75" customHeight="1">
      <c r="A11602" s="2">
        <v>2019.0</v>
      </c>
      <c r="B11602" s="2" t="s">
        <v>46431</v>
      </c>
      <c r="C11602" s="2" t="s">
        <v>46432</v>
      </c>
      <c r="D11602" s="2" t="str">
        <f>"8647847440"</f>
        <v>8647847440</v>
      </c>
      <c r="E11602" s="2" t="s">
        <v>34353</v>
      </c>
      <c r="F11602" s="2" t="s">
        <v>3034</v>
      </c>
      <c r="G11602" s="2" t="str">
        <f>"SR-16191"</f>
        <v>SR-16191</v>
      </c>
      <c r="H11602" s="2" t="s">
        <v>46433</v>
      </c>
      <c r="I11602" s="2" t="s">
        <v>46434</v>
      </c>
      <c r="K11602" s="2" t="s">
        <v>6915</v>
      </c>
      <c r="L11602" s="2" t="s">
        <v>55</v>
      </c>
      <c r="M11602" s="2">
        <v>29693.0</v>
      </c>
      <c r="N11602" s="2" t="s">
        <v>21</v>
      </c>
    </row>
    <row r="11603" ht="15.75" customHeight="1">
      <c r="A11603" s="2">
        <v>2019.0</v>
      </c>
      <c r="B11603" s="2" t="s">
        <v>46435</v>
      </c>
      <c r="C11603" s="2" t="s">
        <v>46435</v>
      </c>
      <c r="D11603" s="2" t="str">
        <f>"214-755-3716"</f>
        <v>214-755-3716</v>
      </c>
      <c r="E11603" s="2" t="s">
        <v>705</v>
      </c>
      <c r="F11603" s="2" t="s">
        <v>43647</v>
      </c>
      <c r="G11603" s="2" t="str">
        <f>"SR-16267"</f>
        <v>SR-16267</v>
      </c>
      <c r="H11603" s="2" t="s">
        <v>46436</v>
      </c>
      <c r="I11603" s="2" t="s">
        <v>46437</v>
      </c>
      <c r="K11603" s="2" t="s">
        <v>46438</v>
      </c>
      <c r="L11603" s="2" t="s">
        <v>172</v>
      </c>
      <c r="M11603" s="2">
        <v>75048.0</v>
      </c>
      <c r="N11603" s="2" t="s">
        <v>21</v>
      </c>
    </row>
    <row r="11604" ht="15.75" customHeight="1">
      <c r="A11604" s="2">
        <v>2019.0</v>
      </c>
      <c r="B11604" s="2" t="s">
        <v>31036</v>
      </c>
      <c r="D11604" s="2" t="str">
        <f>""</f>
        <v/>
      </c>
      <c r="E11604" s="2" t="s">
        <v>3434</v>
      </c>
      <c r="F11604" s="2" t="s">
        <v>711</v>
      </c>
      <c r="G11604" s="2" t="str">
        <f>"SR-9988"</f>
        <v>SR-9988</v>
      </c>
      <c r="H11604" s="2" t="s">
        <v>31037</v>
      </c>
      <c r="N11604" s="2" t="s">
        <v>21</v>
      </c>
    </row>
    <row r="11605" ht="15.75" customHeight="1">
      <c r="A11605" s="2">
        <v>2019.0</v>
      </c>
      <c r="B11605" s="2" t="s">
        <v>33769</v>
      </c>
      <c r="C11605" s="2" t="s">
        <v>33769</v>
      </c>
      <c r="D11605" s="2" t="str">
        <f>"503-328-9210"</f>
        <v>503-328-9210</v>
      </c>
      <c r="E11605" s="2" t="s">
        <v>2162</v>
      </c>
      <c r="F11605" s="2" t="s">
        <v>3055</v>
      </c>
      <c r="G11605" s="2" t="str">
        <f>"SR-16255"</f>
        <v>SR-16255</v>
      </c>
      <c r="H11605" s="2" t="s">
        <v>46439</v>
      </c>
      <c r="I11605" s="2" t="s">
        <v>46440</v>
      </c>
      <c r="K11605" s="2" t="s">
        <v>3058</v>
      </c>
      <c r="L11605" s="2" t="s">
        <v>2389</v>
      </c>
      <c r="M11605" s="2">
        <v>97080.0</v>
      </c>
      <c r="N11605" s="2" t="s">
        <v>21</v>
      </c>
    </row>
    <row r="11606" ht="15.75" customHeight="1">
      <c r="A11606" s="2">
        <v>2019.0</v>
      </c>
      <c r="B11606" s="2" t="s">
        <v>32532</v>
      </c>
      <c r="C11606" s="2" t="s">
        <v>46441</v>
      </c>
      <c r="D11606" s="2" t="str">
        <f>"719-460-6760"</f>
        <v>719-460-6760</v>
      </c>
      <c r="E11606" s="2" t="s">
        <v>339</v>
      </c>
      <c r="F11606" s="2" t="s">
        <v>20228</v>
      </c>
      <c r="G11606" s="2" t="str">
        <f>"SR-15286"</f>
        <v>SR-15286</v>
      </c>
      <c r="H11606" s="2" t="s">
        <v>46442</v>
      </c>
      <c r="I11606" s="2" t="s">
        <v>46443</v>
      </c>
      <c r="K11606" s="2" t="s">
        <v>46444</v>
      </c>
      <c r="L11606" s="2" t="s">
        <v>157</v>
      </c>
      <c r="M11606" s="2">
        <v>80922.0</v>
      </c>
      <c r="N11606" s="2" t="s">
        <v>21</v>
      </c>
    </row>
    <row r="11607" ht="15.75" customHeight="1">
      <c r="A11607" s="2">
        <v>2019.0</v>
      </c>
      <c r="B11607" s="2" t="s">
        <v>38232</v>
      </c>
      <c r="C11607" s="2" t="s">
        <v>38232</v>
      </c>
      <c r="D11607" s="2" t="str">
        <f>"3083401326"</f>
        <v>3083401326</v>
      </c>
      <c r="E11607" s="2" t="s">
        <v>3305</v>
      </c>
      <c r="F11607" s="2" t="s">
        <v>18888</v>
      </c>
      <c r="G11607" s="2" t="str">
        <f>"SR-12990"</f>
        <v>SR-12990</v>
      </c>
      <c r="H11607" s="2" t="s">
        <v>38233</v>
      </c>
      <c r="I11607" s="2" t="s">
        <v>38234</v>
      </c>
      <c r="K11607" s="2" t="s">
        <v>14870</v>
      </c>
      <c r="L11607" s="2" t="s">
        <v>757</v>
      </c>
      <c r="M11607" s="2">
        <v>68847.0</v>
      </c>
      <c r="N11607" s="2" t="s">
        <v>21</v>
      </c>
    </row>
    <row r="11608" ht="15.75" customHeight="1">
      <c r="A11608" s="2">
        <v>2019.0</v>
      </c>
      <c r="B11608" s="2" t="s">
        <v>37897</v>
      </c>
      <c r="C11608" s="2" t="s">
        <v>37897</v>
      </c>
      <c r="D11608" s="2" t="str">
        <f>"8179452319"</f>
        <v>8179452319</v>
      </c>
      <c r="E11608" s="2" t="s">
        <v>1928</v>
      </c>
      <c r="F11608" s="2" t="s">
        <v>14872</v>
      </c>
      <c r="G11608" s="2" t="str">
        <f>"SR-16269"</f>
        <v>SR-16269</v>
      </c>
      <c r="H11608" s="2" t="s">
        <v>46445</v>
      </c>
      <c r="I11608" s="2" t="s">
        <v>37899</v>
      </c>
      <c r="K11608" s="2" t="s">
        <v>1260</v>
      </c>
      <c r="L11608" s="2" t="s">
        <v>172</v>
      </c>
      <c r="M11608" s="2">
        <v>76109.0</v>
      </c>
      <c r="N11608" s="2" t="s">
        <v>21</v>
      </c>
    </row>
    <row r="11609" ht="15.75" customHeight="1">
      <c r="A11609" s="2">
        <v>2019.0</v>
      </c>
      <c r="B11609" s="2" t="s">
        <v>46446</v>
      </c>
      <c r="C11609" s="2" t="s">
        <v>46447</v>
      </c>
      <c r="D11609" s="2" t="str">
        <f>"8608882003"</f>
        <v>8608882003</v>
      </c>
      <c r="E11609" s="2" t="s">
        <v>46448</v>
      </c>
      <c r="F11609" s="2" t="s">
        <v>8390</v>
      </c>
      <c r="G11609" s="2" t="str">
        <f>"SR-16270"</f>
        <v>SR-16270</v>
      </c>
      <c r="H11609" s="2" t="s">
        <v>46449</v>
      </c>
      <c r="I11609" s="2" t="s">
        <v>46450</v>
      </c>
      <c r="K11609" s="2" t="s">
        <v>46451</v>
      </c>
      <c r="L11609" s="2" t="s">
        <v>4836</v>
      </c>
      <c r="M11609" s="2">
        <v>6423.0</v>
      </c>
      <c r="N11609" s="2" t="s">
        <v>21</v>
      </c>
    </row>
    <row r="11610" ht="15.75" customHeight="1">
      <c r="A11610" s="2">
        <v>2019.0</v>
      </c>
      <c r="B11610" s="2" t="s">
        <v>46452</v>
      </c>
      <c r="C11610" s="2" t="s">
        <v>46453</v>
      </c>
      <c r="D11610" s="2" t="str">
        <f>"972-816-8338"</f>
        <v>972-816-8338</v>
      </c>
      <c r="E11610" s="2" t="s">
        <v>678</v>
      </c>
      <c r="F11610" s="2" t="s">
        <v>46454</v>
      </c>
      <c r="G11610" s="2" t="str">
        <f>"SR-16276"</f>
        <v>SR-16276</v>
      </c>
      <c r="H11610" s="2" t="s">
        <v>46455</v>
      </c>
      <c r="I11610" s="2" t="s">
        <v>46456</v>
      </c>
      <c r="K11610" s="2" t="s">
        <v>357</v>
      </c>
      <c r="L11610" s="2" t="s">
        <v>172</v>
      </c>
      <c r="M11610" s="2">
        <v>75023.0</v>
      </c>
      <c r="N11610" s="2" t="s">
        <v>21</v>
      </c>
    </row>
    <row r="11611" ht="15.75" customHeight="1">
      <c r="A11611" s="2">
        <v>2019.0</v>
      </c>
      <c r="B11611" s="2" t="s">
        <v>42395</v>
      </c>
      <c r="C11611" s="2" t="s">
        <v>42396</v>
      </c>
      <c r="D11611" s="2" t="str">
        <f>"4025700434"</f>
        <v>4025700434</v>
      </c>
      <c r="E11611" s="2" t="s">
        <v>14788</v>
      </c>
      <c r="F11611" s="2" t="s">
        <v>42397</v>
      </c>
      <c r="G11611" s="2" t="str">
        <f>"SR-13972"</f>
        <v>SR-13972</v>
      </c>
      <c r="H11611" s="2" t="s">
        <v>42398</v>
      </c>
      <c r="I11611" s="2" t="s">
        <v>42399</v>
      </c>
      <c r="K11611" s="2" t="s">
        <v>572</v>
      </c>
      <c r="L11611" s="2" t="s">
        <v>757</v>
      </c>
      <c r="M11611" s="2">
        <v>68510.0</v>
      </c>
      <c r="N11611" s="2" t="s">
        <v>21</v>
      </c>
    </row>
    <row r="11612" ht="15.75" customHeight="1">
      <c r="A11612" s="2">
        <v>2019.0</v>
      </c>
      <c r="B11612" s="2" t="s">
        <v>46457</v>
      </c>
      <c r="C11612" s="2" t="s">
        <v>46458</v>
      </c>
      <c r="D11612" s="2" t="str">
        <f>"916-969-4462"</f>
        <v>916-969-4462</v>
      </c>
      <c r="E11612" s="2" t="s">
        <v>46459</v>
      </c>
      <c r="F11612" s="2" t="s">
        <v>39813</v>
      </c>
      <c r="G11612" s="2" t="str">
        <f>"SR-16256"</f>
        <v>SR-16256</v>
      </c>
      <c r="H11612" s="2" t="s">
        <v>46460</v>
      </c>
      <c r="I11612" s="2" t="s">
        <v>46461</v>
      </c>
      <c r="K11612" s="2" t="s">
        <v>35937</v>
      </c>
      <c r="L11612" s="2" t="s">
        <v>222</v>
      </c>
      <c r="M11612" s="2">
        <v>95662.0</v>
      </c>
      <c r="N11612" s="2" t="s">
        <v>21</v>
      </c>
    </row>
    <row r="11613" ht="15.75" customHeight="1">
      <c r="A11613" s="2">
        <v>2019.0</v>
      </c>
      <c r="B11613" s="2" t="s">
        <v>37439</v>
      </c>
      <c r="C11613" s="2" t="s">
        <v>46462</v>
      </c>
      <c r="D11613" s="2" t="str">
        <f>"7604196511"</f>
        <v>7604196511</v>
      </c>
      <c r="E11613" s="2" t="s">
        <v>1548</v>
      </c>
      <c r="F11613" s="2" t="s">
        <v>37441</v>
      </c>
      <c r="G11613" s="2" t="str">
        <f>"SR-16206"</f>
        <v>SR-16206</v>
      </c>
      <c r="H11613" s="2" t="s">
        <v>46463</v>
      </c>
      <c r="I11613" s="2" t="s">
        <v>46464</v>
      </c>
      <c r="K11613" s="2" t="s">
        <v>682</v>
      </c>
      <c r="L11613" s="2" t="s">
        <v>157</v>
      </c>
      <c r="M11613" s="2">
        <v>80126.0</v>
      </c>
      <c r="N11613" s="2" t="s">
        <v>21</v>
      </c>
    </row>
    <row r="11614" ht="15.75" customHeight="1">
      <c r="A11614" s="2">
        <v>2019.0</v>
      </c>
      <c r="B11614" s="2" t="s">
        <v>46465</v>
      </c>
      <c r="C11614" s="2" t="s">
        <v>46466</v>
      </c>
      <c r="D11614" s="2" t="str">
        <f>"616-325-8427"</f>
        <v>616-325-8427</v>
      </c>
      <c r="E11614" s="2" t="s">
        <v>339</v>
      </c>
      <c r="F11614" s="2" t="s">
        <v>46467</v>
      </c>
      <c r="G11614" s="2" t="str">
        <f>"SR-16282"</f>
        <v>SR-16282</v>
      </c>
      <c r="H11614" s="2" t="s">
        <v>46468</v>
      </c>
      <c r="I11614" s="2" t="s">
        <v>46469</v>
      </c>
      <c r="K11614" s="2" t="s">
        <v>6524</v>
      </c>
      <c r="L11614" s="2" t="s">
        <v>29</v>
      </c>
      <c r="M11614" s="2">
        <v>49418.0</v>
      </c>
      <c r="N11614" s="2" t="s">
        <v>21</v>
      </c>
    </row>
    <row r="11615" ht="15.75" customHeight="1">
      <c r="A11615" s="2">
        <v>2019.0</v>
      </c>
      <c r="B11615" s="2" t="s">
        <v>46470</v>
      </c>
      <c r="C11615" s="2" t="s">
        <v>46471</v>
      </c>
      <c r="D11615" s="2" t="str">
        <f>"3015419919"</f>
        <v>3015419919</v>
      </c>
      <c r="E11615" s="2" t="s">
        <v>261</v>
      </c>
      <c r="F11615" s="2" t="s">
        <v>46472</v>
      </c>
      <c r="G11615" s="2" t="str">
        <f>"SR-16284"</f>
        <v>SR-16284</v>
      </c>
      <c r="H11615" s="2" t="s">
        <v>46473</v>
      </c>
      <c r="I11615" s="2" t="s">
        <v>46474</v>
      </c>
      <c r="K11615" s="2" t="s">
        <v>36133</v>
      </c>
      <c r="L11615" s="2" t="s">
        <v>179</v>
      </c>
      <c r="M11615" s="2">
        <v>19335.0</v>
      </c>
      <c r="N11615" s="2" t="s">
        <v>21</v>
      </c>
    </row>
    <row r="11616" ht="15.75" customHeight="1">
      <c r="A11616" s="2">
        <v>2019.0</v>
      </c>
      <c r="B11616" s="2" t="s">
        <v>46475</v>
      </c>
      <c r="C11616" s="2" t="s">
        <v>46476</v>
      </c>
      <c r="D11616" s="2" t="str">
        <f>"8168133511"</f>
        <v>8168133511</v>
      </c>
      <c r="E11616" s="2" t="s">
        <v>12392</v>
      </c>
      <c r="F11616" s="2" t="s">
        <v>160</v>
      </c>
      <c r="G11616" s="2" t="str">
        <f>"SR-16285"</f>
        <v>SR-16285</v>
      </c>
      <c r="H11616" s="2" t="s">
        <v>46477</v>
      </c>
      <c r="I11616" s="2" t="s">
        <v>46478</v>
      </c>
      <c r="K11616" s="2" t="s">
        <v>22936</v>
      </c>
      <c r="L11616" s="2" t="s">
        <v>3618</v>
      </c>
      <c r="M11616" s="2">
        <v>8055.0</v>
      </c>
      <c r="N11616" s="2" t="s">
        <v>21</v>
      </c>
    </row>
    <row r="11617" ht="15.75" customHeight="1">
      <c r="A11617" s="2">
        <v>2019.0</v>
      </c>
      <c r="B11617" s="2" t="s">
        <v>1244</v>
      </c>
      <c r="C11617" s="2" t="s">
        <v>46479</v>
      </c>
      <c r="D11617" s="2" t="str">
        <f>"5129181602"</f>
        <v>5129181602</v>
      </c>
      <c r="E11617" s="2" t="s">
        <v>3305</v>
      </c>
      <c r="F11617" s="2" t="s">
        <v>1246</v>
      </c>
      <c r="G11617" s="2" t="str">
        <f>"SR-16277"</f>
        <v>SR-16277</v>
      </c>
      <c r="H11617" s="2" t="s">
        <v>46480</v>
      </c>
      <c r="I11617" s="2" t="s">
        <v>46481</v>
      </c>
      <c r="K11617" s="2" t="s">
        <v>1249</v>
      </c>
      <c r="L11617" s="2" t="s">
        <v>172</v>
      </c>
      <c r="M11617" s="2">
        <v>78613.0</v>
      </c>
      <c r="N11617" s="2" t="s">
        <v>21</v>
      </c>
    </row>
    <row r="11618" ht="15.75" customHeight="1">
      <c r="A11618" s="2">
        <v>2019.0</v>
      </c>
      <c r="B11618" s="2" t="s">
        <v>2451</v>
      </c>
      <c r="C11618" s="2" t="s">
        <v>46482</v>
      </c>
      <c r="D11618" s="2" t="str">
        <f>"4026897565"</f>
        <v>4026897565</v>
      </c>
      <c r="E11618" s="2" t="s">
        <v>46483</v>
      </c>
      <c r="F11618" s="2" t="s">
        <v>2453</v>
      </c>
      <c r="G11618" s="2" t="str">
        <f>"SR-16287"</f>
        <v>SR-16287</v>
      </c>
      <c r="H11618" s="2" t="s">
        <v>46484</v>
      </c>
      <c r="I11618" s="2" t="s">
        <v>2455</v>
      </c>
      <c r="K11618" s="2" t="s">
        <v>1470</v>
      </c>
      <c r="L11618" s="2" t="s">
        <v>757</v>
      </c>
      <c r="M11618" s="2">
        <v>68116.0</v>
      </c>
      <c r="N11618" s="2" t="s">
        <v>21</v>
      </c>
    </row>
    <row r="11619" ht="15.75" customHeight="1">
      <c r="A11619" s="2">
        <v>2019.0</v>
      </c>
      <c r="B11619" s="2" t="s">
        <v>2451</v>
      </c>
      <c r="C11619" s="2" t="s">
        <v>37658</v>
      </c>
      <c r="D11619" s="2" t="str">
        <f>"402-763-9971"</f>
        <v>402-763-9971</v>
      </c>
      <c r="E11619" s="2" t="s">
        <v>37659</v>
      </c>
      <c r="F11619" s="2" t="s">
        <v>2453</v>
      </c>
      <c r="G11619" s="2" t="str">
        <f>"SR-12831"</f>
        <v>SR-12831</v>
      </c>
      <c r="H11619" s="2" t="s">
        <v>37660</v>
      </c>
      <c r="I11619" s="2" t="s">
        <v>2455</v>
      </c>
      <c r="K11619" s="2" t="s">
        <v>1470</v>
      </c>
      <c r="L11619" s="2" t="s">
        <v>757</v>
      </c>
      <c r="M11619" s="2">
        <v>68116.0</v>
      </c>
      <c r="N11619" s="2" t="s">
        <v>21</v>
      </c>
    </row>
    <row r="11620" ht="15.75" customHeight="1">
      <c r="A11620" s="2">
        <v>2019.0</v>
      </c>
      <c r="B11620" s="2" t="s">
        <v>2451</v>
      </c>
      <c r="C11620" s="2" t="s">
        <v>46485</v>
      </c>
      <c r="D11620" s="2" t="str">
        <f>"4029570314"</f>
        <v>4029570314</v>
      </c>
      <c r="E11620" s="2" t="s">
        <v>1918</v>
      </c>
      <c r="F11620" s="2" t="s">
        <v>46486</v>
      </c>
      <c r="G11620" s="2" t="str">
        <f>"SR-16286"</f>
        <v>SR-16286</v>
      </c>
      <c r="H11620" s="2" t="s">
        <v>46487</v>
      </c>
      <c r="I11620" s="2" t="s">
        <v>46488</v>
      </c>
      <c r="K11620" s="2" t="s">
        <v>1470</v>
      </c>
      <c r="L11620" s="2" t="s">
        <v>757</v>
      </c>
      <c r="M11620" s="2">
        <v>68116.0</v>
      </c>
      <c r="N11620" s="2" t="s">
        <v>21</v>
      </c>
    </row>
    <row r="11621" ht="15.75" customHeight="1">
      <c r="A11621" s="2">
        <v>2019.0</v>
      </c>
      <c r="B11621" s="2" t="s">
        <v>46489</v>
      </c>
      <c r="C11621" s="2" t="s">
        <v>46489</v>
      </c>
      <c r="D11621" s="2" t="str">
        <f>"7154972654"</f>
        <v>7154972654</v>
      </c>
      <c r="E11621" s="2" t="s">
        <v>19713</v>
      </c>
      <c r="F11621" s="2" t="s">
        <v>46490</v>
      </c>
      <c r="G11621" s="2" t="str">
        <f>"SR-16281"</f>
        <v>SR-16281</v>
      </c>
      <c r="H11621" s="2" t="s">
        <v>46491</v>
      </c>
      <c r="I11621" s="2" t="s">
        <v>46492</v>
      </c>
      <c r="K11621" s="2" t="s">
        <v>46493</v>
      </c>
      <c r="L11621" s="2" t="s">
        <v>193</v>
      </c>
      <c r="M11621" s="2">
        <v>54017.0</v>
      </c>
      <c r="N11621" s="2" t="s">
        <v>21</v>
      </c>
    </row>
    <row r="11622" ht="15.75" customHeight="1">
      <c r="A11622" s="2">
        <v>2019.0</v>
      </c>
      <c r="B11622" s="2" t="s">
        <v>46494</v>
      </c>
      <c r="C11622" s="2" t="s">
        <v>46494</v>
      </c>
      <c r="D11622" s="2" t="str">
        <f>"3202191756"</f>
        <v>3202191756</v>
      </c>
      <c r="E11622" s="2" t="s">
        <v>2598</v>
      </c>
      <c r="F11622" s="2" t="s">
        <v>46495</v>
      </c>
      <c r="G11622" s="2" t="str">
        <f>"SR-16292"</f>
        <v>SR-16292</v>
      </c>
      <c r="H11622" s="2" t="s">
        <v>46496</v>
      </c>
      <c r="I11622" s="2" t="s">
        <v>46497</v>
      </c>
      <c r="K11622" s="2" t="s">
        <v>404</v>
      </c>
      <c r="L11622" s="2" t="s">
        <v>62</v>
      </c>
      <c r="M11622" s="2">
        <v>56308.0</v>
      </c>
      <c r="N11622" s="2" t="s">
        <v>21</v>
      </c>
    </row>
    <row r="11623" ht="15.75" customHeight="1">
      <c r="A11623" s="2">
        <v>2019.0</v>
      </c>
      <c r="B11623" s="2" t="s">
        <v>46498</v>
      </c>
      <c r="C11623" s="2" t="s">
        <v>46499</v>
      </c>
      <c r="D11623" s="2" t="str">
        <f>"7198920118"</f>
        <v>7198920118</v>
      </c>
      <c r="E11623" s="2" t="s">
        <v>46500</v>
      </c>
      <c r="F11623" s="2" t="s">
        <v>522</v>
      </c>
      <c r="G11623" s="2" t="str">
        <f>"SR-16296"</f>
        <v>SR-16296</v>
      </c>
      <c r="H11623" s="2" t="s">
        <v>46501</v>
      </c>
      <c r="I11623" s="2" t="s">
        <v>46502</v>
      </c>
      <c r="K11623" s="2" t="s">
        <v>46503</v>
      </c>
      <c r="L11623" s="2" t="s">
        <v>157</v>
      </c>
      <c r="M11623" s="2">
        <v>80821.0</v>
      </c>
      <c r="N11623" s="2" t="s">
        <v>21</v>
      </c>
    </row>
    <row r="11624" ht="15.75" customHeight="1">
      <c r="A11624" s="2">
        <v>2019.0</v>
      </c>
      <c r="B11624" s="2" t="s">
        <v>24313</v>
      </c>
      <c r="C11624" s="2" t="s">
        <v>24313</v>
      </c>
      <c r="D11624" s="2" t="str">
        <f>"956 521 1576"</f>
        <v>956 521 1576</v>
      </c>
      <c r="E11624" s="2" t="s">
        <v>13107</v>
      </c>
      <c r="F11624" s="2" t="s">
        <v>6923</v>
      </c>
      <c r="G11624" s="2" t="str">
        <f>"SR-16297"</f>
        <v>SR-16297</v>
      </c>
      <c r="H11624" s="2" t="s">
        <v>46504</v>
      </c>
      <c r="I11624" s="2" t="s">
        <v>46505</v>
      </c>
      <c r="K11624" s="2" t="s">
        <v>46506</v>
      </c>
      <c r="L11624" s="2" t="s">
        <v>172</v>
      </c>
      <c r="M11624" s="2">
        <v>78526.0</v>
      </c>
      <c r="N11624" s="2" t="s">
        <v>21</v>
      </c>
    </row>
    <row r="11625" ht="15.75" customHeight="1">
      <c r="A11625" s="2">
        <v>2019.0</v>
      </c>
      <c r="B11625" s="2" t="s">
        <v>46507</v>
      </c>
      <c r="C11625" s="2" t="s">
        <v>46508</v>
      </c>
      <c r="D11625" s="2" t="str">
        <f>"615-738-0824"</f>
        <v>615-738-0824</v>
      </c>
      <c r="E11625" s="2" t="s">
        <v>9010</v>
      </c>
      <c r="F11625" s="2" t="s">
        <v>778</v>
      </c>
      <c r="G11625" s="2" t="str">
        <f>"SR-16298"</f>
        <v>SR-16298</v>
      </c>
      <c r="H11625" s="2" t="s">
        <v>46509</v>
      </c>
      <c r="I11625" s="2" t="s">
        <v>46510</v>
      </c>
      <c r="K11625" s="2" t="s">
        <v>809</v>
      </c>
      <c r="L11625" s="2" t="s">
        <v>157</v>
      </c>
      <c r="M11625" s="2">
        <v>80917.0</v>
      </c>
      <c r="N11625" s="2" t="s">
        <v>21</v>
      </c>
    </row>
    <row r="11626" ht="15.75" customHeight="1">
      <c r="A11626" s="2">
        <v>2019.0</v>
      </c>
      <c r="B11626" s="2" t="s">
        <v>46511</v>
      </c>
      <c r="C11626" s="2" t="s">
        <v>46511</v>
      </c>
      <c r="D11626" s="2" t="str">
        <f>"7046812091"</f>
        <v>7046812091</v>
      </c>
      <c r="E11626" s="2" t="s">
        <v>37001</v>
      </c>
      <c r="F11626" s="2" t="s">
        <v>46512</v>
      </c>
      <c r="G11626" s="2" t="str">
        <f>"SR-16244"</f>
        <v>SR-16244</v>
      </c>
      <c r="H11626" s="2" t="s">
        <v>46513</v>
      </c>
      <c r="I11626" s="2" t="s">
        <v>46514</v>
      </c>
      <c r="K11626" s="2" t="s">
        <v>38617</v>
      </c>
      <c r="L11626" s="2" t="s">
        <v>20</v>
      </c>
      <c r="M11626" s="2">
        <v>28214.0</v>
      </c>
      <c r="N11626" s="2" t="s">
        <v>21</v>
      </c>
    </row>
    <row r="11627" ht="15.75" customHeight="1">
      <c r="A11627" s="2">
        <v>2019.0</v>
      </c>
      <c r="B11627" s="2" t="s">
        <v>46515</v>
      </c>
      <c r="C11627" s="2" t="s">
        <v>46516</v>
      </c>
      <c r="D11627" s="2" t="str">
        <f>"4058880590"</f>
        <v>4058880590</v>
      </c>
      <c r="E11627" s="2" t="s">
        <v>485</v>
      </c>
      <c r="F11627" s="2" t="s">
        <v>591</v>
      </c>
      <c r="G11627" s="2" t="str">
        <f>"SR-14695"</f>
        <v>SR-14695</v>
      </c>
      <c r="H11627" s="2" t="s">
        <v>46517</v>
      </c>
      <c r="I11627" s="2" t="s">
        <v>46518</v>
      </c>
      <c r="K11627" s="2" t="s">
        <v>6622</v>
      </c>
      <c r="L11627" s="2" t="s">
        <v>840</v>
      </c>
      <c r="M11627" s="2">
        <v>73142.0</v>
      </c>
      <c r="N11627" s="2" t="s">
        <v>21</v>
      </c>
    </row>
    <row r="11628" ht="15.75" customHeight="1">
      <c r="A11628" s="2">
        <v>2019.0</v>
      </c>
      <c r="B11628" s="2" t="s">
        <v>46519</v>
      </c>
      <c r="C11628" s="2" t="s">
        <v>46520</v>
      </c>
      <c r="D11628" s="2" t="str">
        <f>"4057952325"</f>
        <v>4057952325</v>
      </c>
      <c r="E11628" s="2" t="s">
        <v>301</v>
      </c>
      <c r="F11628" s="2" t="s">
        <v>2491</v>
      </c>
      <c r="G11628" s="2" t="str">
        <f>"SR-16300"</f>
        <v>SR-16300</v>
      </c>
      <c r="H11628" s="2" t="s">
        <v>46521</v>
      </c>
      <c r="I11628" s="2" t="s">
        <v>46522</v>
      </c>
      <c r="K11628" s="2" t="s">
        <v>1546</v>
      </c>
      <c r="L11628" s="2" t="s">
        <v>840</v>
      </c>
      <c r="M11628" s="2">
        <v>73013.0</v>
      </c>
      <c r="N11628" s="2" t="s">
        <v>21</v>
      </c>
    </row>
    <row r="11629" ht="15.75" customHeight="1">
      <c r="A11629" s="2">
        <v>2019.0</v>
      </c>
      <c r="B11629" s="2" t="s">
        <v>46523</v>
      </c>
      <c r="C11629" s="2" t="s">
        <v>46524</v>
      </c>
      <c r="D11629" s="2" t="str">
        <f>"260-573-3087"</f>
        <v>260-573-3087</v>
      </c>
      <c r="E11629" s="2" t="s">
        <v>46525</v>
      </c>
      <c r="F11629" s="2" t="s">
        <v>8149</v>
      </c>
      <c r="G11629" s="2" t="str">
        <f>"SR-16302"</f>
        <v>SR-16302</v>
      </c>
      <c r="H11629" s="2" t="s">
        <v>46526</v>
      </c>
      <c r="I11629" s="2" t="s">
        <v>46527</v>
      </c>
      <c r="K11629" s="2" t="s">
        <v>6312</v>
      </c>
      <c r="L11629" s="2" t="s">
        <v>149</v>
      </c>
      <c r="M11629" s="2">
        <v>46706.0</v>
      </c>
      <c r="N11629" s="2" t="s">
        <v>21</v>
      </c>
    </row>
    <row r="11630" ht="15.75" customHeight="1">
      <c r="A11630" s="2">
        <v>2019.0</v>
      </c>
      <c r="B11630" s="2" t="s">
        <v>46528</v>
      </c>
      <c r="C11630" s="2" t="s">
        <v>46529</v>
      </c>
      <c r="D11630" s="2" t="str">
        <f>"2174805921"</f>
        <v>2174805921</v>
      </c>
      <c r="E11630" s="2" t="s">
        <v>1362</v>
      </c>
      <c r="F11630" s="2" t="s">
        <v>8446</v>
      </c>
      <c r="G11630" s="2" t="str">
        <f>"SR-16304"</f>
        <v>SR-16304</v>
      </c>
      <c r="H11630" s="2" t="s">
        <v>46530</v>
      </c>
      <c r="I11630" s="2" t="s">
        <v>46531</v>
      </c>
      <c r="K11630" s="2" t="s">
        <v>11892</v>
      </c>
      <c r="L11630" s="2" t="s">
        <v>105</v>
      </c>
      <c r="M11630" s="2">
        <v>61843.0</v>
      </c>
      <c r="N11630" s="2" t="s">
        <v>21</v>
      </c>
    </row>
    <row r="11631" ht="15.75" customHeight="1">
      <c r="A11631" s="2">
        <v>2019.0</v>
      </c>
      <c r="B11631" s="2" t="s">
        <v>20703</v>
      </c>
      <c r="C11631" s="2" t="s">
        <v>46532</v>
      </c>
      <c r="D11631" s="2" t="str">
        <f>"7209819186"</f>
        <v>7209819186</v>
      </c>
      <c r="E11631" s="2" t="s">
        <v>7892</v>
      </c>
      <c r="F11631" s="2" t="s">
        <v>20705</v>
      </c>
      <c r="G11631" s="2" t="str">
        <f>"SR-16311"</f>
        <v>SR-16311</v>
      </c>
      <c r="H11631" s="2" t="s">
        <v>46533</v>
      </c>
      <c r="I11631" s="2" t="s">
        <v>46534</v>
      </c>
      <c r="K11631" s="2" t="s">
        <v>1398</v>
      </c>
      <c r="L11631" s="2" t="s">
        <v>157</v>
      </c>
      <c r="M11631" s="2">
        <v>80104.0</v>
      </c>
      <c r="N11631" s="2" t="s">
        <v>21</v>
      </c>
    </row>
    <row r="11632" ht="15.75" customHeight="1">
      <c r="A11632" s="2">
        <v>2019.0</v>
      </c>
      <c r="B11632" s="2" t="s">
        <v>46535</v>
      </c>
      <c r="C11632" s="2" t="s">
        <v>46536</v>
      </c>
      <c r="D11632" s="2" t="str">
        <f>"918-856-2274"</f>
        <v>918-856-2274</v>
      </c>
      <c r="E11632" s="2" t="s">
        <v>3342</v>
      </c>
      <c r="F11632" s="2" t="s">
        <v>10871</v>
      </c>
      <c r="G11632" s="2" t="str">
        <f>"SR-16313"</f>
        <v>SR-16313</v>
      </c>
      <c r="H11632" s="2" t="s">
        <v>46537</v>
      </c>
      <c r="I11632" s="2" t="s">
        <v>46538</v>
      </c>
      <c r="K11632" s="2" t="s">
        <v>46539</v>
      </c>
      <c r="L11632" s="2" t="s">
        <v>840</v>
      </c>
      <c r="M11632" s="2">
        <v>74330.0</v>
      </c>
      <c r="N11632" s="2" t="s">
        <v>21</v>
      </c>
    </row>
    <row r="11633" ht="15.75" customHeight="1">
      <c r="A11633" s="2">
        <v>2019.0</v>
      </c>
      <c r="B11633" s="2" t="s">
        <v>23180</v>
      </c>
      <c r="C11633" s="2" t="s">
        <v>23180</v>
      </c>
      <c r="D11633" s="2" t="str">
        <f>"3035930294"</f>
        <v>3035930294</v>
      </c>
      <c r="E11633" s="2" t="s">
        <v>4300</v>
      </c>
      <c r="F11633" s="2" t="s">
        <v>1530</v>
      </c>
      <c r="G11633" s="2" t="str">
        <f>"SR-7194"</f>
        <v>SR-7194</v>
      </c>
      <c r="H11633" s="2" t="s">
        <v>23181</v>
      </c>
      <c r="I11633" s="2" t="s">
        <v>23182</v>
      </c>
      <c r="K11633" s="2" t="s">
        <v>1054</v>
      </c>
      <c r="L11633" s="2" t="s">
        <v>157</v>
      </c>
      <c r="M11633" s="2">
        <v>80138.0</v>
      </c>
      <c r="N11633" s="2" t="s">
        <v>21</v>
      </c>
    </row>
    <row r="11634" ht="15.75" customHeight="1">
      <c r="A11634" s="2">
        <v>2019.0</v>
      </c>
      <c r="B11634" s="2" t="s">
        <v>46540</v>
      </c>
      <c r="C11634" s="2" t="s">
        <v>46540</v>
      </c>
      <c r="D11634" s="2" t="str">
        <f>"980-221-5078"</f>
        <v>980-221-5078</v>
      </c>
      <c r="E11634" s="2" t="s">
        <v>1682</v>
      </c>
      <c r="F11634" s="2" t="s">
        <v>46541</v>
      </c>
      <c r="G11634" s="2" t="str">
        <f>"SR-16307"</f>
        <v>SR-16307</v>
      </c>
      <c r="H11634" s="2" t="s">
        <v>46542</v>
      </c>
      <c r="I11634" s="2" t="s">
        <v>46543</v>
      </c>
      <c r="K11634" s="2" t="s">
        <v>38856</v>
      </c>
      <c r="L11634" s="2" t="s">
        <v>20</v>
      </c>
      <c r="M11634" s="2">
        <v>28056.0</v>
      </c>
      <c r="N11634" s="2" t="s">
        <v>21</v>
      </c>
    </row>
    <row r="11635" ht="15.75" customHeight="1">
      <c r="A11635" s="2">
        <v>2019.0</v>
      </c>
      <c r="B11635" s="2" t="s">
        <v>46544</v>
      </c>
      <c r="C11635" s="2" t="s">
        <v>46545</v>
      </c>
      <c r="D11635" s="2" t="str">
        <f>"3072991092"</f>
        <v>3072991092</v>
      </c>
      <c r="E11635" s="2" t="s">
        <v>1803</v>
      </c>
      <c r="F11635" s="2" t="s">
        <v>46546</v>
      </c>
      <c r="G11635" s="2" t="str">
        <f>"SR-16324"</f>
        <v>SR-16324</v>
      </c>
      <c r="H11635" s="2" t="s">
        <v>46547</v>
      </c>
      <c r="I11635" s="2" t="s">
        <v>46548</v>
      </c>
      <c r="K11635" s="2" t="s">
        <v>12686</v>
      </c>
      <c r="L11635" s="2" t="s">
        <v>1540</v>
      </c>
      <c r="M11635" s="2">
        <v>82718.0</v>
      </c>
      <c r="N11635" s="2" t="s">
        <v>21</v>
      </c>
    </row>
    <row r="11636" ht="15.75" customHeight="1">
      <c r="A11636" s="2">
        <v>2019.0</v>
      </c>
      <c r="B11636" s="2" t="s">
        <v>46549</v>
      </c>
      <c r="D11636" s="2" t="str">
        <f t="shared" ref="D11636:D11637" si="194">""</f>
        <v/>
      </c>
      <c r="E11636" s="2" t="s">
        <v>6081</v>
      </c>
      <c r="F11636" s="2" t="s">
        <v>46550</v>
      </c>
      <c r="G11636" s="2" t="str">
        <f>"SR-15909"</f>
        <v>SR-15909</v>
      </c>
      <c r="H11636" s="2" t="s">
        <v>46551</v>
      </c>
      <c r="N11636" s="2" t="s">
        <v>21</v>
      </c>
    </row>
    <row r="11637" ht="15.75" customHeight="1">
      <c r="A11637" s="2">
        <v>2019.0</v>
      </c>
      <c r="B11637" s="2" t="s">
        <v>46552</v>
      </c>
      <c r="D11637" s="2" t="str">
        <f t="shared" si="194"/>
        <v/>
      </c>
      <c r="E11637" s="2" t="s">
        <v>6202</v>
      </c>
      <c r="F11637" s="2" t="s">
        <v>42798</v>
      </c>
      <c r="G11637" s="2" t="str">
        <f>"SR-16327"</f>
        <v>SR-16327</v>
      </c>
      <c r="H11637" s="2" t="s">
        <v>46553</v>
      </c>
      <c r="N11637" s="2" t="s">
        <v>21</v>
      </c>
    </row>
    <row r="11638" ht="15.75" customHeight="1">
      <c r="A11638" s="2">
        <v>2019.0</v>
      </c>
      <c r="B11638" s="2" t="s">
        <v>46552</v>
      </c>
      <c r="C11638" s="2" t="s">
        <v>46554</v>
      </c>
      <c r="D11638" s="2" t="str">
        <f>"253-313-8668"</f>
        <v>253-313-8668</v>
      </c>
      <c r="E11638" s="2" t="s">
        <v>1288</v>
      </c>
      <c r="F11638" s="2" t="s">
        <v>42798</v>
      </c>
      <c r="G11638" s="2" t="str">
        <f>"SR-16328"</f>
        <v>SR-16328</v>
      </c>
      <c r="H11638" s="2" t="s">
        <v>46555</v>
      </c>
      <c r="I11638" s="2" t="s">
        <v>46556</v>
      </c>
      <c r="K11638" s="2" t="s">
        <v>46557</v>
      </c>
      <c r="L11638" s="2" t="s">
        <v>86</v>
      </c>
      <c r="M11638" s="2">
        <v>98359.0</v>
      </c>
      <c r="N11638" s="2" t="s">
        <v>21</v>
      </c>
    </row>
    <row r="11639" ht="15.75" customHeight="1">
      <c r="A11639" s="2">
        <v>2019.0</v>
      </c>
      <c r="B11639" s="2" t="s">
        <v>46558</v>
      </c>
      <c r="C11639" s="2" t="s">
        <v>46559</v>
      </c>
      <c r="D11639" s="2" t="str">
        <f>"2128100450"</f>
        <v>2128100450</v>
      </c>
      <c r="E11639" s="2" t="s">
        <v>4665</v>
      </c>
      <c r="F11639" s="2" t="s">
        <v>46560</v>
      </c>
      <c r="G11639" s="2" t="str">
        <f>"SR-16317"</f>
        <v>SR-16317</v>
      </c>
      <c r="H11639" s="2" t="s">
        <v>46561</v>
      </c>
      <c r="I11639" s="2" t="s">
        <v>46562</v>
      </c>
      <c r="J11639" s="2" t="s">
        <v>46563</v>
      </c>
      <c r="K11639" s="2" t="s">
        <v>46564</v>
      </c>
      <c r="L11639" s="2" t="s">
        <v>142</v>
      </c>
      <c r="M11639" s="2">
        <v>10128.0</v>
      </c>
      <c r="N11639" s="2" t="s">
        <v>21</v>
      </c>
    </row>
    <row r="11640" ht="15.75" customHeight="1">
      <c r="A11640" s="2">
        <v>2019.0</v>
      </c>
      <c r="B11640" s="2" t="s">
        <v>46565</v>
      </c>
      <c r="C11640" s="2" t="s">
        <v>46566</v>
      </c>
      <c r="D11640" s="2" t="str">
        <f>"704-718-4431"</f>
        <v>704-718-4431</v>
      </c>
      <c r="E11640" s="2" t="s">
        <v>301</v>
      </c>
      <c r="F11640" s="2" t="s">
        <v>23396</v>
      </c>
      <c r="G11640" s="2" t="str">
        <f>"SR-16329"</f>
        <v>SR-16329</v>
      </c>
      <c r="H11640" s="2" t="s">
        <v>46567</v>
      </c>
      <c r="I11640" s="2" t="s">
        <v>46568</v>
      </c>
      <c r="K11640" s="2" t="s">
        <v>12999</v>
      </c>
      <c r="L11640" s="2" t="s">
        <v>55</v>
      </c>
      <c r="M11640" s="2">
        <v>29710.0</v>
      </c>
      <c r="N11640" s="2" t="s">
        <v>21</v>
      </c>
    </row>
    <row r="11641" ht="15.75" customHeight="1">
      <c r="A11641" s="2">
        <v>2019.0</v>
      </c>
      <c r="B11641" s="2" t="s">
        <v>46569</v>
      </c>
      <c r="C11641" s="2" t="s">
        <v>46570</v>
      </c>
      <c r="D11641" s="2" t="str">
        <f>"512-975-9903"</f>
        <v>512-975-9903</v>
      </c>
      <c r="E11641" s="2" t="s">
        <v>46571</v>
      </c>
      <c r="F11641" s="2" t="s">
        <v>10283</v>
      </c>
      <c r="G11641" s="2" t="str">
        <f>"SR-16331"</f>
        <v>SR-16331</v>
      </c>
      <c r="H11641" s="2" t="s">
        <v>46572</v>
      </c>
      <c r="I11641" s="2" t="s">
        <v>29502</v>
      </c>
      <c r="K11641" s="2" t="s">
        <v>29503</v>
      </c>
      <c r="L11641" s="2" t="s">
        <v>172</v>
      </c>
      <c r="M11641" s="2">
        <v>78738.0</v>
      </c>
      <c r="N11641" s="2" t="s">
        <v>21</v>
      </c>
    </row>
    <row r="11642" ht="15.75" customHeight="1">
      <c r="A11642" s="2">
        <v>2019.0</v>
      </c>
      <c r="B11642" s="2" t="s">
        <v>46573</v>
      </c>
      <c r="C11642" s="2" t="s">
        <v>46574</v>
      </c>
      <c r="D11642" s="2" t="str">
        <f>"307-670-1044"</f>
        <v>307-670-1044</v>
      </c>
      <c r="E11642" s="2" t="s">
        <v>485</v>
      </c>
      <c r="F11642" s="2" t="s">
        <v>25821</v>
      </c>
      <c r="G11642" s="2" t="str">
        <f>"SR-16332"</f>
        <v>SR-16332</v>
      </c>
      <c r="H11642" s="2" t="s">
        <v>46575</v>
      </c>
      <c r="I11642" s="2" t="s">
        <v>44564</v>
      </c>
      <c r="K11642" s="2" t="s">
        <v>3028</v>
      </c>
      <c r="L11642" s="2" t="s">
        <v>1540</v>
      </c>
      <c r="M11642" s="2">
        <v>82732.0</v>
      </c>
      <c r="N11642" s="2" t="s">
        <v>21</v>
      </c>
    </row>
    <row r="11643" ht="15.75" customHeight="1">
      <c r="A11643" s="2">
        <v>2019.0</v>
      </c>
      <c r="B11643" s="2" t="s">
        <v>46576</v>
      </c>
      <c r="C11643" s="2" t="s">
        <v>46577</v>
      </c>
      <c r="D11643" s="2" t="str">
        <f>"6187416334"</f>
        <v>6187416334</v>
      </c>
      <c r="E11643" s="2" t="s">
        <v>124</v>
      </c>
      <c r="F11643" s="2" t="s">
        <v>46578</v>
      </c>
      <c r="G11643" s="2" t="str">
        <f>"SR-16305"</f>
        <v>SR-16305</v>
      </c>
      <c r="H11643" s="2" t="s">
        <v>46579</v>
      </c>
      <c r="I11643" s="2" t="s">
        <v>46580</v>
      </c>
      <c r="K11643" s="2" t="s">
        <v>29982</v>
      </c>
      <c r="L11643" s="2" t="s">
        <v>105</v>
      </c>
      <c r="M11643" s="2">
        <v>62234.0</v>
      </c>
      <c r="N11643" s="2" t="s">
        <v>21</v>
      </c>
    </row>
    <row r="11644" ht="15.75" customHeight="1">
      <c r="A11644" s="2">
        <v>2019.0</v>
      </c>
      <c r="B11644" s="2" t="s">
        <v>46581</v>
      </c>
      <c r="C11644" s="2" t="s">
        <v>46582</v>
      </c>
      <c r="D11644" s="2" t="str">
        <f>"3035064658"</f>
        <v>3035064658</v>
      </c>
      <c r="E11644" s="2" t="s">
        <v>4968</v>
      </c>
      <c r="F11644" s="2" t="s">
        <v>4098</v>
      </c>
      <c r="G11644" s="2" t="str">
        <f>"SR-16333"</f>
        <v>SR-16333</v>
      </c>
      <c r="H11644" s="2" t="s">
        <v>46583</v>
      </c>
      <c r="I11644" s="2" t="s">
        <v>46584</v>
      </c>
      <c r="K11644" s="2" t="s">
        <v>1398</v>
      </c>
      <c r="L11644" s="2" t="s">
        <v>157</v>
      </c>
      <c r="M11644" s="2">
        <v>80104.0</v>
      </c>
      <c r="N11644" s="2" t="s">
        <v>21</v>
      </c>
    </row>
    <row r="11645" ht="15.75" customHeight="1">
      <c r="A11645" s="2">
        <v>2019.0</v>
      </c>
      <c r="B11645" s="2" t="s">
        <v>46585</v>
      </c>
      <c r="C11645" s="2" t="s">
        <v>46585</v>
      </c>
      <c r="D11645" s="2" t="str">
        <f>"505-312-3814"</f>
        <v>505-312-3814</v>
      </c>
      <c r="E11645" s="2" t="s">
        <v>250</v>
      </c>
      <c r="F11645" s="2" t="s">
        <v>46586</v>
      </c>
      <c r="G11645" s="2" t="str">
        <f>"SR-16334"</f>
        <v>SR-16334</v>
      </c>
      <c r="H11645" s="2" t="s">
        <v>46587</v>
      </c>
      <c r="I11645" s="2" t="s">
        <v>46588</v>
      </c>
      <c r="K11645" s="2" t="s">
        <v>3705</v>
      </c>
      <c r="L11645" s="2" t="s">
        <v>789</v>
      </c>
      <c r="M11645" s="2">
        <v>87121.0</v>
      </c>
      <c r="N11645" s="2" t="s">
        <v>21</v>
      </c>
    </row>
    <row r="11646" ht="15.75" customHeight="1">
      <c r="A11646" s="2">
        <v>2019.0</v>
      </c>
      <c r="B11646" s="2" t="s">
        <v>46589</v>
      </c>
      <c r="C11646" s="2" t="s">
        <v>46590</v>
      </c>
      <c r="D11646" s="2" t="str">
        <f>"605-488-0342"</f>
        <v>605-488-0342</v>
      </c>
      <c r="E11646" s="2" t="s">
        <v>8887</v>
      </c>
      <c r="F11646" s="2" t="s">
        <v>46591</v>
      </c>
      <c r="G11646" s="2" t="str">
        <f>"SR-16336"</f>
        <v>SR-16336</v>
      </c>
      <c r="H11646" s="2" t="s">
        <v>46592</v>
      </c>
      <c r="I11646" s="2" t="s">
        <v>46593</v>
      </c>
      <c r="K11646" s="2" t="s">
        <v>46594</v>
      </c>
      <c r="L11646" s="2" t="s">
        <v>920</v>
      </c>
      <c r="M11646" s="2">
        <v>57543.0</v>
      </c>
      <c r="N11646" s="2" t="s">
        <v>21</v>
      </c>
    </row>
    <row r="11647" ht="15.75" customHeight="1">
      <c r="A11647" s="2">
        <v>2019.0</v>
      </c>
      <c r="B11647" s="2" t="s">
        <v>46595</v>
      </c>
      <c r="C11647" s="2" t="s">
        <v>46595</v>
      </c>
      <c r="D11647" s="2" t="str">
        <f>"425-269-7302"</f>
        <v>425-269-7302</v>
      </c>
      <c r="E11647" s="2" t="s">
        <v>1713</v>
      </c>
      <c r="F11647" s="2" t="s">
        <v>13702</v>
      </c>
      <c r="G11647" s="2" t="str">
        <f>"SR-16338"</f>
        <v>SR-16338</v>
      </c>
      <c r="H11647" s="2" t="s">
        <v>46596</v>
      </c>
      <c r="I11647" s="2" t="s">
        <v>13704</v>
      </c>
      <c r="K11647" s="2" t="s">
        <v>13705</v>
      </c>
      <c r="L11647" s="2" t="s">
        <v>86</v>
      </c>
      <c r="M11647" s="2">
        <v>98072.0</v>
      </c>
      <c r="N11647" s="2" t="s">
        <v>21</v>
      </c>
    </row>
    <row r="11648" ht="15.75" customHeight="1">
      <c r="A11648" s="2">
        <v>2019.0</v>
      </c>
      <c r="B11648" s="2" t="s">
        <v>46597</v>
      </c>
      <c r="C11648" s="2" t="s">
        <v>46597</v>
      </c>
      <c r="D11648" s="2" t="str">
        <f>"7047260571"</f>
        <v>7047260571</v>
      </c>
      <c r="E11648" s="2" t="s">
        <v>385</v>
      </c>
      <c r="F11648" s="2" t="s">
        <v>46598</v>
      </c>
      <c r="G11648" s="2" t="str">
        <f>"SR-16340"</f>
        <v>SR-16340</v>
      </c>
      <c r="H11648" s="2" t="s">
        <v>46599</v>
      </c>
      <c r="I11648" s="2" t="s">
        <v>46600</v>
      </c>
      <c r="K11648" s="2" t="s">
        <v>5028</v>
      </c>
      <c r="L11648" s="2" t="s">
        <v>20</v>
      </c>
      <c r="M11648" s="2">
        <v>28078.0</v>
      </c>
      <c r="N11648" s="2" t="s">
        <v>21</v>
      </c>
    </row>
    <row r="11649" ht="15.75" customHeight="1">
      <c r="A11649" s="2">
        <v>2019.0</v>
      </c>
      <c r="B11649" s="2" t="s">
        <v>46601</v>
      </c>
      <c r="C11649" s="2" t="s">
        <v>46602</v>
      </c>
      <c r="D11649" s="2" t="str">
        <f>"3072540793"</f>
        <v>3072540793</v>
      </c>
      <c r="E11649" s="2" t="s">
        <v>46603</v>
      </c>
      <c r="F11649" s="2" t="s">
        <v>46604</v>
      </c>
      <c r="G11649" s="2" t="str">
        <f>"SR-14875"</f>
        <v>SR-14875</v>
      </c>
      <c r="H11649" s="2" t="s">
        <v>46605</v>
      </c>
      <c r="I11649" s="2" t="s">
        <v>46606</v>
      </c>
      <c r="K11649" s="2" t="s">
        <v>2771</v>
      </c>
      <c r="L11649" s="2" t="s">
        <v>1540</v>
      </c>
      <c r="M11649" s="2">
        <v>82435.0</v>
      </c>
      <c r="N11649" s="2" t="s">
        <v>21</v>
      </c>
    </row>
    <row r="11650" ht="15.75" customHeight="1">
      <c r="A11650" s="2">
        <v>2019.0</v>
      </c>
      <c r="B11650" s="2" t="s">
        <v>46607</v>
      </c>
      <c r="C11650" s="2" t="s">
        <v>46607</v>
      </c>
      <c r="D11650" s="2" t="str">
        <f>"6627221754"</f>
        <v>6627221754</v>
      </c>
      <c r="E11650" s="2" t="s">
        <v>339</v>
      </c>
      <c r="F11650" s="2" t="s">
        <v>639</v>
      </c>
      <c r="G11650" s="2" t="str">
        <f>"SR-16345"</f>
        <v>SR-16345</v>
      </c>
      <c r="H11650" s="2" t="s">
        <v>46608</v>
      </c>
      <c r="I11650" s="2" t="s">
        <v>46609</v>
      </c>
      <c r="K11650" s="2" t="s">
        <v>1901</v>
      </c>
      <c r="L11650" s="2" t="s">
        <v>1722</v>
      </c>
      <c r="M11650" s="2">
        <v>39759.0</v>
      </c>
      <c r="N11650" s="2" t="s">
        <v>21</v>
      </c>
    </row>
    <row r="11651" ht="15.75" customHeight="1">
      <c r="A11651" s="2">
        <v>2019.0</v>
      </c>
      <c r="B11651" s="2" t="s">
        <v>46610</v>
      </c>
      <c r="C11651" s="2" t="s">
        <v>46611</v>
      </c>
      <c r="D11651" s="2" t="str">
        <f t="shared" ref="D11651:D11652" si="195">"2142265344"</f>
        <v>2142265344</v>
      </c>
      <c r="E11651" s="2" t="s">
        <v>20862</v>
      </c>
      <c r="F11651" s="2" t="s">
        <v>46612</v>
      </c>
      <c r="G11651" s="2" t="str">
        <f>"SR-16348"</f>
        <v>SR-16348</v>
      </c>
      <c r="H11651" s="2" t="s">
        <v>46613</v>
      </c>
      <c r="I11651" s="2" t="s">
        <v>46614</v>
      </c>
      <c r="K11651" s="2" t="s">
        <v>1255</v>
      </c>
      <c r="L11651" s="2" t="s">
        <v>172</v>
      </c>
      <c r="M11651" s="2">
        <v>75238.0</v>
      </c>
      <c r="N11651" s="2" t="s">
        <v>21</v>
      </c>
    </row>
    <row r="11652" ht="15.75" customHeight="1">
      <c r="A11652" s="2">
        <v>2019.0</v>
      </c>
      <c r="B11652" s="2" t="s">
        <v>46610</v>
      </c>
      <c r="C11652" s="2" t="s">
        <v>46615</v>
      </c>
      <c r="D11652" s="2" t="str">
        <f t="shared" si="195"/>
        <v>2142265344</v>
      </c>
      <c r="E11652" s="2" t="s">
        <v>908</v>
      </c>
      <c r="F11652" s="2" t="s">
        <v>46612</v>
      </c>
      <c r="G11652" s="2" t="str">
        <f>"SR-16349"</f>
        <v>SR-16349</v>
      </c>
      <c r="H11652" s="2" t="s">
        <v>46616</v>
      </c>
      <c r="I11652" s="2" t="s">
        <v>46614</v>
      </c>
      <c r="K11652" s="2" t="s">
        <v>1255</v>
      </c>
      <c r="L11652" s="2" t="s">
        <v>172</v>
      </c>
      <c r="M11652" s="2">
        <v>75238.0</v>
      </c>
      <c r="N11652" s="2" t="s">
        <v>21</v>
      </c>
    </row>
    <row r="11653" ht="15.75" customHeight="1">
      <c r="A11653" s="2">
        <v>2019.0</v>
      </c>
      <c r="B11653" s="2" t="s">
        <v>46617</v>
      </c>
      <c r="C11653" s="2" t="s">
        <v>46618</v>
      </c>
      <c r="D11653" s="2" t="str">
        <f>"8656216221"</f>
        <v>8656216221</v>
      </c>
      <c r="E11653" s="2" t="s">
        <v>5134</v>
      </c>
      <c r="F11653" s="2" t="s">
        <v>46619</v>
      </c>
      <c r="G11653" s="2" t="str">
        <f>"SR-16352"</f>
        <v>SR-16352</v>
      </c>
      <c r="H11653" s="2" t="s">
        <v>46620</v>
      </c>
      <c r="I11653" s="2" t="s">
        <v>46621</v>
      </c>
      <c r="K11653" s="2" t="s">
        <v>6168</v>
      </c>
      <c r="L11653" s="2" t="s">
        <v>279</v>
      </c>
      <c r="M11653" s="2">
        <v>37922.0</v>
      </c>
      <c r="N11653" s="2" t="s">
        <v>21</v>
      </c>
    </row>
    <row r="11654" ht="15.75" customHeight="1">
      <c r="A11654" s="2">
        <v>2019.0</v>
      </c>
      <c r="B11654" s="2" t="s">
        <v>46622</v>
      </c>
      <c r="C11654" s="2" t="s">
        <v>46623</v>
      </c>
      <c r="D11654" s="2" t="str">
        <f>"6197887577"</f>
        <v>6197887577</v>
      </c>
      <c r="E11654" s="2" t="s">
        <v>339</v>
      </c>
      <c r="F11654" s="2" t="s">
        <v>46624</v>
      </c>
      <c r="G11654" s="2" t="str">
        <f>"SR-16355"</f>
        <v>SR-16355</v>
      </c>
      <c r="H11654" s="2" t="s">
        <v>46625</v>
      </c>
      <c r="I11654" s="2" t="s">
        <v>46626</v>
      </c>
      <c r="K11654" s="2" t="s">
        <v>18356</v>
      </c>
      <c r="L11654" s="2" t="s">
        <v>222</v>
      </c>
      <c r="M11654" s="2">
        <v>91910.0</v>
      </c>
      <c r="N11654" s="2" t="s">
        <v>21</v>
      </c>
    </row>
    <row r="11655" ht="15.75" customHeight="1">
      <c r="A11655" s="2">
        <v>2019.0</v>
      </c>
      <c r="B11655" s="2" t="s">
        <v>46589</v>
      </c>
      <c r="C11655" s="2" t="s">
        <v>46627</v>
      </c>
      <c r="D11655" s="2" t="str">
        <f>"605-488-0342"</f>
        <v>605-488-0342</v>
      </c>
      <c r="E11655" s="2" t="s">
        <v>10825</v>
      </c>
      <c r="F11655" s="2" t="s">
        <v>46591</v>
      </c>
      <c r="G11655" s="2" t="str">
        <f>"SR-16337"</f>
        <v>SR-16337</v>
      </c>
      <c r="H11655" s="2" t="s">
        <v>46628</v>
      </c>
      <c r="I11655" s="2" t="s">
        <v>46593</v>
      </c>
      <c r="K11655" s="2" t="s">
        <v>46594</v>
      </c>
      <c r="L11655" s="2" t="s">
        <v>920</v>
      </c>
      <c r="M11655" s="2">
        <v>57543.0</v>
      </c>
      <c r="N11655" s="2" t="s">
        <v>21</v>
      </c>
    </row>
    <row r="11656" ht="15.75" customHeight="1">
      <c r="A11656" s="2">
        <v>2019.0</v>
      </c>
      <c r="B11656" s="2" t="s">
        <v>46629</v>
      </c>
      <c r="C11656" s="2" t="s">
        <v>46630</v>
      </c>
      <c r="D11656" s="2" t="str">
        <f>"910-470-9711"</f>
        <v>910-470-9711</v>
      </c>
      <c r="E11656" s="2" t="s">
        <v>908</v>
      </c>
      <c r="F11656" s="2" t="s">
        <v>9904</v>
      </c>
      <c r="G11656" s="2" t="str">
        <f>"SR-16346"</f>
        <v>SR-16346</v>
      </c>
      <c r="H11656" s="2" t="s">
        <v>46631</v>
      </c>
      <c r="I11656" s="2" t="s">
        <v>46632</v>
      </c>
      <c r="K11656" s="2" t="s">
        <v>11784</v>
      </c>
      <c r="L11656" s="2" t="s">
        <v>20</v>
      </c>
      <c r="M11656" s="2">
        <v>28403.0</v>
      </c>
      <c r="N11656" s="2" t="s">
        <v>21</v>
      </c>
    </row>
    <row r="11657" ht="15.75" customHeight="1">
      <c r="A11657" s="2">
        <v>2019.0</v>
      </c>
      <c r="B11657" s="2" t="s">
        <v>46633</v>
      </c>
      <c r="C11657" s="2" t="s">
        <v>46634</v>
      </c>
      <c r="D11657" s="2" t="str">
        <f>"250 478-8492"</f>
        <v>250 478-8492</v>
      </c>
      <c r="E11657" s="2" t="s">
        <v>14532</v>
      </c>
      <c r="F11657" s="2" t="s">
        <v>46635</v>
      </c>
      <c r="G11657" s="2" t="str">
        <f>"SR-13266"</f>
        <v>SR-13266</v>
      </c>
      <c r="H11657" s="2" t="s">
        <v>46636</v>
      </c>
      <c r="I11657" s="2" t="s">
        <v>46637</v>
      </c>
      <c r="K11657" s="2" t="s">
        <v>1032</v>
      </c>
      <c r="L11657" s="2" t="s">
        <v>35237</v>
      </c>
      <c r="M11657" s="2" t="s">
        <v>46638</v>
      </c>
      <c r="N11657" s="2" t="s">
        <v>1602</v>
      </c>
    </row>
    <row r="11658" ht="15.75" customHeight="1">
      <c r="A11658" s="2">
        <v>2019.0</v>
      </c>
      <c r="B11658" s="2" t="s">
        <v>46639</v>
      </c>
      <c r="C11658" s="2" t="s">
        <v>46639</v>
      </c>
      <c r="D11658" s="2" t="str">
        <f>"682-410-6642"</f>
        <v>682-410-6642</v>
      </c>
      <c r="E11658" s="2" t="s">
        <v>385</v>
      </c>
      <c r="F11658" s="2" t="s">
        <v>2868</v>
      </c>
      <c r="G11658" s="2" t="str">
        <f>"SR-16358"</f>
        <v>SR-16358</v>
      </c>
      <c r="H11658" s="2" t="s">
        <v>46640</v>
      </c>
      <c r="I11658" s="2" t="s">
        <v>46641</v>
      </c>
      <c r="K11658" s="2" t="s">
        <v>6017</v>
      </c>
      <c r="L11658" s="2" t="s">
        <v>172</v>
      </c>
      <c r="M11658" s="2">
        <v>76008.0</v>
      </c>
      <c r="N11658" s="2" t="s">
        <v>21</v>
      </c>
    </row>
    <row r="11659" ht="15.75" customHeight="1">
      <c r="A11659" s="2">
        <v>2019.0</v>
      </c>
      <c r="B11659" s="2" t="s">
        <v>37897</v>
      </c>
      <c r="C11659" s="2" t="s">
        <v>37897</v>
      </c>
      <c r="D11659" s="2" t="str">
        <f>"8179452319"</f>
        <v>8179452319</v>
      </c>
      <c r="E11659" s="2" t="s">
        <v>6526</v>
      </c>
      <c r="F11659" s="2" t="s">
        <v>25036</v>
      </c>
      <c r="G11659" s="2" t="str">
        <f>"SR-16360"</f>
        <v>SR-16360</v>
      </c>
      <c r="H11659" s="2" t="s">
        <v>46642</v>
      </c>
      <c r="I11659" s="2" t="s">
        <v>37899</v>
      </c>
      <c r="K11659" s="2" t="s">
        <v>46643</v>
      </c>
      <c r="L11659" s="2" t="s">
        <v>172</v>
      </c>
      <c r="M11659" s="2">
        <v>76107.0</v>
      </c>
      <c r="N11659" s="2" t="s">
        <v>21</v>
      </c>
    </row>
    <row r="11660" ht="15.75" customHeight="1">
      <c r="A11660" s="2">
        <v>2019.0</v>
      </c>
      <c r="B11660" s="2" t="s">
        <v>46644</v>
      </c>
      <c r="C11660" s="2" t="s">
        <v>46644</v>
      </c>
      <c r="D11660" s="2" t="str">
        <f>"850-419-4768"</f>
        <v>850-419-4768</v>
      </c>
      <c r="E11660" s="2" t="s">
        <v>1032</v>
      </c>
      <c r="F11660" s="2" t="s">
        <v>38262</v>
      </c>
      <c r="G11660" s="2" t="str">
        <f>"SR-15777"</f>
        <v>SR-15777</v>
      </c>
      <c r="H11660" s="2" t="s">
        <v>46645</v>
      </c>
      <c r="I11660" s="2" t="s">
        <v>46646</v>
      </c>
      <c r="K11660" s="2" t="s">
        <v>46647</v>
      </c>
      <c r="L11660" s="2" t="s">
        <v>208</v>
      </c>
      <c r="M11660" s="2">
        <v>32459.0</v>
      </c>
      <c r="N11660" s="2" t="s">
        <v>21</v>
      </c>
    </row>
    <row r="11661" ht="15.75" customHeight="1">
      <c r="A11661" s="2">
        <v>2019.0</v>
      </c>
      <c r="B11661" s="2" t="s">
        <v>46648</v>
      </c>
      <c r="C11661" s="2" t="s">
        <v>46649</v>
      </c>
      <c r="D11661" s="2" t="str">
        <f>"618-309-2440"</f>
        <v>618-309-2440</v>
      </c>
      <c r="E11661" s="2" t="s">
        <v>72</v>
      </c>
      <c r="F11661" s="2" t="s">
        <v>6360</v>
      </c>
      <c r="G11661" s="2" t="str">
        <f>"SR-15705"</f>
        <v>SR-15705</v>
      </c>
      <c r="H11661" s="2" t="s">
        <v>46650</v>
      </c>
      <c r="I11661" s="2" t="s">
        <v>46651</v>
      </c>
      <c r="K11661" s="2" t="s">
        <v>41878</v>
      </c>
      <c r="L11661" s="2" t="s">
        <v>105</v>
      </c>
      <c r="M11661" s="2">
        <v>62960.0</v>
      </c>
      <c r="N11661" s="2" t="s">
        <v>21</v>
      </c>
    </row>
    <row r="11662" ht="15.75" customHeight="1">
      <c r="A11662" s="2">
        <v>2019.0</v>
      </c>
      <c r="B11662" s="2" t="s">
        <v>46652</v>
      </c>
      <c r="C11662" s="2" t="s">
        <v>46652</v>
      </c>
      <c r="D11662" s="2" t="str">
        <f>"1-308-870-5975"</f>
        <v>1-308-870-5975</v>
      </c>
      <c r="E11662" s="2" t="s">
        <v>1141</v>
      </c>
      <c r="F11662" s="2" t="s">
        <v>46653</v>
      </c>
      <c r="G11662" s="2" t="str">
        <f>"SR-16234"</f>
        <v>SR-16234</v>
      </c>
      <c r="H11662" s="2" t="s">
        <v>46654</v>
      </c>
      <c r="I11662" s="2" t="s">
        <v>46655</v>
      </c>
      <c r="K11662" s="2" t="s">
        <v>16541</v>
      </c>
      <c r="L11662" s="2" t="s">
        <v>757</v>
      </c>
      <c r="M11662" s="2">
        <v>68822.0</v>
      </c>
      <c r="N11662" s="2" t="s">
        <v>21</v>
      </c>
    </row>
    <row r="11663" ht="15.75" customHeight="1">
      <c r="A11663" s="2">
        <v>2019.0</v>
      </c>
      <c r="B11663" s="2" t="s">
        <v>46656</v>
      </c>
      <c r="C11663" s="2" t="s">
        <v>46656</v>
      </c>
      <c r="D11663" s="2" t="str">
        <f>"8505014373"</f>
        <v>8505014373</v>
      </c>
      <c r="E11663" s="2" t="s">
        <v>46657</v>
      </c>
      <c r="F11663" s="2" t="s">
        <v>46658</v>
      </c>
      <c r="G11663" s="2" t="str">
        <f>"SR-16342"</f>
        <v>SR-16342</v>
      </c>
      <c r="H11663" s="2" t="s">
        <v>46659</v>
      </c>
      <c r="I11663" s="2" t="s">
        <v>46660</v>
      </c>
      <c r="K11663" s="2" t="s">
        <v>4897</v>
      </c>
      <c r="L11663" s="2" t="s">
        <v>208</v>
      </c>
      <c r="M11663" s="2">
        <v>32565.0</v>
      </c>
      <c r="N11663" s="2" t="s">
        <v>21</v>
      </c>
    </row>
    <row r="11664" ht="15.75" customHeight="1">
      <c r="A11664" s="2">
        <v>2019.0</v>
      </c>
      <c r="B11664" s="2" t="s">
        <v>41286</v>
      </c>
      <c r="C11664" s="2" t="s">
        <v>41287</v>
      </c>
      <c r="D11664" s="2" t="str">
        <f>"7193519213"</f>
        <v>7193519213</v>
      </c>
      <c r="E11664" s="2" t="s">
        <v>6059</v>
      </c>
      <c r="F11664" s="2" t="s">
        <v>7730</v>
      </c>
      <c r="G11664" s="2" t="str">
        <f>"SR-14244"</f>
        <v>SR-14244</v>
      </c>
      <c r="H11664" s="2" t="s">
        <v>41288</v>
      </c>
      <c r="I11664" s="2" t="s">
        <v>41289</v>
      </c>
      <c r="K11664" s="2" t="s">
        <v>507</v>
      </c>
      <c r="L11664" s="2" t="s">
        <v>157</v>
      </c>
      <c r="M11664" s="2">
        <v>80132.0</v>
      </c>
      <c r="N11664" s="2" t="s">
        <v>21</v>
      </c>
    </row>
    <row r="11665" ht="15.75" customHeight="1">
      <c r="A11665" s="2">
        <v>2019.0</v>
      </c>
      <c r="B11665" s="2" t="s">
        <v>46661</v>
      </c>
      <c r="C11665" s="2" t="s">
        <v>46662</v>
      </c>
      <c r="D11665" s="2" t="str">
        <f>"7194260712"</f>
        <v>7194260712</v>
      </c>
      <c r="E11665" s="2" t="s">
        <v>1094</v>
      </c>
      <c r="F11665" s="2" t="s">
        <v>1859</v>
      </c>
      <c r="G11665" s="2" t="str">
        <f>"SR-15989"</f>
        <v>SR-15989</v>
      </c>
      <c r="H11665" s="2" t="s">
        <v>46663</v>
      </c>
      <c r="I11665" s="2" t="s">
        <v>46664</v>
      </c>
      <c r="K11665" s="2" t="s">
        <v>809</v>
      </c>
      <c r="L11665" s="2" t="s">
        <v>157</v>
      </c>
      <c r="M11665" s="2">
        <v>80908.0</v>
      </c>
      <c r="N11665" s="2" t="s">
        <v>21</v>
      </c>
    </row>
    <row r="11666" ht="15.75" customHeight="1">
      <c r="A11666" s="2">
        <v>2019.0</v>
      </c>
      <c r="B11666" s="2" t="s">
        <v>46661</v>
      </c>
      <c r="C11666" s="2" t="s">
        <v>46665</v>
      </c>
      <c r="D11666" s="2" t="str">
        <f>"7196633979"</f>
        <v>7196633979</v>
      </c>
      <c r="E11666" s="2" t="s">
        <v>373</v>
      </c>
      <c r="F11666" s="2" t="s">
        <v>1859</v>
      </c>
      <c r="G11666" s="2" t="str">
        <f>"SR-16365"</f>
        <v>SR-16365</v>
      </c>
      <c r="H11666" s="2" t="s">
        <v>46666</v>
      </c>
      <c r="I11666" s="2" t="s">
        <v>46664</v>
      </c>
      <c r="K11666" s="2" t="s">
        <v>809</v>
      </c>
      <c r="L11666" s="2" t="s">
        <v>157</v>
      </c>
      <c r="M11666" s="2">
        <v>80908.0</v>
      </c>
      <c r="N11666" s="2" t="s">
        <v>21</v>
      </c>
    </row>
    <row r="11667" ht="15.75" customHeight="1">
      <c r="A11667" s="2">
        <v>2019.0</v>
      </c>
      <c r="B11667" s="2" t="s">
        <v>46661</v>
      </c>
      <c r="C11667" s="2" t="s">
        <v>46667</v>
      </c>
      <c r="D11667" s="2" t="str">
        <f>"7196631159"</f>
        <v>7196631159</v>
      </c>
      <c r="E11667" s="2" t="s">
        <v>1548</v>
      </c>
      <c r="F11667" s="2" t="s">
        <v>1859</v>
      </c>
      <c r="G11667" s="2" t="str">
        <f>"SR-16366"</f>
        <v>SR-16366</v>
      </c>
      <c r="H11667" s="2" t="s">
        <v>46668</v>
      </c>
      <c r="I11667" s="2" t="s">
        <v>46664</v>
      </c>
      <c r="K11667" s="2" t="s">
        <v>809</v>
      </c>
      <c r="L11667" s="2" t="s">
        <v>157</v>
      </c>
      <c r="M11667" s="2">
        <v>80908.0</v>
      </c>
      <c r="N11667" s="2" t="s">
        <v>21</v>
      </c>
    </row>
    <row r="11668" ht="15.75" customHeight="1">
      <c r="A11668" s="2">
        <v>2019.0</v>
      </c>
      <c r="B11668" s="2" t="s">
        <v>46669</v>
      </c>
      <c r="C11668" s="2" t="s">
        <v>46669</v>
      </c>
      <c r="D11668" s="2" t="str">
        <f>"2318831612"</f>
        <v>2318831612</v>
      </c>
      <c r="E11668" s="2" t="s">
        <v>16971</v>
      </c>
      <c r="F11668" s="2" t="s">
        <v>836</v>
      </c>
      <c r="G11668" s="2" t="str">
        <f>"SR-16321"</f>
        <v>SR-16321</v>
      </c>
      <c r="H11668" s="2" t="s">
        <v>46670</v>
      </c>
      <c r="I11668" s="2" t="s">
        <v>46671</v>
      </c>
      <c r="K11668" s="2" t="s">
        <v>20576</v>
      </c>
      <c r="L11668" s="2" t="s">
        <v>29</v>
      </c>
      <c r="M11668" s="2">
        <v>49612.0</v>
      </c>
      <c r="N11668" s="2" t="s">
        <v>21</v>
      </c>
    </row>
    <row r="11669" ht="15.75" customHeight="1">
      <c r="A11669" s="2">
        <v>2019.0</v>
      </c>
      <c r="B11669" s="2" t="s">
        <v>46672</v>
      </c>
      <c r="C11669" s="2" t="s">
        <v>46673</v>
      </c>
      <c r="D11669" s="2" t="str">
        <f>"2623271007"</f>
        <v>2623271007</v>
      </c>
      <c r="E11669" s="2" t="s">
        <v>2243</v>
      </c>
      <c r="F11669" s="2" t="s">
        <v>35406</v>
      </c>
      <c r="G11669" s="2" t="str">
        <f>"SR-16371"</f>
        <v>SR-16371</v>
      </c>
      <c r="H11669" s="2" t="s">
        <v>46674</v>
      </c>
      <c r="I11669" s="2" t="s">
        <v>46675</v>
      </c>
      <c r="K11669" s="2" t="s">
        <v>10176</v>
      </c>
      <c r="L11669" s="2" t="s">
        <v>193</v>
      </c>
      <c r="M11669" s="2">
        <v>53189.0</v>
      </c>
      <c r="N11669" s="2" t="s">
        <v>21</v>
      </c>
    </row>
    <row r="11670" ht="15.75" customHeight="1">
      <c r="A11670" s="2">
        <v>2019.0</v>
      </c>
      <c r="B11670" s="2" t="s">
        <v>46676</v>
      </c>
      <c r="C11670" s="2" t="s">
        <v>46677</v>
      </c>
      <c r="D11670" s="2" t="str">
        <f>"17204920288"</f>
        <v>17204920288</v>
      </c>
      <c r="E11670" s="2" t="s">
        <v>7476</v>
      </c>
      <c r="F11670" s="2" t="s">
        <v>46678</v>
      </c>
      <c r="G11670" s="2" t="str">
        <f>"SR-16350"</f>
        <v>SR-16350</v>
      </c>
      <c r="H11670" s="2" t="s">
        <v>46679</v>
      </c>
      <c r="I11670" s="2" t="s">
        <v>46680</v>
      </c>
      <c r="K11670" s="2" t="s">
        <v>1889</v>
      </c>
      <c r="L11670" s="2" t="s">
        <v>157</v>
      </c>
      <c r="M11670" s="2">
        <v>80127.0</v>
      </c>
      <c r="N11670" s="2" t="s">
        <v>21</v>
      </c>
    </row>
    <row r="11671" ht="15.75" customHeight="1">
      <c r="A11671" s="2">
        <v>2019.0</v>
      </c>
      <c r="B11671" s="2" t="s">
        <v>46676</v>
      </c>
      <c r="C11671" s="2" t="s">
        <v>46681</v>
      </c>
      <c r="D11671" s="2" t="str">
        <f>"?17207490298?"</f>
        <v>?17207490298?</v>
      </c>
      <c r="E11671" s="2" t="s">
        <v>2126</v>
      </c>
      <c r="F11671" s="2" t="s">
        <v>46678</v>
      </c>
      <c r="G11671" s="2" t="str">
        <f>"SR-16351"</f>
        <v>SR-16351</v>
      </c>
      <c r="H11671" s="2" t="s">
        <v>46682</v>
      </c>
      <c r="I11671" s="2" t="s">
        <v>46680</v>
      </c>
      <c r="K11671" s="2" t="s">
        <v>1889</v>
      </c>
      <c r="L11671" s="2" t="s">
        <v>157</v>
      </c>
      <c r="M11671" s="2">
        <v>80127.0</v>
      </c>
      <c r="N11671" s="2" t="s">
        <v>21</v>
      </c>
    </row>
    <row r="11672" ht="15.75" customHeight="1">
      <c r="A11672" s="2">
        <v>2019.0</v>
      </c>
      <c r="B11672" s="2" t="s">
        <v>20149</v>
      </c>
      <c r="C11672" s="2" t="s">
        <v>46683</v>
      </c>
      <c r="D11672" s="2" t="str">
        <f>"325-436-7061"</f>
        <v>325-436-7061</v>
      </c>
      <c r="E11672" s="2" t="s">
        <v>465</v>
      </c>
      <c r="F11672" s="2" t="s">
        <v>3978</v>
      </c>
      <c r="G11672" s="2" t="str">
        <f>"SR-16376"</f>
        <v>SR-16376</v>
      </c>
      <c r="H11672" s="2" t="s">
        <v>46684</v>
      </c>
      <c r="I11672" s="2" t="s">
        <v>20151</v>
      </c>
      <c r="K11672" s="2" t="s">
        <v>20153</v>
      </c>
      <c r="L11672" s="2" t="s">
        <v>172</v>
      </c>
      <c r="M11672" s="2">
        <v>79545.0</v>
      </c>
      <c r="N11672" s="2" t="s">
        <v>21</v>
      </c>
    </row>
    <row r="11673" ht="15.75" customHeight="1">
      <c r="A11673" s="2">
        <v>2019.0</v>
      </c>
      <c r="B11673" s="2" t="s">
        <v>46685</v>
      </c>
      <c r="C11673" s="2" t="s">
        <v>46686</v>
      </c>
      <c r="D11673" s="2" t="str">
        <f>"7048275798"</f>
        <v>7048275798</v>
      </c>
      <c r="E11673" s="2" t="s">
        <v>908</v>
      </c>
      <c r="F11673" s="2" t="s">
        <v>46687</v>
      </c>
      <c r="G11673" s="2" t="str">
        <f>"SR-16283"</f>
        <v>SR-16283</v>
      </c>
      <c r="H11673" s="2" t="s">
        <v>46688</v>
      </c>
      <c r="I11673" s="2" t="s">
        <v>46689</v>
      </c>
      <c r="K11673" s="2" t="s">
        <v>46690</v>
      </c>
      <c r="L11673" s="2" t="s">
        <v>20</v>
      </c>
      <c r="M11673" s="2">
        <v>28120.0</v>
      </c>
      <c r="N11673" s="2" t="s">
        <v>21</v>
      </c>
    </row>
    <row r="11674" ht="15.75" customHeight="1">
      <c r="A11674" s="2">
        <v>2019.0</v>
      </c>
      <c r="B11674" s="2" t="s">
        <v>46691</v>
      </c>
      <c r="C11674" s="2" t="s">
        <v>46692</v>
      </c>
      <c r="D11674" s="2" t="str">
        <f>"2096045034"</f>
        <v>2096045034</v>
      </c>
      <c r="E11674" s="2" t="s">
        <v>46693</v>
      </c>
      <c r="F11674" s="2" t="s">
        <v>46694</v>
      </c>
      <c r="G11674" s="2" t="str">
        <f>"SR-16378"</f>
        <v>SR-16378</v>
      </c>
      <c r="H11674" s="2" t="s">
        <v>46695</v>
      </c>
      <c r="I11674" s="2" t="s">
        <v>46696</v>
      </c>
      <c r="K11674" s="2" t="s">
        <v>38460</v>
      </c>
      <c r="L11674" s="2" t="s">
        <v>222</v>
      </c>
      <c r="M11674" s="2">
        <v>95361.0</v>
      </c>
      <c r="N11674" s="2" t="s">
        <v>21</v>
      </c>
    </row>
    <row r="11675" ht="15.75" customHeight="1">
      <c r="A11675" s="2">
        <v>2019.0</v>
      </c>
      <c r="B11675" s="2" t="s">
        <v>46697</v>
      </c>
      <c r="C11675" s="2" t="s">
        <v>46698</v>
      </c>
      <c r="D11675" s="2" t="str">
        <f>"(209) 938-9874"</f>
        <v>(209) 938-9874</v>
      </c>
      <c r="E11675" s="2" t="s">
        <v>19393</v>
      </c>
      <c r="F11675" s="2" t="s">
        <v>46699</v>
      </c>
      <c r="G11675" s="2" t="str">
        <f>"SR-16370"</f>
        <v>SR-16370</v>
      </c>
      <c r="H11675" s="2" t="s">
        <v>46700</v>
      </c>
      <c r="I11675" s="2" t="s">
        <v>46701</v>
      </c>
      <c r="K11675" s="2" t="s">
        <v>35668</v>
      </c>
      <c r="L11675" s="2" t="s">
        <v>222</v>
      </c>
      <c r="M11675" s="2">
        <v>95203.0</v>
      </c>
      <c r="N11675" s="2" t="s">
        <v>21</v>
      </c>
    </row>
    <row r="11676" ht="15.75" customHeight="1">
      <c r="A11676" s="2">
        <v>2019.0</v>
      </c>
      <c r="B11676" s="2" t="s">
        <v>46702</v>
      </c>
      <c r="C11676" s="2" t="s">
        <v>46702</v>
      </c>
      <c r="D11676" s="2" t="str">
        <f>"2708602584"</f>
        <v>2708602584</v>
      </c>
      <c r="E11676" s="2" t="s">
        <v>46703</v>
      </c>
      <c r="F11676" s="2" t="s">
        <v>18891</v>
      </c>
      <c r="G11676" s="2" t="str">
        <f>"SR-16219"</f>
        <v>SR-16219</v>
      </c>
      <c r="H11676" s="2" t="s">
        <v>46704</v>
      </c>
      <c r="I11676" s="2" t="s">
        <v>46705</v>
      </c>
      <c r="J11676" s="2" t="s">
        <v>46706</v>
      </c>
      <c r="K11676" s="2" t="s">
        <v>309</v>
      </c>
      <c r="L11676" s="2" t="s">
        <v>1236</v>
      </c>
      <c r="M11676" s="2">
        <v>42420.0</v>
      </c>
      <c r="N11676" s="2" t="s">
        <v>21</v>
      </c>
    </row>
    <row r="11677" ht="15.75" customHeight="1">
      <c r="A11677" s="2">
        <v>2019.0</v>
      </c>
      <c r="B11677" s="2" t="s">
        <v>46707</v>
      </c>
      <c r="C11677" s="2" t="s">
        <v>46708</v>
      </c>
      <c r="D11677" s="2" t="str">
        <f>"9199716734"</f>
        <v>9199716734</v>
      </c>
      <c r="E11677" s="2" t="s">
        <v>1263</v>
      </c>
      <c r="F11677" s="2" t="s">
        <v>12419</v>
      </c>
      <c r="G11677" s="2" t="str">
        <f>"SR-16078"</f>
        <v>SR-16078</v>
      </c>
      <c r="H11677" s="2" t="s">
        <v>46709</v>
      </c>
      <c r="I11677" s="2" t="s">
        <v>46710</v>
      </c>
      <c r="K11677" s="2" t="s">
        <v>31655</v>
      </c>
      <c r="L11677" s="2" t="s">
        <v>200</v>
      </c>
      <c r="M11677" s="2">
        <v>30021.0</v>
      </c>
      <c r="N11677" s="2" t="s">
        <v>21</v>
      </c>
    </row>
    <row r="11678" ht="15.75" customHeight="1">
      <c r="A11678" s="2">
        <v>2019.0</v>
      </c>
      <c r="B11678" s="2" t="s">
        <v>46711</v>
      </c>
      <c r="C11678" s="2" t="s">
        <v>46712</v>
      </c>
      <c r="D11678" s="2" t="str">
        <f>"7574384843"</f>
        <v>7574384843</v>
      </c>
      <c r="E11678" s="2" t="s">
        <v>1440</v>
      </c>
      <c r="F11678" s="2" t="s">
        <v>1095</v>
      </c>
      <c r="G11678" s="2" t="str">
        <f>"SR-16326"</f>
        <v>SR-16326</v>
      </c>
      <c r="H11678" s="2" t="s">
        <v>46713</v>
      </c>
      <c r="I11678" s="2" t="s">
        <v>46714</v>
      </c>
      <c r="K11678" s="2" t="s">
        <v>9576</v>
      </c>
      <c r="L11678" s="2" t="s">
        <v>165</v>
      </c>
      <c r="M11678" s="2">
        <v>23322.0</v>
      </c>
      <c r="N11678" s="2" t="s">
        <v>21</v>
      </c>
    </row>
    <row r="11679" ht="15.75" customHeight="1">
      <c r="A11679" s="2">
        <v>2019.0</v>
      </c>
      <c r="B11679" s="2" t="s">
        <v>46715</v>
      </c>
      <c r="C11679" s="2" t="s">
        <v>46715</v>
      </c>
      <c r="D11679" s="2" t="str">
        <f>"(260)710-3532"</f>
        <v>(260)710-3532</v>
      </c>
      <c r="E11679" s="2" t="s">
        <v>15993</v>
      </c>
      <c r="F11679" s="2" t="s">
        <v>46716</v>
      </c>
      <c r="G11679" s="2" t="str">
        <f>"SR-16245"</f>
        <v>SR-16245</v>
      </c>
      <c r="H11679" s="2" t="s">
        <v>46717</v>
      </c>
      <c r="I11679" s="2" t="s">
        <v>46718</v>
      </c>
      <c r="K11679" s="2" t="s">
        <v>4298</v>
      </c>
      <c r="L11679" s="2" t="s">
        <v>149</v>
      </c>
      <c r="M11679" s="2">
        <v>46804.0</v>
      </c>
      <c r="N11679" s="2" t="s">
        <v>21</v>
      </c>
    </row>
    <row r="11680" ht="15.75" customHeight="1">
      <c r="A11680" s="2">
        <v>2019.0</v>
      </c>
      <c r="B11680" s="2" t="s">
        <v>46719</v>
      </c>
      <c r="C11680" s="2" t="s">
        <v>46719</v>
      </c>
      <c r="D11680" s="2" t="str">
        <f>"3143992876"</f>
        <v>3143992876</v>
      </c>
      <c r="E11680" s="2" t="s">
        <v>17798</v>
      </c>
      <c r="F11680" s="2" t="s">
        <v>46720</v>
      </c>
      <c r="G11680" s="2" t="str">
        <f>"SR-16385"</f>
        <v>SR-16385</v>
      </c>
      <c r="H11680" s="2" t="s">
        <v>46721</v>
      </c>
      <c r="I11680" s="2" t="s">
        <v>46722</v>
      </c>
      <c r="K11680" s="2" t="s">
        <v>46723</v>
      </c>
      <c r="L11680" s="2" t="s">
        <v>214</v>
      </c>
      <c r="M11680" s="2">
        <v>63131.0</v>
      </c>
      <c r="N11680" s="2" t="s">
        <v>21</v>
      </c>
    </row>
    <row r="11681" ht="15.75" customHeight="1">
      <c r="A11681" s="2">
        <v>2019.0</v>
      </c>
      <c r="B11681" s="2" t="s">
        <v>24411</v>
      </c>
      <c r="C11681" s="2" t="s">
        <v>46724</v>
      </c>
      <c r="D11681" s="2" t="str">
        <f>"9317973396"</f>
        <v>9317973396</v>
      </c>
      <c r="E11681" s="2" t="s">
        <v>250</v>
      </c>
      <c r="F11681" s="2" t="s">
        <v>386</v>
      </c>
      <c r="G11681" s="2" t="str">
        <f>"SR-16387"</f>
        <v>SR-16387</v>
      </c>
      <c r="H11681" s="2" t="s">
        <v>46725</v>
      </c>
      <c r="I11681" s="2" t="s">
        <v>46726</v>
      </c>
      <c r="K11681" s="2" t="s">
        <v>24415</v>
      </c>
      <c r="L11681" s="2" t="s">
        <v>279</v>
      </c>
      <c r="M11681" s="2">
        <v>38451.0</v>
      </c>
      <c r="N11681" s="2" t="s">
        <v>21</v>
      </c>
    </row>
    <row r="11682" ht="15.75" customHeight="1">
      <c r="A11682" s="2">
        <v>2019.0</v>
      </c>
      <c r="B11682" s="2" t="s">
        <v>46727</v>
      </c>
      <c r="C11682" s="2" t="s">
        <v>42984</v>
      </c>
      <c r="D11682" s="2" t="str">
        <f>"+1 972 235-0940‚Ä¨"</f>
        <v>+1 972 235-0940‚Ä¨</v>
      </c>
      <c r="E11682" s="2" t="s">
        <v>485</v>
      </c>
      <c r="F11682" s="2" t="s">
        <v>42985</v>
      </c>
      <c r="G11682" s="2" t="str">
        <f>"SR-15182"</f>
        <v>SR-15182</v>
      </c>
      <c r="H11682" s="2" t="s">
        <v>42986</v>
      </c>
      <c r="I11682" s="2" t="s">
        <v>46728</v>
      </c>
      <c r="K11682" s="2" t="s">
        <v>3576</v>
      </c>
      <c r="L11682" s="2" t="s">
        <v>172</v>
      </c>
      <c r="M11682" s="2">
        <v>75081.0</v>
      </c>
      <c r="N11682" s="2" t="s">
        <v>21</v>
      </c>
    </row>
    <row r="11683" ht="15.75" customHeight="1">
      <c r="A11683" s="2">
        <v>2019.0</v>
      </c>
      <c r="B11683" s="2" t="s">
        <v>31650</v>
      </c>
      <c r="C11683" s="2" t="s">
        <v>31650</v>
      </c>
      <c r="D11683" s="2" t="str">
        <f>"(520) 612-9324"</f>
        <v>(520) 612-9324</v>
      </c>
      <c r="E11683" s="2" t="s">
        <v>4071</v>
      </c>
      <c r="F11683" s="2" t="s">
        <v>31646</v>
      </c>
      <c r="G11683" s="2" t="str">
        <f>"SR-16391"</f>
        <v>SR-16391</v>
      </c>
      <c r="H11683" s="2" t="s">
        <v>31651</v>
      </c>
      <c r="I11683" s="2" t="s">
        <v>46729</v>
      </c>
      <c r="K11683" s="2" t="s">
        <v>31649</v>
      </c>
      <c r="L11683" s="2" t="s">
        <v>422</v>
      </c>
      <c r="M11683" s="2">
        <v>85629.0</v>
      </c>
      <c r="N11683" s="2" t="s">
        <v>21</v>
      </c>
    </row>
    <row r="11684" ht="15.75" customHeight="1">
      <c r="A11684" s="2">
        <v>2019.0</v>
      </c>
      <c r="B11684" s="2" t="s">
        <v>46730</v>
      </c>
      <c r="C11684" s="2" t="s">
        <v>46730</v>
      </c>
      <c r="D11684" s="2" t="str">
        <f>"2172733200"</f>
        <v>2172733200</v>
      </c>
      <c r="E11684" s="2" t="s">
        <v>2452</v>
      </c>
      <c r="F11684" s="2" t="s">
        <v>89</v>
      </c>
      <c r="G11684" s="2" t="str">
        <f>"SR-16316"</f>
        <v>SR-16316</v>
      </c>
      <c r="H11684" s="2" t="s">
        <v>46731</v>
      </c>
      <c r="I11684" s="2" t="s">
        <v>46732</v>
      </c>
      <c r="K11684" s="2" t="s">
        <v>42374</v>
      </c>
      <c r="L11684" s="2" t="s">
        <v>105</v>
      </c>
      <c r="M11684" s="2">
        <v>61931.0</v>
      </c>
      <c r="N11684" s="2" t="s">
        <v>21</v>
      </c>
    </row>
    <row r="11685" ht="15.75" customHeight="1">
      <c r="A11685" s="2">
        <v>2019.0</v>
      </c>
      <c r="B11685" s="2" t="s">
        <v>46733</v>
      </c>
      <c r="C11685" s="2" t="s">
        <v>46733</v>
      </c>
      <c r="D11685" s="2" t="str">
        <f>"4238861817"</f>
        <v>4238861817</v>
      </c>
      <c r="E11685" s="2" t="s">
        <v>908</v>
      </c>
      <c r="F11685" s="2" t="s">
        <v>46734</v>
      </c>
      <c r="G11685" s="2" t="str">
        <f>"SR-16382"</f>
        <v>SR-16382</v>
      </c>
      <c r="H11685" s="2" t="s">
        <v>46735</v>
      </c>
      <c r="I11685" s="2" t="s">
        <v>46736</v>
      </c>
      <c r="K11685" s="2" t="s">
        <v>5671</v>
      </c>
      <c r="L11685" s="2" t="s">
        <v>279</v>
      </c>
      <c r="M11685" s="2">
        <v>37377.0</v>
      </c>
      <c r="N11685" s="2" t="s">
        <v>21</v>
      </c>
    </row>
    <row r="11686" ht="15.75" customHeight="1">
      <c r="A11686" s="2">
        <v>2019.0</v>
      </c>
      <c r="B11686" s="2" t="s">
        <v>46331</v>
      </c>
      <c r="C11686" s="2" t="s">
        <v>46737</v>
      </c>
      <c r="D11686" s="2" t="str">
        <f>"720-755-7152"</f>
        <v>720-755-7152</v>
      </c>
      <c r="E11686" s="2" t="s">
        <v>385</v>
      </c>
      <c r="F11686" s="2" t="s">
        <v>46333</v>
      </c>
      <c r="G11686" s="2" t="str">
        <f>"SR-16156"</f>
        <v>SR-16156</v>
      </c>
      <c r="H11686" s="2" t="s">
        <v>46738</v>
      </c>
      <c r="I11686" s="2" t="s">
        <v>46739</v>
      </c>
      <c r="K11686" s="2" t="s">
        <v>992</v>
      </c>
      <c r="L11686" s="2" t="s">
        <v>157</v>
      </c>
      <c r="M11686" s="2">
        <v>80015.0</v>
      </c>
      <c r="N11686" s="2" t="s">
        <v>21</v>
      </c>
    </row>
    <row r="11687" ht="15.75" customHeight="1">
      <c r="A11687" s="2">
        <v>2019.0</v>
      </c>
      <c r="B11687" s="2" t="s">
        <v>46740</v>
      </c>
      <c r="C11687" s="2" t="s">
        <v>46740</v>
      </c>
      <c r="D11687" s="2" t="str">
        <f>"3252484823"</f>
        <v>3252484823</v>
      </c>
      <c r="E11687" s="2" t="s">
        <v>46741</v>
      </c>
      <c r="F11687" s="2" t="s">
        <v>2738</v>
      </c>
      <c r="G11687" s="2" t="str">
        <f>"SR-16407"</f>
        <v>SR-16407</v>
      </c>
      <c r="H11687" s="2" t="s">
        <v>46742</v>
      </c>
      <c r="I11687" s="2" t="s">
        <v>46743</v>
      </c>
      <c r="K11687" s="2" t="s">
        <v>38030</v>
      </c>
      <c r="L11687" s="2" t="s">
        <v>172</v>
      </c>
      <c r="M11687" s="2">
        <v>78643.0</v>
      </c>
      <c r="N11687" s="2" t="s">
        <v>21</v>
      </c>
    </row>
    <row r="11688" ht="15.75" customHeight="1">
      <c r="A11688" s="2">
        <v>2019.0</v>
      </c>
      <c r="B11688" s="2" t="s">
        <v>46744</v>
      </c>
      <c r="C11688" s="2" t="s">
        <v>46745</v>
      </c>
      <c r="D11688" s="2" t="str">
        <f>"503405084"</f>
        <v>503405084</v>
      </c>
      <c r="E11688" s="2" t="s">
        <v>46746</v>
      </c>
      <c r="F11688" s="2" t="s">
        <v>46747</v>
      </c>
      <c r="G11688" s="2" t="str">
        <f>"SR-16411"</f>
        <v>SR-16411</v>
      </c>
      <c r="H11688" s="2" t="s">
        <v>46748</v>
      </c>
      <c r="I11688" s="2" t="s">
        <v>46749</v>
      </c>
      <c r="K11688" s="2" t="s">
        <v>5131</v>
      </c>
      <c r="L11688" s="2" t="s">
        <v>2389</v>
      </c>
      <c r="M11688" s="2">
        <v>97302.0</v>
      </c>
      <c r="N11688" s="2" t="s">
        <v>21</v>
      </c>
    </row>
    <row r="11689" ht="15.75" customHeight="1">
      <c r="A11689" s="2">
        <v>2019.0</v>
      </c>
      <c r="B11689" s="2" t="s">
        <v>46750</v>
      </c>
      <c r="C11689" s="2" t="s">
        <v>46751</v>
      </c>
      <c r="D11689" s="2" t="str">
        <f>"719-639-5299"</f>
        <v>719-639-5299</v>
      </c>
      <c r="E11689" s="2" t="s">
        <v>521</v>
      </c>
      <c r="F11689" s="2" t="s">
        <v>46752</v>
      </c>
      <c r="G11689" s="2" t="str">
        <f>"SR-13757"</f>
        <v>SR-13757</v>
      </c>
      <c r="H11689" s="2" t="s">
        <v>46753</v>
      </c>
      <c r="I11689" s="2" t="s">
        <v>46754</v>
      </c>
      <c r="K11689" s="2" t="s">
        <v>809</v>
      </c>
      <c r="L11689" s="2" t="s">
        <v>157</v>
      </c>
      <c r="M11689" s="2">
        <v>80920.0</v>
      </c>
      <c r="N11689" s="2" t="s">
        <v>21</v>
      </c>
    </row>
    <row r="11690" ht="15.75" customHeight="1">
      <c r="A11690" s="2">
        <v>2019.0</v>
      </c>
      <c r="B11690" s="2" t="s">
        <v>46755</v>
      </c>
      <c r="C11690" s="2" t="s">
        <v>46755</v>
      </c>
      <c r="D11690" s="2" t="str">
        <f>"4322884944"</f>
        <v>4322884944</v>
      </c>
      <c r="E11690" s="2" t="s">
        <v>2162</v>
      </c>
      <c r="F11690" s="2" t="s">
        <v>32067</v>
      </c>
      <c r="G11690" s="2" t="str">
        <f>"SR-16396"</f>
        <v>SR-16396</v>
      </c>
      <c r="H11690" s="2" t="s">
        <v>46756</v>
      </c>
      <c r="I11690" s="2" t="s">
        <v>46757</v>
      </c>
      <c r="K11690" s="2" t="s">
        <v>1583</v>
      </c>
      <c r="L11690" s="2" t="s">
        <v>172</v>
      </c>
      <c r="M11690" s="2">
        <v>79739.0</v>
      </c>
      <c r="N11690" s="2" t="s">
        <v>21</v>
      </c>
    </row>
    <row r="11691" ht="15.75" customHeight="1">
      <c r="A11691" s="2">
        <v>2019.0</v>
      </c>
      <c r="B11691" s="2" t="s">
        <v>27880</v>
      </c>
      <c r="C11691" s="2" t="s">
        <v>46758</v>
      </c>
      <c r="D11691" s="2" t="str">
        <f>"3019047728"</f>
        <v>3019047728</v>
      </c>
      <c r="E11691" s="2" t="s">
        <v>1548</v>
      </c>
      <c r="F11691" s="2" t="s">
        <v>27882</v>
      </c>
      <c r="G11691" s="2" t="str">
        <f>"SR-16412"</f>
        <v>SR-16412</v>
      </c>
      <c r="H11691" s="2" t="s">
        <v>46759</v>
      </c>
      <c r="I11691" s="2" t="s">
        <v>46760</v>
      </c>
      <c r="K11691" s="2" t="s">
        <v>27885</v>
      </c>
      <c r="L11691" s="2" t="s">
        <v>1868</v>
      </c>
      <c r="M11691" s="2">
        <v>20650.0</v>
      </c>
      <c r="N11691" s="2" t="s">
        <v>21</v>
      </c>
    </row>
    <row r="11692" ht="15.75" customHeight="1">
      <c r="A11692" s="2">
        <v>2019.0</v>
      </c>
      <c r="B11692" s="2" t="s">
        <v>46761</v>
      </c>
      <c r="C11692" s="2" t="s">
        <v>46762</v>
      </c>
      <c r="D11692" s="2" t="str">
        <f>"616-9145488"</f>
        <v>616-9145488</v>
      </c>
      <c r="E11692" s="2" t="s">
        <v>580</v>
      </c>
      <c r="F11692" s="2" t="s">
        <v>5315</v>
      </c>
      <c r="G11692" s="2" t="str">
        <f>"SR-16290"</f>
        <v>SR-16290</v>
      </c>
      <c r="H11692" s="2" t="s">
        <v>46763</v>
      </c>
      <c r="I11692" s="2" t="s">
        <v>46764</v>
      </c>
      <c r="K11692" s="2" t="s">
        <v>16428</v>
      </c>
      <c r="L11692" s="2" t="s">
        <v>29</v>
      </c>
      <c r="M11692" s="2">
        <v>49426.0</v>
      </c>
      <c r="N11692" s="2" t="s">
        <v>21</v>
      </c>
    </row>
    <row r="11693" ht="15.75" customHeight="1">
      <c r="A11693" s="2">
        <v>2019.0</v>
      </c>
      <c r="B11693" s="2" t="s">
        <v>46761</v>
      </c>
      <c r="C11693" s="2" t="s">
        <v>46765</v>
      </c>
      <c r="D11693" s="2" t="str">
        <f>"6163403235"</f>
        <v>6163403235</v>
      </c>
      <c r="E11693" s="2" t="s">
        <v>862</v>
      </c>
      <c r="F11693" s="2" t="s">
        <v>5315</v>
      </c>
      <c r="G11693" s="2" t="str">
        <f>"SR-16413"</f>
        <v>SR-16413</v>
      </c>
      <c r="H11693" s="2" t="s">
        <v>46766</v>
      </c>
      <c r="I11693" s="2" t="s">
        <v>46767</v>
      </c>
      <c r="K11693" s="2" t="s">
        <v>16428</v>
      </c>
      <c r="L11693" s="2" t="s">
        <v>29</v>
      </c>
      <c r="M11693" s="2">
        <v>49426.0</v>
      </c>
      <c r="N11693" s="2" t="s">
        <v>21</v>
      </c>
    </row>
    <row r="11694" ht="15.75" customHeight="1">
      <c r="A11694" s="2">
        <v>2019.0</v>
      </c>
      <c r="B11694" s="2" t="s">
        <v>46768</v>
      </c>
      <c r="C11694" s="2" t="s">
        <v>46769</v>
      </c>
      <c r="D11694" s="2" t="str">
        <f>"813-422-3146"</f>
        <v>813-422-3146</v>
      </c>
      <c r="E11694" s="2" t="s">
        <v>2296</v>
      </c>
      <c r="F11694" s="2" t="s">
        <v>353</v>
      </c>
      <c r="G11694" s="2" t="str">
        <f>"SR-16414"</f>
        <v>SR-16414</v>
      </c>
      <c r="H11694" s="2" t="s">
        <v>46770</v>
      </c>
      <c r="I11694" s="2" t="s">
        <v>46771</v>
      </c>
      <c r="K11694" s="2" t="s">
        <v>46772</v>
      </c>
      <c r="L11694" s="2" t="s">
        <v>208</v>
      </c>
      <c r="M11694" s="2">
        <v>33572.0</v>
      </c>
      <c r="N11694" s="2" t="s">
        <v>21</v>
      </c>
    </row>
    <row r="11695" ht="15.75" customHeight="1">
      <c r="A11695" s="2">
        <v>2019.0</v>
      </c>
      <c r="B11695" s="2" t="s">
        <v>43029</v>
      </c>
      <c r="C11695" s="2" t="s">
        <v>46773</v>
      </c>
      <c r="D11695" s="2" t="str">
        <f>"417-680-4058"</f>
        <v>417-680-4058</v>
      </c>
      <c r="E11695" s="2" t="s">
        <v>572</v>
      </c>
      <c r="F11695" s="2" t="s">
        <v>645</v>
      </c>
      <c r="G11695" s="2" t="str">
        <f>"SR-16403"</f>
        <v>SR-16403</v>
      </c>
      <c r="H11695" s="2" t="s">
        <v>46774</v>
      </c>
      <c r="I11695" s="2" t="s">
        <v>43031</v>
      </c>
      <c r="K11695" s="2" t="s">
        <v>36080</v>
      </c>
      <c r="L11695" s="2" t="s">
        <v>840</v>
      </c>
      <c r="M11695" s="2">
        <v>74363.0</v>
      </c>
      <c r="N11695" s="2" t="s">
        <v>21</v>
      </c>
    </row>
    <row r="11696" ht="15.75" customHeight="1">
      <c r="A11696" s="2">
        <v>2019.0</v>
      </c>
      <c r="B11696" s="2" t="s">
        <v>46775</v>
      </c>
      <c r="C11696" s="2" t="s">
        <v>46776</v>
      </c>
      <c r="D11696" s="2" t="str">
        <f>"404-790-0982"</f>
        <v>404-790-0982</v>
      </c>
      <c r="E11696" s="2" t="s">
        <v>14532</v>
      </c>
      <c r="F11696" s="2" t="s">
        <v>5632</v>
      </c>
      <c r="G11696" s="2" t="str">
        <f>"SR-16397"</f>
        <v>SR-16397</v>
      </c>
      <c r="H11696" s="2" t="s">
        <v>46777</v>
      </c>
      <c r="I11696" s="2" t="s">
        <v>46778</v>
      </c>
      <c r="K11696" s="2" t="s">
        <v>1862</v>
      </c>
      <c r="L11696" s="2" t="s">
        <v>157</v>
      </c>
      <c r="M11696" s="2">
        <v>80919.0</v>
      </c>
      <c r="N11696" s="2" t="s">
        <v>21</v>
      </c>
    </row>
    <row r="11697" ht="15.75" customHeight="1">
      <c r="A11697" s="2">
        <v>2019.0</v>
      </c>
      <c r="B11697" s="2" t="s">
        <v>46779</v>
      </c>
      <c r="C11697" s="2" t="s">
        <v>46780</v>
      </c>
      <c r="D11697" s="2" t="str">
        <f>"858-997-9166"</f>
        <v>858-997-9166</v>
      </c>
      <c r="E11697" s="2" t="s">
        <v>3434</v>
      </c>
      <c r="F11697" s="2" t="s">
        <v>46781</v>
      </c>
      <c r="G11697" s="2" t="str">
        <f>"SR-16415"</f>
        <v>SR-16415</v>
      </c>
      <c r="H11697" s="2" t="s">
        <v>46782</v>
      </c>
      <c r="I11697" s="2" t="s">
        <v>46783</v>
      </c>
      <c r="K11697" s="2" t="s">
        <v>46784</v>
      </c>
      <c r="L11697" s="2" t="s">
        <v>222</v>
      </c>
      <c r="M11697" s="2">
        <v>92064.0</v>
      </c>
      <c r="N11697" s="2" t="s">
        <v>21</v>
      </c>
    </row>
    <row r="11698" ht="15.75" customHeight="1">
      <c r="A11698" s="2">
        <v>2019.0</v>
      </c>
      <c r="B11698" s="2" t="s">
        <v>46779</v>
      </c>
      <c r="D11698" s="2" t="str">
        <f>""</f>
        <v/>
      </c>
      <c r="E11698" s="2" t="s">
        <v>1799</v>
      </c>
      <c r="F11698" s="2" t="s">
        <v>46781</v>
      </c>
      <c r="G11698" s="2" t="str">
        <f>"SR-16416"</f>
        <v>SR-16416</v>
      </c>
      <c r="H11698" s="2" t="s">
        <v>46785</v>
      </c>
      <c r="N11698" s="2" t="s">
        <v>21</v>
      </c>
    </row>
    <row r="11699" ht="15.75" customHeight="1">
      <c r="A11699" s="2">
        <v>2019.0</v>
      </c>
      <c r="B11699" s="2" t="s">
        <v>46786</v>
      </c>
      <c r="C11699" s="2" t="s">
        <v>46787</v>
      </c>
      <c r="D11699" s="2" t="str">
        <f>"2142505312"</f>
        <v>2142505312</v>
      </c>
      <c r="E11699" s="2" t="s">
        <v>873</v>
      </c>
      <c r="F11699" s="2" t="s">
        <v>20210</v>
      </c>
      <c r="G11699" s="2" t="str">
        <f>"SR-16417"</f>
        <v>SR-16417</v>
      </c>
      <c r="H11699" s="2" t="s">
        <v>46788</v>
      </c>
      <c r="I11699" s="2" t="s">
        <v>46789</v>
      </c>
      <c r="K11699" s="2" t="s">
        <v>11763</v>
      </c>
      <c r="L11699" s="2" t="s">
        <v>172</v>
      </c>
      <c r="M11699" s="2">
        <v>75161.0</v>
      </c>
      <c r="N11699" s="2" t="s">
        <v>21</v>
      </c>
    </row>
    <row r="11700" ht="15.75" customHeight="1">
      <c r="A11700" s="2">
        <v>2019.0</v>
      </c>
      <c r="B11700" s="2" t="s">
        <v>46786</v>
      </c>
      <c r="C11700" s="2" t="s">
        <v>46790</v>
      </c>
      <c r="D11700" s="2" t="str">
        <f>"9729536523"</f>
        <v>9729536523</v>
      </c>
      <c r="E11700" s="2" t="s">
        <v>580</v>
      </c>
      <c r="F11700" s="2" t="s">
        <v>20210</v>
      </c>
      <c r="G11700" s="2" t="str">
        <f>"SR-16419"</f>
        <v>SR-16419</v>
      </c>
      <c r="H11700" s="2" t="s">
        <v>46791</v>
      </c>
      <c r="I11700" s="2" t="s">
        <v>46789</v>
      </c>
      <c r="K11700" s="2" t="s">
        <v>11763</v>
      </c>
      <c r="L11700" s="2" t="s">
        <v>172</v>
      </c>
      <c r="M11700" s="2">
        <v>75161.0</v>
      </c>
      <c r="N11700" s="2" t="s">
        <v>21</v>
      </c>
    </row>
    <row r="11701" ht="15.75" customHeight="1">
      <c r="A11701" s="2">
        <v>2019.0</v>
      </c>
      <c r="B11701" s="2" t="s">
        <v>46792</v>
      </c>
      <c r="C11701" s="2" t="s">
        <v>46792</v>
      </c>
      <c r="D11701" s="2" t="str">
        <f>"6052809511"</f>
        <v>6052809511</v>
      </c>
      <c r="E11701" s="2" t="s">
        <v>26136</v>
      </c>
      <c r="F11701" s="2" t="s">
        <v>46793</v>
      </c>
      <c r="G11701" s="2" t="str">
        <f>"SR-16341"</f>
        <v>SR-16341</v>
      </c>
      <c r="H11701" s="2" t="s">
        <v>46794</v>
      </c>
      <c r="I11701" s="2" t="s">
        <v>46795</v>
      </c>
      <c r="K11701" s="2" t="s">
        <v>4355</v>
      </c>
      <c r="L11701" s="2" t="s">
        <v>920</v>
      </c>
      <c r="M11701" s="2">
        <v>57501.0</v>
      </c>
      <c r="N11701" s="2" t="s">
        <v>21</v>
      </c>
    </row>
    <row r="11702" ht="15.75" customHeight="1">
      <c r="A11702" s="2">
        <v>2019.0</v>
      </c>
      <c r="B11702" s="2" t="s">
        <v>46796</v>
      </c>
      <c r="C11702" s="2" t="s">
        <v>46796</v>
      </c>
      <c r="D11702" s="2" t="str">
        <f>"13602015805"</f>
        <v>13602015805</v>
      </c>
      <c r="E11702" s="2" t="s">
        <v>1263</v>
      </c>
      <c r="F11702" s="2" t="s">
        <v>2841</v>
      </c>
      <c r="G11702" s="2" t="str">
        <f>"SR-16421"</f>
        <v>SR-16421</v>
      </c>
      <c r="H11702" s="2" t="s">
        <v>46797</v>
      </c>
      <c r="I11702" s="2" t="s">
        <v>46798</v>
      </c>
      <c r="K11702" s="2" t="s">
        <v>32279</v>
      </c>
      <c r="L11702" s="2" t="s">
        <v>86</v>
      </c>
      <c r="M11702" s="2">
        <v>98226.0</v>
      </c>
      <c r="N11702" s="2" t="s">
        <v>21</v>
      </c>
    </row>
    <row r="11703" ht="15.75" customHeight="1">
      <c r="A11703" s="2">
        <v>2019.0</v>
      </c>
      <c r="B11703" s="2" t="s">
        <v>46799</v>
      </c>
      <c r="C11703" s="2" t="s">
        <v>46800</v>
      </c>
      <c r="D11703" s="2" t="str">
        <f>"778-584-1748"</f>
        <v>778-584-1748</v>
      </c>
      <c r="E11703" s="2" t="s">
        <v>46801</v>
      </c>
      <c r="F11703" s="2" t="s">
        <v>46802</v>
      </c>
      <c r="G11703" s="2" t="str">
        <f>"SR-16399"</f>
        <v>SR-16399</v>
      </c>
      <c r="H11703" s="2" t="s">
        <v>46803</v>
      </c>
      <c r="I11703" s="2" t="s">
        <v>46804</v>
      </c>
      <c r="K11703" s="2" t="s">
        <v>46805</v>
      </c>
      <c r="M11703" s="2" t="s">
        <v>46806</v>
      </c>
      <c r="N11703" s="2" t="s">
        <v>1602</v>
      </c>
    </row>
    <row r="11704" ht="15.75" customHeight="1">
      <c r="A11704" s="2">
        <v>2019.0</v>
      </c>
      <c r="B11704" s="2" t="s">
        <v>46807</v>
      </c>
      <c r="C11704" s="2" t="s">
        <v>46807</v>
      </c>
      <c r="D11704" s="2" t="str">
        <f>"7205462442"</f>
        <v>7205462442</v>
      </c>
      <c r="E11704" s="2" t="s">
        <v>580</v>
      </c>
      <c r="F11704" s="2" t="s">
        <v>778</v>
      </c>
      <c r="G11704" s="2" t="str">
        <f>"SR-15454"</f>
        <v>SR-15454</v>
      </c>
      <c r="H11704" s="2" t="s">
        <v>46808</v>
      </c>
      <c r="I11704" s="2" t="s">
        <v>46809</v>
      </c>
      <c r="K11704" s="2" t="s">
        <v>6514</v>
      </c>
      <c r="L11704" s="2" t="s">
        <v>157</v>
      </c>
      <c r="M11704" s="2">
        <v>80232.0</v>
      </c>
      <c r="N11704" s="2" t="s">
        <v>21</v>
      </c>
    </row>
    <row r="11705" ht="15.75" customHeight="1">
      <c r="A11705" s="2">
        <v>2019.0</v>
      </c>
      <c r="B11705" s="2" t="s">
        <v>46810</v>
      </c>
      <c r="C11705" s="2" t="s">
        <v>46810</v>
      </c>
      <c r="D11705" s="2" t="str">
        <f>"5055828027"</f>
        <v>5055828027</v>
      </c>
      <c r="E11705" s="2" t="s">
        <v>282</v>
      </c>
      <c r="F11705" s="2" t="s">
        <v>3212</v>
      </c>
      <c r="G11705" s="2" t="str">
        <f>"SR-16426"</f>
        <v>SR-16426</v>
      </c>
      <c r="H11705" s="2" t="s">
        <v>46811</v>
      </c>
      <c r="I11705" s="2" t="s">
        <v>36107</v>
      </c>
      <c r="K11705" s="2" t="s">
        <v>1127</v>
      </c>
      <c r="L11705" s="2" t="s">
        <v>157</v>
      </c>
      <c r="M11705" s="2">
        <v>80814.0</v>
      </c>
      <c r="N11705" s="2" t="s">
        <v>21</v>
      </c>
    </row>
    <row r="11706" ht="15.75" customHeight="1">
      <c r="A11706" s="2">
        <v>2019.0</v>
      </c>
      <c r="B11706" s="2" t="s">
        <v>46812</v>
      </c>
      <c r="C11706" s="2" t="s">
        <v>46813</v>
      </c>
      <c r="D11706" s="2" t="str">
        <f>"8034607563"</f>
        <v>8034607563</v>
      </c>
      <c r="E11706" s="2" t="s">
        <v>16342</v>
      </c>
      <c r="F11706" s="2" t="s">
        <v>11388</v>
      </c>
      <c r="G11706" s="2" t="str">
        <f>"SR-16422"</f>
        <v>SR-16422</v>
      </c>
      <c r="H11706" s="2" t="s">
        <v>46814</v>
      </c>
      <c r="I11706" s="2" t="s">
        <v>46815</v>
      </c>
      <c r="K11706" s="2" t="s">
        <v>46816</v>
      </c>
      <c r="L11706" s="2" t="s">
        <v>55</v>
      </c>
      <c r="M11706" s="2">
        <v>29162.0</v>
      </c>
      <c r="N11706" s="2" t="s">
        <v>21</v>
      </c>
    </row>
    <row r="11707" ht="15.75" customHeight="1">
      <c r="A11707" s="2">
        <v>2019.0</v>
      </c>
      <c r="B11707" s="2" t="s">
        <v>46817</v>
      </c>
      <c r="C11707" s="2" t="s">
        <v>46817</v>
      </c>
      <c r="D11707" s="2" t="str">
        <f>"7143569705"</f>
        <v>7143569705</v>
      </c>
      <c r="E11707" s="2" t="s">
        <v>2355</v>
      </c>
      <c r="F11707" s="2" t="s">
        <v>46818</v>
      </c>
      <c r="G11707" s="2" t="str">
        <f>"SR-14354"</f>
        <v>SR-14354</v>
      </c>
      <c r="H11707" s="2" t="s">
        <v>46819</v>
      </c>
      <c r="I11707" s="2" t="s">
        <v>46820</v>
      </c>
      <c r="K11707" s="2" t="s">
        <v>4026</v>
      </c>
      <c r="L11707" s="2" t="s">
        <v>222</v>
      </c>
      <c r="M11707" s="2">
        <v>92804.0</v>
      </c>
      <c r="N11707" s="2" t="s">
        <v>21</v>
      </c>
    </row>
    <row r="11708" ht="15.75" customHeight="1">
      <c r="A11708" s="2">
        <v>2019.0</v>
      </c>
      <c r="B11708" s="2" t="s">
        <v>24331</v>
      </c>
      <c r="C11708" s="2" t="s">
        <v>46821</v>
      </c>
      <c r="D11708" s="2" t="str">
        <f>"9074064369"</f>
        <v>9074064369</v>
      </c>
      <c r="E11708" s="2" t="s">
        <v>4604</v>
      </c>
      <c r="F11708" s="2" t="s">
        <v>2429</v>
      </c>
      <c r="G11708" s="2" t="str">
        <f>"SR-16384"</f>
        <v>SR-16384</v>
      </c>
      <c r="H11708" s="2" t="s">
        <v>46822</v>
      </c>
      <c r="I11708" s="2" t="s">
        <v>24334</v>
      </c>
      <c r="K11708" s="2" t="s">
        <v>1729</v>
      </c>
      <c r="L11708" s="2" t="s">
        <v>70</v>
      </c>
      <c r="M11708" s="2">
        <v>99577.0</v>
      </c>
      <c r="N11708" s="2" t="s">
        <v>21</v>
      </c>
    </row>
    <row r="11709" ht="15.75" customHeight="1">
      <c r="A11709" s="2">
        <v>2019.0</v>
      </c>
      <c r="B11709" s="2" t="s">
        <v>38106</v>
      </c>
      <c r="C11709" s="2" t="s">
        <v>46823</v>
      </c>
      <c r="D11709" s="2" t="str">
        <f>"(720) 417-8830"</f>
        <v>(720) 417-8830</v>
      </c>
      <c r="E11709" s="2" t="s">
        <v>261</v>
      </c>
      <c r="F11709" s="2" t="s">
        <v>51</v>
      </c>
      <c r="G11709" s="2" t="str">
        <f>"SR-16429"</f>
        <v>SR-16429</v>
      </c>
      <c r="H11709" s="2" t="s">
        <v>46824</v>
      </c>
      <c r="I11709" s="2" t="s">
        <v>46825</v>
      </c>
      <c r="K11709" s="2" t="s">
        <v>1889</v>
      </c>
      <c r="L11709" s="2" t="s">
        <v>157</v>
      </c>
      <c r="M11709" s="2">
        <v>80127.0</v>
      </c>
      <c r="N11709" s="2" t="s">
        <v>21</v>
      </c>
    </row>
    <row r="11710" ht="15.75" customHeight="1">
      <c r="A11710" s="2">
        <v>2019.0</v>
      </c>
      <c r="B11710" s="2" t="s">
        <v>46826</v>
      </c>
      <c r="C11710" s="2" t="s">
        <v>46827</v>
      </c>
      <c r="D11710" s="2" t="str">
        <f>"5634228486"</f>
        <v>5634228486</v>
      </c>
      <c r="E11710" s="2" t="s">
        <v>46828</v>
      </c>
      <c r="F11710" s="2" t="s">
        <v>1870</v>
      </c>
      <c r="G11710" s="2" t="str">
        <f>"SR-16432"</f>
        <v>SR-16432</v>
      </c>
      <c r="H11710" s="2" t="s">
        <v>46829</v>
      </c>
      <c r="I11710" s="2" t="s">
        <v>46830</v>
      </c>
      <c r="K11710" s="2" t="s">
        <v>46831</v>
      </c>
      <c r="L11710" s="2" t="s">
        <v>560</v>
      </c>
      <c r="M11710" s="2">
        <v>52141.0</v>
      </c>
      <c r="N11710" s="2" t="s">
        <v>21</v>
      </c>
    </row>
    <row r="11711" ht="15.75" customHeight="1">
      <c r="A11711" s="2">
        <v>2019.0</v>
      </c>
      <c r="B11711" s="2" t="s">
        <v>46832</v>
      </c>
      <c r="C11711" s="2" t="s">
        <v>46833</v>
      </c>
      <c r="D11711" s="2" t="str">
        <f>"979-571-1024"</f>
        <v>979-571-1024</v>
      </c>
      <c r="E11711" s="2" t="s">
        <v>705</v>
      </c>
      <c r="F11711" s="2" t="s">
        <v>18405</v>
      </c>
      <c r="G11711" s="2" t="str">
        <f>"SR-16433"</f>
        <v>SR-16433</v>
      </c>
      <c r="H11711" s="2" t="s">
        <v>46834</v>
      </c>
      <c r="I11711" s="2" t="s">
        <v>46835</v>
      </c>
      <c r="K11711" s="2" t="s">
        <v>2969</v>
      </c>
      <c r="L11711" s="2" t="s">
        <v>172</v>
      </c>
      <c r="M11711" s="2">
        <v>77845.0</v>
      </c>
      <c r="N11711" s="2" t="s">
        <v>21</v>
      </c>
    </row>
    <row r="11712" ht="15.75" customHeight="1">
      <c r="A11712" s="2">
        <v>2019.0</v>
      </c>
      <c r="B11712" s="2" t="s">
        <v>46836</v>
      </c>
      <c r="C11712" s="2" t="s">
        <v>46837</v>
      </c>
      <c r="D11712" s="2" t="str">
        <f>"979-219-3472"</f>
        <v>979-219-3472</v>
      </c>
      <c r="E11712" s="2" t="s">
        <v>596</v>
      </c>
      <c r="F11712" s="2" t="s">
        <v>25196</v>
      </c>
      <c r="G11712" s="2" t="str">
        <f>"SR-16434"</f>
        <v>SR-16434</v>
      </c>
      <c r="H11712" s="2" t="s">
        <v>46838</v>
      </c>
      <c r="I11712" s="2" t="s">
        <v>25198</v>
      </c>
      <c r="K11712" s="2" t="s">
        <v>1190</v>
      </c>
      <c r="L11712" s="2" t="s">
        <v>172</v>
      </c>
      <c r="M11712" s="2">
        <v>77808.0</v>
      </c>
      <c r="N11712" s="2" t="s">
        <v>21</v>
      </c>
    </row>
    <row r="11713" ht="15.75" customHeight="1">
      <c r="A11713" s="2">
        <v>2019.0</v>
      </c>
      <c r="B11713" s="2" t="s">
        <v>46839</v>
      </c>
      <c r="C11713" s="2" t="s">
        <v>46839</v>
      </c>
      <c r="D11713" s="2" t="str">
        <f>"5202881172"</f>
        <v>5202881172</v>
      </c>
      <c r="E11713" s="2" t="s">
        <v>46840</v>
      </c>
      <c r="F11713" s="2" t="s">
        <v>46841</v>
      </c>
      <c r="G11713" s="2" t="str">
        <f>"SR-16406"</f>
        <v>SR-16406</v>
      </c>
      <c r="H11713" s="2" t="s">
        <v>46842</v>
      </c>
      <c r="I11713" s="2" t="s">
        <v>46843</v>
      </c>
      <c r="K11713" s="2" t="s">
        <v>42364</v>
      </c>
      <c r="L11713" s="2" t="s">
        <v>422</v>
      </c>
      <c r="M11713" s="2">
        <v>85711.0</v>
      </c>
      <c r="N11713" s="2" t="s">
        <v>21</v>
      </c>
    </row>
    <row r="11714" ht="15.75" customHeight="1">
      <c r="A11714" s="2">
        <v>2019.0</v>
      </c>
      <c r="B11714" s="2" t="s">
        <v>27795</v>
      </c>
      <c r="C11714" s="2" t="s">
        <v>46844</v>
      </c>
      <c r="D11714" s="2" t="str">
        <f>"626-771-6603"</f>
        <v>626-771-6603</v>
      </c>
      <c r="E11714" s="2" t="s">
        <v>1156</v>
      </c>
      <c r="F11714" s="2" t="s">
        <v>51</v>
      </c>
      <c r="G11714" s="2" t="str">
        <f>"SR-16404"</f>
        <v>SR-16404</v>
      </c>
      <c r="H11714" s="2" t="s">
        <v>46845</v>
      </c>
      <c r="I11714" s="2" t="s">
        <v>27798</v>
      </c>
      <c r="K11714" s="2" t="s">
        <v>7320</v>
      </c>
      <c r="L11714" s="2" t="s">
        <v>222</v>
      </c>
      <c r="M11714" s="2">
        <v>91740.0</v>
      </c>
      <c r="N11714" s="2" t="s">
        <v>21</v>
      </c>
    </row>
    <row r="11715" ht="15.75" customHeight="1">
      <c r="A11715" s="2">
        <v>2019.0</v>
      </c>
      <c r="B11715" s="2" t="s">
        <v>46846</v>
      </c>
      <c r="C11715" s="2" t="s">
        <v>46847</v>
      </c>
      <c r="D11715" s="2" t="str">
        <f>"2148868341"</f>
        <v>2148868341</v>
      </c>
      <c r="E11715" s="2" t="s">
        <v>6121</v>
      </c>
      <c r="F11715" s="2" t="s">
        <v>46848</v>
      </c>
      <c r="G11715" s="2" t="str">
        <f>"SR-16400"</f>
        <v>SR-16400</v>
      </c>
      <c r="H11715" s="2" t="s">
        <v>46849</v>
      </c>
      <c r="I11715" s="2" t="s">
        <v>46850</v>
      </c>
      <c r="K11715" s="2" t="s">
        <v>46851</v>
      </c>
      <c r="L11715" s="2" t="s">
        <v>172</v>
      </c>
      <c r="M11715" s="2">
        <v>76051.0</v>
      </c>
      <c r="N11715" s="2" t="s">
        <v>21</v>
      </c>
    </row>
    <row r="11716" ht="15.75" customHeight="1">
      <c r="A11716" s="2">
        <v>2019.0</v>
      </c>
      <c r="B11716" s="2" t="s">
        <v>25107</v>
      </c>
      <c r="C11716" s="2" t="s">
        <v>25107</v>
      </c>
      <c r="D11716" s="2" t="str">
        <f>"6202182682"</f>
        <v>6202182682</v>
      </c>
      <c r="E11716" s="2" t="s">
        <v>25108</v>
      </c>
      <c r="F11716" s="2" t="s">
        <v>25109</v>
      </c>
      <c r="G11716" s="2" t="str">
        <f>"SR-7733"</f>
        <v>SR-7733</v>
      </c>
      <c r="H11716" s="2" t="s">
        <v>25110</v>
      </c>
      <c r="I11716" s="2" t="s">
        <v>25111</v>
      </c>
      <c r="K11716" s="2" t="s">
        <v>3530</v>
      </c>
      <c r="L11716" s="2" t="s">
        <v>272</v>
      </c>
      <c r="M11716" s="2">
        <v>67156.0</v>
      </c>
      <c r="N11716" s="2" t="s">
        <v>21</v>
      </c>
    </row>
    <row r="11717" ht="15.75" customHeight="1">
      <c r="A11717" s="2">
        <v>2019.0</v>
      </c>
      <c r="B11717" s="2" t="s">
        <v>40075</v>
      </c>
      <c r="C11717" s="2" t="s">
        <v>40076</v>
      </c>
      <c r="D11717" s="2" t="str">
        <f>"5207303114"</f>
        <v>5207303114</v>
      </c>
      <c r="E11717" s="2" t="s">
        <v>1185</v>
      </c>
      <c r="F11717" s="2" t="s">
        <v>40077</v>
      </c>
      <c r="G11717" s="2" t="str">
        <f>"SR-13231"</f>
        <v>SR-13231</v>
      </c>
      <c r="H11717" s="2" t="s">
        <v>40078</v>
      </c>
      <c r="I11717" s="2" t="s">
        <v>40079</v>
      </c>
      <c r="K11717" s="2" t="s">
        <v>3431</v>
      </c>
      <c r="L11717" s="2" t="s">
        <v>208</v>
      </c>
      <c r="M11717" s="2">
        <v>33621.0</v>
      </c>
      <c r="N11717" s="2" t="s">
        <v>21</v>
      </c>
    </row>
    <row r="11718" ht="15.75" customHeight="1">
      <c r="A11718" s="2">
        <v>2019.0</v>
      </c>
      <c r="B11718" s="2" t="s">
        <v>46852</v>
      </c>
      <c r="C11718" s="2" t="s">
        <v>46853</v>
      </c>
      <c r="D11718" s="2" t="str">
        <f t="shared" ref="D11718:D11719" si="196">"9797318820"</f>
        <v>9797318820</v>
      </c>
      <c r="E11718" s="2" t="s">
        <v>339</v>
      </c>
      <c r="F11718" s="2" t="s">
        <v>46854</v>
      </c>
      <c r="G11718" s="2" t="str">
        <f>"SR-16438"</f>
        <v>SR-16438</v>
      </c>
      <c r="H11718" s="2" t="s">
        <v>46855</v>
      </c>
      <c r="I11718" s="2" t="s">
        <v>46856</v>
      </c>
      <c r="K11718" s="2" t="s">
        <v>2969</v>
      </c>
      <c r="L11718" s="2" t="s">
        <v>172</v>
      </c>
      <c r="M11718" s="2">
        <v>77845.0</v>
      </c>
      <c r="N11718" s="2" t="s">
        <v>21</v>
      </c>
    </row>
    <row r="11719" ht="15.75" customHeight="1">
      <c r="A11719" s="2">
        <v>2019.0</v>
      </c>
      <c r="B11719" s="2" t="s">
        <v>46852</v>
      </c>
      <c r="C11719" s="2" t="s">
        <v>46857</v>
      </c>
      <c r="D11719" s="2" t="str">
        <f t="shared" si="196"/>
        <v>9797318820</v>
      </c>
      <c r="E11719" s="2" t="s">
        <v>580</v>
      </c>
      <c r="F11719" s="2" t="s">
        <v>46854</v>
      </c>
      <c r="G11719" s="2" t="str">
        <f>"SR-16437"</f>
        <v>SR-16437</v>
      </c>
      <c r="H11719" s="2" t="s">
        <v>46858</v>
      </c>
      <c r="I11719" s="2" t="s">
        <v>46859</v>
      </c>
      <c r="K11719" s="2" t="s">
        <v>2969</v>
      </c>
      <c r="L11719" s="2" t="s">
        <v>172</v>
      </c>
      <c r="M11719" s="2">
        <v>77845.0</v>
      </c>
      <c r="N11719" s="2" t="s">
        <v>21</v>
      </c>
    </row>
    <row r="11720" ht="15.75" customHeight="1">
      <c r="A11720" s="2">
        <v>2019.0</v>
      </c>
      <c r="B11720" s="2" t="s">
        <v>46860</v>
      </c>
      <c r="C11720" s="2" t="s">
        <v>46861</v>
      </c>
      <c r="D11720" s="2" t="str">
        <f>"719-321-9667"</f>
        <v>719-321-9667</v>
      </c>
      <c r="E11720" s="2" t="s">
        <v>4111</v>
      </c>
      <c r="F11720" s="2" t="s">
        <v>19976</v>
      </c>
      <c r="G11720" s="2" t="str">
        <f>"SR-16439"</f>
        <v>SR-16439</v>
      </c>
      <c r="H11720" s="2" t="s">
        <v>46862</v>
      </c>
      <c r="I11720" s="2" t="s">
        <v>19978</v>
      </c>
      <c r="K11720" s="2" t="s">
        <v>809</v>
      </c>
      <c r="L11720" s="2" t="s">
        <v>157</v>
      </c>
      <c r="M11720" s="2">
        <v>80919.0</v>
      </c>
      <c r="N11720" s="2" t="s">
        <v>21</v>
      </c>
    </row>
    <row r="11721" ht="15.75" customHeight="1">
      <c r="A11721" s="2">
        <v>2019.0</v>
      </c>
      <c r="B11721" s="2" t="s">
        <v>46863</v>
      </c>
      <c r="C11721" s="2" t="s">
        <v>46864</v>
      </c>
      <c r="D11721" s="2" t="str">
        <f>"719-424-9064"</f>
        <v>719-424-9064</v>
      </c>
      <c r="E11721" s="2" t="s">
        <v>1263</v>
      </c>
      <c r="F11721" s="2" t="s">
        <v>46865</v>
      </c>
      <c r="G11721" s="2" t="str">
        <f>"SR-16440"</f>
        <v>SR-16440</v>
      </c>
      <c r="H11721" s="2" t="s">
        <v>46866</v>
      </c>
      <c r="I11721" s="2" t="s">
        <v>46867</v>
      </c>
      <c r="K11721" s="2" t="s">
        <v>809</v>
      </c>
      <c r="L11721" s="2" t="s">
        <v>157</v>
      </c>
      <c r="M11721" s="2">
        <v>80918.0</v>
      </c>
      <c r="N11721" s="2" t="s">
        <v>21</v>
      </c>
    </row>
    <row r="11722" ht="15.75" customHeight="1">
      <c r="A11722" s="2">
        <v>2019.0</v>
      </c>
      <c r="B11722" s="2" t="s">
        <v>46868</v>
      </c>
      <c r="C11722" s="2" t="s">
        <v>46868</v>
      </c>
      <c r="D11722" s="2" t="str">
        <f>"8634640905"</f>
        <v>8634640905</v>
      </c>
      <c r="E11722" s="2" t="s">
        <v>1032</v>
      </c>
      <c r="F11722" s="2" t="s">
        <v>18607</v>
      </c>
      <c r="G11722" s="2" t="str">
        <f>"SR-16441"</f>
        <v>SR-16441</v>
      </c>
      <c r="H11722" s="2" t="s">
        <v>46869</v>
      </c>
      <c r="I11722" s="2" t="s">
        <v>46870</v>
      </c>
      <c r="K11722" s="2" t="s">
        <v>26300</v>
      </c>
      <c r="L11722" s="2" t="s">
        <v>208</v>
      </c>
      <c r="M11722" s="2">
        <v>33852.0</v>
      </c>
      <c r="N11722" s="2" t="s">
        <v>21</v>
      </c>
    </row>
    <row r="11723" ht="15.75" customHeight="1">
      <c r="A11723" s="2">
        <v>2019.0</v>
      </c>
      <c r="B11723" s="2" t="s">
        <v>46871</v>
      </c>
      <c r="C11723" s="2" t="s">
        <v>46872</v>
      </c>
      <c r="D11723" s="2" t="str">
        <f>"(424)477-4914"</f>
        <v>(424)477-4914</v>
      </c>
      <c r="E11723" s="2" t="s">
        <v>261</v>
      </c>
      <c r="F11723" s="2" t="s">
        <v>967</v>
      </c>
      <c r="G11723" s="2" t="str">
        <f>"SR-16443"</f>
        <v>SR-16443</v>
      </c>
      <c r="H11723" s="2" t="s">
        <v>46873</v>
      </c>
      <c r="I11723" s="2" t="s">
        <v>46874</v>
      </c>
      <c r="K11723" s="2" t="s">
        <v>20049</v>
      </c>
      <c r="L11723" s="2" t="s">
        <v>222</v>
      </c>
      <c r="M11723" s="2">
        <v>90732.0</v>
      </c>
      <c r="N11723" s="2" t="s">
        <v>21</v>
      </c>
    </row>
    <row r="11724" ht="15.75" customHeight="1">
      <c r="A11724" s="2">
        <v>2019.0</v>
      </c>
      <c r="B11724" s="2" t="s">
        <v>46875</v>
      </c>
      <c r="D11724" s="2" t="str">
        <f>""</f>
        <v/>
      </c>
      <c r="E11724" s="2" t="s">
        <v>46876</v>
      </c>
      <c r="F11724" s="2" t="s">
        <v>46877</v>
      </c>
      <c r="G11724" s="2" t="str">
        <f>"SR-9833"</f>
        <v>SR-9833</v>
      </c>
      <c r="H11724" s="2" t="s">
        <v>46878</v>
      </c>
      <c r="N11724" s="2" t="s">
        <v>21</v>
      </c>
    </row>
    <row r="11725" ht="15.75" customHeight="1">
      <c r="A11725" s="2">
        <v>2019.0</v>
      </c>
      <c r="B11725" s="2" t="s">
        <v>46879</v>
      </c>
      <c r="C11725" s="2" t="s">
        <v>46880</v>
      </c>
      <c r="D11725" s="2" t="str">
        <f>"859-575-2495"</f>
        <v>859-575-2495</v>
      </c>
      <c r="E11725" s="2" t="s">
        <v>39227</v>
      </c>
      <c r="F11725" s="2" t="s">
        <v>1422</v>
      </c>
      <c r="G11725" s="2" t="str">
        <f>"SR-16442"</f>
        <v>SR-16442</v>
      </c>
      <c r="H11725" s="2" t="s">
        <v>46881</v>
      </c>
      <c r="I11725" s="2" t="s">
        <v>46882</v>
      </c>
      <c r="J11725" s="2" t="s">
        <v>26464</v>
      </c>
      <c r="K11725" s="2" t="s">
        <v>21503</v>
      </c>
      <c r="L11725" s="2" t="s">
        <v>1236</v>
      </c>
      <c r="M11725" s="2">
        <v>40390.0</v>
      </c>
      <c r="N11725" s="2" t="s">
        <v>21</v>
      </c>
    </row>
    <row r="11726" ht="15.75" customHeight="1">
      <c r="A11726" s="2">
        <v>2019.0</v>
      </c>
      <c r="B11726" s="2" t="s">
        <v>46883</v>
      </c>
      <c r="C11726" s="2" t="s">
        <v>46884</v>
      </c>
      <c r="D11726" s="2" t="str">
        <f>"336-869-7930"</f>
        <v>336-869-7930</v>
      </c>
      <c r="E11726" s="2" t="s">
        <v>19289</v>
      </c>
      <c r="F11726" s="2" t="s">
        <v>850</v>
      </c>
      <c r="G11726" s="2" t="str">
        <f>"SR-16448"</f>
        <v>SR-16448</v>
      </c>
      <c r="H11726" s="2" t="s">
        <v>46885</v>
      </c>
      <c r="I11726" s="2" t="s">
        <v>46886</v>
      </c>
      <c r="K11726" s="2" t="s">
        <v>7609</v>
      </c>
      <c r="L11726" s="2" t="s">
        <v>20</v>
      </c>
      <c r="M11726" s="2">
        <v>27265.0</v>
      </c>
      <c r="N11726" s="2" t="s">
        <v>21</v>
      </c>
    </row>
    <row r="11727" ht="15.75" customHeight="1">
      <c r="A11727" s="2">
        <v>2019.0</v>
      </c>
      <c r="B11727" s="2" t="s">
        <v>46887</v>
      </c>
      <c r="C11727" s="2" t="s">
        <v>46888</v>
      </c>
      <c r="D11727" s="2" t="str">
        <f>"7035894076"</f>
        <v>7035894076</v>
      </c>
      <c r="E11727" s="2" t="s">
        <v>46889</v>
      </c>
      <c r="F11727" s="2" t="s">
        <v>46890</v>
      </c>
      <c r="G11727" s="2" t="str">
        <f>"SR-16450"</f>
        <v>SR-16450</v>
      </c>
      <c r="H11727" s="2" t="s">
        <v>46891</v>
      </c>
      <c r="I11727" s="2" t="s">
        <v>46892</v>
      </c>
      <c r="K11727" s="2" t="s">
        <v>42142</v>
      </c>
      <c r="L11727" s="2" t="s">
        <v>4108</v>
      </c>
      <c r="M11727" s="2">
        <v>1702.0</v>
      </c>
      <c r="N11727" s="2" t="s">
        <v>21</v>
      </c>
    </row>
    <row r="11728" ht="15.75" customHeight="1">
      <c r="A11728" s="2">
        <v>2019.0</v>
      </c>
      <c r="B11728" s="2" t="s">
        <v>46887</v>
      </c>
      <c r="C11728" s="2" t="s">
        <v>46893</v>
      </c>
      <c r="D11728" s="2" t="str">
        <f>"7819992917"</f>
        <v>7819992917</v>
      </c>
      <c r="E11728" s="2" t="s">
        <v>6629</v>
      </c>
      <c r="F11728" s="2" t="s">
        <v>46890</v>
      </c>
      <c r="G11728" s="2" t="str">
        <f>"SR-16449"</f>
        <v>SR-16449</v>
      </c>
      <c r="H11728" s="2" t="s">
        <v>46894</v>
      </c>
      <c r="I11728" s="2" t="s">
        <v>46892</v>
      </c>
      <c r="K11728" s="2" t="s">
        <v>42142</v>
      </c>
      <c r="L11728" s="2" t="s">
        <v>4108</v>
      </c>
      <c r="M11728" s="2">
        <v>1702.0</v>
      </c>
      <c r="N11728" s="2" t="s">
        <v>21</v>
      </c>
    </row>
    <row r="11729" ht="15.75" customHeight="1">
      <c r="A11729" s="2">
        <v>2019.0</v>
      </c>
      <c r="B11729" s="2" t="s">
        <v>46895</v>
      </c>
      <c r="C11729" s="2" t="s">
        <v>46896</v>
      </c>
      <c r="D11729" s="2" t="str">
        <f>"8178516562"</f>
        <v>8178516562</v>
      </c>
      <c r="E11729" s="2" t="s">
        <v>15</v>
      </c>
      <c r="F11729" s="2" t="s">
        <v>46897</v>
      </c>
      <c r="G11729" s="2" t="str">
        <f>"SR-16451"</f>
        <v>SR-16451</v>
      </c>
      <c r="H11729" s="2" t="s">
        <v>46898</v>
      </c>
      <c r="I11729" s="2" t="s">
        <v>46899</v>
      </c>
      <c r="K11729" s="2" t="s">
        <v>15906</v>
      </c>
      <c r="L11729" s="2" t="s">
        <v>29</v>
      </c>
      <c r="M11729" s="2">
        <v>49348.0</v>
      </c>
      <c r="N11729" s="2" t="s">
        <v>21</v>
      </c>
    </row>
    <row r="11730" ht="15.75" customHeight="1">
      <c r="A11730" s="2">
        <v>2019.0</v>
      </c>
      <c r="B11730" s="2" t="s">
        <v>46900</v>
      </c>
      <c r="C11730" s="2" t="s">
        <v>46901</v>
      </c>
      <c r="D11730" s="2" t="str">
        <f>"7034815333"</f>
        <v>7034815333</v>
      </c>
      <c r="E11730" s="2" t="s">
        <v>1076</v>
      </c>
      <c r="F11730" s="2" t="s">
        <v>46902</v>
      </c>
      <c r="G11730" s="2" t="str">
        <f>"SR-16335"</f>
        <v>SR-16335</v>
      </c>
      <c r="H11730" s="2" t="s">
        <v>46903</v>
      </c>
      <c r="I11730" s="2" t="s">
        <v>46904</v>
      </c>
      <c r="K11730" s="2" t="s">
        <v>12309</v>
      </c>
      <c r="L11730" s="2" t="s">
        <v>165</v>
      </c>
      <c r="M11730" s="2">
        <v>20170.0</v>
      </c>
      <c r="N11730" s="2" t="s">
        <v>21</v>
      </c>
    </row>
    <row r="11731" ht="15.75" customHeight="1">
      <c r="A11731" s="2">
        <v>2019.0</v>
      </c>
      <c r="B11731" s="2" t="s">
        <v>46905</v>
      </c>
      <c r="C11731" s="2" t="s">
        <v>46906</v>
      </c>
      <c r="D11731" s="2" t="str">
        <f>"4054748345"</f>
        <v>4054748345</v>
      </c>
      <c r="E11731" s="2" t="s">
        <v>417</v>
      </c>
      <c r="F11731" s="2" t="s">
        <v>13707</v>
      </c>
      <c r="G11731" s="2" t="str">
        <f>"SR-16395"</f>
        <v>SR-16395</v>
      </c>
      <c r="H11731" s="2" t="s">
        <v>46907</v>
      </c>
      <c r="I11731" s="2" t="s">
        <v>46908</v>
      </c>
      <c r="K11731" s="2" t="s">
        <v>2870</v>
      </c>
      <c r="L11731" s="2" t="s">
        <v>840</v>
      </c>
      <c r="M11731" s="2">
        <v>73072.0</v>
      </c>
      <c r="N11731" s="2" t="s">
        <v>21</v>
      </c>
    </row>
    <row r="11732" ht="15.75" customHeight="1">
      <c r="A11732" s="2">
        <v>2019.0</v>
      </c>
      <c r="B11732" s="2" t="s">
        <v>46909</v>
      </c>
      <c r="C11732" s="2" t="s">
        <v>46910</v>
      </c>
      <c r="D11732" s="2" t="str">
        <f>"7073088157"</f>
        <v>7073088157</v>
      </c>
      <c r="E11732" s="2" t="s">
        <v>46911</v>
      </c>
      <c r="F11732" s="2" t="s">
        <v>1257</v>
      </c>
      <c r="G11732" s="2" t="str">
        <f>"SR-16452"</f>
        <v>SR-16452</v>
      </c>
      <c r="H11732" s="2" t="s">
        <v>46912</v>
      </c>
      <c r="I11732" s="2" t="s">
        <v>46913</v>
      </c>
      <c r="J11732" s="2" t="s">
        <v>46914</v>
      </c>
      <c r="K11732" s="2" t="s">
        <v>9695</v>
      </c>
      <c r="L11732" s="2" t="s">
        <v>222</v>
      </c>
      <c r="M11732" s="2">
        <v>95405.0</v>
      </c>
      <c r="N11732" s="2" t="s">
        <v>21</v>
      </c>
    </row>
    <row r="11733" ht="15.75" customHeight="1">
      <c r="A11733" s="2">
        <v>2019.0</v>
      </c>
      <c r="B11733" s="2" t="s">
        <v>46915</v>
      </c>
      <c r="C11733" s="2" t="s">
        <v>46915</v>
      </c>
      <c r="D11733" s="2" t="str">
        <f>"5204379674"</f>
        <v>5204379674</v>
      </c>
      <c r="E11733" s="2" t="s">
        <v>5766</v>
      </c>
      <c r="F11733" s="2" t="s">
        <v>15631</v>
      </c>
      <c r="G11733" s="2" t="str">
        <f>"SR-16453"</f>
        <v>SR-16453</v>
      </c>
      <c r="H11733" s="2" t="s">
        <v>46916</v>
      </c>
      <c r="I11733" s="2" t="s">
        <v>43719</v>
      </c>
      <c r="K11733" s="2" t="s">
        <v>5946</v>
      </c>
      <c r="L11733" s="2" t="s">
        <v>422</v>
      </c>
      <c r="M11733" s="2">
        <v>85750.0</v>
      </c>
      <c r="N11733" s="2" t="s">
        <v>21</v>
      </c>
    </row>
    <row r="11734" ht="15.75" customHeight="1">
      <c r="A11734" s="2">
        <v>2019.0</v>
      </c>
      <c r="B11734" s="2" t="s">
        <v>1212</v>
      </c>
      <c r="C11734" s="2" t="s">
        <v>31169</v>
      </c>
      <c r="D11734" s="2" t="str">
        <f>"3162832213"</f>
        <v>3162832213</v>
      </c>
      <c r="E11734" s="2" t="s">
        <v>339</v>
      </c>
      <c r="F11734" s="2" t="s">
        <v>1214</v>
      </c>
      <c r="G11734" s="2" t="str">
        <f>"SR-10091"</f>
        <v>SR-10091</v>
      </c>
      <c r="H11734" s="2" t="s">
        <v>31170</v>
      </c>
      <c r="I11734" s="2" t="s">
        <v>31171</v>
      </c>
      <c r="K11734" s="2" t="s">
        <v>1217</v>
      </c>
      <c r="L11734" s="2" t="s">
        <v>272</v>
      </c>
      <c r="M11734" s="2">
        <v>67154.0</v>
      </c>
      <c r="N11734" s="2" t="s">
        <v>21</v>
      </c>
    </row>
    <row r="11735" ht="15.75" customHeight="1">
      <c r="A11735" s="2">
        <v>2019.0</v>
      </c>
      <c r="B11735" s="2" t="s">
        <v>46917</v>
      </c>
      <c r="C11735" s="2" t="s">
        <v>46918</v>
      </c>
      <c r="D11735" s="2" t="str">
        <f>"2709962735"</f>
        <v>2709962735</v>
      </c>
      <c r="E11735" s="2" t="s">
        <v>5858</v>
      </c>
      <c r="F11735" s="2" t="s">
        <v>46919</v>
      </c>
      <c r="G11735" s="2" t="str">
        <f>"SR-16456"</f>
        <v>SR-16456</v>
      </c>
      <c r="H11735" s="2" t="s">
        <v>46920</v>
      </c>
      <c r="I11735" s="2" t="s">
        <v>46921</v>
      </c>
      <c r="K11735" s="2" t="s">
        <v>39465</v>
      </c>
      <c r="L11735" s="2" t="s">
        <v>1236</v>
      </c>
      <c r="M11735" s="2">
        <v>42101.0</v>
      </c>
      <c r="N11735" s="2" t="s">
        <v>21</v>
      </c>
    </row>
    <row r="11736" ht="15.75" customHeight="1">
      <c r="A11736" s="2">
        <v>2019.0</v>
      </c>
      <c r="B11736" s="2" t="s">
        <v>46922</v>
      </c>
      <c r="C11736" s="2" t="s">
        <v>46922</v>
      </c>
      <c r="D11736" s="2" t="str">
        <f>"2698586012"</f>
        <v>2698586012</v>
      </c>
      <c r="E11736" s="2" t="s">
        <v>46923</v>
      </c>
      <c r="F11736" s="2" t="s">
        <v>46924</v>
      </c>
      <c r="G11736" s="2" t="str">
        <f>"SR-16459"</f>
        <v>SR-16459</v>
      </c>
      <c r="H11736" s="2" t="s">
        <v>46925</v>
      </c>
      <c r="I11736" s="2" t="s">
        <v>46926</v>
      </c>
      <c r="K11736" s="2" t="s">
        <v>10044</v>
      </c>
      <c r="L11736" s="2" t="s">
        <v>29</v>
      </c>
      <c r="M11736" s="2">
        <v>49093.0</v>
      </c>
      <c r="N11736" s="2" t="s">
        <v>21</v>
      </c>
    </row>
    <row r="11737" ht="15.75" customHeight="1">
      <c r="A11737" s="2">
        <v>2019.0</v>
      </c>
      <c r="B11737" s="2" t="s">
        <v>46927</v>
      </c>
      <c r="C11737" s="2" t="s">
        <v>46928</v>
      </c>
      <c r="D11737" s="2" t="str">
        <f>"979-575-5430"</f>
        <v>979-575-5430</v>
      </c>
      <c r="E11737" s="2" t="s">
        <v>46929</v>
      </c>
      <c r="F11737" s="2" t="s">
        <v>15248</v>
      </c>
      <c r="G11737" s="2" t="str">
        <f>"SR-16458"</f>
        <v>SR-16458</v>
      </c>
      <c r="H11737" s="2" t="s">
        <v>46930</v>
      </c>
      <c r="I11737" s="2" t="s">
        <v>46931</v>
      </c>
      <c r="K11737" s="2" t="s">
        <v>2969</v>
      </c>
      <c r="L11737" s="2" t="s">
        <v>172</v>
      </c>
      <c r="M11737" s="2">
        <v>77845.0</v>
      </c>
      <c r="N11737" s="2" t="s">
        <v>21</v>
      </c>
    </row>
    <row r="11738" ht="15.75" customHeight="1">
      <c r="A11738" s="2">
        <v>2019.0</v>
      </c>
      <c r="B11738" s="2" t="s">
        <v>46932</v>
      </c>
      <c r="C11738" s="2" t="s">
        <v>46933</v>
      </c>
      <c r="D11738" s="2" t="str">
        <f>"5019400742"</f>
        <v>5019400742</v>
      </c>
      <c r="E11738" s="2" t="s">
        <v>10825</v>
      </c>
      <c r="F11738" s="2" t="s">
        <v>15797</v>
      </c>
      <c r="G11738" s="2" t="str">
        <f>"SR-16460"</f>
        <v>SR-16460</v>
      </c>
      <c r="H11738" s="2" t="s">
        <v>46934</v>
      </c>
      <c r="I11738" s="2" t="s">
        <v>46935</v>
      </c>
      <c r="K11738" s="2" t="s">
        <v>1759</v>
      </c>
      <c r="L11738" s="2" t="s">
        <v>1012</v>
      </c>
      <c r="M11738" s="2">
        <v>72223.0</v>
      </c>
      <c r="N11738" s="2" t="s">
        <v>21</v>
      </c>
    </row>
    <row r="11739" ht="15.75" customHeight="1">
      <c r="A11739" s="2">
        <v>2019.0</v>
      </c>
      <c r="B11739" s="2" t="s">
        <v>46936</v>
      </c>
      <c r="C11739" s="2" t="s">
        <v>46936</v>
      </c>
      <c r="D11739" s="2" t="str">
        <f>"740-604-4591"</f>
        <v>740-604-4591</v>
      </c>
      <c r="E11739" s="2" t="s">
        <v>1039</v>
      </c>
      <c r="F11739" s="2" t="s">
        <v>8427</v>
      </c>
      <c r="G11739" s="2" t="str">
        <f>"SR-16402"</f>
        <v>SR-16402</v>
      </c>
      <c r="H11739" s="2" t="s">
        <v>46937</v>
      </c>
      <c r="I11739" s="2" t="s">
        <v>46938</v>
      </c>
      <c r="K11739" s="2" t="s">
        <v>46939</v>
      </c>
      <c r="L11739" s="2" t="s">
        <v>344</v>
      </c>
      <c r="M11739" s="2">
        <v>43153.0</v>
      </c>
      <c r="N11739" s="2" t="s">
        <v>21</v>
      </c>
    </row>
    <row r="11740" ht="15.75" customHeight="1">
      <c r="A11740" s="2">
        <v>2019.0</v>
      </c>
      <c r="B11740" s="2" t="s">
        <v>46940</v>
      </c>
      <c r="C11740" s="2" t="s">
        <v>46940</v>
      </c>
      <c r="D11740" s="2" t="str">
        <f>"9547325606"</f>
        <v>9547325606</v>
      </c>
      <c r="E11740" s="2" t="s">
        <v>46941</v>
      </c>
      <c r="F11740" s="2" t="s">
        <v>46942</v>
      </c>
      <c r="G11740" s="2" t="str">
        <f>"SR-16464"</f>
        <v>SR-16464</v>
      </c>
      <c r="H11740" s="2" t="s">
        <v>46943</v>
      </c>
      <c r="I11740" s="2" t="s">
        <v>46944</v>
      </c>
      <c r="K11740" s="2" t="s">
        <v>19644</v>
      </c>
      <c r="L11740" s="2" t="s">
        <v>208</v>
      </c>
      <c r="M11740" s="2">
        <v>33317.0</v>
      </c>
      <c r="N11740" s="2" t="s">
        <v>21</v>
      </c>
    </row>
    <row r="11741" ht="15.75" customHeight="1">
      <c r="A11741" s="2">
        <v>2019.0</v>
      </c>
      <c r="B11741" s="2" t="s">
        <v>46945</v>
      </c>
      <c r="C11741" s="2" t="s">
        <v>46946</v>
      </c>
      <c r="D11741" s="2" t="str">
        <f>"402-617-6033"</f>
        <v>402-617-6033</v>
      </c>
      <c r="E11741" s="2" t="s">
        <v>152</v>
      </c>
      <c r="F11741" s="2" t="s">
        <v>46947</v>
      </c>
      <c r="G11741" s="2" t="str">
        <f>"SR-15911"</f>
        <v>SR-15911</v>
      </c>
      <c r="H11741" s="2" t="s">
        <v>46948</v>
      </c>
      <c r="I11741" s="2" t="s">
        <v>46949</v>
      </c>
      <c r="K11741" s="2" t="s">
        <v>1154</v>
      </c>
      <c r="L11741" s="2" t="s">
        <v>757</v>
      </c>
      <c r="M11741" s="2">
        <v>68003.0</v>
      </c>
      <c r="N11741" s="2" t="s">
        <v>21</v>
      </c>
    </row>
    <row r="11742" ht="15.75" customHeight="1">
      <c r="A11742" s="2">
        <v>2019.0</v>
      </c>
      <c r="B11742" s="2" t="s">
        <v>46950</v>
      </c>
      <c r="C11742" s="2" t="s">
        <v>46950</v>
      </c>
      <c r="D11742" s="2" t="str">
        <f>"5014169269"</f>
        <v>5014169269</v>
      </c>
      <c r="E11742" s="2" t="s">
        <v>3888</v>
      </c>
      <c r="F11742" s="2" t="s">
        <v>46951</v>
      </c>
      <c r="G11742" s="2" t="str">
        <f>"SR-16463"</f>
        <v>SR-16463</v>
      </c>
      <c r="H11742" s="2" t="s">
        <v>46952</v>
      </c>
      <c r="I11742" s="2" t="s">
        <v>46953</v>
      </c>
      <c r="K11742" s="2" t="s">
        <v>9107</v>
      </c>
      <c r="L11742" s="2" t="s">
        <v>1012</v>
      </c>
      <c r="M11742" s="2">
        <v>72223.0</v>
      </c>
      <c r="N11742" s="2" t="s">
        <v>21</v>
      </c>
    </row>
    <row r="11743" ht="15.75" customHeight="1">
      <c r="A11743" s="2">
        <v>2019.0</v>
      </c>
      <c r="B11743" s="2" t="s">
        <v>46954</v>
      </c>
      <c r="C11743" s="2" t="s">
        <v>46955</v>
      </c>
      <c r="D11743" s="2" t="str">
        <f>"513-404-0347"</f>
        <v>513-404-0347</v>
      </c>
      <c r="E11743" s="2" t="s">
        <v>12419</v>
      </c>
      <c r="F11743" s="2" t="s">
        <v>46956</v>
      </c>
      <c r="G11743" s="2" t="str">
        <f>"SR-16394"</f>
        <v>SR-16394</v>
      </c>
      <c r="H11743" s="2" t="s">
        <v>46957</v>
      </c>
      <c r="I11743" s="2" t="s">
        <v>46958</v>
      </c>
      <c r="K11743" s="2" t="s">
        <v>1048</v>
      </c>
      <c r="L11743" s="2" t="s">
        <v>344</v>
      </c>
      <c r="M11743" s="2">
        <v>45140.0</v>
      </c>
      <c r="N11743" s="2" t="s">
        <v>21</v>
      </c>
    </row>
    <row r="11744" ht="15.75" customHeight="1">
      <c r="A11744" s="2">
        <v>2019.0</v>
      </c>
      <c r="B11744" s="2" t="s">
        <v>46959</v>
      </c>
      <c r="C11744" s="2" t="s">
        <v>46960</v>
      </c>
      <c r="D11744" s="2" t="str">
        <f>"14256559777"</f>
        <v>14256559777</v>
      </c>
      <c r="E11744" s="2" t="s">
        <v>8364</v>
      </c>
      <c r="F11744" s="2" t="s">
        <v>5632</v>
      </c>
      <c r="G11744" s="2" t="str">
        <f>"SR-16465"</f>
        <v>SR-16465</v>
      </c>
      <c r="H11744" s="2" t="s">
        <v>46961</v>
      </c>
      <c r="I11744" s="2" t="s">
        <v>46962</v>
      </c>
      <c r="K11744" s="2" t="s">
        <v>1564</v>
      </c>
      <c r="L11744" s="2" t="s">
        <v>86</v>
      </c>
      <c r="M11744" s="2">
        <v>98053.0</v>
      </c>
      <c r="N11744" s="2" t="s">
        <v>21</v>
      </c>
    </row>
    <row r="11745" ht="15.75" customHeight="1">
      <c r="A11745" s="2">
        <v>2019.0</v>
      </c>
      <c r="B11745" s="2" t="s">
        <v>46963</v>
      </c>
      <c r="C11745" s="2" t="s">
        <v>46964</v>
      </c>
      <c r="D11745" s="2" t="str">
        <f>"3035184954"</f>
        <v>3035184954</v>
      </c>
      <c r="E11745" s="2" t="s">
        <v>167</v>
      </c>
      <c r="F11745" s="2" t="s">
        <v>46965</v>
      </c>
      <c r="G11745" s="2" t="str">
        <f>"SR-16474"</f>
        <v>SR-16474</v>
      </c>
      <c r="H11745" s="2" t="s">
        <v>46966</v>
      </c>
      <c r="I11745" s="2" t="s">
        <v>46967</v>
      </c>
      <c r="K11745" s="2" t="s">
        <v>682</v>
      </c>
      <c r="L11745" s="2" t="s">
        <v>157</v>
      </c>
      <c r="M11745" s="2">
        <v>80130.0</v>
      </c>
      <c r="N11745" s="2" t="s">
        <v>21</v>
      </c>
    </row>
    <row r="11746" ht="15.75" customHeight="1">
      <c r="A11746" s="2">
        <v>2019.0</v>
      </c>
      <c r="B11746" s="2" t="s">
        <v>46968</v>
      </c>
      <c r="C11746" s="2" t="s">
        <v>46969</v>
      </c>
      <c r="D11746" s="2" t="str">
        <f>"7204005287"</f>
        <v>7204005287</v>
      </c>
      <c r="E11746" s="2" t="s">
        <v>46970</v>
      </c>
      <c r="F11746" s="2" t="s">
        <v>46971</v>
      </c>
      <c r="G11746" s="2" t="str">
        <f>"SR-16425"</f>
        <v>SR-16425</v>
      </c>
      <c r="H11746" s="2" t="s">
        <v>46972</v>
      </c>
      <c r="I11746" s="2" t="s">
        <v>46973</v>
      </c>
      <c r="K11746" s="2" t="s">
        <v>46974</v>
      </c>
      <c r="L11746" s="2" t="s">
        <v>157</v>
      </c>
      <c r="M11746" s="2">
        <v>80013.0</v>
      </c>
      <c r="N11746" s="2" t="s">
        <v>21</v>
      </c>
    </row>
    <row r="11747" ht="15.75" customHeight="1">
      <c r="A11747" s="2">
        <v>2019.0</v>
      </c>
      <c r="B11747" s="2" t="s">
        <v>46975</v>
      </c>
      <c r="C11747" s="2" t="s">
        <v>46976</v>
      </c>
      <c r="D11747" s="2" t="str">
        <f>"8176918468"</f>
        <v>8176918468</v>
      </c>
      <c r="E11747" s="2" t="s">
        <v>46977</v>
      </c>
      <c r="F11747" s="2" t="s">
        <v>11388</v>
      </c>
      <c r="G11747" s="2" t="str">
        <f>"SR-16475"</f>
        <v>SR-16475</v>
      </c>
      <c r="H11747" s="2" t="s">
        <v>46978</v>
      </c>
      <c r="I11747" s="2" t="s">
        <v>46979</v>
      </c>
      <c r="K11747" s="2" t="s">
        <v>882</v>
      </c>
      <c r="L11747" s="2" t="s">
        <v>172</v>
      </c>
      <c r="M11747" s="2">
        <v>76013.0</v>
      </c>
      <c r="N11747" s="2" t="s">
        <v>21</v>
      </c>
    </row>
    <row r="11748" ht="15.75" customHeight="1">
      <c r="A11748" s="2">
        <v>2019.0</v>
      </c>
      <c r="B11748" s="2" t="s">
        <v>46980</v>
      </c>
      <c r="C11748" s="2" t="s">
        <v>46981</v>
      </c>
      <c r="D11748" s="2" t="str">
        <f>"7725842606"</f>
        <v>7725842606</v>
      </c>
      <c r="E11748" s="2" t="s">
        <v>4665</v>
      </c>
      <c r="F11748" s="2" t="s">
        <v>6869</v>
      </c>
      <c r="G11748" s="2" t="str">
        <f>"SR-16476"</f>
        <v>SR-16476</v>
      </c>
      <c r="H11748" s="2" t="s">
        <v>46982</v>
      </c>
      <c r="I11748" s="2" t="s">
        <v>46983</v>
      </c>
      <c r="K11748" s="2" t="s">
        <v>11560</v>
      </c>
      <c r="L11748" s="2" t="s">
        <v>208</v>
      </c>
      <c r="M11748" s="2">
        <v>32960.0</v>
      </c>
      <c r="N11748" s="2" t="s">
        <v>21</v>
      </c>
    </row>
    <row r="11749" ht="15.75" customHeight="1">
      <c r="A11749" s="2">
        <v>2019.0</v>
      </c>
      <c r="B11749" s="2" t="s">
        <v>46984</v>
      </c>
      <c r="C11749" s="2" t="s">
        <v>46985</v>
      </c>
      <c r="D11749" s="2" t="str">
        <f>"7194937943"</f>
        <v>7194937943</v>
      </c>
      <c r="E11749" s="2" t="s">
        <v>977</v>
      </c>
      <c r="F11749" s="2" t="s">
        <v>35618</v>
      </c>
      <c r="G11749" s="2" t="str">
        <f>"SR-16478"</f>
        <v>SR-16478</v>
      </c>
      <c r="H11749" s="2" t="s">
        <v>46986</v>
      </c>
      <c r="I11749" s="2" t="s">
        <v>35620</v>
      </c>
      <c r="K11749" s="2" t="s">
        <v>809</v>
      </c>
      <c r="L11749" s="2" t="s">
        <v>157</v>
      </c>
      <c r="M11749" s="2">
        <v>80918.0</v>
      </c>
      <c r="N11749" s="2" t="s">
        <v>21</v>
      </c>
    </row>
    <row r="11750" ht="15.75" customHeight="1">
      <c r="A11750" s="2">
        <v>2019.0</v>
      </c>
      <c r="B11750" s="2" t="s">
        <v>46987</v>
      </c>
      <c r="C11750" s="2" t="s">
        <v>46987</v>
      </c>
      <c r="D11750" s="2" t="str">
        <f>"(317) 478-3632"</f>
        <v>(317) 478-3632</v>
      </c>
      <c r="E11750" s="2" t="s">
        <v>5542</v>
      </c>
      <c r="F11750" s="2" t="s">
        <v>256</v>
      </c>
      <c r="G11750" s="2" t="str">
        <f>"SR-16479"</f>
        <v>SR-16479</v>
      </c>
      <c r="H11750" s="2" t="s">
        <v>46988</v>
      </c>
      <c r="I11750" s="2" t="s">
        <v>46989</v>
      </c>
      <c r="K11750" s="2" t="s">
        <v>2421</v>
      </c>
      <c r="L11750" s="2" t="s">
        <v>149</v>
      </c>
      <c r="M11750" s="2">
        <v>47203.0</v>
      </c>
      <c r="N11750" s="2" t="s">
        <v>21</v>
      </c>
    </row>
    <row r="11751" ht="15.75" customHeight="1">
      <c r="A11751" s="2">
        <v>2019.0</v>
      </c>
      <c r="B11751" s="2" t="s">
        <v>46990</v>
      </c>
      <c r="C11751" s="2" t="s">
        <v>46990</v>
      </c>
      <c r="D11751" s="2" t="str">
        <f>"319-400-9180"</f>
        <v>319-400-9180</v>
      </c>
      <c r="E11751" s="2" t="s">
        <v>465</v>
      </c>
      <c r="F11751" s="2" t="s">
        <v>27770</v>
      </c>
      <c r="G11751" s="2" t="str">
        <f>"SR-16480"</f>
        <v>SR-16480</v>
      </c>
      <c r="H11751" s="2" t="s">
        <v>46991</v>
      </c>
      <c r="I11751" s="2">
        <v>603.0</v>
      </c>
      <c r="J11751" s="2" t="s">
        <v>46992</v>
      </c>
      <c r="K11751" s="2" t="s">
        <v>46993</v>
      </c>
      <c r="L11751" s="2" t="s">
        <v>560</v>
      </c>
      <c r="M11751" s="2">
        <v>52203.0</v>
      </c>
      <c r="N11751" s="2" t="s">
        <v>21</v>
      </c>
    </row>
    <row r="11752" ht="15.75" customHeight="1">
      <c r="A11752" s="2">
        <v>2019.0</v>
      </c>
      <c r="B11752" s="2" t="s">
        <v>22054</v>
      </c>
      <c r="C11752" s="2" t="s">
        <v>46994</v>
      </c>
      <c r="D11752" s="2" t="str">
        <f t="shared" ref="D11752:D11753" si="197">"6127704436"</f>
        <v>6127704436</v>
      </c>
      <c r="E11752" s="2" t="s">
        <v>485</v>
      </c>
      <c r="F11752" s="2" t="s">
        <v>22057</v>
      </c>
      <c r="G11752" s="2" t="str">
        <f>"SR-16229"</f>
        <v>SR-16229</v>
      </c>
      <c r="H11752" s="2" t="s">
        <v>46995</v>
      </c>
      <c r="I11752" s="2" t="s">
        <v>46996</v>
      </c>
      <c r="K11752" s="2" t="s">
        <v>1825</v>
      </c>
      <c r="L11752" s="2" t="s">
        <v>62</v>
      </c>
      <c r="M11752" s="2">
        <v>55372.0</v>
      </c>
      <c r="N11752" s="2" t="s">
        <v>21</v>
      </c>
    </row>
    <row r="11753" ht="15.75" customHeight="1">
      <c r="A11753" s="2">
        <v>2019.0</v>
      </c>
      <c r="B11753" s="2" t="s">
        <v>22054</v>
      </c>
      <c r="C11753" s="2" t="s">
        <v>46994</v>
      </c>
      <c r="D11753" s="2" t="str">
        <f t="shared" si="197"/>
        <v>6127704436</v>
      </c>
      <c r="E11753" s="2" t="s">
        <v>46997</v>
      </c>
      <c r="F11753" s="2" t="s">
        <v>44132</v>
      </c>
      <c r="G11753" s="2" t="str">
        <f>"SR-16481"</f>
        <v>SR-16481</v>
      </c>
      <c r="H11753" s="2" t="s">
        <v>46998</v>
      </c>
      <c r="I11753" s="2" t="s">
        <v>29527</v>
      </c>
      <c r="K11753" s="2" t="s">
        <v>1321</v>
      </c>
      <c r="L11753" s="2" t="s">
        <v>62</v>
      </c>
      <c r="M11753" s="2">
        <v>55372.0</v>
      </c>
      <c r="N11753" s="2" t="s">
        <v>21</v>
      </c>
    </row>
    <row r="11754" ht="15.75" customHeight="1">
      <c r="A11754" s="2">
        <v>2019.0</v>
      </c>
      <c r="B11754" s="2" t="s">
        <v>22054</v>
      </c>
      <c r="C11754" s="2" t="s">
        <v>46999</v>
      </c>
      <c r="D11754" s="2" t="str">
        <f>"612-499-4453"</f>
        <v>612-499-4453</v>
      </c>
      <c r="E11754" s="2" t="s">
        <v>23106</v>
      </c>
      <c r="F11754" s="2" t="s">
        <v>47000</v>
      </c>
      <c r="G11754" s="2" t="str">
        <f>"SR-16482"</f>
        <v>SR-16482</v>
      </c>
      <c r="H11754" s="2" t="s">
        <v>47001</v>
      </c>
      <c r="I11754" s="2" t="s">
        <v>47002</v>
      </c>
      <c r="K11754" s="2" t="s">
        <v>4770</v>
      </c>
      <c r="L11754" s="2" t="s">
        <v>62</v>
      </c>
      <c r="M11754" s="2">
        <v>55315.0</v>
      </c>
      <c r="N11754" s="2" t="s">
        <v>21</v>
      </c>
    </row>
    <row r="11755" ht="15.75" customHeight="1">
      <c r="A11755" s="2">
        <v>2019.0</v>
      </c>
      <c r="B11755" s="2" t="s">
        <v>47003</v>
      </c>
      <c r="C11755" s="2" t="s">
        <v>47003</v>
      </c>
      <c r="D11755" s="2" t="str">
        <f>"6235332659"</f>
        <v>6235332659</v>
      </c>
      <c r="E11755" s="2" t="s">
        <v>1076</v>
      </c>
      <c r="F11755" s="2" t="s">
        <v>17898</v>
      </c>
      <c r="G11755" s="2" t="str">
        <f>"SR-16484"</f>
        <v>SR-16484</v>
      </c>
      <c r="H11755" s="2" t="s">
        <v>47004</v>
      </c>
      <c r="I11755" s="2" t="s">
        <v>47005</v>
      </c>
      <c r="K11755" s="2" t="s">
        <v>2841</v>
      </c>
      <c r="L11755" s="2" t="s">
        <v>422</v>
      </c>
      <c r="M11755" s="2">
        <v>85226.0</v>
      </c>
      <c r="N11755" s="2" t="s">
        <v>21</v>
      </c>
    </row>
    <row r="11756" ht="15.75" customHeight="1">
      <c r="A11756" s="2">
        <v>2019.0</v>
      </c>
      <c r="B11756" s="2" t="s">
        <v>47006</v>
      </c>
      <c r="C11756" s="2" t="s">
        <v>47007</v>
      </c>
      <c r="D11756" s="2" t="str">
        <f>"352-872-5669"</f>
        <v>352-872-5669</v>
      </c>
      <c r="E11756" s="2" t="s">
        <v>8649</v>
      </c>
      <c r="F11756" s="2" t="s">
        <v>27654</v>
      </c>
      <c r="G11756" s="2" t="str">
        <f>"SR-15932"</f>
        <v>SR-15932</v>
      </c>
      <c r="H11756" s="2" t="s">
        <v>47008</v>
      </c>
      <c r="I11756" s="2" t="s">
        <v>47009</v>
      </c>
      <c r="K11756" s="2" t="s">
        <v>21389</v>
      </c>
      <c r="L11756" s="2" t="s">
        <v>208</v>
      </c>
      <c r="M11756" s="2">
        <v>32608.0</v>
      </c>
      <c r="N11756" s="2" t="s">
        <v>21</v>
      </c>
    </row>
    <row r="11757" ht="15.75" customHeight="1">
      <c r="A11757" s="2">
        <v>2019.0</v>
      </c>
      <c r="B11757" s="2" t="s">
        <v>29532</v>
      </c>
      <c r="C11757" s="2" t="s">
        <v>47010</v>
      </c>
      <c r="D11757" s="2" t="str">
        <f>"405-562-7096"</f>
        <v>405-562-7096</v>
      </c>
      <c r="E11757" s="2" t="s">
        <v>1263</v>
      </c>
      <c r="F11757" s="2" t="s">
        <v>29534</v>
      </c>
      <c r="G11757" s="2" t="str">
        <f>"SR-16485"</f>
        <v>SR-16485</v>
      </c>
      <c r="H11757" s="2" t="s">
        <v>47011</v>
      </c>
      <c r="I11757" s="2" t="s">
        <v>29536</v>
      </c>
      <c r="K11757" s="2" t="s">
        <v>1546</v>
      </c>
      <c r="L11757" s="2" t="s">
        <v>840</v>
      </c>
      <c r="M11757" s="2">
        <v>73025.0</v>
      </c>
      <c r="N11757" s="2" t="s">
        <v>21</v>
      </c>
    </row>
    <row r="11758" ht="15.75" customHeight="1">
      <c r="A11758" s="2">
        <v>2019.0</v>
      </c>
      <c r="B11758" s="2" t="s">
        <v>46980</v>
      </c>
      <c r="C11758" s="2" t="s">
        <v>47012</v>
      </c>
      <c r="D11758" s="2" t="str">
        <f>"7724948632"</f>
        <v>7724948632</v>
      </c>
      <c r="E11758" s="2" t="s">
        <v>3342</v>
      </c>
      <c r="F11758" s="2" t="s">
        <v>6869</v>
      </c>
      <c r="G11758" s="2" t="str">
        <f>"SR-16487"</f>
        <v>SR-16487</v>
      </c>
      <c r="H11758" s="2" t="s">
        <v>47013</v>
      </c>
      <c r="I11758" s="2" t="s">
        <v>46983</v>
      </c>
      <c r="K11758" s="2" t="s">
        <v>11560</v>
      </c>
      <c r="L11758" s="2" t="s">
        <v>208</v>
      </c>
      <c r="M11758" s="2">
        <v>32960.0</v>
      </c>
      <c r="N11758" s="2" t="s">
        <v>21</v>
      </c>
    </row>
    <row r="11759" ht="15.75" customHeight="1">
      <c r="A11759" s="2">
        <v>2019.0</v>
      </c>
      <c r="B11759" s="2" t="s">
        <v>47014</v>
      </c>
      <c r="C11759" s="2" t="s">
        <v>47015</v>
      </c>
      <c r="D11759" s="2" t="str">
        <f>"3192136220"</f>
        <v>3192136220</v>
      </c>
      <c r="E11759" s="2" t="s">
        <v>47016</v>
      </c>
      <c r="F11759" s="2" t="s">
        <v>47017</v>
      </c>
      <c r="G11759" s="2" t="str">
        <f>"SR-8871"</f>
        <v>SR-8871</v>
      </c>
      <c r="H11759" s="2" t="s">
        <v>47018</v>
      </c>
      <c r="I11759" s="2" t="s">
        <v>47019</v>
      </c>
      <c r="J11759" s="2" t="s">
        <v>47020</v>
      </c>
      <c r="K11759" s="2" t="s">
        <v>3273</v>
      </c>
      <c r="L11759" s="2" t="s">
        <v>560</v>
      </c>
      <c r="M11759" s="2">
        <v>52404.0</v>
      </c>
      <c r="N11759" s="2" t="s">
        <v>21</v>
      </c>
    </row>
    <row r="11760" ht="15.75" customHeight="1">
      <c r="A11760" s="2">
        <v>2019.0</v>
      </c>
      <c r="B11760" s="2" t="s">
        <v>47021</v>
      </c>
      <c r="D11760" s="2" t="str">
        <f>""</f>
        <v/>
      </c>
      <c r="E11760" s="2" t="s">
        <v>1088</v>
      </c>
      <c r="F11760" s="2" t="s">
        <v>47022</v>
      </c>
      <c r="G11760" s="2" t="str">
        <f>"SR-16457"</f>
        <v>SR-16457</v>
      </c>
      <c r="H11760" s="2" t="s">
        <v>47023</v>
      </c>
    </row>
    <row r="11761" ht="15.75" customHeight="1">
      <c r="A11761" s="2">
        <v>2019.0</v>
      </c>
      <c r="B11761" s="2" t="s">
        <v>47024</v>
      </c>
      <c r="C11761" s="2" t="s">
        <v>47025</v>
      </c>
      <c r="D11761" s="2" t="str">
        <f>"612.825.7521"</f>
        <v>612.825.7521</v>
      </c>
      <c r="E11761" s="2" t="s">
        <v>47026</v>
      </c>
      <c r="F11761" s="2" t="s">
        <v>47027</v>
      </c>
      <c r="G11761" s="2" t="str">
        <f>"SR-16491"</f>
        <v>SR-16491</v>
      </c>
      <c r="H11761" s="2" t="s">
        <v>47028</v>
      </c>
      <c r="I11761" s="2" t="s">
        <v>47029</v>
      </c>
      <c r="K11761" s="2" t="s">
        <v>1073</v>
      </c>
      <c r="L11761" s="2" t="s">
        <v>62</v>
      </c>
      <c r="M11761" s="2">
        <v>55417.0</v>
      </c>
      <c r="N11761" s="2" t="s">
        <v>21</v>
      </c>
    </row>
    <row r="11762" ht="15.75" customHeight="1">
      <c r="A11762" s="2">
        <v>2019.0</v>
      </c>
      <c r="B11762" s="2" t="s">
        <v>47030</v>
      </c>
      <c r="C11762" s="2" t="s">
        <v>47030</v>
      </c>
      <c r="D11762" s="2" t="str">
        <f>"5412705813"</f>
        <v>5412705813</v>
      </c>
      <c r="E11762" s="2" t="s">
        <v>14431</v>
      </c>
      <c r="F11762" s="2" t="s">
        <v>47031</v>
      </c>
      <c r="G11762" s="2" t="str">
        <f>"SR-16435"</f>
        <v>SR-16435</v>
      </c>
      <c r="H11762" s="2" t="s">
        <v>47032</v>
      </c>
      <c r="I11762" s="2" t="s">
        <v>47033</v>
      </c>
      <c r="K11762" s="2" t="s">
        <v>33825</v>
      </c>
      <c r="L11762" s="2" t="s">
        <v>2389</v>
      </c>
      <c r="M11762" s="2">
        <v>97365.0</v>
      </c>
      <c r="N11762" s="2" t="s">
        <v>21</v>
      </c>
    </row>
    <row r="11763" ht="15.75" customHeight="1">
      <c r="A11763" s="2">
        <v>2019.0</v>
      </c>
      <c r="B11763" s="2" t="s">
        <v>39818</v>
      </c>
      <c r="C11763" s="2" t="s">
        <v>47034</v>
      </c>
      <c r="D11763" s="2" t="str">
        <f>"(317) 709-0120"</f>
        <v>(317) 709-0120</v>
      </c>
      <c r="E11763" s="2" t="s">
        <v>217</v>
      </c>
      <c r="F11763" s="2" t="s">
        <v>24511</v>
      </c>
      <c r="G11763" s="2" t="str">
        <f>"SR-16497"</f>
        <v>SR-16497</v>
      </c>
      <c r="H11763" s="2" t="s">
        <v>47035</v>
      </c>
      <c r="I11763" s="2" t="s">
        <v>47036</v>
      </c>
      <c r="K11763" s="2" t="s">
        <v>2660</v>
      </c>
      <c r="L11763" s="2" t="s">
        <v>149</v>
      </c>
      <c r="M11763" s="2">
        <v>46037.0</v>
      </c>
      <c r="N11763" s="2" t="s">
        <v>21</v>
      </c>
    </row>
    <row r="11764" ht="15.75" customHeight="1">
      <c r="A11764" s="2">
        <v>2019.0</v>
      </c>
      <c r="B11764" s="2" t="s">
        <v>39818</v>
      </c>
      <c r="C11764" s="2" t="s">
        <v>47037</v>
      </c>
      <c r="D11764" s="2" t="str">
        <f>"317-773-0864"</f>
        <v>317-773-0864</v>
      </c>
      <c r="E11764" s="2" t="s">
        <v>1548</v>
      </c>
      <c r="F11764" s="2" t="s">
        <v>17860</v>
      </c>
      <c r="G11764" s="2" t="str">
        <f>"SR-16500"</f>
        <v>SR-16500</v>
      </c>
      <c r="H11764" s="2" t="s">
        <v>47038</v>
      </c>
      <c r="I11764" s="2" t="s">
        <v>47039</v>
      </c>
      <c r="K11764" s="2" t="s">
        <v>35013</v>
      </c>
      <c r="L11764" s="2" t="s">
        <v>149</v>
      </c>
      <c r="M11764" s="2">
        <v>46062.0</v>
      </c>
      <c r="N11764" s="2" t="s">
        <v>21</v>
      </c>
    </row>
    <row r="11765" ht="15.75" customHeight="1">
      <c r="A11765" s="2">
        <v>2019.0</v>
      </c>
      <c r="B11765" s="2" t="s">
        <v>47040</v>
      </c>
      <c r="C11765" s="2" t="s">
        <v>47040</v>
      </c>
      <c r="D11765" s="2" t="str">
        <f>"6164335822"</f>
        <v>6164335822</v>
      </c>
      <c r="E11765" s="2" t="s">
        <v>47041</v>
      </c>
      <c r="F11765" s="2" t="s">
        <v>47042</v>
      </c>
      <c r="G11765" s="2" t="str">
        <f>"SR-16477"</f>
        <v>SR-16477</v>
      </c>
      <c r="H11765" s="2" t="s">
        <v>47043</v>
      </c>
      <c r="I11765" s="2" t="s">
        <v>47044</v>
      </c>
      <c r="K11765" s="2" t="s">
        <v>382</v>
      </c>
      <c r="L11765" s="2" t="s">
        <v>29</v>
      </c>
      <c r="M11765" s="2">
        <v>49341.0</v>
      </c>
      <c r="N11765" s="2" t="s">
        <v>21</v>
      </c>
    </row>
    <row r="11766" ht="15.75" customHeight="1">
      <c r="A11766" s="2">
        <v>2019.0</v>
      </c>
      <c r="B11766" s="2" t="s">
        <v>47045</v>
      </c>
      <c r="C11766" s="2" t="s">
        <v>47046</v>
      </c>
      <c r="D11766" s="2" t="str">
        <f>"8652552682"</f>
        <v>8652552682</v>
      </c>
      <c r="E11766" s="2" t="s">
        <v>15</v>
      </c>
      <c r="F11766" s="2" t="s">
        <v>15431</v>
      </c>
      <c r="G11766" s="2" t="str">
        <f>"SR-16503"</f>
        <v>SR-16503</v>
      </c>
      <c r="H11766" s="2" t="s">
        <v>47047</v>
      </c>
      <c r="I11766" s="2" t="s">
        <v>47048</v>
      </c>
      <c r="K11766" s="2" t="s">
        <v>6168</v>
      </c>
      <c r="L11766" s="2" t="s">
        <v>279</v>
      </c>
      <c r="M11766" s="2">
        <v>37919.0</v>
      </c>
      <c r="N11766" s="2" t="s">
        <v>21</v>
      </c>
    </row>
    <row r="11767" ht="15.75" customHeight="1">
      <c r="A11767" s="2">
        <v>2019.0</v>
      </c>
      <c r="B11767" s="2" t="s">
        <v>47049</v>
      </c>
      <c r="C11767" s="2" t="s">
        <v>47049</v>
      </c>
      <c r="D11767" s="2" t="str">
        <f>"316-640-1619"</f>
        <v>316-640-1619</v>
      </c>
      <c r="E11767" s="2" t="s">
        <v>282</v>
      </c>
      <c r="F11767" s="2" t="s">
        <v>25109</v>
      </c>
      <c r="G11767" s="2" t="str">
        <f>"SR-16294"</f>
        <v>SR-16294</v>
      </c>
      <c r="H11767" s="2" t="s">
        <v>47050</v>
      </c>
      <c r="I11767" s="2" t="s">
        <v>47051</v>
      </c>
      <c r="K11767" s="2" t="s">
        <v>3530</v>
      </c>
      <c r="L11767" s="2" t="s">
        <v>272</v>
      </c>
      <c r="M11767" s="2">
        <v>67156.0</v>
      </c>
      <c r="N11767" s="2" t="s">
        <v>21</v>
      </c>
    </row>
    <row r="11768" ht="15.75" customHeight="1">
      <c r="A11768" s="2">
        <v>2019.0</v>
      </c>
      <c r="B11768" s="2" t="s">
        <v>47052</v>
      </c>
      <c r="C11768" s="2" t="s">
        <v>47053</v>
      </c>
      <c r="D11768" s="2" t="str">
        <f>"513-846-5616"</f>
        <v>513-846-5616</v>
      </c>
      <c r="E11768" s="2" t="s">
        <v>1094</v>
      </c>
      <c r="F11768" s="2" t="s">
        <v>33030</v>
      </c>
      <c r="G11768" s="2" t="str">
        <f>"SR-16504"</f>
        <v>SR-16504</v>
      </c>
      <c r="H11768" s="2" t="s">
        <v>47054</v>
      </c>
      <c r="I11768" s="2" t="s">
        <v>47055</v>
      </c>
      <c r="K11768" s="2" t="s">
        <v>8475</v>
      </c>
      <c r="L11768" s="2" t="s">
        <v>344</v>
      </c>
      <c r="M11768" s="2">
        <v>45176.0</v>
      </c>
      <c r="N11768" s="2" t="s">
        <v>21</v>
      </c>
    </row>
    <row r="11769" ht="15.75" customHeight="1">
      <c r="A11769" s="2">
        <v>2019.0</v>
      </c>
      <c r="B11769" s="2" t="s">
        <v>47056</v>
      </c>
      <c r="C11769" s="2" t="s">
        <v>47056</v>
      </c>
      <c r="D11769" s="2" t="str">
        <f>"15598276627"</f>
        <v>15598276627</v>
      </c>
      <c r="E11769" s="2" t="s">
        <v>47057</v>
      </c>
      <c r="F11769" s="2" t="s">
        <v>47058</v>
      </c>
      <c r="G11769" s="2" t="str">
        <f>"SR-16430"</f>
        <v>SR-16430</v>
      </c>
      <c r="H11769" s="2" t="s">
        <v>47059</v>
      </c>
      <c r="I11769" s="2" t="s">
        <v>47060</v>
      </c>
      <c r="K11769" s="2" t="s">
        <v>9776</v>
      </c>
      <c r="L11769" s="2" t="s">
        <v>222</v>
      </c>
      <c r="M11769" s="2">
        <v>93292.0</v>
      </c>
      <c r="N11769" s="2" t="s">
        <v>21</v>
      </c>
    </row>
    <row r="11770" ht="15.75" customHeight="1">
      <c r="A11770" s="2">
        <v>2019.0</v>
      </c>
      <c r="B11770" s="2" t="s">
        <v>47061</v>
      </c>
      <c r="C11770" s="2" t="s">
        <v>47061</v>
      </c>
      <c r="D11770" s="2" t="str">
        <f>"4693520955"</f>
        <v>4693520955</v>
      </c>
      <c r="E11770" s="2" t="s">
        <v>26826</v>
      </c>
      <c r="F11770" s="2" t="s">
        <v>2753</v>
      </c>
      <c r="G11770" s="2" t="str">
        <f>"SR-16507"</f>
        <v>SR-16507</v>
      </c>
      <c r="H11770" s="2" t="s">
        <v>47062</v>
      </c>
      <c r="I11770" s="2" t="s">
        <v>47063</v>
      </c>
      <c r="K11770" s="2" t="s">
        <v>44158</v>
      </c>
      <c r="L11770" s="2" t="s">
        <v>172</v>
      </c>
      <c r="M11770" s="2">
        <v>75019.0</v>
      </c>
      <c r="N11770" s="2" t="s">
        <v>21</v>
      </c>
    </row>
    <row r="11771" ht="15.75" customHeight="1">
      <c r="A11771" s="2">
        <v>2019.0</v>
      </c>
      <c r="B11771" s="2" t="s">
        <v>47064</v>
      </c>
      <c r="C11771" s="2" t="s">
        <v>47064</v>
      </c>
      <c r="D11771" s="2" t="str">
        <f>"817-265-8968"</f>
        <v>817-265-8968</v>
      </c>
      <c r="E11771" s="2" t="s">
        <v>1529</v>
      </c>
      <c r="F11771" s="2" t="s">
        <v>14349</v>
      </c>
      <c r="G11771" s="2" t="str">
        <f>"SR-16509"</f>
        <v>SR-16509</v>
      </c>
      <c r="H11771" s="2" t="s">
        <v>47065</v>
      </c>
      <c r="I11771" s="2" t="s">
        <v>47066</v>
      </c>
      <c r="K11771" s="2" t="s">
        <v>882</v>
      </c>
      <c r="L11771" s="2" t="s">
        <v>172</v>
      </c>
      <c r="M11771" s="2">
        <v>76013.0</v>
      </c>
      <c r="N11771" s="2" t="s">
        <v>21</v>
      </c>
    </row>
    <row r="11772" ht="15.75" customHeight="1">
      <c r="A11772" s="2">
        <v>2019.0</v>
      </c>
      <c r="B11772" s="2" t="s">
        <v>47067</v>
      </c>
      <c r="C11772" s="2" t="s">
        <v>47068</v>
      </c>
      <c r="D11772" s="2" t="str">
        <f>"9736180504"</f>
        <v>9736180504</v>
      </c>
      <c r="E11772" s="2" t="s">
        <v>250</v>
      </c>
      <c r="F11772" s="2" t="s">
        <v>217</v>
      </c>
      <c r="G11772" s="2" t="str">
        <f>"SR-16510"</f>
        <v>SR-16510</v>
      </c>
      <c r="H11772" s="2" t="s">
        <v>47069</v>
      </c>
      <c r="I11772" s="2" t="s">
        <v>47070</v>
      </c>
      <c r="K11772" s="2" t="s">
        <v>47071</v>
      </c>
      <c r="L11772" s="2" t="s">
        <v>3618</v>
      </c>
      <c r="M11772" s="2">
        <v>7006.0</v>
      </c>
      <c r="N11772" s="2" t="s">
        <v>21</v>
      </c>
    </row>
    <row r="11773" ht="15.75" customHeight="1">
      <c r="A11773" s="2">
        <v>2019.0</v>
      </c>
      <c r="B11773" s="2" t="s">
        <v>47072</v>
      </c>
      <c r="C11773" s="2" t="s">
        <v>47072</v>
      </c>
      <c r="D11773" s="2" t="str">
        <f>"307-630-3050"</f>
        <v>307-630-3050</v>
      </c>
      <c r="E11773" s="2" t="s">
        <v>705</v>
      </c>
      <c r="F11773" s="2" t="s">
        <v>47073</v>
      </c>
      <c r="G11773" s="2" t="str">
        <f>"SR-15075"</f>
        <v>SR-15075</v>
      </c>
      <c r="H11773" s="2" t="s">
        <v>47074</v>
      </c>
      <c r="I11773" s="2" t="s">
        <v>47075</v>
      </c>
      <c r="K11773" s="2" t="s">
        <v>47076</v>
      </c>
      <c r="L11773" s="2" t="s">
        <v>1540</v>
      </c>
      <c r="M11773" s="2">
        <v>82009.0</v>
      </c>
      <c r="N11773" s="2" t="s">
        <v>21</v>
      </c>
    </row>
    <row r="11774" ht="15.75" customHeight="1">
      <c r="A11774" s="2">
        <v>2019.0</v>
      </c>
      <c r="B11774" s="2" t="s">
        <v>47077</v>
      </c>
      <c r="C11774" s="2" t="s">
        <v>47078</v>
      </c>
      <c r="D11774" s="2" t="str">
        <f>"7636003798"</f>
        <v>7636003798</v>
      </c>
      <c r="E11774" s="2" t="s">
        <v>2162</v>
      </c>
      <c r="F11774" s="2" t="s">
        <v>24587</v>
      </c>
      <c r="G11774" s="2" t="str">
        <f>"SR-16518"</f>
        <v>SR-16518</v>
      </c>
      <c r="H11774" s="2" t="s">
        <v>47079</v>
      </c>
      <c r="I11774" s="2" t="s">
        <v>47080</v>
      </c>
      <c r="K11774" s="2" t="s">
        <v>10904</v>
      </c>
      <c r="L11774" s="2" t="s">
        <v>62</v>
      </c>
      <c r="M11774" s="2">
        <v>55313.0</v>
      </c>
      <c r="N11774" s="2" t="s">
        <v>21</v>
      </c>
    </row>
    <row r="11775" ht="15.75" customHeight="1">
      <c r="A11775" s="2">
        <v>2019.0</v>
      </c>
      <c r="B11775" s="2" t="s">
        <v>47081</v>
      </c>
      <c r="C11775" s="2" t="s">
        <v>47081</v>
      </c>
      <c r="D11775" s="2" t="str">
        <f>"9319825199"</f>
        <v>9319825199</v>
      </c>
      <c r="E11775" s="2" t="s">
        <v>2361</v>
      </c>
      <c r="F11775" s="2" t="s">
        <v>718</v>
      </c>
      <c r="G11775" s="2" t="str">
        <f>"SR-16517"</f>
        <v>SR-16517</v>
      </c>
      <c r="H11775" s="2" t="s">
        <v>47082</v>
      </c>
      <c r="I11775" s="2" t="s">
        <v>47083</v>
      </c>
      <c r="K11775" s="2" t="s">
        <v>7445</v>
      </c>
      <c r="L11775" s="2" t="s">
        <v>279</v>
      </c>
      <c r="M11775" s="2">
        <v>37174.0</v>
      </c>
      <c r="N11775" s="2" t="s">
        <v>21</v>
      </c>
    </row>
    <row r="11776" ht="15.75" customHeight="1">
      <c r="A11776" s="2">
        <v>2019.0</v>
      </c>
      <c r="B11776" s="2" t="s">
        <v>47084</v>
      </c>
      <c r="C11776" s="2" t="s">
        <v>43176</v>
      </c>
      <c r="D11776" s="2" t="str">
        <f>"7193215904"</f>
        <v>7193215904</v>
      </c>
      <c r="E11776" s="2" t="s">
        <v>718</v>
      </c>
      <c r="F11776" s="2" t="s">
        <v>43177</v>
      </c>
      <c r="G11776" s="2" t="str">
        <f>"SR-14403"</f>
        <v>SR-14403</v>
      </c>
      <c r="H11776" s="2" t="s">
        <v>43178</v>
      </c>
      <c r="I11776" s="2" t="s">
        <v>43179</v>
      </c>
      <c r="K11776" s="2" t="s">
        <v>809</v>
      </c>
      <c r="L11776" s="2" t="s">
        <v>157</v>
      </c>
      <c r="M11776" s="2">
        <v>80918.0</v>
      </c>
      <c r="N11776" s="2" t="s">
        <v>21</v>
      </c>
    </row>
    <row r="11777" ht="15.75" customHeight="1">
      <c r="A11777" s="2">
        <v>2019.0</v>
      </c>
      <c r="B11777" s="2" t="s">
        <v>47085</v>
      </c>
      <c r="C11777" s="2" t="s">
        <v>47085</v>
      </c>
      <c r="D11777" s="2" t="str">
        <f>"2629555925"</f>
        <v>2629555925</v>
      </c>
      <c r="E11777" s="2" t="s">
        <v>2361</v>
      </c>
      <c r="F11777" s="2" t="s">
        <v>6624</v>
      </c>
      <c r="G11777" s="2" t="str">
        <f>"SR-16523"</f>
        <v>SR-16523</v>
      </c>
      <c r="H11777" s="2" t="s">
        <v>47086</v>
      </c>
      <c r="I11777" s="2" t="s">
        <v>12286</v>
      </c>
      <c r="K11777" s="2" t="s">
        <v>12287</v>
      </c>
      <c r="L11777" s="2" t="s">
        <v>193</v>
      </c>
      <c r="M11777" s="2">
        <v>53058.0</v>
      </c>
      <c r="N11777" s="2" t="s">
        <v>21</v>
      </c>
    </row>
    <row r="11778" ht="15.75" customHeight="1">
      <c r="A11778" s="2">
        <v>2019.0</v>
      </c>
      <c r="B11778" s="2" t="s">
        <v>47087</v>
      </c>
      <c r="C11778" s="2" t="s">
        <v>47088</v>
      </c>
      <c r="D11778" s="2" t="str">
        <f>"6126707734"</f>
        <v>6126707734</v>
      </c>
      <c r="E11778" s="2" t="s">
        <v>3878</v>
      </c>
      <c r="F11778" s="2" t="s">
        <v>47089</v>
      </c>
      <c r="G11778" s="2" t="str">
        <f>"SR-16524"</f>
        <v>SR-16524</v>
      </c>
      <c r="H11778" s="2" t="s">
        <v>47090</v>
      </c>
      <c r="I11778" s="2" t="s">
        <v>47091</v>
      </c>
      <c r="K11778" s="2" t="s">
        <v>31937</v>
      </c>
      <c r="L11778" s="2" t="s">
        <v>62</v>
      </c>
      <c r="M11778" s="2">
        <v>55359.0</v>
      </c>
      <c r="N11778" s="2" t="s">
        <v>21</v>
      </c>
    </row>
    <row r="11779" ht="15.75" customHeight="1">
      <c r="A11779" s="2">
        <v>2019.0</v>
      </c>
      <c r="B11779" s="2" t="s">
        <v>47092</v>
      </c>
      <c r="C11779" s="2" t="s">
        <v>47093</v>
      </c>
      <c r="D11779" s="2" t="str">
        <f>"719-235-1218"</f>
        <v>719-235-1218</v>
      </c>
      <c r="E11779" s="2" t="s">
        <v>1233</v>
      </c>
      <c r="F11779" s="2" t="s">
        <v>15293</v>
      </c>
      <c r="G11779" s="2" t="str">
        <f>"SR-16505"</f>
        <v>SR-16505</v>
      </c>
      <c r="H11779" s="2" t="s">
        <v>47094</v>
      </c>
      <c r="I11779" s="2" t="s">
        <v>47095</v>
      </c>
      <c r="K11779" s="2" t="s">
        <v>507</v>
      </c>
      <c r="L11779" s="2" t="s">
        <v>157</v>
      </c>
      <c r="M11779" s="2">
        <v>80132.0</v>
      </c>
      <c r="N11779" s="2" t="s">
        <v>21</v>
      </c>
    </row>
    <row r="11780" ht="15.75" customHeight="1">
      <c r="A11780" s="2">
        <v>2019.0</v>
      </c>
      <c r="B11780" s="2" t="s">
        <v>47096</v>
      </c>
      <c r="C11780" s="2" t="s">
        <v>47096</v>
      </c>
      <c r="D11780" s="2" t="str">
        <f>"7034796691"</f>
        <v>7034796691</v>
      </c>
      <c r="E11780" s="2" t="s">
        <v>1015</v>
      </c>
      <c r="F11780" s="2" t="s">
        <v>47097</v>
      </c>
      <c r="G11780" s="2" t="str">
        <f>"SR-15977"</f>
        <v>SR-15977</v>
      </c>
      <c r="H11780" s="2" t="s">
        <v>47098</v>
      </c>
      <c r="I11780" s="2" t="s">
        <v>47099</v>
      </c>
      <c r="K11780" s="2" t="s">
        <v>12516</v>
      </c>
      <c r="L11780" s="2" t="s">
        <v>165</v>
      </c>
      <c r="M11780" s="2">
        <v>20169.0</v>
      </c>
      <c r="N11780" s="2" t="s">
        <v>21</v>
      </c>
    </row>
    <row r="11781" ht="15.75" customHeight="1">
      <c r="A11781" s="2">
        <v>2019.0</v>
      </c>
      <c r="B11781" s="2" t="s">
        <v>39818</v>
      </c>
      <c r="C11781" s="2" t="s">
        <v>47100</v>
      </c>
      <c r="D11781" s="2" t="str">
        <f>"(317) 970-3572"</f>
        <v>(317) 970-3572</v>
      </c>
      <c r="E11781" s="2" t="s">
        <v>1848</v>
      </c>
      <c r="F11781" s="2" t="s">
        <v>24507</v>
      </c>
      <c r="G11781" s="2" t="str">
        <f>"SR-16525"</f>
        <v>SR-16525</v>
      </c>
      <c r="H11781" s="2" t="s">
        <v>47101</v>
      </c>
      <c r="I11781" s="2" t="s">
        <v>47102</v>
      </c>
      <c r="K11781" s="2" t="s">
        <v>1188</v>
      </c>
      <c r="L11781" s="2" t="s">
        <v>149</v>
      </c>
      <c r="M11781" s="2">
        <v>46236.0</v>
      </c>
      <c r="N11781" s="2" t="s">
        <v>21</v>
      </c>
    </row>
    <row r="11782" ht="15.75" customHeight="1">
      <c r="A11782" s="2">
        <v>2019.0</v>
      </c>
      <c r="B11782" s="2" t="s">
        <v>39818</v>
      </c>
      <c r="C11782" s="2" t="s">
        <v>47103</v>
      </c>
      <c r="D11782" s="2" t="str">
        <f>"(317) 703-5278"</f>
        <v>(317) 703-5278</v>
      </c>
      <c r="E11782" s="2" t="s">
        <v>5335</v>
      </c>
      <c r="F11782" s="2" t="s">
        <v>47104</v>
      </c>
      <c r="G11782" s="2" t="str">
        <f>"SR-16526"</f>
        <v>SR-16526</v>
      </c>
      <c r="H11782" s="2" t="s">
        <v>47105</v>
      </c>
      <c r="I11782" s="2" t="s">
        <v>47106</v>
      </c>
      <c r="K11782" s="2" t="s">
        <v>10407</v>
      </c>
      <c r="L11782" s="2" t="s">
        <v>149</v>
      </c>
      <c r="M11782" s="2">
        <v>46033.0</v>
      </c>
      <c r="N11782" s="2" t="s">
        <v>21</v>
      </c>
    </row>
    <row r="11783" ht="15.75" customHeight="1">
      <c r="A11783" s="2">
        <v>2019.0</v>
      </c>
      <c r="B11783" s="2" t="s">
        <v>47107</v>
      </c>
      <c r="C11783" s="2" t="s">
        <v>47108</v>
      </c>
      <c r="D11783" s="2" t="str">
        <f>"972-951-2423"</f>
        <v>972-951-2423</v>
      </c>
      <c r="E11783" s="2" t="s">
        <v>282</v>
      </c>
      <c r="F11783" s="2" t="s">
        <v>47109</v>
      </c>
      <c r="G11783" s="2" t="str">
        <f>"SR-15203"</f>
        <v>SR-15203</v>
      </c>
      <c r="H11783" s="2" t="s">
        <v>47110</v>
      </c>
      <c r="I11783" s="2" t="s">
        <v>47111</v>
      </c>
      <c r="K11783" s="2" t="s">
        <v>809</v>
      </c>
      <c r="L11783" s="2" t="s">
        <v>157</v>
      </c>
      <c r="M11783" s="2">
        <v>80908.0</v>
      </c>
      <c r="N11783" s="2" t="s">
        <v>21</v>
      </c>
    </row>
    <row r="11784" ht="15.75" customHeight="1">
      <c r="A11784" s="2">
        <v>2019.0</v>
      </c>
      <c r="B11784" s="2" t="s">
        <v>47112</v>
      </c>
      <c r="C11784" s="2" t="s">
        <v>47113</v>
      </c>
      <c r="D11784" s="2" t="str">
        <f>"3012623879"</f>
        <v>3012623879</v>
      </c>
      <c r="E11784" s="2" t="s">
        <v>453</v>
      </c>
      <c r="F11784" s="2" t="s">
        <v>1756</v>
      </c>
      <c r="G11784" s="2" t="str">
        <f>"SR-16528"</f>
        <v>SR-16528</v>
      </c>
      <c r="H11784" s="2" t="s">
        <v>47114</v>
      </c>
      <c r="I11784" s="2" t="s">
        <v>47115</v>
      </c>
      <c r="K11784" s="2" t="s">
        <v>3070</v>
      </c>
      <c r="L11784" s="2" t="s">
        <v>1868</v>
      </c>
      <c r="M11784" s="2">
        <v>20715.0</v>
      </c>
      <c r="N11784" s="2" t="s">
        <v>21</v>
      </c>
    </row>
    <row r="11785" ht="15.75" customHeight="1">
      <c r="A11785" s="2">
        <v>2019.0</v>
      </c>
      <c r="B11785" s="2" t="s">
        <v>39760</v>
      </c>
      <c r="C11785" s="2" t="s">
        <v>39761</v>
      </c>
      <c r="D11785" s="2" t="str">
        <f>"8032800398"</f>
        <v>8032800398</v>
      </c>
      <c r="E11785" s="2" t="s">
        <v>3597</v>
      </c>
      <c r="F11785" s="2" t="s">
        <v>39762</v>
      </c>
      <c r="G11785" s="2" t="str">
        <f>"SR-13506"</f>
        <v>SR-13506</v>
      </c>
      <c r="H11785" s="2" t="s">
        <v>39763</v>
      </c>
      <c r="I11785" s="2" t="s">
        <v>39764</v>
      </c>
      <c r="K11785" s="2" t="s">
        <v>632</v>
      </c>
      <c r="L11785" s="2" t="s">
        <v>172</v>
      </c>
      <c r="M11785" s="2">
        <v>78253.0</v>
      </c>
      <c r="N11785" s="2" t="s">
        <v>21</v>
      </c>
    </row>
    <row r="11786" ht="15.75" customHeight="1">
      <c r="A11786" s="2">
        <v>2019.0</v>
      </c>
      <c r="B11786" s="2" t="s">
        <v>47116</v>
      </c>
      <c r="C11786" s="2" t="s">
        <v>47117</v>
      </c>
      <c r="D11786" s="2" t="str">
        <f>"9016748700"</f>
        <v>9016748700</v>
      </c>
      <c r="E11786" s="2" t="s">
        <v>385</v>
      </c>
      <c r="F11786" s="2" t="s">
        <v>47118</v>
      </c>
      <c r="G11786" s="2" t="str">
        <f>"SR-16534"</f>
        <v>SR-16534</v>
      </c>
      <c r="H11786" s="2" t="s">
        <v>47119</v>
      </c>
      <c r="I11786" s="2" t="s">
        <v>47120</v>
      </c>
      <c r="K11786" s="2" t="s">
        <v>47121</v>
      </c>
      <c r="L11786" s="2" t="s">
        <v>279</v>
      </c>
      <c r="M11786" s="2">
        <v>38017.0</v>
      </c>
      <c r="N11786" s="2" t="s">
        <v>21</v>
      </c>
    </row>
    <row r="11787" ht="15.75" customHeight="1">
      <c r="A11787" s="2">
        <v>2019.0</v>
      </c>
      <c r="B11787" s="2" t="s">
        <v>47122</v>
      </c>
      <c r="C11787" s="2" t="s">
        <v>47123</v>
      </c>
      <c r="D11787" s="2" t="str">
        <f>"2318836963"</f>
        <v>2318836963</v>
      </c>
      <c r="E11787" s="2" t="s">
        <v>47124</v>
      </c>
      <c r="F11787" s="2" t="s">
        <v>13952</v>
      </c>
      <c r="G11787" s="2" t="str">
        <f>"SR-16445"</f>
        <v>SR-16445</v>
      </c>
      <c r="H11787" s="2" t="s">
        <v>47125</v>
      </c>
      <c r="I11787" s="2" t="s">
        <v>47126</v>
      </c>
      <c r="J11787" s="2" t="s">
        <v>47127</v>
      </c>
      <c r="K11787" s="2" t="s">
        <v>34290</v>
      </c>
      <c r="L11787" s="2" t="s">
        <v>29</v>
      </c>
      <c r="M11787" s="2">
        <v>48825.0</v>
      </c>
      <c r="N11787" s="2" t="s">
        <v>21</v>
      </c>
    </row>
    <row r="11788" ht="15.75" customHeight="1">
      <c r="A11788" s="2">
        <v>2019.0</v>
      </c>
      <c r="B11788" s="2" t="s">
        <v>47128</v>
      </c>
      <c r="C11788" s="2" t="s">
        <v>47129</v>
      </c>
      <c r="D11788" s="2" t="str">
        <f>"6419395004"</f>
        <v>6419395004</v>
      </c>
      <c r="E11788" s="2" t="s">
        <v>13309</v>
      </c>
      <c r="F11788" s="2" t="s">
        <v>47130</v>
      </c>
      <c r="G11788" s="2" t="str">
        <f>"SR-15891"</f>
        <v>SR-15891</v>
      </c>
      <c r="H11788" s="2" t="s">
        <v>47131</v>
      </c>
      <c r="I11788" s="2" t="s">
        <v>47132</v>
      </c>
      <c r="K11788" s="2" t="s">
        <v>47133</v>
      </c>
      <c r="L11788" s="2" t="s">
        <v>560</v>
      </c>
      <c r="M11788" s="2">
        <v>50627.0</v>
      </c>
      <c r="N11788" s="2" t="s">
        <v>21</v>
      </c>
    </row>
    <row r="11789" ht="15.75" customHeight="1">
      <c r="A11789" s="2">
        <v>2019.0</v>
      </c>
      <c r="B11789" s="2" t="s">
        <v>47128</v>
      </c>
      <c r="C11789" s="2" t="s">
        <v>47134</v>
      </c>
      <c r="D11789" s="2" t="str">
        <f>"641-849-0821"</f>
        <v>641-849-0821</v>
      </c>
      <c r="E11789" s="2" t="s">
        <v>2162</v>
      </c>
      <c r="F11789" s="2" t="s">
        <v>47130</v>
      </c>
      <c r="G11789" s="2" t="str">
        <f>"SR-16543"</f>
        <v>SR-16543</v>
      </c>
      <c r="H11789" s="2" t="s">
        <v>47135</v>
      </c>
      <c r="I11789" s="2" t="s">
        <v>47132</v>
      </c>
      <c r="K11789" s="2" t="s">
        <v>47133</v>
      </c>
      <c r="L11789" s="2" t="s">
        <v>560</v>
      </c>
      <c r="M11789" s="2">
        <v>50627.0</v>
      </c>
      <c r="N11789" s="2" t="s">
        <v>21</v>
      </c>
    </row>
    <row r="11790" ht="15.75" customHeight="1">
      <c r="A11790" s="2">
        <v>2019.0</v>
      </c>
      <c r="B11790" s="2" t="s">
        <v>47136</v>
      </c>
      <c r="C11790" s="2" t="s">
        <v>47137</v>
      </c>
      <c r="D11790" s="2" t="str">
        <f>"4194966275"</f>
        <v>4194966275</v>
      </c>
      <c r="E11790" s="2" t="s">
        <v>4300</v>
      </c>
      <c r="F11790" s="2" t="s">
        <v>47138</v>
      </c>
      <c r="G11790" s="2" t="str">
        <f>"SR-16544"</f>
        <v>SR-16544</v>
      </c>
      <c r="H11790" s="2" t="s">
        <v>47139</v>
      </c>
      <c r="I11790" s="2" t="s">
        <v>47140</v>
      </c>
      <c r="K11790" s="2" t="s">
        <v>47141</v>
      </c>
      <c r="L11790" s="2" t="s">
        <v>3618</v>
      </c>
      <c r="M11790" s="2">
        <v>7069.0</v>
      </c>
      <c r="N11790" s="2" t="s">
        <v>21</v>
      </c>
    </row>
    <row r="11791" ht="15.75" customHeight="1">
      <c r="A11791" s="2">
        <v>2019.0</v>
      </c>
      <c r="B11791" s="2" t="s">
        <v>47142</v>
      </c>
      <c r="C11791" s="2" t="s">
        <v>47142</v>
      </c>
      <c r="D11791" s="2" t="str">
        <f>"(830) 313-8245"</f>
        <v>(830) 313-8245</v>
      </c>
      <c r="E11791" s="2" t="s">
        <v>6266</v>
      </c>
      <c r="F11791" s="2" t="s">
        <v>47143</v>
      </c>
      <c r="G11791" s="2" t="str">
        <f>"SR-16529"</f>
        <v>SR-16529</v>
      </c>
      <c r="H11791" s="2" t="s">
        <v>47144</v>
      </c>
      <c r="I11791" s="2" t="s">
        <v>47145</v>
      </c>
      <c r="K11791" s="2" t="s">
        <v>47146</v>
      </c>
      <c r="L11791" s="2" t="s">
        <v>172</v>
      </c>
      <c r="M11791" s="2">
        <v>78840.0</v>
      </c>
      <c r="N11791" s="2" t="s">
        <v>21</v>
      </c>
    </row>
    <row r="11792" ht="15.75" customHeight="1">
      <c r="A11792" s="2">
        <v>2019.0</v>
      </c>
      <c r="B11792" s="2" t="s">
        <v>37781</v>
      </c>
      <c r="C11792" s="2" t="s">
        <v>47147</v>
      </c>
      <c r="D11792" s="2" t="str">
        <f>"4024973607"</f>
        <v>4024973607</v>
      </c>
      <c r="E11792" s="2" t="s">
        <v>5583</v>
      </c>
      <c r="F11792" s="2" t="s">
        <v>29927</v>
      </c>
      <c r="G11792" s="2" t="str">
        <f>"SR-16386"</f>
        <v>SR-16386</v>
      </c>
      <c r="H11792" s="2" t="s">
        <v>47148</v>
      </c>
      <c r="I11792" s="2" t="s">
        <v>29929</v>
      </c>
      <c r="K11792" s="2" t="s">
        <v>29930</v>
      </c>
      <c r="L11792" s="2" t="s">
        <v>757</v>
      </c>
      <c r="M11792" s="2">
        <v>68778.0</v>
      </c>
      <c r="N11792" s="2" t="s">
        <v>21</v>
      </c>
    </row>
    <row r="11793" ht="15.75" customHeight="1">
      <c r="A11793" s="2">
        <v>2019.0</v>
      </c>
      <c r="B11793" s="2" t="s">
        <v>47149</v>
      </c>
      <c r="C11793" s="2" t="s">
        <v>47149</v>
      </c>
      <c r="D11793" s="2" t="str">
        <f>"724-372-9216"</f>
        <v>724-372-9216</v>
      </c>
      <c r="E11793" s="2" t="s">
        <v>47150</v>
      </c>
      <c r="F11793" s="2" t="s">
        <v>2063</v>
      </c>
      <c r="G11793" s="2" t="str">
        <f>"SR-16545"</f>
        <v>SR-16545</v>
      </c>
      <c r="H11793" s="2" t="s">
        <v>47151</v>
      </c>
      <c r="I11793" s="2" t="s">
        <v>47152</v>
      </c>
      <c r="K11793" s="2" t="s">
        <v>47153</v>
      </c>
      <c r="L11793" s="2" t="s">
        <v>179</v>
      </c>
      <c r="M11793" s="2">
        <v>16127.0</v>
      </c>
      <c r="N11793" s="2" t="s">
        <v>21</v>
      </c>
    </row>
    <row r="11794" ht="15.75" customHeight="1">
      <c r="A11794" s="2">
        <v>2019.0</v>
      </c>
      <c r="B11794" s="2" t="s">
        <v>47154</v>
      </c>
      <c r="C11794" s="2" t="s">
        <v>47155</v>
      </c>
      <c r="D11794" s="2" t="str">
        <f>"605-610-5335"</f>
        <v>605-610-5335</v>
      </c>
      <c r="E11794" s="2" t="s">
        <v>4763</v>
      </c>
      <c r="F11794" s="2" t="s">
        <v>7724</v>
      </c>
      <c r="G11794" s="2" t="str">
        <f>"SR-16511"</f>
        <v>SR-16511</v>
      </c>
      <c r="H11794" s="2" t="s">
        <v>47156</v>
      </c>
      <c r="I11794" s="2" t="s">
        <v>47157</v>
      </c>
      <c r="J11794" s="2" t="s">
        <v>47158</v>
      </c>
      <c r="K11794" s="2" t="s">
        <v>920</v>
      </c>
      <c r="L11794" s="2" t="s">
        <v>920</v>
      </c>
      <c r="M11794" s="2">
        <v>57077.0</v>
      </c>
      <c r="N11794" s="2" t="s">
        <v>21</v>
      </c>
    </row>
    <row r="11795" ht="15.75" customHeight="1">
      <c r="A11795" s="2">
        <v>2019.0</v>
      </c>
      <c r="B11795" s="2" t="s">
        <v>47159</v>
      </c>
      <c r="C11795" s="2" t="s">
        <v>47159</v>
      </c>
      <c r="D11795" s="2" t="str">
        <f>"9013557407"</f>
        <v>9013557407</v>
      </c>
      <c r="E11795" s="2" t="s">
        <v>18715</v>
      </c>
      <c r="F11795" s="2" t="s">
        <v>10417</v>
      </c>
      <c r="G11795" s="2" t="str">
        <f>"SR-16552"</f>
        <v>SR-16552</v>
      </c>
      <c r="H11795" s="2" t="s">
        <v>47160</v>
      </c>
      <c r="I11795" s="2" t="s">
        <v>47161</v>
      </c>
      <c r="K11795" s="2" t="s">
        <v>47162</v>
      </c>
      <c r="L11795" s="2" t="s">
        <v>279</v>
      </c>
      <c r="M11795" s="2">
        <v>38015.0</v>
      </c>
      <c r="N11795" s="2" t="s">
        <v>21</v>
      </c>
    </row>
    <row r="11796" ht="15.75" customHeight="1">
      <c r="A11796" s="2">
        <v>2019.0</v>
      </c>
      <c r="B11796" s="2" t="s">
        <v>47163</v>
      </c>
      <c r="C11796" s="2" t="s">
        <v>47164</v>
      </c>
      <c r="D11796" s="2" t="str">
        <f>"4355924868"</f>
        <v>4355924868</v>
      </c>
      <c r="E11796" s="2" t="s">
        <v>26211</v>
      </c>
      <c r="F11796" s="2" t="s">
        <v>11361</v>
      </c>
      <c r="G11796" s="2" t="str">
        <f>"SR-16553"</f>
        <v>SR-16553</v>
      </c>
      <c r="H11796" s="2" t="s">
        <v>47165</v>
      </c>
      <c r="I11796" s="2" t="s">
        <v>47166</v>
      </c>
      <c r="K11796" s="2" t="s">
        <v>47167</v>
      </c>
      <c r="L11796" s="2" t="s">
        <v>763</v>
      </c>
      <c r="M11796" s="2">
        <v>84757.0</v>
      </c>
      <c r="N11796" s="2" t="s">
        <v>21</v>
      </c>
    </row>
    <row r="11797" ht="15.75" customHeight="1">
      <c r="A11797" s="2">
        <v>2019.0</v>
      </c>
      <c r="B11797" s="2" t="s">
        <v>36310</v>
      </c>
      <c r="C11797" s="2" t="s">
        <v>36310</v>
      </c>
      <c r="D11797" s="2" t="str">
        <f>"913 980 8694"</f>
        <v>913 980 8694</v>
      </c>
      <c r="E11797" s="2" t="s">
        <v>217</v>
      </c>
      <c r="F11797" s="2" t="s">
        <v>36318</v>
      </c>
      <c r="G11797" s="2" t="str">
        <f>"SR-14785"</f>
        <v>SR-14785</v>
      </c>
      <c r="H11797" s="2" t="s">
        <v>47168</v>
      </c>
      <c r="I11797" s="2" t="s">
        <v>36315</v>
      </c>
      <c r="K11797" s="2" t="s">
        <v>36316</v>
      </c>
      <c r="L11797" s="2" t="s">
        <v>157</v>
      </c>
      <c r="M11797" s="2">
        <v>80132.0</v>
      </c>
      <c r="N11797" s="2" t="s">
        <v>21</v>
      </c>
    </row>
    <row r="11798" ht="15.75" customHeight="1">
      <c r="A11798" s="2">
        <v>2019.0</v>
      </c>
      <c r="B11798" s="2" t="s">
        <v>47169</v>
      </c>
      <c r="C11798" s="2" t="s">
        <v>47170</v>
      </c>
      <c r="D11798" s="2" t="str">
        <f>"9706904205"</f>
        <v>9706904205</v>
      </c>
      <c r="E11798" s="2" t="s">
        <v>15048</v>
      </c>
      <c r="F11798" s="2" t="s">
        <v>47171</v>
      </c>
      <c r="G11798" s="2" t="str">
        <f>"SR-15971"</f>
        <v>SR-15971</v>
      </c>
      <c r="H11798" s="2" t="s">
        <v>47172</v>
      </c>
      <c r="I11798" s="2" t="s">
        <v>47173</v>
      </c>
      <c r="K11798" s="2" t="s">
        <v>47174</v>
      </c>
      <c r="L11798" s="2" t="s">
        <v>157</v>
      </c>
      <c r="M11798" s="2">
        <v>80525.0</v>
      </c>
      <c r="N11798" s="2" t="s">
        <v>21</v>
      </c>
    </row>
    <row r="11799" ht="15.75" customHeight="1">
      <c r="A11799" s="2">
        <v>2019.0</v>
      </c>
      <c r="B11799" s="2" t="s">
        <v>46179</v>
      </c>
      <c r="C11799" s="2" t="s">
        <v>47175</v>
      </c>
      <c r="D11799" s="2" t="str">
        <f>"7194405435"</f>
        <v>7194405435</v>
      </c>
      <c r="E11799" s="2" t="s">
        <v>13609</v>
      </c>
      <c r="F11799" s="2" t="s">
        <v>283</v>
      </c>
      <c r="G11799" s="2" t="str">
        <f>"SR-16173"</f>
        <v>SR-16173</v>
      </c>
      <c r="H11799" s="2" t="s">
        <v>47176</v>
      </c>
      <c r="I11799" s="2" t="s">
        <v>46182</v>
      </c>
      <c r="K11799" s="2" t="s">
        <v>809</v>
      </c>
      <c r="L11799" s="2" t="s">
        <v>157</v>
      </c>
      <c r="M11799" s="2">
        <v>80918.0</v>
      </c>
      <c r="N11799" s="2" t="s">
        <v>21</v>
      </c>
    </row>
    <row r="11800" ht="15.75" customHeight="1">
      <c r="A11800" s="2">
        <v>2019.0</v>
      </c>
      <c r="B11800" s="2" t="s">
        <v>47177</v>
      </c>
      <c r="C11800" s="2" t="s">
        <v>47178</v>
      </c>
      <c r="D11800" s="2" t="str">
        <f>"6154912545"</f>
        <v>6154912545</v>
      </c>
      <c r="E11800" s="2" t="s">
        <v>1101</v>
      </c>
      <c r="F11800" s="2" t="s">
        <v>4330</v>
      </c>
      <c r="G11800" s="2" t="str">
        <f>"SR-16554"</f>
        <v>SR-16554</v>
      </c>
      <c r="H11800" s="2" t="s">
        <v>47179</v>
      </c>
      <c r="I11800" s="2" t="s">
        <v>47180</v>
      </c>
      <c r="K11800" s="2" t="s">
        <v>594</v>
      </c>
      <c r="L11800" s="2" t="s">
        <v>279</v>
      </c>
      <c r="M11800" s="2">
        <v>37398.0</v>
      </c>
      <c r="N11800" s="2" t="s">
        <v>21</v>
      </c>
    </row>
    <row r="11801" ht="15.75" customHeight="1">
      <c r="A11801" s="2">
        <v>2019.0</v>
      </c>
      <c r="B11801" s="2" t="s">
        <v>47181</v>
      </c>
      <c r="C11801" s="2" t="s">
        <v>47182</v>
      </c>
      <c r="D11801" s="2" t="str">
        <f>"8177576916"</f>
        <v>8177576916</v>
      </c>
      <c r="E11801" s="2" t="s">
        <v>503</v>
      </c>
      <c r="F11801" s="2" t="s">
        <v>47183</v>
      </c>
      <c r="G11801" s="2" t="str">
        <f>"SR-16556"</f>
        <v>SR-16556</v>
      </c>
      <c r="H11801" s="2" t="s">
        <v>47184</v>
      </c>
      <c r="I11801" s="2" t="s">
        <v>47185</v>
      </c>
      <c r="K11801" s="2" t="s">
        <v>5729</v>
      </c>
      <c r="L11801" s="2" t="s">
        <v>172</v>
      </c>
      <c r="M11801" s="2">
        <v>76085.0</v>
      </c>
      <c r="N11801" s="2" t="s">
        <v>21</v>
      </c>
    </row>
    <row r="11802" ht="15.75" customHeight="1">
      <c r="A11802" s="2">
        <v>2019.0</v>
      </c>
      <c r="B11802" s="2" t="s">
        <v>47186</v>
      </c>
      <c r="C11802" s="2" t="s">
        <v>47187</v>
      </c>
      <c r="D11802" s="2" t="str">
        <f>"763-269-0668"</f>
        <v>763-269-0668</v>
      </c>
      <c r="E11802" s="2" t="s">
        <v>47188</v>
      </c>
      <c r="F11802" s="2" t="s">
        <v>47189</v>
      </c>
      <c r="G11802" s="2" t="str">
        <f>"SR-16561"</f>
        <v>SR-16561</v>
      </c>
      <c r="H11802" s="2" t="s">
        <v>47190</v>
      </c>
      <c r="I11802" s="2" t="s">
        <v>47191</v>
      </c>
      <c r="K11802" s="2" t="s">
        <v>10904</v>
      </c>
      <c r="L11802" s="2" t="s">
        <v>62</v>
      </c>
      <c r="M11802" s="2">
        <v>55313.0</v>
      </c>
      <c r="N11802" s="2" t="s">
        <v>21</v>
      </c>
    </row>
    <row r="11803" ht="15.75" customHeight="1">
      <c r="A11803" s="2">
        <v>2019.0</v>
      </c>
      <c r="B11803" s="2" t="s">
        <v>47192</v>
      </c>
      <c r="C11803" s="2" t="s">
        <v>47193</v>
      </c>
      <c r="D11803" s="2" t="str">
        <f>"087 9873879"</f>
        <v>087 9873879</v>
      </c>
      <c r="E11803" s="2" t="s">
        <v>1306</v>
      </c>
      <c r="F11803" s="2" t="s">
        <v>47194</v>
      </c>
      <c r="G11803" s="2" t="str">
        <f>"SR-16555"</f>
        <v>SR-16555</v>
      </c>
      <c r="H11803" s="2" t="s">
        <v>47195</v>
      </c>
      <c r="I11803" s="2" t="s">
        <v>47196</v>
      </c>
      <c r="K11803" s="2" t="s">
        <v>47197</v>
      </c>
      <c r="N11803" s="2" t="s">
        <v>47198</v>
      </c>
    </row>
    <row r="11804" ht="15.75" customHeight="1">
      <c r="A11804" s="2">
        <v>2019.0</v>
      </c>
      <c r="B11804" s="2" t="s">
        <v>47192</v>
      </c>
      <c r="C11804" s="2" t="s">
        <v>47199</v>
      </c>
      <c r="D11804" s="2" t="str">
        <f>"087 6221313"</f>
        <v>087 6221313</v>
      </c>
      <c r="E11804" s="2" t="s">
        <v>47200</v>
      </c>
      <c r="F11804" s="2" t="s">
        <v>47194</v>
      </c>
      <c r="G11804" s="2" t="str">
        <f>"SR-16562"</f>
        <v>SR-16562</v>
      </c>
      <c r="H11804" s="2" t="s">
        <v>47201</v>
      </c>
      <c r="I11804" s="2" t="s">
        <v>47196</v>
      </c>
      <c r="K11804" s="2" t="s">
        <v>47197</v>
      </c>
      <c r="N11804" s="2" t="s">
        <v>47198</v>
      </c>
    </row>
    <row r="11805" ht="15.75" customHeight="1">
      <c r="A11805" s="2">
        <v>2019.0</v>
      </c>
      <c r="B11805" s="2" t="s">
        <v>47192</v>
      </c>
      <c r="C11805" s="2" t="s">
        <v>47202</v>
      </c>
      <c r="D11805" s="2" t="str">
        <f>"087 3620612"</f>
        <v>087 3620612</v>
      </c>
      <c r="E11805" s="2" t="s">
        <v>339</v>
      </c>
      <c r="F11805" s="2" t="s">
        <v>47194</v>
      </c>
      <c r="G11805" s="2" t="str">
        <f>"SR-16563"</f>
        <v>SR-16563</v>
      </c>
      <c r="H11805" s="2" t="s">
        <v>47203</v>
      </c>
      <c r="I11805" s="2" t="s">
        <v>47204</v>
      </c>
      <c r="K11805" s="2" t="s">
        <v>47197</v>
      </c>
      <c r="N11805" s="2" t="s">
        <v>47198</v>
      </c>
    </row>
    <row r="11806" ht="15.75" customHeight="1">
      <c r="A11806" s="2">
        <v>2019.0</v>
      </c>
      <c r="B11806" s="2" t="s">
        <v>47192</v>
      </c>
      <c r="C11806" s="2" t="s">
        <v>47205</v>
      </c>
      <c r="D11806" s="2" t="str">
        <f>"087 4463998"</f>
        <v>087 4463998</v>
      </c>
      <c r="E11806" s="2" t="s">
        <v>72</v>
      </c>
      <c r="F11806" s="2" t="s">
        <v>47206</v>
      </c>
      <c r="G11806" s="2" t="str">
        <f>"SR-16564"</f>
        <v>SR-16564</v>
      </c>
      <c r="H11806" s="2" t="s">
        <v>47207</v>
      </c>
      <c r="I11806" s="2" t="s">
        <v>47208</v>
      </c>
      <c r="K11806" s="2" t="s">
        <v>47209</v>
      </c>
      <c r="M11806" s="2">
        <v>0.0</v>
      </c>
      <c r="N11806" s="2" t="s">
        <v>47198</v>
      </c>
    </row>
    <row r="11807" ht="15.75" customHeight="1">
      <c r="A11807" s="2">
        <v>2019.0</v>
      </c>
      <c r="B11807" s="2" t="s">
        <v>47210</v>
      </c>
      <c r="C11807" s="2" t="s">
        <v>47211</v>
      </c>
      <c r="D11807" s="2" t="str">
        <f>"3086270168"</f>
        <v>3086270168</v>
      </c>
      <c r="E11807" s="2" t="s">
        <v>1761</v>
      </c>
      <c r="F11807" s="2" t="s">
        <v>24286</v>
      </c>
      <c r="G11807" s="2" t="str">
        <f>"SR-16520"</f>
        <v>SR-16520</v>
      </c>
      <c r="H11807" s="2" t="s">
        <v>47212</v>
      </c>
      <c r="I11807" s="2" t="s">
        <v>47213</v>
      </c>
      <c r="K11807" s="2" t="s">
        <v>14870</v>
      </c>
      <c r="L11807" s="2" t="s">
        <v>757</v>
      </c>
      <c r="M11807" s="2">
        <v>68845.0</v>
      </c>
      <c r="N11807" s="2" t="s">
        <v>21</v>
      </c>
    </row>
    <row r="11808" ht="15.75" customHeight="1">
      <c r="A11808" s="2">
        <v>2019.0</v>
      </c>
      <c r="B11808" s="2" t="s">
        <v>47214</v>
      </c>
      <c r="C11808" s="2" t="s">
        <v>47215</v>
      </c>
      <c r="D11808" s="2" t="str">
        <f>"2086817233"</f>
        <v>2086817233</v>
      </c>
      <c r="E11808" s="2" t="s">
        <v>47216</v>
      </c>
      <c r="F11808" s="2" t="s">
        <v>47217</v>
      </c>
      <c r="G11808" s="2" t="str">
        <f>"SR-16200"</f>
        <v>SR-16200</v>
      </c>
      <c r="H11808" s="2" t="s">
        <v>47218</v>
      </c>
      <c r="I11808" s="2" t="s">
        <v>47219</v>
      </c>
      <c r="K11808" s="2" t="s">
        <v>40048</v>
      </c>
      <c r="L11808" s="2" t="s">
        <v>2613</v>
      </c>
      <c r="M11808" s="2">
        <v>83204.0</v>
      </c>
      <c r="N11808" s="2" t="s">
        <v>21</v>
      </c>
    </row>
    <row r="11809" ht="15.75" customHeight="1">
      <c r="A11809" s="2">
        <v>2019.0</v>
      </c>
      <c r="B11809" s="2" t="s">
        <v>31638</v>
      </c>
      <c r="C11809" s="2" t="s">
        <v>31642</v>
      </c>
      <c r="D11809" s="2" t="str">
        <f>"2103832022"</f>
        <v>2103832022</v>
      </c>
      <c r="E11809" s="2" t="s">
        <v>217</v>
      </c>
      <c r="F11809" s="2" t="s">
        <v>23273</v>
      </c>
      <c r="G11809" s="2" t="str">
        <f>"SR-10265"</f>
        <v>SR-10265</v>
      </c>
      <c r="H11809" s="2" t="s">
        <v>31643</v>
      </c>
      <c r="I11809" s="2" t="s">
        <v>31641</v>
      </c>
      <c r="K11809" s="2" t="s">
        <v>1141</v>
      </c>
      <c r="L11809" s="2" t="s">
        <v>172</v>
      </c>
      <c r="M11809" s="2">
        <v>78749.0</v>
      </c>
      <c r="N11809" s="2" t="s">
        <v>21</v>
      </c>
    </row>
    <row r="11810" ht="15.75" customHeight="1">
      <c r="A11810" s="2">
        <v>2019.0</v>
      </c>
      <c r="B11810" s="2" t="s">
        <v>33066</v>
      </c>
      <c r="C11810" s="2" t="s">
        <v>47220</v>
      </c>
      <c r="D11810" s="2" t="str">
        <f>"(907)953-1608"</f>
        <v>(907)953-1608</v>
      </c>
      <c r="E11810" s="2" t="s">
        <v>47221</v>
      </c>
      <c r="F11810" s="2" t="s">
        <v>2863</v>
      </c>
      <c r="G11810" s="2" t="str">
        <f>"SR-16570"</f>
        <v>SR-16570</v>
      </c>
      <c r="H11810" s="2" t="s">
        <v>47222</v>
      </c>
      <c r="I11810" s="2" t="s">
        <v>47223</v>
      </c>
      <c r="K11810" s="2" t="s">
        <v>1336</v>
      </c>
      <c r="L11810" s="2" t="s">
        <v>70</v>
      </c>
      <c r="M11810" s="2">
        <v>99669.0</v>
      </c>
      <c r="N11810" s="2" t="s">
        <v>21</v>
      </c>
    </row>
    <row r="11811" ht="15.75" customHeight="1">
      <c r="A11811" s="2">
        <v>2019.0</v>
      </c>
      <c r="B11811" s="2" t="s">
        <v>47224</v>
      </c>
      <c r="C11811" s="2" t="s">
        <v>47224</v>
      </c>
      <c r="D11811" s="2" t="str">
        <f>"5016919033"</f>
        <v>5016919033</v>
      </c>
      <c r="E11811" s="2" t="s">
        <v>659</v>
      </c>
      <c r="F11811" s="2" t="s">
        <v>47225</v>
      </c>
      <c r="G11811" s="2" t="str">
        <f>"SR-16532"</f>
        <v>SR-16532</v>
      </c>
      <c r="H11811" s="2" t="s">
        <v>47226</v>
      </c>
      <c r="I11811" s="2" t="s">
        <v>47227</v>
      </c>
      <c r="K11811" s="2" t="s">
        <v>47228</v>
      </c>
      <c r="L11811" s="2" t="s">
        <v>1012</v>
      </c>
      <c r="M11811" s="2">
        <v>72581.0</v>
      </c>
      <c r="N11811" s="2" t="s">
        <v>21</v>
      </c>
    </row>
    <row r="11812" ht="15.75" customHeight="1">
      <c r="A11812" s="2">
        <v>2019.0</v>
      </c>
      <c r="B11812" s="2" t="s">
        <v>24607</v>
      </c>
      <c r="C11812" s="2" t="s">
        <v>24607</v>
      </c>
      <c r="D11812" s="2" t="str">
        <f>"8296054163"</f>
        <v>8296054163</v>
      </c>
      <c r="E11812" s="2" t="s">
        <v>81</v>
      </c>
      <c r="F11812" s="2" t="s">
        <v>38570</v>
      </c>
      <c r="G11812" s="2" t="str">
        <f>"SR-13147"</f>
        <v>SR-13147</v>
      </c>
      <c r="H11812" s="2" t="s">
        <v>38571</v>
      </c>
      <c r="I11812" s="2" t="s">
        <v>24612</v>
      </c>
      <c r="K11812" s="2" t="s">
        <v>24614</v>
      </c>
      <c r="M11812" s="2">
        <v>0.0</v>
      </c>
      <c r="N11812" s="2" t="s">
        <v>24616</v>
      </c>
    </row>
    <row r="11813" ht="15.75" customHeight="1">
      <c r="A11813" s="2">
        <v>2019.0</v>
      </c>
      <c r="B11813" s="2" t="s">
        <v>47229</v>
      </c>
      <c r="C11813" s="2" t="s">
        <v>47229</v>
      </c>
      <c r="D11813" s="2" t="str">
        <f>"918-568-3903"</f>
        <v>918-568-3903</v>
      </c>
      <c r="E11813" s="2" t="s">
        <v>1946</v>
      </c>
      <c r="F11813" s="2" t="s">
        <v>13200</v>
      </c>
      <c r="G11813" s="2" t="str">
        <f>"SR-16575"</f>
        <v>SR-16575</v>
      </c>
      <c r="H11813" s="2" t="s">
        <v>47230</v>
      </c>
      <c r="I11813" s="2" t="s">
        <v>47231</v>
      </c>
      <c r="K11813" s="2" t="s">
        <v>2471</v>
      </c>
      <c r="L11813" s="2" t="s">
        <v>840</v>
      </c>
      <c r="M11813" s="2">
        <v>74037.0</v>
      </c>
      <c r="N11813" s="2" t="s">
        <v>21</v>
      </c>
    </row>
    <row r="11814" ht="15.75" customHeight="1">
      <c r="A11814" s="2">
        <v>2019.0</v>
      </c>
      <c r="B11814" s="2" t="s">
        <v>47232</v>
      </c>
      <c r="C11814" s="2" t="s">
        <v>47233</v>
      </c>
      <c r="D11814" s="2" t="str">
        <f>"61530502003"</f>
        <v>61530502003</v>
      </c>
      <c r="E11814" s="2" t="s">
        <v>6244</v>
      </c>
      <c r="F11814" s="2" t="s">
        <v>428</v>
      </c>
      <c r="G11814" s="2" t="str">
        <f>"SR-16550"</f>
        <v>SR-16550</v>
      </c>
      <c r="H11814" s="2" t="s">
        <v>47234</v>
      </c>
      <c r="I11814" s="2" t="s">
        <v>47235</v>
      </c>
      <c r="K11814" s="2" t="s">
        <v>9868</v>
      </c>
      <c r="L11814" s="2" t="s">
        <v>279</v>
      </c>
      <c r="M11814" s="2">
        <v>37027.0</v>
      </c>
      <c r="N11814" s="2" t="s">
        <v>21</v>
      </c>
    </row>
    <row r="11815" ht="15.75" customHeight="1">
      <c r="A11815" s="2">
        <v>2019.0</v>
      </c>
      <c r="B11815" s="2" t="s">
        <v>47236</v>
      </c>
      <c r="C11815" s="2" t="s">
        <v>47236</v>
      </c>
      <c r="D11815" s="2" t="str">
        <f>"337-292-2528"</f>
        <v>337-292-2528</v>
      </c>
      <c r="E11815" s="2" t="s">
        <v>1076</v>
      </c>
      <c r="F11815" s="2" t="s">
        <v>711</v>
      </c>
      <c r="G11815" s="2" t="str">
        <f>"SR-16582"</f>
        <v>SR-16582</v>
      </c>
      <c r="H11815" s="2" t="s">
        <v>47237</v>
      </c>
      <c r="I11815" s="2" t="s">
        <v>47238</v>
      </c>
      <c r="K11815" s="2" t="s">
        <v>13488</v>
      </c>
      <c r="L11815" s="2" t="s">
        <v>715</v>
      </c>
      <c r="M11815" s="2">
        <v>70656.0</v>
      </c>
      <c r="N11815" s="2" t="s">
        <v>21</v>
      </c>
    </row>
    <row r="11816" ht="15.75" customHeight="1">
      <c r="A11816" s="2">
        <v>2019.0</v>
      </c>
      <c r="B11816" s="2" t="s">
        <v>33066</v>
      </c>
      <c r="C11816" s="2" t="s">
        <v>47239</v>
      </c>
      <c r="D11816" s="2" t="str">
        <f>"9072524283"</f>
        <v>9072524283</v>
      </c>
      <c r="E11816" s="2" t="s">
        <v>6718</v>
      </c>
      <c r="F11816" s="2" t="s">
        <v>47240</v>
      </c>
      <c r="G11816" s="2" t="str">
        <f>"SR-16584"</f>
        <v>SR-16584</v>
      </c>
      <c r="H11816" s="2" t="s">
        <v>47241</v>
      </c>
      <c r="I11816" s="2" t="s">
        <v>47242</v>
      </c>
      <c r="K11816" s="2" t="s">
        <v>1336</v>
      </c>
      <c r="L11816" s="2" t="s">
        <v>70</v>
      </c>
      <c r="M11816" s="2">
        <v>99669.0</v>
      </c>
      <c r="N11816" s="2" t="s">
        <v>21</v>
      </c>
    </row>
    <row r="11817" ht="15.75" customHeight="1">
      <c r="A11817" s="2">
        <v>2019.0</v>
      </c>
      <c r="B11817" s="2" t="s">
        <v>47243</v>
      </c>
      <c r="C11817" s="2" t="s">
        <v>47243</v>
      </c>
      <c r="D11817" s="2" t="str">
        <f>"9366629337"</f>
        <v>9366629337</v>
      </c>
      <c r="E11817" s="2" t="s">
        <v>705</v>
      </c>
      <c r="F11817" s="2" t="s">
        <v>47244</v>
      </c>
      <c r="G11817" s="2" t="str">
        <f>"SR-16586"</f>
        <v>SR-16586</v>
      </c>
      <c r="H11817" s="2" t="s">
        <v>47245</v>
      </c>
      <c r="I11817" s="2" t="s">
        <v>47246</v>
      </c>
      <c r="K11817" s="2" t="s">
        <v>3548</v>
      </c>
      <c r="L11817" s="2" t="s">
        <v>2696</v>
      </c>
      <c r="M11817" s="2">
        <v>59105.0</v>
      </c>
      <c r="N11817" s="2" t="s">
        <v>21</v>
      </c>
    </row>
    <row r="11818" ht="15.75" customHeight="1">
      <c r="A11818" s="2">
        <v>2019.0</v>
      </c>
      <c r="B11818" s="2" t="s">
        <v>47247</v>
      </c>
      <c r="C11818" s="2" t="s">
        <v>47248</v>
      </c>
      <c r="D11818" s="2" t="str">
        <f>"5012506329"</f>
        <v>5012506329</v>
      </c>
      <c r="E11818" s="2" t="s">
        <v>47249</v>
      </c>
      <c r="F11818" s="2" t="s">
        <v>47250</v>
      </c>
      <c r="G11818" s="2" t="str">
        <f>"SR-16531"</f>
        <v>SR-16531</v>
      </c>
      <c r="H11818" s="2" t="s">
        <v>47251</v>
      </c>
      <c r="I11818" s="2" t="s">
        <v>47252</v>
      </c>
      <c r="K11818" s="2" t="s">
        <v>20134</v>
      </c>
      <c r="L11818" s="2" t="s">
        <v>1012</v>
      </c>
      <c r="M11818" s="2">
        <v>72581.0</v>
      </c>
      <c r="N11818" s="2" t="s">
        <v>21</v>
      </c>
    </row>
    <row r="11819" ht="15.75" customHeight="1">
      <c r="A11819" s="2">
        <v>2019.0</v>
      </c>
      <c r="B11819" s="2" t="s">
        <v>32087</v>
      </c>
      <c r="C11819" s="2" t="s">
        <v>47253</v>
      </c>
      <c r="D11819" s="2" t="str">
        <f>"419-356-6221"</f>
        <v>419-356-6221</v>
      </c>
      <c r="E11819" s="2" t="s">
        <v>4300</v>
      </c>
      <c r="F11819" s="2" t="s">
        <v>18358</v>
      </c>
      <c r="G11819" s="2" t="str">
        <f>"SR-16578"</f>
        <v>SR-16578</v>
      </c>
      <c r="H11819" s="2" t="s">
        <v>47254</v>
      </c>
      <c r="I11819" s="2" t="s">
        <v>32090</v>
      </c>
      <c r="K11819" s="2" t="s">
        <v>32091</v>
      </c>
      <c r="L11819" s="2" t="s">
        <v>344</v>
      </c>
      <c r="M11819" s="2">
        <v>43566.0</v>
      </c>
      <c r="N11819" s="2" t="s">
        <v>21</v>
      </c>
    </row>
    <row r="11820" ht="15.75" customHeight="1">
      <c r="A11820" s="2">
        <v>2019.0</v>
      </c>
      <c r="B11820" s="2" t="s">
        <v>47255</v>
      </c>
      <c r="C11820" s="2" t="s">
        <v>47255</v>
      </c>
      <c r="D11820" s="2" t="str">
        <f>"5125997166"</f>
        <v>5125997166</v>
      </c>
      <c r="E11820" s="2" t="s">
        <v>1094</v>
      </c>
      <c r="F11820" s="2" t="s">
        <v>47256</v>
      </c>
      <c r="G11820" s="2" t="str">
        <f>"SR-16589"</f>
        <v>SR-16589</v>
      </c>
      <c r="H11820" s="2" t="s">
        <v>47257</v>
      </c>
      <c r="I11820" s="2" t="s">
        <v>47258</v>
      </c>
      <c r="K11820" s="2" t="s">
        <v>47259</v>
      </c>
      <c r="L11820" s="2" t="s">
        <v>172</v>
      </c>
      <c r="M11820" s="2">
        <v>78620.0</v>
      </c>
      <c r="N11820" s="2" t="s">
        <v>21</v>
      </c>
    </row>
    <row r="11821" ht="15.75" customHeight="1">
      <c r="A11821" s="2">
        <v>2019.0</v>
      </c>
      <c r="B11821" s="2" t="s">
        <v>27960</v>
      </c>
      <c r="C11821" s="2" t="s">
        <v>47260</v>
      </c>
      <c r="D11821" s="2" t="str">
        <f>"517-286-6685"</f>
        <v>517-286-6685</v>
      </c>
      <c r="E11821" s="2" t="s">
        <v>2306</v>
      </c>
      <c r="F11821" s="2" t="s">
        <v>5210</v>
      </c>
      <c r="G11821" s="2" t="str">
        <f>"SR-16590"</f>
        <v>SR-16590</v>
      </c>
      <c r="H11821" s="2" t="s">
        <v>47261</v>
      </c>
      <c r="I11821" s="2" t="s">
        <v>47262</v>
      </c>
      <c r="K11821" s="2" t="s">
        <v>5213</v>
      </c>
      <c r="L11821" s="2" t="s">
        <v>29</v>
      </c>
      <c r="M11821" s="2">
        <v>49288.0</v>
      </c>
      <c r="N11821" s="2" t="s">
        <v>21</v>
      </c>
    </row>
    <row r="11822" ht="15.75" customHeight="1">
      <c r="A11822" s="2">
        <v>2019.0</v>
      </c>
      <c r="B11822" s="2" t="s">
        <v>37879</v>
      </c>
      <c r="C11822" s="2" t="s">
        <v>37879</v>
      </c>
      <c r="D11822" s="2" t="str">
        <f>"8702193780"</f>
        <v>8702193780</v>
      </c>
      <c r="E11822" s="2" t="s">
        <v>144</v>
      </c>
      <c r="F11822" s="2" t="s">
        <v>37880</v>
      </c>
      <c r="G11822" s="2" t="str">
        <f>"SR-12900"</f>
        <v>SR-12900</v>
      </c>
      <c r="H11822" s="2" t="s">
        <v>37881</v>
      </c>
      <c r="I11822" s="2" t="s">
        <v>37882</v>
      </c>
      <c r="K11822" s="2" t="s">
        <v>4250</v>
      </c>
      <c r="L11822" s="2" t="s">
        <v>1012</v>
      </c>
      <c r="M11822" s="2">
        <v>72401.0</v>
      </c>
      <c r="N11822" s="2" t="s">
        <v>21</v>
      </c>
    </row>
    <row r="11823" ht="15.75" customHeight="1">
      <c r="A11823" s="2">
        <v>2019.0</v>
      </c>
      <c r="B11823" s="2" t="s">
        <v>24607</v>
      </c>
      <c r="C11823" s="2" t="s">
        <v>24607</v>
      </c>
      <c r="D11823" s="2" t="str">
        <f t="shared" ref="D11823:D11824" si="198">"8296054163"</f>
        <v>8296054163</v>
      </c>
      <c r="E11823" s="2" t="s">
        <v>47263</v>
      </c>
      <c r="F11823" s="2" t="s">
        <v>47264</v>
      </c>
      <c r="G11823" s="2" t="str">
        <f>"SR-16576"</f>
        <v>SR-16576</v>
      </c>
      <c r="H11823" s="2" t="s">
        <v>47265</v>
      </c>
      <c r="I11823" s="2" t="s">
        <v>24612</v>
      </c>
      <c r="K11823" s="2" t="s">
        <v>24614</v>
      </c>
      <c r="M11823" s="2">
        <v>0.0</v>
      </c>
      <c r="N11823" s="2" t="s">
        <v>24616</v>
      </c>
    </row>
    <row r="11824" ht="15.75" customHeight="1">
      <c r="A11824" s="2">
        <v>2019.0</v>
      </c>
      <c r="B11824" s="2" t="s">
        <v>24607</v>
      </c>
      <c r="C11824" s="2" t="s">
        <v>24607</v>
      </c>
      <c r="D11824" s="2" t="str">
        <f t="shared" si="198"/>
        <v>8296054163</v>
      </c>
      <c r="E11824" s="2" t="s">
        <v>47266</v>
      </c>
      <c r="F11824" s="2" t="s">
        <v>47267</v>
      </c>
      <c r="G11824" s="2" t="str">
        <f>"SR-16577"</f>
        <v>SR-16577</v>
      </c>
      <c r="H11824" s="2" t="s">
        <v>47268</v>
      </c>
      <c r="I11824" s="2" t="s">
        <v>47269</v>
      </c>
      <c r="K11824" s="2" t="s">
        <v>24614</v>
      </c>
      <c r="L11824" s="2" t="s">
        <v>208</v>
      </c>
      <c r="M11824" s="2">
        <v>0.0</v>
      </c>
      <c r="N11824" s="2" t="s">
        <v>24616</v>
      </c>
    </row>
    <row r="11825" ht="15.75" customHeight="1">
      <c r="A11825" s="2">
        <v>2019.0</v>
      </c>
      <c r="B11825" s="2" t="s">
        <v>47270</v>
      </c>
      <c r="C11825" s="2" t="s">
        <v>47271</v>
      </c>
      <c r="D11825" s="2" t="str">
        <f>"952-240-5745"</f>
        <v>952-240-5745</v>
      </c>
      <c r="E11825" s="2" t="s">
        <v>47272</v>
      </c>
      <c r="F11825" s="2" t="s">
        <v>47273</v>
      </c>
      <c r="G11825" s="2" t="str">
        <f>"SR-16592"</f>
        <v>SR-16592</v>
      </c>
      <c r="H11825" s="2" t="s">
        <v>47274</v>
      </c>
      <c r="I11825" s="2" t="s">
        <v>47275</v>
      </c>
      <c r="K11825" s="2" t="s">
        <v>1765</v>
      </c>
      <c r="L11825" s="2" t="s">
        <v>62</v>
      </c>
      <c r="M11825" s="2">
        <v>55378.0</v>
      </c>
      <c r="N11825" s="2" t="s">
        <v>21</v>
      </c>
    </row>
    <row r="11826" ht="15.75" customHeight="1">
      <c r="A11826" s="2">
        <v>2019.0</v>
      </c>
      <c r="B11826" s="2" t="s">
        <v>47276</v>
      </c>
      <c r="C11826" s="2" t="s">
        <v>47276</v>
      </c>
      <c r="D11826" s="2" t="str">
        <f>"2603881190"</f>
        <v>2603881190</v>
      </c>
      <c r="E11826" s="2" t="s">
        <v>817</v>
      </c>
      <c r="F11826" s="2" t="s">
        <v>33952</v>
      </c>
      <c r="G11826" s="2" t="str">
        <f>"SR-16572"</f>
        <v>SR-16572</v>
      </c>
      <c r="H11826" s="2" t="s">
        <v>47277</v>
      </c>
      <c r="I11826" s="2" t="s">
        <v>47278</v>
      </c>
      <c r="K11826" s="2" t="s">
        <v>6312</v>
      </c>
      <c r="L11826" s="2" t="s">
        <v>149</v>
      </c>
      <c r="M11826" s="2">
        <v>46706.0</v>
      </c>
      <c r="N11826" s="2" t="s">
        <v>21</v>
      </c>
    </row>
    <row r="11827" ht="15.75" customHeight="1">
      <c r="A11827" s="2">
        <v>2019.0</v>
      </c>
      <c r="B11827" s="2" t="s">
        <v>47279</v>
      </c>
      <c r="C11827" s="2" t="s">
        <v>47280</v>
      </c>
      <c r="D11827" s="2" t="str">
        <f>"2606338037"</f>
        <v>2606338037</v>
      </c>
      <c r="E11827" s="2" t="s">
        <v>5872</v>
      </c>
      <c r="F11827" s="2" t="s">
        <v>962</v>
      </c>
      <c r="G11827" s="2" t="str">
        <f>"SR-16585"</f>
        <v>SR-16585</v>
      </c>
      <c r="H11827" s="2" t="s">
        <v>47281</v>
      </c>
      <c r="I11827" s="2" t="s">
        <v>47282</v>
      </c>
      <c r="K11827" s="2" t="s">
        <v>26752</v>
      </c>
      <c r="L11827" s="2" t="s">
        <v>149</v>
      </c>
      <c r="M11827" s="2">
        <v>46743.0</v>
      </c>
      <c r="N11827" s="2" t="s">
        <v>21</v>
      </c>
    </row>
    <row r="11828" ht="15.75" customHeight="1">
      <c r="A11828" s="2">
        <v>2019.0</v>
      </c>
      <c r="B11828" s="2" t="s">
        <v>47283</v>
      </c>
      <c r="C11828" s="2" t="s">
        <v>47283</v>
      </c>
      <c r="D11828" s="2" t="str">
        <f>"260-449-0255"</f>
        <v>260-449-0255</v>
      </c>
      <c r="E11828" s="2" t="s">
        <v>34353</v>
      </c>
      <c r="F11828" s="2" t="s">
        <v>47284</v>
      </c>
      <c r="G11828" s="2" t="str">
        <f>"SR-16583"</f>
        <v>SR-16583</v>
      </c>
      <c r="H11828" s="2" t="s">
        <v>47285</v>
      </c>
      <c r="I11828" s="2" t="s">
        <v>47286</v>
      </c>
      <c r="K11828" s="2" t="s">
        <v>4298</v>
      </c>
      <c r="L11828" s="2" t="s">
        <v>149</v>
      </c>
      <c r="M11828" s="2">
        <v>46845.0</v>
      </c>
      <c r="N11828" s="2" t="s">
        <v>21</v>
      </c>
    </row>
    <row r="11829" ht="15.75" customHeight="1">
      <c r="A11829" s="2">
        <v>2019.0</v>
      </c>
      <c r="B11829" s="2" t="s">
        <v>47287</v>
      </c>
      <c r="C11829" s="2" t="s">
        <v>47288</v>
      </c>
      <c r="D11829" s="2" t="str">
        <f>"2609200644"</f>
        <v>2609200644</v>
      </c>
      <c r="E11829" s="2" t="s">
        <v>47289</v>
      </c>
      <c r="F11829" s="2" t="s">
        <v>26812</v>
      </c>
      <c r="G11829" s="2" t="str">
        <f>"SR-16587"</f>
        <v>SR-16587</v>
      </c>
      <c r="H11829" s="2" t="s">
        <v>47290</v>
      </c>
      <c r="I11829" s="2" t="s">
        <v>47291</v>
      </c>
      <c r="K11829" s="2" t="s">
        <v>6312</v>
      </c>
      <c r="L11829" s="2" t="s">
        <v>149</v>
      </c>
      <c r="M11829" s="2">
        <v>46706.0</v>
      </c>
      <c r="N11829" s="2" t="s">
        <v>21</v>
      </c>
    </row>
    <row r="11830" ht="15.75" customHeight="1">
      <c r="A11830" s="2">
        <v>2019.0</v>
      </c>
      <c r="B11830" s="2" t="s">
        <v>12939</v>
      </c>
      <c r="C11830" s="2" t="s">
        <v>47292</v>
      </c>
      <c r="D11830" s="2" t="str">
        <f>"(720) 917-6201"</f>
        <v>(720) 917-6201</v>
      </c>
      <c r="E11830" s="2" t="s">
        <v>47293</v>
      </c>
      <c r="F11830" s="2" t="s">
        <v>47294</v>
      </c>
      <c r="G11830" s="2" t="str">
        <f>"SR-16246"</f>
        <v>SR-16246</v>
      </c>
      <c r="H11830" s="2" t="s">
        <v>47295</v>
      </c>
      <c r="I11830" s="2" t="s">
        <v>12943</v>
      </c>
      <c r="K11830" s="2" t="s">
        <v>1054</v>
      </c>
      <c r="L11830" s="2" t="s">
        <v>157</v>
      </c>
      <c r="M11830" s="2">
        <v>80134.0</v>
      </c>
      <c r="N11830" s="2" t="s">
        <v>21</v>
      </c>
    </row>
    <row r="11831" ht="15.75" customHeight="1">
      <c r="A11831" s="2">
        <v>2019.0</v>
      </c>
      <c r="B11831" s="2" t="s">
        <v>47296</v>
      </c>
      <c r="C11831" s="2" t="s">
        <v>47296</v>
      </c>
      <c r="D11831" s="2" t="str">
        <f>"5082468292"</f>
        <v>5082468292</v>
      </c>
      <c r="E11831" s="2" t="s">
        <v>453</v>
      </c>
      <c r="F11831" s="2" t="s">
        <v>4120</v>
      </c>
      <c r="G11831" s="2" t="str">
        <f>"SR-16595"</f>
        <v>SR-16595</v>
      </c>
      <c r="H11831" s="2" t="s">
        <v>47297</v>
      </c>
      <c r="I11831" s="2" t="s">
        <v>47298</v>
      </c>
      <c r="K11831" s="2" t="s">
        <v>9603</v>
      </c>
      <c r="L11831" s="2" t="s">
        <v>4108</v>
      </c>
      <c r="M11831" s="2">
        <v>2633.0</v>
      </c>
      <c r="N11831" s="2" t="s">
        <v>21</v>
      </c>
    </row>
    <row r="11832" ht="15.75" customHeight="1">
      <c r="A11832" s="2">
        <v>2019.0</v>
      </c>
      <c r="B11832" s="2" t="s">
        <v>47299</v>
      </c>
      <c r="C11832" s="2" t="s">
        <v>47300</v>
      </c>
      <c r="D11832" s="2" t="str">
        <f>"5097782615"</f>
        <v>5097782615</v>
      </c>
      <c r="E11832" s="2" t="s">
        <v>23576</v>
      </c>
      <c r="F11832" s="2" t="s">
        <v>47301</v>
      </c>
      <c r="G11832" s="2" t="str">
        <f>"SR-16596"</f>
        <v>SR-16596</v>
      </c>
      <c r="H11832" s="2" t="s">
        <v>47302</v>
      </c>
      <c r="I11832" s="2" t="s">
        <v>47303</v>
      </c>
      <c r="K11832" s="2" t="s">
        <v>47304</v>
      </c>
      <c r="L11832" s="2" t="s">
        <v>86</v>
      </c>
      <c r="M11832" s="2">
        <v>99350.0</v>
      </c>
      <c r="N11832" s="2" t="s">
        <v>21</v>
      </c>
    </row>
    <row r="11833" ht="15.75" customHeight="1">
      <c r="A11833" s="2">
        <v>2019.0</v>
      </c>
      <c r="B11833" s="2" t="s">
        <v>14548</v>
      </c>
      <c r="C11833" s="2" t="s">
        <v>47305</v>
      </c>
      <c r="D11833" s="2" t="str">
        <f>"(920) 313-7472"</f>
        <v>(920) 313-7472</v>
      </c>
      <c r="E11833" s="2" t="s">
        <v>562</v>
      </c>
      <c r="F11833" s="2" t="s">
        <v>14550</v>
      </c>
      <c r="G11833" s="2" t="str">
        <f>"SR-16598"</f>
        <v>SR-16598</v>
      </c>
      <c r="H11833" s="2" t="s">
        <v>47306</v>
      </c>
      <c r="I11833" s="2" t="s">
        <v>47307</v>
      </c>
      <c r="K11833" s="2" t="s">
        <v>192</v>
      </c>
      <c r="L11833" s="2" t="s">
        <v>193</v>
      </c>
      <c r="M11833" s="2">
        <v>54935.0</v>
      </c>
      <c r="N11833" s="2" t="s">
        <v>21</v>
      </c>
    </row>
    <row r="11834" ht="15.75" customHeight="1">
      <c r="A11834" s="2">
        <v>2019.0</v>
      </c>
      <c r="B11834" s="2" t="s">
        <v>47308</v>
      </c>
      <c r="C11834" s="2" t="s">
        <v>47309</v>
      </c>
      <c r="D11834" s="2" t="str">
        <f>"2038005068"</f>
        <v>2038005068</v>
      </c>
      <c r="E11834" s="2" t="s">
        <v>2452</v>
      </c>
      <c r="F11834" s="2" t="s">
        <v>47310</v>
      </c>
      <c r="G11834" s="2" t="str">
        <f>"SR-16601"</f>
        <v>SR-16601</v>
      </c>
      <c r="H11834" s="2" t="s">
        <v>47311</v>
      </c>
      <c r="I11834" s="2" t="s">
        <v>47312</v>
      </c>
      <c r="K11834" s="2" t="s">
        <v>3128</v>
      </c>
      <c r="L11834" s="2" t="s">
        <v>1419</v>
      </c>
      <c r="M11834" s="2">
        <v>89149.0</v>
      </c>
      <c r="N11834" s="2" t="s">
        <v>21</v>
      </c>
    </row>
    <row r="11835" ht="15.75" customHeight="1">
      <c r="A11835" s="2">
        <v>2019.0</v>
      </c>
      <c r="B11835" s="2" t="s">
        <v>47313</v>
      </c>
      <c r="C11835" s="2" t="s">
        <v>47314</v>
      </c>
      <c r="D11835" s="2" t="str">
        <f>"5303518062"</f>
        <v>5303518062</v>
      </c>
      <c r="E11835" s="2" t="s">
        <v>47315</v>
      </c>
      <c r="F11835" s="2" t="s">
        <v>511</v>
      </c>
      <c r="G11835" s="2" t="str">
        <f>"SR-16147"</f>
        <v>SR-16147</v>
      </c>
      <c r="H11835" s="2" t="s">
        <v>47316</v>
      </c>
      <c r="I11835" s="2" t="s">
        <v>47317</v>
      </c>
      <c r="K11835" s="2" t="s">
        <v>4216</v>
      </c>
      <c r="L11835" s="2" t="s">
        <v>149</v>
      </c>
      <c r="M11835" s="2">
        <v>47374.0</v>
      </c>
      <c r="N11835" s="2" t="s">
        <v>21</v>
      </c>
    </row>
    <row r="11836" ht="15.75" customHeight="1">
      <c r="A11836" s="2">
        <v>2019.0</v>
      </c>
      <c r="B11836" s="2" t="s">
        <v>47318</v>
      </c>
      <c r="C11836" s="2" t="s">
        <v>47319</v>
      </c>
      <c r="D11836" s="2" t="str">
        <f>"9014815498"</f>
        <v>9014815498</v>
      </c>
      <c r="E11836" s="2" t="s">
        <v>217</v>
      </c>
      <c r="F11836" s="2" t="s">
        <v>31</v>
      </c>
      <c r="G11836" s="2" t="str">
        <f>"SR-16602"</f>
        <v>SR-16602</v>
      </c>
      <c r="H11836" s="2" t="s">
        <v>47320</v>
      </c>
      <c r="I11836" s="2" t="s">
        <v>47321</v>
      </c>
      <c r="K11836" s="2" t="s">
        <v>9862</v>
      </c>
      <c r="L11836" s="2" t="s">
        <v>1722</v>
      </c>
      <c r="M11836" s="2">
        <v>38654.0</v>
      </c>
      <c r="N11836" s="2" t="s">
        <v>21</v>
      </c>
    </row>
    <row r="11837" ht="15.75" customHeight="1">
      <c r="A11837" s="2">
        <v>2019.0</v>
      </c>
      <c r="B11837" s="2" t="s">
        <v>47322</v>
      </c>
      <c r="C11837" s="2" t="s">
        <v>47322</v>
      </c>
      <c r="D11837" s="2" t="str">
        <f>"614-929-8711"</f>
        <v>614-929-8711</v>
      </c>
      <c r="E11837" s="2" t="s">
        <v>47323</v>
      </c>
      <c r="F11837" s="2" t="s">
        <v>47324</v>
      </c>
      <c r="G11837" s="2" t="str">
        <f>"SR-16455"</f>
        <v>SR-16455</v>
      </c>
      <c r="H11837" s="2" t="s">
        <v>47325</v>
      </c>
      <c r="I11837" s="2" t="s">
        <v>47326</v>
      </c>
      <c r="K11837" s="2" t="s">
        <v>489</v>
      </c>
      <c r="L11837" s="2" t="s">
        <v>344</v>
      </c>
      <c r="M11837" s="2">
        <v>43082.0</v>
      </c>
      <c r="N11837" s="2" t="s">
        <v>21</v>
      </c>
    </row>
    <row r="11838" ht="15.75" customHeight="1">
      <c r="A11838" s="2">
        <v>2019.0</v>
      </c>
      <c r="B11838" s="2" t="s">
        <v>47327</v>
      </c>
      <c r="C11838" s="2" t="s">
        <v>47328</v>
      </c>
      <c r="D11838" s="2" t="str">
        <f>"4059990545"</f>
        <v>4059990545</v>
      </c>
      <c r="E11838" s="2" t="s">
        <v>1782</v>
      </c>
      <c r="F11838" s="2" t="s">
        <v>1756</v>
      </c>
      <c r="G11838" s="2" t="str">
        <f>"SR-16606"</f>
        <v>SR-16606</v>
      </c>
      <c r="H11838" s="2" t="s">
        <v>47329</v>
      </c>
      <c r="I11838" s="2" t="s">
        <v>47330</v>
      </c>
      <c r="K11838" s="2" t="s">
        <v>47331</v>
      </c>
      <c r="L11838" s="2" t="s">
        <v>840</v>
      </c>
      <c r="M11838" s="2">
        <v>73017.0</v>
      </c>
      <c r="N11838" s="2" t="s">
        <v>21</v>
      </c>
    </row>
    <row r="11839" ht="15.75" customHeight="1">
      <c r="A11839" s="2">
        <v>2019.0</v>
      </c>
      <c r="B11839" s="2" t="s">
        <v>47332</v>
      </c>
      <c r="C11839" s="2" t="s">
        <v>47332</v>
      </c>
      <c r="D11839" s="2" t="str">
        <f>"+6590302632"</f>
        <v>+6590302632</v>
      </c>
      <c r="E11839" s="2" t="s">
        <v>1548</v>
      </c>
      <c r="F11839" s="2" t="s">
        <v>15963</v>
      </c>
      <c r="G11839" s="2" t="str">
        <f>"SR-14139"</f>
        <v>SR-14139</v>
      </c>
      <c r="H11839" s="2" t="s">
        <v>47333</v>
      </c>
      <c r="I11839" s="2" t="s">
        <v>47334</v>
      </c>
      <c r="J11839" s="2" t="s">
        <v>47335</v>
      </c>
      <c r="K11839" s="2" t="s">
        <v>8433</v>
      </c>
      <c r="M11839" s="2">
        <v>440012.0</v>
      </c>
      <c r="N11839" s="2" t="s">
        <v>8433</v>
      </c>
    </row>
    <row r="11840" ht="15.75" customHeight="1">
      <c r="A11840" s="2">
        <v>2019.0</v>
      </c>
      <c r="B11840" s="2" t="s">
        <v>47336</v>
      </c>
      <c r="C11840" s="2" t="s">
        <v>47336</v>
      </c>
      <c r="D11840" s="2" t="str">
        <f>"(806)316-8359"</f>
        <v>(806)316-8359</v>
      </c>
      <c r="E11840" s="2" t="s">
        <v>15</v>
      </c>
      <c r="F11840" s="2" t="s">
        <v>639</v>
      </c>
      <c r="G11840" s="2" t="str">
        <f>"SR-16608"</f>
        <v>SR-16608</v>
      </c>
      <c r="H11840" s="2" t="s">
        <v>34983</v>
      </c>
      <c r="I11840" s="2" t="s">
        <v>47337</v>
      </c>
      <c r="K11840" s="2" t="s">
        <v>47338</v>
      </c>
      <c r="L11840" s="2" t="s">
        <v>172</v>
      </c>
      <c r="M11840" s="2">
        <v>79015.0</v>
      </c>
      <c r="N11840" s="2" t="s">
        <v>21</v>
      </c>
    </row>
    <row r="11841" ht="15.75" customHeight="1">
      <c r="A11841" s="2">
        <v>2019.0</v>
      </c>
      <c r="B11841" s="2" t="s">
        <v>47339</v>
      </c>
      <c r="C11841" s="2" t="s">
        <v>47339</v>
      </c>
      <c r="D11841" s="2" t="str">
        <f>"(585)260-5741"</f>
        <v>(585)260-5741</v>
      </c>
      <c r="E11841" s="2" t="s">
        <v>1782</v>
      </c>
      <c r="F11841" s="2" t="s">
        <v>30698</v>
      </c>
      <c r="G11841" s="2" t="str">
        <f>"SR-16609"</f>
        <v>SR-16609</v>
      </c>
      <c r="H11841" s="2" t="s">
        <v>47340</v>
      </c>
      <c r="I11841" s="2" t="s">
        <v>47341</v>
      </c>
      <c r="K11841" s="2" t="s">
        <v>32928</v>
      </c>
      <c r="L11841" s="2" t="s">
        <v>208</v>
      </c>
      <c r="M11841" s="2">
        <v>33579.0</v>
      </c>
      <c r="N11841" s="2" t="s">
        <v>21</v>
      </c>
    </row>
    <row r="11842" ht="15.75" customHeight="1">
      <c r="A11842" s="2">
        <v>2019.0</v>
      </c>
      <c r="B11842" s="2" t="s">
        <v>40043</v>
      </c>
      <c r="C11842" s="2" t="s">
        <v>47342</v>
      </c>
      <c r="D11842" s="2" t="str">
        <f>"2087054958"</f>
        <v>2087054958</v>
      </c>
      <c r="E11842" s="2" t="s">
        <v>47343</v>
      </c>
      <c r="F11842" s="2" t="s">
        <v>47344</v>
      </c>
      <c r="G11842" s="2" t="str">
        <f>"SR-16611"</f>
        <v>SR-16611</v>
      </c>
      <c r="H11842" s="2" t="s">
        <v>47345</v>
      </c>
      <c r="I11842" s="2" t="s">
        <v>47346</v>
      </c>
      <c r="K11842" s="2" t="s">
        <v>40048</v>
      </c>
      <c r="L11842" s="2" t="s">
        <v>2613</v>
      </c>
      <c r="M11842" s="2">
        <v>83201.0</v>
      </c>
      <c r="N11842" s="2" t="s">
        <v>21</v>
      </c>
    </row>
    <row r="11843" ht="15.75" customHeight="1">
      <c r="A11843" s="2">
        <v>2019.0</v>
      </c>
      <c r="B11843" s="2" t="s">
        <v>47347</v>
      </c>
      <c r="C11843" s="2" t="s">
        <v>47348</v>
      </c>
      <c r="D11843" s="2" t="str">
        <f>"2148971833"</f>
        <v>2148971833</v>
      </c>
      <c r="E11843" s="2" t="s">
        <v>1251</v>
      </c>
      <c r="F11843" s="2" t="s">
        <v>47349</v>
      </c>
      <c r="G11843" s="2" t="str">
        <f>"SR-16462"</f>
        <v>SR-16462</v>
      </c>
      <c r="H11843" s="2" t="s">
        <v>47350</v>
      </c>
      <c r="I11843" s="2" t="s">
        <v>47351</v>
      </c>
      <c r="K11843" s="2" t="s">
        <v>1255</v>
      </c>
      <c r="L11843" s="2" t="s">
        <v>172</v>
      </c>
      <c r="M11843" s="2">
        <v>75208.0</v>
      </c>
      <c r="N11843" s="2" t="s">
        <v>21</v>
      </c>
    </row>
    <row r="11844" ht="15.75" customHeight="1">
      <c r="A11844" s="2">
        <v>2019.0</v>
      </c>
      <c r="B11844" s="2" t="s">
        <v>47352</v>
      </c>
      <c r="C11844" s="2" t="s">
        <v>47353</v>
      </c>
      <c r="D11844" s="2" t="str">
        <f>"832-434-7244"</f>
        <v>832-434-7244</v>
      </c>
      <c r="E11844" s="2" t="s">
        <v>1263</v>
      </c>
      <c r="F11844" s="2" t="s">
        <v>3342</v>
      </c>
      <c r="G11844" s="2" t="str">
        <f>"SR-16614"</f>
        <v>SR-16614</v>
      </c>
      <c r="H11844" s="2" t="s">
        <v>47354</v>
      </c>
      <c r="I11844" s="2" t="s">
        <v>47355</v>
      </c>
      <c r="K11844" s="2" t="s">
        <v>2182</v>
      </c>
      <c r="L11844" s="2" t="s">
        <v>172</v>
      </c>
      <c r="M11844" s="2">
        <v>77479.0</v>
      </c>
      <c r="N11844" s="2" t="s">
        <v>21</v>
      </c>
    </row>
    <row r="11845" ht="15.75" customHeight="1">
      <c r="A11845" s="2">
        <v>2019.0</v>
      </c>
      <c r="B11845" s="2" t="s">
        <v>16862</v>
      </c>
      <c r="C11845" s="2" t="s">
        <v>47356</v>
      </c>
      <c r="D11845" s="2" t="str">
        <f>"4052908675"</f>
        <v>4052908675</v>
      </c>
      <c r="E11845" s="2" t="s">
        <v>2452</v>
      </c>
      <c r="F11845" s="2" t="s">
        <v>3301</v>
      </c>
      <c r="G11845" s="2" t="str">
        <f>"SR-16616"</f>
        <v>SR-16616</v>
      </c>
      <c r="H11845" s="2" t="s">
        <v>47357</v>
      </c>
      <c r="I11845" s="2" t="s">
        <v>9505</v>
      </c>
      <c r="K11845" s="2" t="s">
        <v>357</v>
      </c>
      <c r="L11845" s="2" t="s">
        <v>172</v>
      </c>
      <c r="M11845" s="2">
        <v>75093.0</v>
      </c>
      <c r="N11845" s="2" t="s">
        <v>21</v>
      </c>
    </row>
    <row r="11846" ht="15.75" customHeight="1">
      <c r="A11846" s="2">
        <v>2019.0</v>
      </c>
      <c r="B11846" s="2" t="s">
        <v>47358</v>
      </c>
      <c r="C11846" s="2" t="s">
        <v>47358</v>
      </c>
      <c r="D11846" s="2" t="str">
        <f>"(585)435-2054"</f>
        <v>(585)435-2054</v>
      </c>
      <c r="E11846" s="2" t="s">
        <v>3400</v>
      </c>
      <c r="F11846" s="2" t="s">
        <v>30698</v>
      </c>
      <c r="G11846" s="2" t="str">
        <f>"SR-16607"</f>
        <v>SR-16607</v>
      </c>
      <c r="H11846" s="2" t="s">
        <v>47359</v>
      </c>
      <c r="I11846" s="2" t="s">
        <v>47341</v>
      </c>
      <c r="K11846" s="2" t="s">
        <v>32928</v>
      </c>
      <c r="L11846" s="2" t="s">
        <v>208</v>
      </c>
      <c r="M11846" s="2">
        <v>33579.0</v>
      </c>
      <c r="N11846" s="2" t="s">
        <v>21</v>
      </c>
    </row>
    <row r="11847" ht="15.75" customHeight="1">
      <c r="A11847" s="2">
        <v>2019.0</v>
      </c>
      <c r="B11847" s="2" t="s">
        <v>47360</v>
      </c>
      <c r="C11847" s="2" t="s">
        <v>47360</v>
      </c>
      <c r="D11847" s="2" t="str">
        <f>"317-966-2468"</f>
        <v>317-966-2468</v>
      </c>
      <c r="E11847" s="2" t="s">
        <v>824</v>
      </c>
      <c r="F11847" s="2" t="s">
        <v>4717</v>
      </c>
      <c r="G11847" s="2" t="str">
        <f>"SR-16618"</f>
        <v>SR-16618</v>
      </c>
      <c r="H11847" s="2" t="s">
        <v>47361</v>
      </c>
      <c r="I11847" s="2" t="s">
        <v>47362</v>
      </c>
      <c r="K11847" s="2" t="s">
        <v>47363</v>
      </c>
      <c r="L11847" s="2" t="s">
        <v>149</v>
      </c>
      <c r="M11847" s="2">
        <v>46038.0</v>
      </c>
      <c r="N11847" s="2" t="s">
        <v>21</v>
      </c>
    </row>
    <row r="11848" ht="15.75" customHeight="1">
      <c r="A11848" s="2">
        <v>2019.0</v>
      </c>
      <c r="B11848" s="2" t="s">
        <v>47364</v>
      </c>
      <c r="C11848" s="2" t="s">
        <v>47365</v>
      </c>
      <c r="D11848" s="2" t="str">
        <f>"317.315.0730"</f>
        <v>317.315.0730</v>
      </c>
      <c r="E11848" s="2" t="s">
        <v>705</v>
      </c>
      <c r="F11848" s="2" t="s">
        <v>19742</v>
      </c>
      <c r="G11848" s="2" t="str">
        <f>"SR-16619"</f>
        <v>SR-16619</v>
      </c>
      <c r="H11848" s="2" t="s">
        <v>47366</v>
      </c>
      <c r="I11848" s="2" t="s">
        <v>47367</v>
      </c>
      <c r="K11848" s="2" t="s">
        <v>2695</v>
      </c>
      <c r="L11848" s="2" t="s">
        <v>149</v>
      </c>
      <c r="M11848" s="2">
        <v>46069.0</v>
      </c>
      <c r="N11848" s="2" t="s">
        <v>21</v>
      </c>
    </row>
    <row r="11849" ht="15.75" customHeight="1">
      <c r="A11849" s="2">
        <v>2019.0</v>
      </c>
      <c r="B11849" s="2" t="s">
        <v>47368</v>
      </c>
      <c r="C11849" s="2" t="s">
        <v>47369</v>
      </c>
      <c r="D11849" s="2" t="str">
        <f>"907-355-3302"</f>
        <v>907-355-3302</v>
      </c>
      <c r="E11849" s="2" t="s">
        <v>47370</v>
      </c>
      <c r="F11849" s="2" t="s">
        <v>47371</v>
      </c>
      <c r="G11849" s="2" t="str">
        <f>"SR-16280"</f>
        <v>SR-16280</v>
      </c>
      <c r="H11849" s="2" t="s">
        <v>47372</v>
      </c>
      <c r="I11849" s="2" t="s">
        <v>47373</v>
      </c>
      <c r="K11849" s="2" t="s">
        <v>13272</v>
      </c>
      <c r="L11849" s="2" t="s">
        <v>70</v>
      </c>
      <c r="M11849" s="2">
        <v>99654.0</v>
      </c>
      <c r="N11849" s="2" t="s">
        <v>21</v>
      </c>
    </row>
    <row r="11850" ht="15.75" customHeight="1">
      <c r="A11850" s="2">
        <v>2019.0</v>
      </c>
      <c r="B11850" s="2" t="s">
        <v>47374</v>
      </c>
      <c r="C11850" s="2" t="s">
        <v>47375</v>
      </c>
      <c r="D11850" s="2" t="str">
        <f>"9529341777"</f>
        <v>9529341777</v>
      </c>
      <c r="E11850" s="2" t="s">
        <v>1094</v>
      </c>
      <c r="F11850" s="2" t="s">
        <v>17420</v>
      </c>
      <c r="G11850" s="2" t="str">
        <f>"SR-16620"</f>
        <v>SR-16620</v>
      </c>
      <c r="H11850" s="2" t="s">
        <v>47376</v>
      </c>
      <c r="I11850" s="2" t="s">
        <v>47377</v>
      </c>
      <c r="K11850" s="2" t="s">
        <v>1490</v>
      </c>
      <c r="L11850" s="2" t="s">
        <v>62</v>
      </c>
      <c r="M11850" s="2">
        <v>55346.0</v>
      </c>
      <c r="N11850" s="2" t="s">
        <v>21</v>
      </c>
    </row>
    <row r="11851" ht="15.75" customHeight="1">
      <c r="A11851" s="2">
        <v>2019.0</v>
      </c>
      <c r="B11851" s="2" t="s">
        <v>47378</v>
      </c>
      <c r="C11851" s="2" t="s">
        <v>47379</v>
      </c>
      <c r="D11851" s="2" t="str">
        <f>"7637725419"</f>
        <v>7637725419</v>
      </c>
      <c r="E11851" s="2" t="s">
        <v>385</v>
      </c>
      <c r="F11851" s="2" t="s">
        <v>847</v>
      </c>
      <c r="G11851" s="2" t="str">
        <f>"SR-16622"</f>
        <v>SR-16622</v>
      </c>
      <c r="H11851" s="2" t="s">
        <v>47380</v>
      </c>
      <c r="I11851" s="2">
        <v>25863.0</v>
      </c>
      <c r="J11851" s="2" t="s">
        <v>47381</v>
      </c>
      <c r="K11851" s="2" t="s">
        <v>10257</v>
      </c>
      <c r="L11851" s="2" t="s">
        <v>62</v>
      </c>
      <c r="M11851" s="2">
        <v>55398.0</v>
      </c>
      <c r="N11851" s="2" t="s">
        <v>21</v>
      </c>
    </row>
    <row r="11852" ht="15.75" customHeight="1">
      <c r="A11852" s="2">
        <v>2019.0</v>
      </c>
      <c r="B11852" s="2" t="s">
        <v>47382</v>
      </c>
      <c r="C11852" s="2" t="s">
        <v>47382</v>
      </c>
      <c r="D11852" s="2" t="str">
        <f>"8657738616"</f>
        <v>8657738616</v>
      </c>
      <c r="E11852" s="2" t="s">
        <v>843</v>
      </c>
      <c r="F11852" s="2" t="s">
        <v>47383</v>
      </c>
      <c r="G11852" s="2" t="str">
        <f>"SR-16627"</f>
        <v>SR-16627</v>
      </c>
      <c r="H11852" s="2" t="s">
        <v>47384</v>
      </c>
      <c r="I11852" s="2" t="s">
        <v>47385</v>
      </c>
      <c r="K11852" s="2" t="s">
        <v>6168</v>
      </c>
      <c r="L11852" s="2" t="s">
        <v>279</v>
      </c>
      <c r="M11852" s="2">
        <v>37918.0</v>
      </c>
      <c r="N11852" s="2" t="s">
        <v>21</v>
      </c>
    </row>
    <row r="11853" ht="15.75" customHeight="1">
      <c r="A11853" s="2">
        <v>2019.0</v>
      </c>
      <c r="B11853" s="2" t="s">
        <v>47386</v>
      </c>
      <c r="C11853" s="2" t="s">
        <v>47386</v>
      </c>
      <c r="D11853" s="2" t="str">
        <f>"6787996991"</f>
        <v>6787996991</v>
      </c>
      <c r="E11853" s="2" t="s">
        <v>37022</v>
      </c>
      <c r="F11853" s="2" t="s">
        <v>20153</v>
      </c>
      <c r="G11853" s="2" t="str">
        <f>"SR-16538"</f>
        <v>SR-16538</v>
      </c>
      <c r="H11853" s="2" t="s">
        <v>47387</v>
      </c>
      <c r="I11853" s="2" t="s">
        <v>47388</v>
      </c>
      <c r="K11853" s="2" t="s">
        <v>7012</v>
      </c>
      <c r="L11853" s="2" t="s">
        <v>200</v>
      </c>
      <c r="M11853" s="2">
        <v>30004.0</v>
      </c>
      <c r="N11853" s="2" t="s">
        <v>21</v>
      </c>
    </row>
    <row r="11854" ht="15.75" customHeight="1">
      <c r="A11854" s="2">
        <v>2019.0</v>
      </c>
      <c r="B11854" s="2" t="s">
        <v>47389</v>
      </c>
      <c r="C11854" s="2" t="s">
        <v>47390</v>
      </c>
      <c r="D11854" s="2" t="str">
        <f>"5862545954"</f>
        <v>5862545954</v>
      </c>
      <c r="E11854" s="2" t="s">
        <v>144</v>
      </c>
      <c r="F11854" s="2" t="s">
        <v>47391</v>
      </c>
      <c r="G11854" s="2" t="str">
        <f>"SR-16628"</f>
        <v>SR-16628</v>
      </c>
      <c r="H11854" s="2" t="s">
        <v>47392</v>
      </c>
      <c r="I11854" s="2" t="s">
        <v>47393</v>
      </c>
      <c r="K11854" s="2" t="s">
        <v>305</v>
      </c>
      <c r="L11854" s="2" t="s">
        <v>29</v>
      </c>
      <c r="M11854" s="2">
        <v>48314.0</v>
      </c>
      <c r="N11854" s="2" t="s">
        <v>21</v>
      </c>
    </row>
    <row r="11855" ht="15.75" customHeight="1">
      <c r="A11855" s="2">
        <v>2019.0</v>
      </c>
      <c r="B11855" s="2" t="s">
        <v>42507</v>
      </c>
      <c r="C11855" s="2" t="s">
        <v>42508</v>
      </c>
      <c r="D11855" s="2" t="str">
        <f>"7204274032"</f>
        <v>7204274032</v>
      </c>
      <c r="E11855" s="2" t="s">
        <v>678</v>
      </c>
      <c r="F11855" s="2" t="s">
        <v>320</v>
      </c>
      <c r="G11855" s="2" t="str">
        <f>"SR-14653"</f>
        <v>SR-14653</v>
      </c>
      <c r="H11855" s="2" t="s">
        <v>42509</v>
      </c>
      <c r="I11855" s="2" t="s">
        <v>42510</v>
      </c>
      <c r="K11855" s="2" t="s">
        <v>42511</v>
      </c>
      <c r="L11855" s="2" t="s">
        <v>422</v>
      </c>
      <c r="M11855" s="2">
        <v>86315.0</v>
      </c>
      <c r="N11855" s="2" t="s">
        <v>21</v>
      </c>
    </row>
    <row r="11856" ht="15.75" customHeight="1">
      <c r="A11856" s="2">
        <v>2019.0</v>
      </c>
      <c r="B11856" s="2" t="s">
        <v>47394</v>
      </c>
      <c r="C11856" s="2" t="s">
        <v>47394</v>
      </c>
      <c r="D11856" s="2" t="str">
        <f>"720-440-4183"</f>
        <v>720-440-4183</v>
      </c>
      <c r="E11856" s="2" t="s">
        <v>47395</v>
      </c>
      <c r="F11856" s="2" t="s">
        <v>47396</v>
      </c>
      <c r="G11856" s="2" t="str">
        <f>"SR-16632"</f>
        <v>SR-16632</v>
      </c>
      <c r="H11856" s="2" t="s">
        <v>47397</v>
      </c>
      <c r="I11856" s="2" t="s">
        <v>47398</v>
      </c>
      <c r="K11856" s="2" t="s">
        <v>6915</v>
      </c>
      <c r="L11856" s="2" t="s">
        <v>157</v>
      </c>
      <c r="M11856" s="2">
        <v>80234.0</v>
      </c>
      <c r="N11856" s="2" t="s">
        <v>21</v>
      </c>
    </row>
    <row r="11857" ht="15.75" customHeight="1">
      <c r="A11857" s="2">
        <v>2019.0</v>
      </c>
      <c r="B11857" s="2" t="s">
        <v>47399</v>
      </c>
      <c r="C11857" s="2" t="s">
        <v>47399</v>
      </c>
      <c r="D11857" s="2" t="str">
        <f>"7123018685"</f>
        <v>7123018685</v>
      </c>
      <c r="E11857" s="2" t="s">
        <v>1422</v>
      </c>
      <c r="F11857" s="2" t="s">
        <v>47400</v>
      </c>
      <c r="G11857" s="2" t="str">
        <f>"SR-16631"</f>
        <v>SR-16631</v>
      </c>
      <c r="H11857" s="2" t="s">
        <v>47401</v>
      </c>
      <c r="I11857" s="2" t="s">
        <v>47402</v>
      </c>
      <c r="K11857" s="2" t="s">
        <v>47403</v>
      </c>
      <c r="L11857" s="2" t="s">
        <v>920</v>
      </c>
      <c r="M11857" s="2">
        <v>57049.0</v>
      </c>
      <c r="N11857" s="2" t="s">
        <v>21</v>
      </c>
    </row>
    <row r="11858" ht="15.75" customHeight="1">
      <c r="A11858" s="2">
        <v>2019.0</v>
      </c>
      <c r="B11858" s="2" t="s">
        <v>47404</v>
      </c>
      <c r="D11858" s="2" t="str">
        <f>""</f>
        <v/>
      </c>
      <c r="E11858" s="2" t="s">
        <v>752</v>
      </c>
      <c r="F11858" s="2" t="s">
        <v>21136</v>
      </c>
      <c r="G11858" s="2" t="str">
        <f>"SR-16630"</f>
        <v>SR-16630</v>
      </c>
      <c r="H11858" s="2" t="s">
        <v>47405</v>
      </c>
    </row>
    <row r="11859" ht="15.75" customHeight="1">
      <c r="A11859" s="2">
        <v>2019.0</v>
      </c>
      <c r="B11859" s="2" t="s">
        <v>21851</v>
      </c>
      <c r="C11859" s="2" t="s">
        <v>27302</v>
      </c>
      <c r="D11859" s="2" t="str">
        <f>"8083544558"</f>
        <v>8083544558</v>
      </c>
      <c r="E11859" s="2" t="s">
        <v>27303</v>
      </c>
      <c r="F11859" s="2" t="s">
        <v>5632</v>
      </c>
      <c r="G11859" s="2" t="str">
        <f>"SR-8560"</f>
        <v>SR-8560</v>
      </c>
      <c r="H11859" s="2" t="s">
        <v>27304</v>
      </c>
      <c r="I11859" s="2" t="s">
        <v>27305</v>
      </c>
      <c r="K11859" s="2" t="s">
        <v>27306</v>
      </c>
      <c r="L11859" s="2" t="s">
        <v>200</v>
      </c>
      <c r="M11859" s="2">
        <v>31779.0</v>
      </c>
      <c r="N11859" s="2" t="s">
        <v>21</v>
      </c>
    </row>
    <row r="11860" ht="15.75" customHeight="1">
      <c r="A11860" s="2">
        <v>2019.0</v>
      </c>
      <c r="B11860" s="2" t="s">
        <v>47406</v>
      </c>
      <c r="C11860" s="2" t="s">
        <v>47406</v>
      </c>
      <c r="D11860" s="2" t="str">
        <f t="shared" ref="D11860:D11861" si="199">"4066942201"</f>
        <v>4066942201</v>
      </c>
      <c r="E11860" s="2" t="s">
        <v>6170</v>
      </c>
      <c r="F11860" s="2" t="s">
        <v>47407</v>
      </c>
      <c r="G11860" s="2" t="str">
        <f>"SR-16519"</f>
        <v>SR-16519</v>
      </c>
      <c r="H11860" s="2" t="s">
        <v>47408</v>
      </c>
      <c r="I11860" s="2" t="s">
        <v>47409</v>
      </c>
      <c r="K11860" s="2" t="s">
        <v>3548</v>
      </c>
      <c r="L11860" s="2" t="s">
        <v>2696</v>
      </c>
      <c r="M11860" s="2">
        <v>59105.0</v>
      </c>
      <c r="N11860" s="2" t="s">
        <v>21</v>
      </c>
    </row>
    <row r="11861" ht="15.75" customHeight="1">
      <c r="A11861" s="2">
        <v>2019.0</v>
      </c>
      <c r="B11861" s="2" t="s">
        <v>47406</v>
      </c>
      <c r="C11861" s="2" t="s">
        <v>47406</v>
      </c>
      <c r="D11861" s="2" t="str">
        <f t="shared" si="199"/>
        <v>4066942201</v>
      </c>
      <c r="E11861" s="2" t="s">
        <v>38863</v>
      </c>
      <c r="F11861" s="2" t="s">
        <v>1799</v>
      </c>
      <c r="G11861" s="2" t="str">
        <f>"SR-16521"</f>
        <v>SR-16521</v>
      </c>
      <c r="H11861" s="2" t="s">
        <v>47410</v>
      </c>
      <c r="I11861" s="2" t="s">
        <v>47409</v>
      </c>
      <c r="K11861" s="2" t="s">
        <v>3548</v>
      </c>
      <c r="L11861" s="2" t="s">
        <v>2696</v>
      </c>
      <c r="M11861" s="2">
        <v>59105.0</v>
      </c>
      <c r="N11861" s="2" t="s">
        <v>21</v>
      </c>
    </row>
    <row r="11862" ht="15.75" customHeight="1">
      <c r="A11862" s="2">
        <v>2019.0</v>
      </c>
      <c r="B11862" s="2" t="s">
        <v>18316</v>
      </c>
      <c r="C11862" s="2" t="s">
        <v>47411</v>
      </c>
      <c r="D11862" s="2" t="str">
        <f>"3033329735"</f>
        <v>3033329735</v>
      </c>
      <c r="E11862" s="2" t="s">
        <v>6381</v>
      </c>
      <c r="F11862" s="2" t="s">
        <v>3978</v>
      </c>
      <c r="G11862" s="2" t="str">
        <f>"SR-16634"</f>
        <v>SR-16634</v>
      </c>
      <c r="H11862" s="2" t="s">
        <v>47412</v>
      </c>
      <c r="I11862" s="2" t="s">
        <v>18318</v>
      </c>
      <c r="K11862" s="2" t="s">
        <v>4939</v>
      </c>
      <c r="L11862" s="2" t="s">
        <v>157</v>
      </c>
      <c r="M11862" s="2">
        <v>80516.0</v>
      </c>
      <c r="N11862" s="2" t="s">
        <v>21</v>
      </c>
    </row>
    <row r="11863" ht="15.75" customHeight="1">
      <c r="A11863" s="2">
        <v>2019.0</v>
      </c>
      <c r="B11863" s="2" t="s">
        <v>18316</v>
      </c>
      <c r="C11863" s="2" t="s">
        <v>47413</v>
      </c>
      <c r="D11863" s="2" t="str">
        <f>"3036041841"</f>
        <v>3036041841</v>
      </c>
      <c r="E11863" s="2" t="s">
        <v>47414</v>
      </c>
      <c r="F11863" s="2" t="s">
        <v>3978</v>
      </c>
      <c r="G11863" s="2" t="str">
        <f>"SR-16635"</f>
        <v>SR-16635</v>
      </c>
      <c r="H11863" s="2" t="s">
        <v>47415</v>
      </c>
      <c r="I11863" s="2" t="s">
        <v>18318</v>
      </c>
      <c r="K11863" s="2" t="s">
        <v>4939</v>
      </c>
      <c r="L11863" s="2" t="s">
        <v>157</v>
      </c>
      <c r="M11863" s="2">
        <v>80516.0</v>
      </c>
      <c r="N11863" s="2" t="s">
        <v>21</v>
      </c>
    </row>
    <row r="11864" ht="15.75" customHeight="1">
      <c r="A11864" s="2">
        <v>2019.0</v>
      </c>
      <c r="B11864" s="2" t="s">
        <v>38098</v>
      </c>
      <c r="D11864" s="2" t="str">
        <f>""</f>
        <v/>
      </c>
      <c r="E11864" s="2" t="s">
        <v>4224</v>
      </c>
      <c r="F11864" s="2" t="s">
        <v>38099</v>
      </c>
      <c r="G11864" s="2" t="str">
        <f>"SR-12951"</f>
        <v>SR-12951</v>
      </c>
      <c r="H11864" s="2" t="s">
        <v>38100</v>
      </c>
      <c r="N11864" s="2" t="s">
        <v>21</v>
      </c>
    </row>
    <row r="11865" ht="15.75" customHeight="1">
      <c r="A11865" s="2">
        <v>2019.0</v>
      </c>
      <c r="B11865" s="2" t="s">
        <v>47416</v>
      </c>
      <c r="C11865" s="2" t="s">
        <v>47416</v>
      </c>
      <c r="D11865" s="2" t="str">
        <f>"9713360243"</f>
        <v>9713360243</v>
      </c>
      <c r="E11865" s="2" t="s">
        <v>47417</v>
      </c>
      <c r="F11865" s="2" t="s">
        <v>47418</v>
      </c>
      <c r="G11865" s="2" t="str">
        <f>"SR-16383"</f>
        <v>SR-16383</v>
      </c>
      <c r="H11865" s="2" t="s">
        <v>47419</v>
      </c>
      <c r="I11865" s="2" t="s">
        <v>47420</v>
      </c>
      <c r="K11865" s="2" t="s">
        <v>7370</v>
      </c>
      <c r="L11865" s="2" t="s">
        <v>2389</v>
      </c>
      <c r="M11865" s="2">
        <v>97045.0</v>
      </c>
      <c r="N11865" s="2" t="s">
        <v>21</v>
      </c>
    </row>
    <row r="11866" ht="15.75" customHeight="1">
      <c r="A11866" s="2">
        <v>2019.0</v>
      </c>
      <c r="B11866" s="2" t="s">
        <v>47421</v>
      </c>
      <c r="C11866" s="2" t="s">
        <v>47422</v>
      </c>
      <c r="D11866" s="2" t="str">
        <f>"3107732042"</f>
        <v>3107732042</v>
      </c>
      <c r="E11866" s="2" t="s">
        <v>1702</v>
      </c>
      <c r="F11866" s="2" t="s">
        <v>47423</v>
      </c>
      <c r="G11866" s="2" t="str">
        <f>"SR-16637"</f>
        <v>SR-16637</v>
      </c>
      <c r="H11866" s="2" t="s">
        <v>47424</v>
      </c>
      <c r="I11866" s="2" t="s">
        <v>47425</v>
      </c>
      <c r="K11866" s="2" t="s">
        <v>47426</v>
      </c>
      <c r="L11866" s="2" t="s">
        <v>422</v>
      </c>
      <c r="M11866" s="2">
        <v>85302.0</v>
      </c>
      <c r="N11866" s="2" t="s">
        <v>21</v>
      </c>
    </row>
    <row r="11867" ht="15.75" customHeight="1">
      <c r="A11867" s="2">
        <v>2019.0</v>
      </c>
      <c r="B11867" s="2" t="s">
        <v>47427</v>
      </c>
      <c r="C11867" s="2" t="s">
        <v>47428</v>
      </c>
      <c r="D11867" s="2" t="str">
        <f>"3523633075"</f>
        <v>3523633075</v>
      </c>
      <c r="E11867" s="2" t="s">
        <v>3977</v>
      </c>
      <c r="F11867" s="2" t="s">
        <v>13023</v>
      </c>
      <c r="G11867" s="2" t="str">
        <f>"SR-16639"</f>
        <v>SR-16639</v>
      </c>
      <c r="H11867" s="2" t="s">
        <v>47429</v>
      </c>
      <c r="I11867" s="2" t="s">
        <v>47430</v>
      </c>
      <c r="K11867" s="2" t="s">
        <v>21389</v>
      </c>
      <c r="L11867" s="2" t="s">
        <v>208</v>
      </c>
      <c r="M11867" s="2">
        <v>32653.0</v>
      </c>
      <c r="N11867" s="2" t="s">
        <v>21</v>
      </c>
    </row>
    <row r="11868" ht="15.75" customHeight="1">
      <c r="A11868" s="2">
        <v>2019.0</v>
      </c>
      <c r="B11868" s="2" t="s">
        <v>47431</v>
      </c>
      <c r="C11868" s="2" t="s">
        <v>47431</v>
      </c>
      <c r="D11868" s="2" t="str">
        <f>"(432) 214-5320"</f>
        <v>(432) 214-5320</v>
      </c>
      <c r="E11868" s="2" t="s">
        <v>39039</v>
      </c>
      <c r="F11868" s="2" t="s">
        <v>639</v>
      </c>
      <c r="G11868" s="2" t="str">
        <f>"SR-16312"</f>
        <v>SR-16312</v>
      </c>
      <c r="H11868" s="2" t="s">
        <v>47432</v>
      </c>
      <c r="I11868" s="2" t="s">
        <v>47433</v>
      </c>
      <c r="K11868" s="2" t="s">
        <v>286</v>
      </c>
      <c r="L11868" s="2" t="s">
        <v>172</v>
      </c>
      <c r="M11868" s="2">
        <v>79705.0</v>
      </c>
      <c r="N11868" s="2" t="s">
        <v>21</v>
      </c>
    </row>
    <row r="11869" ht="15.75" customHeight="1">
      <c r="A11869" s="2">
        <v>2019.0</v>
      </c>
      <c r="B11869" s="2" t="s">
        <v>47434</v>
      </c>
      <c r="D11869" s="2" t="str">
        <f>""</f>
        <v/>
      </c>
      <c r="E11869" s="2" t="s">
        <v>14150</v>
      </c>
      <c r="F11869" s="2" t="s">
        <v>19277</v>
      </c>
      <c r="G11869" s="2" t="str">
        <f>"SR-16641"</f>
        <v>SR-16641</v>
      </c>
      <c r="H11869" s="2" t="s">
        <v>47435</v>
      </c>
    </row>
    <row r="11870" ht="15.75" customHeight="1">
      <c r="A11870" s="2">
        <v>2019.0</v>
      </c>
      <c r="B11870" s="2" t="s">
        <v>38098</v>
      </c>
      <c r="C11870" s="2" t="s">
        <v>47436</v>
      </c>
      <c r="D11870" s="2" t="str">
        <f>"828-652-4471"</f>
        <v>828-652-4471</v>
      </c>
      <c r="E11870" s="2" t="s">
        <v>843</v>
      </c>
      <c r="F11870" s="2" t="s">
        <v>47437</v>
      </c>
      <c r="G11870" s="2" t="str">
        <f>"SR-16636"</f>
        <v>SR-16636</v>
      </c>
      <c r="H11870" s="2" t="s">
        <v>47438</v>
      </c>
      <c r="I11870" s="2" t="s">
        <v>47439</v>
      </c>
      <c r="K11870" s="2" t="s">
        <v>38105</v>
      </c>
      <c r="L11870" s="2" t="s">
        <v>20</v>
      </c>
      <c r="M11870" s="2">
        <v>28761.0</v>
      </c>
      <c r="N11870" s="2" t="s">
        <v>21</v>
      </c>
    </row>
    <row r="11871" ht="15.75" customHeight="1">
      <c r="A11871" s="2">
        <v>2019.0</v>
      </c>
      <c r="B11871" s="2" t="s">
        <v>47440</v>
      </c>
      <c r="C11871" s="2" t="s">
        <v>47441</v>
      </c>
      <c r="D11871" s="2" t="str">
        <f>"661-618-4071"</f>
        <v>661-618-4071</v>
      </c>
      <c r="E11871" s="2" t="s">
        <v>3650</v>
      </c>
      <c r="F11871" s="2" t="s">
        <v>12769</v>
      </c>
      <c r="G11871" s="2" t="str">
        <f>"SR-16643"</f>
        <v>SR-16643</v>
      </c>
      <c r="H11871" s="2" t="s">
        <v>47442</v>
      </c>
      <c r="I11871" s="2" t="s">
        <v>47443</v>
      </c>
      <c r="K11871" s="2" t="s">
        <v>13472</v>
      </c>
      <c r="L11871" s="2" t="s">
        <v>222</v>
      </c>
      <c r="M11871" s="2">
        <v>91355.0</v>
      </c>
      <c r="N11871" s="2" t="s">
        <v>21</v>
      </c>
    </row>
    <row r="11872" ht="15.75" customHeight="1">
      <c r="A11872" s="2">
        <v>2019.0</v>
      </c>
      <c r="B11872" s="2" t="s">
        <v>47444</v>
      </c>
      <c r="C11872" s="2" t="s">
        <v>47444</v>
      </c>
      <c r="D11872" s="2" t="str">
        <f>"5078847684"</f>
        <v>5078847684</v>
      </c>
      <c r="E11872" s="2" t="s">
        <v>8316</v>
      </c>
      <c r="F11872" s="2" t="s">
        <v>27014</v>
      </c>
      <c r="G11872" s="2" t="str">
        <f>"SR-16599"</f>
        <v>SR-16599</v>
      </c>
      <c r="H11872" s="2" t="s">
        <v>47445</v>
      </c>
      <c r="I11872" s="2" t="s">
        <v>47446</v>
      </c>
      <c r="K11872" s="2" t="s">
        <v>47447</v>
      </c>
      <c r="L11872" s="2" t="s">
        <v>62</v>
      </c>
      <c r="M11872" s="2">
        <v>55954.0</v>
      </c>
      <c r="N11872" s="2" t="s">
        <v>21</v>
      </c>
    </row>
    <row r="11873" ht="15.75" customHeight="1">
      <c r="A11873" s="2">
        <v>2019.0</v>
      </c>
      <c r="B11873" s="2" t="s">
        <v>47448</v>
      </c>
      <c r="C11873" s="2" t="s">
        <v>47449</v>
      </c>
      <c r="D11873" s="2" t="str">
        <f>"9097256496"</f>
        <v>9097256496</v>
      </c>
      <c r="E11873" s="2" t="s">
        <v>47450</v>
      </c>
      <c r="F11873" s="2" t="s">
        <v>47451</v>
      </c>
      <c r="G11873" s="2" t="str">
        <f>"SR-16594"</f>
        <v>SR-16594</v>
      </c>
      <c r="H11873" s="2" t="s">
        <v>47452</v>
      </c>
      <c r="I11873" s="2" t="s">
        <v>47453</v>
      </c>
      <c r="K11873" s="2" t="s">
        <v>47454</v>
      </c>
      <c r="L11873" s="2" t="s">
        <v>222</v>
      </c>
      <c r="M11873" s="2">
        <v>92374.0</v>
      </c>
      <c r="N11873" s="2" t="s">
        <v>21</v>
      </c>
    </row>
    <row r="11874" ht="15.75" customHeight="1">
      <c r="A11874" s="2">
        <v>2019.0</v>
      </c>
      <c r="B11874" s="2" t="s">
        <v>47455</v>
      </c>
      <c r="C11874" s="2" t="s">
        <v>47456</v>
      </c>
      <c r="D11874" s="2" t="str">
        <f>"661-964-9444"</f>
        <v>661-964-9444</v>
      </c>
      <c r="E11874" s="2" t="s">
        <v>5347</v>
      </c>
      <c r="F11874" s="2" t="s">
        <v>3052</v>
      </c>
      <c r="G11874" s="2" t="str">
        <f>"SR-16645"</f>
        <v>SR-16645</v>
      </c>
      <c r="H11874" s="2" t="s">
        <v>47457</v>
      </c>
      <c r="I11874" s="2" t="s">
        <v>47458</v>
      </c>
      <c r="K11874" s="2" t="s">
        <v>47459</v>
      </c>
      <c r="L11874" s="2" t="s">
        <v>222</v>
      </c>
      <c r="M11874" s="2">
        <v>91387.0</v>
      </c>
      <c r="N11874" s="2" t="s">
        <v>21</v>
      </c>
    </row>
    <row r="11875" ht="15.75" customHeight="1">
      <c r="A11875" s="2">
        <v>2019.0</v>
      </c>
      <c r="B11875" s="2" t="s">
        <v>47460</v>
      </c>
      <c r="C11875" s="2" t="s">
        <v>47460</v>
      </c>
      <c r="D11875" s="2" t="str">
        <f>"7209259409"</f>
        <v>7209259409</v>
      </c>
      <c r="E11875" s="2" t="s">
        <v>47461</v>
      </c>
      <c r="F11875" s="2" t="s">
        <v>5105</v>
      </c>
      <c r="G11875" s="2" t="str">
        <f>"SR-16646"</f>
        <v>SR-16646</v>
      </c>
      <c r="H11875" s="2" t="s">
        <v>47462</v>
      </c>
      <c r="I11875" s="2" t="s">
        <v>47463</v>
      </c>
      <c r="J11875" s="2" t="s">
        <v>47464</v>
      </c>
      <c r="K11875" s="2" t="s">
        <v>1548</v>
      </c>
      <c r="L11875" s="2" t="s">
        <v>157</v>
      </c>
      <c r="M11875" s="2">
        <v>80107.0</v>
      </c>
      <c r="N11875" s="2" t="s">
        <v>21</v>
      </c>
    </row>
    <row r="11876" ht="15.75" customHeight="1">
      <c r="A11876" s="2">
        <v>2019.0</v>
      </c>
      <c r="B11876" s="2" t="s">
        <v>47465</v>
      </c>
      <c r="C11876" s="2" t="s">
        <v>47465</v>
      </c>
      <c r="D11876" s="2" t="str">
        <f>"6155865977"</f>
        <v>6155865977</v>
      </c>
      <c r="E11876" s="2" t="s">
        <v>1761</v>
      </c>
      <c r="F11876" s="2" t="s">
        <v>7251</v>
      </c>
      <c r="G11876" s="2" t="str">
        <f>"SR-16649"</f>
        <v>SR-16649</v>
      </c>
      <c r="H11876" s="2" t="s">
        <v>47466</v>
      </c>
      <c r="I11876" s="2" t="s">
        <v>47467</v>
      </c>
      <c r="K11876" s="2" t="s">
        <v>7445</v>
      </c>
      <c r="L11876" s="2" t="s">
        <v>279</v>
      </c>
      <c r="M11876" s="2">
        <v>37174.0</v>
      </c>
      <c r="N11876" s="2" t="s">
        <v>21</v>
      </c>
    </row>
    <row r="11877" ht="15.75" customHeight="1">
      <c r="A11877" s="2">
        <v>2019.0</v>
      </c>
      <c r="B11877" s="2" t="s">
        <v>47468</v>
      </c>
      <c r="C11877" s="2" t="s">
        <v>47468</v>
      </c>
      <c r="D11877" s="2" t="str">
        <f>"9205305036"</f>
        <v>9205305036</v>
      </c>
      <c r="E11877" s="2" t="s">
        <v>47469</v>
      </c>
      <c r="F11877" s="2" t="s">
        <v>2043</v>
      </c>
      <c r="G11877" s="2" t="str">
        <f>"SR-16650"</f>
        <v>SR-16650</v>
      </c>
      <c r="H11877" s="2" t="s">
        <v>47470</v>
      </c>
      <c r="I11877" s="2" t="s">
        <v>47471</v>
      </c>
      <c r="K11877" s="2" t="s">
        <v>1104</v>
      </c>
      <c r="L11877" s="2" t="s">
        <v>214</v>
      </c>
      <c r="M11877" s="2">
        <v>63383.0</v>
      </c>
      <c r="N11877" s="2" t="s">
        <v>21</v>
      </c>
    </row>
    <row r="11878" ht="15.75" customHeight="1">
      <c r="A11878" s="2">
        <v>2019.0</v>
      </c>
      <c r="B11878" s="2" t="s">
        <v>47472</v>
      </c>
      <c r="D11878" s="2" t="str">
        <f>"812-453-0728"</f>
        <v>812-453-0728</v>
      </c>
      <c r="E11878" s="2" t="s">
        <v>8693</v>
      </c>
      <c r="F11878" s="2" t="s">
        <v>15431</v>
      </c>
      <c r="G11878" s="2" t="str">
        <f>"SR-16651"</f>
        <v>SR-16651</v>
      </c>
      <c r="H11878" s="2" t="s">
        <v>47473</v>
      </c>
      <c r="I11878" s="2" t="s">
        <v>47474</v>
      </c>
      <c r="K11878" s="2" t="s">
        <v>148</v>
      </c>
      <c r="L11878" s="2" t="s">
        <v>149</v>
      </c>
      <c r="M11878" s="2">
        <v>47720.0</v>
      </c>
      <c r="N11878" s="2" t="s">
        <v>21</v>
      </c>
    </row>
    <row r="11879" ht="15.75" customHeight="1">
      <c r="A11879" s="2">
        <v>2019.0</v>
      </c>
      <c r="B11879" s="2" t="s">
        <v>47475</v>
      </c>
      <c r="C11879" s="2" t="s">
        <v>47475</v>
      </c>
      <c r="D11879" s="2" t="str">
        <f>"509-750-7806"</f>
        <v>509-750-7806</v>
      </c>
      <c r="E11879" s="2" t="s">
        <v>4749</v>
      </c>
      <c r="F11879" s="2" t="s">
        <v>47476</v>
      </c>
      <c r="G11879" s="2" t="str">
        <f>"SR-16652"</f>
        <v>SR-16652</v>
      </c>
      <c r="H11879" s="2" t="s">
        <v>47477</v>
      </c>
      <c r="I11879" s="2" t="s">
        <v>47478</v>
      </c>
      <c r="K11879" s="2" t="s">
        <v>25942</v>
      </c>
      <c r="L11879" s="2" t="s">
        <v>86</v>
      </c>
      <c r="M11879" s="2">
        <v>98837.0</v>
      </c>
      <c r="N11879" s="2" t="s">
        <v>21</v>
      </c>
    </row>
    <row r="11880" ht="15.75" customHeight="1">
      <c r="A11880" s="2">
        <v>2019.0</v>
      </c>
      <c r="B11880" s="2" t="s">
        <v>47475</v>
      </c>
      <c r="C11880" s="2" t="s">
        <v>47475</v>
      </c>
      <c r="D11880" s="2" t="str">
        <f>"509-750-7822"</f>
        <v>509-750-7822</v>
      </c>
      <c r="E11880" s="2" t="s">
        <v>12491</v>
      </c>
      <c r="F11880" s="2" t="s">
        <v>47476</v>
      </c>
      <c r="G11880" s="2" t="str">
        <f>"SR-16653"</f>
        <v>SR-16653</v>
      </c>
      <c r="H11880" s="2" t="s">
        <v>47479</v>
      </c>
      <c r="I11880" s="2" t="s">
        <v>47478</v>
      </c>
      <c r="K11880" s="2" t="s">
        <v>25942</v>
      </c>
      <c r="L11880" s="2" t="s">
        <v>86</v>
      </c>
      <c r="M11880" s="2">
        <v>98837.0</v>
      </c>
      <c r="N11880" s="2" t="s">
        <v>21</v>
      </c>
    </row>
    <row r="11881" ht="15.75" customHeight="1">
      <c r="A11881" s="2">
        <v>2019.0</v>
      </c>
      <c r="B11881" s="2" t="s">
        <v>47480</v>
      </c>
      <c r="C11881" s="2" t="s">
        <v>47480</v>
      </c>
      <c r="D11881" s="2" t="str">
        <f>"+6011-3189 8135"</f>
        <v>+6011-3189 8135</v>
      </c>
      <c r="E11881" s="2" t="s">
        <v>47481</v>
      </c>
      <c r="F11881" s="2" t="s">
        <v>1864</v>
      </c>
      <c r="G11881" s="2" t="str">
        <f>"SR-16657"</f>
        <v>SR-16657</v>
      </c>
      <c r="H11881" s="2" t="s">
        <v>47482</v>
      </c>
      <c r="I11881" s="2" t="s">
        <v>47483</v>
      </c>
      <c r="K11881" s="2" t="s">
        <v>47484</v>
      </c>
      <c r="L11881" s="2" t="s">
        <v>40261</v>
      </c>
      <c r="M11881" s="2">
        <v>47600.0</v>
      </c>
      <c r="N11881" s="2" t="s">
        <v>2075</v>
      </c>
    </row>
    <row r="11882" ht="15.75" customHeight="1">
      <c r="A11882" s="2">
        <v>2019.0</v>
      </c>
      <c r="B11882" s="2" t="s">
        <v>47485</v>
      </c>
      <c r="C11882" s="2" t="s">
        <v>47485</v>
      </c>
      <c r="D11882" s="2" t="str">
        <f>"9712746604"</f>
        <v>9712746604</v>
      </c>
      <c r="E11882" s="2" t="s">
        <v>47486</v>
      </c>
      <c r="F11882" s="2" t="s">
        <v>47487</v>
      </c>
      <c r="G11882" s="2" t="str">
        <f>"SR-16659"</f>
        <v>SR-16659</v>
      </c>
      <c r="H11882" s="2" t="s">
        <v>47488</v>
      </c>
      <c r="I11882" s="2">
        <v>16118.0</v>
      </c>
      <c r="K11882" s="2" t="s">
        <v>7370</v>
      </c>
      <c r="L11882" s="2" t="s">
        <v>2389</v>
      </c>
      <c r="M11882" s="2">
        <v>97045.0</v>
      </c>
      <c r="N11882" s="2" t="s">
        <v>21</v>
      </c>
    </row>
    <row r="11883" ht="15.75" customHeight="1">
      <c r="A11883" s="2">
        <v>2019.0</v>
      </c>
      <c r="B11883" s="2" t="s">
        <v>47489</v>
      </c>
      <c r="C11883" s="2" t="s">
        <v>47490</v>
      </c>
      <c r="D11883" s="2" t="str">
        <f>"423-715-1510"</f>
        <v>423-715-1510</v>
      </c>
      <c r="E11883" s="2" t="s">
        <v>261</v>
      </c>
      <c r="F11883" s="2" t="s">
        <v>47491</v>
      </c>
      <c r="G11883" s="2" t="str">
        <f>"SR-16661"</f>
        <v>SR-16661</v>
      </c>
      <c r="H11883" s="2" t="s">
        <v>47492</v>
      </c>
      <c r="I11883" s="2" t="s">
        <v>47493</v>
      </c>
      <c r="K11883" s="2" t="s">
        <v>9733</v>
      </c>
      <c r="L11883" s="2" t="s">
        <v>279</v>
      </c>
      <c r="M11883" s="2">
        <v>37659.0</v>
      </c>
      <c r="N11883" s="2" t="s">
        <v>21</v>
      </c>
    </row>
    <row r="11884" ht="15.75" customHeight="1">
      <c r="A11884" s="2">
        <v>2019.0</v>
      </c>
      <c r="B11884" s="2" t="s">
        <v>3962</v>
      </c>
      <c r="C11884" s="2" t="s">
        <v>47494</v>
      </c>
      <c r="D11884" s="2" t="str">
        <f>"813-459-1294"</f>
        <v>813-459-1294</v>
      </c>
      <c r="E11884" s="2" t="s">
        <v>4968</v>
      </c>
      <c r="F11884" s="2" t="s">
        <v>3964</v>
      </c>
      <c r="G11884" s="2" t="str">
        <f>"SR-16662"</f>
        <v>SR-16662</v>
      </c>
      <c r="H11884" s="2" t="s">
        <v>47495</v>
      </c>
      <c r="I11884" s="2" t="s">
        <v>47496</v>
      </c>
      <c r="K11884" s="2" t="s">
        <v>3431</v>
      </c>
      <c r="L11884" s="2" t="s">
        <v>208</v>
      </c>
      <c r="M11884" s="2">
        <v>33629.0</v>
      </c>
      <c r="N11884" s="2" t="s">
        <v>21</v>
      </c>
    </row>
    <row r="11885" ht="15.75" customHeight="1">
      <c r="A11885" s="2">
        <v>2019.0</v>
      </c>
      <c r="B11885" s="2" t="s">
        <v>47497</v>
      </c>
      <c r="C11885" s="2" t="s">
        <v>47498</v>
      </c>
      <c r="D11885" s="2" t="str">
        <f>"9703703165"</f>
        <v>9703703165</v>
      </c>
      <c r="E11885" s="2" t="s">
        <v>3977</v>
      </c>
      <c r="F11885" s="2" t="s">
        <v>47499</v>
      </c>
      <c r="G11885" s="2" t="str">
        <f>"SR-16536"</f>
        <v>SR-16536</v>
      </c>
      <c r="H11885" s="2" t="s">
        <v>47500</v>
      </c>
      <c r="I11885" s="2" t="s">
        <v>47501</v>
      </c>
      <c r="K11885" s="2" t="s">
        <v>21476</v>
      </c>
      <c r="L11885" s="2" t="s">
        <v>157</v>
      </c>
      <c r="M11885" s="2">
        <v>80701.0</v>
      </c>
      <c r="N11885" s="2" t="s">
        <v>21</v>
      </c>
    </row>
    <row r="11886" ht="15.75" customHeight="1">
      <c r="A11886" s="2">
        <v>2019.0</v>
      </c>
      <c r="B11886" s="2" t="s">
        <v>47421</v>
      </c>
      <c r="C11886" s="2" t="s">
        <v>47502</v>
      </c>
      <c r="D11886" s="2" t="str">
        <f>"3108006498"</f>
        <v>3108006498</v>
      </c>
      <c r="E11886" s="2" t="s">
        <v>2384</v>
      </c>
      <c r="F11886" s="2" t="s">
        <v>47423</v>
      </c>
      <c r="G11886" s="2" t="str">
        <f>"SR-16663"</f>
        <v>SR-16663</v>
      </c>
      <c r="H11886" s="2" t="s">
        <v>47503</v>
      </c>
      <c r="I11886" s="2" t="s">
        <v>47425</v>
      </c>
      <c r="K11886" s="2" t="s">
        <v>47426</v>
      </c>
      <c r="L11886" s="2" t="s">
        <v>422</v>
      </c>
      <c r="M11886" s="2">
        <v>85302.0</v>
      </c>
      <c r="N11886" s="2" t="s">
        <v>21</v>
      </c>
    </row>
    <row r="11887" ht="15.75" customHeight="1">
      <c r="A11887" s="2">
        <v>2019.0</v>
      </c>
      <c r="B11887" s="2" t="s">
        <v>47504</v>
      </c>
      <c r="C11887" s="2" t="s">
        <v>47504</v>
      </c>
      <c r="D11887" s="2" t="str">
        <f>"717-706-5862"</f>
        <v>717-706-5862</v>
      </c>
      <c r="E11887" s="2" t="s">
        <v>2752</v>
      </c>
      <c r="F11887" s="2" t="s">
        <v>3236</v>
      </c>
      <c r="G11887" s="2" t="str">
        <f>"SR-16664"</f>
        <v>SR-16664</v>
      </c>
      <c r="H11887" s="2" t="s">
        <v>47505</v>
      </c>
      <c r="I11887" s="2" t="s">
        <v>47506</v>
      </c>
      <c r="K11887" s="2" t="s">
        <v>39284</v>
      </c>
      <c r="L11887" s="2" t="s">
        <v>179</v>
      </c>
      <c r="M11887" s="2">
        <v>17013.0</v>
      </c>
      <c r="N11887" s="2" t="s">
        <v>21</v>
      </c>
    </row>
    <row r="11888" ht="15.75" customHeight="1">
      <c r="A11888" s="2">
        <v>2019.0</v>
      </c>
      <c r="B11888" s="2" t="s">
        <v>7208</v>
      </c>
      <c r="C11888" s="2" t="s">
        <v>47507</v>
      </c>
      <c r="D11888" s="2" t="str">
        <f>"720-244-3190"</f>
        <v>720-244-3190</v>
      </c>
      <c r="E11888" s="2" t="s">
        <v>18150</v>
      </c>
      <c r="F11888" s="2" t="s">
        <v>7211</v>
      </c>
      <c r="G11888" s="2" t="str">
        <f>"SR-16274"</f>
        <v>SR-16274</v>
      </c>
      <c r="H11888" s="2" t="s">
        <v>47508</v>
      </c>
      <c r="I11888" s="2" t="s">
        <v>35278</v>
      </c>
      <c r="K11888" s="2" t="s">
        <v>1223</v>
      </c>
      <c r="L11888" s="2" t="s">
        <v>157</v>
      </c>
      <c r="M11888" s="2">
        <v>80433.0</v>
      </c>
      <c r="N11888" s="2" t="s">
        <v>21</v>
      </c>
    </row>
    <row r="11889" ht="15.75" customHeight="1">
      <c r="A11889" s="2">
        <v>2019.0</v>
      </c>
      <c r="B11889" s="2" t="s">
        <v>47509</v>
      </c>
      <c r="C11889" s="2" t="s">
        <v>47510</v>
      </c>
      <c r="D11889" s="2" t="str">
        <f>"575-956-3219"</f>
        <v>575-956-3219</v>
      </c>
      <c r="E11889" s="2" t="s">
        <v>908</v>
      </c>
      <c r="F11889" s="2" t="s">
        <v>47511</v>
      </c>
      <c r="G11889" s="2" t="str">
        <f>"SR-16279"</f>
        <v>SR-16279</v>
      </c>
      <c r="H11889" s="2" t="s">
        <v>47512</v>
      </c>
      <c r="I11889" s="2" t="s">
        <v>47513</v>
      </c>
      <c r="K11889" s="2" t="s">
        <v>19375</v>
      </c>
      <c r="L11889" s="2" t="s">
        <v>789</v>
      </c>
      <c r="M11889" s="2">
        <v>88062.0</v>
      </c>
      <c r="N11889" s="2" t="s">
        <v>21</v>
      </c>
    </row>
    <row r="11890" ht="15.75" customHeight="1">
      <c r="A11890" s="2">
        <v>2019.0</v>
      </c>
      <c r="B11890" s="2" t="s">
        <v>14786</v>
      </c>
      <c r="C11890" s="2" t="s">
        <v>47514</v>
      </c>
      <c r="D11890" s="2" t="str">
        <f>"406-451-2405"</f>
        <v>406-451-2405</v>
      </c>
      <c r="E11890" s="2" t="s">
        <v>47515</v>
      </c>
      <c r="F11890" s="2" t="s">
        <v>14789</v>
      </c>
      <c r="G11890" s="2" t="str">
        <f>"SR-16424"</f>
        <v>SR-16424</v>
      </c>
      <c r="H11890" s="2" t="s">
        <v>47516</v>
      </c>
      <c r="I11890" s="2" t="s">
        <v>14791</v>
      </c>
      <c r="K11890" s="2" t="s">
        <v>12644</v>
      </c>
      <c r="L11890" s="2" t="s">
        <v>2696</v>
      </c>
      <c r="M11890" s="2">
        <v>59718.0</v>
      </c>
      <c r="N11890" s="2" t="s">
        <v>21</v>
      </c>
    </row>
    <row r="11891" ht="15.75" customHeight="1">
      <c r="A11891" s="2">
        <v>2019.0</v>
      </c>
      <c r="B11891" s="2" t="s">
        <v>47517</v>
      </c>
      <c r="C11891" s="2" t="s">
        <v>47518</v>
      </c>
      <c r="D11891" s="2" t="str">
        <f>"2086602258"</f>
        <v>2086602258</v>
      </c>
      <c r="E11891" s="2" t="s">
        <v>651</v>
      </c>
      <c r="F11891" s="2" t="s">
        <v>47519</v>
      </c>
      <c r="G11891" s="2" t="str">
        <f>"SR-16667"</f>
        <v>SR-16667</v>
      </c>
      <c r="H11891" s="2" t="s">
        <v>47520</v>
      </c>
      <c r="I11891" s="2" t="s">
        <v>47521</v>
      </c>
      <c r="K11891" s="2" t="s">
        <v>15473</v>
      </c>
      <c r="L11891" s="2" t="s">
        <v>2613</v>
      </c>
      <c r="M11891" s="2">
        <v>83854.0</v>
      </c>
      <c r="N11891" s="2" t="s">
        <v>21</v>
      </c>
    </row>
    <row r="11892" ht="15.75" customHeight="1">
      <c r="A11892" s="2">
        <v>2019.0</v>
      </c>
      <c r="B11892" s="2" t="s">
        <v>47522</v>
      </c>
      <c r="C11892" s="2" t="s">
        <v>47523</v>
      </c>
      <c r="D11892" s="2" t="str">
        <f>"7013616394"</f>
        <v>7013616394</v>
      </c>
      <c r="E11892" s="2" t="s">
        <v>4501</v>
      </c>
      <c r="F11892" s="2" t="s">
        <v>47524</v>
      </c>
      <c r="G11892" s="2" t="str">
        <f>"SR-16669"</f>
        <v>SR-16669</v>
      </c>
      <c r="H11892" s="2" t="s">
        <v>47525</v>
      </c>
      <c r="I11892" s="2" t="s">
        <v>47526</v>
      </c>
      <c r="K11892" s="2" t="s">
        <v>3443</v>
      </c>
      <c r="L11892" s="2" t="s">
        <v>2534</v>
      </c>
      <c r="M11892" s="2">
        <v>58201.0</v>
      </c>
      <c r="N11892" s="2" t="s">
        <v>21</v>
      </c>
    </row>
    <row r="11893" ht="15.75" customHeight="1">
      <c r="A11893" s="2">
        <v>2019.0</v>
      </c>
      <c r="B11893" s="2" t="s">
        <v>47527</v>
      </c>
      <c r="C11893" s="2" t="s">
        <v>47527</v>
      </c>
      <c r="D11893" s="2" t="str">
        <f>"360-208-4156"</f>
        <v>360-208-4156</v>
      </c>
      <c r="E11893" s="2" t="s">
        <v>2306</v>
      </c>
      <c r="F11893" s="2" t="s">
        <v>3269</v>
      </c>
      <c r="G11893" s="2" t="str">
        <f>"SR-16530"</f>
        <v>SR-16530</v>
      </c>
      <c r="H11893" s="2" t="s">
        <v>47528</v>
      </c>
      <c r="I11893" s="2" t="s">
        <v>47529</v>
      </c>
      <c r="K11893" s="2" t="s">
        <v>25412</v>
      </c>
      <c r="L11893" s="2" t="s">
        <v>86</v>
      </c>
      <c r="M11893" s="2">
        <v>98586.0</v>
      </c>
      <c r="N11893" s="2" t="s">
        <v>21</v>
      </c>
    </row>
    <row r="11894" ht="15.75" customHeight="1">
      <c r="A11894" s="2">
        <v>2019.0</v>
      </c>
      <c r="B11894" s="2" t="s">
        <v>47530</v>
      </c>
      <c r="C11894" s="2" t="s">
        <v>47531</v>
      </c>
      <c r="D11894" s="2" t="str">
        <f>"8439418055"</f>
        <v>8439418055</v>
      </c>
      <c r="E11894" s="2" t="s">
        <v>5248</v>
      </c>
      <c r="F11894" s="2" t="s">
        <v>15237</v>
      </c>
      <c r="G11894" s="2" t="str">
        <f>"SR-16670"</f>
        <v>SR-16670</v>
      </c>
      <c r="H11894" s="2" t="s">
        <v>47532</v>
      </c>
      <c r="I11894" s="2" t="s">
        <v>47533</v>
      </c>
      <c r="K11894" s="2" t="s">
        <v>7133</v>
      </c>
      <c r="L11894" s="2" t="s">
        <v>55</v>
      </c>
      <c r="M11894" s="2">
        <v>29924.0</v>
      </c>
      <c r="N11894" s="2" t="s">
        <v>21</v>
      </c>
    </row>
    <row r="11895" ht="15.75" customHeight="1">
      <c r="A11895" s="2">
        <v>2019.0</v>
      </c>
      <c r="B11895" s="2" t="s">
        <v>29931</v>
      </c>
      <c r="C11895" s="2" t="s">
        <v>47534</v>
      </c>
      <c r="D11895" s="2" t="str">
        <f>"9377830154"</f>
        <v>9377830154</v>
      </c>
      <c r="E11895" s="2" t="s">
        <v>5858</v>
      </c>
      <c r="F11895" s="2" t="s">
        <v>19184</v>
      </c>
      <c r="G11895" s="2" t="str">
        <f>"SR-16655"</f>
        <v>SR-16655</v>
      </c>
      <c r="H11895" s="2" t="s">
        <v>47535</v>
      </c>
      <c r="I11895" s="2" t="s">
        <v>47536</v>
      </c>
      <c r="K11895" s="2" t="s">
        <v>47537</v>
      </c>
      <c r="L11895" s="2" t="s">
        <v>344</v>
      </c>
      <c r="M11895" s="2">
        <v>45152.0</v>
      </c>
      <c r="N11895" s="2" t="s">
        <v>21</v>
      </c>
    </row>
    <row r="11896" ht="15.75" customHeight="1">
      <c r="A11896" s="2">
        <v>2019.0</v>
      </c>
      <c r="B11896" s="2" t="s">
        <v>47538</v>
      </c>
      <c r="C11896" s="2" t="s">
        <v>47539</v>
      </c>
      <c r="D11896" s="2" t="str">
        <f>"719 321-1952"</f>
        <v>719 321-1952</v>
      </c>
      <c r="E11896" s="2" t="s">
        <v>160</v>
      </c>
      <c r="F11896" s="2" t="s">
        <v>2424</v>
      </c>
      <c r="G11896" s="2" t="str">
        <f>"SR-16580"</f>
        <v>SR-16580</v>
      </c>
      <c r="H11896" s="2" t="s">
        <v>47540</v>
      </c>
      <c r="I11896" s="2" t="s">
        <v>47541</v>
      </c>
      <c r="K11896" s="2" t="s">
        <v>507</v>
      </c>
      <c r="L11896" s="2" t="s">
        <v>157</v>
      </c>
      <c r="M11896" s="2">
        <v>80132.0</v>
      </c>
      <c r="N11896" s="2" t="s">
        <v>21</v>
      </c>
    </row>
    <row r="11897" ht="15.75" customHeight="1">
      <c r="A11897" s="2">
        <v>2019.0</v>
      </c>
      <c r="B11897" s="2" t="s">
        <v>39965</v>
      </c>
      <c r="C11897" s="2" t="s">
        <v>39966</v>
      </c>
      <c r="D11897" s="2" t="str">
        <f>"2536771090"</f>
        <v>2536771090</v>
      </c>
      <c r="E11897" s="2" t="s">
        <v>678</v>
      </c>
      <c r="F11897" s="2" t="s">
        <v>39967</v>
      </c>
      <c r="G11897" s="2" t="str">
        <f>"SR-4902"</f>
        <v>SR-4902</v>
      </c>
      <c r="H11897" s="2" t="s">
        <v>39968</v>
      </c>
      <c r="I11897" s="2" t="s">
        <v>39969</v>
      </c>
      <c r="K11897" s="2" t="s">
        <v>22513</v>
      </c>
      <c r="L11897" s="2" t="s">
        <v>86</v>
      </c>
      <c r="M11897" s="2">
        <v>98445.0</v>
      </c>
      <c r="N11897" s="2" t="s">
        <v>21</v>
      </c>
    </row>
    <row r="11898" ht="15.75" customHeight="1">
      <c r="A11898" s="2">
        <v>2019.0</v>
      </c>
      <c r="B11898" s="2" t="s">
        <v>47542</v>
      </c>
      <c r="C11898" s="2" t="s">
        <v>47542</v>
      </c>
      <c r="D11898" s="2" t="str">
        <f>"214-708-0738"</f>
        <v>214-708-0738</v>
      </c>
      <c r="E11898" s="2" t="s">
        <v>824</v>
      </c>
      <c r="F11898" s="2" t="s">
        <v>6661</v>
      </c>
      <c r="G11898" s="2" t="str">
        <f>"SR-16675"</f>
        <v>SR-16675</v>
      </c>
      <c r="H11898" s="2" t="s">
        <v>47543</v>
      </c>
      <c r="I11898" s="2" t="s">
        <v>47544</v>
      </c>
      <c r="K11898" s="2" t="s">
        <v>1255</v>
      </c>
      <c r="L11898" s="2" t="s">
        <v>172</v>
      </c>
      <c r="M11898" s="2">
        <v>75228.0</v>
      </c>
      <c r="N11898" s="2" t="s">
        <v>21</v>
      </c>
    </row>
    <row r="11899" ht="15.75" customHeight="1">
      <c r="A11899" s="2">
        <v>2019.0</v>
      </c>
      <c r="B11899" s="2" t="s">
        <v>24607</v>
      </c>
      <c r="C11899" s="2" t="s">
        <v>24607</v>
      </c>
      <c r="D11899" s="2" t="str">
        <f t="shared" ref="D11899:D11900" si="200">"8296054163"</f>
        <v>8296054163</v>
      </c>
      <c r="E11899" s="2" t="s">
        <v>4071</v>
      </c>
      <c r="F11899" s="2" t="s">
        <v>47545</v>
      </c>
      <c r="G11899" s="2" t="str">
        <f>"SR-16573"</f>
        <v>SR-16573</v>
      </c>
      <c r="H11899" s="2" t="s">
        <v>47546</v>
      </c>
      <c r="I11899" s="2" t="s">
        <v>24612</v>
      </c>
      <c r="K11899" s="2" t="s">
        <v>24614</v>
      </c>
      <c r="L11899" s="2" t="s">
        <v>24657</v>
      </c>
      <c r="M11899" s="2">
        <v>0.0</v>
      </c>
      <c r="N11899" s="2" t="s">
        <v>24616</v>
      </c>
    </row>
    <row r="11900" ht="15.75" customHeight="1">
      <c r="A11900" s="2">
        <v>2019.0</v>
      </c>
      <c r="B11900" s="2" t="s">
        <v>24607</v>
      </c>
      <c r="C11900" s="2" t="s">
        <v>24607</v>
      </c>
      <c r="D11900" s="2" t="str">
        <f t="shared" si="200"/>
        <v>8296054163</v>
      </c>
      <c r="E11900" s="2" t="s">
        <v>33075</v>
      </c>
      <c r="F11900" s="2" t="s">
        <v>24610</v>
      </c>
      <c r="G11900" s="2" t="str">
        <f>"SR-10773"</f>
        <v>SR-10773</v>
      </c>
      <c r="H11900" s="2" t="s">
        <v>33076</v>
      </c>
      <c r="I11900" s="2" t="s">
        <v>24612</v>
      </c>
      <c r="K11900" s="2" t="s">
        <v>24614</v>
      </c>
      <c r="L11900" s="2" t="s">
        <v>208</v>
      </c>
      <c r="M11900" s="2">
        <v>0.0</v>
      </c>
      <c r="N11900" s="2" t="s">
        <v>24616</v>
      </c>
    </row>
    <row r="11901" ht="15.75" customHeight="1">
      <c r="A11901" s="2">
        <v>2019.0</v>
      </c>
      <c r="B11901" s="2" t="s">
        <v>47547</v>
      </c>
      <c r="C11901" s="2" t="s">
        <v>47548</v>
      </c>
      <c r="D11901" s="2" t="str">
        <f>"7575950677"</f>
        <v>7575950677</v>
      </c>
      <c r="E11901" s="2" t="s">
        <v>167</v>
      </c>
      <c r="F11901" s="2" t="s">
        <v>4627</v>
      </c>
      <c r="G11901" s="2" t="str">
        <f>"SR-16676"</f>
        <v>SR-16676</v>
      </c>
      <c r="H11901" s="2" t="s">
        <v>47549</v>
      </c>
      <c r="I11901" s="2" t="s">
        <v>47550</v>
      </c>
      <c r="K11901" s="2" t="s">
        <v>4630</v>
      </c>
      <c r="L11901" s="2" t="s">
        <v>165</v>
      </c>
      <c r="M11901" s="2">
        <v>23606.0</v>
      </c>
      <c r="N11901" s="2" t="s">
        <v>21</v>
      </c>
    </row>
    <row r="11902" ht="15.75" customHeight="1">
      <c r="A11902" s="2">
        <v>2019.0</v>
      </c>
      <c r="B11902" s="2" t="s">
        <v>47551</v>
      </c>
      <c r="C11902" s="2" t="s">
        <v>47552</v>
      </c>
      <c r="D11902" s="2" t="str">
        <f>"5202276808"</f>
        <v>5202276808</v>
      </c>
      <c r="E11902" s="2" t="s">
        <v>678</v>
      </c>
      <c r="F11902" s="2" t="s">
        <v>47553</v>
      </c>
      <c r="G11902" s="2" t="str">
        <f>"SR-16557"</f>
        <v>SR-16557</v>
      </c>
      <c r="H11902" s="2" t="s">
        <v>47554</v>
      </c>
      <c r="I11902" s="2" t="s">
        <v>47555</v>
      </c>
      <c r="K11902" s="2" t="s">
        <v>47556</v>
      </c>
      <c r="L11902" s="2" t="s">
        <v>422</v>
      </c>
      <c r="M11902" s="2">
        <v>85615.0</v>
      </c>
      <c r="N11902" s="2" t="s">
        <v>21</v>
      </c>
    </row>
    <row r="11903" ht="15.75" customHeight="1">
      <c r="A11903" s="2">
        <v>2019.0</v>
      </c>
      <c r="B11903" s="2" t="s">
        <v>3568</v>
      </c>
      <c r="C11903" s="2" t="s">
        <v>47557</v>
      </c>
      <c r="D11903" s="2" t="str">
        <f>"4797870724"</f>
        <v>4797870724</v>
      </c>
      <c r="E11903" s="2" t="s">
        <v>983</v>
      </c>
      <c r="F11903" s="2" t="s">
        <v>3570</v>
      </c>
      <c r="G11903" s="2" t="str">
        <f>"SR-16679"</f>
        <v>SR-16679</v>
      </c>
      <c r="H11903" s="2" t="s">
        <v>47558</v>
      </c>
      <c r="I11903" s="2" t="s">
        <v>47559</v>
      </c>
      <c r="K11903" s="2" t="s">
        <v>14516</v>
      </c>
      <c r="L11903" s="2" t="s">
        <v>1012</v>
      </c>
      <c r="M11903" s="2">
        <v>72712.0</v>
      </c>
      <c r="N11903" s="2" t="s">
        <v>21</v>
      </c>
    </row>
    <row r="11904" ht="15.75" customHeight="1">
      <c r="A11904" s="2">
        <v>2019.0</v>
      </c>
      <c r="B11904" s="2" t="s">
        <v>3568</v>
      </c>
      <c r="C11904" s="2" t="s">
        <v>3569</v>
      </c>
      <c r="D11904" s="2" t="str">
        <f>"479-787-0724"</f>
        <v>479-787-0724</v>
      </c>
      <c r="E11904" s="2" t="s">
        <v>8649</v>
      </c>
      <c r="F11904" s="2" t="s">
        <v>3570</v>
      </c>
      <c r="G11904" s="2" t="str">
        <f>"SR-16681"</f>
        <v>SR-16681</v>
      </c>
      <c r="H11904" s="2" t="s">
        <v>47560</v>
      </c>
      <c r="I11904" s="2" t="s">
        <v>47559</v>
      </c>
      <c r="K11904" s="2" t="s">
        <v>14516</v>
      </c>
      <c r="L11904" s="2" t="s">
        <v>1012</v>
      </c>
      <c r="M11904" s="2">
        <v>72712.0</v>
      </c>
      <c r="N11904" s="2" t="s">
        <v>21</v>
      </c>
    </row>
    <row r="11905" ht="15.75" customHeight="1">
      <c r="A11905" s="2">
        <v>2019.0</v>
      </c>
      <c r="B11905" s="2" t="s">
        <v>47561</v>
      </c>
      <c r="C11905" s="2" t="s">
        <v>47562</v>
      </c>
      <c r="D11905" s="2" t="str">
        <f>"8066833414"</f>
        <v>8066833414</v>
      </c>
      <c r="E11905" s="2" t="s">
        <v>1001</v>
      </c>
      <c r="F11905" s="2" t="s">
        <v>47563</v>
      </c>
      <c r="G11905" s="2" t="str">
        <f>"SR-16682"</f>
        <v>SR-16682</v>
      </c>
      <c r="H11905" s="2" t="s">
        <v>47564</v>
      </c>
      <c r="I11905" s="2" t="s">
        <v>47565</v>
      </c>
      <c r="K11905" s="2" t="s">
        <v>14992</v>
      </c>
      <c r="L11905" s="2" t="s">
        <v>172</v>
      </c>
      <c r="M11905" s="2">
        <v>79119.0</v>
      </c>
      <c r="N11905" s="2" t="s">
        <v>21</v>
      </c>
    </row>
    <row r="11906" ht="15.75" customHeight="1">
      <c r="A11906" s="2">
        <v>2019.0</v>
      </c>
      <c r="B11906" s="2" t="s">
        <v>47566</v>
      </c>
      <c r="D11906" s="2" t="str">
        <f>"7193130440"</f>
        <v>7193130440</v>
      </c>
      <c r="E11906" s="2" t="s">
        <v>3043</v>
      </c>
      <c r="F11906" s="2" t="s">
        <v>47567</v>
      </c>
      <c r="G11906" s="2" t="str">
        <f>"SR-16612"</f>
        <v>SR-16612</v>
      </c>
      <c r="H11906" s="2" t="s">
        <v>47568</v>
      </c>
      <c r="I11906" s="2" t="s">
        <v>47569</v>
      </c>
      <c r="K11906" s="2" t="s">
        <v>809</v>
      </c>
      <c r="L11906" s="2" t="s">
        <v>157</v>
      </c>
      <c r="M11906" s="2">
        <v>80919.0</v>
      </c>
      <c r="N11906" s="2" t="s">
        <v>21</v>
      </c>
    </row>
    <row r="11907" ht="15.75" customHeight="1">
      <c r="A11907" s="2">
        <v>2019.0</v>
      </c>
      <c r="B11907" s="2" t="s">
        <v>47570</v>
      </c>
      <c r="D11907" s="2" t="str">
        <f>""</f>
        <v/>
      </c>
      <c r="E11907" s="2" t="s">
        <v>274</v>
      </c>
      <c r="F11907" s="2" t="s">
        <v>30947</v>
      </c>
      <c r="G11907" s="2" t="str">
        <f>"SR-16684"</f>
        <v>SR-16684</v>
      </c>
      <c r="H11907" s="2" t="s">
        <v>47571</v>
      </c>
      <c r="N11907" s="2" t="s">
        <v>21</v>
      </c>
    </row>
    <row r="11908" ht="15.75" customHeight="1">
      <c r="A11908" s="2">
        <v>2019.0</v>
      </c>
      <c r="B11908" s="2" t="s">
        <v>47572</v>
      </c>
      <c r="C11908" s="2" t="s">
        <v>47573</v>
      </c>
      <c r="D11908" s="2" t="str">
        <f t="shared" ref="D11908:D11909" si="201">"951-532-3913"</f>
        <v>951-532-3913</v>
      </c>
      <c r="E11908" s="2" t="s">
        <v>34997</v>
      </c>
      <c r="F11908" s="2" t="s">
        <v>9667</v>
      </c>
      <c r="G11908" s="2" t="str">
        <f>"SR-16685"</f>
        <v>SR-16685</v>
      </c>
      <c r="H11908" s="2" t="s">
        <v>47574</v>
      </c>
      <c r="I11908" s="2" t="s">
        <v>47575</v>
      </c>
      <c r="K11908" s="2" t="s">
        <v>14726</v>
      </c>
      <c r="L11908" s="2" t="s">
        <v>222</v>
      </c>
      <c r="M11908" s="2">
        <v>92883.0</v>
      </c>
      <c r="N11908" s="2" t="s">
        <v>21</v>
      </c>
    </row>
    <row r="11909" ht="15.75" customHeight="1">
      <c r="A11909" s="2">
        <v>2019.0</v>
      </c>
      <c r="B11909" s="2" t="s">
        <v>47572</v>
      </c>
      <c r="C11909" s="2" t="s">
        <v>47576</v>
      </c>
      <c r="D11909" s="2" t="str">
        <f t="shared" si="201"/>
        <v>951-532-3913</v>
      </c>
      <c r="E11909" s="2" t="s">
        <v>7962</v>
      </c>
      <c r="F11909" s="2" t="s">
        <v>9667</v>
      </c>
      <c r="G11909" s="2" t="str">
        <f>"SR-16686"</f>
        <v>SR-16686</v>
      </c>
      <c r="H11909" s="2" t="s">
        <v>47577</v>
      </c>
      <c r="I11909" s="2" t="s">
        <v>47575</v>
      </c>
      <c r="K11909" s="2" t="s">
        <v>14726</v>
      </c>
      <c r="L11909" s="2" t="s">
        <v>222</v>
      </c>
      <c r="M11909" s="2">
        <v>92883.0</v>
      </c>
      <c r="N11909" s="2" t="s">
        <v>21</v>
      </c>
    </row>
    <row r="11910" ht="15.75" customHeight="1">
      <c r="A11910" s="2">
        <v>2019.0</v>
      </c>
      <c r="B11910" s="2" t="s">
        <v>47578</v>
      </c>
      <c r="C11910" s="2" t="s">
        <v>47579</v>
      </c>
      <c r="D11910" s="2" t="str">
        <f>"6363854795"</f>
        <v>6363854795</v>
      </c>
      <c r="E11910" s="2" t="s">
        <v>160</v>
      </c>
      <c r="F11910" s="2" t="s">
        <v>47580</v>
      </c>
      <c r="G11910" s="2" t="str">
        <f>"SR-16673"</f>
        <v>SR-16673</v>
      </c>
      <c r="H11910" s="2" t="s">
        <v>47581</v>
      </c>
      <c r="I11910" s="2" t="s">
        <v>47582</v>
      </c>
      <c r="K11910" s="2" t="s">
        <v>47583</v>
      </c>
      <c r="L11910" s="2" t="s">
        <v>214</v>
      </c>
      <c r="M11910" s="2">
        <v>63367.0</v>
      </c>
      <c r="N11910" s="2" t="s">
        <v>21</v>
      </c>
    </row>
    <row r="11911" ht="15.75" customHeight="1">
      <c r="A11911" s="2">
        <v>2019.0</v>
      </c>
      <c r="B11911" s="2" t="s">
        <v>47584</v>
      </c>
      <c r="C11911" s="2" t="s">
        <v>47584</v>
      </c>
      <c r="D11911" s="2" t="str">
        <f>"2604508229"</f>
        <v>2604508229</v>
      </c>
      <c r="E11911" s="2" t="s">
        <v>752</v>
      </c>
      <c r="F11911" s="2" t="s">
        <v>47585</v>
      </c>
      <c r="G11911" s="2" t="str">
        <f>"SR-16690"</f>
        <v>SR-16690</v>
      </c>
      <c r="H11911" s="2" t="s">
        <v>47586</v>
      </c>
      <c r="I11911" s="2" t="s">
        <v>47587</v>
      </c>
      <c r="K11911" s="2" t="s">
        <v>4298</v>
      </c>
      <c r="L11911" s="2" t="s">
        <v>149</v>
      </c>
      <c r="M11911" s="2">
        <v>46814.0</v>
      </c>
      <c r="N11911" s="2" t="s">
        <v>21</v>
      </c>
    </row>
    <row r="11912" ht="15.75" customHeight="1">
      <c r="A11912" s="2">
        <v>2019.0</v>
      </c>
      <c r="B11912" s="2" t="s">
        <v>47588</v>
      </c>
      <c r="C11912" s="2" t="s">
        <v>47589</v>
      </c>
      <c r="D11912" s="2" t="str">
        <f>"864-941-6450"</f>
        <v>864-941-6450</v>
      </c>
      <c r="E11912" s="2" t="s">
        <v>144</v>
      </c>
      <c r="F11912" s="2" t="s">
        <v>47590</v>
      </c>
      <c r="G11912" s="2" t="str">
        <f>"SR-16691"</f>
        <v>SR-16691</v>
      </c>
      <c r="H11912" s="2" t="s">
        <v>47591</v>
      </c>
      <c r="I11912" s="2" t="s">
        <v>47592</v>
      </c>
      <c r="K11912" s="2" t="s">
        <v>2674</v>
      </c>
      <c r="L11912" s="2" t="s">
        <v>55</v>
      </c>
      <c r="M11912" s="2">
        <v>29649.0</v>
      </c>
      <c r="N11912" s="2" t="s">
        <v>21</v>
      </c>
    </row>
    <row r="11913" ht="15.75" customHeight="1">
      <c r="A11913" s="2">
        <v>2019.0</v>
      </c>
      <c r="B11913" s="2" t="s">
        <v>47593</v>
      </c>
      <c r="C11913" s="2" t="s">
        <v>47594</v>
      </c>
      <c r="D11913" s="2" t="str">
        <f>"2056138121"</f>
        <v>2056138121</v>
      </c>
      <c r="E11913" s="2" t="s">
        <v>353</v>
      </c>
      <c r="F11913" s="2" t="s">
        <v>1533</v>
      </c>
      <c r="G11913" s="2" t="str">
        <f>"SR-16694"</f>
        <v>SR-16694</v>
      </c>
      <c r="H11913" s="2" t="s">
        <v>47595</v>
      </c>
      <c r="I11913" s="2" t="s">
        <v>47596</v>
      </c>
      <c r="K11913" s="2" t="s">
        <v>1173</v>
      </c>
      <c r="L11913" s="2" t="s">
        <v>539</v>
      </c>
      <c r="M11913" s="2">
        <v>35242.0</v>
      </c>
      <c r="N11913" s="2" t="s">
        <v>21</v>
      </c>
    </row>
    <row r="11914" ht="15.75" customHeight="1">
      <c r="A11914" s="2">
        <v>2019.0</v>
      </c>
      <c r="B11914" s="2" t="s">
        <v>47597</v>
      </c>
      <c r="C11914" s="2" t="s">
        <v>47598</v>
      </c>
      <c r="D11914" s="2" t="str">
        <f>"6513320858"</f>
        <v>6513320858</v>
      </c>
      <c r="E11914" s="2" t="s">
        <v>4716</v>
      </c>
      <c r="F11914" s="2" t="s">
        <v>47599</v>
      </c>
      <c r="G11914" s="2" t="str">
        <f>"SR-16693"</f>
        <v>SR-16693</v>
      </c>
      <c r="H11914" s="2" t="s">
        <v>47600</v>
      </c>
      <c r="I11914" s="2" t="s">
        <v>47601</v>
      </c>
      <c r="K11914" s="2" t="s">
        <v>12644</v>
      </c>
      <c r="L11914" s="2" t="s">
        <v>2696</v>
      </c>
      <c r="M11914" s="2">
        <v>59718.0</v>
      </c>
      <c r="N11914" s="2" t="s">
        <v>21</v>
      </c>
    </row>
    <row r="11915" ht="15.75" customHeight="1">
      <c r="A11915" s="2">
        <v>2019.0</v>
      </c>
      <c r="B11915" s="2" t="s">
        <v>47602</v>
      </c>
      <c r="C11915" s="2" t="s">
        <v>47603</v>
      </c>
      <c r="D11915" s="2" t="str">
        <f>"8176576914"</f>
        <v>8176576914</v>
      </c>
      <c r="E11915" s="2" t="s">
        <v>417</v>
      </c>
      <c r="F11915" s="2" t="s">
        <v>256</v>
      </c>
      <c r="G11915" s="2" t="str">
        <f>"SR-16695"</f>
        <v>SR-16695</v>
      </c>
      <c r="H11915" s="2" t="s">
        <v>47604</v>
      </c>
      <c r="I11915" s="2" t="s">
        <v>47605</v>
      </c>
      <c r="K11915" s="2" t="s">
        <v>15291</v>
      </c>
      <c r="L11915" s="2" t="s">
        <v>172</v>
      </c>
      <c r="M11915" s="2">
        <v>76039.0</v>
      </c>
      <c r="N11915" s="2" t="s">
        <v>21</v>
      </c>
    </row>
    <row r="11916" ht="15.75" customHeight="1">
      <c r="A11916" s="2">
        <v>2019.0</v>
      </c>
      <c r="B11916" s="2" t="s">
        <v>47606</v>
      </c>
      <c r="C11916" s="2" t="s">
        <v>47607</v>
      </c>
      <c r="D11916" s="2" t="str">
        <f>"2104599115"</f>
        <v>2104599115</v>
      </c>
      <c r="E11916" s="2" t="s">
        <v>160</v>
      </c>
      <c r="F11916" s="2" t="s">
        <v>13995</v>
      </c>
      <c r="G11916" s="2" t="str">
        <f>"SR-16696"</f>
        <v>SR-16696</v>
      </c>
      <c r="H11916" s="2" t="s">
        <v>47608</v>
      </c>
      <c r="I11916" s="2" t="s">
        <v>47609</v>
      </c>
      <c r="K11916" s="2" t="s">
        <v>632</v>
      </c>
      <c r="L11916" s="2" t="s">
        <v>172</v>
      </c>
      <c r="M11916" s="2">
        <v>78258.0</v>
      </c>
      <c r="N11916" s="2" t="s">
        <v>21</v>
      </c>
    </row>
    <row r="11917" ht="15.75" customHeight="1">
      <c r="A11917" s="2">
        <v>2019.0</v>
      </c>
      <c r="B11917" s="2" t="s">
        <v>47610</v>
      </c>
      <c r="C11917" s="2" t="s">
        <v>47611</v>
      </c>
      <c r="D11917" s="2" t="str">
        <f>"210--260-0846"</f>
        <v>210--260-0846</v>
      </c>
      <c r="E11917" s="2" t="s">
        <v>47612</v>
      </c>
      <c r="F11917" s="2" t="s">
        <v>1156</v>
      </c>
      <c r="G11917" s="2" t="str">
        <f>"SR-16697"</f>
        <v>SR-16697</v>
      </c>
      <c r="H11917" s="2" t="s">
        <v>47613</v>
      </c>
      <c r="I11917" s="2" t="s">
        <v>47614</v>
      </c>
      <c r="K11917" s="2" t="s">
        <v>47615</v>
      </c>
      <c r="L11917" s="2" t="s">
        <v>172</v>
      </c>
      <c r="M11917" s="2">
        <v>78231.0</v>
      </c>
      <c r="N11917" s="2" t="s">
        <v>21</v>
      </c>
    </row>
    <row r="11918" ht="15.75" customHeight="1">
      <c r="A11918" s="2">
        <v>2019.0</v>
      </c>
      <c r="B11918" s="2" t="s">
        <v>47616</v>
      </c>
      <c r="C11918" s="2" t="s">
        <v>47616</v>
      </c>
      <c r="D11918" s="2" t="str">
        <f>"3306344854"</f>
        <v>3306344854</v>
      </c>
      <c r="E11918" s="2" t="s">
        <v>5858</v>
      </c>
      <c r="F11918" s="2" t="s">
        <v>1040</v>
      </c>
      <c r="G11918" s="2" t="str">
        <f>"SR-16642"</f>
        <v>SR-16642</v>
      </c>
      <c r="H11918" s="2" t="s">
        <v>47617</v>
      </c>
      <c r="I11918" s="2" t="s">
        <v>47618</v>
      </c>
      <c r="K11918" s="2" t="s">
        <v>28118</v>
      </c>
      <c r="L11918" s="2" t="s">
        <v>344</v>
      </c>
      <c r="M11918" s="2">
        <v>44203.0</v>
      </c>
      <c r="N11918" s="2" t="s">
        <v>21</v>
      </c>
    </row>
    <row r="11919" ht="15.75" customHeight="1">
      <c r="A11919" s="2">
        <v>2019.0</v>
      </c>
      <c r="B11919" s="2" t="s">
        <v>47619</v>
      </c>
      <c r="C11919" s="2" t="s">
        <v>47619</v>
      </c>
      <c r="D11919" s="2" t="str">
        <f>"3166892724"</f>
        <v>3166892724</v>
      </c>
      <c r="E11919" s="2" t="s">
        <v>651</v>
      </c>
      <c r="F11919" s="2" t="s">
        <v>29448</v>
      </c>
      <c r="G11919" s="2" t="str">
        <f>"SR-16704"</f>
        <v>SR-16704</v>
      </c>
      <c r="H11919" s="2" t="s">
        <v>47620</v>
      </c>
      <c r="I11919" s="2" t="s">
        <v>47621</v>
      </c>
      <c r="K11919" s="2" t="s">
        <v>606</v>
      </c>
      <c r="L11919" s="2" t="s">
        <v>272</v>
      </c>
      <c r="M11919" s="2">
        <v>67204.0</v>
      </c>
      <c r="N11919" s="2" t="s">
        <v>21</v>
      </c>
    </row>
    <row r="11920" ht="15.75" customHeight="1">
      <c r="A11920" s="2">
        <v>2019.0</v>
      </c>
      <c r="B11920" s="2" t="s">
        <v>47622</v>
      </c>
      <c r="C11920" s="2" t="s">
        <v>47622</v>
      </c>
      <c r="D11920" s="2" t="str">
        <f>"484-905-1878"</f>
        <v>484-905-1878</v>
      </c>
      <c r="E11920" s="2" t="s">
        <v>678</v>
      </c>
      <c r="F11920" s="2" t="s">
        <v>31</v>
      </c>
      <c r="G11920" s="2" t="str">
        <f>"SR-16705"</f>
        <v>SR-16705</v>
      </c>
      <c r="H11920" s="2" t="s">
        <v>47623</v>
      </c>
      <c r="I11920" s="2" t="s">
        <v>47624</v>
      </c>
      <c r="K11920" s="2" t="s">
        <v>47625</v>
      </c>
      <c r="L11920" s="2" t="s">
        <v>179</v>
      </c>
      <c r="M11920" s="2">
        <v>19330.0</v>
      </c>
      <c r="N11920" s="2" t="s">
        <v>21</v>
      </c>
    </row>
    <row r="11921" ht="15.75" customHeight="1">
      <c r="A11921" s="2">
        <v>2019.0</v>
      </c>
      <c r="B11921" s="2" t="s">
        <v>47626</v>
      </c>
      <c r="C11921" s="2" t="s">
        <v>47626</v>
      </c>
      <c r="D11921" s="2" t="str">
        <f>"5755125567"</f>
        <v>5755125567</v>
      </c>
      <c r="E11921" s="2" t="s">
        <v>16988</v>
      </c>
      <c r="F11921" s="2" t="s">
        <v>5351</v>
      </c>
      <c r="G11921" s="2" t="str">
        <f>"SR-16683"</f>
        <v>SR-16683</v>
      </c>
      <c r="H11921" s="2" t="s">
        <v>47627</v>
      </c>
      <c r="I11921" s="2" t="s">
        <v>47628</v>
      </c>
      <c r="K11921" s="2" t="s">
        <v>11181</v>
      </c>
      <c r="L11921" s="2" t="s">
        <v>208</v>
      </c>
      <c r="M11921" s="2">
        <v>32570.0</v>
      </c>
      <c r="N11921" s="2" t="s">
        <v>21</v>
      </c>
    </row>
    <row r="11922" ht="15.75" customHeight="1">
      <c r="A11922" s="2">
        <v>2019.0</v>
      </c>
      <c r="B11922" s="2" t="s">
        <v>26476</v>
      </c>
      <c r="D11922" s="2" t="str">
        <f>"832-752-0686"</f>
        <v>832-752-0686</v>
      </c>
      <c r="E11922" s="2" t="s">
        <v>908</v>
      </c>
      <c r="F11922" s="2" t="s">
        <v>1040</v>
      </c>
      <c r="G11922" s="2" t="str">
        <f>"SR-16707"</f>
        <v>SR-16707</v>
      </c>
      <c r="H11922" s="2" t="s">
        <v>47629</v>
      </c>
      <c r="I11922" s="2" t="s">
        <v>47630</v>
      </c>
      <c r="K11922" s="2" t="s">
        <v>538</v>
      </c>
      <c r="L11922" s="2" t="s">
        <v>172</v>
      </c>
      <c r="M11922" s="2">
        <v>77356.0</v>
      </c>
      <c r="N11922" s="2" t="s">
        <v>21</v>
      </c>
    </row>
    <row r="11923" ht="15.75" customHeight="1">
      <c r="A11923" s="2">
        <v>2019.0</v>
      </c>
      <c r="B11923" s="2" t="s">
        <v>47631</v>
      </c>
      <c r="C11923" s="2" t="s">
        <v>47632</v>
      </c>
      <c r="D11923" s="2" t="str">
        <f>"13177786867"</f>
        <v>13177786867</v>
      </c>
      <c r="E11923" s="2" t="s">
        <v>21829</v>
      </c>
      <c r="F11923" s="2" t="s">
        <v>24963</v>
      </c>
      <c r="G11923" s="2" t="str">
        <f>"SR-16708"</f>
        <v>SR-16708</v>
      </c>
      <c r="H11923" s="2" t="s">
        <v>47633</v>
      </c>
      <c r="I11923" s="2" t="s">
        <v>47634</v>
      </c>
      <c r="K11923" s="2" t="s">
        <v>1188</v>
      </c>
      <c r="L11923" s="2" t="s">
        <v>149</v>
      </c>
      <c r="M11923" s="2">
        <v>46280.0</v>
      </c>
      <c r="N11923" s="2" t="s">
        <v>21</v>
      </c>
    </row>
    <row r="11924" ht="15.75" customHeight="1">
      <c r="A11924" s="2">
        <v>2019.0</v>
      </c>
      <c r="B11924" s="2" t="s">
        <v>47635</v>
      </c>
      <c r="C11924" s="2" t="s">
        <v>47636</v>
      </c>
      <c r="D11924" s="2" t="str">
        <f>"3106255704"</f>
        <v>3106255704</v>
      </c>
      <c r="E11924" s="2" t="s">
        <v>1400</v>
      </c>
      <c r="F11924" s="2" t="s">
        <v>36307</v>
      </c>
      <c r="G11924" s="2" t="str">
        <f>"SR-16709"</f>
        <v>SR-16709</v>
      </c>
      <c r="H11924" s="2" t="s">
        <v>36432</v>
      </c>
      <c r="I11924" s="2" t="s">
        <v>36309</v>
      </c>
      <c r="K11924" s="2" t="s">
        <v>4298</v>
      </c>
      <c r="L11924" s="2" t="s">
        <v>149</v>
      </c>
      <c r="M11924" s="2">
        <v>46814.0</v>
      </c>
      <c r="N11924" s="2" t="s">
        <v>21</v>
      </c>
    </row>
    <row r="11925" ht="15.75" customHeight="1">
      <c r="A11925" s="2">
        <v>2019.0</v>
      </c>
      <c r="B11925" s="2" t="s">
        <v>9572</v>
      </c>
      <c r="C11925" s="2" t="s">
        <v>39505</v>
      </c>
      <c r="D11925" s="2" t="str">
        <f>"757-449-0677"</f>
        <v>757-449-0677</v>
      </c>
      <c r="E11925" s="2" t="s">
        <v>10949</v>
      </c>
      <c r="F11925" s="2" t="s">
        <v>189</v>
      </c>
      <c r="G11925" s="2" t="str">
        <f>"SR-13098"</f>
        <v>SR-13098</v>
      </c>
      <c r="H11925" s="2" t="s">
        <v>39506</v>
      </c>
      <c r="I11925" s="2" t="s">
        <v>9575</v>
      </c>
      <c r="K11925" s="2" t="s">
        <v>9576</v>
      </c>
      <c r="L11925" s="2" t="s">
        <v>165</v>
      </c>
      <c r="M11925" s="2">
        <v>23322.0</v>
      </c>
      <c r="N11925" s="2" t="s">
        <v>21</v>
      </c>
    </row>
    <row r="11926" ht="15.75" customHeight="1">
      <c r="A11926" s="2">
        <v>2019.0</v>
      </c>
      <c r="B11926" s="2" t="s">
        <v>9572</v>
      </c>
      <c r="C11926" s="2" t="s">
        <v>47637</v>
      </c>
      <c r="D11926" s="2" t="str">
        <f>"7575601926"</f>
        <v>7575601926</v>
      </c>
      <c r="E11926" s="2" t="s">
        <v>8887</v>
      </c>
      <c r="F11926" s="2" t="s">
        <v>189</v>
      </c>
      <c r="G11926" s="2" t="str">
        <f>"SR-16701"</f>
        <v>SR-16701</v>
      </c>
      <c r="H11926" s="2" t="s">
        <v>47638</v>
      </c>
      <c r="I11926" s="2" t="s">
        <v>9575</v>
      </c>
      <c r="K11926" s="2" t="s">
        <v>9576</v>
      </c>
      <c r="L11926" s="2" t="s">
        <v>165</v>
      </c>
      <c r="M11926" s="2">
        <v>23322.0</v>
      </c>
      <c r="N11926" s="2" t="s">
        <v>21</v>
      </c>
    </row>
    <row r="11927" ht="15.75" customHeight="1">
      <c r="A11927" s="2">
        <v>2019.0</v>
      </c>
      <c r="B11927" s="2" t="s">
        <v>47639</v>
      </c>
      <c r="C11927" s="2" t="s">
        <v>47639</v>
      </c>
      <c r="D11927" s="2" t="str">
        <f>"580-509-9098"</f>
        <v>580-509-9098</v>
      </c>
      <c r="E11927" s="2" t="s">
        <v>38411</v>
      </c>
      <c r="F11927" s="2" t="s">
        <v>47640</v>
      </c>
      <c r="G11927" s="2" t="str">
        <f>"SR-16710"</f>
        <v>SR-16710</v>
      </c>
      <c r="H11927" s="2" t="s">
        <v>47641</v>
      </c>
      <c r="I11927" s="2" t="s">
        <v>47642</v>
      </c>
      <c r="K11927" s="2" t="s">
        <v>47643</v>
      </c>
      <c r="L11927" s="2" t="s">
        <v>840</v>
      </c>
      <c r="M11927" s="2">
        <v>74525.0</v>
      </c>
      <c r="N11927" s="2" t="s">
        <v>21</v>
      </c>
    </row>
    <row r="11928" ht="15.75" customHeight="1">
      <c r="A11928" s="2">
        <v>2019.0</v>
      </c>
      <c r="B11928" s="2" t="s">
        <v>47644</v>
      </c>
      <c r="C11928" s="2" t="s">
        <v>47644</v>
      </c>
      <c r="D11928" s="2" t="str">
        <f>"3172607104"</f>
        <v>3172607104</v>
      </c>
      <c r="E11928" s="2" t="s">
        <v>6718</v>
      </c>
      <c r="F11928" s="2" t="s">
        <v>47645</v>
      </c>
      <c r="G11928" s="2" t="str">
        <f>"SR-16692"</f>
        <v>SR-16692</v>
      </c>
      <c r="H11928" s="2" t="s">
        <v>47646</v>
      </c>
      <c r="I11928" s="2" t="s">
        <v>47647</v>
      </c>
      <c r="K11928" s="2" t="s">
        <v>2660</v>
      </c>
      <c r="L11928" s="2" t="s">
        <v>149</v>
      </c>
      <c r="M11928" s="2">
        <v>46038.0</v>
      </c>
      <c r="N11928" s="2" t="s">
        <v>21</v>
      </c>
    </row>
    <row r="11929" ht="15.75" customHeight="1">
      <c r="A11929" s="2">
        <v>2019.0</v>
      </c>
      <c r="B11929" s="2" t="s">
        <v>47648</v>
      </c>
      <c r="C11929" s="2" t="s">
        <v>47649</v>
      </c>
      <c r="D11929" s="2" t="str">
        <f>"5405327132"</f>
        <v>5405327132</v>
      </c>
      <c r="E11929" s="2" t="s">
        <v>590</v>
      </c>
      <c r="F11929" s="2" t="s">
        <v>962</v>
      </c>
      <c r="G11929" s="2" t="str">
        <f>"SR-16711"</f>
        <v>SR-16711</v>
      </c>
      <c r="H11929" s="2" t="s">
        <v>40052</v>
      </c>
      <c r="I11929" s="2" t="s">
        <v>47650</v>
      </c>
      <c r="K11929" s="2" t="s">
        <v>594</v>
      </c>
      <c r="L11929" s="2" t="s">
        <v>165</v>
      </c>
      <c r="M11929" s="2">
        <v>22602.0</v>
      </c>
      <c r="N11929" s="2" t="s">
        <v>21</v>
      </c>
    </row>
    <row r="11930" ht="15.75" customHeight="1">
      <c r="A11930" s="2">
        <v>2019.0</v>
      </c>
      <c r="B11930" s="2" t="s">
        <v>47651</v>
      </c>
      <c r="C11930" s="2" t="s">
        <v>47651</v>
      </c>
      <c r="D11930" s="2" t="str">
        <f>"507-601-8618"</f>
        <v>507-601-8618</v>
      </c>
      <c r="E11930" s="2" t="s">
        <v>1022</v>
      </c>
      <c r="F11930" s="2" t="s">
        <v>47652</v>
      </c>
      <c r="G11930" s="2" t="str">
        <f>"SR-16656"</f>
        <v>SR-16656</v>
      </c>
      <c r="H11930" s="2" t="s">
        <v>47653</v>
      </c>
      <c r="I11930" s="2" t="s">
        <v>47654</v>
      </c>
      <c r="K11930" s="2" t="s">
        <v>47655</v>
      </c>
      <c r="L11930" s="2" t="s">
        <v>62</v>
      </c>
      <c r="M11930" s="2">
        <v>55992.0</v>
      </c>
      <c r="N11930" s="2" t="s">
        <v>21</v>
      </c>
    </row>
    <row r="11931" ht="15.75" customHeight="1">
      <c r="A11931" s="2">
        <v>2019.0</v>
      </c>
      <c r="B11931" s="2" t="s">
        <v>47656</v>
      </c>
      <c r="C11931" s="2" t="s">
        <v>47656</v>
      </c>
      <c r="D11931" s="2" t="str">
        <f>"8038105747"</f>
        <v>8038105747</v>
      </c>
      <c r="E11931" s="2" t="s">
        <v>385</v>
      </c>
      <c r="F11931" s="2" t="s">
        <v>25339</v>
      </c>
      <c r="G11931" s="2" t="str">
        <f>"SR-16617"</f>
        <v>SR-16617</v>
      </c>
      <c r="H11931" s="2" t="s">
        <v>47657</v>
      </c>
      <c r="I11931" s="2" t="s">
        <v>47658</v>
      </c>
      <c r="K11931" s="2" t="s">
        <v>47659</v>
      </c>
      <c r="L11931" s="2" t="s">
        <v>55</v>
      </c>
      <c r="M11931" s="2">
        <v>29732.0</v>
      </c>
      <c r="N11931" s="2" t="s">
        <v>21</v>
      </c>
    </row>
    <row r="11932" ht="15.75" customHeight="1">
      <c r="A11932" s="2">
        <v>2019.0</v>
      </c>
      <c r="B11932" s="2" t="s">
        <v>47660</v>
      </c>
      <c r="C11932" s="2" t="s">
        <v>47661</v>
      </c>
      <c r="D11932" s="2" t="str">
        <f>"907-420-7186"</f>
        <v>907-420-7186</v>
      </c>
      <c r="E11932" s="2" t="s">
        <v>167</v>
      </c>
      <c r="F11932" s="2" t="s">
        <v>16482</v>
      </c>
      <c r="G11932" s="2" t="str">
        <f>"SR-16721"</f>
        <v>SR-16721</v>
      </c>
      <c r="H11932" s="2" t="s">
        <v>47662</v>
      </c>
      <c r="I11932" s="2" t="s">
        <v>47663</v>
      </c>
      <c r="K11932" s="2" t="s">
        <v>1336</v>
      </c>
      <c r="L11932" s="2" t="s">
        <v>70</v>
      </c>
      <c r="M11932" s="2">
        <v>99669.0</v>
      </c>
      <c r="N11932" s="2" t="s">
        <v>21</v>
      </c>
    </row>
    <row r="11933" ht="15.75" customHeight="1">
      <c r="A11933" s="2">
        <v>2019.0</v>
      </c>
      <c r="B11933" s="2" t="s">
        <v>47664</v>
      </c>
      <c r="C11933" s="2" t="s">
        <v>47664</v>
      </c>
      <c r="D11933" s="2" t="str">
        <f>"248-875-5787"</f>
        <v>248-875-5787</v>
      </c>
      <c r="E11933" s="2" t="s">
        <v>47665</v>
      </c>
      <c r="F11933" s="2" t="s">
        <v>47666</v>
      </c>
      <c r="G11933" s="2" t="str">
        <f>"SR-16722"</f>
        <v>SR-16722</v>
      </c>
      <c r="H11933" s="2" t="s">
        <v>47667</v>
      </c>
      <c r="I11933" s="2" t="s">
        <v>47668</v>
      </c>
      <c r="K11933" s="2" t="s">
        <v>47669</v>
      </c>
      <c r="L11933" s="2" t="s">
        <v>29</v>
      </c>
      <c r="M11933" s="2">
        <v>48438.0</v>
      </c>
      <c r="N11933" s="2" t="s">
        <v>21</v>
      </c>
    </row>
    <row r="11934" ht="15.75" customHeight="1">
      <c r="A11934" s="2">
        <v>2019.0</v>
      </c>
      <c r="B11934" s="2" t="s">
        <v>47670</v>
      </c>
      <c r="C11934" s="2" t="s">
        <v>47671</v>
      </c>
      <c r="D11934" s="2" t="str">
        <f>"303-665-4816"</f>
        <v>303-665-4816</v>
      </c>
      <c r="E11934" s="2" t="s">
        <v>47672</v>
      </c>
      <c r="F11934" s="2" t="s">
        <v>47673</v>
      </c>
      <c r="G11934" s="2" t="str">
        <f>"SR-16723"</f>
        <v>SR-16723</v>
      </c>
      <c r="H11934" s="2" t="s">
        <v>47674</v>
      </c>
      <c r="I11934" s="2" t="s">
        <v>47675</v>
      </c>
      <c r="K11934" s="2" t="s">
        <v>47676</v>
      </c>
      <c r="L11934" s="2" t="s">
        <v>157</v>
      </c>
      <c r="M11934" s="2">
        <v>80002.0</v>
      </c>
      <c r="N11934" s="2" t="s">
        <v>21</v>
      </c>
    </row>
    <row r="11935" ht="15.75" customHeight="1">
      <c r="A11935" s="2">
        <v>2019.0</v>
      </c>
      <c r="B11935" s="2" t="s">
        <v>47677</v>
      </c>
      <c r="C11935" s="2" t="s">
        <v>47677</v>
      </c>
      <c r="D11935" s="2" t="str">
        <f>"574-323-3861"</f>
        <v>574-323-3861</v>
      </c>
      <c r="E11935" s="2" t="s">
        <v>651</v>
      </c>
      <c r="F11935" s="2" t="s">
        <v>10215</v>
      </c>
      <c r="G11935" s="2" t="str">
        <f>"SR-16724"</f>
        <v>SR-16724</v>
      </c>
      <c r="H11935" s="2" t="s">
        <v>47678</v>
      </c>
      <c r="I11935" s="2" t="s">
        <v>47679</v>
      </c>
      <c r="K11935" s="2" t="s">
        <v>9910</v>
      </c>
      <c r="L11935" s="2" t="s">
        <v>29</v>
      </c>
      <c r="M11935" s="2">
        <v>49120.0</v>
      </c>
      <c r="N11935" s="2" t="s">
        <v>21</v>
      </c>
    </row>
    <row r="11936" ht="15.75" customHeight="1">
      <c r="A11936" s="2">
        <v>2019.0</v>
      </c>
      <c r="B11936" s="2" t="s">
        <v>47680</v>
      </c>
      <c r="C11936" s="2" t="s">
        <v>47681</v>
      </c>
      <c r="D11936" s="2" t="str">
        <f>"9513781658"</f>
        <v>9513781658</v>
      </c>
      <c r="E11936" s="2" t="s">
        <v>1529</v>
      </c>
      <c r="F11936" s="2" t="s">
        <v>47666</v>
      </c>
      <c r="G11936" s="2" t="str">
        <f>"SR-16725"</f>
        <v>SR-16725</v>
      </c>
      <c r="H11936" s="2" t="s">
        <v>47682</v>
      </c>
      <c r="I11936" s="2" t="s">
        <v>47683</v>
      </c>
      <c r="K11936" s="2" t="s">
        <v>47669</v>
      </c>
      <c r="L11936" s="2" t="s">
        <v>29</v>
      </c>
      <c r="M11936" s="2">
        <v>48438.0</v>
      </c>
      <c r="N11936" s="2" t="s">
        <v>21</v>
      </c>
    </row>
    <row r="11937" ht="15.75" customHeight="1">
      <c r="A11937" s="2">
        <v>2019.0</v>
      </c>
      <c r="B11937" s="2" t="s">
        <v>47684</v>
      </c>
      <c r="C11937" s="2" t="s">
        <v>47685</v>
      </c>
      <c r="D11937" s="2" t="str">
        <f>"3177973013"</f>
        <v>3177973013</v>
      </c>
      <c r="E11937" s="2" t="s">
        <v>9115</v>
      </c>
      <c r="F11937" s="2" t="s">
        <v>47686</v>
      </c>
      <c r="G11937" s="2" t="str">
        <f>"SR-16702"</f>
        <v>SR-16702</v>
      </c>
      <c r="H11937" s="2" t="s">
        <v>47687</v>
      </c>
      <c r="I11937" s="2" t="s">
        <v>47688</v>
      </c>
      <c r="K11937" s="2" t="s">
        <v>2660</v>
      </c>
      <c r="L11937" s="2" t="s">
        <v>149</v>
      </c>
      <c r="M11937" s="2">
        <v>46038.0</v>
      </c>
      <c r="N11937" s="2" t="s">
        <v>21</v>
      </c>
    </row>
    <row r="11938" ht="15.75" customHeight="1">
      <c r="A11938" s="2">
        <v>2019.0</v>
      </c>
      <c r="B11938" s="2" t="s">
        <v>47689</v>
      </c>
      <c r="C11938" s="2" t="s">
        <v>47690</v>
      </c>
      <c r="D11938" s="2" t="str">
        <f>"2092139950"</f>
        <v>2092139950</v>
      </c>
      <c r="E11938" s="2" t="s">
        <v>2306</v>
      </c>
      <c r="F11938" s="2" t="s">
        <v>47691</v>
      </c>
      <c r="G11938" s="2" t="str">
        <f>"SR-16729"</f>
        <v>SR-16729</v>
      </c>
      <c r="H11938" s="2" t="s">
        <v>47692</v>
      </c>
      <c r="I11938" s="2" t="s">
        <v>47693</v>
      </c>
      <c r="K11938" s="2" t="s">
        <v>22724</v>
      </c>
      <c r="L11938" s="2" t="s">
        <v>222</v>
      </c>
      <c r="M11938" s="2">
        <v>95370.0</v>
      </c>
      <c r="N11938" s="2" t="s">
        <v>21</v>
      </c>
    </row>
    <row r="11939" ht="15.75" customHeight="1">
      <c r="A11939" s="2">
        <v>2019.0</v>
      </c>
      <c r="B11939" s="2" t="s">
        <v>47694</v>
      </c>
      <c r="C11939" s="2" t="s">
        <v>47694</v>
      </c>
      <c r="D11939" s="2" t="str">
        <f>"(209)768-8767"</f>
        <v>(209)768-8767</v>
      </c>
      <c r="E11939" s="2" t="s">
        <v>5760</v>
      </c>
      <c r="F11939" s="2" t="s">
        <v>20565</v>
      </c>
      <c r="G11939" s="2" t="str">
        <f>"SR-16731"</f>
        <v>SR-16731</v>
      </c>
      <c r="H11939" s="2" t="s">
        <v>47695</v>
      </c>
      <c r="I11939" s="2" t="s">
        <v>47696</v>
      </c>
      <c r="J11939" s="2" t="s">
        <v>47697</v>
      </c>
      <c r="K11939" s="2" t="s">
        <v>22724</v>
      </c>
      <c r="L11939" s="2" t="s">
        <v>222</v>
      </c>
      <c r="M11939" s="2">
        <v>95370.0</v>
      </c>
      <c r="N11939" s="2" t="s">
        <v>21</v>
      </c>
    </row>
    <row r="11940" ht="15.75" customHeight="1">
      <c r="A11940" s="2">
        <v>2019.0</v>
      </c>
      <c r="B11940" s="2" t="s">
        <v>47698</v>
      </c>
      <c r="C11940" s="2" t="s">
        <v>47698</v>
      </c>
      <c r="D11940" s="2" t="str">
        <f>"7174901665"</f>
        <v>7174901665</v>
      </c>
      <c r="E11940" s="2" t="s">
        <v>47699</v>
      </c>
      <c r="F11940" s="2" t="s">
        <v>11892</v>
      </c>
      <c r="G11940" s="2" t="str">
        <f>"SR-16732"</f>
        <v>SR-16732</v>
      </c>
      <c r="H11940" s="2" t="s">
        <v>47700</v>
      </c>
      <c r="I11940" s="2" t="s">
        <v>47701</v>
      </c>
      <c r="K11940" s="2" t="s">
        <v>2449</v>
      </c>
      <c r="L11940" s="2" t="s">
        <v>179</v>
      </c>
      <c r="M11940" s="2">
        <v>17602.0</v>
      </c>
      <c r="N11940" s="2" t="s">
        <v>21</v>
      </c>
    </row>
    <row r="11941" ht="15.75" customHeight="1">
      <c r="A11941" s="2">
        <v>2019.0</v>
      </c>
      <c r="B11941" s="2" t="s">
        <v>47702</v>
      </c>
      <c r="C11941" s="2" t="s">
        <v>47703</v>
      </c>
      <c r="D11941" s="2" t="str">
        <f>"3148037569"</f>
        <v>3148037569</v>
      </c>
      <c r="E11941" s="2" t="s">
        <v>2800</v>
      </c>
      <c r="F11941" s="2" t="s">
        <v>850</v>
      </c>
      <c r="G11941" s="2" t="str">
        <f>"SR-16733"</f>
        <v>SR-16733</v>
      </c>
      <c r="H11941" s="2" t="s">
        <v>47704</v>
      </c>
      <c r="I11941" s="2" t="s">
        <v>47705</v>
      </c>
      <c r="K11941" s="2" t="s">
        <v>13967</v>
      </c>
      <c r="L11941" s="2" t="s">
        <v>105</v>
      </c>
      <c r="M11941" s="2">
        <v>62298.0</v>
      </c>
      <c r="N11941" s="2" t="s">
        <v>21</v>
      </c>
    </row>
    <row r="11942" ht="15.75" customHeight="1">
      <c r="A11942" s="2">
        <v>2019.0</v>
      </c>
      <c r="B11942" s="2" t="s">
        <v>47706</v>
      </c>
      <c r="C11942" s="2" t="s">
        <v>47706</v>
      </c>
      <c r="D11942" s="2" t="str">
        <f>"4699013090"</f>
        <v>4699013090</v>
      </c>
      <c r="E11942" s="2" t="s">
        <v>659</v>
      </c>
      <c r="F11942" s="2" t="s">
        <v>11503</v>
      </c>
      <c r="G11942" s="2" t="str">
        <f>"SR-16473"</f>
        <v>SR-16473</v>
      </c>
      <c r="H11942" s="2" t="s">
        <v>47707</v>
      </c>
      <c r="I11942" s="2" t="s">
        <v>47708</v>
      </c>
      <c r="K11942" s="2" t="s">
        <v>357</v>
      </c>
      <c r="L11942" s="2" t="s">
        <v>172</v>
      </c>
      <c r="M11942" s="2">
        <v>75075.0</v>
      </c>
      <c r="N11942" s="2" t="s">
        <v>21</v>
      </c>
    </row>
    <row r="11943" ht="15.75" customHeight="1">
      <c r="A11943" s="2">
        <v>2019.0</v>
      </c>
      <c r="B11943" s="2" t="s">
        <v>47709</v>
      </c>
      <c r="C11943" s="2" t="s">
        <v>47710</v>
      </c>
      <c r="D11943" s="2" t="str">
        <f>"8175847226"</f>
        <v>8175847226</v>
      </c>
      <c r="E11943" s="2" t="s">
        <v>34533</v>
      </c>
      <c r="F11943" s="2" t="s">
        <v>13043</v>
      </c>
      <c r="G11943" s="2" t="str">
        <f>"SR-13250"</f>
        <v>SR-13250</v>
      </c>
      <c r="H11943" s="2" t="s">
        <v>47711</v>
      </c>
      <c r="I11943" s="2" t="s">
        <v>47712</v>
      </c>
      <c r="K11943" s="2" t="s">
        <v>1260</v>
      </c>
      <c r="L11943" s="2" t="s">
        <v>172</v>
      </c>
      <c r="M11943" s="2">
        <v>76135.0</v>
      </c>
      <c r="N11943" s="2" t="s">
        <v>21</v>
      </c>
    </row>
    <row r="11944" ht="15.75" customHeight="1">
      <c r="A11944" s="2">
        <v>2019.0</v>
      </c>
      <c r="B11944" s="2" t="s">
        <v>47713</v>
      </c>
      <c r="D11944" s="2" t="str">
        <f>""</f>
        <v/>
      </c>
      <c r="E11944" s="2" t="s">
        <v>843</v>
      </c>
      <c r="F11944" s="2" t="s">
        <v>11503</v>
      </c>
      <c r="G11944" s="2" t="str">
        <f>"SR-16734"</f>
        <v>SR-16734</v>
      </c>
      <c r="H11944" s="2" t="s">
        <v>47714</v>
      </c>
    </row>
    <row r="11945" ht="15.75" customHeight="1">
      <c r="A11945" s="2">
        <v>2019.0</v>
      </c>
      <c r="B11945" s="2" t="s">
        <v>47715</v>
      </c>
      <c r="C11945" s="2" t="s">
        <v>47716</v>
      </c>
      <c r="D11945" s="2" t="str">
        <f>"5402777121"</f>
        <v>5402777121</v>
      </c>
      <c r="E11945" s="2" t="s">
        <v>1239</v>
      </c>
      <c r="F11945" s="2" t="s">
        <v>47717</v>
      </c>
      <c r="G11945" s="2" t="str">
        <f>"SR-16736"</f>
        <v>SR-16736</v>
      </c>
      <c r="H11945" s="2" t="s">
        <v>47718</v>
      </c>
      <c r="I11945" s="2" t="s">
        <v>47719</v>
      </c>
      <c r="K11945" s="2" t="s">
        <v>6146</v>
      </c>
      <c r="L11945" s="2" t="s">
        <v>165</v>
      </c>
      <c r="M11945" s="2">
        <v>22620.0</v>
      </c>
      <c r="N11945" s="2" t="s">
        <v>21</v>
      </c>
    </row>
    <row r="11946" ht="15.75" customHeight="1">
      <c r="A11946" s="2">
        <v>2019.0</v>
      </c>
      <c r="B11946" s="2" t="s">
        <v>47713</v>
      </c>
      <c r="D11946" s="2" t="str">
        <f>""</f>
        <v/>
      </c>
      <c r="E11946" s="2" t="s">
        <v>160</v>
      </c>
      <c r="F11946" s="2" t="s">
        <v>11503</v>
      </c>
      <c r="G11946" s="2" t="str">
        <f>"SR-16735"</f>
        <v>SR-16735</v>
      </c>
      <c r="H11946" s="2" t="s">
        <v>47720</v>
      </c>
      <c r="N11946" s="2" t="s">
        <v>21</v>
      </c>
    </row>
    <row r="11947" ht="15.75" customHeight="1">
      <c r="A11947" s="2">
        <v>2019.0</v>
      </c>
      <c r="B11947" s="2" t="s">
        <v>47721</v>
      </c>
      <c r="C11947" s="2" t="s">
        <v>47722</v>
      </c>
      <c r="D11947" s="2" t="str">
        <f>"4026460767"</f>
        <v>4026460767</v>
      </c>
      <c r="E11947" s="2" t="s">
        <v>47723</v>
      </c>
      <c r="F11947" s="2" t="s">
        <v>47724</v>
      </c>
      <c r="G11947" s="2" t="str">
        <f>"SR-16613"</f>
        <v>SR-16613</v>
      </c>
      <c r="H11947" s="2" t="s">
        <v>47725</v>
      </c>
      <c r="I11947" s="2" t="s">
        <v>47726</v>
      </c>
      <c r="K11947" s="2" t="s">
        <v>2570</v>
      </c>
      <c r="L11947" s="2" t="s">
        <v>757</v>
      </c>
      <c r="M11947" s="2">
        <v>68434.0</v>
      </c>
      <c r="N11947" s="2" t="s">
        <v>21</v>
      </c>
    </row>
    <row r="11948" ht="15.75" customHeight="1">
      <c r="A11948" s="2">
        <v>2019.0</v>
      </c>
      <c r="B11948" s="2" t="s">
        <v>47727</v>
      </c>
      <c r="C11948" s="2" t="s">
        <v>47728</v>
      </c>
      <c r="D11948" s="2" t="str">
        <f>"304-596-4179"</f>
        <v>304-596-4179</v>
      </c>
      <c r="E11948" s="2" t="s">
        <v>47729</v>
      </c>
      <c r="F11948" s="2" t="s">
        <v>47730</v>
      </c>
      <c r="G11948" s="2" t="str">
        <f>"SR-16717"</f>
        <v>SR-16717</v>
      </c>
      <c r="H11948" s="2" t="s">
        <v>47731</v>
      </c>
      <c r="I11948" s="2" t="s">
        <v>47732</v>
      </c>
      <c r="K11948" s="2" t="s">
        <v>47733</v>
      </c>
      <c r="L11948" s="2" t="s">
        <v>6449</v>
      </c>
      <c r="M11948" s="2">
        <v>25413.0</v>
      </c>
      <c r="N11948" s="2" t="s">
        <v>21</v>
      </c>
    </row>
    <row r="11949" ht="15.75" customHeight="1">
      <c r="A11949" s="2">
        <v>2019.0</v>
      </c>
      <c r="B11949" s="2" t="s">
        <v>21184</v>
      </c>
      <c r="C11949" s="2" t="s">
        <v>47734</v>
      </c>
      <c r="D11949" s="2" t="str">
        <f>"262-949-3610"</f>
        <v>262-949-3610</v>
      </c>
      <c r="E11949" s="2" t="s">
        <v>385</v>
      </c>
      <c r="F11949" s="2" t="s">
        <v>21185</v>
      </c>
      <c r="G11949" s="2" t="str">
        <f>"SR-16716"</f>
        <v>SR-16716</v>
      </c>
      <c r="H11949" s="2" t="s">
        <v>47735</v>
      </c>
      <c r="I11949" s="2" t="s">
        <v>47736</v>
      </c>
      <c r="K11949" s="2" t="s">
        <v>9635</v>
      </c>
      <c r="L11949" s="2" t="s">
        <v>193</v>
      </c>
      <c r="M11949" s="2">
        <v>53121.0</v>
      </c>
      <c r="N11949" s="2" t="s">
        <v>21</v>
      </c>
    </row>
    <row r="11950" ht="15.75" customHeight="1">
      <c r="A11950" s="2">
        <v>2019.0</v>
      </c>
      <c r="B11950" s="2" t="s">
        <v>47737</v>
      </c>
      <c r="C11950" s="2" t="s">
        <v>47738</v>
      </c>
      <c r="D11950" s="2" t="str">
        <f>"270-576-5651"</f>
        <v>270-576-5651</v>
      </c>
      <c r="E11950" s="2" t="s">
        <v>167</v>
      </c>
      <c r="F11950" s="2" t="s">
        <v>47739</v>
      </c>
      <c r="G11950" s="2" t="str">
        <f>"SR-16354"</f>
        <v>SR-16354</v>
      </c>
      <c r="H11950" s="2" t="s">
        <v>47740</v>
      </c>
      <c r="I11950" s="2" t="s">
        <v>47741</v>
      </c>
      <c r="K11950" s="2" t="s">
        <v>47742</v>
      </c>
      <c r="L11950" s="2" t="s">
        <v>1236</v>
      </c>
      <c r="M11950" s="2">
        <v>42141.0</v>
      </c>
      <c r="N11950" s="2" t="s">
        <v>21</v>
      </c>
    </row>
    <row r="11951" ht="15.75" customHeight="1">
      <c r="A11951" s="2">
        <v>2019.0</v>
      </c>
      <c r="B11951" s="2" t="s">
        <v>47743</v>
      </c>
      <c r="C11951" s="2" t="s">
        <v>47743</v>
      </c>
      <c r="D11951" s="2" t="str">
        <f>"618-771-7100"</f>
        <v>618-771-7100</v>
      </c>
      <c r="E11951" s="2" t="s">
        <v>6792</v>
      </c>
      <c r="F11951" s="2" t="s">
        <v>3385</v>
      </c>
      <c r="G11951" s="2" t="str">
        <f>"SR-16740"</f>
        <v>SR-16740</v>
      </c>
      <c r="H11951" s="2" t="s">
        <v>47744</v>
      </c>
      <c r="I11951" s="2" t="s">
        <v>47745</v>
      </c>
      <c r="K11951" s="2" t="s">
        <v>47746</v>
      </c>
      <c r="L11951" s="2" t="s">
        <v>105</v>
      </c>
      <c r="M11951" s="2">
        <v>62926.0</v>
      </c>
      <c r="N11951" s="2" t="s">
        <v>21</v>
      </c>
    </row>
    <row r="11952" ht="15.75" customHeight="1">
      <c r="A11952" s="2">
        <v>2019.0</v>
      </c>
      <c r="B11952" s="2" t="s">
        <v>47747</v>
      </c>
      <c r="C11952" s="2" t="s">
        <v>47748</v>
      </c>
      <c r="D11952" s="2" t="str">
        <f>"586-980-0840"</f>
        <v>586-980-0840</v>
      </c>
      <c r="E11952" s="2" t="s">
        <v>301</v>
      </c>
      <c r="F11952" s="2" t="s">
        <v>17184</v>
      </c>
      <c r="G11952" s="2" t="str">
        <f>"SR-16741"</f>
        <v>SR-16741</v>
      </c>
      <c r="H11952" s="2" t="s">
        <v>47749</v>
      </c>
      <c r="I11952" s="2" t="s">
        <v>47750</v>
      </c>
      <c r="K11952" s="2" t="s">
        <v>47751</v>
      </c>
      <c r="L11952" s="2" t="s">
        <v>29</v>
      </c>
      <c r="M11952" s="2">
        <v>48047.0</v>
      </c>
      <c r="N11952" s="2" t="s">
        <v>21</v>
      </c>
    </row>
    <row r="11953" ht="15.75" customHeight="1">
      <c r="A11953" s="2">
        <v>2019.0</v>
      </c>
      <c r="B11953" s="2" t="s">
        <v>47752</v>
      </c>
      <c r="C11953" s="2" t="s">
        <v>47753</v>
      </c>
      <c r="D11953" s="2" t="str">
        <f>"8282000223"</f>
        <v>8282000223</v>
      </c>
      <c r="E11953" s="2" t="s">
        <v>1274</v>
      </c>
      <c r="F11953" s="2" t="s">
        <v>10041</v>
      </c>
      <c r="G11953" s="2" t="str">
        <f>"SR-16743"</f>
        <v>SR-16743</v>
      </c>
      <c r="H11953" s="2" t="s">
        <v>47754</v>
      </c>
      <c r="I11953" s="2" t="s">
        <v>47755</v>
      </c>
      <c r="K11953" s="2" t="s">
        <v>47756</v>
      </c>
      <c r="L11953" s="2" t="s">
        <v>20</v>
      </c>
      <c r="M11953" s="2">
        <v>28803.0</v>
      </c>
      <c r="N11953" s="2" t="s">
        <v>21</v>
      </c>
    </row>
    <row r="11954" ht="15.75" customHeight="1">
      <c r="A11954" s="2">
        <v>2019.0</v>
      </c>
      <c r="B11954" s="2" t="s">
        <v>47757</v>
      </c>
      <c r="C11954" s="2" t="s">
        <v>47757</v>
      </c>
      <c r="D11954" s="2" t="str">
        <f>"269-259-9753"</f>
        <v>269-259-9753</v>
      </c>
      <c r="E11954" s="2" t="s">
        <v>167</v>
      </c>
      <c r="F11954" s="2" t="s">
        <v>17831</v>
      </c>
      <c r="G11954" s="2" t="str">
        <f>"SR-16744"</f>
        <v>SR-16744</v>
      </c>
      <c r="H11954" s="2" t="s">
        <v>47758</v>
      </c>
      <c r="I11954" s="2" t="s">
        <v>47759</v>
      </c>
      <c r="K11954" s="2" t="s">
        <v>9910</v>
      </c>
      <c r="L11954" s="2" t="s">
        <v>29</v>
      </c>
      <c r="M11954" s="2">
        <v>49120.0</v>
      </c>
      <c r="N11954" s="2" t="s">
        <v>21</v>
      </c>
    </row>
    <row r="11955" ht="15.75" customHeight="1">
      <c r="A11955" s="2">
        <v>2019.0</v>
      </c>
      <c r="B11955" s="2" t="s">
        <v>47760</v>
      </c>
      <c r="C11955" s="2" t="s">
        <v>47761</v>
      </c>
      <c r="D11955" s="2" t="str">
        <f>"540-550-5870"</f>
        <v>540-550-5870</v>
      </c>
      <c r="E11955" s="2" t="s">
        <v>20541</v>
      </c>
      <c r="F11955" s="2" t="s">
        <v>868</v>
      </c>
      <c r="G11955" s="2" t="str">
        <f>"SR-16745"</f>
        <v>SR-16745</v>
      </c>
      <c r="H11955" s="2" t="s">
        <v>47762</v>
      </c>
      <c r="I11955" s="2" t="s">
        <v>47763</v>
      </c>
      <c r="K11955" s="2" t="s">
        <v>18209</v>
      </c>
      <c r="L11955" s="2" t="s">
        <v>165</v>
      </c>
      <c r="M11955" s="2">
        <v>22655.0</v>
      </c>
      <c r="N11955" s="2" t="s">
        <v>21</v>
      </c>
    </row>
    <row r="11956" ht="15.75" customHeight="1">
      <c r="A11956" s="2">
        <v>2019.0</v>
      </c>
      <c r="B11956" s="2" t="s">
        <v>47737</v>
      </c>
      <c r="C11956" s="2" t="s">
        <v>47764</v>
      </c>
      <c r="D11956" s="2" t="str">
        <f>"469-631-5355"</f>
        <v>469-631-5355</v>
      </c>
      <c r="E11956" s="2" t="s">
        <v>1767</v>
      </c>
      <c r="F11956" s="2" t="s">
        <v>47739</v>
      </c>
      <c r="G11956" s="2" t="str">
        <f>"SR-16748"</f>
        <v>SR-16748</v>
      </c>
      <c r="H11956" s="2" t="s">
        <v>47765</v>
      </c>
      <c r="I11956" s="2" t="s">
        <v>47766</v>
      </c>
      <c r="K11956" s="2" t="s">
        <v>47742</v>
      </c>
      <c r="L11956" s="2" t="s">
        <v>1236</v>
      </c>
      <c r="M11956" s="2">
        <v>42141.0</v>
      </c>
      <c r="N11956" s="2" t="s">
        <v>21</v>
      </c>
    </row>
    <row r="11957" ht="15.75" customHeight="1">
      <c r="A11957" s="2">
        <v>2019.0</v>
      </c>
      <c r="B11957" s="2" t="s">
        <v>28533</v>
      </c>
      <c r="C11957" s="2" t="s">
        <v>47767</v>
      </c>
      <c r="D11957" s="2" t="str">
        <f>"(719) 209-0276"</f>
        <v>(719) 209-0276</v>
      </c>
      <c r="E11957" s="2" t="s">
        <v>47768</v>
      </c>
      <c r="F11957" s="2" t="s">
        <v>28535</v>
      </c>
      <c r="G11957" s="2" t="str">
        <f>"SR-16746"</f>
        <v>SR-16746</v>
      </c>
      <c r="H11957" s="2" t="s">
        <v>47769</v>
      </c>
      <c r="I11957" s="2" t="s">
        <v>28537</v>
      </c>
      <c r="K11957" s="2" t="s">
        <v>809</v>
      </c>
      <c r="L11957" s="2" t="s">
        <v>157</v>
      </c>
      <c r="M11957" s="2">
        <v>80921.0</v>
      </c>
      <c r="N11957" s="2" t="s">
        <v>21</v>
      </c>
    </row>
    <row r="11958" ht="15.75" customHeight="1">
      <c r="A11958" s="2">
        <v>2019.0</v>
      </c>
      <c r="B11958" s="2" t="s">
        <v>47770</v>
      </c>
      <c r="C11958" s="2" t="s">
        <v>47771</v>
      </c>
      <c r="D11958" s="2" t="str">
        <f>"5037245570"</f>
        <v>5037245570</v>
      </c>
      <c r="E11958" s="2" t="s">
        <v>590</v>
      </c>
      <c r="F11958" s="2" t="s">
        <v>47772</v>
      </c>
      <c r="G11958" s="2" t="str">
        <f>"SR-16747"</f>
        <v>SR-16747</v>
      </c>
      <c r="H11958" s="2" t="s">
        <v>47773</v>
      </c>
      <c r="I11958" s="2" t="s">
        <v>47774</v>
      </c>
      <c r="K11958" s="2" t="s">
        <v>12356</v>
      </c>
      <c r="L11958" s="2" t="s">
        <v>2389</v>
      </c>
      <c r="M11958" s="2">
        <v>97008.0</v>
      </c>
      <c r="N11958" s="2" t="s">
        <v>21</v>
      </c>
    </row>
    <row r="11959" ht="15.75" customHeight="1">
      <c r="A11959" s="2">
        <v>2019.0</v>
      </c>
      <c r="B11959" s="2" t="s">
        <v>47775</v>
      </c>
      <c r="C11959" s="2" t="s">
        <v>47775</v>
      </c>
      <c r="D11959" s="2" t="str">
        <f>"5312893060"</f>
        <v>5312893060</v>
      </c>
      <c r="E11959" s="2" t="s">
        <v>1767</v>
      </c>
      <c r="F11959" s="2" t="s">
        <v>47776</v>
      </c>
      <c r="G11959" s="2" t="str">
        <f>"SR-16205"</f>
        <v>SR-16205</v>
      </c>
      <c r="H11959" s="2" t="s">
        <v>47777</v>
      </c>
      <c r="I11959" s="2" t="s">
        <v>47778</v>
      </c>
      <c r="K11959" s="2" t="s">
        <v>572</v>
      </c>
      <c r="L11959" s="2" t="s">
        <v>757</v>
      </c>
      <c r="M11959" s="2">
        <v>68506.0</v>
      </c>
      <c r="N11959" s="2" t="s">
        <v>21</v>
      </c>
    </row>
    <row r="11960" ht="15.75" customHeight="1">
      <c r="A11960" s="2">
        <v>2019.0</v>
      </c>
      <c r="B11960" s="2" t="s">
        <v>47770</v>
      </c>
      <c r="C11960" s="2" t="s">
        <v>47779</v>
      </c>
      <c r="D11960" s="2" t="str">
        <f>"5039353760"</f>
        <v>5039353760</v>
      </c>
      <c r="E11960" s="2" t="s">
        <v>562</v>
      </c>
      <c r="F11960" s="2" t="s">
        <v>11384</v>
      </c>
      <c r="G11960" s="2" t="str">
        <f>"SR-16750"</f>
        <v>SR-16750</v>
      </c>
      <c r="H11960" s="2" t="s">
        <v>47780</v>
      </c>
      <c r="I11960" s="2" t="s">
        <v>47781</v>
      </c>
      <c r="K11960" s="2" t="s">
        <v>19112</v>
      </c>
      <c r="L11960" s="2" t="s">
        <v>2389</v>
      </c>
      <c r="M11960" s="2">
        <v>97078.0</v>
      </c>
      <c r="N11960" s="2" t="s">
        <v>21</v>
      </c>
    </row>
    <row r="11961" ht="15.75" customHeight="1">
      <c r="A11961" s="2">
        <v>2019.0</v>
      </c>
      <c r="B11961" s="2" t="s">
        <v>47782</v>
      </c>
      <c r="C11961" s="2" t="s">
        <v>47783</v>
      </c>
      <c r="D11961" s="2" t="str">
        <f>"5205912590"</f>
        <v>5205912590</v>
      </c>
      <c r="E11961" s="2" t="s">
        <v>11423</v>
      </c>
      <c r="F11961" s="2" t="s">
        <v>3028</v>
      </c>
      <c r="G11961" s="2" t="str">
        <f>"SR-16471"</f>
        <v>SR-16471</v>
      </c>
      <c r="H11961" s="2" t="s">
        <v>47784</v>
      </c>
      <c r="I11961" s="2" t="s">
        <v>47785</v>
      </c>
      <c r="K11961" s="2" t="s">
        <v>5946</v>
      </c>
      <c r="L11961" s="2" t="s">
        <v>422</v>
      </c>
      <c r="M11961" s="2">
        <v>85710.0</v>
      </c>
      <c r="N11961" s="2" t="s">
        <v>21</v>
      </c>
    </row>
    <row r="11962" ht="15.75" customHeight="1">
      <c r="A11962" s="2">
        <v>2019.0</v>
      </c>
      <c r="B11962" s="2" t="s">
        <v>47786</v>
      </c>
      <c r="C11962" s="2" t="s">
        <v>47787</v>
      </c>
      <c r="D11962" s="2" t="str">
        <f>"9194516828"</f>
        <v>9194516828</v>
      </c>
      <c r="E11962" s="2" t="s">
        <v>448</v>
      </c>
      <c r="F11962" s="2" t="s">
        <v>47788</v>
      </c>
      <c r="G11962" s="2" t="str">
        <f>"SR-16756"</f>
        <v>SR-16756</v>
      </c>
      <c r="H11962" s="2" t="s">
        <v>47789</v>
      </c>
      <c r="I11962" s="2" t="s">
        <v>47790</v>
      </c>
      <c r="K11962" s="2" t="s">
        <v>1111</v>
      </c>
      <c r="L11962" s="2" t="s">
        <v>20</v>
      </c>
      <c r="M11962" s="2">
        <v>27705.0</v>
      </c>
      <c r="N11962" s="2" t="s">
        <v>21</v>
      </c>
    </row>
    <row r="11963" ht="15.75" customHeight="1">
      <c r="A11963" s="2">
        <v>2019.0</v>
      </c>
      <c r="B11963" s="2" t="s">
        <v>47791</v>
      </c>
      <c r="C11963" s="2" t="s">
        <v>47791</v>
      </c>
      <c r="D11963" s="2" t="str">
        <f>"(208) 591-6199"</f>
        <v>(208) 591-6199</v>
      </c>
      <c r="E11963" s="2" t="s">
        <v>14745</v>
      </c>
      <c r="F11963" s="2" t="s">
        <v>47792</v>
      </c>
      <c r="G11963" s="2" t="str">
        <f>"SR-16757"</f>
        <v>SR-16757</v>
      </c>
      <c r="H11963" s="2" t="s">
        <v>47793</v>
      </c>
      <c r="I11963" s="2" t="s">
        <v>47794</v>
      </c>
      <c r="K11963" s="2" t="s">
        <v>47795</v>
      </c>
      <c r="L11963" s="2" t="s">
        <v>2613</v>
      </c>
      <c r="M11963" s="2">
        <v>83647.0</v>
      </c>
      <c r="N11963" s="2" t="s">
        <v>21</v>
      </c>
    </row>
    <row r="11964" ht="15.75" customHeight="1">
      <c r="A11964" s="2">
        <v>2019.0</v>
      </c>
      <c r="B11964" s="2" t="s">
        <v>47796</v>
      </c>
      <c r="C11964" s="2" t="s">
        <v>47797</v>
      </c>
      <c r="D11964" s="2" t="str">
        <f>"540-362-1594"</f>
        <v>540-362-1594</v>
      </c>
      <c r="E11964" s="2" t="s">
        <v>29606</v>
      </c>
      <c r="F11964" s="2" t="s">
        <v>5632</v>
      </c>
      <c r="G11964" s="2" t="str">
        <f>"SR-16752"</f>
        <v>SR-16752</v>
      </c>
      <c r="H11964" s="2" t="s">
        <v>47798</v>
      </c>
      <c r="I11964" s="2" t="s">
        <v>13188</v>
      </c>
      <c r="K11964" s="2" t="s">
        <v>4577</v>
      </c>
      <c r="L11964" s="2" t="s">
        <v>165</v>
      </c>
      <c r="M11964" s="2">
        <v>24018.0</v>
      </c>
      <c r="N11964" s="2" t="s">
        <v>21</v>
      </c>
    </row>
    <row r="11965" ht="15.75" customHeight="1">
      <c r="A11965" s="2">
        <v>2019.0</v>
      </c>
      <c r="B11965" s="2" t="s">
        <v>47786</v>
      </c>
      <c r="C11965" s="2" t="s">
        <v>47799</v>
      </c>
      <c r="D11965" s="2" t="str">
        <f>"9195486879"</f>
        <v>9195486879</v>
      </c>
      <c r="E11965" s="2" t="s">
        <v>908</v>
      </c>
      <c r="F11965" s="2" t="s">
        <v>47788</v>
      </c>
      <c r="G11965" s="2" t="str">
        <f>"SR-16758"</f>
        <v>SR-16758</v>
      </c>
      <c r="H11965" s="2" t="s">
        <v>47800</v>
      </c>
      <c r="I11965" s="2" t="s">
        <v>47790</v>
      </c>
      <c r="K11965" s="2" t="s">
        <v>1111</v>
      </c>
      <c r="L11965" s="2" t="s">
        <v>20</v>
      </c>
      <c r="M11965" s="2">
        <v>27705.0</v>
      </c>
      <c r="N11965" s="2" t="s">
        <v>21</v>
      </c>
    </row>
    <row r="11966" ht="15.75" customHeight="1">
      <c r="A11966" s="2">
        <v>2019.0</v>
      </c>
      <c r="B11966" s="2" t="s">
        <v>47801</v>
      </c>
      <c r="C11966" s="2" t="s">
        <v>47801</v>
      </c>
      <c r="D11966" s="2" t="str">
        <f>"(919) 751-6199"</f>
        <v>(919) 751-6199</v>
      </c>
      <c r="E11966" s="2" t="s">
        <v>1263</v>
      </c>
      <c r="F11966" s="2" t="s">
        <v>47792</v>
      </c>
      <c r="G11966" s="2" t="str">
        <f>"SR-16759"</f>
        <v>SR-16759</v>
      </c>
      <c r="H11966" s="2" t="s">
        <v>47802</v>
      </c>
      <c r="I11966" s="2" t="s">
        <v>47803</v>
      </c>
      <c r="K11966" s="2" t="s">
        <v>47795</v>
      </c>
      <c r="L11966" s="2" t="s">
        <v>2613</v>
      </c>
      <c r="M11966" s="2">
        <v>83647.0</v>
      </c>
      <c r="N11966" s="2" t="s">
        <v>21</v>
      </c>
    </row>
    <row r="11967" ht="15.75" customHeight="1">
      <c r="A11967" s="2">
        <v>2019.0</v>
      </c>
      <c r="B11967" s="2" t="s">
        <v>47804</v>
      </c>
      <c r="C11967" s="2" t="s">
        <v>47805</v>
      </c>
      <c r="D11967" s="2" t="str">
        <f>"7725595467"</f>
        <v>7725595467</v>
      </c>
      <c r="E11967" s="2" t="s">
        <v>485</v>
      </c>
      <c r="F11967" s="2" t="s">
        <v>22201</v>
      </c>
      <c r="G11967" s="2" t="str">
        <f>"SR-16539"</f>
        <v>SR-16539</v>
      </c>
      <c r="H11967" s="2" t="s">
        <v>47806</v>
      </c>
      <c r="I11967" s="2" t="s">
        <v>47807</v>
      </c>
      <c r="K11967" s="2" t="s">
        <v>11560</v>
      </c>
      <c r="L11967" s="2" t="s">
        <v>208</v>
      </c>
      <c r="M11967" s="2">
        <v>32968.0</v>
      </c>
      <c r="N11967" s="2" t="s">
        <v>21</v>
      </c>
    </row>
    <row r="11968" ht="15.75" customHeight="1">
      <c r="A11968" s="2">
        <v>2019.0</v>
      </c>
      <c r="B11968" s="2" t="s">
        <v>47808</v>
      </c>
      <c r="C11968" s="2" t="s">
        <v>47809</v>
      </c>
      <c r="D11968" s="2" t="str">
        <f>"3616339455"</f>
        <v>3616339455</v>
      </c>
      <c r="E11968" s="2" t="s">
        <v>47810</v>
      </c>
      <c r="F11968" s="2" t="s">
        <v>2847</v>
      </c>
      <c r="G11968" s="2" t="str">
        <f>"SR-16755"</f>
        <v>SR-16755</v>
      </c>
      <c r="H11968" s="2" t="s">
        <v>47811</v>
      </c>
      <c r="I11968" s="2" t="s">
        <v>47812</v>
      </c>
      <c r="K11968" s="2" t="s">
        <v>2828</v>
      </c>
      <c r="L11968" s="2" t="s">
        <v>172</v>
      </c>
      <c r="M11968" s="2">
        <v>78374.0</v>
      </c>
      <c r="N11968" s="2" t="s">
        <v>21</v>
      </c>
    </row>
    <row r="11969" ht="15.75" customHeight="1">
      <c r="A11969" s="2">
        <v>2019.0</v>
      </c>
      <c r="B11969" s="2" t="s">
        <v>22380</v>
      </c>
      <c r="C11969" s="2" t="s">
        <v>47813</v>
      </c>
      <c r="D11969" s="2" t="str">
        <f>"3867177710"</f>
        <v>3867177710</v>
      </c>
      <c r="E11969" s="2" t="s">
        <v>659</v>
      </c>
      <c r="F11969" s="2" t="s">
        <v>22382</v>
      </c>
      <c r="G11969" s="2" t="str">
        <f>"SR-16760"</f>
        <v>SR-16760</v>
      </c>
      <c r="H11969" s="2" t="s">
        <v>47814</v>
      </c>
      <c r="I11969" s="2" t="s">
        <v>47815</v>
      </c>
      <c r="K11969" s="2" t="s">
        <v>47816</v>
      </c>
      <c r="L11969" s="2" t="s">
        <v>208</v>
      </c>
      <c r="M11969" s="2">
        <v>32713.0</v>
      </c>
      <c r="N11969" s="2" t="s">
        <v>21</v>
      </c>
    </row>
    <row r="11970" ht="15.75" customHeight="1">
      <c r="A11970" s="2">
        <v>2019.0</v>
      </c>
      <c r="B11970" s="2" t="s">
        <v>47817</v>
      </c>
      <c r="C11970" s="2" t="s">
        <v>47818</v>
      </c>
      <c r="D11970" s="2" t="str">
        <f>"5175123727"</f>
        <v>5175123727</v>
      </c>
      <c r="E11970" s="2" t="s">
        <v>590</v>
      </c>
      <c r="F11970" s="2" t="s">
        <v>47819</v>
      </c>
      <c r="G11970" s="2" t="str">
        <f>"SR-16674"</f>
        <v>SR-16674</v>
      </c>
      <c r="H11970" s="2" t="s">
        <v>47820</v>
      </c>
      <c r="I11970" s="2" t="s">
        <v>47821</v>
      </c>
      <c r="K11970" s="2" t="s">
        <v>656</v>
      </c>
      <c r="L11970" s="2" t="s">
        <v>157</v>
      </c>
      <c r="M11970" s="2">
        <v>80526.0</v>
      </c>
      <c r="N11970" s="2" t="s">
        <v>21</v>
      </c>
    </row>
    <row r="11971" ht="15.75" customHeight="1">
      <c r="A11971" s="2">
        <v>2019.0</v>
      </c>
      <c r="B11971" s="2" t="s">
        <v>47822</v>
      </c>
      <c r="C11971" s="2" t="s">
        <v>47823</v>
      </c>
      <c r="D11971" s="2" t="str">
        <f>"6072394028"</f>
        <v>6072394028</v>
      </c>
      <c r="E11971" s="2" t="s">
        <v>3196</v>
      </c>
      <c r="F11971" s="2" t="s">
        <v>47824</v>
      </c>
      <c r="G11971" s="2" t="str">
        <f>"SR-16719"</f>
        <v>SR-16719</v>
      </c>
      <c r="H11971" s="2" t="s">
        <v>47825</v>
      </c>
      <c r="I11971" s="2" t="s">
        <v>47826</v>
      </c>
      <c r="K11971" s="2" t="s">
        <v>47827</v>
      </c>
      <c r="L11971" s="2" t="s">
        <v>142</v>
      </c>
      <c r="M11971" s="2">
        <v>13760.0</v>
      </c>
      <c r="N11971" s="2" t="s">
        <v>21</v>
      </c>
    </row>
    <row r="11972" ht="15.75" customHeight="1">
      <c r="A11972" s="2">
        <v>2019.0</v>
      </c>
      <c r="B11972" s="2" t="s">
        <v>47828</v>
      </c>
      <c r="C11972" s="2" t="s">
        <v>47828</v>
      </c>
      <c r="D11972" s="2" t="str">
        <f>"6145806916"</f>
        <v>6145806916</v>
      </c>
      <c r="E11972" s="2" t="s">
        <v>47829</v>
      </c>
      <c r="F11972" s="2" t="s">
        <v>4330</v>
      </c>
      <c r="G11972" s="2" t="str">
        <f>"SR-16764"</f>
        <v>SR-16764</v>
      </c>
      <c r="H11972" s="2" t="s">
        <v>47830</v>
      </c>
      <c r="I11972" s="2" t="s">
        <v>47831</v>
      </c>
      <c r="K11972" s="2" t="s">
        <v>47832</v>
      </c>
      <c r="L11972" s="2" t="s">
        <v>344</v>
      </c>
      <c r="M11972" s="2">
        <v>43035.0</v>
      </c>
      <c r="N11972" s="2" t="s">
        <v>21</v>
      </c>
    </row>
    <row r="11973" ht="15.75" customHeight="1">
      <c r="A11973" s="2">
        <v>2019.0</v>
      </c>
      <c r="B11973" s="2" t="s">
        <v>47833</v>
      </c>
      <c r="C11973" s="2" t="s">
        <v>47834</v>
      </c>
      <c r="D11973" s="2" t="str">
        <f>"3147373812"</f>
        <v>3147373812</v>
      </c>
      <c r="E11973" s="2" t="s">
        <v>580</v>
      </c>
      <c r="F11973" s="2" t="s">
        <v>3816</v>
      </c>
      <c r="G11973" s="2" t="str">
        <f>"SR-16765"</f>
        <v>SR-16765</v>
      </c>
      <c r="H11973" s="2" t="s">
        <v>47835</v>
      </c>
      <c r="I11973" s="2" t="s">
        <v>47836</v>
      </c>
      <c r="K11973" s="2" t="s">
        <v>8122</v>
      </c>
      <c r="L11973" s="2" t="s">
        <v>214</v>
      </c>
      <c r="M11973" s="2">
        <v>63005.0</v>
      </c>
      <c r="N11973" s="2" t="s">
        <v>21</v>
      </c>
    </row>
    <row r="11974" ht="15.75" customHeight="1">
      <c r="A11974" s="2">
        <v>2019.0</v>
      </c>
      <c r="B11974" s="2" t="s">
        <v>47837</v>
      </c>
      <c r="C11974" s="2" t="s">
        <v>47838</v>
      </c>
      <c r="D11974" s="2" t="str">
        <f>"703-220-1301"</f>
        <v>703-220-1301</v>
      </c>
      <c r="E11974" s="2" t="s">
        <v>651</v>
      </c>
      <c r="F11974" s="2" t="s">
        <v>47839</v>
      </c>
      <c r="G11974" s="2" t="str">
        <f>"SR-16766"</f>
        <v>SR-16766</v>
      </c>
      <c r="H11974" s="2" t="s">
        <v>47840</v>
      </c>
      <c r="I11974" s="2" t="s">
        <v>47841</v>
      </c>
      <c r="K11974" s="2" t="s">
        <v>594</v>
      </c>
      <c r="L11974" s="2" t="s">
        <v>165</v>
      </c>
      <c r="M11974" s="2">
        <v>22603.0</v>
      </c>
      <c r="N11974" s="2" t="s">
        <v>21</v>
      </c>
    </row>
    <row r="11975" ht="15.75" customHeight="1">
      <c r="A11975" s="2">
        <v>2019.0</v>
      </c>
      <c r="B11975" s="2" t="s">
        <v>12753</v>
      </c>
      <c r="C11975" s="2" t="s">
        <v>47842</v>
      </c>
      <c r="D11975" s="2" t="str">
        <f>"2052490195"</f>
        <v>2052490195</v>
      </c>
      <c r="E11975" s="2" t="s">
        <v>1243</v>
      </c>
      <c r="F11975" s="2" t="s">
        <v>9021</v>
      </c>
      <c r="G11975" s="2" t="str">
        <f>"SR-16197"</f>
        <v>SR-16197</v>
      </c>
      <c r="H11975" s="2" t="s">
        <v>47843</v>
      </c>
      <c r="I11975" s="2" t="s">
        <v>47844</v>
      </c>
      <c r="K11975" s="2" t="s">
        <v>1173</v>
      </c>
      <c r="L11975" s="2" t="s">
        <v>539</v>
      </c>
      <c r="M11975" s="2">
        <v>35244.0</v>
      </c>
      <c r="N11975" s="2" t="s">
        <v>21</v>
      </c>
    </row>
    <row r="11976" ht="15.75" customHeight="1">
      <c r="A11976" s="2">
        <v>2019.0</v>
      </c>
      <c r="B11976" s="2" t="s">
        <v>22999</v>
      </c>
      <c r="C11976" s="2" t="s">
        <v>47845</v>
      </c>
      <c r="D11976" s="2" t="str">
        <f>"3607612514"</f>
        <v>3607612514</v>
      </c>
      <c r="E11976" s="2" t="s">
        <v>26082</v>
      </c>
      <c r="F11976" s="2" t="s">
        <v>23001</v>
      </c>
      <c r="G11976" s="2" t="str">
        <f>"SR-16153"</f>
        <v>SR-16153</v>
      </c>
      <c r="H11976" s="2" t="s">
        <v>47846</v>
      </c>
      <c r="I11976" s="2" t="s">
        <v>23003</v>
      </c>
      <c r="K11976" s="2" t="s">
        <v>23004</v>
      </c>
      <c r="L11976" s="2" t="s">
        <v>172</v>
      </c>
      <c r="M11976" s="2">
        <v>76935.0</v>
      </c>
      <c r="N11976" s="2" t="s">
        <v>21</v>
      </c>
    </row>
    <row r="11977" ht="15.75" customHeight="1">
      <c r="A11977" s="2">
        <v>2019.0</v>
      </c>
      <c r="B11977" s="2" t="s">
        <v>47847</v>
      </c>
      <c r="D11977" s="2" t="str">
        <f>""</f>
        <v/>
      </c>
      <c r="E11977" s="2" t="s">
        <v>447</v>
      </c>
      <c r="F11977" s="2" t="s">
        <v>47848</v>
      </c>
      <c r="G11977" s="2" t="str">
        <f>"SR-16769"</f>
        <v>SR-16769</v>
      </c>
      <c r="H11977" s="2" t="s">
        <v>47849</v>
      </c>
    </row>
    <row r="11978" ht="15.75" customHeight="1">
      <c r="A11978" s="2">
        <v>2019.0</v>
      </c>
      <c r="B11978" s="2" t="s">
        <v>47850</v>
      </c>
      <c r="C11978" s="2" t="s">
        <v>47851</v>
      </c>
      <c r="D11978" s="2" t="str">
        <f>"2705357440"</f>
        <v>2705357440</v>
      </c>
      <c r="E11978" s="2" t="s">
        <v>47852</v>
      </c>
      <c r="F11978" s="2" t="s">
        <v>25361</v>
      </c>
      <c r="G11978" s="2" t="str">
        <f>"SR-16761"</f>
        <v>SR-16761</v>
      </c>
      <c r="H11978" s="2" t="s">
        <v>47853</v>
      </c>
      <c r="I11978" s="2" t="s">
        <v>47854</v>
      </c>
      <c r="K11978" s="2" t="s">
        <v>22040</v>
      </c>
      <c r="L11978" s="2" t="s">
        <v>1236</v>
      </c>
      <c r="M11978" s="2">
        <v>42159.0</v>
      </c>
      <c r="N11978" s="2" t="s">
        <v>21</v>
      </c>
    </row>
    <row r="11979" ht="15.75" customHeight="1">
      <c r="A11979" s="2">
        <v>2019.0</v>
      </c>
      <c r="B11979" s="2" t="s">
        <v>47855</v>
      </c>
      <c r="C11979" s="2" t="s">
        <v>47856</v>
      </c>
      <c r="D11979" s="2" t="str">
        <f>"720-955-9199"</f>
        <v>720-955-9199</v>
      </c>
      <c r="E11979" s="2" t="s">
        <v>1088</v>
      </c>
      <c r="F11979" s="2" t="s">
        <v>17785</v>
      </c>
      <c r="G11979" s="2" t="str">
        <f>"SR-16772"</f>
        <v>SR-16772</v>
      </c>
      <c r="H11979" s="2" t="s">
        <v>47857</v>
      </c>
      <c r="I11979" s="2" t="s">
        <v>47858</v>
      </c>
      <c r="K11979" s="2" t="s">
        <v>992</v>
      </c>
      <c r="L11979" s="2" t="s">
        <v>157</v>
      </c>
      <c r="M11979" s="2">
        <v>80015.0</v>
      </c>
      <c r="N11979" s="2" t="s">
        <v>21</v>
      </c>
    </row>
    <row r="11980" ht="15.75" customHeight="1">
      <c r="A11980" s="2">
        <v>2019.0</v>
      </c>
      <c r="B11980" s="2" t="s">
        <v>39965</v>
      </c>
      <c r="D11980" s="2" t="str">
        <f>""</f>
        <v/>
      </c>
      <c r="E11980" s="2" t="s">
        <v>2306</v>
      </c>
      <c r="F11980" s="2" t="s">
        <v>47859</v>
      </c>
      <c r="G11980" s="2" t="str">
        <f>"SR-16773"</f>
        <v>SR-16773</v>
      </c>
      <c r="H11980" s="2" t="s">
        <v>47860</v>
      </c>
      <c r="N11980" s="2" t="s">
        <v>21</v>
      </c>
    </row>
    <row r="11981" ht="15.75" customHeight="1">
      <c r="A11981" s="2">
        <v>2019.0</v>
      </c>
      <c r="B11981" s="2" t="s">
        <v>47861</v>
      </c>
      <c r="C11981" s="2" t="s">
        <v>47862</v>
      </c>
      <c r="D11981" s="2" t="str">
        <f>"4696641668"</f>
        <v>4696641668</v>
      </c>
      <c r="E11981" s="2" t="s">
        <v>11010</v>
      </c>
      <c r="F11981" s="2" t="s">
        <v>47863</v>
      </c>
      <c r="G11981" s="2" t="str">
        <f>"SR-16516"</f>
        <v>SR-16516</v>
      </c>
      <c r="H11981" s="2" t="s">
        <v>47864</v>
      </c>
      <c r="I11981" s="2" t="s">
        <v>47865</v>
      </c>
      <c r="K11981" s="2" t="s">
        <v>171</v>
      </c>
      <c r="L11981" s="2" t="s">
        <v>172</v>
      </c>
      <c r="M11981" s="2">
        <v>75010.0</v>
      </c>
      <c r="N11981" s="2" t="s">
        <v>21</v>
      </c>
    </row>
    <row r="11982" ht="15.75" customHeight="1">
      <c r="A11982" s="2">
        <v>2019.0</v>
      </c>
      <c r="B11982" s="2" t="s">
        <v>47866</v>
      </c>
      <c r="C11982" s="2" t="s">
        <v>47867</v>
      </c>
      <c r="D11982" s="2" t="str">
        <f>"925-858-4141"</f>
        <v>925-858-4141</v>
      </c>
      <c r="E11982" s="2" t="s">
        <v>1076</v>
      </c>
      <c r="F11982" s="2" t="s">
        <v>47868</v>
      </c>
      <c r="G11982" s="2" t="str">
        <f>"SR-16700"</f>
        <v>SR-16700</v>
      </c>
      <c r="H11982" s="2" t="s">
        <v>47869</v>
      </c>
      <c r="I11982" s="2" t="s">
        <v>47870</v>
      </c>
      <c r="K11982" s="2" t="s">
        <v>15230</v>
      </c>
      <c r="L11982" s="2" t="s">
        <v>222</v>
      </c>
      <c r="M11982" s="2">
        <v>94588.0</v>
      </c>
      <c r="N11982" s="2" t="s">
        <v>21</v>
      </c>
    </row>
    <row r="11983" ht="15.75" customHeight="1">
      <c r="A11983" s="2">
        <v>2019.0</v>
      </c>
      <c r="B11983" s="2" t="s">
        <v>35608</v>
      </c>
      <c r="C11983" s="2" t="s">
        <v>47871</v>
      </c>
      <c r="D11983" s="2" t="str">
        <f>"865-966-3554"</f>
        <v>865-966-3554</v>
      </c>
      <c r="E11983" s="2" t="s">
        <v>72</v>
      </c>
      <c r="F11983" s="2" t="s">
        <v>35610</v>
      </c>
      <c r="G11983" s="2" t="str">
        <f>"SR-16778"</f>
        <v>SR-16778</v>
      </c>
      <c r="H11983" s="2" t="s">
        <v>47872</v>
      </c>
      <c r="I11983" s="2" t="s">
        <v>35612</v>
      </c>
      <c r="K11983" s="2" t="s">
        <v>6168</v>
      </c>
      <c r="L11983" s="2" t="s">
        <v>279</v>
      </c>
      <c r="M11983" s="2">
        <v>37932.0</v>
      </c>
      <c r="N11983" s="2" t="s">
        <v>21</v>
      </c>
    </row>
    <row r="11984" ht="15.75" customHeight="1">
      <c r="A11984" s="2">
        <v>2019.0</v>
      </c>
      <c r="B11984" s="2" t="s">
        <v>47873</v>
      </c>
      <c r="C11984" s="2" t="s">
        <v>47874</v>
      </c>
      <c r="D11984" s="2" t="str">
        <f>"7133837418"</f>
        <v>7133837418</v>
      </c>
      <c r="E11984" s="2" t="s">
        <v>4865</v>
      </c>
      <c r="F11984" s="2" t="s">
        <v>18929</v>
      </c>
      <c r="G11984" s="2" t="str">
        <f>"SR-16779"</f>
        <v>SR-16779</v>
      </c>
      <c r="H11984" s="2" t="s">
        <v>47875</v>
      </c>
      <c r="I11984" s="2" t="s">
        <v>47876</v>
      </c>
      <c r="K11984" s="2" t="s">
        <v>3524</v>
      </c>
      <c r="L11984" s="2" t="s">
        <v>172</v>
      </c>
      <c r="M11984" s="2">
        <v>77546.0</v>
      </c>
      <c r="N11984" s="2" t="s">
        <v>21</v>
      </c>
    </row>
    <row r="11985" ht="15.75" customHeight="1">
      <c r="A11985" s="2">
        <v>2019.0</v>
      </c>
      <c r="B11985" s="2" t="s">
        <v>47877</v>
      </c>
      <c r="C11985" s="2" t="s">
        <v>47878</v>
      </c>
      <c r="D11985" s="2" t="str">
        <f>"740-591-6547"</f>
        <v>740-591-6547</v>
      </c>
      <c r="E11985" s="2" t="s">
        <v>47879</v>
      </c>
      <c r="F11985" s="2" t="s">
        <v>36257</v>
      </c>
      <c r="G11985" s="2" t="str">
        <f>"SR-16770"</f>
        <v>SR-16770</v>
      </c>
      <c r="H11985" s="2" t="s">
        <v>47880</v>
      </c>
      <c r="I11985" s="2" t="s">
        <v>36259</v>
      </c>
      <c r="K11985" s="2" t="s">
        <v>5108</v>
      </c>
      <c r="L11985" s="2" t="s">
        <v>344</v>
      </c>
      <c r="M11985" s="2">
        <v>45701.0</v>
      </c>
      <c r="N11985" s="2" t="s">
        <v>21</v>
      </c>
    </row>
    <row r="11986" ht="15.75" customHeight="1">
      <c r="A11986" s="2">
        <v>2019.0</v>
      </c>
      <c r="B11986" s="2" t="s">
        <v>43162</v>
      </c>
      <c r="C11986" s="2" t="s">
        <v>43163</v>
      </c>
      <c r="D11986" s="2" t="str">
        <f>"541-405-6720"</f>
        <v>541-405-6720</v>
      </c>
      <c r="E11986" s="2" t="s">
        <v>1208</v>
      </c>
      <c r="F11986" s="2" t="s">
        <v>5914</v>
      </c>
      <c r="G11986" s="2" t="str">
        <f>"SR-14824"</f>
        <v>SR-14824</v>
      </c>
      <c r="H11986" s="2" t="s">
        <v>43164</v>
      </c>
      <c r="I11986" s="2" t="s">
        <v>43165</v>
      </c>
      <c r="K11986" s="2" t="s">
        <v>43166</v>
      </c>
      <c r="L11986" s="2" t="s">
        <v>2389</v>
      </c>
      <c r="M11986" s="2">
        <v>97377.0</v>
      </c>
      <c r="N11986" s="2" t="s">
        <v>21</v>
      </c>
    </row>
    <row r="11987" ht="15.75" customHeight="1">
      <c r="A11987" s="2">
        <v>2019.0</v>
      </c>
      <c r="B11987" s="2" t="s">
        <v>47881</v>
      </c>
      <c r="C11987" s="2" t="s">
        <v>47881</v>
      </c>
      <c r="D11987" s="2" t="str">
        <f>"3177090231"</f>
        <v>3177090231</v>
      </c>
      <c r="E11987" s="2" t="s">
        <v>2031</v>
      </c>
      <c r="F11987" s="2" t="s">
        <v>4776</v>
      </c>
      <c r="G11987" s="2" t="str">
        <f>"SR-16780"</f>
        <v>SR-16780</v>
      </c>
      <c r="H11987" s="2" t="s">
        <v>47882</v>
      </c>
      <c r="I11987" s="2" t="s">
        <v>47883</v>
      </c>
      <c r="K11987" s="2" t="s">
        <v>389</v>
      </c>
      <c r="L11987" s="2" t="s">
        <v>149</v>
      </c>
      <c r="M11987" s="2">
        <v>46112.0</v>
      </c>
      <c r="N11987" s="2" t="s">
        <v>21</v>
      </c>
    </row>
    <row r="11988" ht="15.75" customHeight="1">
      <c r="A11988" s="2">
        <v>2019.0</v>
      </c>
      <c r="B11988" s="2" t="s">
        <v>47884</v>
      </c>
      <c r="D11988" s="2" t="str">
        <f>"970-361-2569"</f>
        <v>970-361-2569</v>
      </c>
      <c r="E11988" s="2" t="s">
        <v>2941</v>
      </c>
      <c r="F11988" s="2" t="s">
        <v>89</v>
      </c>
      <c r="G11988" s="2" t="str">
        <f>"SR-14766"</f>
        <v>SR-14766</v>
      </c>
      <c r="H11988" s="2" t="s">
        <v>47885</v>
      </c>
      <c r="I11988" s="2" t="s">
        <v>47886</v>
      </c>
      <c r="K11988" s="2" t="s">
        <v>32284</v>
      </c>
      <c r="L11988" s="2" t="s">
        <v>157</v>
      </c>
      <c r="M11988" s="2">
        <v>81413.0</v>
      </c>
      <c r="N11988" s="2" t="s">
        <v>21</v>
      </c>
    </row>
    <row r="11989" ht="15.75" customHeight="1">
      <c r="A11989" s="2">
        <v>2019.0</v>
      </c>
      <c r="B11989" s="2" t="s">
        <v>47770</v>
      </c>
      <c r="C11989" s="2" t="s">
        <v>47887</v>
      </c>
      <c r="D11989" s="2" t="str">
        <f>"5039249241"</f>
        <v>5039249241</v>
      </c>
      <c r="E11989" s="2" t="s">
        <v>580</v>
      </c>
      <c r="F11989" s="2" t="s">
        <v>47888</v>
      </c>
      <c r="G11989" s="2" t="str">
        <f>"SR-16781"</f>
        <v>SR-16781</v>
      </c>
      <c r="H11989" s="2" t="s">
        <v>47889</v>
      </c>
      <c r="I11989" s="2" t="s">
        <v>47890</v>
      </c>
      <c r="K11989" s="2" t="s">
        <v>12356</v>
      </c>
      <c r="L11989" s="2" t="s">
        <v>2389</v>
      </c>
      <c r="M11989" s="2">
        <v>97078.0</v>
      </c>
      <c r="N11989" s="2" t="s">
        <v>21</v>
      </c>
    </row>
    <row r="11990" ht="15.75" customHeight="1">
      <c r="A11990" s="2">
        <v>2019.0</v>
      </c>
      <c r="B11990" s="2" t="s">
        <v>47891</v>
      </c>
      <c r="C11990" s="2" t="s">
        <v>47892</v>
      </c>
      <c r="D11990" s="2" t="str">
        <f>"972-890-7036"</f>
        <v>972-890-7036</v>
      </c>
      <c r="E11990" s="2" t="s">
        <v>160</v>
      </c>
      <c r="F11990" s="2" t="s">
        <v>47893</v>
      </c>
      <c r="G11990" s="2" t="str">
        <f>"SR-16783"</f>
        <v>SR-16783</v>
      </c>
      <c r="H11990" s="2" t="s">
        <v>47894</v>
      </c>
      <c r="I11990" s="2" t="s">
        <v>47895</v>
      </c>
      <c r="K11990" s="2" t="s">
        <v>615</v>
      </c>
      <c r="L11990" s="2" t="s">
        <v>172</v>
      </c>
      <c r="M11990" s="2">
        <v>75071.0</v>
      </c>
      <c r="N11990" s="2" t="s">
        <v>21</v>
      </c>
    </row>
    <row r="11991" ht="15.75" customHeight="1">
      <c r="A11991" s="2">
        <v>2019.0</v>
      </c>
      <c r="B11991" s="2" t="s">
        <v>47896</v>
      </c>
      <c r="C11991" s="2" t="s">
        <v>47896</v>
      </c>
      <c r="D11991" s="2" t="str">
        <f>"6202179599"</f>
        <v>6202179599</v>
      </c>
      <c r="E11991" s="2" t="s">
        <v>81</v>
      </c>
      <c r="F11991" s="2" t="s">
        <v>10090</v>
      </c>
      <c r="G11991" s="2" t="str">
        <f>"SR-16522"</f>
        <v>SR-16522</v>
      </c>
      <c r="H11991" s="2" t="s">
        <v>47897</v>
      </c>
      <c r="I11991" s="2" t="s">
        <v>47898</v>
      </c>
      <c r="K11991" s="2" t="s">
        <v>30159</v>
      </c>
      <c r="L11991" s="2" t="s">
        <v>272</v>
      </c>
      <c r="M11991" s="2">
        <v>67062.0</v>
      </c>
      <c r="N11991" s="2" t="s">
        <v>21</v>
      </c>
    </row>
    <row r="11992" ht="15.75" customHeight="1">
      <c r="A11992" s="2">
        <v>2019.0</v>
      </c>
      <c r="B11992" s="2" t="s">
        <v>39176</v>
      </c>
      <c r="C11992" s="2" t="s">
        <v>47899</v>
      </c>
      <c r="D11992" s="2" t="str">
        <f>"506-855-6339"</f>
        <v>506-855-6339</v>
      </c>
      <c r="E11992" s="2" t="s">
        <v>5456</v>
      </c>
      <c r="F11992" s="2" t="s">
        <v>39178</v>
      </c>
      <c r="G11992" s="2" t="str">
        <f>"SR-16753"</f>
        <v>SR-16753</v>
      </c>
      <c r="H11992" s="2" t="s">
        <v>47900</v>
      </c>
      <c r="I11992" s="2" t="s">
        <v>47901</v>
      </c>
      <c r="K11992" s="2" t="s">
        <v>39181</v>
      </c>
      <c r="L11992" s="2" t="s">
        <v>47902</v>
      </c>
      <c r="M11992" s="2" t="s">
        <v>47903</v>
      </c>
      <c r="N11992" s="2" t="s">
        <v>1602</v>
      </c>
    </row>
    <row r="11993" ht="15.75" customHeight="1">
      <c r="A11993" s="2">
        <v>2019.0</v>
      </c>
      <c r="B11993" s="2" t="s">
        <v>47904</v>
      </c>
      <c r="C11993" s="2" t="s">
        <v>47905</v>
      </c>
      <c r="D11993" s="2" t="str">
        <f>"(903) 787-2962"</f>
        <v>(903) 787-2962</v>
      </c>
      <c r="E11993" s="2" t="s">
        <v>453</v>
      </c>
      <c r="F11993" s="2" t="s">
        <v>9139</v>
      </c>
      <c r="G11993" s="2" t="str">
        <f>"SR-16790"</f>
        <v>SR-16790</v>
      </c>
      <c r="H11993" s="2" t="s">
        <v>47906</v>
      </c>
      <c r="I11993" s="2" t="s">
        <v>47907</v>
      </c>
      <c r="K11993" s="2" t="s">
        <v>465</v>
      </c>
      <c r="L11993" s="2" t="s">
        <v>172</v>
      </c>
      <c r="M11993" s="2">
        <v>75713.0</v>
      </c>
      <c r="N11993" s="2" t="s">
        <v>21</v>
      </c>
    </row>
    <row r="11994" ht="15.75" customHeight="1">
      <c r="A11994" s="2">
        <v>2019.0</v>
      </c>
      <c r="B11994" s="2" t="s">
        <v>47908</v>
      </c>
      <c r="C11994" s="2" t="s">
        <v>47909</v>
      </c>
      <c r="D11994" s="2" t="str">
        <f>"5853923132"</f>
        <v>5853923132</v>
      </c>
      <c r="E11994" s="2" t="s">
        <v>137</v>
      </c>
      <c r="F11994" s="2" t="s">
        <v>57</v>
      </c>
      <c r="G11994" s="2" t="str">
        <f>"SR-16791"</f>
        <v>SR-16791</v>
      </c>
      <c r="H11994" s="2" t="s">
        <v>47910</v>
      </c>
      <c r="I11994" s="2" t="s">
        <v>47911</v>
      </c>
      <c r="K11994" s="2" t="s">
        <v>30053</v>
      </c>
      <c r="L11994" s="2" t="s">
        <v>142</v>
      </c>
      <c r="M11994" s="2">
        <v>14468.0</v>
      </c>
      <c r="N11994" s="2" t="s">
        <v>21</v>
      </c>
    </row>
    <row r="11995" ht="15.75" customHeight="1">
      <c r="A11995" s="2">
        <v>2019.0</v>
      </c>
      <c r="B11995" s="2" t="s">
        <v>47912</v>
      </c>
      <c r="C11995" s="2" t="s">
        <v>47913</v>
      </c>
      <c r="D11995" s="2" t="str">
        <f>"7193774186"</f>
        <v>7193774186</v>
      </c>
      <c r="E11995" s="2" t="s">
        <v>47914</v>
      </c>
      <c r="F11995" s="2" t="s">
        <v>5305</v>
      </c>
      <c r="G11995" s="2" t="str">
        <f>"SR-16792"</f>
        <v>SR-16792</v>
      </c>
      <c r="H11995" s="2" t="s">
        <v>47915</v>
      </c>
      <c r="I11995" s="2" t="s">
        <v>47916</v>
      </c>
      <c r="K11995" s="2" t="s">
        <v>894</v>
      </c>
      <c r="L11995" s="2" t="s">
        <v>157</v>
      </c>
      <c r="M11995" s="2">
        <v>80863.0</v>
      </c>
      <c r="N11995" s="2" t="s">
        <v>21</v>
      </c>
    </row>
    <row r="11996" ht="15.75" customHeight="1">
      <c r="A11996" s="2">
        <v>2019.0</v>
      </c>
      <c r="B11996" s="2" t="s">
        <v>47917</v>
      </c>
      <c r="C11996" s="2" t="s">
        <v>47917</v>
      </c>
      <c r="D11996" s="2" t="str">
        <f>"(317) 755-7478"</f>
        <v>(317) 755-7478</v>
      </c>
      <c r="E11996" s="2" t="s">
        <v>217</v>
      </c>
      <c r="F11996" s="2" t="s">
        <v>4610</v>
      </c>
      <c r="G11996" s="2" t="str">
        <f>"SR-16788"</f>
        <v>SR-16788</v>
      </c>
      <c r="H11996" s="2" t="s">
        <v>47918</v>
      </c>
      <c r="I11996" s="2" t="s">
        <v>47919</v>
      </c>
      <c r="K11996" s="2" t="s">
        <v>47920</v>
      </c>
      <c r="L11996" s="2" t="s">
        <v>149</v>
      </c>
      <c r="M11996" s="2">
        <v>46074.0</v>
      </c>
      <c r="N11996" s="2" t="s">
        <v>21</v>
      </c>
    </row>
    <row r="11997" ht="15.75" customHeight="1">
      <c r="A11997" s="2">
        <v>2019.0</v>
      </c>
      <c r="B11997" s="2" t="s">
        <v>47921</v>
      </c>
      <c r="C11997" s="2" t="s">
        <v>47921</v>
      </c>
      <c r="D11997" s="2" t="str">
        <f>"405 402 6649"</f>
        <v>405 402 6649</v>
      </c>
      <c r="E11997" s="2" t="s">
        <v>2572</v>
      </c>
      <c r="F11997" s="2" t="s">
        <v>47922</v>
      </c>
      <c r="G11997" s="2" t="str">
        <f>"SR-15320"</f>
        <v>SR-15320</v>
      </c>
      <c r="H11997" s="2" t="s">
        <v>47923</v>
      </c>
      <c r="I11997" s="2" t="s">
        <v>47924</v>
      </c>
      <c r="K11997" s="2" t="s">
        <v>1546</v>
      </c>
      <c r="L11997" s="2" t="s">
        <v>840</v>
      </c>
      <c r="M11997" s="2">
        <v>73034.0</v>
      </c>
      <c r="N11997" s="2" t="s">
        <v>21</v>
      </c>
    </row>
    <row r="11998" ht="15.75" customHeight="1">
      <c r="A11998" s="2">
        <v>2019.0</v>
      </c>
      <c r="B11998" s="2" t="s">
        <v>19071</v>
      </c>
      <c r="C11998" s="2" t="s">
        <v>47925</v>
      </c>
      <c r="D11998" s="2" t="str">
        <f>"616-678-1664"</f>
        <v>616-678-1664</v>
      </c>
      <c r="E11998" s="2" t="s">
        <v>2147</v>
      </c>
      <c r="F11998" s="2" t="s">
        <v>1451</v>
      </c>
      <c r="G11998" s="2" t="str">
        <f>"SR-16468"</f>
        <v>SR-16468</v>
      </c>
      <c r="H11998" s="2" t="s">
        <v>47926</v>
      </c>
      <c r="I11998" s="2" t="s">
        <v>19074</v>
      </c>
      <c r="K11998" s="2" t="s">
        <v>3849</v>
      </c>
      <c r="L11998" s="2" t="s">
        <v>29</v>
      </c>
      <c r="M11998" s="2">
        <v>49345.0</v>
      </c>
      <c r="N11998" s="2" t="s">
        <v>21</v>
      </c>
    </row>
    <row r="11999" ht="15.75" customHeight="1">
      <c r="A11999" s="2">
        <v>2019.0</v>
      </c>
      <c r="B11999" s="2" t="s">
        <v>47927</v>
      </c>
      <c r="D11999" s="2" t="str">
        <f>""</f>
        <v/>
      </c>
      <c r="E11999" s="2" t="s">
        <v>261</v>
      </c>
      <c r="F11999" s="2" t="s">
        <v>47928</v>
      </c>
      <c r="G11999" s="2" t="str">
        <f>"SR-16647"</f>
        <v>SR-16647</v>
      </c>
      <c r="H11999" s="2" t="s">
        <v>47929</v>
      </c>
      <c r="N11999" s="2" t="s">
        <v>21</v>
      </c>
    </row>
    <row r="12000" ht="15.75" customHeight="1">
      <c r="A12000" s="2">
        <v>2019.0</v>
      </c>
      <c r="B12000" s="2" t="s">
        <v>47930</v>
      </c>
      <c r="C12000" s="2" t="s">
        <v>47931</v>
      </c>
      <c r="D12000" s="2" t="str">
        <f>"8322813898383"</f>
        <v>8322813898383</v>
      </c>
      <c r="E12000" s="2" t="s">
        <v>5760</v>
      </c>
      <c r="F12000" s="2" t="s">
        <v>22618</v>
      </c>
      <c r="G12000" s="2" t="str">
        <f>"SR-16794"</f>
        <v>SR-16794</v>
      </c>
      <c r="H12000" s="2" t="s">
        <v>47932</v>
      </c>
      <c r="I12000" s="2" t="s">
        <v>47933</v>
      </c>
      <c r="K12000" s="2" t="s">
        <v>22621</v>
      </c>
      <c r="L12000" s="2" t="s">
        <v>172</v>
      </c>
      <c r="M12000" s="2">
        <v>77583.0</v>
      </c>
      <c r="N12000" s="2" t="s">
        <v>21</v>
      </c>
    </row>
    <row r="12001" ht="15.75" customHeight="1">
      <c r="A12001" s="2">
        <v>2019.0</v>
      </c>
      <c r="B12001" s="2" t="s">
        <v>47934</v>
      </c>
      <c r="C12001" s="2" t="s">
        <v>47935</v>
      </c>
      <c r="D12001" s="2" t="str">
        <f>"8054500844"</f>
        <v>8054500844</v>
      </c>
      <c r="E12001" s="2" t="s">
        <v>3305</v>
      </c>
      <c r="F12001" s="2" t="s">
        <v>2648</v>
      </c>
      <c r="G12001" s="2" t="str">
        <f>"SR-16796"</f>
        <v>SR-16796</v>
      </c>
      <c r="H12001" s="2" t="s">
        <v>47936</v>
      </c>
      <c r="I12001" s="2" t="s">
        <v>47937</v>
      </c>
      <c r="K12001" s="2" t="s">
        <v>16679</v>
      </c>
      <c r="L12001" s="2" t="s">
        <v>222</v>
      </c>
      <c r="M12001" s="2">
        <v>93013.0</v>
      </c>
      <c r="N12001" s="2" t="s">
        <v>21</v>
      </c>
    </row>
    <row r="12002" ht="15.75" customHeight="1">
      <c r="A12002" s="2">
        <v>2019.0</v>
      </c>
      <c r="B12002" s="2" t="s">
        <v>36979</v>
      </c>
      <c r="C12002" s="2" t="s">
        <v>47938</v>
      </c>
      <c r="D12002" s="2" t="str">
        <f>"(704)233-9399"</f>
        <v>(704)233-9399</v>
      </c>
      <c r="E12002" s="2" t="s">
        <v>15</v>
      </c>
      <c r="F12002" s="2" t="s">
        <v>36981</v>
      </c>
      <c r="G12002" s="2" t="str">
        <f>"SR-15972"</f>
        <v>SR-15972</v>
      </c>
      <c r="H12002" s="2" t="s">
        <v>47939</v>
      </c>
      <c r="I12002" s="2" t="s">
        <v>36983</v>
      </c>
      <c r="K12002" s="2" t="s">
        <v>36984</v>
      </c>
      <c r="L12002" s="2" t="s">
        <v>20</v>
      </c>
      <c r="M12002" s="2">
        <v>28174.0</v>
      </c>
      <c r="N12002" s="2" t="s">
        <v>21</v>
      </c>
    </row>
    <row r="12003" ht="15.75" customHeight="1">
      <c r="A12003" s="2">
        <v>2019.0</v>
      </c>
      <c r="B12003" s="2" t="s">
        <v>47940</v>
      </c>
      <c r="C12003" s="2" t="s">
        <v>47940</v>
      </c>
      <c r="D12003" s="2" t="str">
        <f>"(406) 600-6355"</f>
        <v>(406) 600-6355</v>
      </c>
      <c r="E12003" s="2" t="s">
        <v>1015</v>
      </c>
      <c r="F12003" s="2" t="s">
        <v>40334</v>
      </c>
      <c r="G12003" s="2" t="str">
        <f>"SR-16767"</f>
        <v>SR-16767</v>
      </c>
      <c r="H12003" s="2" t="s">
        <v>47941</v>
      </c>
      <c r="I12003" s="2" t="s">
        <v>40336</v>
      </c>
      <c r="K12003" s="2" t="s">
        <v>6849</v>
      </c>
      <c r="L12003" s="2" t="s">
        <v>2696</v>
      </c>
      <c r="M12003" s="2">
        <v>59714.0</v>
      </c>
      <c r="N12003" s="2" t="s">
        <v>21</v>
      </c>
    </row>
    <row r="12004" ht="15.75" customHeight="1">
      <c r="A12004" s="2">
        <v>2019.0</v>
      </c>
      <c r="B12004" s="2" t="s">
        <v>40899</v>
      </c>
      <c r="C12004" s="2" t="s">
        <v>40899</v>
      </c>
      <c r="D12004" s="2" t="str">
        <f t="shared" ref="D12004:D12005" si="202">"(281)797-3141"</f>
        <v>(281)797-3141</v>
      </c>
      <c r="E12004" s="2" t="s">
        <v>100</v>
      </c>
      <c r="F12004" s="2" t="s">
        <v>40901</v>
      </c>
      <c r="G12004" s="2" t="str">
        <f>"SR-15358"</f>
        <v>SR-15358</v>
      </c>
      <c r="H12004" s="2" t="s">
        <v>47942</v>
      </c>
      <c r="I12004" s="2" t="s">
        <v>40903</v>
      </c>
      <c r="K12004" s="2" t="s">
        <v>3524</v>
      </c>
      <c r="L12004" s="2" t="s">
        <v>172</v>
      </c>
      <c r="M12004" s="2">
        <v>77549.0</v>
      </c>
      <c r="N12004" s="2" t="s">
        <v>21</v>
      </c>
    </row>
    <row r="12005" ht="15.75" customHeight="1">
      <c r="A12005" s="2">
        <v>2019.0</v>
      </c>
      <c r="B12005" s="2" t="s">
        <v>40899</v>
      </c>
      <c r="C12005" s="2" t="s">
        <v>40899</v>
      </c>
      <c r="D12005" s="2" t="str">
        <f t="shared" si="202"/>
        <v>(281)797-3141</v>
      </c>
      <c r="E12005" s="2" t="s">
        <v>40900</v>
      </c>
      <c r="F12005" s="2" t="s">
        <v>40901</v>
      </c>
      <c r="G12005" s="2" t="str">
        <f>"SR-13857"</f>
        <v>SR-13857</v>
      </c>
      <c r="H12005" s="2" t="s">
        <v>40902</v>
      </c>
      <c r="I12005" s="2" t="s">
        <v>40903</v>
      </c>
      <c r="K12005" s="2" t="s">
        <v>3524</v>
      </c>
      <c r="L12005" s="2" t="s">
        <v>172</v>
      </c>
      <c r="M12005" s="2">
        <v>77549.0</v>
      </c>
      <c r="N12005" s="2" t="s">
        <v>21</v>
      </c>
    </row>
    <row r="12006" ht="15.75" customHeight="1">
      <c r="A12006" s="2">
        <v>2019.0</v>
      </c>
      <c r="B12006" s="2" t="s">
        <v>47943</v>
      </c>
      <c r="C12006" s="2" t="s">
        <v>47944</v>
      </c>
      <c r="D12006" s="2" t="str">
        <f t="shared" ref="D12006:D12007" si="203">"4178897522"</f>
        <v>4178897522</v>
      </c>
      <c r="E12006" s="2" t="s">
        <v>2930</v>
      </c>
      <c r="F12006" s="2" t="s">
        <v>47945</v>
      </c>
      <c r="G12006" s="2" t="str">
        <f>"SR-16799"</f>
        <v>SR-16799</v>
      </c>
      <c r="H12006" s="2" t="s">
        <v>47946</v>
      </c>
      <c r="I12006" s="2" t="s">
        <v>47947</v>
      </c>
      <c r="K12006" s="2" t="s">
        <v>3239</v>
      </c>
      <c r="L12006" s="2" t="s">
        <v>214</v>
      </c>
      <c r="M12006" s="2">
        <v>65810.0</v>
      </c>
      <c r="N12006" s="2" t="s">
        <v>21</v>
      </c>
    </row>
    <row r="12007" ht="15.75" customHeight="1">
      <c r="A12007" s="2">
        <v>2019.0</v>
      </c>
      <c r="B12007" s="2" t="s">
        <v>47943</v>
      </c>
      <c r="C12007" s="2" t="s">
        <v>47948</v>
      </c>
      <c r="D12007" s="2" t="str">
        <f t="shared" si="203"/>
        <v>4178897522</v>
      </c>
      <c r="E12007" s="2" t="s">
        <v>2083</v>
      </c>
      <c r="F12007" s="2" t="s">
        <v>47945</v>
      </c>
      <c r="G12007" s="2" t="str">
        <f>"SR-16800"</f>
        <v>SR-16800</v>
      </c>
      <c r="H12007" s="2" t="s">
        <v>47949</v>
      </c>
      <c r="I12007" s="2" t="s">
        <v>47947</v>
      </c>
      <c r="K12007" s="2" t="s">
        <v>3239</v>
      </c>
      <c r="L12007" s="2" t="s">
        <v>214</v>
      </c>
      <c r="M12007" s="2">
        <v>65810.0</v>
      </c>
      <c r="N12007" s="2" t="s">
        <v>21</v>
      </c>
    </row>
    <row r="12008" ht="15.75" customHeight="1">
      <c r="A12008" s="2">
        <v>2019.0</v>
      </c>
      <c r="B12008" s="2" t="s">
        <v>47950</v>
      </c>
      <c r="C12008" s="2" t="s">
        <v>47951</v>
      </c>
      <c r="D12008" s="2" t="str">
        <f>"(608) 539-2701"</f>
        <v>(608) 539-2701</v>
      </c>
      <c r="E12008" s="2" t="s">
        <v>4300</v>
      </c>
      <c r="F12008" s="2" t="s">
        <v>850</v>
      </c>
      <c r="G12008" s="2" t="str">
        <f>"SR-16801"</f>
        <v>SR-16801</v>
      </c>
      <c r="H12008" s="2" t="s">
        <v>38344</v>
      </c>
      <c r="I12008" s="2" t="s">
        <v>47952</v>
      </c>
      <c r="K12008" s="2" t="s">
        <v>47953</v>
      </c>
      <c r="L12008" s="2" t="s">
        <v>193</v>
      </c>
      <c r="M12008" s="2">
        <v>54630.0</v>
      </c>
      <c r="N12008" s="2" t="s">
        <v>21</v>
      </c>
    </row>
    <row r="12009" ht="15.75" customHeight="1">
      <c r="A12009" s="2">
        <v>2019.0</v>
      </c>
      <c r="B12009" s="2" t="s">
        <v>47954</v>
      </c>
      <c r="C12009" s="2" t="s">
        <v>47955</v>
      </c>
      <c r="D12009" s="2" t="str">
        <f>"740-417-1886"</f>
        <v>740-417-1886</v>
      </c>
      <c r="E12009" s="2" t="s">
        <v>100</v>
      </c>
      <c r="F12009" s="2" t="s">
        <v>47956</v>
      </c>
      <c r="G12009" s="2" t="str">
        <f>"SR-16680"</f>
        <v>SR-16680</v>
      </c>
      <c r="H12009" s="2" t="s">
        <v>47957</v>
      </c>
      <c r="I12009" s="2" t="s">
        <v>47958</v>
      </c>
      <c r="K12009" s="2" t="s">
        <v>10756</v>
      </c>
      <c r="L12009" s="2" t="s">
        <v>344</v>
      </c>
      <c r="M12009" s="2">
        <v>43015.0</v>
      </c>
      <c r="N12009" s="2" t="s">
        <v>21</v>
      </c>
    </row>
    <row r="12010" ht="15.75" customHeight="1">
      <c r="A12010" s="2">
        <v>2019.0</v>
      </c>
      <c r="B12010" s="2" t="s">
        <v>47959</v>
      </c>
      <c r="C12010" s="2" t="s">
        <v>47960</v>
      </c>
      <c r="D12010" s="2" t="str">
        <f>"4059069787"</f>
        <v>4059069787</v>
      </c>
      <c r="E12010" s="2" t="s">
        <v>339</v>
      </c>
      <c r="F12010" s="2" t="s">
        <v>47961</v>
      </c>
      <c r="G12010" s="2" t="str">
        <f>"SR-16807"</f>
        <v>SR-16807</v>
      </c>
      <c r="H12010" s="2" t="s">
        <v>47962</v>
      </c>
      <c r="I12010" s="2" t="s">
        <v>47963</v>
      </c>
      <c r="K12010" s="2" t="s">
        <v>1546</v>
      </c>
      <c r="L12010" s="2" t="s">
        <v>840</v>
      </c>
      <c r="M12010" s="2">
        <v>73034.0</v>
      </c>
      <c r="N12010" s="2" t="s">
        <v>21</v>
      </c>
    </row>
    <row r="12011" ht="15.75" customHeight="1">
      <c r="A12011" s="2">
        <v>2019.0</v>
      </c>
      <c r="B12011" s="2" t="s">
        <v>47964</v>
      </c>
      <c r="C12011" s="2" t="s">
        <v>47965</v>
      </c>
      <c r="D12011" s="2" t="str">
        <f>"18153706338"</f>
        <v>18153706338</v>
      </c>
      <c r="E12011" s="2" t="s">
        <v>32566</v>
      </c>
      <c r="F12011" s="2" t="s">
        <v>9188</v>
      </c>
      <c r="G12011" s="2" t="str">
        <f>"SR-16805"</f>
        <v>SR-16805</v>
      </c>
      <c r="H12011" s="2" t="s">
        <v>47966</v>
      </c>
      <c r="I12011" s="2" t="s">
        <v>47967</v>
      </c>
      <c r="K12011" s="2" t="s">
        <v>47968</v>
      </c>
      <c r="L12011" s="2" t="s">
        <v>105</v>
      </c>
      <c r="M12011" s="2">
        <v>60050.0</v>
      </c>
      <c r="N12011" s="2" t="s">
        <v>21</v>
      </c>
    </row>
    <row r="12012" ht="15.75" customHeight="1">
      <c r="A12012" s="2">
        <v>2019.0</v>
      </c>
      <c r="B12012" s="2" t="s">
        <v>47964</v>
      </c>
      <c r="C12012" s="2" t="s">
        <v>47969</v>
      </c>
      <c r="D12012" s="2" t="str">
        <f>"8155295421"</f>
        <v>8155295421</v>
      </c>
      <c r="E12012" s="2" t="s">
        <v>2401</v>
      </c>
      <c r="F12012" s="2" t="s">
        <v>9188</v>
      </c>
      <c r="G12012" s="2" t="str">
        <f>"SR-16803"</f>
        <v>SR-16803</v>
      </c>
      <c r="H12012" s="2" t="s">
        <v>47970</v>
      </c>
      <c r="I12012" s="2" t="s">
        <v>47971</v>
      </c>
      <c r="K12012" s="2" t="s">
        <v>47968</v>
      </c>
      <c r="L12012" s="2" t="s">
        <v>105</v>
      </c>
      <c r="M12012" s="2">
        <v>60050.0</v>
      </c>
      <c r="N12012" s="2" t="s">
        <v>21</v>
      </c>
    </row>
    <row r="12013" ht="15.75" customHeight="1">
      <c r="A12013" s="2">
        <v>2019.0</v>
      </c>
      <c r="B12013" s="2" t="s">
        <v>47770</v>
      </c>
      <c r="C12013" s="2" t="s">
        <v>47972</v>
      </c>
      <c r="D12013" s="2" t="str">
        <f>"5033123044"</f>
        <v>5033123044</v>
      </c>
      <c r="E12013" s="2" t="s">
        <v>37907</v>
      </c>
      <c r="F12013" s="2" t="s">
        <v>16732</v>
      </c>
      <c r="G12013" s="2" t="str">
        <f>"SR-16811"</f>
        <v>SR-16811</v>
      </c>
      <c r="H12013" s="2" t="s">
        <v>47973</v>
      </c>
      <c r="I12013" s="2" t="s">
        <v>47974</v>
      </c>
      <c r="K12013" s="2" t="s">
        <v>12356</v>
      </c>
      <c r="L12013" s="2" t="s">
        <v>2389</v>
      </c>
      <c r="M12013" s="2">
        <v>97008.0</v>
      </c>
      <c r="N12013" s="2" t="s">
        <v>21</v>
      </c>
    </row>
    <row r="12014" ht="15.75" customHeight="1">
      <c r="A12014" s="2">
        <v>2019.0</v>
      </c>
      <c r="B12014" s="2" t="s">
        <v>47975</v>
      </c>
      <c r="C12014" s="2" t="s">
        <v>47976</v>
      </c>
      <c r="D12014" s="2" t="str">
        <f>"731-499-2191"</f>
        <v>731-499-2191</v>
      </c>
      <c r="E12014" s="2" t="s">
        <v>160</v>
      </c>
      <c r="F12014" s="2" t="s">
        <v>47977</v>
      </c>
      <c r="G12014" s="2" t="str">
        <f>"SR-16812"</f>
        <v>SR-16812</v>
      </c>
      <c r="H12014" s="2" t="s">
        <v>47978</v>
      </c>
      <c r="I12014" s="2" t="s">
        <v>47979</v>
      </c>
      <c r="K12014" s="2" t="s">
        <v>19394</v>
      </c>
      <c r="L12014" s="2" t="s">
        <v>279</v>
      </c>
      <c r="M12014" s="2">
        <v>38355.0</v>
      </c>
      <c r="N12014" s="2" t="s">
        <v>21</v>
      </c>
    </row>
    <row r="12015" ht="15.75" customHeight="1">
      <c r="A12015" s="2">
        <v>2019.0</v>
      </c>
      <c r="B12015" s="2" t="s">
        <v>47980</v>
      </c>
      <c r="C12015" s="2" t="s">
        <v>47981</v>
      </c>
      <c r="D12015" s="2" t="str">
        <f>"5152970915"</f>
        <v>5152970915</v>
      </c>
      <c r="E12015" s="2" t="s">
        <v>1032</v>
      </c>
      <c r="F12015" s="2" t="s">
        <v>47138</v>
      </c>
      <c r="G12015" s="2" t="str">
        <f>"SR-16774"</f>
        <v>SR-16774</v>
      </c>
      <c r="H12015" s="2" t="s">
        <v>47982</v>
      </c>
      <c r="I12015" s="2" t="s">
        <v>47983</v>
      </c>
      <c r="K12015" s="2" t="s">
        <v>17263</v>
      </c>
      <c r="L12015" s="2" t="s">
        <v>560</v>
      </c>
      <c r="M12015" s="2">
        <v>50130.0</v>
      </c>
      <c r="N12015" s="2" t="s">
        <v>21</v>
      </c>
    </row>
    <row r="12016" ht="15.75" customHeight="1">
      <c r="A12016" s="2">
        <v>2019.0</v>
      </c>
      <c r="B12016" s="2" t="s">
        <v>40534</v>
      </c>
      <c r="C12016" s="2" t="s">
        <v>47984</v>
      </c>
      <c r="D12016" s="2" t="str">
        <f>"5022320277"</f>
        <v>5022320277</v>
      </c>
      <c r="E12016" s="2" t="s">
        <v>4968</v>
      </c>
      <c r="F12016" s="2" t="s">
        <v>40536</v>
      </c>
      <c r="G12016" s="2" t="str">
        <f>"SR-16798"</f>
        <v>SR-16798</v>
      </c>
      <c r="H12016" s="2" t="s">
        <v>47985</v>
      </c>
      <c r="I12016" s="2" t="s">
        <v>40538</v>
      </c>
      <c r="K12016" s="2" t="s">
        <v>40539</v>
      </c>
      <c r="L12016" s="2" t="s">
        <v>149</v>
      </c>
      <c r="M12016" s="2">
        <v>47429.0</v>
      </c>
      <c r="N12016" s="2" t="s">
        <v>21</v>
      </c>
    </row>
    <row r="12017" ht="15.75" customHeight="1">
      <c r="A12017" s="2">
        <v>2019.0</v>
      </c>
      <c r="B12017" s="2" t="s">
        <v>47986</v>
      </c>
      <c r="C12017" s="2" t="s">
        <v>47987</v>
      </c>
      <c r="D12017" s="2" t="str">
        <f>"5126991225"</f>
        <v>5126991225</v>
      </c>
      <c r="E12017" s="2" t="s">
        <v>17908</v>
      </c>
      <c r="F12017" s="2" t="s">
        <v>47988</v>
      </c>
      <c r="G12017" s="2" t="str">
        <f>"SR-16818"</f>
        <v>SR-16818</v>
      </c>
      <c r="H12017" s="2" t="s">
        <v>47989</v>
      </c>
      <c r="I12017" s="2" t="s">
        <v>47990</v>
      </c>
      <c r="K12017" s="2" t="s">
        <v>1141</v>
      </c>
      <c r="L12017" s="2" t="s">
        <v>172</v>
      </c>
      <c r="M12017" s="2">
        <v>78737.0</v>
      </c>
      <c r="N12017" s="2" t="s">
        <v>21</v>
      </c>
    </row>
    <row r="12018" ht="15.75" customHeight="1">
      <c r="A12018" s="2">
        <v>2019.0</v>
      </c>
      <c r="B12018" s="2" t="s">
        <v>47991</v>
      </c>
      <c r="C12018" s="2" t="s">
        <v>47992</v>
      </c>
      <c r="D12018" s="2" t="str">
        <f>"830-832-7524"</f>
        <v>830-832-7524</v>
      </c>
      <c r="E12018" s="2" t="s">
        <v>10825</v>
      </c>
      <c r="F12018" s="2" t="s">
        <v>2174</v>
      </c>
      <c r="G12018" s="2" t="str">
        <f>"SR-16819"</f>
        <v>SR-16819</v>
      </c>
      <c r="H12018" s="2" t="s">
        <v>47993</v>
      </c>
      <c r="I12018" s="2" t="s">
        <v>47994</v>
      </c>
      <c r="K12018" s="2" t="s">
        <v>14104</v>
      </c>
      <c r="L12018" s="2" t="s">
        <v>172</v>
      </c>
      <c r="M12018" s="2">
        <v>78130.0</v>
      </c>
      <c r="N12018" s="2" t="s">
        <v>21</v>
      </c>
    </row>
    <row r="12019" ht="15.75" customHeight="1">
      <c r="A12019" s="2">
        <v>2019.0</v>
      </c>
      <c r="B12019" s="2" t="s">
        <v>47995</v>
      </c>
      <c r="C12019" s="2" t="s">
        <v>47995</v>
      </c>
      <c r="D12019" s="2" t="str">
        <f>"9014386871"</f>
        <v>9014386871</v>
      </c>
      <c r="E12019" s="2" t="s">
        <v>47996</v>
      </c>
      <c r="F12019" s="2" t="s">
        <v>47997</v>
      </c>
      <c r="G12019" s="2" t="str">
        <f>"SR-16777"</f>
        <v>SR-16777</v>
      </c>
      <c r="H12019" s="2" t="s">
        <v>47998</v>
      </c>
      <c r="I12019" s="2" t="s">
        <v>47999</v>
      </c>
      <c r="K12019" s="2" t="s">
        <v>22064</v>
      </c>
      <c r="L12019" s="2" t="s">
        <v>279</v>
      </c>
      <c r="M12019" s="2">
        <v>38016.0</v>
      </c>
      <c r="N12019" s="2" t="s">
        <v>21</v>
      </c>
    </row>
    <row r="12020" ht="15.75" customHeight="1">
      <c r="A12020" s="2">
        <v>2019.0</v>
      </c>
      <c r="B12020" s="2" t="s">
        <v>48000</v>
      </c>
      <c r="C12020" s="2" t="s">
        <v>48001</v>
      </c>
      <c r="D12020" s="2" t="str">
        <f>"970-402-6113"</f>
        <v>970-402-6113</v>
      </c>
      <c r="E12020" s="2" t="s">
        <v>48002</v>
      </c>
      <c r="F12020" s="2" t="s">
        <v>10963</v>
      </c>
      <c r="G12020" s="2" t="str">
        <f>"SR-16820"</f>
        <v>SR-16820</v>
      </c>
      <c r="H12020" s="2" t="s">
        <v>48003</v>
      </c>
      <c r="I12020" s="2" t="s">
        <v>48004</v>
      </c>
      <c r="K12020" s="2" t="s">
        <v>656</v>
      </c>
      <c r="L12020" s="2" t="s">
        <v>157</v>
      </c>
      <c r="M12020" s="2">
        <v>80525.0</v>
      </c>
      <c r="N12020" s="2" t="s">
        <v>21</v>
      </c>
    </row>
    <row r="12021" ht="15.75" customHeight="1">
      <c r="A12021" s="2">
        <v>2019.0</v>
      </c>
      <c r="B12021" s="2" t="s">
        <v>48005</v>
      </c>
      <c r="C12021" s="2" t="s">
        <v>48005</v>
      </c>
      <c r="D12021" s="2" t="str">
        <f>"9705819811"</f>
        <v>9705819811</v>
      </c>
      <c r="E12021" s="2" t="s">
        <v>2361</v>
      </c>
      <c r="F12021" s="2" t="s">
        <v>33302</v>
      </c>
      <c r="G12021" s="2" t="str">
        <f>"SR-16546"</f>
        <v>SR-16546</v>
      </c>
      <c r="H12021" s="2" t="s">
        <v>33306</v>
      </c>
      <c r="I12021" s="2" t="s">
        <v>48006</v>
      </c>
      <c r="K12021" s="2" t="s">
        <v>1048</v>
      </c>
      <c r="L12021" s="2" t="s">
        <v>157</v>
      </c>
      <c r="M12021" s="2">
        <v>80537.0</v>
      </c>
      <c r="N12021" s="2" t="s">
        <v>21</v>
      </c>
    </row>
    <row r="12022" ht="15.75" customHeight="1">
      <c r="A12022" s="2">
        <v>2019.0</v>
      </c>
      <c r="B12022" s="2" t="s">
        <v>48007</v>
      </c>
      <c r="C12022" s="2" t="s">
        <v>48008</v>
      </c>
      <c r="D12022" s="2" t="str">
        <f>"303-827-8637"</f>
        <v>303-827-8637</v>
      </c>
      <c r="E12022" s="2" t="s">
        <v>373</v>
      </c>
      <c r="F12022" s="2" t="s">
        <v>32351</v>
      </c>
      <c r="G12022" s="2" t="str">
        <f>"SR-16821"</f>
        <v>SR-16821</v>
      </c>
      <c r="H12022" s="2" t="s">
        <v>48009</v>
      </c>
      <c r="I12022" s="2" t="s">
        <v>34948</v>
      </c>
      <c r="K12022" s="2" t="s">
        <v>1548</v>
      </c>
      <c r="L12022" s="2" t="s">
        <v>157</v>
      </c>
      <c r="M12022" s="2">
        <v>80107.0</v>
      </c>
      <c r="N12022" s="2" t="s">
        <v>21</v>
      </c>
    </row>
    <row r="12023" ht="15.75" customHeight="1">
      <c r="A12023" s="2">
        <v>2019.0</v>
      </c>
      <c r="B12023" s="2" t="s">
        <v>48010</v>
      </c>
      <c r="C12023" s="2" t="s">
        <v>48010</v>
      </c>
      <c r="D12023" s="2" t="str">
        <f>"360 820 1665"</f>
        <v>360 820 1665</v>
      </c>
      <c r="E12023" s="2" t="s">
        <v>48011</v>
      </c>
      <c r="F12023" s="2" t="s">
        <v>48012</v>
      </c>
      <c r="G12023" s="2" t="str">
        <f>"SR-16501"</f>
        <v>SR-16501</v>
      </c>
      <c r="H12023" s="2" t="s">
        <v>48013</v>
      </c>
      <c r="I12023" s="2" t="s">
        <v>48014</v>
      </c>
      <c r="K12023" s="2" t="s">
        <v>48015</v>
      </c>
      <c r="L12023" s="2" t="s">
        <v>86</v>
      </c>
      <c r="M12023" s="2">
        <v>98532.0</v>
      </c>
      <c r="N12023" s="2" t="s">
        <v>21</v>
      </c>
    </row>
    <row r="12024" ht="15.75" customHeight="1">
      <c r="A12024" s="2">
        <v>2019.0</v>
      </c>
      <c r="B12024" s="2" t="s">
        <v>48016</v>
      </c>
      <c r="C12024" s="2" t="s">
        <v>48017</v>
      </c>
      <c r="D12024" s="2" t="str">
        <f>"2535311793"</f>
        <v>2535311793</v>
      </c>
      <c r="E12024" s="2" t="s">
        <v>1548</v>
      </c>
      <c r="F12024" s="2" t="s">
        <v>984</v>
      </c>
      <c r="G12024" s="2" t="str">
        <f>"SR-16824"</f>
        <v>SR-16824</v>
      </c>
      <c r="H12024" s="2" t="s">
        <v>48018</v>
      </c>
      <c r="I12024" s="2" t="s">
        <v>48019</v>
      </c>
      <c r="K12024" s="2" t="s">
        <v>22513</v>
      </c>
      <c r="L12024" s="2" t="s">
        <v>86</v>
      </c>
      <c r="M12024" s="2">
        <v>98444.0</v>
      </c>
      <c r="N12024" s="2" t="s">
        <v>21</v>
      </c>
    </row>
    <row r="12025" ht="15.75" customHeight="1">
      <c r="A12025" s="2">
        <v>2019.0</v>
      </c>
      <c r="B12025" s="2" t="s">
        <v>48020</v>
      </c>
      <c r="C12025" s="2" t="s">
        <v>48021</v>
      </c>
      <c r="D12025" s="2" t="str">
        <f>"4064513706"</f>
        <v>4064513706</v>
      </c>
      <c r="E12025" s="2" t="s">
        <v>2361</v>
      </c>
      <c r="F12025" s="2" t="s">
        <v>48022</v>
      </c>
      <c r="G12025" s="2" t="str">
        <f>"SR-16826"</f>
        <v>SR-16826</v>
      </c>
      <c r="H12025" s="2" t="s">
        <v>48023</v>
      </c>
      <c r="I12025" s="2" t="s">
        <v>48024</v>
      </c>
      <c r="K12025" s="2" t="s">
        <v>1807</v>
      </c>
      <c r="L12025" s="2" t="s">
        <v>2696</v>
      </c>
      <c r="M12025" s="2">
        <v>59741.0</v>
      </c>
      <c r="N12025" s="2" t="s">
        <v>21</v>
      </c>
    </row>
    <row r="12026" ht="15.75" customHeight="1">
      <c r="A12026" s="2">
        <v>2019.0</v>
      </c>
      <c r="B12026" s="2" t="s">
        <v>48025</v>
      </c>
      <c r="C12026" s="2" t="s">
        <v>48026</v>
      </c>
      <c r="D12026" s="2" t="str">
        <f>"626-554-8419"</f>
        <v>626-554-8419</v>
      </c>
      <c r="E12026" s="2" t="s">
        <v>48027</v>
      </c>
      <c r="F12026" s="2" t="s">
        <v>26752</v>
      </c>
      <c r="G12026" s="2" t="str">
        <f>"SR-16827"</f>
        <v>SR-16827</v>
      </c>
      <c r="H12026" s="2" t="s">
        <v>48028</v>
      </c>
      <c r="I12026" s="2" t="s">
        <v>48029</v>
      </c>
      <c r="K12026" s="2" t="s">
        <v>30321</v>
      </c>
      <c r="L12026" s="2" t="s">
        <v>222</v>
      </c>
      <c r="M12026" s="2">
        <v>90640.0</v>
      </c>
      <c r="N12026" s="2" t="s">
        <v>21</v>
      </c>
    </row>
    <row r="12027" ht="15.75" customHeight="1">
      <c r="A12027" s="2">
        <v>2019.0</v>
      </c>
      <c r="B12027" s="2" t="s">
        <v>48030</v>
      </c>
      <c r="C12027" s="2" t="s">
        <v>48031</v>
      </c>
      <c r="D12027" s="2" t="str">
        <f>"3603981937"</f>
        <v>3603981937</v>
      </c>
      <c r="E12027" s="2" t="s">
        <v>1946</v>
      </c>
      <c r="F12027" s="2" t="s">
        <v>5281</v>
      </c>
      <c r="G12027" s="2" t="str">
        <f>"SR-16825"</f>
        <v>SR-16825</v>
      </c>
      <c r="H12027" s="2" t="s">
        <v>48032</v>
      </c>
      <c r="I12027" s="2" t="s">
        <v>48033</v>
      </c>
      <c r="K12027" s="2" t="s">
        <v>32279</v>
      </c>
      <c r="L12027" s="2" t="s">
        <v>86</v>
      </c>
      <c r="M12027" s="2">
        <v>98226.0</v>
      </c>
      <c r="N12027" s="2" t="s">
        <v>21</v>
      </c>
    </row>
    <row r="12028" ht="15.75" customHeight="1">
      <c r="A12028" s="2">
        <v>2019.0</v>
      </c>
      <c r="B12028" s="2" t="s">
        <v>48034</v>
      </c>
      <c r="C12028" s="2" t="s">
        <v>48035</v>
      </c>
      <c r="D12028" s="2" t="str">
        <f>"480-259-1928"</f>
        <v>480-259-1928</v>
      </c>
      <c r="E12028" s="2" t="s">
        <v>48036</v>
      </c>
      <c r="F12028" s="2" t="s">
        <v>48037</v>
      </c>
      <c r="G12028" s="2" t="str">
        <f>"SR-16254"</f>
        <v>SR-16254</v>
      </c>
      <c r="H12028" s="2" t="s">
        <v>48038</v>
      </c>
      <c r="I12028" s="2" t="s">
        <v>48039</v>
      </c>
      <c r="K12028" s="2" t="s">
        <v>48040</v>
      </c>
      <c r="L12028" s="2" t="s">
        <v>422</v>
      </c>
      <c r="M12028" s="2">
        <v>85120.0</v>
      </c>
      <c r="N12028" s="2" t="s">
        <v>21</v>
      </c>
    </row>
    <row r="12029" ht="15.75" customHeight="1">
      <c r="A12029" s="2">
        <v>2019.0</v>
      </c>
      <c r="B12029" s="2" t="s">
        <v>48041</v>
      </c>
      <c r="C12029" s="2" t="s">
        <v>48041</v>
      </c>
      <c r="D12029" s="2" t="str">
        <f>"434-987-2213"</f>
        <v>434-987-2213</v>
      </c>
      <c r="E12029" s="2" t="s">
        <v>217</v>
      </c>
      <c r="F12029" s="2" t="s">
        <v>35432</v>
      </c>
      <c r="G12029" s="2" t="str">
        <f>"SR-16830"</f>
        <v>SR-16830</v>
      </c>
      <c r="H12029" s="2" t="s">
        <v>35433</v>
      </c>
      <c r="I12029" s="2" t="s">
        <v>35434</v>
      </c>
      <c r="K12029" s="2" t="s">
        <v>11041</v>
      </c>
      <c r="L12029" s="2" t="s">
        <v>165</v>
      </c>
      <c r="M12029" s="2">
        <v>22901.0</v>
      </c>
      <c r="N12029" s="2" t="s">
        <v>21</v>
      </c>
    </row>
    <row r="12030" ht="15.75" customHeight="1">
      <c r="A12030" s="2">
        <v>2019.0</v>
      </c>
      <c r="B12030" s="2" t="s">
        <v>47421</v>
      </c>
      <c r="C12030" s="2" t="s">
        <v>48042</v>
      </c>
      <c r="D12030" s="2" t="str">
        <f>"3107732042"</f>
        <v>3107732042</v>
      </c>
      <c r="E12030" s="2" t="s">
        <v>12401</v>
      </c>
      <c r="F12030" s="2" t="s">
        <v>47423</v>
      </c>
      <c r="G12030" s="2" t="str">
        <f>"SR-16638"</f>
        <v>SR-16638</v>
      </c>
      <c r="H12030" s="2" t="s">
        <v>48043</v>
      </c>
      <c r="I12030" s="2" t="s">
        <v>47425</v>
      </c>
      <c r="K12030" s="2" t="s">
        <v>47426</v>
      </c>
      <c r="L12030" s="2" t="s">
        <v>422</v>
      </c>
      <c r="M12030" s="2">
        <v>85302.0</v>
      </c>
      <c r="N12030" s="2" t="s">
        <v>21</v>
      </c>
    </row>
    <row r="12031" ht="15.75" customHeight="1">
      <c r="A12031" s="2">
        <v>2019.0</v>
      </c>
      <c r="B12031" s="2" t="s">
        <v>48044</v>
      </c>
      <c r="C12031" s="2" t="s">
        <v>48045</v>
      </c>
      <c r="D12031" s="2" t="str">
        <f>"336-414-1138"</f>
        <v>336-414-1138</v>
      </c>
      <c r="E12031" s="2" t="s">
        <v>1918</v>
      </c>
      <c r="F12031" s="2" t="s">
        <v>41773</v>
      </c>
      <c r="G12031" s="2" t="str">
        <f>"SR-16551"</f>
        <v>SR-16551</v>
      </c>
      <c r="H12031" s="2" t="s">
        <v>48046</v>
      </c>
      <c r="I12031" s="2" t="s">
        <v>48047</v>
      </c>
      <c r="K12031" s="2" t="s">
        <v>48048</v>
      </c>
      <c r="L12031" s="2" t="s">
        <v>20</v>
      </c>
      <c r="M12031" s="2">
        <v>27050.0</v>
      </c>
      <c r="N12031" s="2" t="s">
        <v>21</v>
      </c>
    </row>
    <row r="12032" ht="15.75" customHeight="1">
      <c r="A12032" s="2">
        <v>2019.0</v>
      </c>
      <c r="B12032" s="2" t="s">
        <v>48049</v>
      </c>
      <c r="C12032" s="2" t="s">
        <v>48049</v>
      </c>
      <c r="D12032" s="2" t="str">
        <f>"615-830-5530"</f>
        <v>615-830-5530</v>
      </c>
      <c r="E12032" s="2" t="s">
        <v>5991</v>
      </c>
      <c r="F12032" s="2" t="s">
        <v>14352</v>
      </c>
      <c r="G12032" s="2" t="str">
        <f>"SR-16677"</f>
        <v>SR-16677</v>
      </c>
      <c r="H12032" s="2" t="s">
        <v>48050</v>
      </c>
      <c r="I12032" s="2" t="s">
        <v>48051</v>
      </c>
      <c r="K12032" s="2" t="s">
        <v>48052</v>
      </c>
      <c r="L12032" s="2" t="s">
        <v>279</v>
      </c>
      <c r="M12032" s="2">
        <v>37076.0</v>
      </c>
      <c r="N12032" s="2" t="s">
        <v>21</v>
      </c>
    </row>
    <row r="12033" ht="15.75" customHeight="1">
      <c r="A12033" s="2">
        <v>2019.0</v>
      </c>
      <c r="B12033" s="2" t="s">
        <v>48053</v>
      </c>
      <c r="C12033" s="2" t="s">
        <v>48054</v>
      </c>
      <c r="D12033" s="2" t="str">
        <f>"7035877565"</f>
        <v>7035877565</v>
      </c>
      <c r="E12033" s="2" t="s">
        <v>580</v>
      </c>
      <c r="F12033" s="2" t="s">
        <v>48055</v>
      </c>
      <c r="G12033" s="2" t="str">
        <f>"SR-16849"</f>
        <v>SR-16849</v>
      </c>
      <c r="H12033" s="2" t="s">
        <v>48056</v>
      </c>
      <c r="I12033" s="2" t="s">
        <v>48057</v>
      </c>
      <c r="K12033" s="2" t="s">
        <v>43996</v>
      </c>
      <c r="L12033" s="2" t="s">
        <v>165</v>
      </c>
      <c r="M12033" s="2">
        <v>22039.0</v>
      </c>
      <c r="N12033" s="2" t="s">
        <v>21</v>
      </c>
    </row>
    <row r="12034" ht="15.75" customHeight="1">
      <c r="A12034" s="2">
        <v>2019.0</v>
      </c>
      <c r="B12034" s="2" t="s">
        <v>48058</v>
      </c>
      <c r="C12034" s="2" t="s">
        <v>48059</v>
      </c>
      <c r="D12034" s="2" t="str">
        <f>"507 589 8132"</f>
        <v>507 589 8132</v>
      </c>
      <c r="E12034" s="2" t="s">
        <v>48060</v>
      </c>
      <c r="F12034" s="2" t="s">
        <v>10464</v>
      </c>
      <c r="G12034" s="2" t="str">
        <f>"SR-16850"</f>
        <v>SR-16850</v>
      </c>
      <c r="H12034" s="2" t="s">
        <v>48061</v>
      </c>
      <c r="I12034" s="2" t="s">
        <v>48062</v>
      </c>
      <c r="K12034" s="2" t="s">
        <v>32215</v>
      </c>
      <c r="L12034" s="2" t="s">
        <v>62</v>
      </c>
      <c r="M12034" s="2">
        <v>56045.0</v>
      </c>
      <c r="N12034" s="2" t="s">
        <v>21</v>
      </c>
    </row>
    <row r="12035" ht="15.75" customHeight="1">
      <c r="A12035" s="2">
        <v>2019.0</v>
      </c>
      <c r="B12035" s="2" t="s">
        <v>48058</v>
      </c>
      <c r="C12035" s="2" t="s">
        <v>48063</v>
      </c>
      <c r="D12035" s="2" t="str">
        <f>"5072199610"</f>
        <v>5072199610</v>
      </c>
      <c r="E12035" s="2" t="s">
        <v>778</v>
      </c>
      <c r="F12035" s="2" t="s">
        <v>10464</v>
      </c>
      <c r="G12035" s="2" t="str">
        <f>"SR-16854"</f>
        <v>SR-16854</v>
      </c>
      <c r="H12035" s="2" t="s">
        <v>48064</v>
      </c>
      <c r="I12035" s="2" t="s">
        <v>48065</v>
      </c>
      <c r="K12035" s="2" t="s">
        <v>32215</v>
      </c>
      <c r="L12035" s="2" t="s">
        <v>62</v>
      </c>
      <c r="M12035" s="2">
        <v>56045.0</v>
      </c>
      <c r="N12035" s="2" t="s">
        <v>21</v>
      </c>
    </row>
    <row r="12036" ht="15.75" customHeight="1">
      <c r="A12036" s="2">
        <v>2019.0</v>
      </c>
      <c r="B12036" s="2" t="s">
        <v>48066</v>
      </c>
      <c r="C12036" s="2" t="s">
        <v>48067</v>
      </c>
      <c r="D12036" s="2" t="str">
        <f>"3186147970"</f>
        <v>3186147970</v>
      </c>
      <c r="E12036" s="2" t="s">
        <v>48068</v>
      </c>
      <c r="F12036" s="2" t="s">
        <v>25415</v>
      </c>
      <c r="G12036" s="2" t="str">
        <f>"SR-16565"</f>
        <v>SR-16565</v>
      </c>
      <c r="H12036" s="2" t="s">
        <v>48069</v>
      </c>
      <c r="I12036" s="2" t="s">
        <v>48070</v>
      </c>
      <c r="K12036" s="2" t="s">
        <v>4669</v>
      </c>
      <c r="L12036" s="2" t="s">
        <v>715</v>
      </c>
      <c r="M12036" s="2">
        <v>71220.0</v>
      </c>
      <c r="N12036" s="2" t="s">
        <v>21</v>
      </c>
    </row>
    <row r="12037" ht="15.75" customHeight="1">
      <c r="A12037" s="2">
        <v>2019.0</v>
      </c>
      <c r="B12037" s="2" t="s">
        <v>48071</v>
      </c>
      <c r="C12037" s="2" t="s">
        <v>48072</v>
      </c>
      <c r="D12037" s="2" t="str">
        <f>"7278040586"</f>
        <v>7278040586</v>
      </c>
      <c r="E12037" s="2" t="s">
        <v>1257</v>
      </c>
      <c r="F12037" s="2" t="s">
        <v>2063</v>
      </c>
      <c r="G12037" s="2" t="str">
        <f>"SR-16325"</f>
        <v>SR-16325</v>
      </c>
      <c r="H12037" s="2" t="s">
        <v>48073</v>
      </c>
      <c r="I12037" s="2" t="s">
        <v>48074</v>
      </c>
      <c r="K12037" s="2" t="s">
        <v>469</v>
      </c>
      <c r="L12037" s="2" t="s">
        <v>208</v>
      </c>
      <c r="M12037" s="2">
        <v>33761.0</v>
      </c>
      <c r="N12037" s="2" t="s">
        <v>21</v>
      </c>
    </row>
    <row r="12038" ht="15.75" customHeight="1">
      <c r="A12038" s="2">
        <v>2019.0</v>
      </c>
      <c r="B12038" s="2" t="s">
        <v>48075</v>
      </c>
      <c r="C12038" s="2" t="s">
        <v>48076</v>
      </c>
      <c r="D12038" s="2" t="str">
        <f>"865-977-1030"</f>
        <v>865-977-1030</v>
      </c>
      <c r="E12038" s="2" t="s">
        <v>5760</v>
      </c>
      <c r="F12038" s="2" t="s">
        <v>575</v>
      </c>
      <c r="G12038" s="2" t="str">
        <f>"SR-16353"</f>
        <v>SR-16353</v>
      </c>
      <c r="H12038" s="2" t="s">
        <v>48077</v>
      </c>
      <c r="I12038" s="2" t="s">
        <v>31268</v>
      </c>
      <c r="K12038" s="2" t="s">
        <v>22167</v>
      </c>
      <c r="L12038" s="2" t="s">
        <v>279</v>
      </c>
      <c r="M12038" s="2">
        <v>37803.0</v>
      </c>
      <c r="N12038" s="2" t="s">
        <v>21</v>
      </c>
    </row>
    <row r="12039" ht="15.75" customHeight="1">
      <c r="A12039" s="2">
        <v>2019.0</v>
      </c>
      <c r="B12039" s="2" t="s">
        <v>48078</v>
      </c>
      <c r="C12039" s="2" t="s">
        <v>48079</v>
      </c>
      <c r="D12039" s="2" t="str">
        <f>"4238704469"</f>
        <v>4238704469</v>
      </c>
      <c r="E12039" s="2" t="s">
        <v>11370</v>
      </c>
      <c r="F12039" s="2" t="s">
        <v>21153</v>
      </c>
      <c r="G12039" s="2" t="str">
        <f>"SR-16858"</f>
        <v>SR-16858</v>
      </c>
      <c r="H12039" s="2" t="s">
        <v>48080</v>
      </c>
      <c r="I12039" s="2" t="s">
        <v>48081</v>
      </c>
      <c r="K12039" s="2" t="s">
        <v>23449</v>
      </c>
      <c r="L12039" s="2" t="s">
        <v>279</v>
      </c>
      <c r="M12039" s="2">
        <v>37343.0</v>
      </c>
      <c r="N12039" s="2" t="s">
        <v>21</v>
      </c>
    </row>
    <row r="12040" ht="15.75" customHeight="1">
      <c r="A12040" s="2">
        <v>2019.0</v>
      </c>
      <c r="B12040" s="2" t="s">
        <v>48082</v>
      </c>
      <c r="C12040" s="2" t="s">
        <v>48082</v>
      </c>
      <c r="D12040" s="2" t="str">
        <f>"2177207115"</f>
        <v>2177207115</v>
      </c>
      <c r="E12040" s="2" t="s">
        <v>4136</v>
      </c>
      <c r="F12040" s="2" t="s">
        <v>48083</v>
      </c>
      <c r="G12040" s="2" t="str">
        <f>"SR-16762"</f>
        <v>SR-16762</v>
      </c>
      <c r="H12040" s="2" t="s">
        <v>48084</v>
      </c>
      <c r="I12040" s="2" t="s">
        <v>48085</v>
      </c>
      <c r="K12040" s="2" t="s">
        <v>3239</v>
      </c>
      <c r="L12040" s="2" t="s">
        <v>105</v>
      </c>
      <c r="M12040" s="2">
        <v>62712.0</v>
      </c>
      <c r="N12040" s="2" t="s">
        <v>21</v>
      </c>
    </row>
    <row r="12041" ht="15.75" customHeight="1">
      <c r="A12041" s="2">
        <v>2019.0</v>
      </c>
      <c r="B12041" s="2" t="s">
        <v>48086</v>
      </c>
      <c r="C12041" s="2" t="s">
        <v>48086</v>
      </c>
      <c r="D12041" s="2" t="str">
        <f>"2527732937"</f>
        <v>2527732937</v>
      </c>
      <c r="E12041" s="2" t="s">
        <v>261</v>
      </c>
      <c r="F12041" s="2" t="s">
        <v>48087</v>
      </c>
      <c r="G12041" s="2" t="str">
        <f>"SR-16347"</f>
        <v>SR-16347</v>
      </c>
      <c r="H12041" s="2" t="s">
        <v>48088</v>
      </c>
      <c r="I12041" s="2" t="s">
        <v>48089</v>
      </c>
      <c r="K12041" s="2" t="s">
        <v>43952</v>
      </c>
      <c r="L12041" s="2" t="s">
        <v>20</v>
      </c>
      <c r="M12041" s="2">
        <v>28532.0</v>
      </c>
      <c r="N12041" s="2" t="s">
        <v>21</v>
      </c>
    </row>
    <row r="12042" ht="15.75" customHeight="1">
      <c r="A12042" s="2">
        <v>2019.0</v>
      </c>
      <c r="B12042" s="2" t="s">
        <v>48090</v>
      </c>
      <c r="C12042" s="2" t="s">
        <v>48091</v>
      </c>
      <c r="D12042" s="2" t="str">
        <f>"2812034566"</f>
        <v>2812034566</v>
      </c>
      <c r="E12042" s="2" t="s">
        <v>7652</v>
      </c>
      <c r="F12042" s="2" t="s">
        <v>1156</v>
      </c>
      <c r="G12042" s="2" t="str">
        <f>"SR-16863"</f>
        <v>SR-16863</v>
      </c>
      <c r="H12042" s="2" t="s">
        <v>48092</v>
      </c>
      <c r="I12042" s="2" t="s">
        <v>48093</v>
      </c>
      <c r="K12042" s="2" t="s">
        <v>9614</v>
      </c>
      <c r="L12042" s="2" t="s">
        <v>172</v>
      </c>
      <c r="M12042" s="2">
        <v>77384.0</v>
      </c>
      <c r="N12042" s="2" t="s">
        <v>21</v>
      </c>
    </row>
    <row r="12043" ht="15.75" customHeight="1">
      <c r="A12043" s="2">
        <v>2019.0</v>
      </c>
      <c r="B12043" s="2" t="s">
        <v>48094</v>
      </c>
      <c r="C12043" s="2" t="s">
        <v>48095</v>
      </c>
      <c r="D12043" s="2" t="str">
        <f>"830-606-8005"</f>
        <v>830-606-8005</v>
      </c>
      <c r="E12043" s="2" t="s">
        <v>48096</v>
      </c>
      <c r="F12043" s="2" t="s">
        <v>48097</v>
      </c>
      <c r="G12043" s="2" t="str">
        <f>"SR-16864"</f>
        <v>SR-16864</v>
      </c>
      <c r="H12043" s="2" t="s">
        <v>48098</v>
      </c>
      <c r="I12043" s="2" t="s">
        <v>48099</v>
      </c>
      <c r="K12043" s="2" t="s">
        <v>48100</v>
      </c>
      <c r="L12043" s="2" t="s">
        <v>172</v>
      </c>
      <c r="M12043" s="2">
        <v>78130.0</v>
      </c>
      <c r="N12043" s="2" t="s">
        <v>21</v>
      </c>
    </row>
    <row r="12044" ht="15.75" customHeight="1">
      <c r="A12044" s="2">
        <v>2019.0</v>
      </c>
      <c r="B12044" s="2" t="s">
        <v>48101</v>
      </c>
      <c r="C12044" s="2" t="s">
        <v>48101</v>
      </c>
      <c r="D12044" s="2" t="str">
        <f>"6109998184"</f>
        <v>6109998184</v>
      </c>
      <c r="E12044" s="2" t="s">
        <v>584</v>
      </c>
      <c r="F12044" s="2" t="s">
        <v>2162</v>
      </c>
      <c r="G12044" s="2" t="str">
        <f>"SR-16867"</f>
        <v>SR-16867</v>
      </c>
      <c r="H12044" s="2" t="s">
        <v>48102</v>
      </c>
      <c r="I12044" s="2" t="s">
        <v>48103</v>
      </c>
      <c r="K12044" s="2" t="s">
        <v>48104</v>
      </c>
      <c r="L12044" s="2" t="s">
        <v>179</v>
      </c>
      <c r="M12044" s="2">
        <v>19008.0</v>
      </c>
      <c r="N12044" s="2" t="s">
        <v>21</v>
      </c>
    </row>
    <row r="12045" ht="15.75" customHeight="1">
      <c r="A12045" s="2">
        <v>2019.0</v>
      </c>
      <c r="B12045" s="2" t="s">
        <v>48105</v>
      </c>
      <c r="C12045" s="2" t="s">
        <v>48105</v>
      </c>
      <c r="D12045" s="2" t="str">
        <f>"2679776942"</f>
        <v>2679776942</v>
      </c>
      <c r="E12045" s="2" t="s">
        <v>580</v>
      </c>
      <c r="F12045" s="2" t="s">
        <v>48106</v>
      </c>
      <c r="G12045" s="2" t="str">
        <f>"SR-16870"</f>
        <v>SR-16870</v>
      </c>
      <c r="H12045" s="2" t="s">
        <v>48107</v>
      </c>
      <c r="I12045" s="2" t="s">
        <v>48108</v>
      </c>
      <c r="K12045" s="2" t="s">
        <v>48109</v>
      </c>
      <c r="L12045" s="2" t="s">
        <v>179</v>
      </c>
      <c r="M12045" s="2">
        <v>19301.0</v>
      </c>
      <c r="N12045" s="2" t="s">
        <v>21</v>
      </c>
    </row>
    <row r="12046" ht="15.75" customHeight="1">
      <c r="A12046" s="2">
        <v>2019.0</v>
      </c>
      <c r="B12046" s="2" t="s">
        <v>48110</v>
      </c>
      <c r="C12046" s="2" t="s">
        <v>48110</v>
      </c>
      <c r="D12046" s="2" t="str">
        <f>"484-202-3229"</f>
        <v>484-202-3229</v>
      </c>
      <c r="E12046" s="2" t="s">
        <v>6007</v>
      </c>
      <c r="F12046" s="2" t="s">
        <v>31</v>
      </c>
      <c r="G12046" s="2" t="str">
        <f>"SR-16868"</f>
        <v>SR-16868</v>
      </c>
      <c r="H12046" s="2" t="s">
        <v>48111</v>
      </c>
      <c r="I12046" s="2" t="s">
        <v>48112</v>
      </c>
      <c r="K12046" s="2" t="s">
        <v>48113</v>
      </c>
      <c r="L12046" s="2" t="s">
        <v>179</v>
      </c>
      <c r="M12046" s="2">
        <v>19355.0</v>
      </c>
      <c r="N12046" s="2" t="s">
        <v>21</v>
      </c>
    </row>
    <row r="12047" ht="15.75" customHeight="1">
      <c r="A12047" s="2">
        <v>2019.0</v>
      </c>
      <c r="B12047" s="2" t="s">
        <v>48114</v>
      </c>
      <c r="C12047" s="2" t="s">
        <v>48115</v>
      </c>
      <c r="D12047" s="2" t="str">
        <f>"484-798-8547"</f>
        <v>484-798-8547</v>
      </c>
      <c r="E12047" s="2" t="s">
        <v>160</v>
      </c>
      <c r="F12047" s="2" t="s">
        <v>48116</v>
      </c>
      <c r="G12047" s="2" t="str">
        <f>"SR-16869"</f>
        <v>SR-16869</v>
      </c>
      <c r="H12047" s="2" t="s">
        <v>48117</v>
      </c>
      <c r="I12047" s="2" t="s">
        <v>48118</v>
      </c>
      <c r="K12047" s="2" t="s">
        <v>48119</v>
      </c>
      <c r="L12047" s="2" t="s">
        <v>179</v>
      </c>
      <c r="M12047" s="2">
        <v>19465.0</v>
      </c>
      <c r="N12047" s="2" t="s">
        <v>21</v>
      </c>
    </row>
    <row r="12048" ht="15.75" customHeight="1">
      <c r="A12048" s="2">
        <v>2019.0</v>
      </c>
      <c r="B12048" s="2" t="s">
        <v>48120</v>
      </c>
      <c r="C12048" s="2" t="s">
        <v>48120</v>
      </c>
      <c r="D12048" s="2" t="str">
        <f>"6305268730"</f>
        <v>6305268730</v>
      </c>
      <c r="E12048" s="2" t="s">
        <v>1197</v>
      </c>
      <c r="F12048" s="2" t="s">
        <v>48121</v>
      </c>
      <c r="G12048" s="2" t="str">
        <f>"SR-16871"</f>
        <v>SR-16871</v>
      </c>
      <c r="H12048" s="2" t="s">
        <v>48122</v>
      </c>
      <c r="I12048" s="2" t="s">
        <v>48123</v>
      </c>
      <c r="K12048" s="2" t="s">
        <v>10981</v>
      </c>
      <c r="L12048" s="2" t="s">
        <v>105</v>
      </c>
      <c r="M12048" s="2">
        <v>60134.0</v>
      </c>
      <c r="N12048" s="2" t="s">
        <v>21</v>
      </c>
    </row>
    <row r="12049" ht="15.75" customHeight="1">
      <c r="A12049" s="2">
        <v>2019.0</v>
      </c>
      <c r="B12049" s="2" t="s">
        <v>48124</v>
      </c>
      <c r="C12049" s="2" t="s">
        <v>48125</v>
      </c>
      <c r="D12049" s="2" t="str">
        <f>"3174393600"</f>
        <v>3174393600</v>
      </c>
      <c r="E12049" s="2" t="s">
        <v>48126</v>
      </c>
      <c r="F12049" s="2" t="s">
        <v>18391</v>
      </c>
      <c r="G12049" s="2" t="str">
        <f>"SR-16873"</f>
        <v>SR-16873</v>
      </c>
      <c r="H12049" s="2" t="s">
        <v>48127</v>
      </c>
      <c r="I12049" s="2" t="s">
        <v>48128</v>
      </c>
      <c r="K12049" s="2" t="s">
        <v>35372</v>
      </c>
      <c r="L12049" s="2" t="s">
        <v>149</v>
      </c>
      <c r="M12049" s="2">
        <v>46123.0</v>
      </c>
      <c r="N12049" s="2" t="s">
        <v>21</v>
      </c>
    </row>
    <row r="12050" ht="15.75" customHeight="1">
      <c r="A12050" s="2">
        <v>2019.0</v>
      </c>
      <c r="B12050" s="2" t="s">
        <v>48129</v>
      </c>
      <c r="C12050" s="2" t="s">
        <v>48130</v>
      </c>
      <c r="D12050" s="2" t="str">
        <f>"7246005279"</f>
        <v>7246005279</v>
      </c>
      <c r="E12050" s="2" t="s">
        <v>48131</v>
      </c>
      <c r="F12050" s="2" t="s">
        <v>1151</v>
      </c>
      <c r="G12050" s="2" t="str">
        <f>"SR-16877"</f>
        <v>SR-16877</v>
      </c>
      <c r="H12050" s="2" t="s">
        <v>48132</v>
      </c>
      <c r="I12050" s="2" t="s">
        <v>48133</v>
      </c>
      <c r="K12050" s="2" t="s">
        <v>16457</v>
      </c>
      <c r="L12050" s="2" t="s">
        <v>179</v>
      </c>
      <c r="M12050" s="2">
        <v>15642.0</v>
      </c>
      <c r="N12050" s="2" t="s">
        <v>21</v>
      </c>
    </row>
    <row r="12051" ht="15.75" customHeight="1">
      <c r="A12051" s="2">
        <v>2019.0</v>
      </c>
      <c r="B12051" s="2" t="s">
        <v>48134</v>
      </c>
      <c r="C12051" s="2" t="s">
        <v>48135</v>
      </c>
      <c r="D12051" s="2" t="str">
        <f>"303-710-3538"</f>
        <v>303-710-3538</v>
      </c>
      <c r="E12051" s="2" t="s">
        <v>160</v>
      </c>
      <c r="F12051" s="2" t="s">
        <v>23577</v>
      </c>
      <c r="G12051" s="2" t="str">
        <f>"SR-16880"</f>
        <v>SR-16880</v>
      </c>
      <c r="H12051" s="2" t="s">
        <v>48136</v>
      </c>
      <c r="I12051" s="2" t="s">
        <v>48137</v>
      </c>
      <c r="K12051" s="2" t="s">
        <v>23580</v>
      </c>
      <c r="L12051" s="2" t="s">
        <v>157</v>
      </c>
      <c r="M12051" s="2">
        <v>80621.0</v>
      </c>
      <c r="N12051" s="2" t="s">
        <v>21</v>
      </c>
    </row>
    <row r="12052" ht="15.75" customHeight="1">
      <c r="A12052" s="2">
        <v>2019.0</v>
      </c>
      <c r="B12052" s="2" t="s">
        <v>48134</v>
      </c>
      <c r="C12052" s="2" t="s">
        <v>48138</v>
      </c>
      <c r="D12052" s="2" t="str">
        <f>"303-857-4972"</f>
        <v>303-857-4972</v>
      </c>
      <c r="E12052" s="2" t="s">
        <v>261</v>
      </c>
      <c r="F12052" s="2" t="s">
        <v>23577</v>
      </c>
      <c r="G12052" s="2" t="str">
        <f>"SR-16881"</f>
        <v>SR-16881</v>
      </c>
      <c r="H12052" s="2" t="s">
        <v>48139</v>
      </c>
      <c r="I12052" s="2" t="s">
        <v>48137</v>
      </c>
      <c r="K12052" s="2" t="s">
        <v>23580</v>
      </c>
      <c r="L12052" s="2" t="s">
        <v>157</v>
      </c>
      <c r="M12052" s="2">
        <v>80621.0</v>
      </c>
      <c r="N12052" s="2" t="s">
        <v>21</v>
      </c>
    </row>
    <row r="12053" ht="15.75" customHeight="1">
      <c r="A12053" s="2">
        <v>2019.0</v>
      </c>
      <c r="B12053" s="2" t="s">
        <v>48140</v>
      </c>
      <c r="C12053" s="2" t="s">
        <v>48141</v>
      </c>
      <c r="D12053" s="2" t="str">
        <f>"9414418541"</f>
        <v>9414418541</v>
      </c>
      <c r="E12053" s="2" t="s">
        <v>48142</v>
      </c>
      <c r="F12053" s="2" t="s">
        <v>48143</v>
      </c>
      <c r="G12053" s="2" t="str">
        <f>"SR-16301"</f>
        <v>SR-16301</v>
      </c>
      <c r="H12053" s="2" t="s">
        <v>48144</v>
      </c>
      <c r="I12053" s="2" t="s">
        <v>48145</v>
      </c>
      <c r="K12053" s="2" t="s">
        <v>48146</v>
      </c>
      <c r="L12053" s="2" t="s">
        <v>208</v>
      </c>
      <c r="M12053" s="2">
        <v>34229.0</v>
      </c>
      <c r="N12053" s="2" t="s">
        <v>21</v>
      </c>
    </row>
    <row r="12054" ht="15.75" customHeight="1">
      <c r="A12054" s="2">
        <v>2019.0</v>
      </c>
      <c r="B12054" s="2" t="s">
        <v>21336</v>
      </c>
      <c r="C12054" s="2" t="s">
        <v>21337</v>
      </c>
      <c r="D12054" s="2" t="str">
        <f>"(717)479-0733"</f>
        <v>(717)479-0733</v>
      </c>
      <c r="E12054" s="2" t="s">
        <v>9828</v>
      </c>
      <c r="F12054" s="2" t="s">
        <v>21338</v>
      </c>
      <c r="G12054" s="2" t="str">
        <f>"SR-6510"</f>
        <v>SR-6510</v>
      </c>
      <c r="H12054" s="2" t="s">
        <v>21339</v>
      </c>
      <c r="I12054" s="2" t="s">
        <v>21340</v>
      </c>
      <c r="K12054" s="2" t="s">
        <v>21341</v>
      </c>
      <c r="L12054" s="2" t="s">
        <v>179</v>
      </c>
      <c r="M12054" s="2">
        <v>17331.0</v>
      </c>
      <c r="N12054" s="2" t="s">
        <v>21</v>
      </c>
    </row>
    <row r="12055" ht="15.75" customHeight="1">
      <c r="A12055" s="2">
        <v>2019.0</v>
      </c>
      <c r="B12055" s="2" t="s">
        <v>46601</v>
      </c>
      <c r="C12055" s="2" t="s">
        <v>48147</v>
      </c>
      <c r="D12055" s="2" t="str">
        <f>"3072541842"</f>
        <v>3072541842</v>
      </c>
      <c r="E12055" s="2" t="s">
        <v>48148</v>
      </c>
      <c r="F12055" s="2" t="s">
        <v>46604</v>
      </c>
      <c r="G12055" s="2" t="str">
        <f>"SR-16886"</f>
        <v>SR-16886</v>
      </c>
      <c r="H12055" s="2" t="s">
        <v>48149</v>
      </c>
      <c r="I12055" s="2" t="s">
        <v>46606</v>
      </c>
      <c r="K12055" s="2" t="s">
        <v>2771</v>
      </c>
      <c r="L12055" s="2" t="s">
        <v>1540</v>
      </c>
      <c r="M12055" s="2">
        <v>82435.0</v>
      </c>
      <c r="N12055" s="2" t="s">
        <v>21</v>
      </c>
    </row>
    <row r="12056" ht="15.75" customHeight="1">
      <c r="A12056" s="2">
        <v>2019.0</v>
      </c>
      <c r="B12056" s="2" t="s">
        <v>36988</v>
      </c>
      <c r="C12056" s="2" t="s">
        <v>48150</v>
      </c>
      <c r="D12056" s="2" t="str">
        <f>"9312610942"</f>
        <v>9312610942</v>
      </c>
      <c r="E12056" s="2" t="s">
        <v>3173</v>
      </c>
      <c r="F12056" s="2" t="s">
        <v>34754</v>
      </c>
      <c r="G12056" s="2" t="str">
        <f>"SR-16488"</f>
        <v>SR-16488</v>
      </c>
      <c r="H12056" s="2" t="s">
        <v>48151</v>
      </c>
      <c r="I12056" s="2" t="s">
        <v>36990</v>
      </c>
      <c r="K12056" s="2" t="s">
        <v>16670</v>
      </c>
      <c r="L12056" s="2" t="s">
        <v>279</v>
      </c>
      <c r="M12056" s="2">
        <v>38571.0</v>
      </c>
      <c r="N12056" s="2" t="s">
        <v>21</v>
      </c>
    </row>
    <row r="12057" ht="15.75" customHeight="1">
      <c r="A12057" s="2">
        <v>2019.0</v>
      </c>
      <c r="B12057" s="2" t="s">
        <v>37074</v>
      </c>
      <c r="C12057" s="2" t="s">
        <v>37075</v>
      </c>
      <c r="D12057" s="2" t="str">
        <f>"6152786004"</f>
        <v>6152786004</v>
      </c>
      <c r="E12057" s="2" t="s">
        <v>453</v>
      </c>
      <c r="F12057" s="2" t="s">
        <v>9569</v>
      </c>
      <c r="G12057" s="2" t="str">
        <f>"SR-11951"</f>
        <v>SR-11951</v>
      </c>
      <c r="H12057" s="2" t="s">
        <v>37076</v>
      </c>
      <c r="I12057" s="2" t="s">
        <v>37077</v>
      </c>
      <c r="K12057" s="2" t="s">
        <v>69</v>
      </c>
      <c r="L12057" s="2" t="s">
        <v>70</v>
      </c>
      <c r="M12057" s="2">
        <v>99508.0</v>
      </c>
      <c r="N12057" s="2" t="s">
        <v>21</v>
      </c>
    </row>
    <row r="12058" ht="15.75" customHeight="1">
      <c r="A12058" s="2">
        <v>2019.0</v>
      </c>
      <c r="B12058" s="2" t="s">
        <v>48152</v>
      </c>
      <c r="C12058" s="2" t="s">
        <v>48153</v>
      </c>
      <c r="D12058" s="2" t="str">
        <f>"5132924613"</f>
        <v>5132924613</v>
      </c>
      <c r="E12058" s="2" t="s">
        <v>72</v>
      </c>
      <c r="F12058" s="2" t="s">
        <v>48154</v>
      </c>
      <c r="G12058" s="2" t="str">
        <f>"SR-16894"</f>
        <v>SR-16894</v>
      </c>
      <c r="H12058" s="2" t="s">
        <v>48155</v>
      </c>
      <c r="I12058" s="2" t="s">
        <v>48156</v>
      </c>
      <c r="K12058" s="2" t="s">
        <v>1048</v>
      </c>
      <c r="L12058" s="2" t="s">
        <v>344</v>
      </c>
      <c r="M12058" s="2">
        <v>45140.0</v>
      </c>
      <c r="N12058" s="2" t="s">
        <v>21</v>
      </c>
    </row>
    <row r="12059" ht="15.75" customHeight="1">
      <c r="A12059" s="2">
        <v>2019.0</v>
      </c>
      <c r="B12059" s="2" t="s">
        <v>48152</v>
      </c>
      <c r="C12059" s="2" t="s">
        <v>48157</v>
      </c>
      <c r="D12059" s="2" t="str">
        <f>"5134440934"</f>
        <v>5134440934</v>
      </c>
      <c r="E12059" s="2" t="s">
        <v>453</v>
      </c>
      <c r="F12059" s="2" t="s">
        <v>48154</v>
      </c>
      <c r="G12059" s="2" t="str">
        <f>"SR-16895"</f>
        <v>SR-16895</v>
      </c>
      <c r="H12059" s="2" t="s">
        <v>48158</v>
      </c>
      <c r="I12059" s="2" t="s">
        <v>48156</v>
      </c>
      <c r="K12059" s="2" t="s">
        <v>1048</v>
      </c>
      <c r="L12059" s="2" t="s">
        <v>344</v>
      </c>
      <c r="M12059" s="2">
        <v>45140.0</v>
      </c>
      <c r="N12059" s="2" t="s">
        <v>21</v>
      </c>
    </row>
    <row r="12060" ht="15.75" customHeight="1">
      <c r="A12060" s="2">
        <v>2019.0</v>
      </c>
      <c r="B12060" s="2" t="s">
        <v>48007</v>
      </c>
      <c r="C12060" s="2" t="s">
        <v>48159</v>
      </c>
      <c r="D12060" s="2" t="str">
        <f>"303-827-8637"</f>
        <v>303-827-8637</v>
      </c>
      <c r="E12060" s="2" t="s">
        <v>2825</v>
      </c>
      <c r="F12060" s="2" t="s">
        <v>32351</v>
      </c>
      <c r="G12060" s="2" t="str">
        <f>"SR-16823"</f>
        <v>SR-16823</v>
      </c>
      <c r="H12060" s="2" t="s">
        <v>48160</v>
      </c>
      <c r="I12060" s="2" t="s">
        <v>48161</v>
      </c>
      <c r="K12060" s="2" t="s">
        <v>1548</v>
      </c>
      <c r="L12060" s="2" t="s">
        <v>157</v>
      </c>
      <c r="M12060" s="2">
        <v>80107.0</v>
      </c>
      <c r="N12060" s="2" t="s">
        <v>21</v>
      </c>
    </row>
    <row r="12061" ht="15.75" customHeight="1">
      <c r="A12061" s="2">
        <v>2019.0</v>
      </c>
      <c r="B12061" s="2" t="s">
        <v>45256</v>
      </c>
      <c r="C12061" s="2" t="s">
        <v>48162</v>
      </c>
      <c r="D12061" s="2" t="str">
        <f>"515-450-7878"</f>
        <v>515-450-7878</v>
      </c>
      <c r="E12061" s="2" t="s">
        <v>36559</v>
      </c>
      <c r="F12061" s="2" t="s">
        <v>45258</v>
      </c>
      <c r="G12061" s="2" t="str">
        <f>"SR-16897"</f>
        <v>SR-16897</v>
      </c>
      <c r="H12061" s="2" t="s">
        <v>48163</v>
      </c>
      <c r="I12061" s="2" t="s">
        <v>45260</v>
      </c>
      <c r="K12061" s="2" t="s">
        <v>45261</v>
      </c>
      <c r="L12061" s="2" t="s">
        <v>560</v>
      </c>
      <c r="M12061" s="2">
        <v>50124.0</v>
      </c>
      <c r="N12061" s="2" t="s">
        <v>21</v>
      </c>
    </row>
    <row r="12062" ht="15.75" customHeight="1">
      <c r="A12062" s="2">
        <v>2019.0</v>
      </c>
      <c r="B12062" s="2" t="s">
        <v>48164</v>
      </c>
      <c r="C12062" s="2" t="s">
        <v>48165</v>
      </c>
      <c r="D12062" s="2" t="str">
        <f>"7408173888"</f>
        <v>7408173888</v>
      </c>
      <c r="E12062" s="2" t="s">
        <v>1094</v>
      </c>
      <c r="F12062" s="2" t="s">
        <v>31901</v>
      </c>
      <c r="G12062" s="2" t="str">
        <f>"SR-16898"</f>
        <v>SR-16898</v>
      </c>
      <c r="H12062" s="2" t="s">
        <v>48166</v>
      </c>
      <c r="I12062" s="2" t="s">
        <v>48167</v>
      </c>
      <c r="K12062" s="2" t="s">
        <v>20231</v>
      </c>
      <c r="L12062" s="2" t="s">
        <v>344</v>
      </c>
      <c r="M12062" s="2">
        <v>43062.0</v>
      </c>
      <c r="N12062" s="2" t="s">
        <v>21</v>
      </c>
    </row>
    <row r="12063" ht="15.75" customHeight="1">
      <c r="A12063" s="2">
        <v>2019.0</v>
      </c>
      <c r="B12063" s="2" t="s">
        <v>48168</v>
      </c>
      <c r="C12063" s="2" t="s">
        <v>48168</v>
      </c>
      <c r="D12063" s="2" t="str">
        <f>"519-608-8980"</f>
        <v>519-608-8980</v>
      </c>
      <c r="E12063" s="2" t="s">
        <v>1767</v>
      </c>
      <c r="F12063" s="2" t="s">
        <v>48169</v>
      </c>
      <c r="G12063" s="2" t="str">
        <f>"SR-16902"</f>
        <v>SR-16902</v>
      </c>
      <c r="H12063" s="2" t="s">
        <v>48170</v>
      </c>
      <c r="I12063" s="2" t="s">
        <v>48171</v>
      </c>
      <c r="K12063" s="2" t="s">
        <v>48172</v>
      </c>
      <c r="L12063" s="2" t="s">
        <v>2015</v>
      </c>
      <c r="M12063" s="2" t="s">
        <v>48173</v>
      </c>
      <c r="N12063" s="2" t="s">
        <v>1602</v>
      </c>
    </row>
    <row r="12064" ht="15.75" customHeight="1">
      <c r="A12064" s="2">
        <v>2019.0</v>
      </c>
      <c r="B12064" s="2" t="s">
        <v>48174</v>
      </c>
      <c r="C12064" s="2" t="s">
        <v>48175</v>
      </c>
      <c r="D12064" s="2" t="str">
        <f>"727-203-6369"</f>
        <v>727-203-6369</v>
      </c>
      <c r="E12064" s="2" t="s">
        <v>705</v>
      </c>
      <c r="F12064" s="2" t="s">
        <v>447</v>
      </c>
      <c r="G12064" s="2" t="str">
        <f>"SR-16905"</f>
        <v>SR-16905</v>
      </c>
      <c r="H12064" s="2" t="s">
        <v>48176</v>
      </c>
      <c r="I12064" s="2">
        <v>4638.0</v>
      </c>
      <c r="J12064" s="2" t="s">
        <v>48177</v>
      </c>
      <c r="K12064" s="2" t="s">
        <v>48178</v>
      </c>
      <c r="L12064" s="2" t="s">
        <v>208</v>
      </c>
      <c r="M12064" s="2">
        <v>34652.0</v>
      </c>
      <c r="N12064" s="2" t="s">
        <v>21</v>
      </c>
    </row>
    <row r="12065" ht="15.75" customHeight="1">
      <c r="A12065" s="2">
        <v>2019.0</v>
      </c>
      <c r="B12065" s="2" t="s">
        <v>48179</v>
      </c>
      <c r="C12065" s="2" t="s">
        <v>48180</v>
      </c>
      <c r="D12065" s="2" t="str">
        <f>"9133530152"</f>
        <v>9133530152</v>
      </c>
      <c r="E12065" s="2" t="s">
        <v>1094</v>
      </c>
      <c r="F12065" s="2" t="s">
        <v>48181</v>
      </c>
      <c r="G12065" s="2" t="str">
        <f>"SR-16889"</f>
        <v>SR-16889</v>
      </c>
      <c r="H12065" s="2" t="s">
        <v>48182</v>
      </c>
      <c r="I12065" s="2" t="s">
        <v>48183</v>
      </c>
      <c r="K12065" s="2" t="s">
        <v>1067</v>
      </c>
      <c r="L12065" s="2" t="s">
        <v>272</v>
      </c>
      <c r="M12065" s="2">
        <v>66062.0</v>
      </c>
      <c r="N12065" s="2" t="s">
        <v>21</v>
      </c>
    </row>
    <row r="12066" ht="15.75" customHeight="1">
      <c r="A12066" s="2">
        <v>2019.0</v>
      </c>
      <c r="B12066" s="2" t="s">
        <v>48184</v>
      </c>
      <c r="C12066" s="2" t="s">
        <v>48184</v>
      </c>
      <c r="D12066" s="2" t="str">
        <f>"314-281-6170"</f>
        <v>314-281-6170</v>
      </c>
      <c r="E12066" s="2" t="s">
        <v>203</v>
      </c>
      <c r="F12066" s="2" t="s">
        <v>48185</v>
      </c>
      <c r="G12066" s="2" t="str">
        <f>"SR-16913"</f>
        <v>SR-16913</v>
      </c>
      <c r="H12066" s="2" t="s">
        <v>48186</v>
      </c>
      <c r="I12066" s="2" t="s">
        <v>48187</v>
      </c>
      <c r="K12066" s="2" t="s">
        <v>11436</v>
      </c>
      <c r="L12066" s="2" t="s">
        <v>214</v>
      </c>
      <c r="M12066" s="2">
        <v>63332.0</v>
      </c>
      <c r="N12066" s="2" t="s">
        <v>21</v>
      </c>
    </row>
    <row r="12067" ht="15.75" customHeight="1">
      <c r="A12067" s="2">
        <v>2019.0</v>
      </c>
      <c r="B12067" s="2" t="s">
        <v>48188</v>
      </c>
      <c r="C12067" s="2" t="s">
        <v>48189</v>
      </c>
      <c r="D12067" s="2" t="str">
        <f>"7147223094"</f>
        <v>7147223094</v>
      </c>
      <c r="E12067" s="2" t="s">
        <v>2250</v>
      </c>
      <c r="F12067" s="2" t="s">
        <v>11093</v>
      </c>
      <c r="G12067" s="2" t="str">
        <f>"SR-16919"</f>
        <v>SR-16919</v>
      </c>
      <c r="H12067" s="2" t="s">
        <v>48190</v>
      </c>
      <c r="I12067" s="2" t="s">
        <v>11095</v>
      </c>
      <c r="K12067" s="2" t="s">
        <v>6915</v>
      </c>
      <c r="L12067" s="2" t="s">
        <v>222</v>
      </c>
      <c r="M12067" s="2">
        <v>92683.0</v>
      </c>
      <c r="N12067" s="2" t="s">
        <v>21</v>
      </c>
    </row>
    <row r="12068" ht="15.75" customHeight="1">
      <c r="A12068" s="2">
        <v>2019.0</v>
      </c>
      <c r="B12068" s="2" t="s">
        <v>48191</v>
      </c>
      <c r="C12068" s="2" t="s">
        <v>48192</v>
      </c>
      <c r="D12068" s="2" t="str">
        <f>"5733082357"</f>
        <v>5733082357</v>
      </c>
      <c r="E12068" s="2" t="s">
        <v>417</v>
      </c>
      <c r="F12068" s="2" t="s">
        <v>20425</v>
      </c>
      <c r="G12068" s="2" t="str">
        <f>"SR-16660"</f>
        <v>SR-16660</v>
      </c>
      <c r="H12068" s="2" t="s">
        <v>48193</v>
      </c>
      <c r="I12068" s="2" t="s">
        <v>48194</v>
      </c>
      <c r="K12068" s="2" t="s">
        <v>2564</v>
      </c>
      <c r="L12068" s="2" t="s">
        <v>279</v>
      </c>
      <c r="M12068" s="2">
        <v>37032.0</v>
      </c>
      <c r="N12068" s="2" t="s">
        <v>21</v>
      </c>
    </row>
    <row r="12069" ht="15.75" customHeight="1">
      <c r="A12069" s="2">
        <v>2019.0</v>
      </c>
      <c r="B12069" s="2" t="s">
        <v>48195</v>
      </c>
      <c r="C12069" s="2" t="s">
        <v>48196</v>
      </c>
      <c r="D12069" s="2" t="str">
        <f>"570-494-2300"</f>
        <v>570-494-2300</v>
      </c>
      <c r="E12069" s="2" t="s">
        <v>72</v>
      </c>
      <c r="F12069" s="2" t="s">
        <v>12719</v>
      </c>
      <c r="G12069" s="2" t="str">
        <f>"SR-16909"</f>
        <v>SR-16909</v>
      </c>
      <c r="H12069" s="2" t="s">
        <v>48197</v>
      </c>
      <c r="I12069" s="2" t="s">
        <v>48198</v>
      </c>
      <c r="K12069" s="2" t="s">
        <v>48199</v>
      </c>
      <c r="L12069" s="2" t="s">
        <v>179</v>
      </c>
      <c r="M12069" s="2">
        <v>17728.0</v>
      </c>
      <c r="N12069" s="2" t="s">
        <v>21</v>
      </c>
    </row>
    <row r="12070" ht="15.75" customHeight="1">
      <c r="A12070" s="2">
        <v>2019.0</v>
      </c>
      <c r="B12070" s="2" t="s">
        <v>48200</v>
      </c>
      <c r="C12070" s="2" t="s">
        <v>48201</v>
      </c>
      <c r="D12070" s="2" t="str">
        <f>"3378539299"</f>
        <v>3378539299</v>
      </c>
      <c r="E12070" s="2" t="s">
        <v>40320</v>
      </c>
      <c r="F12070" s="2" t="s">
        <v>486</v>
      </c>
      <c r="G12070" s="2" t="str">
        <f>"SR-16921"</f>
        <v>SR-16921</v>
      </c>
      <c r="H12070" s="2" t="s">
        <v>48202</v>
      </c>
      <c r="I12070" s="2" t="s">
        <v>48203</v>
      </c>
      <c r="K12070" s="2" t="s">
        <v>11600</v>
      </c>
      <c r="L12070" s="2" t="s">
        <v>715</v>
      </c>
      <c r="M12070" s="2">
        <v>70601.0</v>
      </c>
      <c r="N12070" s="2" t="s">
        <v>21</v>
      </c>
    </row>
    <row r="12071" ht="15.75" customHeight="1">
      <c r="A12071" s="2">
        <v>2019.0</v>
      </c>
      <c r="B12071" s="2" t="s">
        <v>48204</v>
      </c>
      <c r="C12071" s="2" t="s">
        <v>48205</v>
      </c>
      <c r="D12071" s="2" t="str">
        <f>"337-515-6844"</f>
        <v>337-515-6844</v>
      </c>
      <c r="E12071" s="2" t="s">
        <v>1529</v>
      </c>
      <c r="F12071" s="2" t="s">
        <v>48206</v>
      </c>
      <c r="G12071" s="2" t="str">
        <f>"SR-16925"</f>
        <v>SR-16925</v>
      </c>
      <c r="H12071" s="2" t="s">
        <v>48207</v>
      </c>
      <c r="I12071" s="2" t="s">
        <v>48208</v>
      </c>
      <c r="K12071" s="2" t="s">
        <v>11600</v>
      </c>
      <c r="L12071" s="2" t="s">
        <v>715</v>
      </c>
      <c r="M12071" s="2">
        <v>70607.0</v>
      </c>
      <c r="N12071" s="2" t="s">
        <v>21</v>
      </c>
    </row>
    <row r="12072" ht="15.75" customHeight="1">
      <c r="A12072" s="2">
        <v>2019.0</v>
      </c>
      <c r="B12072" s="2" t="s">
        <v>48209</v>
      </c>
      <c r="C12072" s="2" t="s">
        <v>48209</v>
      </c>
      <c r="D12072" s="2" t="str">
        <f>"4055132666"</f>
        <v>4055132666</v>
      </c>
      <c r="E12072" s="2" t="s">
        <v>1015</v>
      </c>
      <c r="F12072" s="2" t="s">
        <v>48210</v>
      </c>
      <c r="G12072" s="2" t="str">
        <f>"SR-16876"</f>
        <v>SR-16876</v>
      </c>
      <c r="H12072" s="2" t="s">
        <v>48211</v>
      </c>
      <c r="I12072" s="2" t="s">
        <v>48212</v>
      </c>
      <c r="K12072" s="2" t="s">
        <v>13776</v>
      </c>
      <c r="L12072" s="2" t="s">
        <v>840</v>
      </c>
      <c r="M12072" s="2">
        <v>73044.0</v>
      </c>
      <c r="N12072" s="2" t="s">
        <v>21</v>
      </c>
    </row>
    <row r="12073" ht="15.75" customHeight="1">
      <c r="A12073" s="2">
        <v>2019.0</v>
      </c>
      <c r="B12073" s="2" t="s">
        <v>48213</v>
      </c>
      <c r="C12073" s="2" t="s">
        <v>48214</v>
      </c>
      <c r="D12073" s="2" t="str">
        <f>"719-231-8311"</f>
        <v>719-231-8311</v>
      </c>
      <c r="E12073" s="2" t="s">
        <v>1347</v>
      </c>
      <c r="F12073" s="2" t="s">
        <v>17913</v>
      </c>
      <c r="G12073" s="2" t="str">
        <f>"SR-15748"</f>
        <v>SR-15748</v>
      </c>
      <c r="H12073" s="2" t="s">
        <v>48215</v>
      </c>
      <c r="I12073" s="2" t="s">
        <v>48216</v>
      </c>
      <c r="K12073" s="2" t="s">
        <v>809</v>
      </c>
      <c r="L12073" s="2" t="s">
        <v>157</v>
      </c>
      <c r="M12073" s="2">
        <v>80919.0</v>
      </c>
      <c r="N12073" s="2" t="s">
        <v>21</v>
      </c>
    </row>
    <row r="12074" ht="15.75" customHeight="1">
      <c r="A12074" s="2">
        <v>2019.0</v>
      </c>
      <c r="B12074" s="2" t="s">
        <v>48217</v>
      </c>
      <c r="C12074" s="2" t="s">
        <v>48218</v>
      </c>
      <c r="D12074" s="2" t="str">
        <f>"346-268-4017"</f>
        <v>346-268-4017</v>
      </c>
      <c r="E12074" s="2" t="s">
        <v>301</v>
      </c>
      <c r="F12074" s="2" t="s">
        <v>48219</v>
      </c>
      <c r="G12074" s="2" t="str">
        <f>"SR-16787"</f>
        <v>SR-16787</v>
      </c>
      <c r="H12074" s="2" t="s">
        <v>48220</v>
      </c>
      <c r="I12074" s="2" t="s">
        <v>48221</v>
      </c>
      <c r="K12074" s="2" t="s">
        <v>4350</v>
      </c>
      <c r="L12074" s="2" t="s">
        <v>172</v>
      </c>
      <c r="M12074" s="2">
        <v>77375.0</v>
      </c>
      <c r="N12074" s="2" t="s">
        <v>21</v>
      </c>
    </row>
    <row r="12075" ht="15.75" customHeight="1">
      <c r="A12075" s="2">
        <v>2019.0</v>
      </c>
      <c r="B12075" s="2" t="s">
        <v>48217</v>
      </c>
      <c r="C12075" s="2" t="s">
        <v>48222</v>
      </c>
      <c r="D12075" s="2" t="str">
        <f>"832-953-9780"</f>
        <v>832-953-9780</v>
      </c>
      <c r="E12075" s="2" t="s">
        <v>4716</v>
      </c>
      <c r="F12075" s="2" t="s">
        <v>48219</v>
      </c>
      <c r="G12075" s="2" t="str">
        <f>"SR-16784"</f>
        <v>SR-16784</v>
      </c>
      <c r="H12075" s="2" t="s">
        <v>48223</v>
      </c>
      <c r="I12075" s="2" t="s">
        <v>48221</v>
      </c>
      <c r="K12075" s="2" t="s">
        <v>4350</v>
      </c>
      <c r="L12075" s="2" t="s">
        <v>172</v>
      </c>
      <c r="M12075" s="2">
        <v>77375.0</v>
      </c>
      <c r="N12075" s="2" t="s">
        <v>21</v>
      </c>
    </row>
    <row r="12076" ht="15.75" customHeight="1">
      <c r="A12076" s="2">
        <v>2019.0</v>
      </c>
      <c r="B12076" s="2" t="s">
        <v>24362</v>
      </c>
      <c r="C12076" s="2" t="s">
        <v>48224</v>
      </c>
      <c r="D12076" s="2" t="str">
        <f>"9377605475"</f>
        <v>9377605475</v>
      </c>
      <c r="E12076" s="2" t="s">
        <v>301</v>
      </c>
      <c r="F12076" s="2" t="s">
        <v>1441</v>
      </c>
      <c r="G12076" s="2" t="str">
        <f>"SR-16343"</f>
        <v>SR-16343</v>
      </c>
      <c r="H12076" s="2" t="s">
        <v>48225</v>
      </c>
      <c r="I12076" s="2" t="s">
        <v>48226</v>
      </c>
      <c r="K12076" s="2" t="s">
        <v>8326</v>
      </c>
      <c r="L12076" s="2" t="s">
        <v>344</v>
      </c>
      <c r="M12076" s="2">
        <v>45314.0</v>
      </c>
      <c r="N12076" s="2" t="s">
        <v>21</v>
      </c>
    </row>
    <row r="12077" ht="15.75" customHeight="1">
      <c r="A12077" s="2">
        <v>2019.0</v>
      </c>
      <c r="B12077" s="2" t="s">
        <v>48227</v>
      </c>
      <c r="C12077" s="2" t="s">
        <v>48228</v>
      </c>
      <c r="D12077" s="2" t="str">
        <f>"8645174465"</f>
        <v>8645174465</v>
      </c>
      <c r="E12077" s="2" t="s">
        <v>1529</v>
      </c>
      <c r="F12077" s="2" t="s">
        <v>538</v>
      </c>
      <c r="G12077" s="2" t="str">
        <f>"SR-16467"</f>
        <v>SR-16467</v>
      </c>
      <c r="H12077" s="2" t="s">
        <v>48229</v>
      </c>
      <c r="I12077" s="2" t="s">
        <v>48230</v>
      </c>
      <c r="K12077" s="2" t="s">
        <v>54</v>
      </c>
      <c r="L12077" s="2" t="s">
        <v>55</v>
      </c>
      <c r="M12077" s="2">
        <v>29615.0</v>
      </c>
      <c r="N12077" s="2" t="s">
        <v>21</v>
      </c>
    </row>
    <row r="12078" ht="15.75" customHeight="1">
      <c r="A12078" s="2">
        <v>2019.0</v>
      </c>
      <c r="B12078" s="2" t="s">
        <v>43281</v>
      </c>
      <c r="D12078" s="2" t="str">
        <f>""</f>
        <v/>
      </c>
      <c r="E12078" s="2" t="s">
        <v>160</v>
      </c>
      <c r="F12078" s="2" t="s">
        <v>43283</v>
      </c>
      <c r="G12078" s="2" t="str">
        <f>"SR-16423"</f>
        <v>SR-16423</v>
      </c>
      <c r="H12078" s="2" t="s">
        <v>48231</v>
      </c>
    </row>
    <row r="12079" ht="15.75" customHeight="1">
      <c r="A12079" s="2">
        <v>2019.0</v>
      </c>
      <c r="B12079" s="2" t="s">
        <v>48217</v>
      </c>
      <c r="C12079" s="2" t="s">
        <v>48232</v>
      </c>
      <c r="D12079" s="2" t="str">
        <f>"713-820-0887"</f>
        <v>713-820-0887</v>
      </c>
      <c r="E12079" s="2" t="s">
        <v>137</v>
      </c>
      <c r="F12079" s="2" t="s">
        <v>48219</v>
      </c>
      <c r="G12079" s="2" t="str">
        <f>"SR-16749"</f>
        <v>SR-16749</v>
      </c>
      <c r="H12079" s="2" t="s">
        <v>48233</v>
      </c>
      <c r="I12079" s="2" t="s">
        <v>48221</v>
      </c>
      <c r="K12079" s="2" t="s">
        <v>4350</v>
      </c>
      <c r="L12079" s="2" t="s">
        <v>172</v>
      </c>
      <c r="M12079" s="2">
        <v>77375.0</v>
      </c>
      <c r="N12079" s="2" t="s">
        <v>21</v>
      </c>
    </row>
    <row r="12080" ht="15.75" customHeight="1">
      <c r="A12080" s="2">
        <v>2019.0</v>
      </c>
      <c r="B12080" s="2" t="s">
        <v>48217</v>
      </c>
      <c r="C12080" s="2" t="s">
        <v>48234</v>
      </c>
      <c r="D12080" s="2" t="str">
        <f>"832-312-7225"</f>
        <v>832-312-7225</v>
      </c>
      <c r="E12080" s="2" t="s">
        <v>1208</v>
      </c>
      <c r="F12080" s="2" t="s">
        <v>48219</v>
      </c>
      <c r="G12080" s="2" t="str">
        <f>"SR-16785"</f>
        <v>SR-16785</v>
      </c>
      <c r="H12080" s="2" t="s">
        <v>48235</v>
      </c>
      <c r="I12080" s="2" t="s">
        <v>48221</v>
      </c>
      <c r="K12080" s="2" t="s">
        <v>4350</v>
      </c>
      <c r="L12080" s="2" t="s">
        <v>172</v>
      </c>
      <c r="M12080" s="2">
        <v>77375.0</v>
      </c>
      <c r="N12080" s="2" t="s">
        <v>21</v>
      </c>
    </row>
    <row r="12081" ht="15.75" customHeight="1">
      <c r="A12081" s="2">
        <v>2019.0</v>
      </c>
      <c r="B12081" s="2" t="s">
        <v>48217</v>
      </c>
      <c r="C12081" s="2" t="s">
        <v>48236</v>
      </c>
      <c r="D12081" s="2" t="str">
        <f>"832-953-9234"</f>
        <v>832-953-9234</v>
      </c>
      <c r="E12081" s="2" t="s">
        <v>2243</v>
      </c>
      <c r="F12081" s="2" t="s">
        <v>48219</v>
      </c>
      <c r="G12081" s="2" t="str">
        <f>"SR-16786"</f>
        <v>SR-16786</v>
      </c>
      <c r="H12081" s="2" t="s">
        <v>48237</v>
      </c>
      <c r="I12081" s="2" t="s">
        <v>48221</v>
      </c>
      <c r="K12081" s="2" t="s">
        <v>4350</v>
      </c>
      <c r="L12081" s="2" t="s">
        <v>172</v>
      </c>
      <c r="M12081" s="2">
        <v>77375.0</v>
      </c>
      <c r="N12081" s="2" t="s">
        <v>21</v>
      </c>
    </row>
    <row r="12082" ht="15.75" customHeight="1">
      <c r="A12082" s="2">
        <v>2019.0</v>
      </c>
      <c r="B12082" s="2" t="s">
        <v>48238</v>
      </c>
      <c r="C12082" s="2" t="s">
        <v>48238</v>
      </c>
      <c r="D12082" s="2" t="str">
        <f>"2605798399"</f>
        <v>2605798399</v>
      </c>
      <c r="E12082" s="2" t="s">
        <v>36164</v>
      </c>
      <c r="F12082" s="2" t="s">
        <v>48239</v>
      </c>
      <c r="G12082" s="2" t="str">
        <f>"SR-16559"</f>
        <v>SR-16559</v>
      </c>
      <c r="H12082" s="2" t="s">
        <v>48240</v>
      </c>
      <c r="I12082" s="2" t="s">
        <v>48241</v>
      </c>
      <c r="K12082" s="2" t="s">
        <v>8721</v>
      </c>
      <c r="L12082" s="2" t="s">
        <v>149</v>
      </c>
      <c r="M12082" s="2">
        <v>46741.0</v>
      </c>
      <c r="N12082" s="2" t="s">
        <v>21</v>
      </c>
    </row>
    <row r="12083" ht="15.75" customHeight="1">
      <c r="A12083" s="2">
        <v>2019.0</v>
      </c>
      <c r="B12083" s="2" t="s">
        <v>48242</v>
      </c>
      <c r="C12083" s="2" t="s">
        <v>48243</v>
      </c>
      <c r="D12083" s="2" t="str">
        <f>"417.268.5027"</f>
        <v>417.268.5027</v>
      </c>
      <c r="E12083" s="2" t="s">
        <v>2243</v>
      </c>
      <c r="F12083" s="2" t="s">
        <v>21173</v>
      </c>
      <c r="G12083" s="2" t="str">
        <f>"SR-16597"</f>
        <v>SR-16597</v>
      </c>
      <c r="H12083" s="2" t="s">
        <v>48244</v>
      </c>
      <c r="I12083" s="2" t="s">
        <v>48245</v>
      </c>
      <c r="K12083" s="2" t="s">
        <v>3239</v>
      </c>
      <c r="L12083" s="2" t="s">
        <v>214</v>
      </c>
      <c r="M12083" s="2">
        <v>65804.0</v>
      </c>
      <c r="N12083" s="2" t="s">
        <v>21</v>
      </c>
    </row>
    <row r="12084" ht="15.75" customHeight="1">
      <c r="A12084" s="2">
        <v>2019.0</v>
      </c>
      <c r="B12084" s="2" t="s">
        <v>45040</v>
      </c>
      <c r="C12084" s="2" t="s">
        <v>45040</v>
      </c>
      <c r="D12084" s="2" t="str">
        <f>"7202442411"</f>
        <v>7202442411</v>
      </c>
      <c r="E12084" s="2" t="s">
        <v>584</v>
      </c>
      <c r="F12084" s="2" t="s">
        <v>6290</v>
      </c>
      <c r="G12084" s="2" t="str">
        <f>"SR-16408"</f>
        <v>SR-16408</v>
      </c>
      <c r="H12084" s="2" t="s">
        <v>48246</v>
      </c>
      <c r="I12084" s="2" t="s">
        <v>6292</v>
      </c>
      <c r="K12084" s="2" t="s">
        <v>1054</v>
      </c>
      <c r="L12084" s="2" t="s">
        <v>157</v>
      </c>
      <c r="M12084" s="2">
        <v>80134.0</v>
      </c>
      <c r="N12084" s="2" t="s">
        <v>21</v>
      </c>
    </row>
    <row r="12085" ht="15.75" customHeight="1">
      <c r="A12085" s="2">
        <v>2019.0</v>
      </c>
      <c r="B12085" s="2" t="s">
        <v>21092</v>
      </c>
      <c r="D12085" s="2" t="str">
        <f>""</f>
        <v/>
      </c>
      <c r="E12085" s="2" t="s">
        <v>18335</v>
      </c>
      <c r="F12085" s="2" t="s">
        <v>48247</v>
      </c>
      <c r="G12085" s="2" t="str">
        <f>"SR-16808"</f>
        <v>SR-16808</v>
      </c>
      <c r="H12085" s="2" t="s">
        <v>48248</v>
      </c>
      <c r="N12085" s="2" t="s">
        <v>21</v>
      </c>
    </row>
    <row r="12086" ht="15.75" customHeight="1">
      <c r="A12086" s="2">
        <v>2019.0</v>
      </c>
      <c r="B12086" s="2" t="s">
        <v>48249</v>
      </c>
      <c r="C12086" s="2" t="s">
        <v>48250</v>
      </c>
      <c r="D12086" s="2" t="str">
        <f>"3374017799"</f>
        <v>3374017799</v>
      </c>
      <c r="E12086" s="2" t="s">
        <v>7095</v>
      </c>
      <c r="F12086" s="2" t="s">
        <v>19823</v>
      </c>
      <c r="G12086" s="2" t="str">
        <f>"SR-16931"</f>
        <v>SR-16931</v>
      </c>
      <c r="H12086" s="2" t="s">
        <v>48251</v>
      </c>
      <c r="I12086" s="2" t="s">
        <v>48252</v>
      </c>
      <c r="K12086" s="2" t="s">
        <v>11600</v>
      </c>
      <c r="L12086" s="2" t="s">
        <v>715</v>
      </c>
      <c r="M12086" s="2">
        <v>70605.0</v>
      </c>
      <c r="N12086" s="2" t="s">
        <v>21</v>
      </c>
    </row>
    <row r="12087" ht="15.75" customHeight="1">
      <c r="A12087" s="2">
        <v>2019.0</v>
      </c>
      <c r="B12087" s="2" t="s">
        <v>48253</v>
      </c>
      <c r="C12087" s="2" t="s">
        <v>48253</v>
      </c>
      <c r="D12087" s="2" t="str">
        <f>"7272013347"</f>
        <v>7272013347</v>
      </c>
      <c r="E12087" s="2" t="s">
        <v>2912</v>
      </c>
      <c r="F12087" s="2" t="s">
        <v>48254</v>
      </c>
      <c r="G12087" s="2" t="str">
        <f>"SR-16937"</f>
        <v>SR-16937</v>
      </c>
      <c r="H12087" s="2" t="s">
        <v>48255</v>
      </c>
      <c r="I12087" s="2" t="s">
        <v>48256</v>
      </c>
      <c r="K12087" s="2" t="s">
        <v>3431</v>
      </c>
      <c r="L12087" s="2" t="s">
        <v>208</v>
      </c>
      <c r="M12087" s="2">
        <v>33647.0</v>
      </c>
      <c r="N12087" s="2" t="s">
        <v>21</v>
      </c>
    </row>
    <row r="12088" ht="15.75" customHeight="1">
      <c r="A12088" s="2">
        <v>2019.0</v>
      </c>
      <c r="B12088" s="2" t="s">
        <v>48257</v>
      </c>
      <c r="C12088" s="2" t="s">
        <v>48257</v>
      </c>
      <c r="D12088" s="2" t="str">
        <f>"7272223941"</f>
        <v>7272223941</v>
      </c>
      <c r="E12088" s="2" t="s">
        <v>3400</v>
      </c>
      <c r="F12088" s="2" t="s">
        <v>48254</v>
      </c>
      <c r="G12088" s="2" t="str">
        <f>"SR-16938"</f>
        <v>SR-16938</v>
      </c>
      <c r="H12088" s="2" t="s">
        <v>48258</v>
      </c>
      <c r="I12088" s="2" t="s">
        <v>48256</v>
      </c>
      <c r="K12088" s="2" t="s">
        <v>3431</v>
      </c>
      <c r="L12088" s="2" t="s">
        <v>208</v>
      </c>
      <c r="M12088" s="2">
        <v>33647.0</v>
      </c>
      <c r="N12088" s="2" t="s">
        <v>21</v>
      </c>
    </row>
    <row r="12089" ht="15.75" customHeight="1">
      <c r="A12089" s="2">
        <v>2019.0</v>
      </c>
      <c r="B12089" s="2" t="s">
        <v>48259</v>
      </c>
      <c r="C12089" s="2" t="s">
        <v>48260</v>
      </c>
      <c r="D12089" s="2" t="str">
        <f>"813-545-7909"</f>
        <v>813-545-7909</v>
      </c>
      <c r="E12089" s="2" t="s">
        <v>4897</v>
      </c>
      <c r="F12089" s="2" t="s">
        <v>48254</v>
      </c>
      <c r="G12089" s="2" t="str">
        <f>"SR-16939"</f>
        <v>SR-16939</v>
      </c>
      <c r="H12089" s="2" t="s">
        <v>48261</v>
      </c>
      <c r="I12089" s="2" t="s">
        <v>48262</v>
      </c>
      <c r="K12089" s="2" t="s">
        <v>3431</v>
      </c>
      <c r="L12089" s="2" t="s">
        <v>208</v>
      </c>
      <c r="M12089" s="2">
        <v>33647.0</v>
      </c>
      <c r="N12089" s="2" t="s">
        <v>21</v>
      </c>
    </row>
    <row r="12090" ht="15.75" customHeight="1">
      <c r="A12090" s="2">
        <v>2019.0</v>
      </c>
      <c r="B12090" s="2" t="s">
        <v>24775</v>
      </c>
      <c r="C12090" s="2" t="s">
        <v>48263</v>
      </c>
      <c r="D12090" s="2" t="str">
        <f>"7137240431"</f>
        <v>7137240431</v>
      </c>
      <c r="E12090" s="2" t="s">
        <v>13215</v>
      </c>
      <c r="F12090" s="2" t="s">
        <v>24778</v>
      </c>
      <c r="G12090" s="2" t="str">
        <f>"SR-13612"</f>
        <v>SR-13612</v>
      </c>
      <c r="H12090" s="2" t="s">
        <v>48264</v>
      </c>
      <c r="I12090" s="2" t="s">
        <v>48265</v>
      </c>
      <c r="K12090" s="2" t="s">
        <v>38089</v>
      </c>
      <c r="L12090" s="2" t="s">
        <v>172</v>
      </c>
      <c r="M12090" s="2">
        <v>76708.0</v>
      </c>
      <c r="N12090" s="2" t="s">
        <v>21</v>
      </c>
    </row>
    <row r="12091" ht="15.75" customHeight="1">
      <c r="A12091" s="2">
        <v>2019.0</v>
      </c>
      <c r="B12091" s="2" t="s">
        <v>48266</v>
      </c>
      <c r="C12091" s="2" t="s">
        <v>48267</v>
      </c>
      <c r="D12091" s="2" t="str">
        <f>"619-761-7775"</f>
        <v>619-761-7775</v>
      </c>
      <c r="E12091" s="2" t="s">
        <v>2361</v>
      </c>
      <c r="F12091" s="2" t="s">
        <v>16541</v>
      </c>
      <c r="G12091" s="2" t="str">
        <f>"SR-16603"</f>
        <v>SR-16603</v>
      </c>
      <c r="H12091" s="2" t="s">
        <v>48268</v>
      </c>
      <c r="I12091" s="2" t="s">
        <v>48269</v>
      </c>
      <c r="K12091" s="2" t="s">
        <v>48270</v>
      </c>
      <c r="L12091" s="2" t="s">
        <v>222</v>
      </c>
      <c r="M12091" s="2">
        <v>91950.0</v>
      </c>
      <c r="N12091" s="2" t="s">
        <v>21</v>
      </c>
    </row>
    <row r="12092" ht="15.75" customHeight="1">
      <c r="A12092" s="2">
        <v>2019.0</v>
      </c>
      <c r="B12092" s="2" t="s">
        <v>48271</v>
      </c>
      <c r="C12092" s="2" t="s">
        <v>48272</v>
      </c>
      <c r="D12092" s="2" t="str">
        <f>"6162295202"</f>
        <v>6162295202</v>
      </c>
      <c r="E12092" s="2" t="s">
        <v>48273</v>
      </c>
      <c r="F12092" s="2" t="s">
        <v>48274</v>
      </c>
      <c r="G12092" s="2" t="str">
        <f>"SR-16375"</f>
        <v>SR-16375</v>
      </c>
      <c r="H12092" s="2" t="s">
        <v>48275</v>
      </c>
      <c r="I12092" s="2" t="s">
        <v>48276</v>
      </c>
      <c r="K12092" s="2" t="s">
        <v>21988</v>
      </c>
      <c r="L12092" s="2" t="s">
        <v>29</v>
      </c>
      <c r="M12092" s="2">
        <v>49426.0</v>
      </c>
      <c r="N12092" s="2" t="s">
        <v>21</v>
      </c>
    </row>
    <row r="12093" ht="15.75" customHeight="1">
      <c r="A12093" s="2">
        <v>2019.0</v>
      </c>
      <c r="B12093" s="2" t="s">
        <v>28833</v>
      </c>
      <c r="C12093" s="2" t="s">
        <v>48277</v>
      </c>
      <c r="D12093" s="2" t="str">
        <f>"404-789-1377"</f>
        <v>404-789-1377</v>
      </c>
      <c r="E12093" s="2" t="s">
        <v>8316</v>
      </c>
      <c r="F12093" s="2" t="s">
        <v>639</v>
      </c>
      <c r="G12093" s="2" t="str">
        <f>"SR-16893"</f>
        <v>SR-16893</v>
      </c>
      <c r="H12093" s="2" t="s">
        <v>48278</v>
      </c>
      <c r="I12093" s="2" t="s">
        <v>48279</v>
      </c>
      <c r="K12093" s="2" t="s">
        <v>7012</v>
      </c>
      <c r="L12093" s="2" t="s">
        <v>200</v>
      </c>
      <c r="M12093" s="2">
        <v>30005.0</v>
      </c>
      <c r="N12093" s="2" t="s">
        <v>21</v>
      </c>
    </row>
    <row r="12094" ht="15.75" customHeight="1">
      <c r="A12094" s="2">
        <v>2019.0</v>
      </c>
      <c r="B12094" s="2" t="s">
        <v>48280</v>
      </c>
      <c r="C12094" s="2" t="s">
        <v>48280</v>
      </c>
      <c r="D12094" s="2" t="str">
        <f>"4323121216"</f>
        <v>4323121216</v>
      </c>
      <c r="E12094" s="2" t="s">
        <v>11423</v>
      </c>
      <c r="F12094" s="2" t="s">
        <v>48281</v>
      </c>
      <c r="G12094" s="2" t="str">
        <f>"SR-16446"</f>
        <v>SR-16446</v>
      </c>
      <c r="H12094" s="2" t="s">
        <v>48282</v>
      </c>
      <c r="I12094" s="2" t="s">
        <v>48283</v>
      </c>
      <c r="K12094" s="2" t="s">
        <v>286</v>
      </c>
      <c r="L12094" s="2" t="s">
        <v>172</v>
      </c>
      <c r="M12094" s="2">
        <v>79705.0</v>
      </c>
      <c r="N12094" s="2" t="s">
        <v>21</v>
      </c>
    </row>
    <row r="12095" ht="15.75" customHeight="1">
      <c r="A12095" s="2">
        <v>2019.0</v>
      </c>
      <c r="B12095" s="2" t="s">
        <v>48284</v>
      </c>
      <c r="C12095" s="2" t="s">
        <v>48285</v>
      </c>
      <c r="D12095" s="2" t="str">
        <f>"8043792407"</f>
        <v>8043792407</v>
      </c>
      <c r="E12095" s="2" t="s">
        <v>261</v>
      </c>
      <c r="F12095" s="2" t="s">
        <v>48286</v>
      </c>
      <c r="G12095" s="2" t="str">
        <f>"SR-16943"</f>
        <v>SR-16943</v>
      </c>
      <c r="H12095" s="2" t="s">
        <v>48287</v>
      </c>
      <c r="I12095" s="2" t="s">
        <v>48288</v>
      </c>
      <c r="K12095" s="2" t="s">
        <v>11179</v>
      </c>
      <c r="L12095" s="2" t="s">
        <v>165</v>
      </c>
      <c r="M12095" s="2">
        <v>23113.0</v>
      </c>
      <c r="N12095" s="2" t="s">
        <v>38892</v>
      </c>
    </row>
    <row r="12096" ht="15.75" customHeight="1">
      <c r="A12096" s="2">
        <v>2019.0</v>
      </c>
      <c r="B12096" s="2" t="s">
        <v>48289</v>
      </c>
      <c r="C12096" s="2" t="s">
        <v>48290</v>
      </c>
      <c r="D12096" s="2" t="str">
        <f>"9044975600"</f>
        <v>9044975600</v>
      </c>
      <c r="E12096" s="2" t="s">
        <v>81</v>
      </c>
      <c r="F12096" s="2" t="s">
        <v>26530</v>
      </c>
      <c r="G12096" s="2" t="str">
        <f>"SR-16944"</f>
        <v>SR-16944</v>
      </c>
      <c r="H12096" s="2" t="s">
        <v>48291</v>
      </c>
      <c r="I12096" s="2" t="s">
        <v>48292</v>
      </c>
      <c r="K12096" s="2" t="s">
        <v>48293</v>
      </c>
      <c r="L12096" s="2" t="s">
        <v>208</v>
      </c>
      <c r="M12096" s="2">
        <v>32266.0</v>
      </c>
      <c r="N12096" s="2" t="s">
        <v>21</v>
      </c>
    </row>
    <row r="12097" ht="15.75" customHeight="1">
      <c r="A12097" s="2">
        <v>2019.0</v>
      </c>
      <c r="B12097" s="2" t="s">
        <v>48294</v>
      </c>
      <c r="C12097" s="2" t="s">
        <v>48295</v>
      </c>
      <c r="D12097" s="2" t="str">
        <f>"5402475758"</f>
        <v>5402475758</v>
      </c>
      <c r="E12097" s="2" t="s">
        <v>6283</v>
      </c>
      <c r="F12097" s="2" t="s">
        <v>25763</v>
      </c>
      <c r="G12097" s="2" t="str">
        <f>"SR-16835"</f>
        <v>SR-16835</v>
      </c>
      <c r="H12097" s="2" t="s">
        <v>48296</v>
      </c>
      <c r="I12097" s="2" t="s">
        <v>48297</v>
      </c>
      <c r="K12097" s="2" t="s">
        <v>594</v>
      </c>
      <c r="L12097" s="2" t="s">
        <v>165</v>
      </c>
      <c r="M12097" s="2">
        <v>22602.0</v>
      </c>
      <c r="N12097" s="2" t="s">
        <v>21</v>
      </c>
    </row>
    <row r="12098" ht="15.75" customHeight="1">
      <c r="A12098" s="2">
        <v>2019.0</v>
      </c>
      <c r="B12098" s="2" t="s">
        <v>34670</v>
      </c>
      <c r="C12098" s="2" t="s">
        <v>48298</v>
      </c>
      <c r="D12098" s="2" t="str">
        <f>"2487074703"</f>
        <v>2487074703</v>
      </c>
      <c r="E12098" s="2" t="s">
        <v>4782</v>
      </c>
      <c r="F12098" s="2" t="s">
        <v>2771</v>
      </c>
      <c r="G12098" s="2" t="str">
        <f>"SR-16958"</f>
        <v>SR-16958</v>
      </c>
      <c r="H12098" s="2" t="s">
        <v>48299</v>
      </c>
      <c r="I12098" s="2" t="s">
        <v>48300</v>
      </c>
      <c r="K12098" s="2" t="s">
        <v>2836</v>
      </c>
      <c r="L12098" s="2" t="s">
        <v>29</v>
      </c>
      <c r="M12098" s="2">
        <v>49220.0</v>
      </c>
      <c r="N12098" s="2" t="s">
        <v>21</v>
      </c>
    </row>
    <row r="12099" ht="15.75" customHeight="1">
      <c r="A12099" s="2">
        <v>2019.0</v>
      </c>
      <c r="B12099" s="2" t="s">
        <v>41038</v>
      </c>
      <c r="C12099" s="2" t="s">
        <v>48301</v>
      </c>
      <c r="D12099" s="2" t="str">
        <f>"3033463225"</f>
        <v>3033463225</v>
      </c>
      <c r="E12099" s="2" t="s">
        <v>225</v>
      </c>
      <c r="F12099" s="2" t="s">
        <v>41040</v>
      </c>
      <c r="G12099" s="2" t="str">
        <f>"SR-16720"</f>
        <v>SR-16720</v>
      </c>
      <c r="H12099" s="2" t="s">
        <v>48302</v>
      </c>
      <c r="I12099" s="2" t="s">
        <v>48303</v>
      </c>
      <c r="K12099" s="2" t="s">
        <v>682</v>
      </c>
      <c r="L12099" s="2" t="s">
        <v>157</v>
      </c>
      <c r="M12099" s="2">
        <v>80129.0</v>
      </c>
      <c r="N12099" s="2" t="s">
        <v>21</v>
      </c>
    </row>
    <row r="12100" ht="15.75" customHeight="1">
      <c r="A12100" s="2">
        <v>2019.0</v>
      </c>
      <c r="B12100" s="2" t="s">
        <v>48304</v>
      </c>
      <c r="C12100" s="2" t="s">
        <v>48304</v>
      </c>
      <c r="D12100" s="2" t="str">
        <f>"226-224-6893"</f>
        <v>226-224-6893</v>
      </c>
      <c r="E12100" s="2" t="s">
        <v>261</v>
      </c>
      <c r="F12100" s="2" t="s">
        <v>48305</v>
      </c>
      <c r="G12100" s="2" t="str">
        <f>"SR-16915"</f>
        <v>SR-16915</v>
      </c>
      <c r="H12100" s="2" t="s">
        <v>48306</v>
      </c>
      <c r="I12100" s="2" t="s">
        <v>48307</v>
      </c>
      <c r="K12100" s="2" t="s">
        <v>1685</v>
      </c>
      <c r="L12100" s="2" t="s">
        <v>2015</v>
      </c>
      <c r="M12100" s="2" t="s">
        <v>48308</v>
      </c>
      <c r="N12100" s="2" t="s">
        <v>1602</v>
      </c>
    </row>
    <row r="12101" ht="15.75" customHeight="1">
      <c r="A12101" s="2">
        <v>2019.0</v>
      </c>
      <c r="B12101" s="2" t="s">
        <v>48309</v>
      </c>
      <c r="C12101" s="2" t="s">
        <v>48310</v>
      </c>
      <c r="D12101" s="2" t="str">
        <f>"7194641915"</f>
        <v>7194641915</v>
      </c>
      <c r="E12101" s="2" t="s">
        <v>27484</v>
      </c>
      <c r="F12101" s="2" t="s">
        <v>48311</v>
      </c>
      <c r="G12101" s="2" t="str">
        <f>"SR-16964"</f>
        <v>SR-16964</v>
      </c>
      <c r="H12101" s="2" t="s">
        <v>48312</v>
      </c>
      <c r="I12101" s="2" t="s">
        <v>48313</v>
      </c>
      <c r="K12101" s="2" t="s">
        <v>809</v>
      </c>
      <c r="L12101" s="2" t="s">
        <v>157</v>
      </c>
      <c r="M12101" s="2">
        <v>80919.0</v>
      </c>
      <c r="N12101" s="2" t="s">
        <v>21</v>
      </c>
    </row>
    <row r="12102" ht="15.75" customHeight="1">
      <c r="A12102" s="2">
        <v>2019.0</v>
      </c>
      <c r="B12102" s="2" t="s">
        <v>48314</v>
      </c>
      <c r="C12102" s="2" t="s">
        <v>48314</v>
      </c>
      <c r="D12102" s="2" t="str">
        <f>"(260) 710-6014"</f>
        <v>(260) 710-6014</v>
      </c>
      <c r="E12102" s="2" t="s">
        <v>2433</v>
      </c>
      <c r="F12102" s="2" t="s">
        <v>31133</v>
      </c>
      <c r="G12102" s="2" t="str">
        <f>"SR-16567"</f>
        <v>SR-16567</v>
      </c>
      <c r="H12102" s="2" t="s">
        <v>48315</v>
      </c>
      <c r="I12102" s="2" t="s">
        <v>48316</v>
      </c>
      <c r="K12102" s="2" t="s">
        <v>4379</v>
      </c>
      <c r="L12102" s="2" t="s">
        <v>149</v>
      </c>
      <c r="M12102" s="2">
        <v>46765.0</v>
      </c>
      <c r="N12102" s="2" t="s">
        <v>21</v>
      </c>
    </row>
    <row r="12103" ht="15.75" customHeight="1">
      <c r="A12103" s="2">
        <v>2019.0</v>
      </c>
      <c r="B12103" s="2" t="s">
        <v>48317</v>
      </c>
      <c r="C12103" s="2" t="s">
        <v>48318</v>
      </c>
      <c r="D12103" s="2" t="str">
        <f>"8162883362"</f>
        <v>8162883362</v>
      </c>
      <c r="E12103" s="2" t="s">
        <v>843</v>
      </c>
      <c r="F12103" s="2" t="s">
        <v>48319</v>
      </c>
      <c r="G12103" s="2" t="str">
        <f>"SR-16815"</f>
        <v>SR-16815</v>
      </c>
      <c r="H12103" s="2" t="s">
        <v>48320</v>
      </c>
      <c r="I12103" s="2" t="s">
        <v>48321</v>
      </c>
      <c r="K12103" s="2" t="s">
        <v>13774</v>
      </c>
      <c r="L12103" s="2" t="s">
        <v>214</v>
      </c>
      <c r="M12103" s="2">
        <v>64030.0</v>
      </c>
      <c r="N12103" s="2" t="s">
        <v>21</v>
      </c>
    </row>
    <row r="12104" ht="15.75" customHeight="1">
      <c r="A12104" s="2">
        <v>2019.0</v>
      </c>
      <c r="B12104" s="2" t="s">
        <v>48322</v>
      </c>
      <c r="C12104" s="2" t="s">
        <v>48323</v>
      </c>
      <c r="D12104" s="2" t="str">
        <f>"4848443389"</f>
        <v>4848443389</v>
      </c>
      <c r="E12104" s="2" t="s">
        <v>43</v>
      </c>
      <c r="F12104" s="2" t="s">
        <v>48324</v>
      </c>
      <c r="G12104" s="2" t="str">
        <f>"SR-16928"</f>
        <v>SR-16928</v>
      </c>
      <c r="H12104" s="2" t="s">
        <v>48325</v>
      </c>
      <c r="I12104" s="2" t="s">
        <v>48326</v>
      </c>
      <c r="K12104" s="2" t="s">
        <v>36133</v>
      </c>
      <c r="L12104" s="2" t="s">
        <v>179</v>
      </c>
      <c r="M12104" s="2">
        <v>19335.0</v>
      </c>
      <c r="N12104" s="2" t="s">
        <v>21</v>
      </c>
    </row>
    <row r="12105" ht="15.75" customHeight="1">
      <c r="A12105" s="2">
        <v>2019.0</v>
      </c>
      <c r="B12105" s="2" t="s">
        <v>48327</v>
      </c>
      <c r="C12105" s="2" t="s">
        <v>48328</v>
      </c>
      <c r="D12105" s="2" t="str">
        <f>"520-461-8856"</f>
        <v>520-461-8856</v>
      </c>
      <c r="E12105" s="2" t="s">
        <v>3903</v>
      </c>
      <c r="F12105" s="2" t="s">
        <v>1614</v>
      </c>
      <c r="G12105" s="2" t="str">
        <f>"SR-16968"</f>
        <v>SR-16968</v>
      </c>
      <c r="H12105" s="2" t="s">
        <v>48329</v>
      </c>
      <c r="I12105" s="2" t="s">
        <v>48330</v>
      </c>
      <c r="K12105" s="2" t="s">
        <v>809</v>
      </c>
      <c r="L12105" s="2" t="s">
        <v>157</v>
      </c>
      <c r="M12105" s="2">
        <v>80919.0</v>
      </c>
      <c r="N12105" s="2" t="s">
        <v>21</v>
      </c>
    </row>
    <row r="12106" ht="15.75" customHeight="1">
      <c r="A12106" s="2">
        <v>2019.0</v>
      </c>
      <c r="B12106" s="2" t="s">
        <v>48331</v>
      </c>
      <c r="C12106" s="2" t="s">
        <v>48331</v>
      </c>
      <c r="D12106" s="2" t="str">
        <f>"6103530282"</f>
        <v>6103530282</v>
      </c>
      <c r="E12106" s="2" t="s">
        <v>2314</v>
      </c>
      <c r="F12106" s="2" t="s">
        <v>2162</v>
      </c>
      <c r="G12106" s="2" t="str">
        <f>"SR-16907"</f>
        <v>SR-16907</v>
      </c>
      <c r="H12106" s="2" t="s">
        <v>48332</v>
      </c>
      <c r="I12106" s="2" t="s">
        <v>48333</v>
      </c>
      <c r="K12106" s="2" t="s">
        <v>48104</v>
      </c>
      <c r="L12106" s="2" t="s">
        <v>179</v>
      </c>
      <c r="M12106" s="2">
        <v>19008.0</v>
      </c>
      <c r="N12106" s="2" t="s">
        <v>21</v>
      </c>
    </row>
    <row r="12107" ht="15.75" customHeight="1">
      <c r="A12107" s="2">
        <v>2019.0</v>
      </c>
      <c r="B12107" s="2" t="s">
        <v>48334</v>
      </c>
      <c r="C12107" s="2" t="s">
        <v>48335</v>
      </c>
      <c r="D12107" s="2" t="str">
        <f>"6066279539"</f>
        <v>6066279539</v>
      </c>
      <c r="E12107" s="2" t="s">
        <v>2941</v>
      </c>
      <c r="F12107" s="2" t="s">
        <v>1567</v>
      </c>
      <c r="G12107" s="2" t="str">
        <f>"SR-16971"</f>
        <v>SR-16971</v>
      </c>
      <c r="H12107" s="2" t="s">
        <v>48336</v>
      </c>
      <c r="I12107" s="2" t="s">
        <v>48337</v>
      </c>
      <c r="K12107" s="2" t="s">
        <v>48338</v>
      </c>
      <c r="L12107" s="2" t="s">
        <v>1236</v>
      </c>
      <c r="M12107" s="2">
        <v>40906.0</v>
      </c>
      <c r="N12107" s="2" t="s">
        <v>21</v>
      </c>
    </row>
    <row r="12108" ht="15.75" customHeight="1">
      <c r="A12108" s="2">
        <v>2019.0</v>
      </c>
      <c r="B12108" s="2" t="s">
        <v>48339</v>
      </c>
      <c r="C12108" s="2" t="s">
        <v>48340</v>
      </c>
      <c r="D12108" s="2" t="str">
        <f>"8644012743"</f>
        <v>8644012743</v>
      </c>
      <c r="E12108" s="2" t="s">
        <v>2361</v>
      </c>
      <c r="F12108" s="2" t="s">
        <v>32883</v>
      </c>
      <c r="G12108" s="2" t="str">
        <f>"SR-16972"</f>
        <v>SR-16972</v>
      </c>
      <c r="H12108" s="2" t="s">
        <v>48341</v>
      </c>
      <c r="I12108" s="2" t="s">
        <v>48342</v>
      </c>
      <c r="K12108" s="2" t="s">
        <v>13339</v>
      </c>
      <c r="L12108" s="2" t="s">
        <v>55</v>
      </c>
      <c r="M12108" s="2">
        <v>29316.0</v>
      </c>
      <c r="N12108" s="2" t="s">
        <v>21</v>
      </c>
    </row>
    <row r="12109" ht="15.75" customHeight="1">
      <c r="A12109" s="2">
        <v>2019.0</v>
      </c>
      <c r="B12109" s="2" t="s">
        <v>48339</v>
      </c>
      <c r="D12109" s="2" t="str">
        <f>"(864) 504-5977"</f>
        <v>(864) 504-5977</v>
      </c>
      <c r="E12109" s="2" t="s">
        <v>72</v>
      </c>
      <c r="F12109" s="2" t="s">
        <v>32883</v>
      </c>
      <c r="G12109" s="2" t="str">
        <f>"SR-16974"</f>
        <v>SR-16974</v>
      </c>
      <c r="H12109" s="2" t="s">
        <v>48343</v>
      </c>
      <c r="I12109" s="2" t="s">
        <v>48342</v>
      </c>
      <c r="K12109" s="2" t="s">
        <v>13339</v>
      </c>
      <c r="L12109" s="2" t="s">
        <v>55</v>
      </c>
      <c r="M12109" s="2">
        <v>29316.0</v>
      </c>
      <c r="N12109" s="2" t="s">
        <v>21</v>
      </c>
    </row>
    <row r="12110" ht="15.75" customHeight="1">
      <c r="A12110" s="2">
        <v>2019.0</v>
      </c>
      <c r="B12110" s="2" t="s">
        <v>48344</v>
      </c>
      <c r="C12110" s="2" t="s">
        <v>48345</v>
      </c>
      <c r="D12110" s="2" t="str">
        <f>"3608406931"</f>
        <v>3608406931</v>
      </c>
      <c r="E12110" s="2" t="s">
        <v>48346</v>
      </c>
      <c r="F12110" s="2" t="s">
        <v>48347</v>
      </c>
      <c r="G12110" s="2" t="str">
        <f>"SR-16975"</f>
        <v>SR-16975</v>
      </c>
      <c r="H12110" s="2" t="s">
        <v>48348</v>
      </c>
      <c r="I12110" s="2" t="s">
        <v>48349</v>
      </c>
      <c r="K12110" s="2" t="s">
        <v>29167</v>
      </c>
      <c r="L12110" s="2" t="s">
        <v>86</v>
      </c>
      <c r="M12110" s="2">
        <v>98232.0</v>
      </c>
      <c r="N12110" s="2" t="s">
        <v>21</v>
      </c>
    </row>
    <row r="12111" ht="15.75" customHeight="1">
      <c r="A12111" s="2">
        <v>2019.0</v>
      </c>
      <c r="B12111" s="2" t="s">
        <v>48350</v>
      </c>
      <c r="C12111" s="2" t="s">
        <v>48351</v>
      </c>
      <c r="D12111" s="2" t="str">
        <f>"5179027975"</f>
        <v>5179027975</v>
      </c>
      <c r="E12111" s="2" t="s">
        <v>1928</v>
      </c>
      <c r="F12111" s="2" t="s">
        <v>32391</v>
      </c>
      <c r="G12111" s="2" t="str">
        <f>"SR-16977"</f>
        <v>SR-16977</v>
      </c>
      <c r="H12111" s="2" t="s">
        <v>48352</v>
      </c>
      <c r="I12111" s="2" t="s">
        <v>48353</v>
      </c>
      <c r="K12111" s="2" t="s">
        <v>47</v>
      </c>
      <c r="L12111" s="2" t="s">
        <v>29</v>
      </c>
      <c r="M12111" s="2">
        <v>49221.0</v>
      </c>
      <c r="N12111" s="2" t="s">
        <v>21</v>
      </c>
    </row>
    <row r="12112" ht="15.75" customHeight="1">
      <c r="A12112" s="2">
        <v>2019.0</v>
      </c>
      <c r="B12112" s="2" t="s">
        <v>36650</v>
      </c>
      <c r="C12112" s="2" t="s">
        <v>45924</v>
      </c>
      <c r="D12112" s="2" t="str">
        <f>"504-432-3987"</f>
        <v>504-432-3987</v>
      </c>
      <c r="E12112" s="2" t="s">
        <v>5667</v>
      </c>
      <c r="F12112" s="2" t="s">
        <v>1451</v>
      </c>
      <c r="G12112" s="2" t="str">
        <f>"SR-16978"</f>
        <v>SR-16978</v>
      </c>
      <c r="H12112" s="2" t="s">
        <v>45925</v>
      </c>
      <c r="I12112" s="2" t="s">
        <v>45926</v>
      </c>
      <c r="K12112" s="2" t="s">
        <v>45927</v>
      </c>
      <c r="L12112" s="2" t="s">
        <v>715</v>
      </c>
      <c r="M12112" s="2">
        <v>70001.0</v>
      </c>
      <c r="N12112" s="2" t="s">
        <v>21</v>
      </c>
    </row>
    <row r="12113" ht="15.75" customHeight="1">
      <c r="A12113" s="2">
        <v>2019.0</v>
      </c>
      <c r="B12113" s="2" t="s">
        <v>48354</v>
      </c>
      <c r="D12113" s="2" t="str">
        <f>""</f>
        <v/>
      </c>
      <c r="E12113" s="2" t="s">
        <v>48355</v>
      </c>
      <c r="F12113" s="2" t="s">
        <v>711</v>
      </c>
      <c r="G12113" s="2" t="str">
        <f>"SR-15223"</f>
        <v>SR-15223</v>
      </c>
      <c r="H12113" s="2" t="s">
        <v>48356</v>
      </c>
    </row>
    <row r="12114" ht="15.75" customHeight="1">
      <c r="A12114" s="2">
        <v>2019.0</v>
      </c>
      <c r="B12114" s="2" t="s">
        <v>48357</v>
      </c>
      <c r="C12114" s="2" t="s">
        <v>48358</v>
      </c>
      <c r="D12114" s="2" t="str">
        <f>"3374889354"</f>
        <v>3374889354</v>
      </c>
      <c r="E12114" s="2" t="s">
        <v>908</v>
      </c>
      <c r="F12114" s="2" t="s">
        <v>11597</v>
      </c>
      <c r="G12114" s="2" t="str">
        <f>"SR-16878"</f>
        <v>SR-16878</v>
      </c>
      <c r="H12114" s="2" t="s">
        <v>48359</v>
      </c>
      <c r="I12114" s="2" t="s">
        <v>48360</v>
      </c>
      <c r="K12114" s="2" t="s">
        <v>11600</v>
      </c>
      <c r="L12114" s="2" t="s">
        <v>715</v>
      </c>
      <c r="M12114" s="2">
        <v>70605.0</v>
      </c>
      <c r="N12114" s="2" t="s">
        <v>21</v>
      </c>
    </row>
    <row r="12115" ht="15.75" customHeight="1">
      <c r="A12115" s="2">
        <v>2019.0</v>
      </c>
      <c r="B12115" s="2" t="s">
        <v>48361</v>
      </c>
      <c r="C12115" s="2" t="s">
        <v>48362</v>
      </c>
      <c r="D12115" s="2" t="str">
        <f>"864-423-8499"</f>
        <v>864-423-8499</v>
      </c>
      <c r="E12115" s="2" t="s">
        <v>1585</v>
      </c>
      <c r="F12115" s="2" t="s">
        <v>48363</v>
      </c>
      <c r="G12115" s="2" t="str">
        <f>"SR-16689"</f>
        <v>SR-16689</v>
      </c>
      <c r="H12115" s="2" t="s">
        <v>48364</v>
      </c>
      <c r="I12115" s="2" t="s">
        <v>48365</v>
      </c>
      <c r="K12115" s="2" t="s">
        <v>1878</v>
      </c>
      <c r="L12115" s="2" t="s">
        <v>55</v>
      </c>
      <c r="M12115" s="2">
        <v>29681.0</v>
      </c>
      <c r="N12115" s="2" t="s">
        <v>21</v>
      </c>
    </row>
    <row r="12116" ht="15.75" customHeight="1">
      <c r="A12116" s="2">
        <v>2019.0</v>
      </c>
      <c r="B12116" s="2" t="s">
        <v>48366</v>
      </c>
      <c r="C12116" s="2" t="s">
        <v>48367</v>
      </c>
      <c r="D12116" s="2" t="str">
        <f>"715-927-3807"</f>
        <v>715-927-3807</v>
      </c>
      <c r="E12116" s="2" t="s">
        <v>48368</v>
      </c>
      <c r="F12116" s="2" t="s">
        <v>48369</v>
      </c>
      <c r="G12116" s="2" t="str">
        <f>"SR-16981"</f>
        <v>SR-16981</v>
      </c>
      <c r="H12116" s="2" t="s">
        <v>48370</v>
      </c>
      <c r="I12116" s="2" t="s">
        <v>48371</v>
      </c>
      <c r="K12116" s="2" t="s">
        <v>48372</v>
      </c>
      <c r="L12116" s="2" t="s">
        <v>193</v>
      </c>
      <c r="M12116" s="2">
        <v>54114.0</v>
      </c>
      <c r="N12116" s="2" t="s">
        <v>21</v>
      </c>
    </row>
    <row r="12117" ht="15.75" customHeight="1">
      <c r="A12117" s="2">
        <v>2019.0</v>
      </c>
      <c r="B12117" s="2" t="s">
        <v>48373</v>
      </c>
      <c r="C12117" s="2" t="s">
        <v>48374</v>
      </c>
      <c r="D12117" s="2" t="str">
        <f>"17787150891"</f>
        <v>17787150891</v>
      </c>
      <c r="E12117" s="2" t="s">
        <v>48375</v>
      </c>
      <c r="F12117" s="2" t="s">
        <v>48376</v>
      </c>
      <c r="G12117" s="2" t="str">
        <f>"SR-16985"</f>
        <v>SR-16985</v>
      </c>
      <c r="H12117" s="2" t="s">
        <v>48377</v>
      </c>
      <c r="I12117" s="2" t="s">
        <v>48378</v>
      </c>
      <c r="K12117" s="2" t="s">
        <v>48379</v>
      </c>
      <c r="L12117" s="2" t="s">
        <v>48380</v>
      </c>
      <c r="M12117" s="2">
        <v>650500.0</v>
      </c>
      <c r="N12117" s="2" t="s">
        <v>20821</v>
      </c>
    </row>
    <row r="12118" ht="15.75" customHeight="1">
      <c r="A12118" s="2">
        <v>2019.0</v>
      </c>
      <c r="B12118" s="2" t="s">
        <v>48381</v>
      </c>
      <c r="C12118" s="2" t="s">
        <v>48382</v>
      </c>
      <c r="D12118" s="2" t="str">
        <f>"7172711658"</f>
        <v>7172711658</v>
      </c>
      <c r="E12118" s="2" t="s">
        <v>5732</v>
      </c>
      <c r="F12118" s="2" t="s">
        <v>48383</v>
      </c>
      <c r="G12118" s="2" t="str">
        <f>"SR-16980"</f>
        <v>SR-16980</v>
      </c>
      <c r="H12118" s="2" t="s">
        <v>48384</v>
      </c>
      <c r="I12118" s="2" t="s">
        <v>48385</v>
      </c>
      <c r="K12118" s="2" t="s">
        <v>48386</v>
      </c>
      <c r="L12118" s="2" t="s">
        <v>179</v>
      </c>
      <c r="M12118" s="2">
        <v>17540.0</v>
      </c>
      <c r="N12118" s="2" t="s">
        <v>21</v>
      </c>
    </row>
    <row r="12119" ht="15.75" customHeight="1">
      <c r="A12119" s="2">
        <v>2019.0</v>
      </c>
      <c r="B12119" s="2" t="s">
        <v>48387</v>
      </c>
      <c r="C12119" s="2" t="s">
        <v>48387</v>
      </c>
      <c r="D12119" s="2" t="str">
        <f>"7316946508"</f>
        <v>7316946508</v>
      </c>
      <c r="E12119" s="2" t="s">
        <v>931</v>
      </c>
      <c r="F12119" s="2" t="s">
        <v>5500</v>
      </c>
      <c r="G12119" s="2" t="str">
        <f>"SR-16899"</f>
        <v>SR-16899</v>
      </c>
      <c r="H12119" s="2" t="s">
        <v>48388</v>
      </c>
      <c r="I12119" s="2" t="s">
        <v>5502</v>
      </c>
      <c r="K12119" s="2" t="s">
        <v>1257</v>
      </c>
      <c r="L12119" s="2" t="s">
        <v>279</v>
      </c>
      <c r="M12119" s="2">
        <v>38305.0</v>
      </c>
      <c r="N12119" s="2" t="s">
        <v>21</v>
      </c>
    </row>
    <row r="12120" ht="15.75" customHeight="1">
      <c r="A12120" s="2">
        <v>2019.0</v>
      </c>
      <c r="B12120" s="2" t="s">
        <v>48389</v>
      </c>
      <c r="C12120" s="2" t="s">
        <v>48390</v>
      </c>
      <c r="D12120" s="2" t="str">
        <f>"765-215-9532"</f>
        <v>765-215-9532</v>
      </c>
      <c r="E12120" s="2" t="s">
        <v>261</v>
      </c>
      <c r="F12120" s="2" t="s">
        <v>48391</v>
      </c>
      <c r="G12120" s="2" t="str">
        <f>"SR-16987"</f>
        <v>SR-16987</v>
      </c>
      <c r="H12120" s="2" t="s">
        <v>48392</v>
      </c>
      <c r="I12120" s="2" t="s">
        <v>48393</v>
      </c>
      <c r="K12120" s="2" t="s">
        <v>16434</v>
      </c>
      <c r="L12120" s="2" t="s">
        <v>149</v>
      </c>
      <c r="M12120" s="2">
        <v>47303.0</v>
      </c>
      <c r="N12120" s="2" t="s">
        <v>21</v>
      </c>
    </row>
    <row r="12121" ht="15.75" customHeight="1">
      <c r="A12121" s="2">
        <v>2019.0</v>
      </c>
      <c r="B12121" s="2" t="s">
        <v>48394</v>
      </c>
      <c r="C12121" s="2" t="s">
        <v>48395</v>
      </c>
      <c r="D12121" s="2" t="str">
        <f>"5418253740"</f>
        <v>5418253740</v>
      </c>
      <c r="E12121" s="2" t="s">
        <v>217</v>
      </c>
      <c r="F12121" s="2" t="s">
        <v>48396</v>
      </c>
      <c r="G12121" s="2" t="str">
        <f>"SR-16991"</f>
        <v>SR-16991</v>
      </c>
      <c r="H12121" s="2" t="s">
        <v>48397</v>
      </c>
      <c r="I12121" s="2" t="s">
        <v>48398</v>
      </c>
      <c r="K12121" s="2" t="s">
        <v>48399</v>
      </c>
      <c r="L12121" s="2" t="s">
        <v>2389</v>
      </c>
      <c r="M12121" s="2">
        <v>97484.0</v>
      </c>
      <c r="N12121" s="2" t="s">
        <v>21</v>
      </c>
    </row>
    <row r="12122" ht="15.75" customHeight="1">
      <c r="A12122" s="2">
        <v>2019.0</v>
      </c>
      <c r="B12122" s="2" t="s">
        <v>48400</v>
      </c>
      <c r="C12122" s="2" t="s">
        <v>48401</v>
      </c>
      <c r="D12122" s="2" t="str">
        <f>"804-598-8979"</f>
        <v>804-598-8979</v>
      </c>
      <c r="E12122" s="2" t="s">
        <v>2243</v>
      </c>
      <c r="F12122" s="2" t="s">
        <v>5721</v>
      </c>
      <c r="G12122" s="2" t="str">
        <f>"SR-17003"</f>
        <v>SR-17003</v>
      </c>
      <c r="H12122" s="2" t="s">
        <v>48402</v>
      </c>
      <c r="I12122" s="2" t="s">
        <v>48403</v>
      </c>
      <c r="K12122" s="2" t="s">
        <v>48404</v>
      </c>
      <c r="L12122" s="2" t="s">
        <v>165</v>
      </c>
      <c r="M12122" s="2">
        <v>23139.0</v>
      </c>
      <c r="N12122" s="2" t="s">
        <v>21</v>
      </c>
    </row>
    <row r="12123" ht="15.75" customHeight="1">
      <c r="A12123" s="2">
        <v>2019.0</v>
      </c>
      <c r="B12123" s="2" t="s">
        <v>48405</v>
      </c>
      <c r="C12123" s="2" t="s">
        <v>48405</v>
      </c>
      <c r="D12123" s="2" t="str">
        <f>"(765)789-4582"</f>
        <v>(765)789-4582</v>
      </c>
      <c r="E12123" s="2" t="s">
        <v>9532</v>
      </c>
      <c r="F12123" s="2" t="s">
        <v>41949</v>
      </c>
      <c r="G12123" s="2" t="str">
        <f>"SR-16955"</f>
        <v>SR-16955</v>
      </c>
      <c r="H12123" s="2" t="s">
        <v>48406</v>
      </c>
      <c r="I12123" s="2" t="s">
        <v>48407</v>
      </c>
      <c r="K12123" s="2" t="s">
        <v>7670</v>
      </c>
      <c r="L12123" s="2" t="s">
        <v>149</v>
      </c>
      <c r="M12123" s="2">
        <v>47320.0</v>
      </c>
      <c r="N12123" s="2" t="s">
        <v>21</v>
      </c>
    </row>
    <row r="12124" ht="15.75" customHeight="1">
      <c r="A12124" s="2">
        <v>2019.0</v>
      </c>
      <c r="B12124" s="2" t="s">
        <v>48408</v>
      </c>
      <c r="C12124" s="2" t="s">
        <v>48408</v>
      </c>
      <c r="D12124" s="2" t="str">
        <f>"6627220482"</f>
        <v>6627220482</v>
      </c>
      <c r="E12124" s="2" t="s">
        <v>48409</v>
      </c>
      <c r="F12124" s="2" t="s">
        <v>2936</v>
      </c>
      <c r="G12124" s="2" t="str">
        <f>"SR-17002"</f>
        <v>SR-17002</v>
      </c>
      <c r="H12124" s="2" t="s">
        <v>48410</v>
      </c>
      <c r="I12124" s="2" t="s">
        <v>48411</v>
      </c>
      <c r="K12124" s="2" t="s">
        <v>1901</v>
      </c>
      <c r="L12124" s="2" t="s">
        <v>1722</v>
      </c>
      <c r="M12124" s="2">
        <v>39759.0</v>
      </c>
      <c r="N12124" s="2" t="s">
        <v>21</v>
      </c>
    </row>
    <row r="12125" ht="15.75" customHeight="1">
      <c r="A12125" s="2">
        <v>2019.0</v>
      </c>
      <c r="B12125" s="2" t="s">
        <v>48412</v>
      </c>
      <c r="C12125" s="2" t="s">
        <v>48413</v>
      </c>
      <c r="D12125" s="2" t="str">
        <f>"3378535432"</f>
        <v>3378535432</v>
      </c>
      <c r="E12125" s="2" t="s">
        <v>1263</v>
      </c>
      <c r="F12125" s="2" t="s">
        <v>33961</v>
      </c>
      <c r="G12125" s="2" t="str">
        <f>"SR-16990"</f>
        <v>SR-16990</v>
      </c>
      <c r="H12125" s="2" t="s">
        <v>48414</v>
      </c>
      <c r="I12125" s="2">
        <v>1504.0</v>
      </c>
      <c r="J12125" s="2" t="s">
        <v>48415</v>
      </c>
      <c r="K12125" s="2" t="s">
        <v>11600</v>
      </c>
      <c r="L12125" s="2" t="s">
        <v>715</v>
      </c>
      <c r="M12125" s="2">
        <v>70615.0</v>
      </c>
      <c r="N12125" s="2" t="s">
        <v>21</v>
      </c>
    </row>
    <row r="12126" ht="15.75" customHeight="1">
      <c r="A12126" s="2">
        <v>2019.0</v>
      </c>
      <c r="B12126" s="2" t="s">
        <v>48416</v>
      </c>
      <c r="C12126" s="2" t="s">
        <v>48417</v>
      </c>
      <c r="D12126" s="2" t="str">
        <f>"347-414-3108"</f>
        <v>347-414-3108</v>
      </c>
      <c r="E12126" s="2" t="s">
        <v>250</v>
      </c>
      <c r="F12126" s="2" t="s">
        <v>48418</v>
      </c>
      <c r="G12126" s="2" t="str">
        <f>"SR-16952"</f>
        <v>SR-16952</v>
      </c>
      <c r="H12126" s="2" t="s">
        <v>48419</v>
      </c>
      <c r="I12126" s="2" t="s">
        <v>48420</v>
      </c>
      <c r="K12126" s="2" t="s">
        <v>9998</v>
      </c>
      <c r="L12126" s="2" t="s">
        <v>142</v>
      </c>
      <c r="M12126" s="2">
        <v>10509.0</v>
      </c>
      <c r="N12126" s="2" t="s">
        <v>21</v>
      </c>
    </row>
    <row r="12127" ht="15.75" customHeight="1">
      <c r="A12127" s="2">
        <v>2019.0</v>
      </c>
      <c r="B12127" s="2" t="s">
        <v>48421</v>
      </c>
      <c r="C12127" s="2" t="s">
        <v>48422</v>
      </c>
      <c r="D12127" s="2" t="str">
        <f>"405-385-4783"</f>
        <v>405-385-4783</v>
      </c>
      <c r="E12127" s="2" t="s">
        <v>1257</v>
      </c>
      <c r="F12127" s="2" t="s">
        <v>48423</v>
      </c>
      <c r="G12127" s="2" t="str">
        <f>"SR-17016"</f>
        <v>SR-17016</v>
      </c>
      <c r="H12127" s="2" t="s">
        <v>48424</v>
      </c>
      <c r="I12127" s="2" t="s">
        <v>48425</v>
      </c>
      <c r="K12127" s="2" t="s">
        <v>11711</v>
      </c>
      <c r="L12127" s="2" t="s">
        <v>840</v>
      </c>
      <c r="M12127" s="2">
        <v>74074.0</v>
      </c>
      <c r="N12127" s="2" t="s">
        <v>21</v>
      </c>
    </row>
    <row r="12128" ht="15.75" customHeight="1">
      <c r="A12128" s="2">
        <v>2019.0</v>
      </c>
      <c r="B12128" s="2" t="s">
        <v>48213</v>
      </c>
      <c r="C12128" s="2" t="s">
        <v>48426</v>
      </c>
      <c r="D12128" s="2" t="str">
        <f>"7192318311"</f>
        <v>7192318311</v>
      </c>
      <c r="E12128" s="2" t="s">
        <v>2173</v>
      </c>
      <c r="F12128" s="2" t="s">
        <v>17913</v>
      </c>
      <c r="G12128" s="2" t="str">
        <f>"SR-15456"</f>
        <v>SR-15456</v>
      </c>
      <c r="H12128" s="2" t="s">
        <v>48427</v>
      </c>
      <c r="I12128" s="2" t="s">
        <v>48216</v>
      </c>
      <c r="K12128" s="2" t="s">
        <v>809</v>
      </c>
      <c r="L12128" s="2" t="s">
        <v>157</v>
      </c>
      <c r="M12128" s="2">
        <v>80919.0</v>
      </c>
      <c r="N12128" s="2" t="s">
        <v>21</v>
      </c>
    </row>
    <row r="12129" ht="15.75" customHeight="1">
      <c r="A12129" s="2">
        <v>2019.0</v>
      </c>
      <c r="B12129" s="2" t="s">
        <v>48428</v>
      </c>
      <c r="C12129" s="2" t="s">
        <v>48429</v>
      </c>
      <c r="D12129" s="2" t="str">
        <f>"214-207-1100"</f>
        <v>214-207-1100</v>
      </c>
      <c r="E12129" s="2" t="s">
        <v>267</v>
      </c>
      <c r="F12129" s="2" t="s">
        <v>3283</v>
      </c>
      <c r="G12129" s="2" t="str">
        <f>"SR-16942"</f>
        <v>SR-16942</v>
      </c>
      <c r="H12129" s="2" t="s">
        <v>48430</v>
      </c>
      <c r="I12129" s="2" t="s">
        <v>48431</v>
      </c>
      <c r="K12129" s="2" t="s">
        <v>1255</v>
      </c>
      <c r="L12129" s="2" t="s">
        <v>172</v>
      </c>
      <c r="M12129" s="2">
        <v>75205.0</v>
      </c>
      <c r="N12129" s="2" t="s">
        <v>21</v>
      </c>
    </row>
    <row r="12130" ht="15.75" customHeight="1">
      <c r="A12130" s="2">
        <v>2019.0</v>
      </c>
      <c r="B12130" s="2" t="s">
        <v>48432</v>
      </c>
      <c r="C12130" s="2" t="s">
        <v>48433</v>
      </c>
      <c r="D12130" s="2" t="str">
        <f>"5739444850"</f>
        <v>5739444850</v>
      </c>
      <c r="E12130" s="2" t="s">
        <v>10929</v>
      </c>
      <c r="F12130" s="2" t="s">
        <v>48434</v>
      </c>
      <c r="G12130" s="2" t="str">
        <f>"SR-17021"</f>
        <v>SR-17021</v>
      </c>
      <c r="H12130" s="2" t="s">
        <v>48435</v>
      </c>
      <c r="I12130" s="2" t="s">
        <v>48436</v>
      </c>
      <c r="K12130" s="2" t="s">
        <v>48437</v>
      </c>
      <c r="L12130" s="2" t="s">
        <v>214</v>
      </c>
      <c r="M12130" s="2">
        <v>63645.0</v>
      </c>
      <c r="N12130" s="2" t="s">
        <v>21</v>
      </c>
    </row>
    <row r="12131" ht="15.75" customHeight="1">
      <c r="A12131" s="2">
        <v>2019.0</v>
      </c>
      <c r="B12131" s="2" t="s">
        <v>48432</v>
      </c>
      <c r="C12131" s="2" t="s">
        <v>48438</v>
      </c>
      <c r="D12131" s="2" t="str">
        <f>"5739444845"</f>
        <v>5739444845</v>
      </c>
      <c r="E12131" s="2" t="s">
        <v>225</v>
      </c>
      <c r="F12131" s="2" t="s">
        <v>48434</v>
      </c>
      <c r="G12131" s="2" t="str">
        <f>"SR-17020"</f>
        <v>SR-17020</v>
      </c>
      <c r="H12131" s="2" t="s">
        <v>48439</v>
      </c>
      <c r="I12131" s="2" t="s">
        <v>48436</v>
      </c>
      <c r="K12131" s="2" t="s">
        <v>1138</v>
      </c>
      <c r="L12131" s="2" t="s">
        <v>214</v>
      </c>
      <c r="M12131" s="2">
        <v>63645.0</v>
      </c>
      <c r="N12131" s="2" t="s">
        <v>21</v>
      </c>
    </row>
    <row r="12132" ht="15.75" customHeight="1">
      <c r="A12132" s="2">
        <v>2019.0</v>
      </c>
      <c r="B12132" s="2" t="s">
        <v>48366</v>
      </c>
      <c r="C12132" s="2" t="s">
        <v>48440</v>
      </c>
      <c r="D12132" s="2" t="str">
        <f>"715-927-3801"</f>
        <v>715-927-3801</v>
      </c>
      <c r="E12132" s="2" t="s">
        <v>1141</v>
      </c>
      <c r="F12132" s="2" t="s">
        <v>48369</v>
      </c>
      <c r="G12132" s="2" t="str">
        <f>"SR-17022"</f>
        <v>SR-17022</v>
      </c>
      <c r="H12132" s="2" t="s">
        <v>48441</v>
      </c>
      <c r="I12132" s="2" t="s">
        <v>48371</v>
      </c>
      <c r="K12132" s="2" t="s">
        <v>48372</v>
      </c>
      <c r="L12132" s="2" t="s">
        <v>193</v>
      </c>
      <c r="M12132" s="2">
        <v>54114.0</v>
      </c>
      <c r="N12132" s="2" t="s">
        <v>21</v>
      </c>
    </row>
    <row r="12133" ht="15.75" customHeight="1">
      <c r="A12133" s="2">
        <v>2019.0</v>
      </c>
      <c r="B12133" s="2" t="s">
        <v>48442</v>
      </c>
      <c r="C12133" s="2" t="s">
        <v>48442</v>
      </c>
      <c r="D12133" s="2" t="str">
        <f>"5175257887"</f>
        <v>5175257887</v>
      </c>
      <c r="E12133" s="2" t="s">
        <v>385</v>
      </c>
      <c r="F12133" s="2" t="s">
        <v>45326</v>
      </c>
      <c r="G12133" s="2" t="str">
        <f>"SR-17030"</f>
        <v>SR-17030</v>
      </c>
      <c r="H12133" s="2" t="s">
        <v>48443</v>
      </c>
      <c r="I12133" s="2" t="s">
        <v>48444</v>
      </c>
      <c r="K12133" s="2" t="s">
        <v>48445</v>
      </c>
      <c r="L12133" s="2" t="s">
        <v>29</v>
      </c>
      <c r="M12133" s="2">
        <v>48895.0</v>
      </c>
      <c r="N12133" s="2" t="s">
        <v>21</v>
      </c>
    </row>
    <row r="12134" ht="15.75" customHeight="1">
      <c r="A12134" s="2">
        <v>2019.0</v>
      </c>
      <c r="B12134" s="2" t="s">
        <v>2308</v>
      </c>
      <c r="C12134" s="2" t="s">
        <v>48446</v>
      </c>
      <c r="D12134" s="2" t="str">
        <f>"301-768-0037"</f>
        <v>301-768-0037</v>
      </c>
      <c r="E12134" s="2" t="s">
        <v>1015</v>
      </c>
      <c r="F12134" s="2" t="s">
        <v>2310</v>
      </c>
      <c r="G12134" s="2" t="str">
        <f>"SR-17031"</f>
        <v>SR-17031</v>
      </c>
      <c r="H12134" s="2" t="s">
        <v>48447</v>
      </c>
      <c r="I12134" s="2" t="s">
        <v>48448</v>
      </c>
      <c r="K12134" s="2" t="s">
        <v>9257</v>
      </c>
      <c r="L12134" s="2" t="s">
        <v>1868</v>
      </c>
      <c r="M12134" s="2">
        <v>20876.0</v>
      </c>
      <c r="N12134" s="2" t="s">
        <v>21</v>
      </c>
    </row>
    <row r="12135" ht="15.75" customHeight="1">
      <c r="A12135" s="2">
        <v>2019.0</v>
      </c>
      <c r="B12135" s="2" t="s">
        <v>38466</v>
      </c>
      <c r="C12135" s="2" t="s">
        <v>48449</v>
      </c>
      <c r="D12135" s="2" t="str">
        <f>"9154334887"</f>
        <v>9154334887</v>
      </c>
      <c r="E12135" s="2" t="s">
        <v>48450</v>
      </c>
      <c r="F12135" s="2" t="s">
        <v>38467</v>
      </c>
      <c r="G12135" s="2" t="str">
        <f>"SR-17023"</f>
        <v>SR-17023</v>
      </c>
      <c r="H12135" s="2" t="s">
        <v>48451</v>
      </c>
      <c r="I12135" s="2" t="s">
        <v>48452</v>
      </c>
      <c r="K12135" s="2" t="s">
        <v>21247</v>
      </c>
      <c r="L12135" s="2" t="s">
        <v>172</v>
      </c>
      <c r="M12135" s="2">
        <v>79938.0</v>
      </c>
      <c r="N12135" s="2" t="s">
        <v>21</v>
      </c>
    </row>
    <row r="12136" ht="15.75" customHeight="1">
      <c r="A12136" s="2">
        <v>2019.0</v>
      </c>
      <c r="B12136" s="2" t="s">
        <v>48453</v>
      </c>
      <c r="C12136" s="2" t="s">
        <v>48454</v>
      </c>
      <c r="D12136" s="2" t="str">
        <f>"9158618249"</f>
        <v>9158618249</v>
      </c>
      <c r="E12136" s="2" t="s">
        <v>12609</v>
      </c>
      <c r="F12136" s="2" t="s">
        <v>15363</v>
      </c>
      <c r="G12136" s="2" t="str">
        <f>"SR-16998"</f>
        <v>SR-16998</v>
      </c>
      <c r="H12136" s="2" t="s">
        <v>48455</v>
      </c>
      <c r="I12136" s="2" t="s">
        <v>48456</v>
      </c>
      <c r="K12136" s="2" t="s">
        <v>21247</v>
      </c>
      <c r="L12136" s="2" t="s">
        <v>172</v>
      </c>
      <c r="M12136" s="2">
        <v>79936.0</v>
      </c>
      <c r="N12136" s="2" t="s">
        <v>21</v>
      </c>
    </row>
    <row r="12137" ht="15.75" customHeight="1">
      <c r="A12137" s="2">
        <v>2019.0</v>
      </c>
      <c r="B12137" s="2" t="s">
        <v>48457</v>
      </c>
      <c r="C12137" s="2" t="s">
        <v>48458</v>
      </c>
      <c r="D12137" s="2" t="str">
        <f>"8136244507"</f>
        <v>8136244507</v>
      </c>
      <c r="E12137" s="2" t="s">
        <v>373</v>
      </c>
      <c r="F12137" s="2" t="s">
        <v>3342</v>
      </c>
      <c r="G12137" s="2" t="str">
        <f>"SR-16890"</f>
        <v>SR-16890</v>
      </c>
      <c r="H12137" s="2" t="s">
        <v>48459</v>
      </c>
      <c r="I12137" s="2" t="s">
        <v>48460</v>
      </c>
      <c r="K12137" s="2" t="s">
        <v>809</v>
      </c>
      <c r="L12137" s="2" t="s">
        <v>157</v>
      </c>
      <c r="M12137" s="2">
        <v>80924.0</v>
      </c>
      <c r="N12137" s="2" t="s">
        <v>21</v>
      </c>
    </row>
    <row r="12138" ht="15.75" customHeight="1">
      <c r="A12138" s="2">
        <v>2019.0</v>
      </c>
      <c r="B12138" s="2" t="s">
        <v>12781</v>
      </c>
      <c r="C12138" s="2" t="s">
        <v>48461</v>
      </c>
      <c r="D12138" s="2" t="str">
        <f>"915-373-5322"</f>
        <v>915-373-5322</v>
      </c>
      <c r="E12138" s="2" t="s">
        <v>48462</v>
      </c>
      <c r="F12138" s="2" t="s">
        <v>12784</v>
      </c>
      <c r="G12138" s="2" t="str">
        <f>"SR-17006"</f>
        <v>SR-17006</v>
      </c>
      <c r="H12138" s="2" t="s">
        <v>48463</v>
      </c>
      <c r="I12138" s="2" t="s">
        <v>48464</v>
      </c>
      <c r="J12138" s="2" t="s">
        <v>12787</v>
      </c>
      <c r="K12138" s="2" t="s">
        <v>12788</v>
      </c>
      <c r="L12138" s="2" t="s">
        <v>172</v>
      </c>
      <c r="M12138" s="2">
        <v>79853.0</v>
      </c>
      <c r="N12138" s="2" t="s">
        <v>21</v>
      </c>
    </row>
    <row r="12139" ht="15.75" customHeight="1">
      <c r="A12139" s="2">
        <v>2019.0</v>
      </c>
      <c r="B12139" s="2" t="s">
        <v>38466</v>
      </c>
      <c r="C12139" s="2" t="s">
        <v>38466</v>
      </c>
      <c r="D12139" s="2" t="str">
        <f>"915-857-7767"</f>
        <v>915-857-7767</v>
      </c>
      <c r="E12139" s="2" t="s">
        <v>29070</v>
      </c>
      <c r="F12139" s="2" t="s">
        <v>38467</v>
      </c>
      <c r="G12139" s="2" t="str">
        <f>"SR-13108"</f>
        <v>SR-13108</v>
      </c>
      <c r="H12139" s="2" t="s">
        <v>38468</v>
      </c>
      <c r="I12139" s="2" t="s">
        <v>38469</v>
      </c>
      <c r="K12139" s="2" t="s">
        <v>38470</v>
      </c>
      <c r="L12139" s="2" t="s">
        <v>172</v>
      </c>
      <c r="M12139" s="2">
        <v>79938.0</v>
      </c>
      <c r="N12139" s="2" t="s">
        <v>21</v>
      </c>
    </row>
    <row r="12140" ht="15.75" customHeight="1">
      <c r="A12140" s="2">
        <v>2019.0</v>
      </c>
      <c r="B12140" s="2" t="s">
        <v>12041</v>
      </c>
      <c r="C12140" s="2" t="s">
        <v>48465</v>
      </c>
      <c r="D12140" s="2" t="str">
        <f>"9154333257"</f>
        <v>9154333257</v>
      </c>
      <c r="E12140" s="2" t="s">
        <v>18027</v>
      </c>
      <c r="F12140" s="2" t="s">
        <v>35644</v>
      </c>
      <c r="G12140" s="2" t="str">
        <f>"SR-17029"</f>
        <v>SR-17029</v>
      </c>
      <c r="H12140" s="2" t="s">
        <v>48466</v>
      </c>
      <c r="I12140" s="2" t="s">
        <v>35646</v>
      </c>
      <c r="K12140" s="2" t="s">
        <v>12047</v>
      </c>
      <c r="L12140" s="2" t="s">
        <v>172</v>
      </c>
      <c r="M12140" s="2">
        <v>79838.0</v>
      </c>
      <c r="N12140" s="2" t="s">
        <v>21</v>
      </c>
    </row>
    <row r="12141" ht="15.75" customHeight="1">
      <c r="A12141" s="2">
        <v>2019.0</v>
      </c>
      <c r="B12141" s="2" t="s">
        <v>48467</v>
      </c>
      <c r="C12141" s="2" t="s">
        <v>48468</v>
      </c>
      <c r="D12141" s="2" t="str">
        <f>"915 443 3094"</f>
        <v>915 443 3094</v>
      </c>
      <c r="E12141" s="2" t="s">
        <v>339</v>
      </c>
      <c r="F12141" s="2" t="s">
        <v>48469</v>
      </c>
      <c r="G12141" s="2" t="str">
        <f>"SR-16983"</f>
        <v>SR-16983</v>
      </c>
      <c r="H12141" s="2" t="s">
        <v>48470</v>
      </c>
      <c r="I12141" s="2" t="s">
        <v>48471</v>
      </c>
      <c r="K12141" s="2" t="s">
        <v>21247</v>
      </c>
      <c r="L12141" s="2" t="s">
        <v>172</v>
      </c>
      <c r="M12141" s="2">
        <v>79925.0</v>
      </c>
      <c r="N12141" s="2" t="s">
        <v>21</v>
      </c>
    </row>
    <row r="12142" ht="15.75" customHeight="1">
      <c r="A12142" s="2">
        <v>2019.0</v>
      </c>
      <c r="B12142" s="2" t="s">
        <v>35696</v>
      </c>
      <c r="C12142" s="2" t="s">
        <v>48472</v>
      </c>
      <c r="D12142" s="2" t="str">
        <f>"(915) 822-1417"</f>
        <v>(915) 822-1417</v>
      </c>
      <c r="E12142" s="2" t="s">
        <v>48473</v>
      </c>
      <c r="F12142" s="2" t="s">
        <v>35698</v>
      </c>
      <c r="G12142" s="2" t="str">
        <f>"SR-16910"</f>
        <v>SR-16910</v>
      </c>
      <c r="H12142" s="2" t="s">
        <v>48474</v>
      </c>
      <c r="I12142" s="2" t="s">
        <v>35700</v>
      </c>
      <c r="K12142" s="2" t="s">
        <v>21247</v>
      </c>
      <c r="L12142" s="2" t="s">
        <v>172</v>
      </c>
      <c r="M12142" s="2">
        <v>79934.0</v>
      </c>
      <c r="N12142" s="2" t="s">
        <v>21</v>
      </c>
    </row>
    <row r="12143" ht="15.75" customHeight="1">
      <c r="A12143" s="2">
        <v>2019.0</v>
      </c>
      <c r="B12143" s="2" t="s">
        <v>48475</v>
      </c>
      <c r="C12143" s="2" t="s">
        <v>48476</v>
      </c>
      <c r="D12143" s="2" t="str">
        <f>"7193231880"</f>
        <v>7193231880</v>
      </c>
      <c r="E12143" s="2" t="s">
        <v>1585</v>
      </c>
      <c r="F12143" s="2" t="s">
        <v>48477</v>
      </c>
      <c r="G12143" s="2" t="str">
        <f>"SR-15474"</f>
        <v>SR-15474</v>
      </c>
      <c r="H12143" s="2" t="s">
        <v>48478</v>
      </c>
      <c r="I12143" s="2" t="s">
        <v>48479</v>
      </c>
      <c r="K12143" s="2" t="s">
        <v>507</v>
      </c>
      <c r="L12143" s="2" t="s">
        <v>157</v>
      </c>
      <c r="M12143" s="2">
        <v>80921.0</v>
      </c>
      <c r="N12143" s="2" t="s">
        <v>21</v>
      </c>
    </row>
    <row r="12144" ht="15.75" customHeight="1">
      <c r="A12144" s="2">
        <v>2019.0</v>
      </c>
      <c r="B12144" s="2" t="s">
        <v>48480</v>
      </c>
      <c r="C12144" s="2" t="s">
        <v>48481</v>
      </c>
      <c r="D12144" s="2" t="str">
        <f>"615-679-8055"</f>
        <v>615-679-8055</v>
      </c>
      <c r="E12144" s="2" t="s">
        <v>1803</v>
      </c>
      <c r="F12144" s="2" t="s">
        <v>48482</v>
      </c>
      <c r="G12144" s="2" t="str">
        <f>"SR-17035"</f>
        <v>SR-17035</v>
      </c>
      <c r="H12144" s="2" t="s">
        <v>48483</v>
      </c>
      <c r="I12144" s="2" t="s">
        <v>48484</v>
      </c>
      <c r="K12144" s="2" t="s">
        <v>278</v>
      </c>
      <c r="L12144" s="2" t="s">
        <v>279</v>
      </c>
      <c r="M12144" s="2">
        <v>37067.0</v>
      </c>
      <c r="N12144" s="2" t="s">
        <v>21</v>
      </c>
    </row>
    <row r="12145" ht="15.75" customHeight="1">
      <c r="A12145" s="2">
        <v>2019.0</v>
      </c>
      <c r="B12145" s="2" t="s">
        <v>48485</v>
      </c>
      <c r="C12145" s="2" t="s">
        <v>48486</v>
      </c>
      <c r="D12145" s="2" t="str">
        <f>"3039562881"</f>
        <v>3039562881</v>
      </c>
      <c r="E12145" s="2" t="s">
        <v>167</v>
      </c>
      <c r="F12145" s="2" t="s">
        <v>48487</v>
      </c>
      <c r="G12145" s="2" t="str">
        <f>"SR-17034"</f>
        <v>SR-17034</v>
      </c>
      <c r="H12145" s="2" t="s">
        <v>48488</v>
      </c>
      <c r="I12145" s="2" t="s">
        <v>48489</v>
      </c>
      <c r="K12145" s="2" t="s">
        <v>5179</v>
      </c>
      <c r="L12145" s="2" t="s">
        <v>157</v>
      </c>
      <c r="M12145" s="2">
        <v>80304.0</v>
      </c>
      <c r="N12145" s="2" t="s">
        <v>21</v>
      </c>
    </row>
    <row r="12146" ht="15.75" customHeight="1">
      <c r="A12146" s="2">
        <v>2019.0</v>
      </c>
      <c r="B12146" s="2" t="s">
        <v>48490</v>
      </c>
      <c r="C12146" s="2" t="s">
        <v>48491</v>
      </c>
      <c r="D12146" s="2" t="str">
        <f t="shared" ref="D12146:D12147" si="204">"502-807-4949"</f>
        <v>502-807-4949</v>
      </c>
      <c r="E12146" s="2" t="s">
        <v>261</v>
      </c>
      <c r="F12146" s="2" t="s">
        <v>48492</v>
      </c>
      <c r="G12146" s="2" t="str">
        <f>"SR-17036"</f>
        <v>SR-17036</v>
      </c>
      <c r="H12146" s="2" t="s">
        <v>48493</v>
      </c>
      <c r="I12146" s="2" t="s">
        <v>48494</v>
      </c>
      <c r="K12146" s="2" t="s">
        <v>30117</v>
      </c>
      <c r="L12146" s="2" t="s">
        <v>149</v>
      </c>
      <c r="M12146" s="2">
        <v>47130.0</v>
      </c>
      <c r="N12146" s="2" t="s">
        <v>21</v>
      </c>
    </row>
    <row r="12147" ht="15.75" customHeight="1">
      <c r="A12147" s="2">
        <v>2019.0</v>
      </c>
      <c r="B12147" s="2" t="s">
        <v>48490</v>
      </c>
      <c r="C12147" s="2" t="s">
        <v>48495</v>
      </c>
      <c r="D12147" s="2" t="str">
        <f t="shared" si="204"/>
        <v>502-807-4949</v>
      </c>
      <c r="E12147" s="2" t="s">
        <v>705</v>
      </c>
      <c r="F12147" s="2" t="s">
        <v>48492</v>
      </c>
      <c r="G12147" s="2" t="str">
        <f>"SR-17037"</f>
        <v>SR-17037</v>
      </c>
      <c r="H12147" s="2" t="s">
        <v>48496</v>
      </c>
      <c r="I12147" s="2" t="s">
        <v>48494</v>
      </c>
      <c r="K12147" s="2" t="s">
        <v>30117</v>
      </c>
      <c r="L12147" s="2" t="s">
        <v>149</v>
      </c>
      <c r="M12147" s="2">
        <v>47130.0</v>
      </c>
      <c r="N12147" s="2" t="s">
        <v>21</v>
      </c>
    </row>
    <row r="12148" ht="15.75" customHeight="1">
      <c r="A12148" s="2">
        <v>2019.0</v>
      </c>
      <c r="B12148" s="2" t="s">
        <v>48497</v>
      </c>
      <c r="C12148" s="2" t="s">
        <v>48497</v>
      </c>
      <c r="D12148" s="2" t="str">
        <f>"6157152121"</f>
        <v>6157152121</v>
      </c>
      <c r="E12148" s="2" t="s">
        <v>2162</v>
      </c>
      <c r="F12148" s="2" t="s">
        <v>41593</v>
      </c>
      <c r="G12148" s="2" t="str">
        <f>"SR-17038"</f>
        <v>SR-17038</v>
      </c>
      <c r="H12148" s="2" t="s">
        <v>48498</v>
      </c>
      <c r="I12148" s="2" t="s">
        <v>41595</v>
      </c>
      <c r="K12148" s="2" t="s">
        <v>12405</v>
      </c>
      <c r="L12148" s="2" t="s">
        <v>279</v>
      </c>
      <c r="M12148" s="2">
        <v>37128.0</v>
      </c>
      <c r="N12148" s="2" t="s">
        <v>21</v>
      </c>
    </row>
    <row r="12149" ht="15.75" customHeight="1">
      <c r="A12149" s="2">
        <v>2019.0</v>
      </c>
      <c r="B12149" s="2" t="s">
        <v>48499</v>
      </c>
      <c r="C12149" s="2" t="s">
        <v>48500</v>
      </c>
      <c r="D12149" s="2" t="str">
        <f>"719-213-1925"</f>
        <v>719-213-1925</v>
      </c>
      <c r="E12149" s="2" t="s">
        <v>2031</v>
      </c>
      <c r="F12149" s="2" t="s">
        <v>48501</v>
      </c>
      <c r="G12149" s="2" t="str">
        <f>"SR-15127"</f>
        <v>SR-15127</v>
      </c>
      <c r="H12149" s="2" t="s">
        <v>48502</v>
      </c>
      <c r="I12149" s="2" t="s">
        <v>48503</v>
      </c>
      <c r="K12149" s="2" t="s">
        <v>507</v>
      </c>
      <c r="L12149" s="2" t="s">
        <v>157</v>
      </c>
      <c r="M12149" s="2">
        <v>80132.0</v>
      </c>
      <c r="N12149" s="2" t="s">
        <v>21</v>
      </c>
    </row>
    <row r="12150" ht="15.75" customHeight="1">
      <c r="A12150" s="2">
        <v>2019.0</v>
      </c>
      <c r="B12150" s="2" t="s">
        <v>48504</v>
      </c>
      <c r="C12150" s="2" t="s">
        <v>48504</v>
      </c>
      <c r="D12150" s="2" t="str">
        <f>"(317) 440-4075"</f>
        <v>(317) 440-4075</v>
      </c>
      <c r="E12150" s="2" t="s">
        <v>144</v>
      </c>
      <c r="F12150" s="2" t="s">
        <v>48505</v>
      </c>
      <c r="G12150" s="2" t="str">
        <f>"SR-16940"</f>
        <v>SR-16940</v>
      </c>
      <c r="H12150" s="2" t="s">
        <v>48506</v>
      </c>
      <c r="I12150" s="2" t="s">
        <v>48507</v>
      </c>
      <c r="K12150" s="2" t="s">
        <v>2660</v>
      </c>
      <c r="L12150" s="2" t="s">
        <v>149</v>
      </c>
      <c r="M12150" s="2">
        <v>46037.0</v>
      </c>
      <c r="N12150" s="2" t="s">
        <v>21</v>
      </c>
    </row>
    <row r="12151" ht="15.75" customHeight="1">
      <c r="A12151" s="2">
        <v>2019.0</v>
      </c>
      <c r="B12151" s="2" t="s">
        <v>48508</v>
      </c>
      <c r="C12151" s="2" t="s">
        <v>48509</v>
      </c>
      <c r="D12151" s="2" t="str">
        <f>"9404790278"</f>
        <v>9404790278</v>
      </c>
      <c r="E12151" s="2" t="s">
        <v>1761</v>
      </c>
      <c r="F12151" s="2" t="s">
        <v>48510</v>
      </c>
      <c r="G12151" s="2" t="str">
        <f>"SR-17047"</f>
        <v>SR-17047</v>
      </c>
      <c r="H12151" s="2" t="s">
        <v>48511</v>
      </c>
      <c r="I12151" s="2" t="s">
        <v>48512</v>
      </c>
      <c r="K12151" s="2" t="s">
        <v>26440</v>
      </c>
      <c r="L12151" s="2" t="s">
        <v>172</v>
      </c>
      <c r="M12151" s="2">
        <v>76259.0</v>
      </c>
      <c r="N12151" s="2" t="s">
        <v>21</v>
      </c>
    </row>
    <row r="12152" ht="15.75" customHeight="1">
      <c r="A12152" s="2">
        <v>2019.0</v>
      </c>
      <c r="B12152" s="2" t="s">
        <v>48513</v>
      </c>
      <c r="C12152" s="2" t="s">
        <v>48514</v>
      </c>
      <c r="D12152" s="2" t="str">
        <f>"305-343-4738"</f>
        <v>305-343-4738</v>
      </c>
      <c r="E12152" s="2" t="s">
        <v>453</v>
      </c>
      <c r="F12152" s="2" t="s">
        <v>128</v>
      </c>
      <c r="G12152" s="2" t="str">
        <f>"SR-17048"</f>
        <v>SR-17048</v>
      </c>
      <c r="H12152" s="2" t="s">
        <v>48515</v>
      </c>
      <c r="I12152" s="2" t="s">
        <v>48516</v>
      </c>
      <c r="K12152" s="2" t="s">
        <v>48517</v>
      </c>
      <c r="L12152" s="2" t="s">
        <v>208</v>
      </c>
      <c r="M12152" s="2">
        <v>33330.0</v>
      </c>
      <c r="N12152" s="2" t="s">
        <v>21</v>
      </c>
    </row>
    <row r="12153" ht="15.75" customHeight="1">
      <c r="A12153" s="2">
        <v>2019.0</v>
      </c>
      <c r="B12153" s="2" t="s">
        <v>26410</v>
      </c>
      <c r="C12153" s="2" t="s">
        <v>48518</v>
      </c>
      <c r="D12153" s="2" t="str">
        <f>"480-828-1953"</f>
        <v>480-828-1953</v>
      </c>
      <c r="E12153" s="2" t="s">
        <v>19261</v>
      </c>
      <c r="F12153" s="2" t="s">
        <v>94</v>
      </c>
      <c r="G12153" s="2" t="str">
        <f>"SR-17049"</f>
        <v>SR-17049</v>
      </c>
      <c r="H12153" s="2" t="s">
        <v>23265</v>
      </c>
      <c r="I12153" s="2" t="s">
        <v>48519</v>
      </c>
      <c r="K12153" s="2" t="s">
        <v>1593</v>
      </c>
      <c r="L12153" s="2" t="s">
        <v>422</v>
      </c>
      <c r="M12153" s="2">
        <v>85259.0</v>
      </c>
      <c r="N12153" s="2" t="s">
        <v>21</v>
      </c>
    </row>
    <row r="12154" ht="15.75" customHeight="1">
      <c r="A12154" s="2">
        <v>2019.0</v>
      </c>
      <c r="B12154" s="2" t="s">
        <v>48520</v>
      </c>
      <c r="C12154" s="2" t="s">
        <v>48520</v>
      </c>
      <c r="D12154" s="2" t="str">
        <f>"2073170133"</f>
        <v>2073170133</v>
      </c>
      <c r="E12154" s="2" t="s">
        <v>2598</v>
      </c>
      <c r="F12154" s="2" t="s">
        <v>6159</v>
      </c>
      <c r="G12154" s="2" t="str">
        <f>"SR-17053"</f>
        <v>SR-17053</v>
      </c>
      <c r="H12154" s="2" t="s">
        <v>48521</v>
      </c>
      <c r="I12154" s="2" t="s">
        <v>48522</v>
      </c>
      <c r="K12154" s="2" t="s">
        <v>48523</v>
      </c>
      <c r="L12154" s="2" t="s">
        <v>3737</v>
      </c>
      <c r="M12154" s="2">
        <v>4084.0</v>
      </c>
      <c r="N12154" s="2" t="s">
        <v>21</v>
      </c>
    </row>
    <row r="12155" ht="15.75" customHeight="1">
      <c r="A12155" s="2">
        <v>2019.0</v>
      </c>
      <c r="B12155" s="2" t="s">
        <v>48524</v>
      </c>
      <c r="C12155" s="2" t="s">
        <v>48525</v>
      </c>
      <c r="D12155" s="2" t="str">
        <f>"14176385219"</f>
        <v>14176385219</v>
      </c>
      <c r="E12155" s="2" t="s">
        <v>339</v>
      </c>
      <c r="F12155" s="2" t="s">
        <v>9856</v>
      </c>
      <c r="G12155" s="2" t="str">
        <f>"SR-16926"</f>
        <v>SR-16926</v>
      </c>
      <c r="H12155" s="2" t="s">
        <v>48526</v>
      </c>
      <c r="I12155" s="2" t="s">
        <v>48527</v>
      </c>
      <c r="K12155" s="2" t="s">
        <v>48528</v>
      </c>
      <c r="L12155" s="2" t="s">
        <v>214</v>
      </c>
      <c r="M12155" s="2">
        <v>64866.0</v>
      </c>
      <c r="N12155" s="2" t="s">
        <v>21</v>
      </c>
    </row>
    <row r="12156" ht="15.75" customHeight="1">
      <c r="A12156" s="2">
        <v>2019.0</v>
      </c>
      <c r="B12156" s="2" t="s">
        <v>48529</v>
      </c>
      <c r="C12156" s="2" t="s">
        <v>48529</v>
      </c>
      <c r="D12156" s="2" t="str">
        <f>"7656373748"</f>
        <v>7656373748</v>
      </c>
      <c r="E12156" s="2" t="s">
        <v>7892</v>
      </c>
      <c r="F12156" s="2" t="s">
        <v>48530</v>
      </c>
      <c r="G12156" s="2" t="str">
        <f>"SR-17062"</f>
        <v>SR-17062</v>
      </c>
      <c r="H12156" s="2" t="s">
        <v>48531</v>
      </c>
      <c r="I12156" s="2" t="s">
        <v>48532</v>
      </c>
      <c r="K12156" s="2" t="s">
        <v>48533</v>
      </c>
      <c r="L12156" s="2" t="s">
        <v>149</v>
      </c>
      <c r="M12156" s="2">
        <v>47906.0</v>
      </c>
      <c r="N12156" s="2" t="s">
        <v>21</v>
      </c>
    </row>
    <row r="12157" ht="15.75" customHeight="1">
      <c r="A12157" s="2">
        <v>2019.0</v>
      </c>
      <c r="B12157" s="2" t="s">
        <v>48534</v>
      </c>
      <c r="C12157" s="2" t="s">
        <v>48535</v>
      </c>
      <c r="D12157" s="2" t="str">
        <f>"303 680 4875"</f>
        <v>303 680 4875</v>
      </c>
      <c r="E12157" s="2" t="s">
        <v>160</v>
      </c>
      <c r="F12157" s="2" t="s">
        <v>34892</v>
      </c>
      <c r="G12157" s="2" t="str">
        <f>"SR-17065"</f>
        <v>SR-17065</v>
      </c>
      <c r="H12157" s="2" t="s">
        <v>48536</v>
      </c>
      <c r="I12157" s="2" t="s">
        <v>48537</v>
      </c>
      <c r="K12157" s="2" t="s">
        <v>1054</v>
      </c>
      <c r="L12157" s="2" t="s">
        <v>157</v>
      </c>
      <c r="M12157" s="2">
        <v>80134.0</v>
      </c>
      <c r="N12157" s="2" t="s">
        <v>21</v>
      </c>
    </row>
    <row r="12158" ht="15.75" customHeight="1">
      <c r="A12158" s="2">
        <v>2019.0</v>
      </c>
      <c r="B12158" s="2" t="s">
        <v>48538</v>
      </c>
      <c r="C12158" s="2" t="s">
        <v>48539</v>
      </c>
      <c r="D12158" s="2" t="str">
        <f>"312-608-7347"</f>
        <v>312-608-7347</v>
      </c>
      <c r="E12158" s="2" t="s">
        <v>1015</v>
      </c>
      <c r="F12158" s="2" t="s">
        <v>48540</v>
      </c>
      <c r="G12158" s="2" t="str">
        <f>"SR-16903"</f>
        <v>SR-16903</v>
      </c>
      <c r="H12158" s="2" t="s">
        <v>48541</v>
      </c>
      <c r="I12158" s="2" t="s">
        <v>48542</v>
      </c>
      <c r="K12158" s="2" t="s">
        <v>1239</v>
      </c>
      <c r="L12158" s="2" t="s">
        <v>200</v>
      </c>
      <c r="M12158" s="2">
        <v>31410.0</v>
      </c>
      <c r="N12158" s="2" t="s">
        <v>21</v>
      </c>
    </row>
    <row r="12159" ht="15.75" customHeight="1">
      <c r="A12159" s="2">
        <v>2019.0</v>
      </c>
      <c r="B12159" s="2" t="s">
        <v>48543</v>
      </c>
      <c r="C12159" s="2" t="s">
        <v>48544</v>
      </c>
      <c r="D12159" s="2" t="str">
        <f>"9123086739"</f>
        <v>9123086739</v>
      </c>
      <c r="E12159" s="2" t="s">
        <v>1257</v>
      </c>
      <c r="F12159" s="2" t="s">
        <v>13156</v>
      </c>
      <c r="G12159" s="2" t="str">
        <f>"SR-17032"</f>
        <v>SR-17032</v>
      </c>
      <c r="H12159" s="2" t="s">
        <v>48545</v>
      </c>
      <c r="I12159" s="2" t="s">
        <v>48546</v>
      </c>
      <c r="K12159" s="2" t="s">
        <v>1239</v>
      </c>
      <c r="L12159" s="2" t="s">
        <v>200</v>
      </c>
      <c r="M12159" s="2">
        <v>31410.0</v>
      </c>
      <c r="N12159" s="2" t="s">
        <v>21</v>
      </c>
    </row>
    <row r="12160" ht="15.75" customHeight="1">
      <c r="A12160" s="2">
        <v>2019.0</v>
      </c>
      <c r="B12160" s="2" t="s">
        <v>48547</v>
      </c>
      <c r="C12160" s="2" t="s">
        <v>48548</v>
      </c>
      <c r="D12160" s="2" t="str">
        <f>"9194140006"</f>
        <v>9194140006</v>
      </c>
      <c r="E12160" s="2" t="s">
        <v>9486</v>
      </c>
      <c r="F12160" s="2" t="s">
        <v>35970</v>
      </c>
      <c r="G12160" s="2" t="str">
        <f>"SR-17011"</f>
        <v>SR-17011</v>
      </c>
      <c r="H12160" s="2" t="s">
        <v>48549</v>
      </c>
      <c r="I12160" s="2" t="s">
        <v>48550</v>
      </c>
      <c r="K12160" s="2" t="s">
        <v>546</v>
      </c>
      <c r="L12160" s="2" t="s">
        <v>200</v>
      </c>
      <c r="M12160" s="2">
        <v>30253.0</v>
      </c>
      <c r="N12160" s="2" t="s">
        <v>21</v>
      </c>
    </row>
    <row r="12161" ht="15.75" customHeight="1">
      <c r="A12161" s="2">
        <v>2019.0</v>
      </c>
      <c r="B12161" s="2" t="s">
        <v>48551</v>
      </c>
      <c r="C12161" s="2" t="s">
        <v>48552</v>
      </c>
      <c r="D12161" s="2" t="str">
        <f>"402-957-0470"</f>
        <v>402-957-0470</v>
      </c>
      <c r="E12161" s="2" t="s">
        <v>977</v>
      </c>
      <c r="F12161" s="2" t="s">
        <v>9632</v>
      </c>
      <c r="G12161" s="2" t="str">
        <f>"SR-16625"</f>
        <v>SR-16625</v>
      </c>
      <c r="H12161" s="2" t="s">
        <v>48553</v>
      </c>
      <c r="I12161" s="2" t="s">
        <v>48554</v>
      </c>
      <c r="K12161" s="2" t="s">
        <v>9635</v>
      </c>
      <c r="L12161" s="2" t="s">
        <v>757</v>
      </c>
      <c r="M12161" s="2">
        <v>68022.0</v>
      </c>
      <c r="N12161" s="2" t="s">
        <v>21</v>
      </c>
    </row>
    <row r="12162" ht="15.75" customHeight="1">
      <c r="A12162" s="2">
        <v>2019.0</v>
      </c>
      <c r="B12162" s="2" t="s">
        <v>48555</v>
      </c>
      <c r="C12162" s="2" t="s">
        <v>48556</v>
      </c>
      <c r="D12162" s="2" t="str">
        <f>"8127014407"</f>
        <v>8127014407</v>
      </c>
      <c r="E12162" s="2" t="s">
        <v>2825</v>
      </c>
      <c r="F12162" s="2" t="s">
        <v>3242</v>
      </c>
      <c r="G12162" s="2" t="str">
        <f>"SR-17068"</f>
        <v>SR-17068</v>
      </c>
      <c r="H12162" s="2" t="s">
        <v>48557</v>
      </c>
      <c r="I12162" s="2" t="s">
        <v>48558</v>
      </c>
      <c r="K12162" s="2" t="s">
        <v>659</v>
      </c>
      <c r="L12162" s="2" t="s">
        <v>149</v>
      </c>
      <c r="M12162" s="2">
        <v>47250.0</v>
      </c>
      <c r="N12162" s="2" t="s">
        <v>21</v>
      </c>
    </row>
    <row r="12163" ht="15.75" customHeight="1">
      <c r="A12163" s="2">
        <v>2019.0</v>
      </c>
      <c r="B12163" s="2" t="s">
        <v>48559</v>
      </c>
      <c r="C12163" s="2" t="s">
        <v>48560</v>
      </c>
      <c r="D12163" s="2" t="str">
        <f>"269-519-8938"</f>
        <v>269-519-8938</v>
      </c>
      <c r="E12163" s="2" t="s">
        <v>301</v>
      </c>
      <c r="F12163" s="2" t="s">
        <v>12826</v>
      </c>
      <c r="G12163" s="2" t="str">
        <f>"SR-17071"</f>
        <v>SR-17071</v>
      </c>
      <c r="H12163" s="2" t="s">
        <v>48561</v>
      </c>
      <c r="I12163" s="2" t="s">
        <v>48562</v>
      </c>
      <c r="K12163" s="2" t="s">
        <v>9717</v>
      </c>
      <c r="L12163" s="2" t="s">
        <v>29</v>
      </c>
      <c r="M12163" s="2">
        <v>49127.0</v>
      </c>
      <c r="N12163" s="2" t="s">
        <v>21</v>
      </c>
    </row>
    <row r="12164" ht="15.75" customHeight="1">
      <c r="A12164" s="2">
        <v>2019.0</v>
      </c>
      <c r="B12164" s="2" t="s">
        <v>48563</v>
      </c>
      <c r="C12164" s="2" t="s">
        <v>48563</v>
      </c>
      <c r="D12164" s="2" t="str">
        <f>"4847878591"</f>
        <v>4847878591</v>
      </c>
      <c r="E12164" s="2" t="s">
        <v>1190</v>
      </c>
      <c r="F12164" s="2" t="s">
        <v>5632</v>
      </c>
      <c r="G12164" s="2" t="str">
        <f>"SR-17055"</f>
        <v>SR-17055</v>
      </c>
      <c r="H12164" s="2" t="s">
        <v>48564</v>
      </c>
      <c r="I12164" s="2" t="s">
        <v>48565</v>
      </c>
      <c r="K12164" s="2" t="s">
        <v>48566</v>
      </c>
      <c r="L12164" s="2" t="s">
        <v>179</v>
      </c>
      <c r="M12164" s="2">
        <v>19425.0</v>
      </c>
      <c r="N12164" s="2" t="s">
        <v>21</v>
      </c>
    </row>
    <row r="12165" ht="15.75" customHeight="1">
      <c r="A12165" s="2">
        <v>2019.0</v>
      </c>
      <c r="B12165" s="2" t="s">
        <v>48567</v>
      </c>
      <c r="C12165" s="2" t="s">
        <v>48568</v>
      </c>
      <c r="D12165" s="2" t="str">
        <f>"6822627488"</f>
        <v>6822627488</v>
      </c>
      <c r="E12165" s="2" t="s">
        <v>48569</v>
      </c>
      <c r="F12165" s="2" t="s">
        <v>778</v>
      </c>
      <c r="G12165" s="2" t="str">
        <f>"SR-17075"</f>
        <v>SR-17075</v>
      </c>
      <c r="H12165" s="2" t="s">
        <v>48570</v>
      </c>
      <c r="I12165" s="2" t="s">
        <v>48571</v>
      </c>
      <c r="K12165" s="2" t="s">
        <v>1260</v>
      </c>
      <c r="L12165" s="2" t="s">
        <v>172</v>
      </c>
      <c r="M12165" s="2">
        <v>76244.0</v>
      </c>
      <c r="N12165" s="2" t="s">
        <v>21</v>
      </c>
    </row>
    <row r="12166" ht="15.75" customHeight="1">
      <c r="A12166" s="2">
        <v>2019.0</v>
      </c>
      <c r="B12166" s="2" t="s">
        <v>48567</v>
      </c>
      <c r="C12166" s="2" t="s">
        <v>48572</v>
      </c>
      <c r="D12166" s="2" t="str">
        <f>"8178969446"</f>
        <v>8178969446</v>
      </c>
      <c r="E12166" s="2" t="s">
        <v>12699</v>
      </c>
      <c r="F12166" s="2" t="s">
        <v>778</v>
      </c>
      <c r="G12166" s="2" t="str">
        <f>"SR-17076"</f>
        <v>SR-17076</v>
      </c>
      <c r="H12166" s="2" t="s">
        <v>38941</v>
      </c>
      <c r="I12166" s="2" t="s">
        <v>48571</v>
      </c>
      <c r="K12166" s="2" t="s">
        <v>1260</v>
      </c>
      <c r="L12166" s="2" t="s">
        <v>172</v>
      </c>
      <c r="M12166" s="2">
        <v>76244.0</v>
      </c>
      <c r="N12166" s="2" t="s">
        <v>21</v>
      </c>
    </row>
    <row r="12167" ht="15.75" customHeight="1">
      <c r="A12167" s="2">
        <v>2019.0</v>
      </c>
      <c r="B12167" s="2" t="s">
        <v>48573</v>
      </c>
      <c r="C12167" s="2" t="s">
        <v>48574</v>
      </c>
      <c r="D12167" s="2" t="str">
        <f>"352 538 3887"</f>
        <v>352 538 3887</v>
      </c>
      <c r="E12167" s="2" t="s">
        <v>3555</v>
      </c>
      <c r="F12167" s="2" t="s">
        <v>89</v>
      </c>
      <c r="G12167" s="2" t="str">
        <f>"SR-16840"</f>
        <v>SR-16840</v>
      </c>
      <c r="H12167" s="2" t="s">
        <v>48575</v>
      </c>
      <c r="I12167" s="2" t="s">
        <v>48576</v>
      </c>
      <c r="K12167" s="2" t="s">
        <v>4425</v>
      </c>
      <c r="L12167" s="2" t="s">
        <v>208</v>
      </c>
      <c r="M12167" s="2">
        <v>32669.0</v>
      </c>
      <c r="N12167" s="2" t="s">
        <v>21</v>
      </c>
    </row>
    <row r="12168" ht="15.75" customHeight="1">
      <c r="A12168" s="2">
        <v>2019.0</v>
      </c>
      <c r="B12168" s="2" t="s">
        <v>48577</v>
      </c>
      <c r="C12168" s="2" t="s">
        <v>48578</v>
      </c>
      <c r="D12168" s="2" t="str">
        <f>"510-501-6099"</f>
        <v>510-501-6099</v>
      </c>
      <c r="E12168" s="2" t="s">
        <v>81</v>
      </c>
      <c r="F12168" s="2" t="s">
        <v>9835</v>
      </c>
      <c r="G12168" s="2" t="str">
        <f>"SR-15681"</f>
        <v>SR-15681</v>
      </c>
      <c r="H12168" s="2" t="s">
        <v>48579</v>
      </c>
      <c r="I12168" s="2" t="s">
        <v>48580</v>
      </c>
      <c r="K12168" s="2" t="s">
        <v>7670</v>
      </c>
      <c r="L12168" s="2" t="s">
        <v>222</v>
      </c>
      <c r="M12168" s="2">
        <v>94706.0</v>
      </c>
      <c r="N12168" s="2" t="s">
        <v>21</v>
      </c>
    </row>
    <row r="12169" ht="15.75" customHeight="1">
      <c r="A12169" s="2">
        <v>2019.0</v>
      </c>
      <c r="B12169" s="2" t="s">
        <v>48581</v>
      </c>
      <c r="C12169" s="2" t="s">
        <v>48581</v>
      </c>
      <c r="D12169" s="2" t="str">
        <f>"6164980485"</f>
        <v>6164980485</v>
      </c>
      <c r="E12169" s="2" t="s">
        <v>3269</v>
      </c>
      <c r="F12169" s="2" t="s">
        <v>48582</v>
      </c>
      <c r="G12169" s="2" t="str">
        <f>"SR-16973"</f>
        <v>SR-16973</v>
      </c>
      <c r="H12169" s="2" t="s">
        <v>48583</v>
      </c>
      <c r="I12169" s="2" t="s">
        <v>48584</v>
      </c>
      <c r="K12169" s="2" t="s">
        <v>16172</v>
      </c>
      <c r="L12169" s="2" t="s">
        <v>29</v>
      </c>
      <c r="M12169" s="2">
        <v>49519.0</v>
      </c>
      <c r="N12169" s="2" t="s">
        <v>21</v>
      </c>
    </row>
    <row r="12170" ht="15.75" customHeight="1">
      <c r="A12170" s="2">
        <v>2019.0</v>
      </c>
      <c r="B12170" s="2" t="s">
        <v>48585</v>
      </c>
      <c r="C12170" s="2" t="s">
        <v>48586</v>
      </c>
      <c r="D12170" s="2" t="str">
        <f>"6157400253"</f>
        <v>6157400253</v>
      </c>
      <c r="E12170" s="2" t="s">
        <v>339</v>
      </c>
      <c r="F12170" s="2" t="s">
        <v>48587</v>
      </c>
      <c r="G12170" s="2" t="str">
        <f>"SR-16951"</f>
        <v>SR-16951</v>
      </c>
      <c r="H12170" s="2" t="s">
        <v>48588</v>
      </c>
      <c r="I12170" s="2" t="s">
        <v>48589</v>
      </c>
      <c r="K12170" s="2" t="s">
        <v>3286</v>
      </c>
      <c r="L12170" s="2" t="s">
        <v>279</v>
      </c>
      <c r="M12170" s="2">
        <v>37055.0</v>
      </c>
      <c r="N12170" s="2" t="s">
        <v>21</v>
      </c>
    </row>
    <row r="12171" ht="15.75" customHeight="1">
      <c r="A12171" s="2">
        <v>2019.0</v>
      </c>
      <c r="B12171" s="2" t="s">
        <v>48590</v>
      </c>
      <c r="C12171" s="2" t="s">
        <v>48591</v>
      </c>
      <c r="D12171" s="2" t="str">
        <f>"9133060252"</f>
        <v>9133060252</v>
      </c>
      <c r="E12171" s="2" t="s">
        <v>2941</v>
      </c>
      <c r="F12171" s="2" t="s">
        <v>2784</v>
      </c>
      <c r="G12171" s="2" t="str">
        <f>"SR-17019"</f>
        <v>SR-17019</v>
      </c>
      <c r="H12171" s="2" t="s">
        <v>48592</v>
      </c>
      <c r="I12171" s="2" t="s">
        <v>48593</v>
      </c>
      <c r="K12171" s="2" t="s">
        <v>632</v>
      </c>
      <c r="L12171" s="2" t="s">
        <v>172</v>
      </c>
      <c r="M12171" s="2">
        <v>78218.0</v>
      </c>
      <c r="N12171" s="2" t="s">
        <v>21</v>
      </c>
    </row>
    <row r="12172" ht="15.75" customHeight="1">
      <c r="A12172" s="2">
        <v>2019.0</v>
      </c>
      <c r="B12172" s="2" t="s">
        <v>9540</v>
      </c>
      <c r="C12172" s="2" t="s">
        <v>48594</v>
      </c>
      <c r="D12172" s="2" t="str">
        <f>"402 659 8663"</f>
        <v>402 659 8663</v>
      </c>
      <c r="E12172" s="2" t="s">
        <v>14005</v>
      </c>
      <c r="F12172" s="2" t="s">
        <v>7033</v>
      </c>
      <c r="G12172" s="2" t="str">
        <f>"SR-16715"</f>
        <v>SR-16715</v>
      </c>
      <c r="H12172" s="2" t="s">
        <v>48595</v>
      </c>
      <c r="I12172" s="2" t="s">
        <v>48596</v>
      </c>
      <c r="K12172" s="2" t="s">
        <v>5288</v>
      </c>
      <c r="L12172" s="2" t="s">
        <v>757</v>
      </c>
      <c r="M12172" s="2">
        <v>68037.0</v>
      </c>
      <c r="N12172" s="2" t="s">
        <v>21</v>
      </c>
    </row>
    <row r="12173" ht="15.75" customHeight="1">
      <c r="A12173" s="2">
        <v>2019.0</v>
      </c>
      <c r="B12173" s="2" t="s">
        <v>48597</v>
      </c>
      <c r="C12173" s="2" t="s">
        <v>48597</v>
      </c>
      <c r="D12173" s="2" t="str">
        <f>"513 259 5067"</f>
        <v>513 259 5067</v>
      </c>
      <c r="E12173" s="2" t="s">
        <v>843</v>
      </c>
      <c r="F12173" s="2" t="s">
        <v>3394</v>
      </c>
      <c r="G12173" s="2" t="str">
        <f>"SR-17084"</f>
        <v>SR-17084</v>
      </c>
      <c r="H12173" s="2" t="s">
        <v>48598</v>
      </c>
      <c r="I12173" s="2" t="s">
        <v>48599</v>
      </c>
      <c r="K12173" s="2" t="s">
        <v>48600</v>
      </c>
      <c r="L12173" s="2" t="s">
        <v>344</v>
      </c>
      <c r="M12173" s="2">
        <v>45039.0</v>
      </c>
      <c r="N12173" s="2" t="s">
        <v>21</v>
      </c>
    </row>
    <row r="12174" ht="15.75" customHeight="1">
      <c r="A12174" s="2">
        <v>2019.0</v>
      </c>
      <c r="B12174" s="2" t="s">
        <v>48601</v>
      </c>
      <c r="C12174" s="2" t="s">
        <v>48602</v>
      </c>
      <c r="D12174" s="2" t="str">
        <f>"601-624-3159"</f>
        <v>601-624-3159</v>
      </c>
      <c r="E12174" s="2" t="s">
        <v>1782</v>
      </c>
      <c r="F12174" s="2" t="s">
        <v>850</v>
      </c>
      <c r="G12174" s="2" t="str">
        <f>"SR-17085"</f>
        <v>SR-17085</v>
      </c>
      <c r="H12174" s="2" t="s">
        <v>48603</v>
      </c>
      <c r="I12174" s="2" t="s">
        <v>48604</v>
      </c>
      <c r="K12174" s="2" t="s">
        <v>1257</v>
      </c>
      <c r="L12174" s="2" t="s">
        <v>1722</v>
      </c>
      <c r="M12174" s="2">
        <v>39272.0</v>
      </c>
      <c r="N12174" s="2" t="s">
        <v>21</v>
      </c>
    </row>
    <row r="12175" ht="15.75" customHeight="1">
      <c r="A12175" s="2">
        <v>2019.0</v>
      </c>
      <c r="B12175" s="2" t="s">
        <v>48605</v>
      </c>
      <c r="C12175" s="2" t="s">
        <v>48606</v>
      </c>
      <c r="D12175" s="2" t="str">
        <f>"3185578747"</f>
        <v>3185578747</v>
      </c>
      <c r="E12175" s="2" t="s">
        <v>132</v>
      </c>
      <c r="F12175" s="2" t="s">
        <v>48607</v>
      </c>
      <c r="G12175" s="2" t="str">
        <f>"SR-17091"</f>
        <v>SR-17091</v>
      </c>
      <c r="H12175" s="2" t="s">
        <v>48608</v>
      </c>
      <c r="I12175" s="2" t="s">
        <v>48609</v>
      </c>
      <c r="K12175" s="2" t="s">
        <v>2449</v>
      </c>
      <c r="L12175" s="2" t="s">
        <v>55</v>
      </c>
      <c r="M12175" s="2">
        <v>29720.0</v>
      </c>
      <c r="N12175" s="2" t="s">
        <v>21</v>
      </c>
    </row>
    <row r="12176" ht="15.75" customHeight="1">
      <c r="A12176" s="2">
        <v>2019.0</v>
      </c>
      <c r="B12176" s="2" t="s">
        <v>48610</v>
      </c>
      <c r="C12176" s="2" t="s">
        <v>48611</v>
      </c>
      <c r="D12176" s="2" t="str">
        <f>"248-385-3300"</f>
        <v>248-385-3300</v>
      </c>
      <c r="E12176" s="2" t="s">
        <v>1076</v>
      </c>
      <c r="F12176" s="2" t="s">
        <v>48612</v>
      </c>
      <c r="G12176" s="2" t="str">
        <f>"SR-17092"</f>
        <v>SR-17092</v>
      </c>
      <c r="H12176" s="2" t="s">
        <v>48613</v>
      </c>
      <c r="I12176" s="2" t="s">
        <v>48614</v>
      </c>
      <c r="K12176" s="2" t="s">
        <v>13303</v>
      </c>
      <c r="L12176" s="2" t="s">
        <v>29</v>
      </c>
      <c r="M12176" s="2">
        <v>48152.0</v>
      </c>
      <c r="N12176" s="2" t="s">
        <v>21</v>
      </c>
    </row>
    <row r="12177" ht="15.75" customHeight="1">
      <c r="A12177" s="2">
        <v>2019.0</v>
      </c>
      <c r="B12177" s="2" t="s">
        <v>48615</v>
      </c>
      <c r="D12177" s="2" t="str">
        <f>"615-970-8261"</f>
        <v>615-970-8261</v>
      </c>
      <c r="E12177" s="2" t="s">
        <v>10487</v>
      </c>
      <c r="F12177" s="2" t="s">
        <v>2852</v>
      </c>
      <c r="G12177" s="2" t="str">
        <f>"SR-16782"</f>
        <v>SR-16782</v>
      </c>
      <c r="H12177" s="2" t="s">
        <v>48616</v>
      </c>
      <c r="I12177" s="2" t="s">
        <v>48617</v>
      </c>
      <c r="K12177" s="2" t="s">
        <v>731</v>
      </c>
      <c r="L12177" s="2" t="s">
        <v>279</v>
      </c>
      <c r="M12177" s="2">
        <v>37220.0</v>
      </c>
      <c r="N12177" s="2" t="s">
        <v>21</v>
      </c>
    </row>
    <row r="12178" ht="15.75" customHeight="1">
      <c r="A12178" s="2">
        <v>2019.0</v>
      </c>
      <c r="B12178" s="2" t="s">
        <v>48618</v>
      </c>
      <c r="C12178" s="2" t="s">
        <v>48619</v>
      </c>
      <c r="D12178" s="2" t="str">
        <f>"5104941515"</f>
        <v>5104941515</v>
      </c>
      <c r="E12178" s="2" t="s">
        <v>651</v>
      </c>
      <c r="F12178" s="2" t="s">
        <v>35698</v>
      </c>
      <c r="G12178" s="2" t="str">
        <f>"SR-17070"</f>
        <v>SR-17070</v>
      </c>
      <c r="H12178" s="2" t="s">
        <v>48620</v>
      </c>
      <c r="I12178" s="2" t="s">
        <v>48621</v>
      </c>
      <c r="K12178" s="2" t="s">
        <v>4884</v>
      </c>
      <c r="L12178" s="2" t="s">
        <v>222</v>
      </c>
      <c r="M12178" s="2">
        <v>94560.0</v>
      </c>
      <c r="N12178" s="2" t="s">
        <v>21</v>
      </c>
    </row>
    <row r="12179" ht="15.75" customHeight="1">
      <c r="A12179" s="2">
        <v>2019.0</v>
      </c>
      <c r="B12179" s="2" t="s">
        <v>48622</v>
      </c>
      <c r="C12179" s="2" t="s">
        <v>48623</v>
      </c>
      <c r="D12179" s="2" t="str">
        <f>"4072578110"</f>
        <v>4072578110</v>
      </c>
      <c r="E12179" s="2" t="s">
        <v>5858</v>
      </c>
      <c r="F12179" s="2" t="s">
        <v>1169</v>
      </c>
      <c r="G12179" s="2" t="str">
        <f>"SR-17098"</f>
        <v>SR-17098</v>
      </c>
      <c r="H12179" s="2" t="s">
        <v>48624</v>
      </c>
      <c r="I12179" s="2" t="s">
        <v>48625</v>
      </c>
      <c r="K12179" s="2" t="s">
        <v>13593</v>
      </c>
      <c r="L12179" s="2" t="s">
        <v>208</v>
      </c>
      <c r="M12179" s="2">
        <v>32073.0</v>
      </c>
      <c r="N12179" s="2" t="s">
        <v>21</v>
      </c>
    </row>
    <row r="12180" ht="15.75" customHeight="1">
      <c r="A12180" s="2">
        <v>2019.0</v>
      </c>
      <c r="B12180" s="2" t="s">
        <v>48626</v>
      </c>
      <c r="C12180" s="2" t="s">
        <v>48626</v>
      </c>
      <c r="D12180" s="2" t="str">
        <f>"219-344-0068"</f>
        <v>219-344-0068</v>
      </c>
      <c r="E12180" s="2" t="s">
        <v>48627</v>
      </c>
      <c r="F12180" s="2" t="s">
        <v>2598</v>
      </c>
      <c r="G12180" s="2" t="str">
        <f>"SR-17099"</f>
        <v>SR-17099</v>
      </c>
      <c r="H12180" s="2" t="s">
        <v>48628</v>
      </c>
      <c r="I12180" s="2" t="s">
        <v>48629</v>
      </c>
      <c r="K12180" s="2" t="s">
        <v>21954</v>
      </c>
      <c r="L12180" s="2" t="s">
        <v>149</v>
      </c>
      <c r="M12180" s="2">
        <v>46365.0</v>
      </c>
      <c r="N12180" s="2" t="s">
        <v>21</v>
      </c>
    </row>
    <row r="12181" ht="15.75" customHeight="1">
      <c r="A12181" s="2">
        <v>2019.0</v>
      </c>
      <c r="B12181" s="2" t="s">
        <v>48630</v>
      </c>
      <c r="C12181" s="2" t="s">
        <v>48630</v>
      </c>
      <c r="D12181" s="2" t="str">
        <f>"8596992233"</f>
        <v>8596992233</v>
      </c>
      <c r="E12181" s="2" t="s">
        <v>5456</v>
      </c>
      <c r="F12181" s="2" t="s">
        <v>850</v>
      </c>
      <c r="G12181" s="2" t="str">
        <f>"SR-17100"</f>
        <v>SR-17100</v>
      </c>
      <c r="H12181" s="2" t="s">
        <v>48631</v>
      </c>
      <c r="I12181" s="2" t="s">
        <v>48632</v>
      </c>
      <c r="K12181" s="2" t="s">
        <v>254</v>
      </c>
      <c r="L12181" s="2" t="s">
        <v>1236</v>
      </c>
      <c r="M12181" s="2">
        <v>40514.0</v>
      </c>
      <c r="N12181" s="2" t="s">
        <v>21</v>
      </c>
    </row>
    <row r="12182" ht="15.75" customHeight="1">
      <c r="A12182" s="2">
        <v>2019.0</v>
      </c>
      <c r="B12182" s="2" t="s">
        <v>48633</v>
      </c>
      <c r="C12182" s="2" t="s">
        <v>48633</v>
      </c>
      <c r="D12182" s="2" t="str">
        <f>"2708625968"</f>
        <v>2708625968</v>
      </c>
      <c r="E12182" s="2" t="s">
        <v>217</v>
      </c>
      <c r="F12182" s="2" t="s">
        <v>23001</v>
      </c>
      <c r="G12182" s="2" t="str">
        <f>"SR-17102"</f>
        <v>SR-17102</v>
      </c>
      <c r="H12182" s="2" t="s">
        <v>48634</v>
      </c>
      <c r="I12182" s="2" t="s">
        <v>48635</v>
      </c>
      <c r="K12182" s="2" t="s">
        <v>48636</v>
      </c>
      <c r="L12182" s="2" t="s">
        <v>1236</v>
      </c>
      <c r="M12182" s="2">
        <v>40162.0</v>
      </c>
      <c r="N12182" s="2" t="s">
        <v>21</v>
      </c>
    </row>
    <row r="12183" ht="15.75" customHeight="1">
      <c r="A12183" s="2">
        <v>2019.0</v>
      </c>
      <c r="B12183" s="2" t="s">
        <v>48637</v>
      </c>
      <c r="C12183" s="2" t="s">
        <v>48638</v>
      </c>
      <c r="D12183" s="2" t="str">
        <f>"601-951-4986"</f>
        <v>601-951-4986</v>
      </c>
      <c r="E12183" s="2" t="s">
        <v>23284</v>
      </c>
      <c r="F12183" s="2" t="s">
        <v>48639</v>
      </c>
      <c r="G12183" s="2" t="str">
        <f>"SR-17104"</f>
        <v>SR-17104</v>
      </c>
      <c r="H12183" s="2" t="s">
        <v>48640</v>
      </c>
      <c r="I12183" s="2" t="s">
        <v>48641</v>
      </c>
      <c r="K12183" s="2" t="s">
        <v>11963</v>
      </c>
      <c r="L12183" s="2" t="s">
        <v>1722</v>
      </c>
      <c r="M12183" s="2">
        <v>39046.0</v>
      </c>
      <c r="N12183" s="2" t="s">
        <v>21</v>
      </c>
    </row>
    <row r="12184" ht="15.75" customHeight="1">
      <c r="A12184" s="2">
        <v>2019.0</v>
      </c>
      <c r="B12184" s="2" t="s">
        <v>48642</v>
      </c>
      <c r="C12184" s="2" t="s">
        <v>48643</v>
      </c>
      <c r="D12184" s="2" t="str">
        <f>"5139395437"</f>
        <v>5139395437</v>
      </c>
      <c r="E12184" s="2" t="s">
        <v>651</v>
      </c>
      <c r="F12184" s="2" t="s">
        <v>7797</v>
      </c>
      <c r="G12184" s="2" t="str">
        <f>"SR-17105"</f>
        <v>SR-17105</v>
      </c>
      <c r="H12184" s="2" t="s">
        <v>48644</v>
      </c>
      <c r="I12184" s="2" t="s">
        <v>48645</v>
      </c>
      <c r="K12184" s="2" t="s">
        <v>1048</v>
      </c>
      <c r="L12184" s="2" t="s">
        <v>344</v>
      </c>
      <c r="M12184" s="2">
        <v>45140.0</v>
      </c>
      <c r="N12184" s="2" t="s">
        <v>21</v>
      </c>
    </row>
    <row r="12185" ht="15.75" customHeight="1">
      <c r="A12185" s="2">
        <v>2019.0</v>
      </c>
      <c r="B12185" s="2" t="s">
        <v>48646</v>
      </c>
      <c r="C12185" s="2" t="s">
        <v>48646</v>
      </c>
      <c r="D12185" s="2" t="str">
        <f>"3165702077"</f>
        <v>3165702077</v>
      </c>
      <c r="E12185" s="2" t="s">
        <v>485</v>
      </c>
      <c r="F12185" s="2" t="s">
        <v>7882</v>
      </c>
      <c r="G12185" s="2" t="str">
        <f>"SR-17106"</f>
        <v>SR-17106</v>
      </c>
      <c r="H12185" s="2" t="s">
        <v>48647</v>
      </c>
      <c r="I12185" s="2" t="s">
        <v>48648</v>
      </c>
      <c r="K12185" s="2" t="s">
        <v>3212</v>
      </c>
      <c r="L12185" s="2" t="s">
        <v>272</v>
      </c>
      <c r="M12185" s="2">
        <v>67114.0</v>
      </c>
      <c r="N12185" s="2" t="s">
        <v>21</v>
      </c>
    </row>
    <row r="12186" ht="15.75" customHeight="1">
      <c r="A12186" s="2">
        <v>2019.0</v>
      </c>
      <c r="B12186" s="2" t="s">
        <v>48649</v>
      </c>
      <c r="C12186" s="2" t="s">
        <v>48650</v>
      </c>
      <c r="D12186" s="2" t="str">
        <f>"859-684-0288"</f>
        <v>859-684-0288</v>
      </c>
      <c r="E12186" s="2" t="s">
        <v>15626</v>
      </c>
      <c r="F12186" s="2" t="s">
        <v>48651</v>
      </c>
      <c r="G12186" s="2" t="str">
        <f>"SR-17107"</f>
        <v>SR-17107</v>
      </c>
      <c r="H12186" s="2" t="s">
        <v>48652</v>
      </c>
      <c r="I12186" s="2" t="s">
        <v>48653</v>
      </c>
      <c r="K12186" s="2" t="s">
        <v>254</v>
      </c>
      <c r="L12186" s="2" t="s">
        <v>1236</v>
      </c>
      <c r="M12186" s="2">
        <v>40515.0</v>
      </c>
      <c r="N12186" s="2" t="s">
        <v>21</v>
      </c>
    </row>
    <row r="12187" ht="15.75" customHeight="1">
      <c r="A12187" s="2">
        <v>2019.0</v>
      </c>
      <c r="B12187" s="2" t="s">
        <v>48654</v>
      </c>
      <c r="C12187" s="2" t="s">
        <v>48655</v>
      </c>
      <c r="D12187" s="2" t="str">
        <f>"859-893-9631"</f>
        <v>859-893-9631</v>
      </c>
      <c r="E12187" s="2" t="s">
        <v>1257</v>
      </c>
      <c r="F12187" s="2" t="s">
        <v>89</v>
      </c>
      <c r="G12187" s="2" t="str">
        <f>"SR-17109"</f>
        <v>SR-17109</v>
      </c>
      <c r="H12187" s="2" t="s">
        <v>35837</v>
      </c>
      <c r="I12187" s="2" t="s">
        <v>48656</v>
      </c>
      <c r="K12187" s="2" t="s">
        <v>4216</v>
      </c>
      <c r="L12187" s="2" t="s">
        <v>1236</v>
      </c>
      <c r="M12187" s="2">
        <v>40475.0</v>
      </c>
      <c r="N12187" s="2" t="s">
        <v>21</v>
      </c>
    </row>
    <row r="12188" ht="15.75" customHeight="1">
      <c r="A12188" s="2">
        <v>2019.0</v>
      </c>
      <c r="B12188" s="2" t="s">
        <v>48657</v>
      </c>
      <c r="C12188" s="2" t="s">
        <v>48658</v>
      </c>
      <c r="D12188" s="2" t="str">
        <f>"6017096282"</f>
        <v>6017096282</v>
      </c>
      <c r="E12188" s="2" t="s">
        <v>1664</v>
      </c>
      <c r="F12188" s="2" t="s">
        <v>2063</v>
      </c>
      <c r="G12188" s="2" t="str">
        <f>"SR-17112"</f>
        <v>SR-17112</v>
      </c>
      <c r="H12188" s="2" t="s">
        <v>48659</v>
      </c>
      <c r="I12188" s="2" t="s">
        <v>48660</v>
      </c>
      <c r="K12188" s="2" t="s">
        <v>1257</v>
      </c>
      <c r="L12188" s="2" t="s">
        <v>1722</v>
      </c>
      <c r="M12188" s="2">
        <v>39204.0</v>
      </c>
      <c r="N12188" s="2" t="s">
        <v>21</v>
      </c>
    </row>
    <row r="12189" ht="15.75" customHeight="1">
      <c r="A12189" s="2">
        <v>2019.0</v>
      </c>
      <c r="B12189" s="2" t="s">
        <v>48661</v>
      </c>
      <c r="C12189" s="2" t="s">
        <v>48662</v>
      </c>
      <c r="D12189" s="2" t="str">
        <f>"7209008598"</f>
        <v>7209008598</v>
      </c>
      <c r="E12189" s="2" t="s">
        <v>417</v>
      </c>
      <c r="F12189" s="2" t="s">
        <v>4358</v>
      </c>
      <c r="G12189" s="2" t="str">
        <f>"SR-17051"</f>
        <v>SR-17051</v>
      </c>
      <c r="H12189" s="2" t="s">
        <v>48663</v>
      </c>
      <c r="I12189" s="2" t="s">
        <v>48664</v>
      </c>
      <c r="J12189" s="2" t="s">
        <v>48665</v>
      </c>
      <c r="K12189" s="2" t="s">
        <v>2527</v>
      </c>
      <c r="L12189" s="2" t="s">
        <v>157</v>
      </c>
      <c r="M12189" s="2">
        <v>80202.0</v>
      </c>
      <c r="N12189" s="2" t="s">
        <v>21</v>
      </c>
    </row>
    <row r="12190" ht="15.75" customHeight="1">
      <c r="A12190" s="2">
        <v>2019.0</v>
      </c>
      <c r="B12190" s="2" t="s">
        <v>40075</v>
      </c>
      <c r="C12190" s="2" t="s">
        <v>48666</v>
      </c>
      <c r="D12190" s="2" t="str">
        <f>"(520) 8226606"</f>
        <v>(520) 8226606</v>
      </c>
      <c r="E12190" s="2" t="s">
        <v>48667</v>
      </c>
      <c r="F12190" s="2" t="s">
        <v>40077</v>
      </c>
      <c r="G12190" s="2" t="str">
        <f>"SR-17114"</f>
        <v>SR-17114</v>
      </c>
      <c r="H12190" s="2" t="s">
        <v>48668</v>
      </c>
      <c r="I12190" s="2" t="s">
        <v>40079</v>
      </c>
      <c r="K12190" s="2" t="s">
        <v>3431</v>
      </c>
      <c r="L12190" s="2" t="s">
        <v>208</v>
      </c>
      <c r="M12190" s="2">
        <v>33621.0</v>
      </c>
      <c r="N12190" s="2" t="s">
        <v>21</v>
      </c>
    </row>
    <row r="12191" ht="15.75" customHeight="1">
      <c r="A12191" s="2">
        <v>2019.0</v>
      </c>
      <c r="B12191" s="2" t="s">
        <v>48669</v>
      </c>
      <c r="C12191" s="2" t="s">
        <v>48670</v>
      </c>
      <c r="D12191" s="2" t="str">
        <f>"8054416160"</f>
        <v>8054416160</v>
      </c>
      <c r="E12191" s="2" t="s">
        <v>1767</v>
      </c>
      <c r="F12191" s="2" t="s">
        <v>41530</v>
      </c>
      <c r="G12191" s="2" t="str">
        <f>"SR-16927"</f>
        <v>SR-16927</v>
      </c>
      <c r="H12191" s="2" t="s">
        <v>48671</v>
      </c>
      <c r="I12191" s="2" t="s">
        <v>48672</v>
      </c>
      <c r="K12191" s="2" t="s">
        <v>48673</v>
      </c>
      <c r="L12191" s="2" t="s">
        <v>222</v>
      </c>
      <c r="M12191" s="2">
        <v>93444.0</v>
      </c>
      <c r="N12191" s="2" t="s">
        <v>21</v>
      </c>
    </row>
    <row r="12192" ht="15.75" customHeight="1">
      <c r="A12192" s="2">
        <v>2019.0</v>
      </c>
      <c r="B12192" s="2" t="s">
        <v>48674</v>
      </c>
      <c r="C12192" s="2" t="s">
        <v>48675</v>
      </c>
      <c r="D12192" s="2" t="str">
        <f>"8057667319"</f>
        <v>8057667319</v>
      </c>
      <c r="E12192" s="2" t="s">
        <v>48676</v>
      </c>
      <c r="F12192" s="2" t="s">
        <v>48677</v>
      </c>
      <c r="G12192" s="2" t="str">
        <f>"SR-17108"</f>
        <v>SR-17108</v>
      </c>
      <c r="H12192" s="2" t="s">
        <v>48678</v>
      </c>
      <c r="I12192" s="2" t="s">
        <v>48679</v>
      </c>
      <c r="K12192" s="2" t="s">
        <v>444</v>
      </c>
      <c r="L12192" s="2" t="s">
        <v>172</v>
      </c>
      <c r="M12192" s="2">
        <v>77024.0</v>
      </c>
      <c r="N12192" s="2" t="s">
        <v>21</v>
      </c>
    </row>
    <row r="12193" ht="15.75" customHeight="1">
      <c r="A12193" s="2">
        <v>2019.0</v>
      </c>
      <c r="B12193" s="2" t="s">
        <v>35119</v>
      </c>
      <c r="C12193" s="2" t="s">
        <v>48680</v>
      </c>
      <c r="D12193" s="2" t="str">
        <f>"6266166111"</f>
        <v>6266166111</v>
      </c>
      <c r="E12193" s="2" t="s">
        <v>48681</v>
      </c>
      <c r="F12193" s="2" t="s">
        <v>14417</v>
      </c>
      <c r="G12193" s="2" t="str">
        <f>"SR-16186"</f>
        <v>SR-16186</v>
      </c>
      <c r="H12193" s="2" t="s">
        <v>48682</v>
      </c>
      <c r="I12193" s="2" t="s">
        <v>35123</v>
      </c>
      <c r="K12193" s="2" t="s">
        <v>13889</v>
      </c>
      <c r="L12193" s="2" t="s">
        <v>222</v>
      </c>
      <c r="M12193" s="2">
        <v>92373.0</v>
      </c>
      <c r="N12193" s="2" t="s">
        <v>21</v>
      </c>
    </row>
    <row r="12194" ht="15.75" customHeight="1">
      <c r="A12194" s="2">
        <v>2019.0</v>
      </c>
      <c r="B12194" s="2" t="s">
        <v>48683</v>
      </c>
      <c r="C12194" s="2" t="s">
        <v>48684</v>
      </c>
      <c r="D12194" s="2" t="str">
        <f>"502-663-2196"</f>
        <v>502-663-2196</v>
      </c>
      <c r="E12194" s="2" t="s">
        <v>2243</v>
      </c>
      <c r="F12194" s="2" t="s">
        <v>8766</v>
      </c>
      <c r="G12194" s="2" t="str">
        <f>"SR-17117"</f>
        <v>SR-17117</v>
      </c>
      <c r="H12194" s="2" t="s">
        <v>48685</v>
      </c>
      <c r="I12194" s="2" t="s">
        <v>48686</v>
      </c>
      <c r="K12194" s="2" t="s">
        <v>5399</v>
      </c>
      <c r="L12194" s="2" t="s">
        <v>1236</v>
      </c>
      <c r="M12194" s="2">
        <v>40006.0</v>
      </c>
      <c r="N12194" s="2" t="s">
        <v>21</v>
      </c>
    </row>
    <row r="12195" ht="15.75" customHeight="1">
      <c r="A12195" s="2">
        <v>2019.0</v>
      </c>
      <c r="B12195" s="2" t="s">
        <v>48687</v>
      </c>
      <c r="C12195" s="2" t="s">
        <v>48688</v>
      </c>
      <c r="D12195" s="2" t="str">
        <f>"720-537-4609"</f>
        <v>720-537-4609</v>
      </c>
      <c r="E12195" s="2" t="s">
        <v>385</v>
      </c>
      <c r="F12195" s="2" t="s">
        <v>48689</v>
      </c>
      <c r="G12195" s="2" t="str">
        <f>"SR-16793"</f>
        <v>SR-16793</v>
      </c>
      <c r="H12195" s="2" t="s">
        <v>48690</v>
      </c>
      <c r="I12195" s="2" t="s">
        <v>48691</v>
      </c>
      <c r="K12195" s="2" t="s">
        <v>5179</v>
      </c>
      <c r="L12195" s="2" t="s">
        <v>157</v>
      </c>
      <c r="M12195" s="2">
        <v>80303.0</v>
      </c>
      <c r="N12195" s="2" t="s">
        <v>21</v>
      </c>
    </row>
    <row r="12196" ht="15.75" customHeight="1">
      <c r="A12196" s="2">
        <v>2019.0</v>
      </c>
      <c r="B12196" s="2" t="s">
        <v>48692</v>
      </c>
      <c r="C12196" s="2" t="s">
        <v>48693</v>
      </c>
      <c r="D12196" s="2" t="str">
        <f>"6026198735"</f>
        <v>6026198735</v>
      </c>
      <c r="E12196" s="2" t="s">
        <v>9975</v>
      </c>
      <c r="F12196" s="2" t="s">
        <v>48694</v>
      </c>
      <c r="G12196" s="2" t="str">
        <f>"SR-17119"</f>
        <v>SR-17119</v>
      </c>
      <c r="H12196" s="2" t="s">
        <v>48695</v>
      </c>
      <c r="I12196" s="2" t="s">
        <v>48696</v>
      </c>
      <c r="K12196" s="2" t="s">
        <v>5531</v>
      </c>
      <c r="L12196" s="2" t="s">
        <v>422</v>
      </c>
      <c r="M12196" s="2">
        <v>85210.0</v>
      </c>
      <c r="N12196" s="2" t="s">
        <v>21</v>
      </c>
    </row>
    <row r="12197" ht="15.75" customHeight="1">
      <c r="A12197" s="2">
        <v>2019.0</v>
      </c>
      <c r="B12197" s="2" t="s">
        <v>48697</v>
      </c>
      <c r="C12197" s="2" t="s">
        <v>48697</v>
      </c>
      <c r="D12197" s="2" t="str">
        <f>"303-359-9394"</f>
        <v>303-359-9394</v>
      </c>
      <c r="E12197" s="2" t="s">
        <v>6007</v>
      </c>
      <c r="F12197" s="2" t="s">
        <v>2147</v>
      </c>
      <c r="G12197" s="2" t="str">
        <f>"SR-16726"</f>
        <v>SR-16726</v>
      </c>
      <c r="H12197" s="2" t="s">
        <v>48698</v>
      </c>
      <c r="I12197" s="2" t="s">
        <v>48699</v>
      </c>
      <c r="K12197" s="2" t="s">
        <v>1889</v>
      </c>
      <c r="L12197" s="2" t="s">
        <v>157</v>
      </c>
      <c r="M12197" s="2">
        <v>80126.0</v>
      </c>
      <c r="N12197" s="2" t="s">
        <v>21</v>
      </c>
    </row>
    <row r="12198" ht="15.75" customHeight="1">
      <c r="A12198" s="2">
        <v>2019.0</v>
      </c>
      <c r="B12198" s="2" t="s">
        <v>48700</v>
      </c>
      <c r="C12198" s="2" t="s">
        <v>48700</v>
      </c>
      <c r="D12198" s="2" t="str">
        <f>"8066200655"</f>
        <v>8066200655</v>
      </c>
      <c r="E12198" s="2" t="s">
        <v>282</v>
      </c>
      <c r="F12198" s="2" t="s">
        <v>48701</v>
      </c>
      <c r="G12198" s="2" t="str">
        <f>"SR-16390"</f>
        <v>SR-16390</v>
      </c>
      <c r="H12198" s="2" t="s">
        <v>48702</v>
      </c>
      <c r="I12198" s="2" t="s">
        <v>48703</v>
      </c>
      <c r="K12198" s="2" t="s">
        <v>1121</v>
      </c>
      <c r="L12198" s="2" t="s">
        <v>172</v>
      </c>
      <c r="M12198" s="2">
        <v>79407.0</v>
      </c>
      <c r="N12198" s="2" t="s">
        <v>21</v>
      </c>
    </row>
    <row r="12199" ht="15.75" customHeight="1">
      <c r="A12199" s="2">
        <v>2019.0</v>
      </c>
      <c r="B12199" s="2" t="s">
        <v>48704</v>
      </c>
      <c r="C12199" s="2" t="s">
        <v>48704</v>
      </c>
      <c r="D12199" s="2" t="str">
        <f>"207-691-2223"</f>
        <v>207-691-2223</v>
      </c>
      <c r="E12199" s="2" t="s">
        <v>48705</v>
      </c>
      <c r="F12199" s="2" t="s">
        <v>48706</v>
      </c>
      <c r="G12199" s="2" t="str">
        <f>"SR-17124"</f>
        <v>SR-17124</v>
      </c>
      <c r="H12199" s="2" t="s">
        <v>48707</v>
      </c>
      <c r="I12199" s="2" t="s">
        <v>48708</v>
      </c>
      <c r="K12199" s="2" t="s">
        <v>2863</v>
      </c>
      <c r="L12199" s="2" t="s">
        <v>3737</v>
      </c>
      <c r="M12199" s="2">
        <v>4864.0</v>
      </c>
      <c r="N12199" s="2" t="s">
        <v>21</v>
      </c>
    </row>
    <row r="12200" ht="15.75" customHeight="1">
      <c r="A12200" s="2">
        <v>2019.0</v>
      </c>
      <c r="B12200" s="2" t="s">
        <v>48709</v>
      </c>
      <c r="C12200" s="2" t="s">
        <v>48709</v>
      </c>
      <c r="D12200" s="2" t="str">
        <f>"865-415-8760"</f>
        <v>865-415-8760</v>
      </c>
      <c r="E12200" s="2" t="s">
        <v>6170</v>
      </c>
      <c r="F12200" s="2" t="s">
        <v>15098</v>
      </c>
      <c r="G12200" s="2" t="str">
        <f>"SR-17130"</f>
        <v>SR-17130</v>
      </c>
      <c r="H12200" s="2" t="s">
        <v>48710</v>
      </c>
      <c r="I12200" s="2" t="s">
        <v>48711</v>
      </c>
      <c r="K12200" s="2" t="s">
        <v>22167</v>
      </c>
      <c r="L12200" s="2" t="s">
        <v>279</v>
      </c>
      <c r="M12200" s="2">
        <v>37803.0</v>
      </c>
      <c r="N12200" s="2" t="s">
        <v>21</v>
      </c>
    </row>
    <row r="12201" ht="15.75" customHeight="1">
      <c r="A12201" s="2">
        <v>2019.0</v>
      </c>
      <c r="B12201" s="2" t="s">
        <v>48712</v>
      </c>
      <c r="C12201" s="2" t="s">
        <v>48713</v>
      </c>
      <c r="D12201" s="2" t="str">
        <f>"6154993534"</f>
        <v>6154993534</v>
      </c>
      <c r="E12201" s="2" t="s">
        <v>15</v>
      </c>
      <c r="F12201" s="2" t="s">
        <v>5614</v>
      </c>
      <c r="G12201" s="2" t="str">
        <f>"SR-16989"</f>
        <v>SR-16989</v>
      </c>
      <c r="H12201" s="2" t="s">
        <v>48714</v>
      </c>
      <c r="I12201" s="2" t="s">
        <v>5616</v>
      </c>
      <c r="K12201" s="2" t="s">
        <v>731</v>
      </c>
      <c r="L12201" s="2" t="s">
        <v>279</v>
      </c>
      <c r="M12201" s="2">
        <v>37215.0</v>
      </c>
      <c r="N12201" s="2" t="s">
        <v>21</v>
      </c>
    </row>
    <row r="12202" ht="15.75" customHeight="1">
      <c r="A12202" s="2">
        <v>2019.0</v>
      </c>
      <c r="B12202" s="2" t="s">
        <v>48715</v>
      </c>
      <c r="C12202" s="2" t="s">
        <v>48716</v>
      </c>
      <c r="D12202" s="2" t="str">
        <f>"2704540988"</f>
        <v>2704540988</v>
      </c>
      <c r="E12202" s="2" t="s">
        <v>3111</v>
      </c>
      <c r="F12202" s="2" t="s">
        <v>48717</v>
      </c>
      <c r="G12202" s="2" t="str">
        <f>"SR-17113"</f>
        <v>SR-17113</v>
      </c>
      <c r="H12202" s="2" t="s">
        <v>48718</v>
      </c>
      <c r="I12202" s="2" t="s">
        <v>48719</v>
      </c>
      <c r="J12202" s="2" t="s">
        <v>48720</v>
      </c>
      <c r="K12202" s="2" t="s">
        <v>309</v>
      </c>
      <c r="L12202" s="2" t="s">
        <v>1236</v>
      </c>
      <c r="M12202" s="2">
        <v>42419.0</v>
      </c>
      <c r="N12202" s="2" t="s">
        <v>21</v>
      </c>
    </row>
    <row r="12203" ht="15.75" customHeight="1">
      <c r="A12203" s="2">
        <v>2019.0</v>
      </c>
      <c r="B12203" s="2" t="s">
        <v>48721</v>
      </c>
      <c r="C12203" s="2" t="s">
        <v>48722</v>
      </c>
      <c r="D12203" s="2" t="str">
        <f>"8595547082"</f>
        <v>8595547082</v>
      </c>
      <c r="E12203" s="2" t="s">
        <v>843</v>
      </c>
      <c r="F12203" s="2" t="s">
        <v>14432</v>
      </c>
      <c r="G12203" s="2" t="str">
        <f>"SR-17140"</f>
        <v>SR-17140</v>
      </c>
      <c r="H12203" s="2" t="s">
        <v>48723</v>
      </c>
      <c r="I12203" s="2" t="s">
        <v>48724</v>
      </c>
      <c r="K12203" s="2" t="s">
        <v>39216</v>
      </c>
      <c r="L12203" s="2" t="s">
        <v>1236</v>
      </c>
      <c r="M12203" s="2">
        <v>40356.0</v>
      </c>
      <c r="N12203" s="2" t="s">
        <v>21</v>
      </c>
    </row>
    <row r="12204" ht="15.75" customHeight="1">
      <c r="A12204" s="2">
        <v>2019.0</v>
      </c>
      <c r="B12204" s="2" t="s">
        <v>48725</v>
      </c>
      <c r="C12204" s="2" t="s">
        <v>48726</v>
      </c>
      <c r="D12204" s="2" t="str">
        <f>"4066906629"</f>
        <v>4066906629</v>
      </c>
      <c r="E12204" s="2" t="s">
        <v>10622</v>
      </c>
      <c r="F12204" s="2" t="s">
        <v>8787</v>
      </c>
      <c r="G12204" s="2" t="str">
        <f>"SR-17143"</f>
        <v>SR-17143</v>
      </c>
      <c r="H12204" s="2" t="s">
        <v>10124</v>
      </c>
      <c r="I12204" s="2" t="s">
        <v>48727</v>
      </c>
      <c r="J12204" s="2" t="s">
        <v>48728</v>
      </c>
      <c r="K12204" s="2" t="s">
        <v>3548</v>
      </c>
      <c r="L12204" s="2" t="s">
        <v>2696</v>
      </c>
      <c r="M12204" s="2">
        <v>59105.0</v>
      </c>
      <c r="N12204" s="2" t="s">
        <v>21</v>
      </c>
    </row>
    <row r="12205" ht="15.75" customHeight="1">
      <c r="A12205" s="2">
        <v>2019.0</v>
      </c>
      <c r="B12205" s="2" t="s">
        <v>48729</v>
      </c>
      <c r="C12205" s="2" t="s">
        <v>48730</v>
      </c>
      <c r="D12205" s="2" t="str">
        <f>"432-254-2322"</f>
        <v>432-254-2322</v>
      </c>
      <c r="E12205" s="2" t="s">
        <v>465</v>
      </c>
      <c r="F12205" s="2" t="s">
        <v>48731</v>
      </c>
      <c r="G12205" s="2" t="str">
        <f>"SR-16847"</f>
        <v>SR-16847</v>
      </c>
      <c r="H12205" s="2" t="s">
        <v>48732</v>
      </c>
      <c r="I12205" s="2" t="s">
        <v>48733</v>
      </c>
      <c r="K12205" s="2" t="s">
        <v>286</v>
      </c>
      <c r="L12205" s="2" t="s">
        <v>172</v>
      </c>
      <c r="M12205" s="2">
        <v>79703.0</v>
      </c>
      <c r="N12205" s="2" t="s">
        <v>21</v>
      </c>
    </row>
    <row r="12206" ht="15.75" customHeight="1">
      <c r="A12206" s="2">
        <v>2019.0</v>
      </c>
      <c r="B12206" s="2" t="s">
        <v>48734</v>
      </c>
      <c r="D12206" s="2" t="str">
        <f>""</f>
        <v/>
      </c>
      <c r="E12206" s="2" t="s">
        <v>48735</v>
      </c>
      <c r="F12206" s="2" t="s">
        <v>12666</v>
      </c>
      <c r="G12206" s="2" t="str">
        <f>"SR-17125"</f>
        <v>SR-17125</v>
      </c>
      <c r="H12206" s="2" t="s">
        <v>48736</v>
      </c>
      <c r="N12206" s="2" t="s">
        <v>21</v>
      </c>
    </row>
    <row r="12207" ht="15.75" customHeight="1">
      <c r="A12207" s="2">
        <v>2019.0</v>
      </c>
      <c r="B12207" s="2" t="s">
        <v>48737</v>
      </c>
      <c r="C12207" s="2" t="s">
        <v>48737</v>
      </c>
      <c r="D12207" s="2" t="str">
        <f>"8063006935"</f>
        <v>8063006935</v>
      </c>
      <c r="E12207" s="2" t="s">
        <v>485</v>
      </c>
      <c r="F12207" s="2" t="s">
        <v>1101</v>
      </c>
      <c r="G12207" s="2" t="str">
        <f>"SR-14703"</f>
        <v>SR-14703</v>
      </c>
      <c r="H12207" s="2" t="s">
        <v>48738</v>
      </c>
      <c r="I12207" s="2" t="s">
        <v>48739</v>
      </c>
      <c r="K12207" s="2" t="s">
        <v>1121</v>
      </c>
      <c r="L12207" s="2" t="s">
        <v>172</v>
      </c>
      <c r="M12207" s="2">
        <v>79424.0</v>
      </c>
      <c r="N12207" s="2" t="s">
        <v>21</v>
      </c>
    </row>
    <row r="12208" ht="15.75" customHeight="1">
      <c r="A12208" s="2">
        <v>2019.0</v>
      </c>
      <c r="B12208" s="2" t="s">
        <v>48740</v>
      </c>
      <c r="C12208" s="2" t="s">
        <v>48741</v>
      </c>
      <c r="D12208" s="2" t="str">
        <f>"2192148898"</f>
        <v>2192148898</v>
      </c>
      <c r="E12208" s="2" t="s">
        <v>2243</v>
      </c>
      <c r="F12208" s="2" t="s">
        <v>21022</v>
      </c>
      <c r="G12208" s="2" t="str">
        <f>"SR-17144"</f>
        <v>SR-17144</v>
      </c>
      <c r="H12208" s="2" t="s">
        <v>48742</v>
      </c>
      <c r="I12208" s="2" t="s">
        <v>48743</v>
      </c>
      <c r="K12208" s="2" t="s">
        <v>600</v>
      </c>
      <c r="L12208" s="2" t="s">
        <v>149</v>
      </c>
      <c r="M12208" s="2">
        <v>46350.0</v>
      </c>
      <c r="N12208" s="2" t="s">
        <v>21</v>
      </c>
    </row>
    <row r="12209" ht="15.75" customHeight="1">
      <c r="A12209" s="2">
        <v>2019.0</v>
      </c>
      <c r="B12209" s="2" t="s">
        <v>48744</v>
      </c>
      <c r="C12209" s="2" t="s">
        <v>48745</v>
      </c>
      <c r="D12209" s="2" t="str">
        <f>"910-6357701"</f>
        <v>910-6357701</v>
      </c>
      <c r="E12209" s="2" t="s">
        <v>5489</v>
      </c>
      <c r="F12209" s="2" t="s">
        <v>6354</v>
      </c>
      <c r="G12209" s="2" t="str">
        <f>"SR-17150"</f>
        <v>SR-17150</v>
      </c>
      <c r="H12209" s="2" t="s">
        <v>48746</v>
      </c>
      <c r="I12209" s="2" t="s">
        <v>48747</v>
      </c>
      <c r="K12209" s="2" t="s">
        <v>18231</v>
      </c>
      <c r="L12209" s="2" t="s">
        <v>20</v>
      </c>
      <c r="M12209" s="2">
        <v>28344.0</v>
      </c>
      <c r="N12209" s="2" t="s">
        <v>21</v>
      </c>
    </row>
    <row r="12210" ht="15.75" customHeight="1">
      <c r="A12210" s="2">
        <v>2019.0</v>
      </c>
      <c r="B12210" s="2" t="s">
        <v>48748</v>
      </c>
      <c r="C12210" s="2" t="s">
        <v>48749</v>
      </c>
      <c r="D12210" s="2" t="str">
        <f>"2297261535"</f>
        <v>2297261535</v>
      </c>
      <c r="E12210" s="2" t="s">
        <v>48750</v>
      </c>
      <c r="F12210" s="2" t="s">
        <v>48751</v>
      </c>
      <c r="G12210" s="2" t="str">
        <f>"SR-15068"</f>
        <v>SR-15068</v>
      </c>
      <c r="H12210" s="2" t="s">
        <v>48752</v>
      </c>
      <c r="I12210" s="2" t="s">
        <v>48753</v>
      </c>
      <c r="K12210" s="2" t="s">
        <v>7513</v>
      </c>
      <c r="L12210" s="2" t="s">
        <v>200</v>
      </c>
      <c r="M12210" s="2">
        <v>39819.0</v>
      </c>
      <c r="N12210" s="2" t="s">
        <v>21</v>
      </c>
    </row>
    <row r="12211" ht="15.75" customHeight="1">
      <c r="A12211" s="2">
        <v>2019.0</v>
      </c>
      <c r="B12211" s="2" t="s">
        <v>34589</v>
      </c>
      <c r="C12211" s="2" t="s">
        <v>34615</v>
      </c>
      <c r="D12211" s="2" t="str">
        <f>"256-374-2385"</f>
        <v>256-374-2385</v>
      </c>
      <c r="E12211" s="2" t="s">
        <v>705</v>
      </c>
      <c r="F12211" s="2" t="s">
        <v>3320</v>
      </c>
      <c r="G12211" s="2" t="str">
        <f>"SR-11188"</f>
        <v>SR-11188</v>
      </c>
      <c r="H12211" s="2" t="s">
        <v>34616</v>
      </c>
      <c r="I12211" s="2" t="s">
        <v>34617</v>
      </c>
      <c r="K12211" s="2" t="s">
        <v>5108</v>
      </c>
      <c r="L12211" s="2" t="s">
        <v>539</v>
      </c>
      <c r="M12211" s="2">
        <v>35611.0</v>
      </c>
      <c r="N12211" s="2" t="s">
        <v>21</v>
      </c>
    </row>
    <row r="12212" ht="15.75" customHeight="1">
      <c r="A12212" s="2">
        <v>2019.0</v>
      </c>
      <c r="B12212" s="2" t="s">
        <v>48754</v>
      </c>
      <c r="C12212" s="2" t="s">
        <v>48755</v>
      </c>
      <c r="D12212" s="2" t="str">
        <f>"301-787-7773"</f>
        <v>301-787-7773</v>
      </c>
      <c r="E12212" s="2" t="s">
        <v>456</v>
      </c>
      <c r="F12212" s="2" t="s">
        <v>2147</v>
      </c>
      <c r="G12212" s="2" t="str">
        <f>"SR-17147"</f>
        <v>SR-17147</v>
      </c>
      <c r="H12212" s="2" t="s">
        <v>48756</v>
      </c>
      <c r="I12212" s="2" t="s">
        <v>48757</v>
      </c>
      <c r="K12212" s="2" t="s">
        <v>3070</v>
      </c>
      <c r="L12212" s="2" t="s">
        <v>1868</v>
      </c>
      <c r="M12212" s="2">
        <v>20715.0</v>
      </c>
      <c r="N12212" s="2" t="s">
        <v>21</v>
      </c>
    </row>
    <row r="12213" ht="15.75" customHeight="1">
      <c r="A12213" s="2">
        <v>2019.0</v>
      </c>
      <c r="B12213" s="2" t="s">
        <v>48758</v>
      </c>
      <c r="C12213" s="2" t="s">
        <v>48759</v>
      </c>
      <c r="D12213" s="2" t="str">
        <f>"7203341575"</f>
        <v>7203341575</v>
      </c>
      <c r="E12213" s="2" t="s">
        <v>1208</v>
      </c>
      <c r="F12213" s="2" t="s">
        <v>48760</v>
      </c>
      <c r="G12213" s="2" t="str">
        <f>"SR-17115"</f>
        <v>SR-17115</v>
      </c>
      <c r="H12213" s="2" t="s">
        <v>48761</v>
      </c>
      <c r="I12213" s="2" t="s">
        <v>48762</v>
      </c>
      <c r="K12213" s="2" t="s">
        <v>2527</v>
      </c>
      <c r="L12213" s="2" t="s">
        <v>157</v>
      </c>
      <c r="M12213" s="2">
        <v>80229.0</v>
      </c>
      <c r="N12213" s="2" t="s">
        <v>21</v>
      </c>
    </row>
    <row r="12214" ht="15.75" customHeight="1">
      <c r="A12214" s="2">
        <v>2019.0</v>
      </c>
      <c r="B12214" s="2" t="s">
        <v>48763</v>
      </c>
      <c r="C12214" s="2" t="s">
        <v>48764</v>
      </c>
      <c r="D12214" s="2" t="str">
        <f>"(805) 927-5672"</f>
        <v>(805) 927-5672</v>
      </c>
      <c r="E12214" s="2" t="s">
        <v>4224</v>
      </c>
      <c r="F12214" s="2" t="s">
        <v>48765</v>
      </c>
      <c r="G12214" s="2" t="str">
        <f>"SR-17156"</f>
        <v>SR-17156</v>
      </c>
      <c r="H12214" s="2" t="s">
        <v>48766</v>
      </c>
      <c r="I12214" s="2" t="s">
        <v>48767</v>
      </c>
      <c r="K12214" s="2" t="s">
        <v>26903</v>
      </c>
      <c r="L12214" s="2" t="s">
        <v>222</v>
      </c>
      <c r="M12214" s="2">
        <v>93428.0</v>
      </c>
      <c r="N12214" s="2" t="s">
        <v>21</v>
      </c>
    </row>
    <row r="12215" ht="15.75" customHeight="1">
      <c r="A12215" s="2">
        <v>2019.0</v>
      </c>
      <c r="B12215" s="2" t="s">
        <v>48768</v>
      </c>
      <c r="C12215" s="2" t="s">
        <v>48769</v>
      </c>
      <c r="D12215" s="2" t="str">
        <f>"4174383610"</f>
        <v>4174383610</v>
      </c>
      <c r="E12215" s="2" t="s">
        <v>301</v>
      </c>
      <c r="F12215" s="2" t="s">
        <v>48770</v>
      </c>
      <c r="G12215" s="2" t="str">
        <f>"SR-16436"</f>
        <v>SR-16436</v>
      </c>
      <c r="H12215" s="2" t="s">
        <v>48771</v>
      </c>
      <c r="I12215" s="2" t="s">
        <v>48772</v>
      </c>
      <c r="K12215" s="2" t="s">
        <v>36080</v>
      </c>
      <c r="L12215" s="2" t="s">
        <v>840</v>
      </c>
      <c r="M12215" s="2">
        <v>74363.0</v>
      </c>
      <c r="N12215" s="2" t="s">
        <v>21</v>
      </c>
    </row>
    <row r="12216" ht="15.75" customHeight="1">
      <c r="A12216" s="2">
        <v>2019.0</v>
      </c>
      <c r="B12216" s="2" t="s">
        <v>48773</v>
      </c>
      <c r="C12216" s="2" t="s">
        <v>48774</v>
      </c>
      <c r="D12216" s="2" t="str">
        <f>"815-931-6048"</f>
        <v>815-931-6048</v>
      </c>
      <c r="E12216" s="2" t="s">
        <v>5667</v>
      </c>
      <c r="F12216" s="2" t="s">
        <v>48775</v>
      </c>
      <c r="G12216" s="2" t="str">
        <f>"SR-17159"</f>
        <v>SR-17159</v>
      </c>
      <c r="H12216" s="2" t="s">
        <v>48776</v>
      </c>
      <c r="I12216" s="2" t="s">
        <v>48777</v>
      </c>
      <c r="K12216" s="2" t="s">
        <v>5198</v>
      </c>
      <c r="L12216" s="2" t="s">
        <v>105</v>
      </c>
      <c r="M12216" s="2">
        <v>60178.0</v>
      </c>
      <c r="N12216" s="2" t="s">
        <v>21</v>
      </c>
    </row>
    <row r="12217" ht="15.75" customHeight="1">
      <c r="A12217" s="2">
        <v>2019.0</v>
      </c>
      <c r="B12217" s="2" t="s">
        <v>48778</v>
      </c>
      <c r="C12217" s="2" t="s">
        <v>48779</v>
      </c>
      <c r="D12217" s="2" t="str">
        <f>"5026452802"</f>
        <v>5026452802</v>
      </c>
      <c r="E12217" s="2" t="s">
        <v>638</v>
      </c>
      <c r="F12217" s="2" t="s">
        <v>9036</v>
      </c>
      <c r="G12217" s="2" t="str">
        <f>"SR-17161"</f>
        <v>SR-17161</v>
      </c>
      <c r="H12217" s="2" t="s">
        <v>48780</v>
      </c>
      <c r="I12217" s="2">
        <v>5621.0</v>
      </c>
      <c r="J12217" s="2" t="s">
        <v>48781</v>
      </c>
      <c r="K12217" s="2" t="s">
        <v>5288</v>
      </c>
      <c r="L12217" s="2" t="s">
        <v>1236</v>
      </c>
      <c r="M12217" s="2">
        <v>40222.0</v>
      </c>
      <c r="N12217" s="2" t="s">
        <v>21</v>
      </c>
    </row>
    <row r="12218" ht="15.75" customHeight="1">
      <c r="A12218" s="2">
        <v>2019.0</v>
      </c>
      <c r="B12218" s="2" t="s">
        <v>48782</v>
      </c>
      <c r="C12218" s="2" t="s">
        <v>48783</v>
      </c>
      <c r="D12218" s="2" t="str">
        <f>"(865) 266-9990"</f>
        <v>(865) 266-9990</v>
      </c>
      <c r="E12218" s="2" t="s">
        <v>2296</v>
      </c>
      <c r="F12218" s="2" t="s">
        <v>8787</v>
      </c>
      <c r="G12218" s="2" t="str">
        <f>"SR-16672"</f>
        <v>SR-16672</v>
      </c>
      <c r="H12218" s="2" t="s">
        <v>48784</v>
      </c>
      <c r="I12218" s="2" t="s">
        <v>48785</v>
      </c>
      <c r="K12218" s="2" t="s">
        <v>25436</v>
      </c>
      <c r="L12218" s="2" t="s">
        <v>279</v>
      </c>
      <c r="M12218" s="2">
        <v>37760.0</v>
      </c>
      <c r="N12218" s="2" t="s">
        <v>21</v>
      </c>
    </row>
    <row r="12219" ht="15.75" customHeight="1">
      <c r="A12219" s="2">
        <v>2019.0</v>
      </c>
      <c r="B12219" s="2" t="s">
        <v>35014</v>
      </c>
      <c r="C12219" s="2" t="s">
        <v>48786</v>
      </c>
      <c r="D12219" s="2" t="str">
        <f>"6027965218"</f>
        <v>6027965218</v>
      </c>
      <c r="E12219" s="2" t="s">
        <v>48787</v>
      </c>
      <c r="F12219" s="2" t="s">
        <v>6718</v>
      </c>
      <c r="G12219" s="2" t="str">
        <f>"SR-17160"</f>
        <v>SR-17160</v>
      </c>
      <c r="H12219" s="2" t="s">
        <v>48788</v>
      </c>
      <c r="I12219" s="2" t="s">
        <v>48789</v>
      </c>
      <c r="K12219" s="2" t="s">
        <v>1133</v>
      </c>
      <c r="L12219" s="2" t="s">
        <v>422</v>
      </c>
      <c r="M12219" s="2">
        <v>85308.0</v>
      </c>
      <c r="N12219" s="2" t="s">
        <v>21</v>
      </c>
    </row>
    <row r="12220" ht="15.75" customHeight="1">
      <c r="A12220" s="2">
        <v>2019.0</v>
      </c>
      <c r="B12220" s="2" t="s">
        <v>48790</v>
      </c>
      <c r="C12220" s="2" t="s">
        <v>48791</v>
      </c>
      <c r="D12220" s="2" t="str">
        <f>"9725330327"</f>
        <v>9725330327</v>
      </c>
      <c r="E12220" s="2" t="s">
        <v>678</v>
      </c>
      <c r="F12220" s="2" t="s">
        <v>24297</v>
      </c>
      <c r="G12220" s="2" t="str">
        <f>"SR-16797"</f>
        <v>SR-16797</v>
      </c>
      <c r="H12220" s="2" t="s">
        <v>48792</v>
      </c>
      <c r="I12220" s="2" t="s">
        <v>48793</v>
      </c>
      <c r="K12220" s="2" t="s">
        <v>1255</v>
      </c>
      <c r="L12220" s="2" t="s">
        <v>172</v>
      </c>
      <c r="M12220" s="2">
        <v>75243.0</v>
      </c>
      <c r="N12220" s="2" t="s">
        <v>21</v>
      </c>
    </row>
    <row r="12221" ht="15.75" customHeight="1">
      <c r="A12221" s="2">
        <v>2019.0</v>
      </c>
      <c r="B12221" s="2" t="s">
        <v>42974</v>
      </c>
      <c r="D12221" s="2" t="str">
        <f>""</f>
        <v/>
      </c>
      <c r="E12221" s="2" t="s">
        <v>7307</v>
      </c>
      <c r="F12221" s="2" t="s">
        <v>42975</v>
      </c>
      <c r="G12221" s="2" t="str">
        <f>"SR-14973"</f>
        <v>SR-14973</v>
      </c>
      <c r="H12221" s="2" t="s">
        <v>42976</v>
      </c>
      <c r="N12221" s="2" t="s">
        <v>21</v>
      </c>
    </row>
    <row r="12222" ht="15.75" customHeight="1">
      <c r="A12222" s="2">
        <v>2019.0</v>
      </c>
      <c r="B12222" s="2" t="s">
        <v>42974</v>
      </c>
      <c r="C12222" s="2" t="s">
        <v>48794</v>
      </c>
      <c r="D12222" s="2" t="str">
        <f>"7705687033"</f>
        <v>7705687033</v>
      </c>
      <c r="E12222" s="2" t="s">
        <v>14431</v>
      </c>
      <c r="F12222" s="2" t="s">
        <v>48795</v>
      </c>
      <c r="G12222" s="2" t="str">
        <f>"SR-17166"</f>
        <v>SR-17166</v>
      </c>
      <c r="H12222" s="2" t="s">
        <v>48796</v>
      </c>
      <c r="I12222" s="2" t="s">
        <v>48797</v>
      </c>
      <c r="J12222" s="2" t="s">
        <v>48798</v>
      </c>
      <c r="K12222" s="2" t="s">
        <v>4115</v>
      </c>
      <c r="L12222" s="2" t="s">
        <v>539</v>
      </c>
      <c r="M12222" s="2">
        <v>36081.0</v>
      </c>
      <c r="N12222" s="2" t="s">
        <v>21</v>
      </c>
    </row>
    <row r="12223" ht="15.75" customHeight="1">
      <c r="A12223" s="2">
        <v>2019.0</v>
      </c>
      <c r="B12223" s="2" t="s">
        <v>48799</v>
      </c>
      <c r="C12223" s="2" t="s">
        <v>48800</v>
      </c>
      <c r="D12223" s="2" t="str">
        <f>"6788951543"</f>
        <v>6788951543</v>
      </c>
      <c r="E12223" s="2" t="s">
        <v>4787</v>
      </c>
      <c r="F12223" s="2" t="s">
        <v>11248</v>
      </c>
      <c r="G12223" s="2" t="str">
        <f>"SR-17173"</f>
        <v>SR-17173</v>
      </c>
      <c r="H12223" s="2" t="s">
        <v>48801</v>
      </c>
      <c r="I12223" s="2" t="s">
        <v>48802</v>
      </c>
      <c r="K12223" s="2" t="s">
        <v>10784</v>
      </c>
      <c r="L12223" s="2" t="s">
        <v>208</v>
      </c>
      <c r="M12223" s="2">
        <v>32068.0</v>
      </c>
      <c r="N12223" s="2" t="s">
        <v>21</v>
      </c>
    </row>
    <row r="12224" ht="15.75" customHeight="1">
      <c r="A12224" s="2">
        <v>2019.0</v>
      </c>
      <c r="B12224" s="2" t="s">
        <v>48803</v>
      </c>
      <c r="C12224" s="2" t="s">
        <v>48804</v>
      </c>
      <c r="D12224" s="2" t="str">
        <f>"7177991499"</f>
        <v>7177991499</v>
      </c>
      <c r="E12224" s="2" t="s">
        <v>843</v>
      </c>
      <c r="F12224" s="2" t="s">
        <v>5528</v>
      </c>
      <c r="G12224" s="2" t="str">
        <f>"SR-17171"</f>
        <v>SR-17171</v>
      </c>
      <c r="H12224" s="2" t="s">
        <v>48805</v>
      </c>
      <c r="I12224" s="2" t="s">
        <v>48806</v>
      </c>
      <c r="K12224" s="2" t="s">
        <v>48807</v>
      </c>
      <c r="L12224" s="2" t="s">
        <v>179</v>
      </c>
      <c r="M12224" s="2">
        <v>17020.0</v>
      </c>
      <c r="N12224" s="2" t="s">
        <v>21</v>
      </c>
    </row>
    <row r="12225" ht="15.75" customHeight="1">
      <c r="A12225" s="2">
        <v>2019.0</v>
      </c>
      <c r="B12225" s="2" t="s">
        <v>48808</v>
      </c>
      <c r="C12225" s="2" t="s">
        <v>48808</v>
      </c>
      <c r="D12225" s="2" t="str">
        <f>"4053650505"</f>
        <v>4053650505</v>
      </c>
      <c r="E12225" s="2" t="s">
        <v>386</v>
      </c>
      <c r="F12225" s="2" t="s">
        <v>7742</v>
      </c>
      <c r="G12225" s="2" t="str">
        <f>"SR-17186"</f>
        <v>SR-17186</v>
      </c>
      <c r="H12225" s="2" t="s">
        <v>48809</v>
      </c>
      <c r="I12225" s="2" t="s">
        <v>48810</v>
      </c>
      <c r="K12225" s="2" t="s">
        <v>639</v>
      </c>
      <c r="L12225" s="2" t="s">
        <v>840</v>
      </c>
      <c r="M12225" s="2">
        <v>73049.0</v>
      </c>
      <c r="N12225" s="2" t="s">
        <v>21</v>
      </c>
    </row>
    <row r="12226" ht="15.75" customHeight="1">
      <c r="A12226" s="2">
        <v>2019.0</v>
      </c>
      <c r="B12226" s="2" t="s">
        <v>48811</v>
      </c>
      <c r="C12226" s="2" t="s">
        <v>48812</v>
      </c>
      <c r="D12226" s="2" t="str">
        <f>"502-370-8198"</f>
        <v>502-370-8198</v>
      </c>
      <c r="E12226" s="2" t="s">
        <v>48813</v>
      </c>
      <c r="F12226" s="2" t="s">
        <v>48814</v>
      </c>
      <c r="G12226" s="2" t="str">
        <f>"SR-17182"</f>
        <v>SR-17182</v>
      </c>
      <c r="H12226" s="2" t="s">
        <v>48815</v>
      </c>
      <c r="I12226" s="2" t="s">
        <v>48816</v>
      </c>
      <c r="K12226" s="2" t="s">
        <v>48817</v>
      </c>
      <c r="L12226" s="2" t="s">
        <v>1236</v>
      </c>
      <c r="M12226" s="2">
        <v>40324.0</v>
      </c>
      <c r="N12226" s="2" t="s">
        <v>21</v>
      </c>
    </row>
    <row r="12227" ht="15.75" customHeight="1">
      <c r="A12227" s="2">
        <v>2019.0</v>
      </c>
      <c r="B12227" s="2" t="s">
        <v>48818</v>
      </c>
      <c r="C12227" s="2" t="s">
        <v>48819</v>
      </c>
      <c r="D12227" s="2" t="str">
        <f>"6025266860"</f>
        <v>6025266860</v>
      </c>
      <c r="E12227" s="2" t="s">
        <v>651</v>
      </c>
      <c r="F12227" s="2" t="s">
        <v>48820</v>
      </c>
      <c r="G12227" s="2" t="str">
        <f>"SR-17188"</f>
        <v>SR-17188</v>
      </c>
      <c r="H12227" s="2" t="s">
        <v>48821</v>
      </c>
      <c r="I12227" s="2" t="s">
        <v>48822</v>
      </c>
      <c r="K12227" s="2" t="s">
        <v>421</v>
      </c>
      <c r="L12227" s="2" t="s">
        <v>422</v>
      </c>
      <c r="M12227" s="2">
        <v>85007.0</v>
      </c>
      <c r="N12227" s="2" t="s">
        <v>21</v>
      </c>
    </row>
    <row r="12228" ht="15.75" customHeight="1">
      <c r="A12228" s="2">
        <v>2019.0</v>
      </c>
      <c r="B12228" s="2" t="s">
        <v>48823</v>
      </c>
      <c r="C12228" s="2" t="s">
        <v>48824</v>
      </c>
      <c r="D12228" s="2" t="str">
        <f>"6063416654"</f>
        <v>6063416654</v>
      </c>
      <c r="E12228" s="2" t="s">
        <v>137</v>
      </c>
      <c r="F12228" s="2" t="s">
        <v>14135</v>
      </c>
      <c r="G12228" s="2" t="str">
        <f>"SR-17192"</f>
        <v>SR-17192</v>
      </c>
      <c r="H12228" s="2" t="s">
        <v>48825</v>
      </c>
      <c r="I12228" s="2" t="s">
        <v>48826</v>
      </c>
      <c r="K12228" s="2" t="s">
        <v>23501</v>
      </c>
      <c r="L12228" s="2" t="s">
        <v>1236</v>
      </c>
      <c r="M12228" s="2">
        <v>42503.0</v>
      </c>
      <c r="N12228" s="2" t="s">
        <v>21</v>
      </c>
    </row>
    <row r="12229" ht="15.75" customHeight="1">
      <c r="A12229" s="2">
        <v>2019.0</v>
      </c>
      <c r="B12229" s="2" t="s">
        <v>48827</v>
      </c>
      <c r="C12229" s="2" t="s">
        <v>48828</v>
      </c>
      <c r="D12229" s="2" t="str">
        <f>"859-753-1335"</f>
        <v>859-753-1335</v>
      </c>
      <c r="E12229" s="2" t="s">
        <v>4763</v>
      </c>
      <c r="F12229" s="2" t="s">
        <v>48829</v>
      </c>
      <c r="G12229" s="2" t="str">
        <f>"SR-17184"</f>
        <v>SR-17184</v>
      </c>
      <c r="H12229" s="2" t="s">
        <v>48830</v>
      </c>
      <c r="I12229" s="2" t="s">
        <v>48831</v>
      </c>
      <c r="K12229" s="2" t="s">
        <v>31227</v>
      </c>
      <c r="L12229" s="2" t="s">
        <v>1236</v>
      </c>
      <c r="M12229" s="2">
        <v>40347.0</v>
      </c>
      <c r="N12229" s="2" t="s">
        <v>21</v>
      </c>
    </row>
    <row r="12230" ht="15.75" customHeight="1">
      <c r="A12230" s="2">
        <v>2019.0</v>
      </c>
      <c r="B12230" s="2" t="s">
        <v>48832</v>
      </c>
      <c r="C12230" s="2" t="s">
        <v>48833</v>
      </c>
      <c r="D12230" s="2" t="str">
        <f>"8707150636"</f>
        <v>8707150636</v>
      </c>
      <c r="E12230" s="2" t="s">
        <v>2930</v>
      </c>
      <c r="F12230" s="2" t="s">
        <v>26770</v>
      </c>
      <c r="G12230" s="2" t="str">
        <f>"SR-17170"</f>
        <v>SR-17170</v>
      </c>
      <c r="H12230" s="2" t="s">
        <v>48834</v>
      </c>
      <c r="I12230" s="2" t="s">
        <v>48835</v>
      </c>
      <c r="K12230" s="2" t="s">
        <v>4501</v>
      </c>
      <c r="L12230" s="2" t="s">
        <v>1012</v>
      </c>
      <c r="M12230" s="2">
        <v>72602.0</v>
      </c>
      <c r="N12230" s="2" t="s">
        <v>21</v>
      </c>
    </row>
    <row r="12231" ht="15.75" customHeight="1">
      <c r="A12231" s="2">
        <v>2019.0</v>
      </c>
      <c r="B12231" s="2" t="s">
        <v>48836</v>
      </c>
      <c r="C12231" s="2" t="s">
        <v>48837</v>
      </c>
      <c r="D12231" s="2" t="str">
        <f>"8583535719"</f>
        <v>8583535719</v>
      </c>
      <c r="E12231" s="2" t="s">
        <v>3067</v>
      </c>
      <c r="F12231" s="2" t="s">
        <v>28459</v>
      </c>
      <c r="G12231" s="2" t="str">
        <f>"SR-17198"</f>
        <v>SR-17198</v>
      </c>
      <c r="H12231" s="2" t="s">
        <v>48838</v>
      </c>
      <c r="I12231" s="2" t="s">
        <v>48839</v>
      </c>
      <c r="K12231" s="2" t="s">
        <v>8250</v>
      </c>
      <c r="L12231" s="2" t="s">
        <v>222</v>
      </c>
      <c r="M12231" s="2">
        <v>92130.0</v>
      </c>
      <c r="N12231" s="2" t="s">
        <v>21</v>
      </c>
    </row>
    <row r="12232" ht="15.75" customHeight="1">
      <c r="A12232" s="2">
        <v>2019.0</v>
      </c>
      <c r="B12232" s="2" t="s">
        <v>48790</v>
      </c>
      <c r="C12232" s="2" t="s">
        <v>48840</v>
      </c>
      <c r="D12232" s="2" t="str">
        <f>"9725330327"</f>
        <v>9725330327</v>
      </c>
      <c r="E12232" s="2" t="s">
        <v>288</v>
      </c>
      <c r="F12232" s="2" t="s">
        <v>24297</v>
      </c>
      <c r="G12232" s="2" t="str">
        <f>"SR-16217"</f>
        <v>SR-16217</v>
      </c>
      <c r="H12232" s="2" t="s">
        <v>48841</v>
      </c>
      <c r="I12232" s="2" t="s">
        <v>48793</v>
      </c>
      <c r="K12232" s="2" t="s">
        <v>1255</v>
      </c>
      <c r="L12232" s="2" t="s">
        <v>172</v>
      </c>
      <c r="M12232" s="2">
        <v>75243.0</v>
      </c>
      <c r="N12232" s="2" t="s">
        <v>21</v>
      </c>
    </row>
    <row r="12233" ht="15.75" customHeight="1">
      <c r="A12233" s="2">
        <v>2019.0</v>
      </c>
      <c r="B12233" s="2" t="s">
        <v>48842</v>
      </c>
      <c r="C12233" s="2" t="s">
        <v>48843</v>
      </c>
      <c r="D12233" s="2" t="str">
        <f>"2606153363"</f>
        <v>2606153363</v>
      </c>
      <c r="E12233" s="2" t="s">
        <v>1054</v>
      </c>
      <c r="F12233" s="2" t="s">
        <v>16009</v>
      </c>
      <c r="G12233" s="2" t="str">
        <f>"SR-17205"</f>
        <v>SR-17205</v>
      </c>
      <c r="H12233" s="2" t="s">
        <v>48844</v>
      </c>
      <c r="I12233" s="2" t="s">
        <v>48845</v>
      </c>
      <c r="K12233" s="2" t="s">
        <v>4298</v>
      </c>
      <c r="L12233" s="2" t="s">
        <v>149</v>
      </c>
      <c r="M12233" s="2">
        <v>46814.0</v>
      </c>
      <c r="N12233" s="2" t="s">
        <v>21</v>
      </c>
    </row>
    <row r="12234" ht="15.75" customHeight="1">
      <c r="A12234" s="2">
        <v>2019.0</v>
      </c>
      <c r="B12234" s="2" t="s">
        <v>48846</v>
      </c>
      <c r="C12234" s="2" t="s">
        <v>48847</v>
      </c>
      <c r="D12234" s="2" t="str">
        <f>"5132399136"</f>
        <v>5132399136</v>
      </c>
      <c r="E12234" s="2" t="s">
        <v>4406</v>
      </c>
      <c r="F12234" s="2" t="s">
        <v>48848</v>
      </c>
      <c r="G12234" s="2" t="str">
        <f>"SR-17206"</f>
        <v>SR-17206</v>
      </c>
      <c r="H12234" s="2" t="s">
        <v>48849</v>
      </c>
      <c r="I12234" s="2" t="s">
        <v>48850</v>
      </c>
      <c r="K12234" s="2" t="s">
        <v>1048</v>
      </c>
      <c r="L12234" s="2" t="s">
        <v>344</v>
      </c>
      <c r="M12234" s="2">
        <v>45140.0</v>
      </c>
      <c r="N12234" s="2" t="s">
        <v>21</v>
      </c>
    </row>
    <row r="12235" ht="15.75" customHeight="1">
      <c r="A12235" s="2">
        <v>2019.0</v>
      </c>
      <c r="B12235" s="2" t="s">
        <v>48851</v>
      </c>
      <c r="C12235" s="2" t="s">
        <v>48851</v>
      </c>
      <c r="D12235" s="2" t="str">
        <f>"703-627-0575"</f>
        <v>703-627-0575</v>
      </c>
      <c r="E12235" s="2" t="s">
        <v>250</v>
      </c>
      <c r="F12235" s="2" t="s">
        <v>48852</v>
      </c>
      <c r="G12235" s="2" t="str">
        <f>"SR-17214"</f>
        <v>SR-17214</v>
      </c>
      <c r="H12235" s="2" t="s">
        <v>48853</v>
      </c>
      <c r="I12235" s="2" t="s">
        <v>48854</v>
      </c>
      <c r="K12235" s="2" t="s">
        <v>20843</v>
      </c>
      <c r="L12235" s="2" t="s">
        <v>165</v>
      </c>
      <c r="M12235" s="2">
        <v>20148.0</v>
      </c>
      <c r="N12235" s="2" t="s">
        <v>21</v>
      </c>
    </row>
    <row r="12236" ht="15.75" customHeight="1">
      <c r="A12236" s="2">
        <v>2019.0</v>
      </c>
      <c r="B12236" s="2" t="s">
        <v>48855</v>
      </c>
      <c r="D12236" s="2" t="str">
        <f>""</f>
        <v/>
      </c>
      <c r="E12236" s="2" t="s">
        <v>2083</v>
      </c>
      <c r="F12236" s="2" t="s">
        <v>2350</v>
      </c>
      <c r="G12236" s="2" t="str">
        <f>"SR-16754"</f>
        <v>SR-16754</v>
      </c>
      <c r="H12236" s="2" t="s">
        <v>48856</v>
      </c>
      <c r="N12236" s="2" t="s">
        <v>21</v>
      </c>
    </row>
    <row r="12237" ht="15.75" customHeight="1">
      <c r="A12237" s="2">
        <v>2019.0</v>
      </c>
      <c r="B12237" s="2" t="s">
        <v>48857</v>
      </c>
      <c r="C12237" s="2" t="s">
        <v>48858</v>
      </c>
      <c r="D12237" s="2" t="str">
        <f>"9723696559"</f>
        <v>9723696559</v>
      </c>
      <c r="E12237" s="2" t="s">
        <v>5335</v>
      </c>
      <c r="F12237" s="2" t="s">
        <v>13036</v>
      </c>
      <c r="G12237" s="2" t="str">
        <f>"SR-16862"</f>
        <v>SR-16862</v>
      </c>
      <c r="H12237" s="2" t="s">
        <v>48859</v>
      </c>
      <c r="I12237" s="2" t="s">
        <v>48860</v>
      </c>
      <c r="K12237" s="2" t="s">
        <v>48861</v>
      </c>
      <c r="L12237" s="2" t="s">
        <v>172</v>
      </c>
      <c r="M12237" s="2">
        <v>75022.0</v>
      </c>
      <c r="N12237" s="2" t="s">
        <v>21</v>
      </c>
    </row>
    <row r="12238" ht="15.75" customHeight="1">
      <c r="A12238" s="2">
        <v>2019.0</v>
      </c>
      <c r="B12238" s="2" t="s">
        <v>48862</v>
      </c>
      <c r="C12238" s="2" t="s">
        <v>48862</v>
      </c>
      <c r="D12238" s="2" t="str">
        <f>"662-648-983"</f>
        <v>662-648-983</v>
      </c>
      <c r="E12238" s="2" t="s">
        <v>15626</v>
      </c>
      <c r="F12238" s="2" t="s">
        <v>48863</v>
      </c>
      <c r="G12238" s="2" t="str">
        <f>"SR-17225"</f>
        <v>SR-17225</v>
      </c>
      <c r="H12238" s="2" t="s">
        <v>48864</v>
      </c>
      <c r="I12238" s="2" t="s">
        <v>48865</v>
      </c>
      <c r="K12238" s="2" t="s">
        <v>48866</v>
      </c>
      <c r="L12238" s="2" t="s">
        <v>200</v>
      </c>
      <c r="M12238" s="2">
        <v>31024.0</v>
      </c>
      <c r="N12238" s="2" t="s">
        <v>21</v>
      </c>
    </row>
    <row r="12239" ht="15.75" customHeight="1">
      <c r="A12239" s="2">
        <v>2019.0</v>
      </c>
      <c r="B12239" s="2" t="s">
        <v>48867</v>
      </c>
      <c r="C12239" s="2" t="s">
        <v>48868</v>
      </c>
      <c r="D12239" s="2" t="str">
        <f>"208-277-7672"</f>
        <v>208-277-7672</v>
      </c>
      <c r="E12239" s="2" t="s">
        <v>1548</v>
      </c>
      <c r="F12239" s="2" t="s">
        <v>33176</v>
      </c>
      <c r="G12239" s="2" t="str">
        <f>"SR-17224"</f>
        <v>SR-17224</v>
      </c>
      <c r="H12239" s="2" t="s">
        <v>48869</v>
      </c>
      <c r="I12239" s="2" t="s">
        <v>48870</v>
      </c>
      <c r="K12239" s="2" t="s">
        <v>33179</v>
      </c>
      <c r="L12239" s="2" t="s">
        <v>2613</v>
      </c>
      <c r="M12239" s="2">
        <v>83858.0</v>
      </c>
      <c r="N12239" s="2" t="s">
        <v>21</v>
      </c>
    </row>
    <row r="12240" ht="15.75" customHeight="1">
      <c r="A12240" s="2">
        <v>2019.0</v>
      </c>
      <c r="B12240" s="2" t="s">
        <v>48871</v>
      </c>
      <c r="C12240" s="2" t="s">
        <v>48872</v>
      </c>
      <c r="D12240" s="2" t="str">
        <f>"2243995289"</f>
        <v>2243995289</v>
      </c>
      <c r="E12240" s="2" t="s">
        <v>3196</v>
      </c>
      <c r="F12240" s="2" t="s">
        <v>24289</v>
      </c>
      <c r="G12240" s="2" t="str">
        <f>"SR-17222"</f>
        <v>SR-17222</v>
      </c>
      <c r="H12240" s="2" t="s">
        <v>48873</v>
      </c>
      <c r="I12240" s="2" t="s">
        <v>48874</v>
      </c>
      <c r="K12240" s="2" t="s">
        <v>47643</v>
      </c>
      <c r="L12240" s="2" t="s">
        <v>279</v>
      </c>
      <c r="M12240" s="2">
        <v>38004.0</v>
      </c>
      <c r="N12240" s="2" t="s">
        <v>21</v>
      </c>
    </row>
    <row r="12241" ht="15.75" customHeight="1">
      <c r="A12241" s="2">
        <v>2019.0</v>
      </c>
      <c r="B12241" s="2" t="s">
        <v>48875</v>
      </c>
      <c r="C12241" s="2" t="s">
        <v>48876</v>
      </c>
      <c r="D12241" s="2" t="str">
        <f>"8165077132"</f>
        <v>8165077132</v>
      </c>
      <c r="E12241" s="2" t="s">
        <v>373</v>
      </c>
      <c r="F12241" s="2" t="s">
        <v>25036</v>
      </c>
      <c r="G12241" s="2" t="str">
        <f>"SR-17194"</f>
        <v>SR-17194</v>
      </c>
      <c r="H12241" s="2" t="s">
        <v>48877</v>
      </c>
      <c r="I12241" s="2" t="s">
        <v>48878</v>
      </c>
      <c r="K12241" s="2" t="s">
        <v>1315</v>
      </c>
      <c r="L12241" s="2" t="s">
        <v>214</v>
      </c>
      <c r="M12241" s="2">
        <v>64012.0</v>
      </c>
      <c r="N12241" s="2" t="s">
        <v>21</v>
      </c>
    </row>
    <row r="12242" ht="15.75" customHeight="1">
      <c r="A12242" s="2">
        <v>2019.0</v>
      </c>
      <c r="B12242" s="2" t="s">
        <v>45804</v>
      </c>
      <c r="C12242" s="2" t="s">
        <v>48879</v>
      </c>
      <c r="D12242" s="2" t="str">
        <f>"3042374848"</f>
        <v>3042374848</v>
      </c>
      <c r="E12242" s="2" t="s">
        <v>261</v>
      </c>
      <c r="F12242" s="2" t="s">
        <v>283</v>
      </c>
      <c r="G12242" s="2" t="str">
        <f>"SR-17229"</f>
        <v>SR-17229</v>
      </c>
      <c r="H12242" s="2" t="s">
        <v>42812</v>
      </c>
      <c r="I12242" s="2" t="s">
        <v>48880</v>
      </c>
      <c r="K12242" s="2" t="s">
        <v>45841</v>
      </c>
      <c r="L12242" s="2" t="s">
        <v>6449</v>
      </c>
      <c r="M12242" s="2">
        <v>25801.0</v>
      </c>
      <c r="N12242" s="2" t="s">
        <v>21</v>
      </c>
    </row>
    <row r="12243" ht="15.75" customHeight="1">
      <c r="A12243" s="2">
        <v>2019.0</v>
      </c>
      <c r="B12243" s="2" t="s">
        <v>48881</v>
      </c>
      <c r="C12243" s="2" t="s">
        <v>48881</v>
      </c>
      <c r="D12243" s="2" t="str">
        <f>"7196493037"</f>
        <v>7196493037</v>
      </c>
      <c r="E12243" s="2" t="s">
        <v>2936</v>
      </c>
      <c r="F12243" s="2" t="s">
        <v>48882</v>
      </c>
      <c r="G12243" s="2" t="str">
        <f>"SR-16718"</f>
        <v>SR-16718</v>
      </c>
      <c r="H12243" s="2" t="s">
        <v>48883</v>
      </c>
      <c r="I12243" s="2" t="s">
        <v>48884</v>
      </c>
      <c r="K12243" s="2" t="s">
        <v>975</v>
      </c>
      <c r="L12243" s="2" t="s">
        <v>157</v>
      </c>
      <c r="M12243" s="2">
        <v>80831.0</v>
      </c>
      <c r="N12243" s="2" t="s">
        <v>21</v>
      </c>
    </row>
    <row r="12244" ht="15.75" customHeight="1">
      <c r="A12244" s="2">
        <v>2019.0</v>
      </c>
      <c r="B12244" s="2" t="s">
        <v>48885</v>
      </c>
      <c r="C12244" s="2" t="s">
        <v>48885</v>
      </c>
      <c r="D12244" s="2" t="str">
        <f>"16308688470"</f>
        <v>16308688470</v>
      </c>
      <c r="E12244" s="2" t="s">
        <v>2965</v>
      </c>
      <c r="F12244" s="2" t="s">
        <v>48886</v>
      </c>
      <c r="G12244" s="2" t="str">
        <f>"SR-17232"</f>
        <v>SR-17232</v>
      </c>
      <c r="H12244" s="2" t="s">
        <v>48887</v>
      </c>
      <c r="I12244" s="2" t="s">
        <v>48888</v>
      </c>
      <c r="K12244" s="2" t="s">
        <v>48889</v>
      </c>
      <c r="M12244" s="2">
        <v>60550.0</v>
      </c>
      <c r="N12244" s="2" t="s">
        <v>48890</v>
      </c>
    </row>
    <row r="12245" ht="15.75" customHeight="1">
      <c r="A12245" s="2">
        <v>2019.0</v>
      </c>
      <c r="B12245" s="2" t="s">
        <v>48891</v>
      </c>
      <c r="C12245" s="2" t="s">
        <v>48892</v>
      </c>
      <c r="D12245" s="2" t="str">
        <f>"3173856098"</f>
        <v>3173856098</v>
      </c>
      <c r="E12245" s="2" t="s">
        <v>37224</v>
      </c>
      <c r="F12245" s="2" t="s">
        <v>48893</v>
      </c>
      <c r="G12245" s="2" t="str">
        <f>"SR-16986"</f>
        <v>SR-16986</v>
      </c>
      <c r="H12245" s="2" t="s">
        <v>48894</v>
      </c>
      <c r="I12245" s="2" t="s">
        <v>48895</v>
      </c>
      <c r="K12245" s="2" t="s">
        <v>3918</v>
      </c>
      <c r="L12245" s="2" t="s">
        <v>149</v>
      </c>
      <c r="M12245" s="2">
        <v>46072.0</v>
      </c>
      <c r="N12245" s="2" t="s">
        <v>21</v>
      </c>
    </row>
    <row r="12246" ht="15.75" customHeight="1">
      <c r="A12246" s="2">
        <v>2019.0</v>
      </c>
      <c r="B12246" s="2" t="s">
        <v>48896</v>
      </c>
      <c r="C12246" s="2" t="s">
        <v>48897</v>
      </c>
      <c r="D12246" s="2" t="str">
        <f>"301-633-8400"</f>
        <v>301-633-8400</v>
      </c>
      <c r="E12246" s="2" t="s">
        <v>48898</v>
      </c>
      <c r="F12246" s="2" t="s">
        <v>48899</v>
      </c>
      <c r="G12246" s="2" t="str">
        <f>"SR-17223"</f>
        <v>SR-17223</v>
      </c>
      <c r="H12246" s="2" t="s">
        <v>48900</v>
      </c>
      <c r="I12246" s="2" t="s">
        <v>48901</v>
      </c>
      <c r="K12246" s="2" t="s">
        <v>48902</v>
      </c>
      <c r="L12246" s="2" t="s">
        <v>1868</v>
      </c>
      <c r="M12246" s="2">
        <v>20785.0</v>
      </c>
      <c r="N12246" s="2" t="s">
        <v>21</v>
      </c>
    </row>
    <row r="12247" ht="15.75" customHeight="1">
      <c r="A12247" s="2">
        <v>2019.0</v>
      </c>
      <c r="B12247" s="2" t="s">
        <v>48903</v>
      </c>
      <c r="C12247" s="2" t="s">
        <v>48903</v>
      </c>
      <c r="D12247" s="2" t="str">
        <f>"6155592011"</f>
        <v>6155592011</v>
      </c>
      <c r="E12247" s="2" t="s">
        <v>590</v>
      </c>
      <c r="F12247" s="2" t="s">
        <v>5414</v>
      </c>
      <c r="G12247" s="2" t="str">
        <f>"SR-17235"</f>
        <v>SR-17235</v>
      </c>
      <c r="H12247" s="2" t="s">
        <v>48904</v>
      </c>
      <c r="I12247" s="2" t="s">
        <v>48905</v>
      </c>
      <c r="K12247" s="2" t="s">
        <v>48906</v>
      </c>
      <c r="L12247" s="2" t="s">
        <v>279</v>
      </c>
      <c r="M12247" s="2">
        <v>37146.0</v>
      </c>
      <c r="N12247" s="2" t="s">
        <v>21</v>
      </c>
    </row>
    <row r="12248" ht="15.75" customHeight="1">
      <c r="A12248" s="2">
        <v>2019.0</v>
      </c>
      <c r="B12248" s="2" t="s">
        <v>48907</v>
      </c>
      <c r="C12248" s="2" t="s">
        <v>48908</v>
      </c>
      <c r="D12248" s="2" t="str">
        <f>"2525351527"</f>
        <v>2525351527</v>
      </c>
      <c r="E12248" s="2" t="s">
        <v>23576</v>
      </c>
      <c r="F12248" s="2" t="s">
        <v>283</v>
      </c>
      <c r="G12248" s="2" t="str">
        <f>"SR-17236"</f>
        <v>SR-17236</v>
      </c>
      <c r="H12248" s="2" t="s">
        <v>48909</v>
      </c>
      <c r="I12248" s="2" t="s">
        <v>48910</v>
      </c>
      <c r="K12248" s="2" t="s">
        <v>48911</v>
      </c>
      <c r="L12248" s="2" t="s">
        <v>20</v>
      </c>
      <c r="M12248" s="2">
        <v>27870.0</v>
      </c>
      <c r="N12248" s="2" t="s">
        <v>21</v>
      </c>
    </row>
    <row r="12249" ht="15.75" customHeight="1">
      <c r="A12249" s="2">
        <v>2019.0</v>
      </c>
      <c r="B12249" s="2" t="s">
        <v>48912</v>
      </c>
      <c r="C12249" s="2" t="s">
        <v>48912</v>
      </c>
      <c r="D12249" s="2" t="str">
        <f>"+52 55 51351593"</f>
        <v>+52 55 51351593</v>
      </c>
      <c r="E12249" s="2" t="s">
        <v>596</v>
      </c>
      <c r="F12249" s="2" t="s">
        <v>24763</v>
      </c>
      <c r="G12249" s="2" t="str">
        <f>"SR-17083"</f>
        <v>SR-17083</v>
      </c>
      <c r="H12249" s="2" t="s">
        <v>48913</v>
      </c>
      <c r="I12249" s="2" t="s">
        <v>44829</v>
      </c>
      <c r="K12249" s="2" t="s">
        <v>48914</v>
      </c>
      <c r="N12249" s="2" t="s">
        <v>7784</v>
      </c>
    </row>
    <row r="12250" ht="15.75" customHeight="1">
      <c r="A12250" s="2">
        <v>2019.0</v>
      </c>
      <c r="B12250" s="2" t="s">
        <v>48915</v>
      </c>
      <c r="C12250" s="2" t="s">
        <v>48916</v>
      </c>
      <c r="D12250" s="2" t="str">
        <f>"3177946537"</f>
        <v>3177946537</v>
      </c>
      <c r="E12250" s="2" t="s">
        <v>22484</v>
      </c>
      <c r="F12250" s="2" t="s">
        <v>48917</v>
      </c>
      <c r="G12250" s="2" t="str">
        <f>"SR-17239"</f>
        <v>SR-17239</v>
      </c>
      <c r="H12250" s="2" t="s">
        <v>48918</v>
      </c>
      <c r="I12250" s="2" t="s">
        <v>48919</v>
      </c>
      <c r="K12250" s="2" t="s">
        <v>1188</v>
      </c>
      <c r="L12250" s="2" t="s">
        <v>149</v>
      </c>
      <c r="M12250" s="2">
        <v>46256.0</v>
      </c>
      <c r="N12250" s="2" t="s">
        <v>21</v>
      </c>
    </row>
    <row r="12251" ht="15.75" customHeight="1">
      <c r="A12251" s="2">
        <v>2019.0</v>
      </c>
      <c r="B12251" s="2" t="s">
        <v>48920</v>
      </c>
      <c r="C12251" s="2" t="s">
        <v>48921</v>
      </c>
      <c r="D12251" s="2" t="str">
        <f t="shared" ref="D12251:D12252" si="205">"2604170406"</f>
        <v>2604170406</v>
      </c>
      <c r="E12251" s="2" t="s">
        <v>1141</v>
      </c>
      <c r="F12251" s="2" t="s">
        <v>5898</v>
      </c>
      <c r="G12251" s="2" t="str">
        <f>"SR-17196"</f>
        <v>SR-17196</v>
      </c>
      <c r="H12251" s="2" t="s">
        <v>48922</v>
      </c>
      <c r="I12251" s="2" t="s">
        <v>48923</v>
      </c>
      <c r="K12251" s="2" t="s">
        <v>4298</v>
      </c>
      <c r="L12251" s="2" t="s">
        <v>149</v>
      </c>
      <c r="M12251" s="2">
        <v>46814.0</v>
      </c>
      <c r="N12251" s="2" t="s">
        <v>21</v>
      </c>
    </row>
    <row r="12252" ht="15.75" customHeight="1">
      <c r="A12252" s="2">
        <v>2019.0</v>
      </c>
      <c r="B12252" s="2" t="s">
        <v>48920</v>
      </c>
      <c r="C12252" s="2" t="s">
        <v>48924</v>
      </c>
      <c r="D12252" s="2" t="str">
        <f t="shared" si="205"/>
        <v>2604170406</v>
      </c>
      <c r="E12252" s="2" t="s">
        <v>27484</v>
      </c>
      <c r="F12252" s="2" t="s">
        <v>5898</v>
      </c>
      <c r="G12252" s="2" t="str">
        <f>"SR-17197"</f>
        <v>SR-17197</v>
      </c>
      <c r="H12252" s="2" t="s">
        <v>48925</v>
      </c>
      <c r="I12252" s="2" t="s">
        <v>48926</v>
      </c>
      <c r="K12252" s="2" t="s">
        <v>4298</v>
      </c>
      <c r="L12252" s="2" t="s">
        <v>149</v>
      </c>
      <c r="M12252" s="2">
        <v>46814.0</v>
      </c>
      <c r="N12252" s="2" t="s">
        <v>21</v>
      </c>
    </row>
    <row r="12253" ht="15.75" customHeight="1">
      <c r="A12253" s="2">
        <v>2019.0</v>
      </c>
      <c r="B12253" s="2" t="s">
        <v>48927</v>
      </c>
      <c r="C12253" s="2" t="s">
        <v>48928</v>
      </c>
      <c r="D12253" s="2" t="str">
        <f>"910-366-0182"</f>
        <v>910-366-0182</v>
      </c>
      <c r="E12253" s="2" t="s">
        <v>261</v>
      </c>
      <c r="F12253" s="2" t="s">
        <v>48929</v>
      </c>
      <c r="G12253" s="2" t="str">
        <f>"SR-17243"</f>
        <v>SR-17243</v>
      </c>
      <c r="H12253" s="2" t="s">
        <v>48930</v>
      </c>
      <c r="I12253" s="2" t="s">
        <v>48931</v>
      </c>
      <c r="K12253" s="2" t="s">
        <v>22900</v>
      </c>
      <c r="L12253" s="2" t="s">
        <v>20</v>
      </c>
      <c r="M12253" s="2">
        <v>28391.0</v>
      </c>
      <c r="N12253" s="2" t="s">
        <v>21</v>
      </c>
    </row>
    <row r="12254" ht="15.75" customHeight="1">
      <c r="A12254" s="2">
        <v>2019.0</v>
      </c>
      <c r="B12254" s="2" t="s">
        <v>48932</v>
      </c>
      <c r="C12254" s="2" t="s">
        <v>48933</v>
      </c>
      <c r="D12254" s="2" t="str">
        <f>"2602063317"</f>
        <v>2602063317</v>
      </c>
      <c r="E12254" s="2" t="s">
        <v>584</v>
      </c>
      <c r="F12254" s="2" t="s">
        <v>1045</v>
      </c>
      <c r="G12254" s="2" t="str">
        <f>"SR-17249"</f>
        <v>SR-17249</v>
      </c>
      <c r="H12254" s="2" t="s">
        <v>48934</v>
      </c>
      <c r="I12254" s="2" t="s">
        <v>48935</v>
      </c>
      <c r="K12254" s="2" t="s">
        <v>4298</v>
      </c>
      <c r="L12254" s="2" t="s">
        <v>149</v>
      </c>
      <c r="M12254" s="2">
        <v>46804.0</v>
      </c>
      <c r="N12254" s="2" t="s">
        <v>21</v>
      </c>
    </row>
    <row r="12255" ht="15.75" customHeight="1">
      <c r="A12255" s="2">
        <v>2019.0</v>
      </c>
      <c r="B12255" s="2" t="s">
        <v>48936</v>
      </c>
      <c r="C12255" s="2" t="s">
        <v>48936</v>
      </c>
      <c r="D12255" s="2" t="str">
        <f>"7818648198"</f>
        <v>7818648198</v>
      </c>
      <c r="E12255" s="2" t="s">
        <v>48937</v>
      </c>
      <c r="F12255" s="2" t="s">
        <v>7039</v>
      </c>
      <c r="G12255" s="2" t="str">
        <f>"SR-17248"</f>
        <v>SR-17248</v>
      </c>
      <c r="H12255" s="2" t="s">
        <v>48938</v>
      </c>
      <c r="I12255" s="2" t="s">
        <v>48939</v>
      </c>
      <c r="K12255" s="2" t="s">
        <v>54</v>
      </c>
      <c r="L12255" s="2" t="s">
        <v>20</v>
      </c>
      <c r="M12255" s="2">
        <v>27858.0</v>
      </c>
      <c r="N12255" s="2" t="s">
        <v>21</v>
      </c>
    </row>
    <row r="12256" ht="15.75" customHeight="1">
      <c r="A12256" s="2">
        <v>2019.0</v>
      </c>
      <c r="B12256" s="2" t="s">
        <v>48940</v>
      </c>
      <c r="C12256" s="2" t="s">
        <v>48940</v>
      </c>
      <c r="D12256" s="2" t="str">
        <f>"2604584047"</f>
        <v>2604584047</v>
      </c>
      <c r="E12256" s="2" t="s">
        <v>7996</v>
      </c>
      <c r="F12256" s="2" t="s">
        <v>48941</v>
      </c>
      <c r="G12256" s="2" t="str">
        <f>"SR-17252"</f>
        <v>SR-17252</v>
      </c>
      <c r="H12256" s="2" t="s">
        <v>48942</v>
      </c>
      <c r="I12256" s="2" t="s">
        <v>48943</v>
      </c>
      <c r="K12256" s="2" t="s">
        <v>4298</v>
      </c>
      <c r="L12256" s="2" t="s">
        <v>149</v>
      </c>
      <c r="M12256" s="2">
        <v>46814.0</v>
      </c>
      <c r="N12256" s="2" t="s">
        <v>21</v>
      </c>
    </row>
    <row r="12257" ht="15.75" customHeight="1">
      <c r="A12257" s="2">
        <v>2019.0</v>
      </c>
      <c r="B12257" s="2" t="s">
        <v>20892</v>
      </c>
      <c r="C12257" s="2" t="s">
        <v>48944</v>
      </c>
      <c r="D12257" s="2" t="str">
        <f>"4694087274"</f>
        <v>4694087274</v>
      </c>
      <c r="E12257" s="2" t="s">
        <v>50</v>
      </c>
      <c r="F12257" s="2" t="s">
        <v>2378</v>
      </c>
      <c r="G12257" s="2" t="str">
        <f>"SR-17273"</f>
        <v>SR-17273</v>
      </c>
      <c r="H12257" s="2" t="s">
        <v>26845</v>
      </c>
      <c r="I12257" s="2" t="s">
        <v>20895</v>
      </c>
      <c r="K12257" s="2" t="s">
        <v>615</v>
      </c>
      <c r="L12257" s="2" t="s">
        <v>172</v>
      </c>
      <c r="M12257" s="2">
        <v>75071.0</v>
      </c>
      <c r="N12257" s="2" t="s">
        <v>21</v>
      </c>
    </row>
    <row r="12258" ht="15.75" customHeight="1">
      <c r="A12258" s="2">
        <v>2019.0</v>
      </c>
      <c r="B12258" s="2" t="s">
        <v>48945</v>
      </c>
      <c r="C12258" s="2" t="s">
        <v>48946</v>
      </c>
      <c r="D12258" s="2" t="str">
        <f>"731-613-6367"</f>
        <v>731-613-6367</v>
      </c>
      <c r="E12258" s="2" t="s">
        <v>2162</v>
      </c>
      <c r="F12258" s="2" t="s">
        <v>48947</v>
      </c>
      <c r="G12258" s="2" t="str">
        <f>"SR-17233"</f>
        <v>SR-17233</v>
      </c>
      <c r="H12258" s="2" t="s">
        <v>48948</v>
      </c>
      <c r="I12258" s="2" t="s">
        <v>48949</v>
      </c>
      <c r="K12258" s="2" t="s">
        <v>42374</v>
      </c>
      <c r="L12258" s="2" t="s">
        <v>279</v>
      </c>
      <c r="M12258" s="2">
        <v>38343.0</v>
      </c>
      <c r="N12258" s="2" t="s">
        <v>21</v>
      </c>
    </row>
    <row r="12259" ht="15.75" customHeight="1">
      <c r="A12259" s="2">
        <v>2019.0</v>
      </c>
      <c r="B12259" s="2" t="s">
        <v>48950</v>
      </c>
      <c r="C12259" s="2" t="s">
        <v>48951</v>
      </c>
      <c r="D12259" s="2" t="str">
        <f>"(612) 356-4448"</f>
        <v>(612) 356-4448</v>
      </c>
      <c r="E12259" s="2" t="s">
        <v>17850</v>
      </c>
      <c r="F12259" s="2" t="s">
        <v>10464</v>
      </c>
      <c r="G12259" s="2" t="str">
        <f>"SR-15072"</f>
        <v>SR-15072</v>
      </c>
      <c r="H12259" s="2" t="s">
        <v>48952</v>
      </c>
      <c r="I12259" s="2" t="s">
        <v>48953</v>
      </c>
      <c r="K12259" s="2" t="s">
        <v>9348</v>
      </c>
      <c r="L12259" s="2" t="s">
        <v>4836</v>
      </c>
      <c r="M12259" s="2">
        <v>6878.0</v>
      </c>
      <c r="N12259" s="2" t="s">
        <v>21</v>
      </c>
    </row>
    <row r="12260" ht="15.75" customHeight="1">
      <c r="A12260" s="2">
        <v>2019.0</v>
      </c>
      <c r="B12260" s="2" t="s">
        <v>48954</v>
      </c>
      <c r="C12260" s="2" t="s">
        <v>48955</v>
      </c>
      <c r="D12260" s="2" t="str">
        <f>"630-854-2324"</f>
        <v>630-854-2324</v>
      </c>
      <c r="E12260" s="2" t="s">
        <v>2800</v>
      </c>
      <c r="F12260" s="2" t="s">
        <v>48956</v>
      </c>
      <c r="G12260" s="2" t="str">
        <f>"SR-17275"</f>
        <v>SR-17275</v>
      </c>
      <c r="H12260" s="2" t="s">
        <v>48957</v>
      </c>
      <c r="I12260" s="2" t="s">
        <v>48958</v>
      </c>
      <c r="K12260" s="2" t="s">
        <v>9128</v>
      </c>
      <c r="L12260" s="2" t="s">
        <v>105</v>
      </c>
      <c r="M12260" s="2">
        <v>60540.0</v>
      </c>
      <c r="N12260" s="2" t="s">
        <v>21</v>
      </c>
    </row>
    <row r="12261" ht="15.75" customHeight="1">
      <c r="A12261" s="2">
        <v>2019.0</v>
      </c>
      <c r="B12261" s="2" t="s">
        <v>13415</v>
      </c>
      <c r="C12261" s="2" t="s">
        <v>48959</v>
      </c>
      <c r="D12261" s="2" t="str">
        <f>"3364163966"</f>
        <v>3364163966</v>
      </c>
      <c r="E12261" s="2" t="s">
        <v>9924</v>
      </c>
      <c r="F12261" s="2" t="s">
        <v>13417</v>
      </c>
      <c r="G12261" s="2" t="str">
        <f>"SR-16527"</f>
        <v>SR-16527</v>
      </c>
      <c r="H12261" s="2" t="s">
        <v>48960</v>
      </c>
      <c r="I12261" s="2" t="s">
        <v>13419</v>
      </c>
      <c r="K12261" s="2" t="s">
        <v>4174</v>
      </c>
      <c r="L12261" s="2" t="s">
        <v>20</v>
      </c>
      <c r="M12261" s="2">
        <v>27023.0</v>
      </c>
      <c r="N12261" s="2" t="s">
        <v>21</v>
      </c>
    </row>
    <row r="12262" ht="15.75" customHeight="1">
      <c r="A12262" s="2">
        <v>2019.0</v>
      </c>
      <c r="B12262" s="2" t="s">
        <v>48961</v>
      </c>
      <c r="C12262" s="2" t="s">
        <v>48962</v>
      </c>
      <c r="D12262" s="2" t="str">
        <f>"3018920647"</f>
        <v>3018920647</v>
      </c>
      <c r="E12262" s="2" t="s">
        <v>6244</v>
      </c>
      <c r="F12262" s="2" t="s">
        <v>17530</v>
      </c>
      <c r="G12262" s="2" t="str">
        <f>"SR-17237"</f>
        <v>SR-17237</v>
      </c>
      <c r="H12262" s="2" t="s">
        <v>48963</v>
      </c>
      <c r="I12262" s="2" t="s">
        <v>48964</v>
      </c>
      <c r="J12262" s="2">
        <v>110.0</v>
      </c>
      <c r="K12262" s="2" t="s">
        <v>17226</v>
      </c>
      <c r="L12262" s="2" t="s">
        <v>1868</v>
      </c>
      <c r="M12262" s="2">
        <v>21703.0</v>
      </c>
      <c r="N12262" s="2" t="s">
        <v>21</v>
      </c>
    </row>
    <row r="12263" ht="15.75" customHeight="1">
      <c r="A12263" s="2">
        <v>2019.0</v>
      </c>
      <c r="B12263" s="2" t="s">
        <v>48965</v>
      </c>
      <c r="C12263" s="2" t="s">
        <v>48966</v>
      </c>
      <c r="D12263" s="2" t="str">
        <f>"4322123574"</f>
        <v>4322123574</v>
      </c>
      <c r="E12263" s="2" t="s">
        <v>2930</v>
      </c>
      <c r="F12263" s="2" t="s">
        <v>7940</v>
      </c>
      <c r="G12263" s="2" t="str">
        <f>"SR-16872"</f>
        <v>SR-16872</v>
      </c>
      <c r="H12263" s="2" t="s">
        <v>48967</v>
      </c>
      <c r="I12263" s="2" t="s">
        <v>48968</v>
      </c>
      <c r="K12263" s="2" t="s">
        <v>286</v>
      </c>
      <c r="L12263" s="2" t="s">
        <v>172</v>
      </c>
      <c r="M12263" s="2">
        <v>79707.0</v>
      </c>
      <c r="N12263" s="2" t="s">
        <v>21</v>
      </c>
    </row>
    <row r="12264" ht="15.75" customHeight="1">
      <c r="A12264" s="2">
        <v>2019.0</v>
      </c>
      <c r="B12264" s="2" t="s">
        <v>48969</v>
      </c>
      <c r="C12264" s="2" t="s">
        <v>48970</v>
      </c>
      <c r="D12264" s="2" t="str">
        <f>"8183248803"</f>
        <v>8183248803</v>
      </c>
      <c r="E12264" s="2" t="s">
        <v>2162</v>
      </c>
      <c r="F12264" s="2" t="s">
        <v>6121</v>
      </c>
      <c r="G12264" s="2" t="str">
        <f>"SR-17283"</f>
        <v>SR-17283</v>
      </c>
      <c r="H12264" s="2" t="s">
        <v>48971</v>
      </c>
      <c r="I12264" s="2" t="s">
        <v>48972</v>
      </c>
      <c r="J12264" s="2" t="s">
        <v>48973</v>
      </c>
      <c r="K12264" s="2" t="s">
        <v>48974</v>
      </c>
      <c r="L12264" s="2" t="s">
        <v>222</v>
      </c>
      <c r="M12264" s="2">
        <v>91301.0</v>
      </c>
      <c r="N12264" s="2" t="s">
        <v>21</v>
      </c>
    </row>
    <row r="12265" ht="15.75" customHeight="1">
      <c r="A12265" s="2">
        <v>2019.0</v>
      </c>
      <c r="B12265" s="2" t="s">
        <v>48969</v>
      </c>
      <c r="C12265" s="2" t="s">
        <v>48975</v>
      </c>
      <c r="D12265" s="2" t="str">
        <f>"8188572694"</f>
        <v>8188572694</v>
      </c>
      <c r="E12265" s="2" t="s">
        <v>225</v>
      </c>
      <c r="F12265" s="2" t="s">
        <v>6121</v>
      </c>
      <c r="G12265" s="2" t="str">
        <f>"SR-17297"</f>
        <v>SR-17297</v>
      </c>
      <c r="H12265" s="2" t="s">
        <v>48976</v>
      </c>
      <c r="I12265" s="2" t="s">
        <v>48972</v>
      </c>
      <c r="J12265" s="2">
        <v>180.0</v>
      </c>
      <c r="K12265" s="2" t="s">
        <v>48977</v>
      </c>
      <c r="L12265" s="2" t="s">
        <v>222</v>
      </c>
      <c r="M12265" s="2">
        <v>91301.0</v>
      </c>
      <c r="N12265" s="2" t="s">
        <v>21</v>
      </c>
    </row>
    <row r="12266" ht="15.75" customHeight="1">
      <c r="A12266" s="2">
        <v>2019.0</v>
      </c>
      <c r="B12266" s="2" t="s">
        <v>48978</v>
      </c>
      <c r="C12266" s="2" t="s">
        <v>48979</v>
      </c>
      <c r="D12266" s="2" t="str">
        <f>"703 431-7430"</f>
        <v>703 431-7430</v>
      </c>
      <c r="E12266" s="2" t="s">
        <v>160</v>
      </c>
      <c r="F12266" s="2" t="s">
        <v>48980</v>
      </c>
      <c r="G12266" s="2" t="str">
        <f>"SR-17039"</f>
        <v>SR-17039</v>
      </c>
      <c r="H12266" s="2" t="s">
        <v>48981</v>
      </c>
      <c r="I12266" s="2" t="s">
        <v>48982</v>
      </c>
      <c r="K12266" s="2" t="s">
        <v>2461</v>
      </c>
      <c r="L12266" s="2" t="s">
        <v>165</v>
      </c>
      <c r="M12266" s="2">
        <v>22611.0</v>
      </c>
      <c r="N12266" s="2" t="s">
        <v>21</v>
      </c>
    </row>
    <row r="12267" ht="15.75" customHeight="1">
      <c r="A12267" s="2">
        <v>2019.0</v>
      </c>
      <c r="B12267" s="2" t="s">
        <v>37094</v>
      </c>
      <c r="C12267" s="2" t="s">
        <v>37094</v>
      </c>
      <c r="D12267" s="2" t="str">
        <f>"9032277796"</f>
        <v>9032277796</v>
      </c>
      <c r="E12267" s="2" t="s">
        <v>288</v>
      </c>
      <c r="F12267" s="2" t="s">
        <v>4941</v>
      </c>
      <c r="G12267" s="2" t="str">
        <f>"SR-9945"</f>
        <v>SR-9945</v>
      </c>
      <c r="H12267" s="2" t="s">
        <v>37095</v>
      </c>
      <c r="I12267" s="2" t="s">
        <v>37096</v>
      </c>
      <c r="K12267" s="2" t="s">
        <v>11179</v>
      </c>
      <c r="L12267" s="2" t="s">
        <v>172</v>
      </c>
      <c r="M12267" s="2">
        <v>76065.0</v>
      </c>
      <c r="N12267" s="2" t="s">
        <v>21</v>
      </c>
    </row>
    <row r="12268" ht="15.75" customHeight="1">
      <c r="A12268" s="2">
        <v>2019.0</v>
      </c>
      <c r="B12268" s="2" t="s">
        <v>48983</v>
      </c>
      <c r="C12268" s="2" t="s">
        <v>48983</v>
      </c>
      <c r="D12268" s="2" t="str">
        <f>"4327702137"</f>
        <v>4327702137</v>
      </c>
      <c r="E12268" s="2" t="s">
        <v>1054</v>
      </c>
      <c r="F12268" s="2" t="s">
        <v>48984</v>
      </c>
      <c r="G12268" s="2" t="str">
        <f>"SR-16906"</f>
        <v>SR-16906</v>
      </c>
      <c r="H12268" s="2" t="s">
        <v>48985</v>
      </c>
      <c r="I12268" s="2" t="s">
        <v>48986</v>
      </c>
      <c r="K12268" s="2" t="s">
        <v>286</v>
      </c>
      <c r="L12268" s="2" t="s">
        <v>172</v>
      </c>
      <c r="M12268" s="2">
        <v>79705.0</v>
      </c>
      <c r="N12268" s="2" t="s">
        <v>21</v>
      </c>
    </row>
    <row r="12269" ht="15.75" customHeight="1">
      <c r="A12269" s="2">
        <v>2019.0</v>
      </c>
      <c r="B12269" s="2" t="s">
        <v>48987</v>
      </c>
      <c r="C12269" s="2" t="s">
        <v>48987</v>
      </c>
      <c r="D12269" s="2" t="str">
        <f>"731-610-7472"</f>
        <v>731-610-7472</v>
      </c>
      <c r="E12269" s="2" t="s">
        <v>48988</v>
      </c>
      <c r="F12269" s="2" t="s">
        <v>48989</v>
      </c>
      <c r="G12269" s="2" t="str">
        <f>"SR-17241"</f>
        <v>SR-17241</v>
      </c>
      <c r="H12269" s="2" t="s">
        <v>48990</v>
      </c>
      <c r="I12269" s="2" t="s">
        <v>48991</v>
      </c>
      <c r="K12269" s="2" t="s">
        <v>48992</v>
      </c>
      <c r="L12269" s="2" t="s">
        <v>279</v>
      </c>
      <c r="M12269" s="2">
        <v>38375.0</v>
      </c>
      <c r="N12269" s="2" t="s">
        <v>21</v>
      </c>
    </row>
    <row r="12270" ht="15.75" customHeight="1">
      <c r="A12270" s="2">
        <v>2019.0</v>
      </c>
      <c r="B12270" s="2" t="s">
        <v>48993</v>
      </c>
      <c r="C12270" s="2" t="s">
        <v>48993</v>
      </c>
      <c r="D12270" s="2" t="str">
        <f>"2533485847"</f>
        <v>2533485847</v>
      </c>
      <c r="E12270" s="2" t="s">
        <v>1076</v>
      </c>
      <c r="F12270" s="2" t="s">
        <v>48994</v>
      </c>
      <c r="G12270" s="2" t="str">
        <f>"SR-17256"</f>
        <v>SR-17256</v>
      </c>
      <c r="H12270" s="2" t="s">
        <v>48995</v>
      </c>
      <c r="I12270" s="2" t="s">
        <v>48996</v>
      </c>
      <c r="K12270" s="2" t="s">
        <v>10252</v>
      </c>
      <c r="L12270" s="2" t="s">
        <v>86</v>
      </c>
      <c r="M12270" s="2">
        <v>98375.0</v>
      </c>
      <c r="N12270" s="2" t="s">
        <v>21</v>
      </c>
    </row>
    <row r="12271" ht="15.75" customHeight="1">
      <c r="A12271" s="2">
        <v>2019.0</v>
      </c>
      <c r="B12271" s="2" t="s">
        <v>48997</v>
      </c>
      <c r="C12271" s="2" t="s">
        <v>48998</v>
      </c>
      <c r="D12271" s="2" t="str">
        <f>"765-650-9236"</f>
        <v>765-650-9236</v>
      </c>
      <c r="E12271" s="2" t="s">
        <v>5991</v>
      </c>
      <c r="F12271" s="2" t="s">
        <v>226</v>
      </c>
      <c r="G12271" s="2" t="str">
        <f>"SR-17308"</f>
        <v>SR-17308</v>
      </c>
      <c r="H12271" s="2" t="s">
        <v>48999</v>
      </c>
      <c r="I12271" s="2" t="s">
        <v>49000</v>
      </c>
      <c r="K12271" s="2" t="s">
        <v>3845</v>
      </c>
      <c r="L12271" s="2" t="s">
        <v>149</v>
      </c>
      <c r="M12271" s="2">
        <v>46041.0</v>
      </c>
      <c r="N12271" s="2" t="s">
        <v>21</v>
      </c>
    </row>
    <row r="12272" ht="15.75" customHeight="1">
      <c r="A12272" s="2">
        <v>2019.0</v>
      </c>
      <c r="B12272" s="2" t="s">
        <v>49001</v>
      </c>
      <c r="C12272" s="2" t="s">
        <v>49002</v>
      </c>
      <c r="D12272" s="2" t="str">
        <f>"6178396134"</f>
        <v>6178396134</v>
      </c>
      <c r="E12272" s="2" t="s">
        <v>931</v>
      </c>
      <c r="F12272" s="2" t="s">
        <v>49003</v>
      </c>
      <c r="G12272" s="2" t="str">
        <f>"SR-17126"</f>
        <v>SR-17126</v>
      </c>
      <c r="H12272" s="2" t="s">
        <v>49004</v>
      </c>
      <c r="I12272" s="2" t="s">
        <v>49005</v>
      </c>
      <c r="K12272" s="2" t="s">
        <v>18221</v>
      </c>
      <c r="L12272" s="2" t="s">
        <v>105</v>
      </c>
      <c r="M12272" s="2">
        <v>60646.0</v>
      </c>
      <c r="N12272" s="2" t="s">
        <v>21</v>
      </c>
    </row>
    <row r="12273" ht="15.75" customHeight="1">
      <c r="A12273" s="2">
        <v>2019.0</v>
      </c>
      <c r="B12273" s="2" t="s">
        <v>49006</v>
      </c>
      <c r="C12273" s="2" t="s">
        <v>49007</v>
      </c>
      <c r="D12273" s="2" t="str">
        <f>"7188011196"</f>
        <v>7188011196</v>
      </c>
      <c r="E12273" s="2" t="s">
        <v>2243</v>
      </c>
      <c r="F12273" s="2" t="s">
        <v>49008</v>
      </c>
      <c r="G12273" s="2" t="str">
        <f>"SR-17079"</f>
        <v>SR-17079</v>
      </c>
      <c r="H12273" s="2" t="s">
        <v>49009</v>
      </c>
      <c r="I12273" s="2" t="s">
        <v>49010</v>
      </c>
      <c r="K12273" s="2" t="s">
        <v>809</v>
      </c>
      <c r="L12273" s="2" t="s">
        <v>157</v>
      </c>
      <c r="M12273" s="2">
        <v>80918.0</v>
      </c>
      <c r="N12273" s="2" t="s">
        <v>21</v>
      </c>
    </row>
    <row r="12274" ht="15.75" customHeight="1">
      <c r="A12274" s="2">
        <v>2019.0</v>
      </c>
      <c r="B12274" s="2" t="s">
        <v>49011</v>
      </c>
      <c r="C12274" s="2" t="s">
        <v>49012</v>
      </c>
      <c r="D12274" s="2" t="str">
        <f>"9705848122"</f>
        <v>9705848122</v>
      </c>
      <c r="E12274" s="2" t="s">
        <v>678</v>
      </c>
      <c r="F12274" s="2" t="s">
        <v>21049</v>
      </c>
      <c r="G12274" s="2" t="str">
        <f>"SR-17306"</f>
        <v>SR-17306</v>
      </c>
      <c r="H12274" s="2" t="s">
        <v>49013</v>
      </c>
      <c r="I12274" s="2" t="s">
        <v>49014</v>
      </c>
      <c r="K12274" s="2" t="s">
        <v>1558</v>
      </c>
      <c r="L12274" s="2" t="s">
        <v>157</v>
      </c>
      <c r="M12274" s="2">
        <v>80634.0</v>
      </c>
      <c r="N12274" s="2" t="s">
        <v>21</v>
      </c>
    </row>
    <row r="12275" ht="15.75" customHeight="1">
      <c r="A12275" s="2">
        <v>2019.0</v>
      </c>
      <c r="B12275" s="2" t="s">
        <v>49015</v>
      </c>
      <c r="C12275" s="2" t="s">
        <v>49016</v>
      </c>
      <c r="D12275" s="2" t="str">
        <f>"731-453-4013"</f>
        <v>731-453-4013</v>
      </c>
      <c r="E12275" s="2" t="s">
        <v>41306</v>
      </c>
      <c r="F12275" s="2" t="s">
        <v>49017</v>
      </c>
      <c r="G12275" s="2" t="str">
        <f>"SR-17307"</f>
        <v>SR-17307</v>
      </c>
      <c r="H12275" s="2" t="s">
        <v>49018</v>
      </c>
      <c r="I12275" s="2" t="s">
        <v>49019</v>
      </c>
      <c r="K12275" s="2" t="s">
        <v>49020</v>
      </c>
      <c r="L12275" s="2" t="s">
        <v>279</v>
      </c>
      <c r="M12275" s="2">
        <v>38310.0</v>
      </c>
      <c r="N12275" s="2" t="s">
        <v>21</v>
      </c>
    </row>
    <row r="12276" ht="15.75" customHeight="1">
      <c r="A12276" s="2">
        <v>2019.0</v>
      </c>
      <c r="B12276" s="2" t="s">
        <v>49021</v>
      </c>
      <c r="C12276" s="2" t="s">
        <v>49021</v>
      </c>
      <c r="D12276" s="2" t="str">
        <f>"7209215123"</f>
        <v>7209215123</v>
      </c>
      <c r="E12276" s="2" t="s">
        <v>2250</v>
      </c>
      <c r="F12276" s="2" t="s">
        <v>49022</v>
      </c>
      <c r="G12276" s="2" t="str">
        <f>"SR-17317"</f>
        <v>SR-17317</v>
      </c>
      <c r="H12276" s="2" t="s">
        <v>49023</v>
      </c>
      <c r="I12276" s="2" t="s">
        <v>49024</v>
      </c>
      <c r="K12276" s="2" t="s">
        <v>1502</v>
      </c>
      <c r="L12276" s="2" t="s">
        <v>157</v>
      </c>
      <c r="M12276" s="2">
        <v>80002.0</v>
      </c>
      <c r="N12276" s="2" t="s">
        <v>21</v>
      </c>
    </row>
    <row r="12277" ht="15.75" customHeight="1">
      <c r="A12277" s="2">
        <v>2019.0</v>
      </c>
      <c r="B12277" s="2" t="s">
        <v>49025</v>
      </c>
      <c r="C12277" s="2" t="s">
        <v>49025</v>
      </c>
      <c r="D12277" s="2" t="str">
        <f>"714-463-5653"</f>
        <v>714-463-5653</v>
      </c>
      <c r="E12277" s="2" t="s">
        <v>2851</v>
      </c>
      <c r="F12277" s="2" t="s">
        <v>7940</v>
      </c>
      <c r="G12277" s="2" t="str">
        <f>"SR-17324"</f>
        <v>SR-17324</v>
      </c>
      <c r="H12277" s="2" t="s">
        <v>14842</v>
      </c>
      <c r="I12277" s="2" t="s">
        <v>14843</v>
      </c>
      <c r="K12277" s="2" t="s">
        <v>12334</v>
      </c>
      <c r="L12277" s="2" t="s">
        <v>222</v>
      </c>
      <c r="M12277" s="2">
        <v>92886.0</v>
      </c>
      <c r="N12277" s="2" t="s">
        <v>21</v>
      </c>
    </row>
    <row r="12278" ht="15.75" customHeight="1">
      <c r="A12278" s="2">
        <v>2019.0</v>
      </c>
      <c r="B12278" s="2" t="s">
        <v>2353</v>
      </c>
      <c r="C12278" s="2" t="s">
        <v>49026</v>
      </c>
      <c r="D12278" s="2" t="str">
        <f>"9725135679"</f>
        <v>9725135679</v>
      </c>
      <c r="E12278" s="2" t="s">
        <v>19603</v>
      </c>
      <c r="F12278" s="2" t="s">
        <v>847</v>
      </c>
      <c r="G12278" s="2" t="str">
        <f>"SR-16962"</f>
        <v>SR-16962</v>
      </c>
      <c r="H12278" s="2" t="s">
        <v>49027</v>
      </c>
      <c r="I12278" s="2" t="s">
        <v>2357</v>
      </c>
      <c r="K12278" s="2" t="s">
        <v>2358</v>
      </c>
      <c r="L12278" s="2" t="s">
        <v>172</v>
      </c>
      <c r="M12278" s="2">
        <v>75154.0</v>
      </c>
      <c r="N12278" s="2" t="s">
        <v>21</v>
      </c>
    </row>
    <row r="12279" ht="15.75" customHeight="1">
      <c r="A12279" s="2">
        <v>2019.0</v>
      </c>
      <c r="B12279" s="2" t="s">
        <v>49028</v>
      </c>
      <c r="C12279" s="2" t="s">
        <v>49029</v>
      </c>
      <c r="D12279" s="2" t="str">
        <f>"907-414-9892"</f>
        <v>907-414-9892</v>
      </c>
      <c r="E12279" s="2" t="s">
        <v>1548</v>
      </c>
      <c r="F12279" s="2" t="s">
        <v>49030</v>
      </c>
      <c r="G12279" s="2" t="str">
        <f>"SR-17312"</f>
        <v>SR-17312</v>
      </c>
      <c r="H12279" s="2" t="s">
        <v>49031</v>
      </c>
      <c r="I12279" s="2" t="s">
        <v>49032</v>
      </c>
      <c r="K12279" s="2" t="s">
        <v>13272</v>
      </c>
      <c r="L12279" s="2" t="s">
        <v>70</v>
      </c>
      <c r="M12279" s="2">
        <v>99654.0</v>
      </c>
      <c r="N12279" s="2" t="s">
        <v>21</v>
      </c>
    </row>
    <row r="12280" ht="15.75" customHeight="1">
      <c r="A12280" s="2">
        <v>2019.0</v>
      </c>
      <c r="B12280" s="2" t="s">
        <v>32010</v>
      </c>
      <c r="C12280" s="2" t="s">
        <v>32010</v>
      </c>
      <c r="D12280" s="2" t="str">
        <f>"5672891063"</f>
        <v>5672891063</v>
      </c>
      <c r="E12280" s="2" t="s">
        <v>456</v>
      </c>
      <c r="F12280" s="2" t="s">
        <v>2847</v>
      </c>
      <c r="G12280" s="2" t="str">
        <f>"SR-13426"</f>
        <v>SR-13426</v>
      </c>
      <c r="H12280" s="2" t="s">
        <v>40786</v>
      </c>
      <c r="I12280" s="2" t="s">
        <v>49033</v>
      </c>
      <c r="K12280" s="2" t="s">
        <v>32013</v>
      </c>
      <c r="L12280" s="2" t="s">
        <v>344</v>
      </c>
      <c r="M12280" s="2">
        <v>45807.0</v>
      </c>
      <c r="N12280" s="2" t="s">
        <v>21</v>
      </c>
    </row>
    <row r="12281" ht="15.75" customHeight="1">
      <c r="A12281" s="2">
        <v>2019.0</v>
      </c>
      <c r="B12281" s="2" t="s">
        <v>49034</v>
      </c>
      <c r="C12281" s="2" t="s">
        <v>49034</v>
      </c>
      <c r="D12281" s="2" t="str">
        <f>"620-931-8878"</f>
        <v>620-931-8878</v>
      </c>
      <c r="E12281" s="2" t="s">
        <v>2912</v>
      </c>
      <c r="F12281" s="2" t="s">
        <v>10439</v>
      </c>
      <c r="G12281" s="2" t="str">
        <f>"SR-17342"</f>
        <v>SR-17342</v>
      </c>
      <c r="H12281" s="2" t="s">
        <v>49035</v>
      </c>
      <c r="I12281" s="2" t="s">
        <v>49036</v>
      </c>
      <c r="K12281" s="2" t="s">
        <v>49037</v>
      </c>
      <c r="L12281" s="2" t="s">
        <v>272</v>
      </c>
      <c r="M12281" s="2">
        <v>67583.0</v>
      </c>
      <c r="N12281" s="2" t="s">
        <v>21</v>
      </c>
    </row>
    <row r="12282" ht="15.75" customHeight="1">
      <c r="A12282" s="2">
        <v>2019.0</v>
      </c>
      <c r="B12282" s="2" t="s">
        <v>37897</v>
      </c>
      <c r="C12282" s="2" t="s">
        <v>37897</v>
      </c>
      <c r="D12282" s="2" t="str">
        <f>"8179452319"</f>
        <v>8179452319</v>
      </c>
      <c r="E12282" s="2" t="s">
        <v>49038</v>
      </c>
      <c r="F12282" s="2" t="s">
        <v>3376</v>
      </c>
      <c r="G12282" s="2" t="str">
        <f>"SR-16535"</f>
        <v>SR-16535</v>
      </c>
      <c r="H12282" s="2" t="s">
        <v>49039</v>
      </c>
      <c r="I12282" s="2" t="s">
        <v>37899</v>
      </c>
      <c r="K12282" s="2" t="s">
        <v>1260</v>
      </c>
      <c r="L12282" s="2" t="s">
        <v>172</v>
      </c>
      <c r="M12282" s="2">
        <v>76107.0</v>
      </c>
      <c r="N12282" s="2" t="s">
        <v>21</v>
      </c>
    </row>
    <row r="12283" ht="15.75" customHeight="1">
      <c r="A12283" s="2">
        <v>2019.0</v>
      </c>
      <c r="B12283" s="2" t="s">
        <v>49040</v>
      </c>
      <c r="D12283" s="2" t="str">
        <f>""</f>
        <v/>
      </c>
      <c r="E12283" s="2" t="s">
        <v>15</v>
      </c>
      <c r="F12283" s="2" t="s">
        <v>34214</v>
      </c>
      <c r="G12283" s="2" t="str">
        <f>"SR-17314"</f>
        <v>SR-17314</v>
      </c>
      <c r="H12283" s="2" t="s">
        <v>34215</v>
      </c>
      <c r="N12283" s="2" t="s">
        <v>21</v>
      </c>
    </row>
    <row r="12284" ht="15.75" customHeight="1">
      <c r="A12284" s="2">
        <v>2019.0</v>
      </c>
      <c r="B12284" s="2" t="s">
        <v>37897</v>
      </c>
      <c r="C12284" s="2" t="s">
        <v>37897</v>
      </c>
      <c r="D12284" s="2" t="str">
        <f>"8179452319"</f>
        <v>8179452319</v>
      </c>
      <c r="E12284" s="2" t="s">
        <v>2162</v>
      </c>
      <c r="F12284" s="2" t="s">
        <v>2063</v>
      </c>
      <c r="G12284" s="2" t="str">
        <f>"SR-17111"</f>
        <v>SR-17111</v>
      </c>
      <c r="H12284" s="2" t="s">
        <v>49041</v>
      </c>
      <c r="I12284" s="2" t="s">
        <v>37899</v>
      </c>
      <c r="K12284" s="2" t="s">
        <v>1260</v>
      </c>
      <c r="L12284" s="2" t="s">
        <v>172</v>
      </c>
      <c r="M12284" s="2">
        <v>76107.0</v>
      </c>
      <c r="N12284" s="2" t="s">
        <v>21</v>
      </c>
    </row>
    <row r="12285" ht="15.75" customHeight="1">
      <c r="A12285" s="2">
        <v>2019.0</v>
      </c>
      <c r="B12285" s="2" t="s">
        <v>49042</v>
      </c>
      <c r="C12285" s="2" t="s">
        <v>49042</v>
      </c>
      <c r="D12285" s="2" t="str">
        <f>"4328539798"</f>
        <v>4328539798</v>
      </c>
      <c r="E12285" s="2" t="s">
        <v>4501</v>
      </c>
      <c r="F12285" s="2" t="s">
        <v>9021</v>
      </c>
      <c r="G12285" s="2" t="str">
        <f>"SR-17358"</f>
        <v>SR-17358</v>
      </c>
      <c r="H12285" s="2" t="s">
        <v>49043</v>
      </c>
      <c r="I12285" s="2" t="s">
        <v>49044</v>
      </c>
      <c r="K12285" s="2" t="s">
        <v>286</v>
      </c>
      <c r="L12285" s="2" t="s">
        <v>172</v>
      </c>
      <c r="M12285" s="2">
        <v>79707.0</v>
      </c>
      <c r="N12285" s="2" t="s">
        <v>21</v>
      </c>
    </row>
    <row r="12286" ht="15.75" customHeight="1">
      <c r="A12286" s="2">
        <v>2019.0</v>
      </c>
      <c r="B12286" s="2" t="s">
        <v>49045</v>
      </c>
      <c r="C12286" s="2" t="s">
        <v>49046</v>
      </c>
      <c r="D12286" s="2" t="str">
        <f>"3177648317"</f>
        <v>3177648317</v>
      </c>
      <c r="E12286" s="2" t="s">
        <v>2053</v>
      </c>
      <c r="F12286" s="2" t="s">
        <v>27126</v>
      </c>
      <c r="G12286" s="2" t="str">
        <f>"SR-17291"</f>
        <v>SR-17291</v>
      </c>
      <c r="H12286" s="2" t="s">
        <v>49047</v>
      </c>
      <c r="I12286" s="2" t="s">
        <v>49048</v>
      </c>
      <c r="K12286" s="2" t="s">
        <v>2674</v>
      </c>
      <c r="L12286" s="2" t="s">
        <v>149</v>
      </c>
      <c r="M12286" s="2">
        <v>46143.0</v>
      </c>
      <c r="N12286" s="2" t="s">
        <v>21</v>
      </c>
    </row>
    <row r="12287" ht="15.75" customHeight="1">
      <c r="A12287" s="2">
        <v>2019.0</v>
      </c>
      <c r="B12287" s="2" t="s">
        <v>44228</v>
      </c>
      <c r="C12287" s="2" t="s">
        <v>16970</v>
      </c>
      <c r="D12287" s="2" t="str">
        <f>"2188399732"</f>
        <v>2188399732</v>
      </c>
      <c r="E12287" s="2" t="s">
        <v>16971</v>
      </c>
      <c r="F12287" s="2" t="s">
        <v>16972</v>
      </c>
      <c r="G12287" s="2" t="str">
        <f>"SR-16751"</f>
        <v>SR-16751</v>
      </c>
      <c r="H12287" s="2" t="s">
        <v>16973</v>
      </c>
      <c r="I12287" s="2" t="s">
        <v>16974</v>
      </c>
      <c r="K12287" s="2" t="s">
        <v>16975</v>
      </c>
      <c r="L12287" s="2" t="s">
        <v>62</v>
      </c>
      <c r="M12287" s="2">
        <v>56466.0</v>
      </c>
      <c r="N12287" s="2" t="s">
        <v>21</v>
      </c>
    </row>
    <row r="12288" ht="15.75" customHeight="1">
      <c r="A12288" s="2">
        <v>2019.0</v>
      </c>
      <c r="B12288" s="2" t="s">
        <v>49049</v>
      </c>
      <c r="C12288" s="2" t="s">
        <v>49050</v>
      </c>
      <c r="D12288" s="2" t="str">
        <f>"4258022325"</f>
        <v>4258022325</v>
      </c>
      <c r="E12288" s="2" t="s">
        <v>88</v>
      </c>
      <c r="F12288" s="2" t="s">
        <v>49051</v>
      </c>
      <c r="G12288" s="2" t="str">
        <f>"SR-17000"</f>
        <v>SR-17000</v>
      </c>
      <c r="H12288" s="2" t="s">
        <v>49052</v>
      </c>
      <c r="I12288" s="2" t="s">
        <v>49053</v>
      </c>
      <c r="K12288" s="2" t="s">
        <v>7873</v>
      </c>
      <c r="L12288" s="2" t="s">
        <v>86</v>
      </c>
      <c r="M12288" s="2">
        <v>98004.0</v>
      </c>
      <c r="N12288" s="2" t="s">
        <v>21</v>
      </c>
    </row>
    <row r="12289" ht="15.75" customHeight="1">
      <c r="A12289" s="2">
        <v>2019.0</v>
      </c>
      <c r="B12289" s="2" t="s">
        <v>49054</v>
      </c>
      <c r="D12289" s="2" t="str">
        <f>""</f>
        <v/>
      </c>
      <c r="E12289" s="2" t="s">
        <v>49055</v>
      </c>
      <c r="F12289" s="2" t="s">
        <v>49056</v>
      </c>
      <c r="G12289" s="2" t="str">
        <f>"SR-17372"</f>
        <v>SR-17372</v>
      </c>
      <c r="H12289" s="2" t="s">
        <v>49057</v>
      </c>
    </row>
    <row r="12290" ht="15.75" customHeight="1">
      <c r="A12290" s="2">
        <v>2019.0</v>
      </c>
      <c r="B12290" s="2" t="s">
        <v>49058</v>
      </c>
      <c r="C12290" s="2" t="s">
        <v>49059</v>
      </c>
      <c r="D12290" s="2" t="str">
        <f>"9702238510"</f>
        <v>9702238510</v>
      </c>
      <c r="E12290" s="2" t="s">
        <v>1257</v>
      </c>
      <c r="F12290" s="2" t="s">
        <v>49060</v>
      </c>
      <c r="G12290" s="2" t="str">
        <f>"SR-17376"</f>
        <v>SR-17376</v>
      </c>
      <c r="H12290" s="2" t="s">
        <v>49061</v>
      </c>
      <c r="I12290" s="2" t="s">
        <v>49062</v>
      </c>
      <c r="K12290" s="2" t="s">
        <v>656</v>
      </c>
      <c r="L12290" s="2" t="s">
        <v>157</v>
      </c>
      <c r="M12290" s="2">
        <v>80525.0</v>
      </c>
      <c r="N12290" s="2" t="s">
        <v>21</v>
      </c>
    </row>
    <row r="12291" ht="15.75" customHeight="1">
      <c r="A12291" s="2">
        <v>2019.0</v>
      </c>
      <c r="B12291" s="2" t="s">
        <v>49063</v>
      </c>
      <c r="C12291" s="2" t="s">
        <v>49063</v>
      </c>
      <c r="D12291" s="2" t="str">
        <f>"903-261-2628"</f>
        <v>903-261-2628</v>
      </c>
      <c r="E12291" s="2" t="s">
        <v>2752</v>
      </c>
      <c r="F12291" s="2" t="s">
        <v>18559</v>
      </c>
      <c r="G12291" s="2" t="str">
        <f>"SR-16842"</f>
        <v>SR-16842</v>
      </c>
      <c r="H12291" s="2" t="s">
        <v>49064</v>
      </c>
      <c r="I12291" s="2" t="s">
        <v>49065</v>
      </c>
      <c r="K12291" s="2" t="s">
        <v>5578</v>
      </c>
      <c r="L12291" s="2" t="s">
        <v>172</v>
      </c>
      <c r="M12291" s="2">
        <v>75503.0</v>
      </c>
      <c r="N12291" s="2" t="s">
        <v>21</v>
      </c>
    </row>
    <row r="12292" ht="15.75" customHeight="1">
      <c r="A12292" s="2">
        <v>2019.0</v>
      </c>
      <c r="B12292" s="2" t="s">
        <v>49063</v>
      </c>
      <c r="C12292" s="2" t="s">
        <v>49063</v>
      </c>
      <c r="D12292" s="2" t="str">
        <f>"9032612628"</f>
        <v>9032612628</v>
      </c>
      <c r="E12292" s="2" t="s">
        <v>534</v>
      </c>
      <c r="F12292" s="2" t="s">
        <v>18559</v>
      </c>
      <c r="G12292" s="2" t="str">
        <f>"SR-17323"</f>
        <v>SR-17323</v>
      </c>
      <c r="H12292" s="2" t="s">
        <v>49066</v>
      </c>
      <c r="I12292" s="2" t="s">
        <v>49065</v>
      </c>
      <c r="K12292" s="2" t="s">
        <v>5578</v>
      </c>
      <c r="L12292" s="2" t="s">
        <v>172</v>
      </c>
      <c r="M12292" s="2">
        <v>75503.0</v>
      </c>
      <c r="N12292" s="2" t="s">
        <v>21</v>
      </c>
    </row>
    <row r="12293" ht="15.75" customHeight="1">
      <c r="A12293" s="2">
        <v>2019.0</v>
      </c>
      <c r="B12293" s="2" t="s">
        <v>49063</v>
      </c>
      <c r="C12293" s="2" t="s">
        <v>49063</v>
      </c>
      <c r="D12293" s="2" t="str">
        <f>"903-261-2628"</f>
        <v>903-261-2628</v>
      </c>
      <c r="E12293" s="2" t="s">
        <v>1548</v>
      </c>
      <c r="F12293" s="2" t="s">
        <v>18559</v>
      </c>
      <c r="G12293" s="2" t="str">
        <f>"SR-16845"</f>
        <v>SR-16845</v>
      </c>
      <c r="H12293" s="2" t="s">
        <v>49067</v>
      </c>
      <c r="I12293" s="2" t="s">
        <v>49065</v>
      </c>
      <c r="K12293" s="2" t="s">
        <v>5578</v>
      </c>
      <c r="L12293" s="2" t="s">
        <v>172</v>
      </c>
      <c r="M12293" s="2">
        <v>75503.0</v>
      </c>
      <c r="N12293" s="2" t="s">
        <v>21</v>
      </c>
    </row>
    <row r="12294" ht="15.75" customHeight="1">
      <c r="A12294" s="2">
        <v>2019.0</v>
      </c>
      <c r="B12294" s="2" t="s">
        <v>38651</v>
      </c>
      <c r="C12294" s="2" t="s">
        <v>49068</v>
      </c>
      <c r="D12294" s="2" t="str">
        <f>"3163712714"</f>
        <v>3163712714</v>
      </c>
      <c r="E12294" s="2" t="s">
        <v>9010</v>
      </c>
      <c r="F12294" s="2" t="s">
        <v>1151</v>
      </c>
      <c r="G12294" s="2" t="str">
        <f>"SR-16299"</f>
        <v>SR-16299</v>
      </c>
      <c r="H12294" s="2" t="s">
        <v>49069</v>
      </c>
      <c r="I12294" s="2" t="s">
        <v>38654</v>
      </c>
      <c r="K12294" s="2" t="s">
        <v>14104</v>
      </c>
      <c r="L12294" s="2" t="s">
        <v>172</v>
      </c>
      <c r="M12294" s="2">
        <v>78132.0</v>
      </c>
      <c r="N12294" s="2" t="s">
        <v>21</v>
      </c>
    </row>
    <row r="12295" ht="15.75" customHeight="1">
      <c r="A12295" s="2">
        <v>2019.0</v>
      </c>
      <c r="B12295" s="2" t="s">
        <v>49070</v>
      </c>
      <c r="C12295" s="2" t="s">
        <v>49070</v>
      </c>
      <c r="D12295" s="2" t="str">
        <f>"+14168332470"</f>
        <v>+14168332470</v>
      </c>
      <c r="E12295" s="2" t="s">
        <v>49071</v>
      </c>
      <c r="F12295" s="2" t="s">
        <v>49072</v>
      </c>
      <c r="G12295" s="2" t="str">
        <f>"SR-17368"</f>
        <v>SR-17368</v>
      </c>
      <c r="H12295" s="2" t="s">
        <v>49073</v>
      </c>
      <c r="I12295" s="2" t="s">
        <v>49074</v>
      </c>
      <c r="J12295" s="2" t="s">
        <v>49075</v>
      </c>
      <c r="K12295" s="2" t="s">
        <v>39082</v>
      </c>
      <c r="L12295" s="2" t="s">
        <v>2015</v>
      </c>
      <c r="M12295" s="2" t="s">
        <v>49076</v>
      </c>
      <c r="N12295" s="2" t="s">
        <v>1602</v>
      </c>
    </row>
    <row r="12296" ht="15.75" customHeight="1">
      <c r="A12296" s="2">
        <v>2019.0</v>
      </c>
      <c r="B12296" s="2" t="s">
        <v>49077</v>
      </c>
      <c r="C12296" s="2" t="s">
        <v>49078</v>
      </c>
      <c r="D12296" s="2" t="str">
        <f>"5015938752"</f>
        <v>5015938752</v>
      </c>
      <c r="E12296" s="2" t="s">
        <v>843</v>
      </c>
      <c r="F12296" s="2" t="s">
        <v>4776</v>
      </c>
      <c r="G12296" s="2" t="str">
        <f>"SR-17384"</f>
        <v>SR-17384</v>
      </c>
      <c r="H12296" s="2" t="s">
        <v>49079</v>
      </c>
      <c r="I12296" s="2" t="s">
        <v>49080</v>
      </c>
      <c r="K12296" s="2" t="s">
        <v>49081</v>
      </c>
      <c r="L12296" s="2" t="s">
        <v>1012</v>
      </c>
      <c r="M12296" s="2">
        <v>72137.0</v>
      </c>
      <c r="N12296" s="2" t="s">
        <v>21</v>
      </c>
    </row>
    <row r="12297" ht="15.75" customHeight="1">
      <c r="A12297" s="2">
        <v>2019.0</v>
      </c>
      <c r="B12297" s="2" t="s">
        <v>49082</v>
      </c>
      <c r="C12297" s="2" t="s">
        <v>49083</v>
      </c>
      <c r="D12297" s="2" t="str">
        <f>"(405) 423-7337"</f>
        <v>(405) 423-7337</v>
      </c>
      <c r="E12297" s="2" t="s">
        <v>4555</v>
      </c>
      <c r="F12297" s="2" t="s">
        <v>5911</v>
      </c>
      <c r="G12297" s="2" t="str">
        <f>"SR-17276"</f>
        <v>SR-17276</v>
      </c>
      <c r="H12297" s="2" t="s">
        <v>49084</v>
      </c>
      <c r="I12297" s="2" t="s">
        <v>49085</v>
      </c>
      <c r="K12297" s="2" t="s">
        <v>6622</v>
      </c>
      <c r="L12297" s="2" t="s">
        <v>840</v>
      </c>
      <c r="M12297" s="2">
        <v>73120.0</v>
      </c>
      <c r="N12297" s="2" t="s">
        <v>21</v>
      </c>
    </row>
    <row r="12298" ht="15.75" customHeight="1">
      <c r="A12298" s="2">
        <v>2019.0</v>
      </c>
      <c r="B12298" s="2" t="s">
        <v>49086</v>
      </c>
      <c r="C12298" s="2" t="s">
        <v>49086</v>
      </c>
      <c r="D12298" s="2" t="str">
        <f>"9706574575"</f>
        <v>9706574575</v>
      </c>
      <c r="E12298" s="2" t="s">
        <v>49087</v>
      </c>
      <c r="F12298" s="2" t="s">
        <v>49088</v>
      </c>
      <c r="G12298" s="2" t="str">
        <f>"SR-17378"</f>
        <v>SR-17378</v>
      </c>
      <c r="H12298" s="2" t="s">
        <v>49089</v>
      </c>
      <c r="I12298" s="2" t="s">
        <v>49090</v>
      </c>
      <c r="K12298" s="2" t="s">
        <v>656</v>
      </c>
      <c r="L12298" s="2" t="s">
        <v>157</v>
      </c>
      <c r="M12298" s="2">
        <v>80521.0</v>
      </c>
      <c r="N12298" s="2" t="s">
        <v>21</v>
      </c>
    </row>
    <row r="12299" ht="15.75" customHeight="1">
      <c r="A12299" s="2">
        <v>2019.0</v>
      </c>
      <c r="B12299" s="2" t="s">
        <v>42311</v>
      </c>
      <c r="C12299" s="2" t="s">
        <v>49091</v>
      </c>
      <c r="D12299" s="2" t="str">
        <f>"408-674-3495"</f>
        <v>408-674-3495</v>
      </c>
      <c r="E12299" s="2" t="s">
        <v>49092</v>
      </c>
      <c r="F12299" s="2" t="s">
        <v>42313</v>
      </c>
      <c r="G12299" s="2" t="str">
        <f>"SR-17385"</f>
        <v>SR-17385</v>
      </c>
      <c r="H12299" s="2" t="s">
        <v>49093</v>
      </c>
      <c r="I12299" s="2" t="s">
        <v>42315</v>
      </c>
      <c r="K12299" s="2" t="s">
        <v>5826</v>
      </c>
      <c r="L12299" s="2" t="s">
        <v>222</v>
      </c>
      <c r="M12299" s="2">
        <v>95148.0</v>
      </c>
      <c r="N12299" s="2" t="s">
        <v>21</v>
      </c>
    </row>
    <row r="12300" ht="15.75" customHeight="1">
      <c r="A12300" s="2">
        <v>2019.0</v>
      </c>
      <c r="B12300" s="2" t="s">
        <v>49094</v>
      </c>
      <c r="C12300" s="2" t="s">
        <v>49094</v>
      </c>
      <c r="D12300" s="2" t="str">
        <f>"270.271.2052"</f>
        <v>270.271.2052</v>
      </c>
      <c r="E12300" s="2" t="s">
        <v>49095</v>
      </c>
      <c r="F12300" s="2" t="s">
        <v>49096</v>
      </c>
      <c r="G12300" s="2" t="str">
        <f>"SR-17392"</f>
        <v>SR-17392</v>
      </c>
      <c r="H12300" s="2" t="s">
        <v>49097</v>
      </c>
      <c r="I12300" s="2" t="s">
        <v>49098</v>
      </c>
      <c r="K12300" s="2" t="s">
        <v>12309</v>
      </c>
      <c r="L12300" s="2" t="s">
        <v>1236</v>
      </c>
      <c r="M12300" s="2">
        <v>42236.0</v>
      </c>
      <c r="N12300" s="2" t="s">
        <v>21</v>
      </c>
    </row>
    <row r="12301" ht="15.75" customHeight="1">
      <c r="A12301" s="2">
        <v>2019.0</v>
      </c>
      <c r="B12301" s="2" t="s">
        <v>49099</v>
      </c>
      <c r="C12301" s="2" t="s">
        <v>49100</v>
      </c>
      <c r="D12301" s="2" t="str">
        <f>"4236210266"</f>
        <v>4236210266</v>
      </c>
      <c r="E12301" s="2" t="s">
        <v>2361</v>
      </c>
      <c r="F12301" s="2" t="s">
        <v>49101</v>
      </c>
      <c r="G12301" s="2" t="str">
        <f>"SR-16795"</f>
        <v>SR-16795</v>
      </c>
      <c r="H12301" s="2" t="s">
        <v>49102</v>
      </c>
      <c r="I12301" s="2" t="s">
        <v>49103</v>
      </c>
      <c r="K12301" s="2" t="s">
        <v>3397</v>
      </c>
      <c r="L12301" s="2" t="s">
        <v>279</v>
      </c>
      <c r="M12301" s="2">
        <v>37814.0</v>
      </c>
      <c r="N12301" s="2" t="s">
        <v>21</v>
      </c>
    </row>
    <row r="12302" ht="15.75" customHeight="1">
      <c r="A12302" s="2">
        <v>2019.0</v>
      </c>
      <c r="B12302" s="2" t="s">
        <v>49104</v>
      </c>
      <c r="C12302" s="2" t="s">
        <v>49104</v>
      </c>
      <c r="D12302" s="2" t="str">
        <f>"8657424114"</f>
        <v>8657424114</v>
      </c>
      <c r="E12302" s="2" t="s">
        <v>13598</v>
      </c>
      <c r="F12302" s="2" t="s">
        <v>12185</v>
      </c>
      <c r="G12302" s="2" t="str">
        <f>"SR-16789"</f>
        <v>SR-16789</v>
      </c>
      <c r="H12302" s="2" t="s">
        <v>49105</v>
      </c>
      <c r="I12302" s="2" t="s">
        <v>49106</v>
      </c>
      <c r="K12302" s="2" t="s">
        <v>3630</v>
      </c>
      <c r="L12302" s="2" t="s">
        <v>279</v>
      </c>
      <c r="M12302" s="2">
        <v>37820.0</v>
      </c>
      <c r="N12302" s="2" t="s">
        <v>21</v>
      </c>
    </row>
    <row r="12303" ht="15.75" customHeight="1">
      <c r="A12303" s="2">
        <v>2019.0</v>
      </c>
      <c r="B12303" s="2" t="s">
        <v>49107</v>
      </c>
      <c r="C12303" s="2" t="s">
        <v>49108</v>
      </c>
      <c r="D12303" s="2" t="str">
        <f>"2188219346"</f>
        <v>2188219346</v>
      </c>
      <c r="E12303" s="2" t="s">
        <v>12524</v>
      </c>
      <c r="F12303" s="2" t="s">
        <v>962</v>
      </c>
      <c r="G12303" s="2" t="str">
        <f>"SR-16996"</f>
        <v>SR-16996</v>
      </c>
      <c r="H12303" s="2" t="s">
        <v>49109</v>
      </c>
      <c r="I12303" s="2" t="s">
        <v>49110</v>
      </c>
      <c r="K12303" s="2" t="s">
        <v>49111</v>
      </c>
      <c r="L12303" s="2" t="s">
        <v>62</v>
      </c>
      <c r="M12303" s="2">
        <v>56003.0</v>
      </c>
      <c r="N12303" s="2" t="s">
        <v>21</v>
      </c>
    </row>
    <row r="12304" ht="15.75" customHeight="1">
      <c r="A12304" s="2">
        <v>2019.0</v>
      </c>
      <c r="B12304" s="2" t="s">
        <v>49112</v>
      </c>
      <c r="C12304" s="2" t="s">
        <v>49112</v>
      </c>
      <c r="D12304" s="2" t="str">
        <f>"(719)322-6785"</f>
        <v>(719)322-6785</v>
      </c>
      <c r="E12304" s="2" t="s">
        <v>261</v>
      </c>
      <c r="F12304" s="2" t="s">
        <v>18421</v>
      </c>
      <c r="G12304" s="2" t="str">
        <f>"SR-17260"</f>
        <v>SR-17260</v>
      </c>
      <c r="H12304" s="2" t="s">
        <v>49113</v>
      </c>
      <c r="I12304" s="2" t="s">
        <v>49114</v>
      </c>
      <c r="K12304" s="2" t="s">
        <v>809</v>
      </c>
      <c r="L12304" s="2" t="s">
        <v>157</v>
      </c>
      <c r="M12304" s="2">
        <v>80908.0</v>
      </c>
      <c r="N12304" s="2" t="s">
        <v>21</v>
      </c>
    </row>
    <row r="12305" ht="15.75" customHeight="1">
      <c r="A12305" s="2">
        <v>2019.0</v>
      </c>
      <c r="B12305" s="2" t="s">
        <v>49115</v>
      </c>
      <c r="C12305" s="2" t="s">
        <v>49116</v>
      </c>
      <c r="D12305" s="2" t="str">
        <f>"719-434-1685"</f>
        <v>719-434-1685</v>
      </c>
      <c r="E12305" s="2" t="s">
        <v>2031</v>
      </c>
      <c r="F12305" s="2" t="s">
        <v>8941</v>
      </c>
      <c r="G12305" s="2" t="str">
        <f>"SR-17375"</f>
        <v>SR-17375</v>
      </c>
      <c r="H12305" s="2" t="s">
        <v>49117</v>
      </c>
      <c r="I12305" s="2" t="s">
        <v>49118</v>
      </c>
      <c r="K12305" s="2" t="s">
        <v>809</v>
      </c>
      <c r="L12305" s="2" t="s">
        <v>157</v>
      </c>
      <c r="M12305" s="2">
        <v>80923.0</v>
      </c>
      <c r="N12305" s="2" t="s">
        <v>21</v>
      </c>
    </row>
    <row r="12306" ht="15.75" customHeight="1">
      <c r="A12306" s="2">
        <v>2019.0</v>
      </c>
      <c r="B12306" s="2" t="s">
        <v>48855</v>
      </c>
      <c r="D12306" s="2" t="str">
        <f>""</f>
        <v/>
      </c>
      <c r="E12306" s="2" t="s">
        <v>25253</v>
      </c>
      <c r="F12306" s="2" t="s">
        <v>49119</v>
      </c>
      <c r="G12306" s="2" t="str">
        <f>"SR-17401"</f>
        <v>SR-17401</v>
      </c>
      <c r="H12306" s="2" t="s">
        <v>49120</v>
      </c>
      <c r="N12306" s="2" t="s">
        <v>21</v>
      </c>
    </row>
    <row r="12307" ht="15.75" customHeight="1">
      <c r="A12307" s="2">
        <v>2019.0</v>
      </c>
      <c r="B12307" s="2" t="s">
        <v>49121</v>
      </c>
      <c r="C12307" s="2" t="s">
        <v>49122</v>
      </c>
      <c r="D12307" s="2" t="str">
        <f>"5414508368"</f>
        <v>5414508368</v>
      </c>
      <c r="E12307" s="2" t="s">
        <v>72</v>
      </c>
      <c r="F12307" s="2" t="s">
        <v>2424</v>
      </c>
      <c r="G12307" s="2" t="str">
        <f>"SR-17413"</f>
        <v>SR-17413</v>
      </c>
      <c r="H12307" s="2" t="s">
        <v>49123</v>
      </c>
      <c r="I12307" s="2" t="s">
        <v>49124</v>
      </c>
      <c r="K12307" s="2" t="s">
        <v>49125</v>
      </c>
      <c r="L12307" s="2" t="s">
        <v>2389</v>
      </c>
      <c r="M12307" s="2">
        <v>97537.0</v>
      </c>
      <c r="N12307" s="2" t="s">
        <v>21</v>
      </c>
    </row>
    <row r="12308" ht="15.75" customHeight="1">
      <c r="A12308" s="2">
        <v>2019.0</v>
      </c>
      <c r="B12308" s="2" t="s">
        <v>49126</v>
      </c>
      <c r="C12308" s="2" t="s">
        <v>49127</v>
      </c>
      <c r="D12308" s="2" t="str">
        <f>"615-364-3969"</f>
        <v>615-364-3969</v>
      </c>
      <c r="E12308" s="2" t="s">
        <v>49128</v>
      </c>
      <c r="F12308" s="2" t="s">
        <v>49129</v>
      </c>
      <c r="G12308" s="2" t="str">
        <f>"SR-17429"</f>
        <v>SR-17429</v>
      </c>
      <c r="H12308" s="2" t="s">
        <v>49130</v>
      </c>
      <c r="I12308" s="2" t="s">
        <v>49131</v>
      </c>
      <c r="K12308" s="2" t="s">
        <v>40251</v>
      </c>
      <c r="L12308" s="2" t="s">
        <v>279</v>
      </c>
      <c r="M12308" s="2">
        <v>37013.0</v>
      </c>
      <c r="N12308" s="2" t="s">
        <v>21</v>
      </c>
    </row>
    <row r="12309" ht="15.75" customHeight="1">
      <c r="A12309" s="2">
        <v>2019.0</v>
      </c>
      <c r="B12309" s="2" t="s">
        <v>49132</v>
      </c>
      <c r="C12309" s="2" t="s">
        <v>49133</v>
      </c>
      <c r="D12309" s="2" t="str">
        <f>"7154045480"</f>
        <v>7154045480</v>
      </c>
      <c r="E12309" s="2" t="s">
        <v>8612</v>
      </c>
      <c r="F12309" s="2" t="s">
        <v>34214</v>
      </c>
      <c r="G12309" s="2" t="str">
        <f>"SR-17430"</f>
        <v>SR-17430</v>
      </c>
      <c r="H12309" s="2" t="s">
        <v>49134</v>
      </c>
      <c r="I12309" s="2">
        <v>19185.0</v>
      </c>
      <c r="J12309" s="2" t="s">
        <v>49135</v>
      </c>
      <c r="K12309" s="2" t="s">
        <v>22211</v>
      </c>
      <c r="L12309" s="2" t="s">
        <v>193</v>
      </c>
      <c r="M12309" s="2">
        <v>54724.0</v>
      </c>
      <c r="N12309" s="2" t="s">
        <v>21</v>
      </c>
    </row>
    <row r="12310" ht="15.75" customHeight="1">
      <c r="A12310" s="2">
        <v>2019.0</v>
      </c>
      <c r="B12310" s="2" t="s">
        <v>49136</v>
      </c>
      <c r="C12310" s="2" t="s">
        <v>49137</v>
      </c>
      <c r="D12310" s="2" t="str">
        <f>"9208865703"</f>
        <v>9208865703</v>
      </c>
      <c r="E12310" s="2" t="s">
        <v>19492</v>
      </c>
      <c r="F12310" s="2" t="s">
        <v>3561</v>
      </c>
      <c r="G12310" s="2" t="str">
        <f>"SR-17432"</f>
        <v>SR-17432</v>
      </c>
      <c r="H12310" s="2" t="s">
        <v>49138</v>
      </c>
      <c r="I12310" s="2" t="s">
        <v>49139</v>
      </c>
      <c r="K12310" s="2" t="s">
        <v>19481</v>
      </c>
      <c r="L12310" s="2" t="s">
        <v>193</v>
      </c>
      <c r="M12310" s="2">
        <v>54956.0</v>
      </c>
      <c r="N12310" s="2" t="s">
        <v>21</v>
      </c>
    </row>
    <row r="12311" ht="15.75" customHeight="1">
      <c r="A12311" s="2">
        <v>2020.0</v>
      </c>
      <c r="B12311" s="2" t="s">
        <v>49140</v>
      </c>
      <c r="C12311" s="2" t="s">
        <v>49141</v>
      </c>
      <c r="D12311" s="2" t="str">
        <f>"936-697-6951"</f>
        <v>936-697-6951</v>
      </c>
      <c r="E12311" s="2" t="s">
        <v>3977</v>
      </c>
      <c r="F12311" s="2" t="s">
        <v>25683</v>
      </c>
      <c r="G12311" s="2" t="str">
        <f>"SR-17458"</f>
        <v>SR-17458</v>
      </c>
      <c r="H12311" s="2" t="s">
        <v>49142</v>
      </c>
      <c r="I12311" s="2" t="s">
        <v>49143</v>
      </c>
      <c r="K12311" s="2" t="s">
        <v>2651</v>
      </c>
      <c r="L12311" s="2" t="s">
        <v>172</v>
      </c>
      <c r="M12311" s="2">
        <v>77381.0</v>
      </c>
      <c r="N12311" s="2" t="s">
        <v>21</v>
      </c>
    </row>
    <row r="12312" ht="15.75" customHeight="1">
      <c r="A12312" s="2">
        <v>2020.0</v>
      </c>
      <c r="B12312" s="2" t="s">
        <v>49140</v>
      </c>
      <c r="C12312" s="2" t="s">
        <v>49144</v>
      </c>
      <c r="D12312" s="2" t="str">
        <f>"346-386-1061"</f>
        <v>346-386-1061</v>
      </c>
      <c r="E12312" s="2" t="s">
        <v>4775</v>
      </c>
      <c r="F12312" s="2" t="s">
        <v>25683</v>
      </c>
      <c r="G12312" s="2" t="str">
        <f>"SR-17482"</f>
        <v>SR-17482</v>
      </c>
      <c r="H12312" s="2" t="s">
        <v>49145</v>
      </c>
      <c r="I12312" s="2" t="s">
        <v>49146</v>
      </c>
      <c r="K12312" s="2" t="s">
        <v>2651</v>
      </c>
      <c r="L12312" s="2" t="s">
        <v>279</v>
      </c>
      <c r="M12312" s="2">
        <v>77381.0</v>
      </c>
      <c r="N12312" s="2" t="s">
        <v>21</v>
      </c>
    </row>
    <row r="12313" ht="15.75" customHeight="1">
      <c r="A12313" s="2">
        <v>2020.0</v>
      </c>
      <c r="B12313" s="2" t="s">
        <v>49147</v>
      </c>
      <c r="C12313" s="2" t="s">
        <v>49148</v>
      </c>
      <c r="D12313" s="2" t="str">
        <f>"9079030665"</f>
        <v>9079030665</v>
      </c>
      <c r="E12313" s="2" t="s">
        <v>485</v>
      </c>
      <c r="F12313" s="2" t="s">
        <v>49149</v>
      </c>
      <c r="G12313" s="2" t="str">
        <f>"SR-17468"</f>
        <v>SR-17468</v>
      </c>
      <c r="H12313" s="2" t="s">
        <v>49150</v>
      </c>
      <c r="I12313" s="2" t="s">
        <v>49151</v>
      </c>
      <c r="K12313" s="2" t="s">
        <v>69</v>
      </c>
      <c r="L12313" s="2" t="s">
        <v>70</v>
      </c>
      <c r="M12313" s="2">
        <v>99516.0</v>
      </c>
      <c r="N12313" s="2" t="s">
        <v>21</v>
      </c>
    </row>
    <row r="12314" ht="15.75" customHeight="1">
      <c r="A12314" s="2">
        <v>2020.0</v>
      </c>
      <c r="B12314" s="2" t="s">
        <v>49152</v>
      </c>
      <c r="C12314" s="2" t="s">
        <v>49153</v>
      </c>
      <c r="D12314" s="2" t="str">
        <f>"2252870531"</f>
        <v>2252870531</v>
      </c>
      <c r="E12314" s="2" t="s">
        <v>1114</v>
      </c>
      <c r="F12314" s="2" t="s">
        <v>2880</v>
      </c>
      <c r="G12314" s="2" t="str">
        <f>"SR-17228"</f>
        <v>SR-17228</v>
      </c>
      <c r="H12314" s="2" t="s">
        <v>49154</v>
      </c>
      <c r="I12314" s="2" t="s">
        <v>49155</v>
      </c>
      <c r="K12314" s="2" t="s">
        <v>32086</v>
      </c>
      <c r="L12314" s="2" t="s">
        <v>715</v>
      </c>
      <c r="M12314" s="2">
        <v>70726.0</v>
      </c>
      <c r="N12314" s="2" t="s">
        <v>21</v>
      </c>
    </row>
    <row r="12315" ht="15.75" customHeight="1">
      <c r="A12315" s="2">
        <v>2020.0</v>
      </c>
      <c r="B12315" s="2" t="s">
        <v>49156</v>
      </c>
      <c r="C12315" s="2" t="s">
        <v>49157</v>
      </c>
      <c r="D12315" s="2" t="str">
        <f>"6103929726"</f>
        <v>6103929726</v>
      </c>
      <c r="E12315" s="2" t="s">
        <v>2053</v>
      </c>
      <c r="F12315" s="2" t="s">
        <v>49158</v>
      </c>
      <c r="G12315" s="2" t="str">
        <f>"SR-17067"</f>
        <v>SR-17067</v>
      </c>
      <c r="H12315" s="2" t="s">
        <v>49159</v>
      </c>
      <c r="I12315" s="2" t="s">
        <v>49160</v>
      </c>
      <c r="K12315" s="2" t="s">
        <v>632</v>
      </c>
      <c r="L12315" s="2" t="s">
        <v>172</v>
      </c>
      <c r="M12315" s="2">
        <v>78258.0</v>
      </c>
      <c r="N12315" s="2" t="s">
        <v>21</v>
      </c>
    </row>
    <row r="12316" ht="15.75" customHeight="1">
      <c r="A12316" s="2">
        <v>2020.0</v>
      </c>
      <c r="B12316" s="2" t="s">
        <v>49161</v>
      </c>
      <c r="C12316" s="2" t="s">
        <v>49162</v>
      </c>
      <c r="D12316" s="2" t="str">
        <f>"(360)896-1161"</f>
        <v>(360)896-1161</v>
      </c>
      <c r="E12316" s="2" t="s">
        <v>1799</v>
      </c>
      <c r="F12316" s="2" t="s">
        <v>49163</v>
      </c>
      <c r="G12316" s="2" t="str">
        <f>"SR-17408"</f>
        <v>SR-17408</v>
      </c>
      <c r="H12316" s="2" t="s">
        <v>49164</v>
      </c>
      <c r="I12316" s="2" t="s">
        <v>49165</v>
      </c>
      <c r="K12316" s="2" t="s">
        <v>13145</v>
      </c>
      <c r="L12316" s="2" t="s">
        <v>86</v>
      </c>
      <c r="M12316" s="2">
        <v>98662.0</v>
      </c>
      <c r="N12316" s="2" t="s">
        <v>21</v>
      </c>
    </row>
    <row r="12317" ht="15.75" customHeight="1">
      <c r="A12317" s="2">
        <v>2020.0</v>
      </c>
      <c r="B12317" s="2" t="s">
        <v>49166</v>
      </c>
      <c r="C12317" s="2" t="s">
        <v>49167</v>
      </c>
      <c r="D12317" s="2" t="str">
        <f t="shared" ref="D12317:D12318" si="206">"2069850243"</f>
        <v>2069850243</v>
      </c>
      <c r="E12317" s="2" t="s">
        <v>1362</v>
      </c>
      <c r="F12317" s="2" t="s">
        <v>49168</v>
      </c>
      <c r="G12317" s="2" t="str">
        <f>"SR-17499"</f>
        <v>SR-17499</v>
      </c>
      <c r="H12317" s="2" t="s">
        <v>49169</v>
      </c>
      <c r="I12317" s="2" t="s">
        <v>49170</v>
      </c>
      <c r="K12317" s="2" t="s">
        <v>3118</v>
      </c>
      <c r="L12317" s="2" t="s">
        <v>86</v>
      </c>
      <c r="M12317" s="2">
        <v>98105.0</v>
      </c>
      <c r="N12317" s="2" t="s">
        <v>21</v>
      </c>
    </row>
    <row r="12318" ht="15.75" customHeight="1">
      <c r="A12318" s="2">
        <v>2020.0</v>
      </c>
      <c r="B12318" s="2" t="s">
        <v>49166</v>
      </c>
      <c r="C12318" s="2" t="s">
        <v>49171</v>
      </c>
      <c r="D12318" s="2" t="str">
        <f t="shared" si="206"/>
        <v>2069850243</v>
      </c>
      <c r="E12318" s="2" t="s">
        <v>2598</v>
      </c>
      <c r="F12318" s="2" t="s">
        <v>49168</v>
      </c>
      <c r="G12318" s="2" t="str">
        <f>"SR-17486"</f>
        <v>SR-17486</v>
      </c>
      <c r="H12318" s="2" t="s">
        <v>49172</v>
      </c>
      <c r="I12318" s="2" t="s">
        <v>49170</v>
      </c>
      <c r="K12318" s="2" t="s">
        <v>3118</v>
      </c>
      <c r="L12318" s="2" t="s">
        <v>86</v>
      </c>
      <c r="M12318" s="2">
        <v>98105.0</v>
      </c>
      <c r="N12318" s="2" t="s">
        <v>21</v>
      </c>
    </row>
    <row r="12319" ht="15.75" customHeight="1">
      <c r="A12319" s="2">
        <v>2020.0</v>
      </c>
      <c r="B12319" s="2" t="s">
        <v>49173</v>
      </c>
      <c r="C12319" s="2" t="s">
        <v>49174</v>
      </c>
      <c r="D12319" s="2" t="str">
        <f t="shared" ref="D12319:D12320" si="207">"8327958556"</f>
        <v>8327958556</v>
      </c>
      <c r="E12319" s="2" t="s">
        <v>2306</v>
      </c>
      <c r="F12319" s="2" t="s">
        <v>22471</v>
      </c>
      <c r="G12319" s="2" t="str">
        <f>"SR-17305"</f>
        <v>SR-17305</v>
      </c>
      <c r="H12319" s="2" t="s">
        <v>49175</v>
      </c>
      <c r="I12319" s="2" t="s">
        <v>49176</v>
      </c>
      <c r="K12319" s="2" t="s">
        <v>6499</v>
      </c>
      <c r="L12319" s="2" t="s">
        <v>172</v>
      </c>
      <c r="M12319" s="2">
        <v>77494.0</v>
      </c>
      <c r="N12319" s="2" t="s">
        <v>21</v>
      </c>
    </row>
    <row r="12320" ht="15.75" customHeight="1">
      <c r="A12320" s="2">
        <v>2020.0</v>
      </c>
      <c r="B12320" s="2" t="s">
        <v>49173</v>
      </c>
      <c r="C12320" s="2" t="s">
        <v>49177</v>
      </c>
      <c r="D12320" s="2" t="str">
        <f t="shared" si="207"/>
        <v>8327958556</v>
      </c>
      <c r="E12320" s="2" t="s">
        <v>57</v>
      </c>
      <c r="F12320" s="2" t="s">
        <v>22471</v>
      </c>
      <c r="G12320" s="2" t="str">
        <f>"SR-17500"</f>
        <v>SR-17500</v>
      </c>
      <c r="H12320" s="2" t="s">
        <v>49178</v>
      </c>
      <c r="I12320" s="2" t="s">
        <v>49176</v>
      </c>
      <c r="K12320" s="2" t="s">
        <v>6499</v>
      </c>
      <c r="L12320" s="2" t="s">
        <v>172</v>
      </c>
      <c r="M12320" s="2">
        <v>77494.0</v>
      </c>
      <c r="N12320" s="2" t="s">
        <v>21</v>
      </c>
    </row>
    <row r="12321" ht="15.75" customHeight="1">
      <c r="A12321" s="2">
        <v>2020.0</v>
      </c>
      <c r="B12321" s="2" t="s">
        <v>49179</v>
      </c>
      <c r="C12321" s="2" t="s">
        <v>49179</v>
      </c>
      <c r="D12321" s="2" t="str">
        <f>"6163345643"</f>
        <v>6163345643</v>
      </c>
      <c r="E12321" s="2" t="s">
        <v>13027</v>
      </c>
      <c r="F12321" s="2" t="s">
        <v>49180</v>
      </c>
      <c r="G12321" s="2" t="str">
        <f>"SR-16956"</f>
        <v>SR-16956</v>
      </c>
      <c r="H12321" s="2" t="s">
        <v>49181</v>
      </c>
      <c r="I12321" s="2" t="s">
        <v>49182</v>
      </c>
      <c r="K12321" s="2" t="s">
        <v>6524</v>
      </c>
      <c r="L12321" s="2" t="s">
        <v>29</v>
      </c>
      <c r="M12321" s="2">
        <v>49418.0</v>
      </c>
      <c r="N12321" s="2" t="s">
        <v>21</v>
      </c>
    </row>
    <row r="12322" ht="15.75" customHeight="1">
      <c r="A12322" s="2">
        <v>2020.0</v>
      </c>
      <c r="B12322" s="2" t="s">
        <v>48867</v>
      </c>
      <c r="C12322" s="2" t="s">
        <v>48868</v>
      </c>
      <c r="D12322" s="2" t="str">
        <f>"208-277-7672"</f>
        <v>208-277-7672</v>
      </c>
      <c r="E12322" s="2" t="s">
        <v>1548</v>
      </c>
      <c r="F12322" s="2" t="s">
        <v>33176</v>
      </c>
      <c r="G12322" s="2" t="str">
        <f>"SR-17224"</f>
        <v>SR-17224</v>
      </c>
      <c r="H12322" s="2" t="s">
        <v>48869</v>
      </c>
      <c r="I12322" s="2" t="s">
        <v>48870</v>
      </c>
      <c r="K12322" s="2" t="s">
        <v>33179</v>
      </c>
      <c r="L12322" s="2" t="s">
        <v>2613</v>
      </c>
      <c r="M12322" s="2">
        <v>83858.0</v>
      </c>
      <c r="N12322" s="2" t="s">
        <v>21</v>
      </c>
    </row>
    <row r="12323" ht="15.75" customHeight="1">
      <c r="A12323" s="2">
        <v>2020.0</v>
      </c>
      <c r="B12323" s="2" t="s">
        <v>49183</v>
      </c>
      <c r="C12323" s="2" t="s">
        <v>49184</v>
      </c>
      <c r="D12323" s="2" t="str">
        <f>"3176490268"</f>
        <v>3176490268</v>
      </c>
      <c r="E12323" s="2" t="s">
        <v>1039</v>
      </c>
      <c r="F12323" s="2" t="s">
        <v>16291</v>
      </c>
      <c r="G12323" s="2" t="str">
        <f>"SR-16936"</f>
        <v>SR-16936</v>
      </c>
      <c r="H12323" s="2" t="s">
        <v>49185</v>
      </c>
      <c r="I12323" s="2" t="s">
        <v>49186</v>
      </c>
      <c r="K12323" s="2" t="s">
        <v>1188</v>
      </c>
      <c r="L12323" s="2" t="s">
        <v>149</v>
      </c>
      <c r="M12323" s="2">
        <v>46229.0</v>
      </c>
      <c r="N12323" s="2" t="s">
        <v>21</v>
      </c>
    </row>
    <row r="12324" ht="15.75" customHeight="1">
      <c r="A12324" s="2">
        <v>2020.0</v>
      </c>
      <c r="B12324" s="2" t="s">
        <v>49187</v>
      </c>
      <c r="C12324" s="2" t="s">
        <v>49188</v>
      </c>
      <c r="D12324" s="2" t="str">
        <f>"865-242-2500"</f>
        <v>865-242-2500</v>
      </c>
      <c r="E12324" s="2" t="s">
        <v>36</v>
      </c>
      <c r="F12324" s="2" t="s">
        <v>49189</v>
      </c>
      <c r="G12324" s="2" t="str">
        <f>"SR-17510"</f>
        <v>SR-17510</v>
      </c>
      <c r="H12324" s="2" t="s">
        <v>49190</v>
      </c>
      <c r="I12324" s="2" t="s">
        <v>49191</v>
      </c>
      <c r="K12324" s="2" t="s">
        <v>6168</v>
      </c>
      <c r="L12324" s="2" t="s">
        <v>279</v>
      </c>
      <c r="M12324" s="2">
        <v>37932.0</v>
      </c>
      <c r="N12324" s="2" t="s">
        <v>21</v>
      </c>
    </row>
    <row r="12325" ht="15.75" customHeight="1">
      <c r="A12325" s="2">
        <v>2020.0</v>
      </c>
      <c r="B12325" s="2" t="s">
        <v>49192</v>
      </c>
      <c r="C12325" s="2" t="s">
        <v>49193</v>
      </c>
      <c r="D12325" s="2" t="str">
        <f>"615-415-4142"</f>
        <v>615-415-4142</v>
      </c>
      <c r="E12325" s="2" t="s">
        <v>12075</v>
      </c>
      <c r="F12325" s="2" t="s">
        <v>35006</v>
      </c>
      <c r="G12325" s="2" t="str">
        <f>"SR-17481"</f>
        <v>SR-17481</v>
      </c>
      <c r="H12325" s="2" t="s">
        <v>49194</v>
      </c>
      <c r="I12325" s="2" t="s">
        <v>49195</v>
      </c>
      <c r="K12325" s="2" t="s">
        <v>278</v>
      </c>
      <c r="L12325" s="2" t="s">
        <v>279</v>
      </c>
      <c r="M12325" s="2">
        <v>37067.0</v>
      </c>
      <c r="N12325" s="2" t="s">
        <v>21</v>
      </c>
    </row>
    <row r="12326" ht="15.75" customHeight="1">
      <c r="A12326" s="2">
        <v>2020.0</v>
      </c>
      <c r="B12326" s="2" t="s">
        <v>49196</v>
      </c>
      <c r="C12326" s="2" t="s">
        <v>49197</v>
      </c>
      <c r="D12326" s="2" t="str">
        <f>"7606966749"</f>
        <v>7606966749</v>
      </c>
      <c r="E12326" s="2" t="s">
        <v>17623</v>
      </c>
      <c r="F12326" s="2" t="s">
        <v>39022</v>
      </c>
      <c r="G12326" s="2" t="str">
        <f>"SR-17513"</f>
        <v>SR-17513</v>
      </c>
      <c r="H12326" s="2" t="s">
        <v>49198</v>
      </c>
      <c r="I12326" s="2" t="s">
        <v>49199</v>
      </c>
      <c r="K12326" s="2" t="s">
        <v>14981</v>
      </c>
      <c r="L12326" s="2" t="s">
        <v>222</v>
      </c>
      <c r="M12326" s="2">
        <v>92084.0</v>
      </c>
      <c r="N12326" s="2" t="s">
        <v>21</v>
      </c>
    </row>
    <row r="12327" ht="15.75" customHeight="1">
      <c r="A12327" s="2">
        <v>2020.0</v>
      </c>
      <c r="B12327" s="2" t="s">
        <v>49200</v>
      </c>
      <c r="C12327" s="2" t="s">
        <v>49201</v>
      </c>
      <c r="D12327" s="2" t="str">
        <f>"6158230197"</f>
        <v>6158230197</v>
      </c>
      <c r="E12327" s="2" t="s">
        <v>203</v>
      </c>
      <c r="F12327" s="2" t="s">
        <v>49202</v>
      </c>
      <c r="G12327" s="2" t="str">
        <f>"SR-17515"</f>
        <v>SR-17515</v>
      </c>
      <c r="H12327" s="2" t="s">
        <v>49203</v>
      </c>
      <c r="I12327" s="2" t="s">
        <v>49204</v>
      </c>
      <c r="K12327" s="2" t="s">
        <v>278</v>
      </c>
      <c r="L12327" s="2" t="s">
        <v>279</v>
      </c>
      <c r="M12327" s="2">
        <v>37064.0</v>
      </c>
      <c r="N12327" s="2" t="s">
        <v>21</v>
      </c>
    </row>
    <row r="12328" ht="15.75" customHeight="1">
      <c r="A12328" s="2">
        <v>2020.0</v>
      </c>
      <c r="B12328" s="2" t="s">
        <v>49205</v>
      </c>
      <c r="C12328" s="2" t="s">
        <v>49205</v>
      </c>
      <c r="D12328" s="2" t="str">
        <f>"6164379080"</f>
        <v>6164379080</v>
      </c>
      <c r="E12328" s="2" t="s">
        <v>42788</v>
      </c>
      <c r="F12328" s="2" t="s">
        <v>49206</v>
      </c>
      <c r="G12328" s="2" t="str">
        <f>"SR-17516"</f>
        <v>SR-17516</v>
      </c>
      <c r="H12328" s="2" t="s">
        <v>49207</v>
      </c>
      <c r="I12328" s="2" t="s">
        <v>49208</v>
      </c>
      <c r="K12328" s="2" t="s">
        <v>49209</v>
      </c>
      <c r="L12328" s="2" t="s">
        <v>29</v>
      </c>
      <c r="M12328" s="2">
        <v>49323.0</v>
      </c>
      <c r="N12328" s="2" t="s">
        <v>21</v>
      </c>
    </row>
    <row r="12329" ht="15.75" customHeight="1">
      <c r="A12329" s="2">
        <v>2020.0</v>
      </c>
      <c r="B12329" s="2" t="s">
        <v>49210</v>
      </c>
      <c r="C12329" s="2" t="s">
        <v>49211</v>
      </c>
      <c r="D12329" s="2" t="str">
        <f>"2813692349"</f>
        <v>2813692349</v>
      </c>
      <c r="E12329" s="2" t="s">
        <v>9599</v>
      </c>
      <c r="F12329" s="2" t="s">
        <v>5105</v>
      </c>
      <c r="G12329" s="2" t="str">
        <f>"SR-17463"</f>
        <v>SR-17463</v>
      </c>
      <c r="H12329" s="2" t="s">
        <v>49212</v>
      </c>
      <c r="I12329" s="2" t="s">
        <v>49213</v>
      </c>
      <c r="K12329" s="2" t="s">
        <v>22621</v>
      </c>
      <c r="L12329" s="2" t="s">
        <v>172</v>
      </c>
      <c r="M12329" s="2">
        <v>77583.0</v>
      </c>
      <c r="N12329" s="2" t="s">
        <v>21</v>
      </c>
    </row>
    <row r="12330" ht="15.75" customHeight="1">
      <c r="A12330" s="2">
        <v>2020.0</v>
      </c>
      <c r="B12330" s="2" t="s">
        <v>49214</v>
      </c>
      <c r="C12330" s="2" t="s">
        <v>49215</v>
      </c>
      <c r="D12330" s="2" t="str">
        <f>"260 402 4212"</f>
        <v>260 402 4212</v>
      </c>
      <c r="E12330" s="2" t="s">
        <v>2306</v>
      </c>
      <c r="F12330" s="2" t="s">
        <v>9467</v>
      </c>
      <c r="G12330" s="2" t="str">
        <f>"SR-17472"</f>
        <v>SR-17472</v>
      </c>
      <c r="H12330" s="2" t="s">
        <v>49216</v>
      </c>
      <c r="I12330" s="2" t="s">
        <v>49217</v>
      </c>
      <c r="K12330" s="2" t="s">
        <v>4298</v>
      </c>
      <c r="L12330" s="2" t="s">
        <v>149</v>
      </c>
      <c r="M12330" s="2">
        <v>46814.0</v>
      </c>
      <c r="N12330" s="2" t="s">
        <v>21</v>
      </c>
    </row>
    <row r="12331" ht="15.75" customHeight="1">
      <c r="A12331" s="2">
        <v>2020.0</v>
      </c>
      <c r="B12331" s="2" t="s">
        <v>37312</v>
      </c>
      <c r="C12331" s="2" t="s">
        <v>49218</v>
      </c>
      <c r="D12331" s="2" t="str">
        <f>"719-203-0388"</f>
        <v>719-203-0388</v>
      </c>
      <c r="E12331" s="2" t="s">
        <v>49219</v>
      </c>
      <c r="F12331" s="2" t="s">
        <v>16188</v>
      </c>
      <c r="G12331" s="2" t="str">
        <f>"SR-17518"</f>
        <v>SR-17518</v>
      </c>
      <c r="H12331" s="2" t="s">
        <v>49220</v>
      </c>
      <c r="I12331" s="2" t="s">
        <v>16190</v>
      </c>
      <c r="K12331" s="2" t="s">
        <v>809</v>
      </c>
      <c r="L12331" s="2" t="s">
        <v>157</v>
      </c>
      <c r="M12331" s="2">
        <v>80920.0</v>
      </c>
      <c r="N12331" s="2" t="s">
        <v>21</v>
      </c>
    </row>
    <row r="12332" ht="15.75" customHeight="1">
      <c r="A12332" s="2">
        <v>2020.0</v>
      </c>
      <c r="B12332" s="2" t="s">
        <v>49221</v>
      </c>
      <c r="C12332" s="2" t="s">
        <v>49221</v>
      </c>
      <c r="D12332" s="2" t="str">
        <f>"7164301382"</f>
        <v>7164301382</v>
      </c>
      <c r="E12332" s="2" t="s">
        <v>5619</v>
      </c>
      <c r="F12332" s="2" t="s">
        <v>15963</v>
      </c>
      <c r="G12332" s="2" t="str">
        <f>"SR-17484"</f>
        <v>SR-17484</v>
      </c>
      <c r="H12332" s="2" t="s">
        <v>49222</v>
      </c>
      <c r="I12332" s="2" t="s">
        <v>49223</v>
      </c>
      <c r="K12332" s="2" t="s">
        <v>10904</v>
      </c>
      <c r="L12332" s="2" t="s">
        <v>142</v>
      </c>
      <c r="M12332" s="2">
        <v>14261.0</v>
      </c>
      <c r="N12332" s="2" t="s">
        <v>21</v>
      </c>
    </row>
    <row r="12333" ht="15.75" customHeight="1">
      <c r="A12333" s="2">
        <v>2020.0</v>
      </c>
      <c r="B12333" s="2" t="s">
        <v>49224</v>
      </c>
      <c r="C12333" s="2" t="s">
        <v>49225</v>
      </c>
      <c r="D12333" s="2" t="str">
        <f>"2104618226"</f>
        <v>2104618226</v>
      </c>
      <c r="E12333" s="2" t="s">
        <v>651</v>
      </c>
      <c r="F12333" s="2" t="s">
        <v>11424</v>
      </c>
      <c r="G12333" s="2" t="str">
        <f>"SR-17410"</f>
        <v>SR-17410</v>
      </c>
      <c r="H12333" s="2" t="s">
        <v>49226</v>
      </c>
      <c r="I12333" s="2" t="s">
        <v>49227</v>
      </c>
      <c r="K12333" s="2" t="s">
        <v>632</v>
      </c>
      <c r="L12333" s="2" t="s">
        <v>172</v>
      </c>
      <c r="M12333" s="2">
        <v>78212.0</v>
      </c>
      <c r="N12333" s="2" t="s">
        <v>21</v>
      </c>
    </row>
    <row r="12334" ht="15.75" customHeight="1">
      <c r="A12334" s="2">
        <v>2020.0</v>
      </c>
      <c r="B12334" s="2" t="s">
        <v>49228</v>
      </c>
      <c r="C12334" s="2" t="s">
        <v>49228</v>
      </c>
      <c r="D12334" s="2" t="str">
        <f>"7203457796"</f>
        <v>7203457796</v>
      </c>
      <c r="E12334" s="2" t="s">
        <v>16192</v>
      </c>
      <c r="F12334" s="2" t="s">
        <v>49229</v>
      </c>
      <c r="G12334" s="2" t="str">
        <f>"SR-17520"</f>
        <v>SR-17520</v>
      </c>
      <c r="H12334" s="2" t="s">
        <v>49230</v>
      </c>
      <c r="I12334" s="2" t="s">
        <v>49231</v>
      </c>
      <c r="K12334" s="2" t="s">
        <v>49232</v>
      </c>
      <c r="L12334" s="2" t="s">
        <v>157</v>
      </c>
      <c r="M12334" s="2">
        <v>81224.0</v>
      </c>
      <c r="N12334" s="2" t="s">
        <v>21</v>
      </c>
    </row>
    <row r="12335" ht="15.75" customHeight="1">
      <c r="A12335" s="2">
        <v>2020.0</v>
      </c>
      <c r="B12335" s="2" t="s">
        <v>49233</v>
      </c>
      <c r="C12335" s="2" t="s">
        <v>49234</v>
      </c>
      <c r="D12335" s="2" t="str">
        <f>"2566178996"</f>
        <v>2566178996</v>
      </c>
      <c r="E12335" s="2" t="s">
        <v>4763</v>
      </c>
      <c r="F12335" s="2" t="s">
        <v>11503</v>
      </c>
      <c r="G12335" s="2" t="str">
        <f>"SR-17521"</f>
        <v>SR-17521</v>
      </c>
      <c r="H12335" s="2" t="s">
        <v>49235</v>
      </c>
      <c r="I12335" s="2" t="s">
        <v>49236</v>
      </c>
      <c r="K12335" s="2" t="s">
        <v>659</v>
      </c>
      <c r="L12335" s="2" t="s">
        <v>539</v>
      </c>
      <c r="M12335" s="2">
        <v>35758.0</v>
      </c>
      <c r="N12335" s="2" t="s">
        <v>21</v>
      </c>
    </row>
    <row r="12336" ht="15.75" customHeight="1">
      <c r="A12336" s="2">
        <v>2020.0</v>
      </c>
      <c r="B12336" s="2" t="s">
        <v>49237</v>
      </c>
      <c r="C12336" s="2" t="s">
        <v>49238</v>
      </c>
      <c r="D12336" s="2" t="str">
        <f>"303-471-4105"</f>
        <v>303-471-4105</v>
      </c>
      <c r="E12336" s="2" t="s">
        <v>39039</v>
      </c>
      <c r="F12336" s="2" t="s">
        <v>5290</v>
      </c>
      <c r="G12336" s="2" t="str">
        <f>"SR-17522"</f>
        <v>SR-17522</v>
      </c>
      <c r="H12336" s="2" t="s">
        <v>49239</v>
      </c>
      <c r="I12336" s="2" t="s">
        <v>49240</v>
      </c>
      <c r="K12336" s="2" t="s">
        <v>682</v>
      </c>
      <c r="L12336" s="2" t="s">
        <v>157</v>
      </c>
      <c r="M12336" s="2">
        <v>80126.0</v>
      </c>
      <c r="N12336" s="2" t="s">
        <v>21</v>
      </c>
    </row>
    <row r="12337" ht="15.75" customHeight="1">
      <c r="A12337" s="2">
        <v>2020.0</v>
      </c>
      <c r="B12337" s="2" t="s">
        <v>49241</v>
      </c>
      <c r="C12337" s="2" t="s">
        <v>49241</v>
      </c>
      <c r="D12337" s="2" t="str">
        <f>"406-422-2365"</f>
        <v>406-422-2365</v>
      </c>
      <c r="E12337" s="2" t="s">
        <v>39130</v>
      </c>
      <c r="F12337" s="2" t="s">
        <v>49242</v>
      </c>
      <c r="G12337" s="2" t="str">
        <f>"SR-17488"</f>
        <v>SR-17488</v>
      </c>
      <c r="H12337" s="2" t="s">
        <v>49243</v>
      </c>
      <c r="I12337" s="2" t="s">
        <v>49244</v>
      </c>
      <c r="K12337" s="2" t="s">
        <v>49245</v>
      </c>
      <c r="L12337" s="2" t="s">
        <v>2696</v>
      </c>
      <c r="M12337" s="2">
        <v>59635.0</v>
      </c>
      <c r="N12337" s="2" t="s">
        <v>21</v>
      </c>
    </row>
    <row r="12338" ht="15.75" customHeight="1">
      <c r="A12338" s="2">
        <v>2020.0</v>
      </c>
      <c r="B12338" s="2" t="s">
        <v>47427</v>
      </c>
      <c r="C12338" s="2" t="s">
        <v>49246</v>
      </c>
      <c r="D12338" s="2" t="str">
        <f>"3526810202"</f>
        <v>3526810202</v>
      </c>
      <c r="E12338" s="2" t="s">
        <v>3743</v>
      </c>
      <c r="F12338" s="2" t="s">
        <v>13023</v>
      </c>
      <c r="G12338" s="2" t="str">
        <f>"SR-17526"</f>
        <v>SR-17526</v>
      </c>
      <c r="H12338" s="2" t="s">
        <v>49247</v>
      </c>
      <c r="I12338" s="2" t="s">
        <v>47430</v>
      </c>
      <c r="K12338" s="2" t="s">
        <v>21389</v>
      </c>
      <c r="L12338" s="2" t="s">
        <v>208</v>
      </c>
      <c r="M12338" s="2">
        <v>32653.0</v>
      </c>
      <c r="N12338" s="2" t="s">
        <v>21</v>
      </c>
    </row>
    <row r="12339" ht="15.75" customHeight="1">
      <c r="A12339" s="2">
        <v>2020.0</v>
      </c>
      <c r="B12339" s="2" t="s">
        <v>47427</v>
      </c>
      <c r="C12339" s="2" t="s">
        <v>47428</v>
      </c>
      <c r="D12339" s="2" t="str">
        <f>"3523633075"</f>
        <v>3523633075</v>
      </c>
      <c r="E12339" s="2" t="s">
        <v>3977</v>
      </c>
      <c r="F12339" s="2" t="s">
        <v>13023</v>
      </c>
      <c r="G12339" s="2" t="str">
        <f>"SR-16639"</f>
        <v>SR-16639</v>
      </c>
      <c r="H12339" s="2" t="s">
        <v>47429</v>
      </c>
      <c r="I12339" s="2" t="s">
        <v>47430</v>
      </c>
      <c r="K12339" s="2" t="s">
        <v>21389</v>
      </c>
      <c r="L12339" s="2" t="s">
        <v>208</v>
      </c>
      <c r="M12339" s="2">
        <v>32653.0</v>
      </c>
      <c r="N12339" s="2" t="s">
        <v>21</v>
      </c>
    </row>
    <row r="12340" ht="15.75" customHeight="1">
      <c r="A12340" s="2">
        <v>2020.0</v>
      </c>
      <c r="B12340" s="2" t="s">
        <v>45056</v>
      </c>
      <c r="C12340" s="2" t="s">
        <v>45057</v>
      </c>
      <c r="D12340" s="2" t="str">
        <f>"(904) 616-5416"</f>
        <v>(904) 616-5416</v>
      </c>
      <c r="E12340" s="2" t="s">
        <v>3305</v>
      </c>
      <c r="F12340" s="2" t="s">
        <v>15689</v>
      </c>
      <c r="G12340" s="2" t="str">
        <f>"SR-15819"</f>
        <v>SR-15819</v>
      </c>
      <c r="H12340" s="2" t="s">
        <v>45058</v>
      </c>
      <c r="I12340" s="2" t="s">
        <v>45059</v>
      </c>
      <c r="K12340" s="2" t="s">
        <v>451</v>
      </c>
      <c r="L12340" s="2" t="s">
        <v>208</v>
      </c>
      <c r="M12340" s="2">
        <v>32210.0</v>
      </c>
      <c r="N12340" s="2" t="s">
        <v>21</v>
      </c>
    </row>
    <row r="12341" ht="15.75" customHeight="1">
      <c r="A12341" s="2">
        <v>2020.0</v>
      </c>
      <c r="B12341" s="2" t="s">
        <v>45056</v>
      </c>
      <c r="C12341" s="2" t="s">
        <v>49248</v>
      </c>
      <c r="D12341" s="2" t="str">
        <f>"(904) 945-6181"</f>
        <v>(904) 945-6181</v>
      </c>
      <c r="E12341" s="2" t="s">
        <v>472</v>
      </c>
      <c r="F12341" s="2" t="s">
        <v>15689</v>
      </c>
      <c r="G12341" s="2" t="str">
        <f>"SR-17462"</f>
        <v>SR-17462</v>
      </c>
      <c r="H12341" s="2" t="s">
        <v>49249</v>
      </c>
      <c r="I12341" s="2" t="s">
        <v>45059</v>
      </c>
      <c r="K12341" s="2" t="s">
        <v>451</v>
      </c>
      <c r="L12341" s="2" t="s">
        <v>208</v>
      </c>
      <c r="M12341" s="2">
        <v>32210.0</v>
      </c>
      <c r="N12341" s="2" t="s">
        <v>21</v>
      </c>
    </row>
    <row r="12342" ht="15.75" customHeight="1">
      <c r="A12342" s="2">
        <v>2020.0</v>
      </c>
      <c r="B12342" s="2" t="s">
        <v>49250</v>
      </c>
      <c r="C12342" s="2" t="s">
        <v>49251</v>
      </c>
      <c r="D12342" s="2" t="str">
        <f>"07533197090"</f>
        <v>07533197090</v>
      </c>
      <c r="E12342" s="2" t="s">
        <v>6759</v>
      </c>
      <c r="F12342" s="2" t="s">
        <v>49252</v>
      </c>
      <c r="G12342" s="2" t="str">
        <f>"SR-16364"</f>
        <v>SR-16364</v>
      </c>
      <c r="H12342" s="2" t="s">
        <v>49253</v>
      </c>
      <c r="I12342" s="2" t="s">
        <v>49254</v>
      </c>
      <c r="J12342" s="2" t="s">
        <v>49255</v>
      </c>
      <c r="K12342" s="2" t="s">
        <v>49256</v>
      </c>
      <c r="L12342" s="2" t="s">
        <v>49257</v>
      </c>
      <c r="M12342" s="2" t="s">
        <v>49258</v>
      </c>
      <c r="N12342" s="2" t="s">
        <v>22523</v>
      </c>
    </row>
    <row r="12343" ht="15.75" customHeight="1">
      <c r="A12343" s="2">
        <v>2020.0</v>
      </c>
      <c r="B12343" s="2" t="s">
        <v>44746</v>
      </c>
      <c r="C12343" s="2" t="s">
        <v>44746</v>
      </c>
      <c r="D12343" s="2" t="str">
        <f>"5125902447"</f>
        <v>5125902447</v>
      </c>
      <c r="E12343" s="2" t="s">
        <v>1263</v>
      </c>
      <c r="F12343" s="2" t="s">
        <v>40547</v>
      </c>
      <c r="G12343" s="2" t="str">
        <f>"SR-15598"</f>
        <v>SR-15598</v>
      </c>
      <c r="H12343" s="2" t="s">
        <v>44747</v>
      </c>
      <c r="I12343" s="2" t="s">
        <v>44748</v>
      </c>
      <c r="K12343" s="2" t="s">
        <v>44749</v>
      </c>
      <c r="L12343" s="2" t="s">
        <v>172</v>
      </c>
      <c r="M12343" s="2">
        <v>78737.0</v>
      </c>
      <c r="N12343" s="2" t="s">
        <v>21</v>
      </c>
    </row>
    <row r="12344" ht="15.75" customHeight="1">
      <c r="A12344" s="2">
        <v>2020.0</v>
      </c>
      <c r="B12344" s="2" t="s">
        <v>49259</v>
      </c>
      <c r="C12344" s="2" t="s">
        <v>49259</v>
      </c>
      <c r="D12344" s="2" t="str">
        <f>"765-808-8524"</f>
        <v>765-808-8524</v>
      </c>
      <c r="E12344" s="2" t="s">
        <v>1810</v>
      </c>
      <c r="F12344" s="2" t="s">
        <v>3320</v>
      </c>
      <c r="G12344" s="2" t="str">
        <f>"SR-17533"</f>
        <v>SR-17533</v>
      </c>
      <c r="H12344" s="2" t="s">
        <v>33723</v>
      </c>
      <c r="I12344" s="2" t="s">
        <v>49260</v>
      </c>
      <c r="K12344" s="2" t="s">
        <v>12644</v>
      </c>
      <c r="L12344" s="2" t="s">
        <v>2696</v>
      </c>
      <c r="M12344" s="2">
        <v>59715.0</v>
      </c>
      <c r="N12344" s="2" t="s">
        <v>21</v>
      </c>
    </row>
    <row r="12345" ht="15.75" customHeight="1">
      <c r="A12345" s="2">
        <v>2020.0</v>
      </c>
      <c r="B12345" s="2" t="s">
        <v>31556</v>
      </c>
      <c r="C12345" s="2" t="s">
        <v>49261</v>
      </c>
      <c r="D12345" s="2" t="str">
        <f>"330-316-6584"</f>
        <v>330-316-6584</v>
      </c>
      <c r="E12345" s="2" t="s">
        <v>14422</v>
      </c>
      <c r="F12345" s="2" t="s">
        <v>31558</v>
      </c>
      <c r="G12345" s="2" t="str">
        <f>"SR-17534"</f>
        <v>SR-17534</v>
      </c>
      <c r="H12345" s="2" t="s">
        <v>49262</v>
      </c>
      <c r="I12345" s="2" t="s">
        <v>31560</v>
      </c>
      <c r="K12345" s="2" t="s">
        <v>31561</v>
      </c>
      <c r="L12345" s="2" t="s">
        <v>344</v>
      </c>
      <c r="M12345" s="2">
        <v>44601.0</v>
      </c>
      <c r="N12345" s="2" t="s">
        <v>21</v>
      </c>
    </row>
    <row r="12346" ht="15.75" customHeight="1">
      <c r="A12346" s="2">
        <v>2020.0</v>
      </c>
      <c r="B12346" s="2" t="s">
        <v>31556</v>
      </c>
      <c r="C12346" s="2" t="s">
        <v>31557</v>
      </c>
      <c r="D12346" s="2" t="str">
        <f>"330-575-7253"</f>
        <v>330-575-7253</v>
      </c>
      <c r="E12346" s="2" t="s">
        <v>938</v>
      </c>
      <c r="F12346" s="2" t="s">
        <v>31558</v>
      </c>
      <c r="G12346" s="2" t="str">
        <f>"SR-10241"</f>
        <v>SR-10241</v>
      </c>
      <c r="H12346" s="2" t="s">
        <v>31559</v>
      </c>
      <c r="I12346" s="2" t="s">
        <v>31560</v>
      </c>
      <c r="K12346" s="2" t="s">
        <v>31561</v>
      </c>
      <c r="L12346" s="2" t="s">
        <v>344</v>
      </c>
      <c r="M12346" s="2">
        <v>44601.0</v>
      </c>
      <c r="N12346" s="2" t="s">
        <v>21</v>
      </c>
    </row>
    <row r="12347" ht="15.75" customHeight="1">
      <c r="A12347" s="2">
        <v>2020.0</v>
      </c>
      <c r="B12347" s="2" t="s">
        <v>44700</v>
      </c>
      <c r="C12347" s="2" t="s">
        <v>44700</v>
      </c>
      <c r="D12347" s="2" t="str">
        <f>"8067812281"</f>
        <v>8067812281</v>
      </c>
      <c r="E12347" s="2" t="s">
        <v>485</v>
      </c>
      <c r="F12347" s="2" t="s">
        <v>44701</v>
      </c>
      <c r="G12347" s="2" t="str">
        <f>"SR-15666"</f>
        <v>SR-15666</v>
      </c>
      <c r="H12347" s="2" t="s">
        <v>44702</v>
      </c>
      <c r="I12347" s="2" t="s">
        <v>44703</v>
      </c>
      <c r="K12347" s="2" t="s">
        <v>1121</v>
      </c>
      <c r="L12347" s="2" t="s">
        <v>172</v>
      </c>
      <c r="M12347" s="2">
        <v>79413.0</v>
      </c>
      <c r="N12347" s="2" t="s">
        <v>21</v>
      </c>
    </row>
    <row r="12348" ht="15.75" customHeight="1">
      <c r="A12348" s="2">
        <v>2020.0</v>
      </c>
      <c r="B12348" s="2" t="s">
        <v>36023</v>
      </c>
      <c r="C12348" s="2" t="s">
        <v>49263</v>
      </c>
      <c r="D12348" s="2" t="str">
        <f>"805 666 2945"</f>
        <v>805 666 2945</v>
      </c>
      <c r="E12348" s="2" t="s">
        <v>29734</v>
      </c>
      <c r="F12348" s="2" t="s">
        <v>36025</v>
      </c>
      <c r="G12348" s="2" t="str">
        <f>"SR-17535"</f>
        <v>SR-17535</v>
      </c>
      <c r="H12348" s="2" t="s">
        <v>49264</v>
      </c>
      <c r="I12348" s="2" t="s">
        <v>36027</v>
      </c>
      <c r="K12348" s="2" t="s">
        <v>36028</v>
      </c>
      <c r="L12348" s="2" t="s">
        <v>222</v>
      </c>
      <c r="M12348" s="2">
        <v>93004.0</v>
      </c>
      <c r="N12348" s="2" t="s">
        <v>21</v>
      </c>
    </row>
    <row r="12349" ht="15.75" customHeight="1">
      <c r="A12349" s="2">
        <v>2020.0</v>
      </c>
      <c r="B12349" s="2" t="s">
        <v>49265</v>
      </c>
      <c r="C12349" s="2" t="s">
        <v>49266</v>
      </c>
      <c r="D12349" s="2" t="str">
        <f>"720-397-9413"</f>
        <v>720-397-9413</v>
      </c>
      <c r="E12349" s="2" t="s">
        <v>49267</v>
      </c>
      <c r="F12349" s="2" t="s">
        <v>31</v>
      </c>
      <c r="G12349" s="2" t="str">
        <f>"SR-17536"</f>
        <v>SR-17536</v>
      </c>
      <c r="H12349" s="2" t="s">
        <v>49268</v>
      </c>
      <c r="I12349" s="2" t="s">
        <v>49269</v>
      </c>
      <c r="K12349" s="2" t="s">
        <v>992</v>
      </c>
      <c r="L12349" s="2" t="s">
        <v>157</v>
      </c>
      <c r="M12349" s="2">
        <v>80015.0</v>
      </c>
      <c r="N12349" s="2" t="s">
        <v>21</v>
      </c>
    </row>
    <row r="12350" ht="15.75" customHeight="1">
      <c r="A12350" s="2">
        <v>2020.0</v>
      </c>
      <c r="B12350" s="2" t="s">
        <v>49270</v>
      </c>
      <c r="C12350" s="2" t="s">
        <v>49271</v>
      </c>
      <c r="D12350" s="2" t="str">
        <f>"409.926.2598"</f>
        <v>409.926.2598</v>
      </c>
      <c r="E12350" s="2" t="s">
        <v>49272</v>
      </c>
      <c r="F12350" s="2" t="s">
        <v>13690</v>
      </c>
      <c r="G12350" s="2" t="str">
        <f>"SR-17519"</f>
        <v>SR-17519</v>
      </c>
      <c r="H12350" s="2" t="s">
        <v>49273</v>
      </c>
      <c r="I12350" s="2" t="s">
        <v>49274</v>
      </c>
      <c r="K12350" s="2" t="s">
        <v>49275</v>
      </c>
      <c r="L12350" s="2" t="s">
        <v>172</v>
      </c>
      <c r="M12350" s="2">
        <v>77626.0</v>
      </c>
      <c r="N12350" s="2" t="s">
        <v>21</v>
      </c>
    </row>
    <row r="12351" ht="15.75" customHeight="1">
      <c r="A12351" s="2">
        <v>2020.0</v>
      </c>
      <c r="B12351" s="2" t="s">
        <v>39811</v>
      </c>
      <c r="C12351" s="2" t="s">
        <v>39812</v>
      </c>
      <c r="D12351" s="2" t="str">
        <f>"+61434196829"</f>
        <v>+61434196829</v>
      </c>
      <c r="E12351" s="2" t="s">
        <v>261</v>
      </c>
      <c r="F12351" s="2" t="s">
        <v>39813</v>
      </c>
      <c r="G12351" s="2" t="str">
        <f>"SR-13428"</f>
        <v>SR-13428</v>
      </c>
      <c r="H12351" s="2" t="s">
        <v>39814</v>
      </c>
      <c r="I12351" s="2" t="s">
        <v>39815</v>
      </c>
      <c r="K12351" s="2" t="s">
        <v>39816</v>
      </c>
      <c r="L12351" s="2" t="s">
        <v>39817</v>
      </c>
      <c r="M12351" s="2">
        <v>3156.0</v>
      </c>
      <c r="N12351" s="2" t="s">
        <v>4442</v>
      </c>
    </row>
    <row r="12352" ht="15.75" customHeight="1">
      <c r="A12352" s="2">
        <v>2020.0</v>
      </c>
      <c r="B12352" s="2" t="s">
        <v>49276</v>
      </c>
      <c r="C12352" s="2" t="s">
        <v>49276</v>
      </c>
      <c r="D12352" s="2" t="str">
        <f>"3166174407"</f>
        <v>3166174407</v>
      </c>
      <c r="E12352" s="2" t="s">
        <v>29586</v>
      </c>
      <c r="F12352" s="2" t="s">
        <v>49277</v>
      </c>
      <c r="G12352" s="2" t="str">
        <f>"SR-17543"</f>
        <v>SR-17543</v>
      </c>
      <c r="H12352" s="2" t="s">
        <v>49278</v>
      </c>
      <c r="I12352" s="2" t="s">
        <v>49279</v>
      </c>
      <c r="K12352" s="2" t="s">
        <v>1991</v>
      </c>
      <c r="L12352" s="2" t="s">
        <v>272</v>
      </c>
      <c r="M12352" s="2">
        <v>67002.0</v>
      </c>
      <c r="N12352" s="2" t="s">
        <v>21</v>
      </c>
    </row>
    <row r="12353" ht="15.75" customHeight="1">
      <c r="A12353" s="2">
        <v>2020.0</v>
      </c>
      <c r="B12353" s="2" t="s">
        <v>49280</v>
      </c>
      <c r="C12353" s="2" t="s">
        <v>49281</v>
      </c>
      <c r="D12353" s="2" t="str">
        <f>"6162270363"</f>
        <v>6162270363</v>
      </c>
      <c r="E12353" s="2" t="s">
        <v>890</v>
      </c>
      <c r="F12353" s="2" t="s">
        <v>49282</v>
      </c>
      <c r="G12353" s="2" t="str">
        <f>"SR-17545"</f>
        <v>SR-17545</v>
      </c>
      <c r="H12353" s="2" t="s">
        <v>49283</v>
      </c>
      <c r="I12353" s="2" t="s">
        <v>49284</v>
      </c>
      <c r="K12353" s="2" t="s">
        <v>5264</v>
      </c>
      <c r="L12353" s="2" t="s">
        <v>29</v>
      </c>
      <c r="M12353" s="2">
        <v>49315.0</v>
      </c>
      <c r="N12353" s="2" t="s">
        <v>21</v>
      </c>
    </row>
    <row r="12354" ht="15.75" customHeight="1">
      <c r="A12354" s="2">
        <v>2020.0</v>
      </c>
      <c r="B12354" s="2" t="s">
        <v>49285</v>
      </c>
      <c r="C12354" s="2" t="s">
        <v>49286</v>
      </c>
      <c r="D12354" s="2" t="str">
        <f>"2059372060"</f>
        <v>2059372060</v>
      </c>
      <c r="E12354" s="2" t="s">
        <v>2412</v>
      </c>
      <c r="F12354" s="2" t="s">
        <v>847</v>
      </c>
      <c r="G12354" s="2" t="str">
        <f>"SR-17546"</f>
        <v>SR-17546</v>
      </c>
      <c r="H12354" s="2" t="s">
        <v>49287</v>
      </c>
      <c r="I12354" s="2" t="s">
        <v>49288</v>
      </c>
      <c r="K12354" s="2" t="s">
        <v>49289</v>
      </c>
      <c r="L12354" s="2" t="s">
        <v>539</v>
      </c>
      <c r="M12354" s="2">
        <v>35216.0</v>
      </c>
      <c r="N12354" s="2" t="s">
        <v>21</v>
      </c>
    </row>
    <row r="12355" ht="15.75" customHeight="1">
      <c r="A12355" s="2">
        <v>2020.0</v>
      </c>
      <c r="B12355" s="2" t="s">
        <v>49290</v>
      </c>
      <c r="C12355" s="2" t="s">
        <v>49291</v>
      </c>
      <c r="D12355" s="2" t="str">
        <f>"7865593379"</f>
        <v>7865593379</v>
      </c>
      <c r="E12355" s="2" t="s">
        <v>25668</v>
      </c>
      <c r="F12355" s="2" t="s">
        <v>49292</v>
      </c>
      <c r="G12355" s="2" t="str">
        <f>"SR-17459"</f>
        <v>SR-17459</v>
      </c>
      <c r="H12355" s="2" t="s">
        <v>49293</v>
      </c>
      <c r="I12355" s="2" t="s">
        <v>49294</v>
      </c>
      <c r="K12355" s="2" t="s">
        <v>49295</v>
      </c>
      <c r="L12355" s="2" t="s">
        <v>208</v>
      </c>
      <c r="M12355" s="2">
        <v>33146.0</v>
      </c>
      <c r="N12355" s="2" t="s">
        <v>21</v>
      </c>
    </row>
    <row r="12356" ht="15.75" customHeight="1">
      <c r="A12356" s="2">
        <v>2020.0</v>
      </c>
      <c r="B12356" s="2" t="s">
        <v>49296</v>
      </c>
      <c r="C12356" s="2" t="s">
        <v>49297</v>
      </c>
      <c r="D12356" s="2" t="str">
        <f>"4026908783"</f>
        <v>4026908783</v>
      </c>
      <c r="E12356" s="2" t="s">
        <v>485</v>
      </c>
      <c r="F12356" s="2" t="s">
        <v>49298</v>
      </c>
      <c r="G12356" s="2" t="str">
        <f>"SR-17475"</f>
        <v>SR-17475</v>
      </c>
      <c r="H12356" s="2" t="s">
        <v>49299</v>
      </c>
      <c r="I12356" s="2" t="s">
        <v>49300</v>
      </c>
      <c r="K12356" s="2" t="s">
        <v>1470</v>
      </c>
      <c r="L12356" s="2" t="s">
        <v>757</v>
      </c>
      <c r="M12356" s="2">
        <v>68135.0</v>
      </c>
      <c r="N12356" s="2" t="s">
        <v>21</v>
      </c>
    </row>
    <row r="12357" ht="15.75" customHeight="1">
      <c r="A12357" s="2">
        <v>2020.0</v>
      </c>
      <c r="B12357" s="2" t="s">
        <v>49301</v>
      </c>
      <c r="C12357" s="2" t="s">
        <v>49302</v>
      </c>
      <c r="D12357" s="2" t="str">
        <f>"810-542-2227"</f>
        <v>810-542-2227</v>
      </c>
      <c r="E12357" s="2" t="s">
        <v>862</v>
      </c>
      <c r="F12357" s="2" t="s">
        <v>49303</v>
      </c>
      <c r="G12357" s="2" t="str">
        <f>"SR-17550"</f>
        <v>SR-17550</v>
      </c>
      <c r="H12357" s="2" t="s">
        <v>49304</v>
      </c>
      <c r="I12357" s="2" t="s">
        <v>49305</v>
      </c>
      <c r="K12357" s="2" t="s">
        <v>49306</v>
      </c>
      <c r="L12357" s="2" t="s">
        <v>29</v>
      </c>
      <c r="M12357" s="2">
        <v>48003.0</v>
      </c>
      <c r="N12357" s="2" t="s">
        <v>21</v>
      </c>
    </row>
    <row r="12358" ht="15.75" customHeight="1">
      <c r="A12358" s="2">
        <v>2020.0</v>
      </c>
      <c r="B12358" s="2" t="s">
        <v>24982</v>
      </c>
      <c r="C12358" s="2" t="s">
        <v>49307</v>
      </c>
      <c r="D12358" s="2" t="str">
        <f>"540-325-9696"</f>
        <v>540-325-9696</v>
      </c>
      <c r="E12358" s="2" t="s">
        <v>50</v>
      </c>
      <c r="F12358" s="2" t="s">
        <v>17150</v>
      </c>
      <c r="G12358" s="2" t="str">
        <f>"SR-17553"</f>
        <v>SR-17553</v>
      </c>
      <c r="H12358" s="2" t="s">
        <v>49308</v>
      </c>
      <c r="I12358" s="2" t="s">
        <v>24985</v>
      </c>
      <c r="K12358" s="2" t="s">
        <v>24986</v>
      </c>
      <c r="L12358" s="2" t="s">
        <v>165</v>
      </c>
      <c r="M12358" s="2">
        <v>22824.0</v>
      </c>
      <c r="N12358" s="2" t="s">
        <v>21</v>
      </c>
    </row>
    <row r="12359" ht="15.75" customHeight="1">
      <c r="A12359" s="2">
        <v>2020.0</v>
      </c>
      <c r="B12359" s="2" t="s">
        <v>49309</v>
      </c>
      <c r="C12359" s="2" t="s">
        <v>49309</v>
      </c>
      <c r="D12359" s="2" t="str">
        <f>"9045217507"</f>
        <v>9045217507</v>
      </c>
      <c r="E12359" s="2" t="s">
        <v>1015</v>
      </c>
      <c r="F12359" s="2" t="s">
        <v>3842</v>
      </c>
      <c r="G12359" s="2" t="str">
        <f>"SR-17554"</f>
        <v>SR-17554</v>
      </c>
      <c r="H12359" s="2" t="s">
        <v>49310</v>
      </c>
      <c r="I12359" s="2" t="s">
        <v>49311</v>
      </c>
      <c r="K12359" s="2" t="s">
        <v>7645</v>
      </c>
      <c r="L12359" s="2" t="s">
        <v>208</v>
      </c>
      <c r="M12359" s="2">
        <v>32259.0</v>
      </c>
      <c r="N12359" s="2" t="s">
        <v>21</v>
      </c>
    </row>
    <row r="12360" ht="15.75" customHeight="1">
      <c r="A12360" s="2">
        <v>2020.0</v>
      </c>
      <c r="B12360" s="2" t="s">
        <v>49312</v>
      </c>
      <c r="C12360" s="2" t="s">
        <v>49313</v>
      </c>
      <c r="D12360" s="2" t="str">
        <f>"4326381840"</f>
        <v>4326381840</v>
      </c>
      <c r="E12360" s="2" t="s">
        <v>2930</v>
      </c>
      <c r="F12360" s="2" t="s">
        <v>6413</v>
      </c>
      <c r="G12360" s="2" t="str">
        <f>"SR-17418"</f>
        <v>SR-17418</v>
      </c>
      <c r="H12360" s="2" t="s">
        <v>49314</v>
      </c>
      <c r="I12360" s="2" t="s">
        <v>49315</v>
      </c>
      <c r="K12360" s="2" t="s">
        <v>286</v>
      </c>
      <c r="L12360" s="2" t="s">
        <v>172</v>
      </c>
      <c r="M12360" s="2">
        <v>79705.0</v>
      </c>
      <c r="N12360" s="2" t="s">
        <v>21</v>
      </c>
    </row>
    <row r="12361" ht="15.75" customHeight="1">
      <c r="A12361" s="2">
        <v>2020.0</v>
      </c>
      <c r="B12361" s="2" t="s">
        <v>30830</v>
      </c>
      <c r="C12361" s="2" t="s">
        <v>49316</v>
      </c>
      <c r="D12361" s="2" t="str">
        <f>"406-850-0681"</f>
        <v>406-850-0681</v>
      </c>
      <c r="E12361" s="2" t="s">
        <v>1529</v>
      </c>
      <c r="F12361" s="2" t="s">
        <v>49317</v>
      </c>
      <c r="G12361" s="2" t="str">
        <f>"SR-17530"</f>
        <v>SR-17530</v>
      </c>
      <c r="H12361" s="2" t="s">
        <v>49318</v>
      </c>
      <c r="I12361" s="2" t="s">
        <v>30834</v>
      </c>
      <c r="K12361" s="2" t="s">
        <v>3548</v>
      </c>
      <c r="L12361" s="2" t="s">
        <v>2696</v>
      </c>
      <c r="M12361" s="2">
        <v>59105.0</v>
      </c>
      <c r="N12361" s="2" t="s">
        <v>21</v>
      </c>
    </row>
    <row r="12362" ht="15.75" customHeight="1">
      <c r="A12362" s="2">
        <v>2020.0</v>
      </c>
      <c r="B12362" s="2" t="s">
        <v>49319</v>
      </c>
      <c r="C12362" s="2" t="s">
        <v>49320</v>
      </c>
      <c r="D12362" s="2" t="str">
        <f>"8587050068"</f>
        <v>8587050068</v>
      </c>
      <c r="E12362" s="2" t="s">
        <v>1208</v>
      </c>
      <c r="F12362" s="2" t="s">
        <v>49321</v>
      </c>
      <c r="G12362" s="2" t="str">
        <f>"SR-17556"</f>
        <v>SR-17556</v>
      </c>
      <c r="H12362" s="2" t="s">
        <v>49322</v>
      </c>
      <c r="I12362" s="2" t="s">
        <v>49323</v>
      </c>
      <c r="K12362" s="2" t="s">
        <v>15205</v>
      </c>
      <c r="L12362" s="2" t="s">
        <v>222</v>
      </c>
      <c r="M12362" s="2">
        <v>92027.0</v>
      </c>
      <c r="N12362" s="2" t="s">
        <v>21</v>
      </c>
    </row>
    <row r="12363" ht="15.75" customHeight="1">
      <c r="A12363" s="2">
        <v>2020.0</v>
      </c>
      <c r="B12363" s="2" t="s">
        <v>49324</v>
      </c>
      <c r="C12363" s="2" t="s">
        <v>49325</v>
      </c>
      <c r="D12363" s="2" t="str">
        <f>"3172201588"</f>
        <v>3172201588</v>
      </c>
      <c r="E12363" s="2" t="s">
        <v>485</v>
      </c>
      <c r="F12363" s="2" t="s">
        <v>2695</v>
      </c>
      <c r="G12363" s="2" t="str">
        <f>"SR-17559"</f>
        <v>SR-17559</v>
      </c>
      <c r="H12363" s="2" t="s">
        <v>49326</v>
      </c>
      <c r="I12363" s="2" t="s">
        <v>49327</v>
      </c>
      <c r="K12363" s="2" t="s">
        <v>2660</v>
      </c>
      <c r="L12363" s="2" t="s">
        <v>149</v>
      </c>
      <c r="M12363" s="2">
        <v>46040.0</v>
      </c>
      <c r="N12363" s="2" t="s">
        <v>21</v>
      </c>
    </row>
    <row r="12364" ht="15.75" customHeight="1">
      <c r="A12364" s="2">
        <v>2020.0</v>
      </c>
      <c r="B12364" s="2" t="s">
        <v>49328</v>
      </c>
      <c r="C12364" s="2" t="s">
        <v>49329</v>
      </c>
      <c r="D12364" s="2" t="str">
        <f>"3032308416"</f>
        <v>3032308416</v>
      </c>
      <c r="E12364" s="2" t="s">
        <v>465</v>
      </c>
      <c r="F12364" s="2" t="s">
        <v>10561</v>
      </c>
      <c r="G12364" s="2" t="str">
        <f>"SR-17443"</f>
        <v>SR-17443</v>
      </c>
      <c r="H12364" s="2" t="s">
        <v>49330</v>
      </c>
      <c r="I12364" s="2" t="s">
        <v>49331</v>
      </c>
      <c r="K12364" s="2" t="s">
        <v>49332</v>
      </c>
      <c r="L12364" s="2" t="s">
        <v>157</v>
      </c>
      <c r="M12364" s="2">
        <v>80108.0</v>
      </c>
      <c r="N12364" s="2" t="s">
        <v>21</v>
      </c>
    </row>
    <row r="12365" ht="15.75" customHeight="1">
      <c r="A12365" s="2">
        <v>2020.0</v>
      </c>
      <c r="B12365" s="2" t="s">
        <v>49333</v>
      </c>
      <c r="C12365" s="2" t="s">
        <v>49334</v>
      </c>
      <c r="D12365" s="2" t="str">
        <f>"7209997439"</f>
        <v>7209997439</v>
      </c>
      <c r="E12365" s="2" t="s">
        <v>47198</v>
      </c>
      <c r="F12365" s="2" t="s">
        <v>847</v>
      </c>
      <c r="G12365" s="2" t="str">
        <f>"SR-17551"</f>
        <v>SR-17551</v>
      </c>
      <c r="H12365" s="2" t="s">
        <v>49335</v>
      </c>
      <c r="I12365" s="2" t="s">
        <v>49336</v>
      </c>
      <c r="K12365" s="2" t="s">
        <v>6915</v>
      </c>
      <c r="L12365" s="2" t="s">
        <v>157</v>
      </c>
      <c r="M12365" s="2">
        <v>80031.0</v>
      </c>
      <c r="N12365" s="2" t="s">
        <v>21</v>
      </c>
    </row>
    <row r="12366" ht="15.75" customHeight="1">
      <c r="A12366" s="2">
        <v>2020.0</v>
      </c>
      <c r="B12366" s="2" t="s">
        <v>49337</v>
      </c>
      <c r="C12366" s="2" t="s">
        <v>49338</v>
      </c>
      <c r="D12366" s="2" t="str">
        <f>"6126154380"</f>
        <v>6126154380</v>
      </c>
      <c r="E12366" s="2" t="s">
        <v>32391</v>
      </c>
      <c r="F12366" s="2" t="s">
        <v>984</v>
      </c>
      <c r="G12366" s="2" t="str">
        <f>"SR-17446"</f>
        <v>SR-17446</v>
      </c>
      <c r="H12366" s="2" t="s">
        <v>49339</v>
      </c>
      <c r="I12366" s="2" t="s">
        <v>49340</v>
      </c>
      <c r="K12366" s="2" t="s">
        <v>7340</v>
      </c>
      <c r="L12366" s="2" t="s">
        <v>62</v>
      </c>
      <c r="M12366" s="2">
        <v>55356.0</v>
      </c>
      <c r="N12366" s="2" t="s">
        <v>21</v>
      </c>
    </row>
    <row r="12367" ht="15.75" customHeight="1">
      <c r="A12367" s="2">
        <v>2020.0</v>
      </c>
      <c r="B12367" s="2" t="s">
        <v>25478</v>
      </c>
      <c r="C12367" s="2" t="s">
        <v>49341</v>
      </c>
      <c r="D12367" s="2" t="str">
        <f>"3202914163"</f>
        <v>3202914163</v>
      </c>
      <c r="E12367" s="2" t="s">
        <v>1094</v>
      </c>
      <c r="F12367" s="2" t="s">
        <v>49342</v>
      </c>
      <c r="G12367" s="2" t="str">
        <f>"SR-17561"</f>
        <v>SR-17561</v>
      </c>
      <c r="H12367" s="2" t="s">
        <v>49343</v>
      </c>
      <c r="I12367" s="2" t="s">
        <v>25482</v>
      </c>
      <c r="K12367" s="2" t="s">
        <v>25483</v>
      </c>
      <c r="L12367" s="2" t="s">
        <v>62</v>
      </c>
      <c r="M12367" s="2">
        <v>55382.0</v>
      </c>
      <c r="N12367" s="2" t="s">
        <v>21</v>
      </c>
    </row>
    <row r="12368" ht="15.75" customHeight="1">
      <c r="A12368" s="2">
        <v>2020.0</v>
      </c>
      <c r="B12368" s="2" t="s">
        <v>37386</v>
      </c>
      <c r="C12368" s="2" t="s">
        <v>37387</v>
      </c>
      <c r="D12368" s="2" t="str">
        <f>"5127887897"</f>
        <v>5127887897</v>
      </c>
      <c r="E12368" s="2" t="s">
        <v>22484</v>
      </c>
      <c r="F12368" s="2" t="s">
        <v>37388</v>
      </c>
      <c r="G12368" s="2" t="str">
        <f>"SR-12760"</f>
        <v>SR-12760</v>
      </c>
      <c r="H12368" s="2" t="s">
        <v>37389</v>
      </c>
      <c r="I12368" s="2" t="s">
        <v>37390</v>
      </c>
      <c r="K12368" s="2" t="s">
        <v>1141</v>
      </c>
      <c r="L12368" s="2" t="s">
        <v>172</v>
      </c>
      <c r="M12368" s="2">
        <v>78746.0</v>
      </c>
      <c r="N12368" s="2" t="s">
        <v>21</v>
      </c>
    </row>
    <row r="12369" ht="15.75" customHeight="1">
      <c r="A12369" s="2">
        <v>2020.0</v>
      </c>
      <c r="B12369" s="2" t="s">
        <v>49344</v>
      </c>
      <c r="C12369" s="2" t="s">
        <v>49345</v>
      </c>
      <c r="D12369" s="2" t="str">
        <f>"281-650-3816"</f>
        <v>281-650-3816</v>
      </c>
      <c r="E12369" s="2" t="s">
        <v>13107</v>
      </c>
      <c r="F12369" s="2" t="s">
        <v>49346</v>
      </c>
      <c r="G12369" s="2" t="str">
        <f>"SR-17547"</f>
        <v>SR-17547</v>
      </c>
      <c r="H12369" s="2" t="s">
        <v>49347</v>
      </c>
      <c r="I12369" s="2" t="s">
        <v>49348</v>
      </c>
      <c r="K12369" s="2" t="s">
        <v>4350</v>
      </c>
      <c r="L12369" s="2" t="s">
        <v>172</v>
      </c>
      <c r="M12369" s="2">
        <v>77375.0</v>
      </c>
      <c r="N12369" s="2" t="s">
        <v>21</v>
      </c>
    </row>
    <row r="12370" ht="15.75" customHeight="1">
      <c r="A12370" s="2">
        <v>2020.0</v>
      </c>
      <c r="B12370" s="2" t="s">
        <v>19226</v>
      </c>
      <c r="C12370" s="2" t="s">
        <v>49349</v>
      </c>
      <c r="D12370" s="2" t="str">
        <f>"6787872416"</f>
        <v>6787872416</v>
      </c>
      <c r="E12370" s="2" t="s">
        <v>49350</v>
      </c>
      <c r="F12370" s="2" t="s">
        <v>3161</v>
      </c>
      <c r="G12370" s="2" t="str">
        <f>"SR-17570"</f>
        <v>SR-17570</v>
      </c>
      <c r="H12370" s="2" t="s">
        <v>49351</v>
      </c>
      <c r="I12370" s="2" t="s">
        <v>3163</v>
      </c>
      <c r="K12370" s="2" t="s">
        <v>3164</v>
      </c>
      <c r="L12370" s="2" t="s">
        <v>200</v>
      </c>
      <c r="M12370" s="2">
        <v>30215.0</v>
      </c>
      <c r="N12370" s="2" t="s">
        <v>21</v>
      </c>
    </row>
    <row r="12371" ht="15.75" customHeight="1">
      <c r="A12371" s="2">
        <v>2020.0</v>
      </c>
      <c r="B12371" s="2" t="s">
        <v>49352</v>
      </c>
      <c r="C12371" s="2" t="s">
        <v>49353</v>
      </c>
      <c r="D12371" s="2" t="str">
        <f>"3096219902"</f>
        <v>3096219902</v>
      </c>
      <c r="E12371" s="2" t="s">
        <v>217</v>
      </c>
      <c r="F12371" s="2" t="s">
        <v>5281</v>
      </c>
      <c r="G12371" s="2" t="str">
        <f>"SR-17572"</f>
        <v>SR-17572</v>
      </c>
      <c r="H12371" s="2" t="s">
        <v>49354</v>
      </c>
      <c r="I12371" s="2" t="s">
        <v>49355</v>
      </c>
      <c r="K12371" s="2" t="s">
        <v>2533</v>
      </c>
      <c r="L12371" s="2" t="s">
        <v>105</v>
      </c>
      <c r="M12371" s="2">
        <v>61547.0</v>
      </c>
      <c r="N12371" s="2" t="s">
        <v>21</v>
      </c>
    </row>
    <row r="12372" ht="15.75" customHeight="1">
      <c r="A12372" s="2">
        <v>2020.0</v>
      </c>
      <c r="B12372" s="2" t="s">
        <v>49356</v>
      </c>
      <c r="C12372" s="2" t="s">
        <v>49357</v>
      </c>
      <c r="D12372" s="2" t="str">
        <f>"(719) 396-9420"</f>
        <v>(719) 396-9420</v>
      </c>
      <c r="E12372" s="2" t="s">
        <v>217</v>
      </c>
      <c r="F12372" s="2" t="s">
        <v>49358</v>
      </c>
      <c r="G12372" s="2" t="str">
        <f>"SR-17573"</f>
        <v>SR-17573</v>
      </c>
      <c r="H12372" s="2" t="s">
        <v>49359</v>
      </c>
      <c r="I12372" s="2" t="s">
        <v>49360</v>
      </c>
      <c r="J12372" s="2" t="s">
        <v>49361</v>
      </c>
      <c r="K12372" s="2" t="s">
        <v>9975</v>
      </c>
      <c r="L12372" s="2" t="s">
        <v>172</v>
      </c>
      <c r="M12372" s="2">
        <v>76227.0</v>
      </c>
      <c r="N12372" s="2" t="s">
        <v>21</v>
      </c>
    </row>
    <row r="12373" ht="15.75" customHeight="1">
      <c r="A12373" s="2">
        <v>2020.0</v>
      </c>
      <c r="B12373" s="2" t="s">
        <v>38017</v>
      </c>
      <c r="D12373" s="2" t="str">
        <f>""</f>
        <v/>
      </c>
      <c r="E12373" s="2" t="s">
        <v>584</v>
      </c>
      <c r="F12373" s="2" t="s">
        <v>12309</v>
      </c>
      <c r="G12373" s="2" t="str">
        <f>"SR-12822"</f>
        <v>SR-12822</v>
      </c>
      <c r="H12373" s="2" t="s">
        <v>38018</v>
      </c>
    </row>
    <row r="12374" ht="15.75" customHeight="1">
      <c r="A12374" s="2">
        <v>2020.0</v>
      </c>
      <c r="B12374" s="2" t="s">
        <v>49362</v>
      </c>
      <c r="C12374" s="2" t="s">
        <v>49363</v>
      </c>
      <c r="D12374" s="2" t="str">
        <f>"206-201-9525"</f>
        <v>206-201-9525</v>
      </c>
      <c r="E12374" s="2" t="s">
        <v>49364</v>
      </c>
      <c r="F12374" s="2" t="s">
        <v>49365</v>
      </c>
      <c r="G12374" s="2" t="str">
        <f>"SR-17483"</f>
        <v>SR-17483</v>
      </c>
      <c r="H12374" s="2" t="s">
        <v>49366</v>
      </c>
      <c r="I12374" s="2" t="s">
        <v>49367</v>
      </c>
      <c r="K12374" s="2" t="s">
        <v>49368</v>
      </c>
      <c r="L12374" s="2" t="s">
        <v>86</v>
      </c>
      <c r="M12374" s="2">
        <v>98062.0</v>
      </c>
      <c r="N12374" s="2" t="s">
        <v>21</v>
      </c>
    </row>
    <row r="12375" ht="15.75" customHeight="1">
      <c r="A12375" s="2">
        <v>2020.0</v>
      </c>
      <c r="B12375" s="2" t="s">
        <v>49369</v>
      </c>
      <c r="C12375" s="2" t="s">
        <v>49370</v>
      </c>
      <c r="D12375" s="2" t="str">
        <f>"4807887796"</f>
        <v>4807887796</v>
      </c>
      <c r="E12375" s="2" t="s">
        <v>5489</v>
      </c>
      <c r="F12375" s="2" t="s">
        <v>12666</v>
      </c>
      <c r="G12375" s="2" t="str">
        <f>"SR-17501"</f>
        <v>SR-17501</v>
      </c>
      <c r="H12375" s="2" t="s">
        <v>49371</v>
      </c>
      <c r="I12375" s="2" t="s">
        <v>49372</v>
      </c>
      <c r="K12375" s="2" t="s">
        <v>4675</v>
      </c>
      <c r="L12375" s="2" t="s">
        <v>422</v>
      </c>
      <c r="M12375" s="2">
        <v>85295.0</v>
      </c>
      <c r="N12375" s="2" t="s">
        <v>21</v>
      </c>
    </row>
    <row r="12376" ht="15.75" customHeight="1">
      <c r="A12376" s="2">
        <v>2020.0</v>
      </c>
      <c r="B12376" s="2" t="s">
        <v>4616</v>
      </c>
      <c r="C12376" s="2" t="s">
        <v>49373</v>
      </c>
      <c r="D12376" s="2" t="str">
        <f>"6162605351"</f>
        <v>6162605351</v>
      </c>
      <c r="E12376" s="2" t="s">
        <v>18715</v>
      </c>
      <c r="F12376" s="2" t="s">
        <v>498</v>
      </c>
      <c r="G12376" s="2" t="str">
        <f>"SR-17580"</f>
        <v>SR-17580</v>
      </c>
      <c r="H12376" s="2" t="s">
        <v>49374</v>
      </c>
      <c r="I12376" s="2" t="s">
        <v>4619</v>
      </c>
      <c r="K12376" s="2" t="s">
        <v>40</v>
      </c>
      <c r="L12376" s="2" t="s">
        <v>29</v>
      </c>
      <c r="M12376" s="2">
        <v>49508.0</v>
      </c>
      <c r="N12376" s="2" t="s">
        <v>21</v>
      </c>
    </row>
    <row r="12377" ht="15.75" customHeight="1">
      <c r="A12377" s="2">
        <v>2020.0</v>
      </c>
      <c r="B12377" s="2" t="s">
        <v>43600</v>
      </c>
      <c r="C12377" s="2" t="s">
        <v>49375</v>
      </c>
      <c r="D12377" s="2" t="str">
        <f>"4077167290"</f>
        <v>4077167290</v>
      </c>
      <c r="E12377" s="2" t="s">
        <v>100</v>
      </c>
      <c r="F12377" s="2" t="s">
        <v>659</v>
      </c>
      <c r="G12377" s="2" t="str">
        <f>"SR-17581"</f>
        <v>SR-17581</v>
      </c>
      <c r="H12377" s="2" t="s">
        <v>49376</v>
      </c>
      <c r="I12377" s="2" t="s">
        <v>43603</v>
      </c>
      <c r="K12377" s="2" t="s">
        <v>4724</v>
      </c>
      <c r="L12377" s="2" t="s">
        <v>208</v>
      </c>
      <c r="M12377" s="2">
        <v>32810.0</v>
      </c>
      <c r="N12377" s="2" t="s">
        <v>21</v>
      </c>
    </row>
    <row r="12378" ht="15.75" customHeight="1">
      <c r="A12378" s="2">
        <v>2020.0</v>
      </c>
      <c r="B12378" s="2" t="s">
        <v>30381</v>
      </c>
      <c r="C12378" s="2" t="s">
        <v>49377</v>
      </c>
      <c r="D12378" s="2" t="str">
        <f>"402-533-3679"</f>
        <v>402-533-3679</v>
      </c>
      <c r="E12378" s="2" t="s">
        <v>282</v>
      </c>
      <c r="F12378" s="2" t="s">
        <v>30383</v>
      </c>
      <c r="G12378" s="2" t="str">
        <f>"SR-17586"</f>
        <v>SR-17586</v>
      </c>
      <c r="H12378" s="2" t="s">
        <v>49378</v>
      </c>
      <c r="I12378" s="2" t="s">
        <v>49379</v>
      </c>
      <c r="K12378" s="2" t="s">
        <v>1470</v>
      </c>
      <c r="L12378" s="2" t="s">
        <v>757</v>
      </c>
      <c r="M12378" s="2">
        <v>68135.0</v>
      </c>
      <c r="N12378" s="2" t="s">
        <v>21</v>
      </c>
    </row>
    <row r="12379" ht="15.75" customHeight="1">
      <c r="A12379" s="2">
        <v>2020.0</v>
      </c>
      <c r="B12379" s="2" t="s">
        <v>46597</v>
      </c>
      <c r="C12379" s="2" t="s">
        <v>46597</v>
      </c>
      <c r="D12379" s="2" t="str">
        <f>"7047260571"</f>
        <v>7047260571</v>
      </c>
      <c r="E12379" s="2" t="s">
        <v>385</v>
      </c>
      <c r="F12379" s="2" t="s">
        <v>46598</v>
      </c>
      <c r="G12379" s="2" t="str">
        <f>"SR-16340"</f>
        <v>SR-16340</v>
      </c>
      <c r="H12379" s="2" t="s">
        <v>46599</v>
      </c>
      <c r="I12379" s="2" t="s">
        <v>46600</v>
      </c>
      <c r="K12379" s="2" t="s">
        <v>5028</v>
      </c>
      <c r="L12379" s="2" t="s">
        <v>20</v>
      </c>
      <c r="M12379" s="2">
        <v>28078.0</v>
      </c>
      <c r="N12379" s="2" t="s">
        <v>21</v>
      </c>
    </row>
    <row r="12380" ht="15.75" customHeight="1">
      <c r="A12380" s="2">
        <v>2020.0</v>
      </c>
      <c r="B12380" s="2" t="s">
        <v>49380</v>
      </c>
      <c r="D12380" s="2" t="str">
        <f>""</f>
        <v/>
      </c>
      <c r="E12380" s="2" t="s">
        <v>1208</v>
      </c>
      <c r="F12380" s="2" t="s">
        <v>49381</v>
      </c>
      <c r="G12380" s="2" t="str">
        <f>"SR-17587"</f>
        <v>SR-17587</v>
      </c>
      <c r="H12380" s="2" t="s">
        <v>49382</v>
      </c>
      <c r="N12380" s="2" t="s">
        <v>21</v>
      </c>
    </row>
    <row r="12381" ht="15.75" customHeight="1">
      <c r="A12381" s="2">
        <v>2020.0</v>
      </c>
      <c r="B12381" s="2" t="s">
        <v>23016</v>
      </c>
      <c r="C12381" s="2" t="s">
        <v>23017</v>
      </c>
      <c r="D12381" s="2" t="str">
        <f>"208-972-2218"</f>
        <v>208-972-2218</v>
      </c>
      <c r="E12381" s="2" t="s">
        <v>1987</v>
      </c>
      <c r="F12381" s="2" t="s">
        <v>23018</v>
      </c>
      <c r="G12381" s="2" t="str">
        <f>"SR-7076"</f>
        <v>SR-7076</v>
      </c>
      <c r="H12381" s="2" t="s">
        <v>23019</v>
      </c>
      <c r="I12381" s="2" t="s">
        <v>23020</v>
      </c>
      <c r="K12381" s="2" t="s">
        <v>20485</v>
      </c>
      <c r="L12381" s="2" t="s">
        <v>2613</v>
      </c>
      <c r="M12381" s="2">
        <v>83646.0</v>
      </c>
      <c r="N12381" s="2" t="s">
        <v>21</v>
      </c>
    </row>
    <row r="12382" ht="15.75" customHeight="1">
      <c r="A12382" s="2">
        <v>2020.0</v>
      </c>
      <c r="B12382" s="2" t="s">
        <v>23016</v>
      </c>
      <c r="C12382" s="2" t="s">
        <v>49383</v>
      </c>
      <c r="D12382" s="2" t="str">
        <f>"208-908-2521"</f>
        <v>208-908-2521</v>
      </c>
      <c r="E12382" s="2" t="s">
        <v>5916</v>
      </c>
      <c r="F12382" s="2" t="s">
        <v>23018</v>
      </c>
      <c r="G12382" s="2" t="str">
        <f>"SR-17589"</f>
        <v>SR-17589</v>
      </c>
      <c r="H12382" s="2" t="s">
        <v>31058</v>
      </c>
      <c r="I12382" s="2" t="s">
        <v>23020</v>
      </c>
      <c r="K12382" s="2" t="s">
        <v>20485</v>
      </c>
      <c r="L12382" s="2" t="s">
        <v>2613</v>
      </c>
      <c r="M12382" s="2">
        <v>83646.0</v>
      </c>
      <c r="N12382" s="2" t="s">
        <v>21</v>
      </c>
    </row>
    <row r="12383" ht="15.75" customHeight="1">
      <c r="A12383" s="2">
        <v>2020.0</v>
      </c>
      <c r="B12383" s="2" t="s">
        <v>49384</v>
      </c>
      <c r="C12383" s="2" t="s">
        <v>49385</v>
      </c>
      <c r="D12383" s="2" t="str">
        <f>"765-202-0753"</f>
        <v>765-202-0753</v>
      </c>
      <c r="E12383" s="2" t="s">
        <v>843</v>
      </c>
      <c r="F12383" s="2" t="s">
        <v>14493</v>
      </c>
      <c r="G12383" s="2" t="str">
        <f>"SR-17588"</f>
        <v>SR-17588</v>
      </c>
      <c r="H12383" s="2" t="s">
        <v>49386</v>
      </c>
      <c r="I12383" s="2" t="s">
        <v>49387</v>
      </c>
      <c r="K12383" s="2" t="s">
        <v>49388</v>
      </c>
      <c r="L12383" s="2" t="s">
        <v>149</v>
      </c>
      <c r="M12383" s="2">
        <v>46923.0</v>
      </c>
      <c r="N12383" s="2" t="s">
        <v>21</v>
      </c>
    </row>
    <row r="12384" ht="15.75" customHeight="1">
      <c r="A12384" s="2">
        <v>2020.0</v>
      </c>
      <c r="B12384" s="2" t="s">
        <v>23016</v>
      </c>
      <c r="C12384" s="2" t="s">
        <v>49389</v>
      </c>
      <c r="D12384" s="2" t="str">
        <f>"208-954-4077"</f>
        <v>208-954-4077</v>
      </c>
      <c r="E12384" s="2" t="s">
        <v>1263</v>
      </c>
      <c r="F12384" s="2" t="s">
        <v>23018</v>
      </c>
      <c r="G12384" s="2" t="str">
        <f>"SR-17590"</f>
        <v>SR-17590</v>
      </c>
      <c r="H12384" s="2" t="s">
        <v>49390</v>
      </c>
      <c r="I12384" s="2" t="s">
        <v>23020</v>
      </c>
      <c r="K12384" s="2" t="s">
        <v>20485</v>
      </c>
      <c r="L12384" s="2" t="s">
        <v>2613</v>
      </c>
      <c r="M12384" s="2">
        <v>83646.0</v>
      </c>
      <c r="N12384" s="2" t="s">
        <v>21</v>
      </c>
    </row>
    <row r="12385" ht="15.75" customHeight="1">
      <c r="A12385" s="2">
        <v>2020.0</v>
      </c>
      <c r="B12385" s="2" t="s">
        <v>23016</v>
      </c>
      <c r="C12385" s="2" t="s">
        <v>49391</v>
      </c>
      <c r="D12385" s="2" t="str">
        <f t="shared" ref="D12385:D12386" si="208">"208-871-1133"</f>
        <v>208-871-1133</v>
      </c>
      <c r="E12385" s="2" t="s">
        <v>1548</v>
      </c>
      <c r="F12385" s="2" t="s">
        <v>23018</v>
      </c>
      <c r="G12385" s="2" t="str">
        <f>"SR-17591"</f>
        <v>SR-17591</v>
      </c>
      <c r="H12385" s="2" t="s">
        <v>49392</v>
      </c>
      <c r="I12385" s="2" t="s">
        <v>23020</v>
      </c>
      <c r="K12385" s="2" t="s">
        <v>20485</v>
      </c>
      <c r="L12385" s="2" t="s">
        <v>2613</v>
      </c>
      <c r="M12385" s="2">
        <v>83646.0</v>
      </c>
      <c r="N12385" s="2" t="s">
        <v>21</v>
      </c>
    </row>
    <row r="12386" ht="15.75" customHeight="1">
      <c r="A12386" s="2">
        <v>2020.0</v>
      </c>
      <c r="B12386" s="2" t="s">
        <v>23016</v>
      </c>
      <c r="C12386" s="2" t="s">
        <v>49393</v>
      </c>
      <c r="D12386" s="2" t="str">
        <f t="shared" si="208"/>
        <v>208-871-1133</v>
      </c>
      <c r="E12386" s="2" t="s">
        <v>7046</v>
      </c>
      <c r="F12386" s="2" t="s">
        <v>23018</v>
      </c>
      <c r="G12386" s="2" t="str">
        <f>"SR-17592"</f>
        <v>SR-17592</v>
      </c>
      <c r="H12386" s="2" t="s">
        <v>49394</v>
      </c>
      <c r="I12386" s="2" t="s">
        <v>23020</v>
      </c>
      <c r="K12386" s="2" t="s">
        <v>20485</v>
      </c>
      <c r="L12386" s="2" t="s">
        <v>2613</v>
      </c>
      <c r="M12386" s="2">
        <v>83646.0</v>
      </c>
      <c r="N12386" s="2" t="s">
        <v>21</v>
      </c>
    </row>
    <row r="12387" ht="15.75" customHeight="1">
      <c r="A12387" s="2">
        <v>2020.0</v>
      </c>
      <c r="B12387" s="2" t="s">
        <v>31976</v>
      </c>
      <c r="C12387" s="2" t="s">
        <v>31977</v>
      </c>
      <c r="D12387" s="2" t="str">
        <f>"3067737199"</f>
        <v>3067737199</v>
      </c>
      <c r="E12387" s="2" t="s">
        <v>31978</v>
      </c>
      <c r="F12387" s="2" t="s">
        <v>31979</v>
      </c>
      <c r="G12387" s="2" t="str">
        <f>"SR-10349"</f>
        <v>SR-10349</v>
      </c>
      <c r="H12387" s="2" t="s">
        <v>31980</v>
      </c>
      <c r="I12387" s="2" t="s">
        <v>31981</v>
      </c>
      <c r="K12387" s="2" t="s">
        <v>31982</v>
      </c>
      <c r="L12387" s="2" t="s">
        <v>31983</v>
      </c>
      <c r="M12387" s="2" t="s">
        <v>31984</v>
      </c>
      <c r="N12387" s="2" t="s">
        <v>1602</v>
      </c>
    </row>
    <row r="12388" ht="15.75" customHeight="1">
      <c r="A12388" s="2">
        <v>2020.0</v>
      </c>
      <c r="B12388" s="2" t="s">
        <v>39250</v>
      </c>
      <c r="C12388" s="2" t="s">
        <v>49395</v>
      </c>
      <c r="D12388" s="2" t="str">
        <f>"402-672-8137"</f>
        <v>402-672-8137</v>
      </c>
      <c r="E12388" s="2" t="s">
        <v>12491</v>
      </c>
      <c r="F12388" s="2" t="s">
        <v>39253</v>
      </c>
      <c r="G12388" s="2" t="str">
        <f>"SR-17596"</f>
        <v>SR-17596</v>
      </c>
      <c r="H12388" s="2" t="s">
        <v>49396</v>
      </c>
      <c r="I12388" s="2" t="s">
        <v>39255</v>
      </c>
      <c r="K12388" s="2" t="s">
        <v>30390</v>
      </c>
      <c r="L12388" s="2" t="s">
        <v>757</v>
      </c>
      <c r="M12388" s="2">
        <v>68028.0</v>
      </c>
      <c r="N12388" s="2" t="s">
        <v>21</v>
      </c>
    </row>
    <row r="12389" ht="15.75" customHeight="1">
      <c r="A12389" s="2">
        <v>2020.0</v>
      </c>
      <c r="B12389" s="2" t="s">
        <v>49397</v>
      </c>
      <c r="C12389" s="2" t="s">
        <v>49398</v>
      </c>
      <c r="D12389" s="2" t="str">
        <f>"319-551-6437"</f>
        <v>319-551-6437</v>
      </c>
      <c r="E12389" s="2" t="s">
        <v>33297</v>
      </c>
      <c r="F12389" s="2" t="s">
        <v>49399</v>
      </c>
      <c r="G12389" s="2" t="str">
        <f>"SR-17594"</f>
        <v>SR-17594</v>
      </c>
      <c r="H12389" s="2" t="s">
        <v>49400</v>
      </c>
      <c r="I12389" s="2" t="s">
        <v>49401</v>
      </c>
      <c r="K12389" s="2" t="s">
        <v>3273</v>
      </c>
      <c r="L12389" s="2" t="s">
        <v>560</v>
      </c>
      <c r="M12389" s="2">
        <v>52403.0</v>
      </c>
      <c r="N12389" s="2" t="s">
        <v>21</v>
      </c>
    </row>
    <row r="12390" ht="15.75" customHeight="1">
      <c r="A12390" s="2">
        <v>2020.0</v>
      </c>
      <c r="B12390" s="2" t="s">
        <v>49397</v>
      </c>
      <c r="C12390" s="2" t="s">
        <v>49402</v>
      </c>
      <c r="D12390" s="2" t="str">
        <f>"319-202-1412"</f>
        <v>319-202-1412</v>
      </c>
      <c r="E12390" s="2" t="s">
        <v>1001</v>
      </c>
      <c r="F12390" s="2" t="s">
        <v>49399</v>
      </c>
      <c r="G12390" s="2" t="str">
        <f>"SR-17595"</f>
        <v>SR-17595</v>
      </c>
      <c r="H12390" s="2" t="s">
        <v>49403</v>
      </c>
      <c r="I12390" s="2" t="s">
        <v>49401</v>
      </c>
      <c r="K12390" s="2" t="s">
        <v>3273</v>
      </c>
      <c r="L12390" s="2" t="s">
        <v>560</v>
      </c>
      <c r="M12390" s="2">
        <v>52403.0</v>
      </c>
      <c r="N12390" s="2" t="s">
        <v>21</v>
      </c>
    </row>
    <row r="12391" ht="15.75" customHeight="1">
      <c r="A12391" s="2">
        <v>2020.0</v>
      </c>
      <c r="B12391" s="2" t="s">
        <v>49404</v>
      </c>
      <c r="C12391" s="2" t="s">
        <v>49405</v>
      </c>
      <c r="D12391" s="2" t="str">
        <f>"307-672-0123"</f>
        <v>307-672-0123</v>
      </c>
      <c r="E12391" s="2" t="s">
        <v>862</v>
      </c>
      <c r="F12391" s="2" t="s">
        <v>49406</v>
      </c>
      <c r="G12391" s="2" t="str">
        <f>"SR-17577"</f>
        <v>SR-17577</v>
      </c>
      <c r="H12391" s="2" t="s">
        <v>49407</v>
      </c>
      <c r="I12391" s="2" t="s">
        <v>49408</v>
      </c>
      <c r="K12391" s="2" t="s">
        <v>2695</v>
      </c>
      <c r="L12391" s="2" t="s">
        <v>1540</v>
      </c>
      <c r="M12391" s="2">
        <v>82801.0</v>
      </c>
      <c r="N12391" s="2" t="s">
        <v>21</v>
      </c>
    </row>
    <row r="12392" ht="15.75" customHeight="1">
      <c r="A12392" s="2">
        <v>2020.0</v>
      </c>
      <c r="B12392" s="2" t="s">
        <v>16757</v>
      </c>
      <c r="D12392" s="2" t="str">
        <f>""</f>
        <v/>
      </c>
      <c r="E12392" s="2" t="s">
        <v>1022</v>
      </c>
      <c r="F12392" s="2" t="s">
        <v>6494</v>
      </c>
      <c r="G12392" s="2" t="str">
        <f>"SR-17600"</f>
        <v>SR-17600</v>
      </c>
      <c r="H12392" s="2" t="s">
        <v>49409</v>
      </c>
    </row>
    <row r="12393" ht="15.75" customHeight="1">
      <c r="A12393" s="2">
        <v>2020.0</v>
      </c>
      <c r="B12393" s="2" t="s">
        <v>49410</v>
      </c>
      <c r="C12393" s="2" t="s">
        <v>49411</v>
      </c>
      <c r="D12393" s="2" t="str">
        <f>"719-761-6809"</f>
        <v>719-761-6809</v>
      </c>
      <c r="E12393" s="2" t="s">
        <v>49412</v>
      </c>
      <c r="F12393" s="2" t="s">
        <v>49413</v>
      </c>
      <c r="G12393" s="2" t="str">
        <f>"SR-17436"</f>
        <v>SR-17436</v>
      </c>
      <c r="H12393" s="2" t="s">
        <v>49414</v>
      </c>
      <c r="I12393" s="2" t="s">
        <v>49415</v>
      </c>
      <c r="K12393" s="2" t="s">
        <v>975</v>
      </c>
      <c r="L12393" s="2" t="s">
        <v>157</v>
      </c>
      <c r="M12393" s="2">
        <v>80831.0</v>
      </c>
      <c r="N12393" s="2" t="s">
        <v>21</v>
      </c>
    </row>
    <row r="12394" ht="15.75" customHeight="1">
      <c r="A12394" s="2">
        <v>2020.0</v>
      </c>
      <c r="B12394" s="2" t="s">
        <v>49410</v>
      </c>
      <c r="C12394" s="2" t="s">
        <v>49416</v>
      </c>
      <c r="D12394" s="2" t="str">
        <f>"719-351-6244"</f>
        <v>719-351-6244</v>
      </c>
      <c r="E12394" s="2" t="s">
        <v>49417</v>
      </c>
      <c r="F12394" s="2" t="s">
        <v>49413</v>
      </c>
      <c r="G12394" s="2" t="str">
        <f>"SR-17602"</f>
        <v>SR-17602</v>
      </c>
      <c r="H12394" s="2" t="s">
        <v>49418</v>
      </c>
      <c r="I12394" s="2" t="s">
        <v>49415</v>
      </c>
      <c r="K12394" s="2" t="s">
        <v>975</v>
      </c>
      <c r="L12394" s="2" t="s">
        <v>157</v>
      </c>
      <c r="M12394" s="2">
        <v>80831.0</v>
      </c>
      <c r="N12394" s="2" t="s">
        <v>21</v>
      </c>
    </row>
    <row r="12395" ht="15.75" customHeight="1">
      <c r="A12395" s="2">
        <v>2020.0</v>
      </c>
      <c r="B12395" s="2" t="s">
        <v>49419</v>
      </c>
      <c r="C12395" s="2" t="s">
        <v>49420</v>
      </c>
      <c r="D12395" s="2" t="str">
        <f>"6154000899"</f>
        <v>6154000899</v>
      </c>
      <c r="E12395" s="2" t="s">
        <v>3878</v>
      </c>
      <c r="F12395" s="2" t="s">
        <v>14189</v>
      </c>
      <c r="G12395" s="2" t="str">
        <f>"SR-17604"</f>
        <v>SR-17604</v>
      </c>
      <c r="H12395" s="2" t="s">
        <v>49421</v>
      </c>
      <c r="I12395" s="2" t="s">
        <v>49422</v>
      </c>
      <c r="K12395" s="2" t="s">
        <v>731</v>
      </c>
      <c r="L12395" s="2" t="s">
        <v>279</v>
      </c>
      <c r="M12395" s="2">
        <v>37205.0</v>
      </c>
      <c r="N12395" s="2" t="s">
        <v>21</v>
      </c>
    </row>
    <row r="12396" ht="15.75" customHeight="1">
      <c r="A12396" s="2">
        <v>2020.0</v>
      </c>
      <c r="B12396" s="2" t="s">
        <v>49419</v>
      </c>
      <c r="C12396" s="2" t="s">
        <v>49420</v>
      </c>
      <c r="D12396" s="2" t="str">
        <f>"6152100377"</f>
        <v>6152100377</v>
      </c>
      <c r="E12396" s="2" t="s">
        <v>684</v>
      </c>
      <c r="F12396" s="2" t="s">
        <v>1101</v>
      </c>
      <c r="G12396" s="2" t="str">
        <f>"SR-17606"</f>
        <v>SR-17606</v>
      </c>
      <c r="H12396" s="2" t="s">
        <v>49423</v>
      </c>
      <c r="I12396" s="2" t="s">
        <v>49424</v>
      </c>
      <c r="K12396" s="2" t="s">
        <v>278</v>
      </c>
      <c r="L12396" s="2" t="s">
        <v>279</v>
      </c>
      <c r="M12396" s="2">
        <v>37064.0</v>
      </c>
      <c r="N12396" s="2" t="s">
        <v>21</v>
      </c>
    </row>
    <row r="12397" ht="15.75" customHeight="1">
      <c r="A12397" s="2">
        <v>2020.0</v>
      </c>
      <c r="B12397" s="2" t="s">
        <v>49425</v>
      </c>
      <c r="C12397" s="2" t="s">
        <v>49426</v>
      </c>
      <c r="D12397" s="2" t="str">
        <f>"9703193604"</f>
        <v>9703193604</v>
      </c>
      <c r="E12397" s="2" t="s">
        <v>385</v>
      </c>
      <c r="F12397" s="2" t="s">
        <v>49427</v>
      </c>
      <c r="G12397" s="2" t="str">
        <f>"SR-17583"</f>
        <v>SR-17583</v>
      </c>
      <c r="H12397" s="2" t="s">
        <v>49428</v>
      </c>
      <c r="I12397" s="2" t="s">
        <v>49429</v>
      </c>
      <c r="K12397" s="2" t="s">
        <v>8277</v>
      </c>
      <c r="L12397" s="2" t="s">
        <v>157</v>
      </c>
      <c r="M12397" s="2">
        <v>81611.0</v>
      </c>
      <c r="N12397" s="2" t="s">
        <v>21</v>
      </c>
    </row>
    <row r="12398" ht="15.75" customHeight="1">
      <c r="A12398" s="2">
        <v>2020.0</v>
      </c>
      <c r="B12398" s="2" t="s">
        <v>49430</v>
      </c>
      <c r="C12398" s="2" t="s">
        <v>49430</v>
      </c>
      <c r="D12398" s="2" t="str">
        <f>"5075131431"</f>
        <v>5075131431</v>
      </c>
      <c r="E12398" s="2" t="s">
        <v>37643</v>
      </c>
      <c r="F12398" s="2" t="s">
        <v>21366</v>
      </c>
      <c r="G12398" s="2" t="str">
        <f>"SR-17479"</f>
        <v>SR-17479</v>
      </c>
      <c r="H12398" s="2" t="s">
        <v>46126</v>
      </c>
      <c r="I12398" s="2" t="s">
        <v>49431</v>
      </c>
      <c r="K12398" s="2" t="s">
        <v>43739</v>
      </c>
      <c r="L12398" s="2" t="s">
        <v>62</v>
      </c>
      <c r="M12398" s="2">
        <v>55125.0</v>
      </c>
      <c r="N12398" s="2" t="s">
        <v>21</v>
      </c>
    </row>
    <row r="12399" ht="15.75" customHeight="1">
      <c r="A12399" s="2">
        <v>2020.0</v>
      </c>
      <c r="B12399" s="2" t="s">
        <v>49432</v>
      </c>
      <c r="C12399" s="2" t="s">
        <v>49433</v>
      </c>
      <c r="D12399" s="2" t="str">
        <f>"3252269275"</f>
        <v>3252269275</v>
      </c>
      <c r="E12399" s="2" t="s">
        <v>288</v>
      </c>
      <c r="F12399" s="2" t="s">
        <v>2429</v>
      </c>
      <c r="G12399" s="2" t="str">
        <f>"SR-17607"</f>
        <v>SR-17607</v>
      </c>
      <c r="H12399" s="2" t="s">
        <v>49434</v>
      </c>
      <c r="I12399" s="2" t="s">
        <v>49435</v>
      </c>
      <c r="K12399" s="2" t="s">
        <v>22724</v>
      </c>
      <c r="L12399" s="2" t="s">
        <v>172</v>
      </c>
      <c r="M12399" s="2">
        <v>76950.0</v>
      </c>
      <c r="N12399" s="2" t="s">
        <v>21</v>
      </c>
    </row>
    <row r="12400" ht="15.75" customHeight="1">
      <c r="A12400" s="2">
        <v>2020.0</v>
      </c>
      <c r="B12400" s="2" t="s">
        <v>49432</v>
      </c>
      <c r="C12400" s="2" t="s">
        <v>49436</v>
      </c>
      <c r="D12400" s="2" t="str">
        <f>"3252264624"</f>
        <v>3252264624</v>
      </c>
      <c r="E12400" s="2" t="s">
        <v>8605</v>
      </c>
      <c r="F12400" s="2" t="s">
        <v>2429</v>
      </c>
      <c r="G12400" s="2" t="str">
        <f>"SR-17608"</f>
        <v>SR-17608</v>
      </c>
      <c r="H12400" s="2" t="s">
        <v>49437</v>
      </c>
      <c r="I12400" s="2" t="s">
        <v>49435</v>
      </c>
      <c r="K12400" s="2" t="s">
        <v>22724</v>
      </c>
      <c r="L12400" s="2" t="s">
        <v>172</v>
      </c>
      <c r="M12400" s="2">
        <v>76950.0</v>
      </c>
      <c r="N12400" s="2" t="s">
        <v>21</v>
      </c>
    </row>
    <row r="12401" ht="15.75" customHeight="1">
      <c r="A12401" s="2">
        <v>2020.0</v>
      </c>
      <c r="B12401" s="2" t="s">
        <v>49438</v>
      </c>
      <c r="C12401" s="2" t="s">
        <v>49439</v>
      </c>
      <c r="D12401" s="2" t="str">
        <f>"8323607002"</f>
        <v>8323607002</v>
      </c>
      <c r="E12401" s="2" t="s">
        <v>1197</v>
      </c>
      <c r="F12401" s="2" t="s">
        <v>1151</v>
      </c>
      <c r="G12401" s="2" t="str">
        <f>"SR-17609"</f>
        <v>SR-17609</v>
      </c>
      <c r="H12401" s="2" t="s">
        <v>25165</v>
      </c>
      <c r="I12401" s="2" t="s">
        <v>49440</v>
      </c>
      <c r="K12401" s="2" t="s">
        <v>4216</v>
      </c>
      <c r="L12401" s="2" t="s">
        <v>172</v>
      </c>
      <c r="M12401" s="2">
        <v>77406.0</v>
      </c>
      <c r="N12401" s="2" t="s">
        <v>21</v>
      </c>
    </row>
    <row r="12402" ht="15.75" customHeight="1">
      <c r="A12402" s="2">
        <v>2020.0</v>
      </c>
      <c r="B12402" s="2" t="s">
        <v>41960</v>
      </c>
      <c r="C12402" s="2" t="s">
        <v>49441</v>
      </c>
      <c r="D12402" s="2" t="str">
        <f>"7196513055"</f>
        <v>7196513055</v>
      </c>
      <c r="E12402" s="2" t="s">
        <v>23409</v>
      </c>
      <c r="F12402" s="2" t="s">
        <v>41962</v>
      </c>
      <c r="G12402" s="2" t="str">
        <f>"SR-17610"</f>
        <v>SR-17610</v>
      </c>
      <c r="H12402" s="2" t="s">
        <v>49442</v>
      </c>
      <c r="I12402" s="2" t="s">
        <v>41964</v>
      </c>
      <c r="K12402" s="2" t="s">
        <v>809</v>
      </c>
      <c r="L12402" s="2" t="s">
        <v>157</v>
      </c>
      <c r="M12402" s="2">
        <v>80909.0</v>
      </c>
      <c r="N12402" s="2" t="s">
        <v>21</v>
      </c>
    </row>
    <row r="12403" ht="15.75" customHeight="1">
      <c r="A12403" s="2">
        <v>2020.0</v>
      </c>
      <c r="B12403" s="2" t="s">
        <v>49443</v>
      </c>
      <c r="D12403" s="2" t="str">
        <f>""</f>
        <v/>
      </c>
      <c r="E12403" s="2" t="s">
        <v>1239</v>
      </c>
      <c r="F12403" s="2" t="s">
        <v>49444</v>
      </c>
      <c r="G12403" s="2" t="str">
        <f>"SR-17620"</f>
        <v>SR-17620</v>
      </c>
      <c r="H12403" s="2" t="s">
        <v>49445</v>
      </c>
      <c r="N12403" s="2" t="s">
        <v>21</v>
      </c>
    </row>
    <row r="12404" ht="15.75" customHeight="1">
      <c r="A12404" s="2">
        <v>2020.0</v>
      </c>
      <c r="B12404" s="2" t="s">
        <v>39650</v>
      </c>
      <c r="C12404" s="2" t="s">
        <v>49446</v>
      </c>
      <c r="D12404" s="2" t="str">
        <f>"2695612039"</f>
        <v>2695612039</v>
      </c>
      <c r="E12404" s="2" t="s">
        <v>596</v>
      </c>
      <c r="F12404" s="2" t="s">
        <v>30801</v>
      </c>
      <c r="G12404" s="2" t="str">
        <f>"SR-17627"</f>
        <v>SR-17627</v>
      </c>
      <c r="H12404" s="2" t="s">
        <v>49447</v>
      </c>
      <c r="I12404" s="2" t="s">
        <v>49448</v>
      </c>
      <c r="K12404" s="2" t="s">
        <v>30804</v>
      </c>
      <c r="L12404" s="2" t="s">
        <v>29</v>
      </c>
      <c r="M12404" s="2">
        <v>49408.0</v>
      </c>
      <c r="N12404" s="2" t="s">
        <v>21</v>
      </c>
    </row>
    <row r="12405" ht="15.75" customHeight="1">
      <c r="A12405" s="2">
        <v>2020.0</v>
      </c>
      <c r="B12405" s="2" t="s">
        <v>49449</v>
      </c>
      <c r="C12405" s="2" t="s">
        <v>49450</v>
      </c>
      <c r="D12405" s="2" t="str">
        <f>"6164029049"</f>
        <v>6164029049</v>
      </c>
      <c r="E12405" s="2" t="s">
        <v>217</v>
      </c>
      <c r="F12405" s="2" t="s">
        <v>49451</v>
      </c>
      <c r="G12405" s="2" t="str">
        <f>"SR-17628"</f>
        <v>SR-17628</v>
      </c>
      <c r="H12405" s="2" t="s">
        <v>49452</v>
      </c>
      <c r="I12405" s="2" t="s">
        <v>49453</v>
      </c>
      <c r="K12405" s="2" t="s">
        <v>49454</v>
      </c>
      <c r="L12405" s="2" t="s">
        <v>29</v>
      </c>
      <c r="M12405" s="2">
        <v>49417.0</v>
      </c>
      <c r="N12405" s="2" t="s">
        <v>21</v>
      </c>
    </row>
    <row r="12406" ht="15.75" customHeight="1">
      <c r="A12406" s="2">
        <v>2020.0</v>
      </c>
      <c r="B12406" s="2" t="s">
        <v>49455</v>
      </c>
      <c r="C12406" s="2" t="s">
        <v>49456</v>
      </c>
      <c r="D12406" s="2" t="str">
        <f>"2566587101"</f>
        <v>2566587101</v>
      </c>
      <c r="E12406" s="2" t="s">
        <v>2760</v>
      </c>
      <c r="F12406" s="2" t="s">
        <v>49457</v>
      </c>
      <c r="G12406" s="2" t="str">
        <f>"SR-17630"</f>
        <v>SR-17630</v>
      </c>
      <c r="H12406" s="2" t="s">
        <v>49458</v>
      </c>
      <c r="I12406" s="2" t="s">
        <v>49459</v>
      </c>
      <c r="K12406" s="2" t="s">
        <v>49460</v>
      </c>
      <c r="L12406" s="2" t="s">
        <v>539</v>
      </c>
      <c r="M12406" s="2">
        <v>35749.0</v>
      </c>
      <c r="N12406" s="2" t="s">
        <v>21</v>
      </c>
    </row>
    <row r="12407" ht="15.75" customHeight="1">
      <c r="A12407" s="2">
        <v>2020.0</v>
      </c>
      <c r="B12407" s="2" t="s">
        <v>49461</v>
      </c>
      <c r="C12407" s="2" t="s">
        <v>49462</v>
      </c>
      <c r="D12407" s="2" t="str">
        <f>"4235988919"</f>
        <v>4235988919</v>
      </c>
      <c r="E12407" s="2" t="s">
        <v>596</v>
      </c>
      <c r="F12407" s="2" t="s">
        <v>5668</v>
      </c>
      <c r="G12407" s="2" t="str">
        <f>"SR-17578"</f>
        <v>SR-17578</v>
      </c>
      <c r="H12407" s="2" t="s">
        <v>49463</v>
      </c>
      <c r="I12407" s="2" t="s">
        <v>49464</v>
      </c>
      <c r="K12407" s="2" t="s">
        <v>5671</v>
      </c>
      <c r="L12407" s="2" t="s">
        <v>279</v>
      </c>
      <c r="M12407" s="2">
        <v>37377.0</v>
      </c>
      <c r="N12407" s="2" t="s">
        <v>21</v>
      </c>
    </row>
    <row r="12408" ht="15.75" customHeight="1">
      <c r="A12408" s="2">
        <v>2020.0</v>
      </c>
      <c r="B12408" s="2" t="s">
        <v>49465</v>
      </c>
      <c r="C12408" s="2" t="s">
        <v>49466</v>
      </c>
      <c r="D12408" s="2" t="str">
        <f>"(540) 739-4807"</f>
        <v>(540) 739-4807</v>
      </c>
      <c r="E12408" s="2" t="s">
        <v>1529</v>
      </c>
      <c r="F12408" s="2" t="s">
        <v>94</v>
      </c>
      <c r="G12408" s="2" t="str">
        <f>"SR-17632"</f>
        <v>SR-17632</v>
      </c>
      <c r="H12408" s="2" t="s">
        <v>49467</v>
      </c>
      <c r="I12408" s="2" t="s">
        <v>49468</v>
      </c>
      <c r="K12408" s="2" t="s">
        <v>9877</v>
      </c>
      <c r="L12408" s="2" t="s">
        <v>165</v>
      </c>
      <c r="M12408" s="2">
        <v>24060.0</v>
      </c>
      <c r="N12408" s="2" t="s">
        <v>21</v>
      </c>
    </row>
    <row r="12409" ht="15.75" customHeight="1">
      <c r="A12409" s="2">
        <v>2020.0</v>
      </c>
      <c r="B12409" s="2" t="s">
        <v>49469</v>
      </c>
      <c r="D12409" s="2" t="str">
        <f>""</f>
        <v/>
      </c>
      <c r="E12409" s="2" t="s">
        <v>2965</v>
      </c>
      <c r="F12409" s="2" t="s">
        <v>3028</v>
      </c>
      <c r="G12409" s="2" t="str">
        <f>"SR-17612"</f>
        <v>SR-17612</v>
      </c>
      <c r="H12409" s="2" t="s">
        <v>49470</v>
      </c>
      <c r="N12409" s="2" t="s">
        <v>21</v>
      </c>
    </row>
    <row r="12410" ht="15.75" customHeight="1">
      <c r="A12410" s="2">
        <v>2020.0</v>
      </c>
      <c r="B12410" s="2" t="s">
        <v>9933</v>
      </c>
      <c r="C12410" s="2" t="s">
        <v>49471</v>
      </c>
      <c r="D12410" s="2" t="str">
        <f>"402-378-1215"</f>
        <v>402-378-1215</v>
      </c>
      <c r="E12410" s="2" t="s">
        <v>843</v>
      </c>
      <c r="F12410" s="2" t="s">
        <v>9934</v>
      </c>
      <c r="G12410" s="2" t="str">
        <f>"SR-17638"</f>
        <v>SR-17638</v>
      </c>
      <c r="H12410" s="2" t="s">
        <v>49472</v>
      </c>
      <c r="I12410" s="2" t="s">
        <v>9936</v>
      </c>
      <c r="K12410" s="2" t="s">
        <v>1470</v>
      </c>
      <c r="L12410" s="2" t="s">
        <v>757</v>
      </c>
      <c r="M12410" s="2">
        <v>68134.0</v>
      </c>
      <c r="N12410" s="2" t="s">
        <v>21</v>
      </c>
    </row>
    <row r="12411" ht="15.75" customHeight="1">
      <c r="A12411" s="2">
        <v>2020.0</v>
      </c>
      <c r="B12411" s="2" t="s">
        <v>49473</v>
      </c>
      <c r="C12411" s="2" t="s">
        <v>49474</v>
      </c>
      <c r="D12411" s="2" t="str">
        <f>"6052226962"</f>
        <v>6052226962</v>
      </c>
      <c r="E12411" s="2" t="s">
        <v>13585</v>
      </c>
      <c r="F12411" s="2" t="s">
        <v>18122</v>
      </c>
      <c r="G12411" s="2" t="str">
        <f>"SR-17480"</f>
        <v>SR-17480</v>
      </c>
      <c r="H12411" s="2" t="s">
        <v>49475</v>
      </c>
      <c r="I12411" s="2" t="s">
        <v>49476</v>
      </c>
      <c r="K12411" s="2" t="s">
        <v>4355</v>
      </c>
      <c r="L12411" s="2" t="s">
        <v>920</v>
      </c>
      <c r="M12411" s="2">
        <v>57501.0</v>
      </c>
      <c r="N12411" s="2" t="s">
        <v>21</v>
      </c>
    </row>
    <row r="12412" ht="15.75" customHeight="1">
      <c r="A12412" s="2">
        <v>2020.0</v>
      </c>
      <c r="B12412" s="2" t="s">
        <v>49477</v>
      </c>
      <c r="C12412" s="2" t="s">
        <v>49478</v>
      </c>
      <c r="D12412" s="2" t="str">
        <f>"7656350175"</f>
        <v>7656350175</v>
      </c>
      <c r="E12412" s="2" t="s">
        <v>862</v>
      </c>
      <c r="F12412" s="2" t="s">
        <v>49479</v>
      </c>
      <c r="G12412" s="2" t="str">
        <f>"SR-17427"</f>
        <v>SR-17427</v>
      </c>
      <c r="H12412" s="2" t="s">
        <v>49480</v>
      </c>
      <c r="I12412" s="2" t="s">
        <v>49481</v>
      </c>
      <c r="K12412" s="2" t="s">
        <v>16434</v>
      </c>
      <c r="L12412" s="2" t="s">
        <v>149</v>
      </c>
      <c r="M12412" s="2">
        <v>47304.0</v>
      </c>
      <c r="N12412" s="2" t="s">
        <v>21</v>
      </c>
    </row>
    <row r="12413" ht="15.75" customHeight="1">
      <c r="A12413" s="2">
        <v>2020.0</v>
      </c>
      <c r="B12413" s="2" t="s">
        <v>49482</v>
      </c>
      <c r="C12413" s="2" t="s">
        <v>49483</v>
      </c>
      <c r="D12413" s="2" t="str">
        <f>"9702328773"</f>
        <v>9702328773</v>
      </c>
      <c r="E12413" s="2" t="s">
        <v>40147</v>
      </c>
      <c r="F12413" s="2" t="s">
        <v>23949</v>
      </c>
      <c r="G12413" s="2" t="str">
        <f>"SR-17555"</f>
        <v>SR-17555</v>
      </c>
      <c r="H12413" s="2" t="s">
        <v>49484</v>
      </c>
      <c r="I12413" s="2" t="s">
        <v>49485</v>
      </c>
      <c r="K12413" s="2" t="s">
        <v>656</v>
      </c>
      <c r="L12413" s="2" t="s">
        <v>157</v>
      </c>
      <c r="M12413" s="2">
        <v>80524.0</v>
      </c>
      <c r="N12413" s="2" t="s">
        <v>21</v>
      </c>
    </row>
    <row r="12414" ht="15.75" customHeight="1">
      <c r="A12414" s="2">
        <v>2020.0</v>
      </c>
      <c r="B12414" s="2" t="s">
        <v>49482</v>
      </c>
      <c r="C12414" s="2" t="s">
        <v>49486</v>
      </c>
      <c r="D12414" s="2" t="str">
        <f>"9703728257"</f>
        <v>9703728257</v>
      </c>
      <c r="E12414" s="2" t="s">
        <v>49487</v>
      </c>
      <c r="F12414" s="2" t="s">
        <v>23949</v>
      </c>
      <c r="G12414" s="2" t="str">
        <f>"SR-17642"</f>
        <v>SR-17642</v>
      </c>
      <c r="H12414" s="2" t="s">
        <v>49488</v>
      </c>
      <c r="I12414" s="2" t="s">
        <v>49485</v>
      </c>
      <c r="K12414" s="2" t="s">
        <v>656</v>
      </c>
      <c r="L12414" s="2" t="s">
        <v>157</v>
      </c>
      <c r="M12414" s="2">
        <v>80524.0</v>
      </c>
      <c r="N12414" s="2" t="s">
        <v>21</v>
      </c>
    </row>
    <row r="12415" ht="15.75" customHeight="1">
      <c r="A12415" s="2">
        <v>2020.0</v>
      </c>
      <c r="B12415" s="2" t="s">
        <v>49489</v>
      </c>
      <c r="C12415" s="2" t="s">
        <v>49489</v>
      </c>
      <c r="D12415" s="2" t="str">
        <f>"765-615-1863"</f>
        <v>765-615-1863</v>
      </c>
      <c r="E12415" s="2" t="s">
        <v>3977</v>
      </c>
      <c r="F12415" s="2" t="s">
        <v>522</v>
      </c>
      <c r="G12415" s="2" t="str">
        <f>"SR-17644"</f>
        <v>SR-17644</v>
      </c>
      <c r="H12415" s="2" t="s">
        <v>49490</v>
      </c>
      <c r="I12415" s="2" t="s">
        <v>43490</v>
      </c>
      <c r="K12415" s="2" t="s">
        <v>984</v>
      </c>
      <c r="L12415" s="2" t="s">
        <v>149</v>
      </c>
      <c r="M12415" s="2">
        <v>46011.0</v>
      </c>
      <c r="N12415" s="2" t="s">
        <v>21</v>
      </c>
    </row>
    <row r="12416" ht="15.75" customHeight="1">
      <c r="A12416" s="2">
        <v>2020.0</v>
      </c>
      <c r="B12416" s="2" t="s">
        <v>49491</v>
      </c>
      <c r="D12416" s="2" t="str">
        <f>""</f>
        <v/>
      </c>
      <c r="E12416" s="2" t="s">
        <v>471</v>
      </c>
      <c r="F12416" s="2" t="s">
        <v>49492</v>
      </c>
      <c r="G12416" s="2" t="str">
        <f>"SR-17645"</f>
        <v>SR-17645</v>
      </c>
      <c r="H12416" s="2" t="s">
        <v>49493</v>
      </c>
    </row>
    <row r="12417" ht="15.75" customHeight="1">
      <c r="A12417" s="2">
        <v>2020.0</v>
      </c>
      <c r="B12417" s="2" t="s">
        <v>49494</v>
      </c>
      <c r="C12417" s="2" t="s">
        <v>49495</v>
      </c>
      <c r="D12417" s="2" t="str">
        <f>"828-231-9970"</f>
        <v>828-231-9970</v>
      </c>
      <c r="E12417" s="2" t="s">
        <v>678</v>
      </c>
      <c r="F12417" s="2" t="s">
        <v>49496</v>
      </c>
      <c r="G12417" s="2" t="str">
        <f>"SR-17646"</f>
        <v>SR-17646</v>
      </c>
      <c r="H12417" s="2" t="s">
        <v>49497</v>
      </c>
      <c r="I12417" s="2" t="s">
        <v>49498</v>
      </c>
      <c r="J12417" s="2" t="s">
        <v>49499</v>
      </c>
      <c r="K12417" s="2" t="s">
        <v>49500</v>
      </c>
      <c r="L12417" s="2" t="s">
        <v>20</v>
      </c>
      <c r="M12417" s="2">
        <v>28619.0</v>
      </c>
      <c r="N12417" s="2" t="s">
        <v>21</v>
      </c>
    </row>
    <row r="12418" ht="15.75" customHeight="1">
      <c r="A12418" s="2">
        <v>2020.0</v>
      </c>
      <c r="B12418" s="2" t="s">
        <v>49501</v>
      </c>
      <c r="C12418" s="2" t="s">
        <v>49502</v>
      </c>
      <c r="D12418" s="2" t="str">
        <f>"7246012554"</f>
        <v>7246012554</v>
      </c>
      <c r="E12418" s="2" t="s">
        <v>5872</v>
      </c>
      <c r="F12418" s="2" t="s">
        <v>645</v>
      </c>
      <c r="G12418" s="2" t="str">
        <f>"SR-17469"</f>
        <v>SR-17469</v>
      </c>
      <c r="H12418" s="2" t="s">
        <v>49503</v>
      </c>
      <c r="I12418" s="2" t="s">
        <v>49504</v>
      </c>
      <c r="K12418" s="2" t="s">
        <v>8733</v>
      </c>
      <c r="L12418" s="2" t="s">
        <v>179</v>
      </c>
      <c r="M12418" s="2">
        <v>15235.0</v>
      </c>
      <c r="N12418" s="2" t="s">
        <v>21</v>
      </c>
    </row>
    <row r="12419" ht="15.75" customHeight="1">
      <c r="A12419" s="2">
        <v>2020.0</v>
      </c>
      <c r="B12419" s="2" t="s">
        <v>49121</v>
      </c>
      <c r="C12419" s="2" t="s">
        <v>49122</v>
      </c>
      <c r="D12419" s="2" t="str">
        <f>"5414508368"</f>
        <v>5414508368</v>
      </c>
      <c r="E12419" s="2" t="s">
        <v>72</v>
      </c>
      <c r="F12419" s="2" t="s">
        <v>2424</v>
      </c>
      <c r="G12419" s="2" t="str">
        <f>"SR-17413"</f>
        <v>SR-17413</v>
      </c>
      <c r="H12419" s="2" t="s">
        <v>49123</v>
      </c>
      <c r="I12419" s="2" t="s">
        <v>49124</v>
      </c>
      <c r="K12419" s="2" t="s">
        <v>49125</v>
      </c>
      <c r="L12419" s="2" t="s">
        <v>2389</v>
      </c>
      <c r="M12419" s="2">
        <v>97537.0</v>
      </c>
      <c r="N12419" s="2" t="s">
        <v>21</v>
      </c>
    </row>
    <row r="12420" ht="15.75" customHeight="1">
      <c r="A12420" s="2">
        <v>2020.0</v>
      </c>
      <c r="B12420" s="2" t="s">
        <v>49505</v>
      </c>
      <c r="C12420" s="2" t="s">
        <v>49505</v>
      </c>
      <c r="D12420" s="2" t="str">
        <f>"765-744-6622"</f>
        <v>765-744-6622</v>
      </c>
      <c r="E12420" s="2" t="s">
        <v>580</v>
      </c>
      <c r="F12420" s="2" t="s">
        <v>16431</v>
      </c>
      <c r="G12420" s="2" t="str">
        <f>"SR-17648"</f>
        <v>SR-17648</v>
      </c>
      <c r="H12420" s="2" t="s">
        <v>49506</v>
      </c>
      <c r="I12420" s="2" t="s">
        <v>16433</v>
      </c>
      <c r="K12420" s="2" t="s">
        <v>16434</v>
      </c>
      <c r="L12420" s="2" t="s">
        <v>149</v>
      </c>
      <c r="M12420" s="2">
        <v>47304.0</v>
      </c>
      <c r="N12420" s="2" t="s">
        <v>21</v>
      </c>
    </row>
    <row r="12421" ht="15.75" customHeight="1">
      <c r="A12421" s="2">
        <v>2020.0</v>
      </c>
      <c r="B12421" s="2" t="s">
        <v>49507</v>
      </c>
      <c r="C12421" s="2" t="s">
        <v>49508</v>
      </c>
      <c r="D12421" s="2" t="str">
        <f>"724 992 1138"</f>
        <v>724 992 1138</v>
      </c>
      <c r="E12421" s="2" t="s">
        <v>39039</v>
      </c>
      <c r="F12421" s="2" t="s">
        <v>49509</v>
      </c>
      <c r="G12421" s="2" t="str">
        <f>"SR-17649"</f>
        <v>SR-17649</v>
      </c>
      <c r="H12421" s="2" t="s">
        <v>49510</v>
      </c>
      <c r="I12421" s="2" t="s">
        <v>49511</v>
      </c>
      <c r="K12421" s="2" t="s">
        <v>49512</v>
      </c>
      <c r="L12421" s="2" t="s">
        <v>179</v>
      </c>
      <c r="M12421" s="2">
        <v>16142.0</v>
      </c>
      <c r="N12421" s="2" t="s">
        <v>21</v>
      </c>
    </row>
    <row r="12422" ht="15.75" customHeight="1">
      <c r="A12422" s="2">
        <v>2020.0</v>
      </c>
      <c r="B12422" s="2" t="s">
        <v>49513</v>
      </c>
      <c r="C12422" s="2" t="s">
        <v>49513</v>
      </c>
      <c r="D12422" s="2" t="str">
        <f>"7205309856"</f>
        <v>7205309856</v>
      </c>
      <c r="E12422" s="2" t="s">
        <v>843</v>
      </c>
      <c r="F12422" s="2" t="s">
        <v>8844</v>
      </c>
      <c r="G12422" s="2" t="str">
        <f>"SR-17653"</f>
        <v>SR-17653</v>
      </c>
      <c r="H12422" s="2" t="s">
        <v>49514</v>
      </c>
      <c r="I12422" s="2" t="s">
        <v>49515</v>
      </c>
      <c r="K12422" s="2" t="s">
        <v>18005</v>
      </c>
      <c r="L12422" s="2" t="s">
        <v>157</v>
      </c>
      <c r="M12422" s="2">
        <v>80108.0</v>
      </c>
      <c r="N12422" s="2" t="s">
        <v>21</v>
      </c>
    </row>
    <row r="12423" ht="15.75" customHeight="1">
      <c r="A12423" s="2">
        <v>2020.0</v>
      </c>
      <c r="B12423" s="2" t="s">
        <v>49516</v>
      </c>
      <c r="C12423" s="2" t="s">
        <v>49517</v>
      </c>
      <c r="D12423" s="2" t="str">
        <f>"4064612885"</f>
        <v>4064612885</v>
      </c>
      <c r="E12423" s="2" t="s">
        <v>24</v>
      </c>
      <c r="F12423" s="2" t="s">
        <v>49242</v>
      </c>
      <c r="G12423" s="2" t="str">
        <f>"SR-17717"</f>
        <v>SR-17717</v>
      </c>
      <c r="H12423" s="2" t="s">
        <v>49518</v>
      </c>
      <c r="I12423" s="2" t="s">
        <v>49519</v>
      </c>
      <c r="K12423" s="2" t="s">
        <v>49245</v>
      </c>
      <c r="L12423" s="2" t="s">
        <v>2696</v>
      </c>
      <c r="M12423" s="2">
        <v>59635.0</v>
      </c>
      <c r="N12423" s="2" t="s">
        <v>21</v>
      </c>
    </row>
    <row r="12424" ht="15.75" customHeight="1">
      <c r="A12424" s="2">
        <v>2020.0</v>
      </c>
      <c r="B12424" s="2" t="s">
        <v>49520</v>
      </c>
      <c r="C12424" s="2" t="s">
        <v>49521</v>
      </c>
      <c r="D12424" s="2" t="str">
        <f>"2816771279"</f>
        <v>2816771279</v>
      </c>
      <c r="E12424" s="2" t="s">
        <v>9220</v>
      </c>
      <c r="F12424" s="2" t="s">
        <v>49522</v>
      </c>
      <c r="G12424" s="2" t="str">
        <f>"SR-17639"</f>
        <v>SR-17639</v>
      </c>
      <c r="H12424" s="2" t="s">
        <v>49523</v>
      </c>
      <c r="I12424" s="2" t="s">
        <v>49524</v>
      </c>
      <c r="K12424" s="2" t="s">
        <v>444</v>
      </c>
      <c r="L12424" s="2" t="s">
        <v>172</v>
      </c>
      <c r="M12424" s="2">
        <v>77077.0</v>
      </c>
      <c r="N12424" s="2" t="s">
        <v>21</v>
      </c>
    </row>
    <row r="12425" ht="15.75" customHeight="1">
      <c r="A12425" s="2">
        <v>2020.0</v>
      </c>
      <c r="B12425" s="2" t="s">
        <v>49525</v>
      </c>
      <c r="C12425" s="2" t="s">
        <v>49525</v>
      </c>
      <c r="D12425" s="2" t="str">
        <f>"8064965542"</f>
        <v>8064965542</v>
      </c>
      <c r="E12425" s="2" t="s">
        <v>908</v>
      </c>
      <c r="F12425" s="2" t="s">
        <v>6486</v>
      </c>
      <c r="G12425" s="2" t="str">
        <f>"SR-17661"</f>
        <v>SR-17661</v>
      </c>
      <c r="H12425" s="2" t="s">
        <v>49526</v>
      </c>
      <c r="I12425" s="2" t="s">
        <v>49527</v>
      </c>
      <c r="K12425" s="2" t="s">
        <v>1121</v>
      </c>
      <c r="L12425" s="2" t="s">
        <v>172</v>
      </c>
      <c r="M12425" s="2">
        <v>79423.0</v>
      </c>
      <c r="N12425" s="2" t="s">
        <v>21</v>
      </c>
    </row>
    <row r="12426" ht="15.75" customHeight="1">
      <c r="A12426" s="2">
        <v>2020.0</v>
      </c>
      <c r="B12426" s="2" t="s">
        <v>49528</v>
      </c>
      <c r="C12426" s="2" t="s">
        <v>49528</v>
      </c>
      <c r="D12426" s="2" t="str">
        <f>"419-673-7088"</f>
        <v>419-673-7088</v>
      </c>
      <c r="E12426" s="2" t="s">
        <v>695</v>
      </c>
      <c r="F12426" s="2" t="s">
        <v>3144</v>
      </c>
      <c r="G12426" s="2" t="str">
        <f>"SR-17662"</f>
        <v>SR-17662</v>
      </c>
      <c r="H12426" s="2" t="s">
        <v>49529</v>
      </c>
      <c r="I12426" s="2" t="s">
        <v>27840</v>
      </c>
      <c r="K12426" s="2" t="s">
        <v>28</v>
      </c>
      <c r="L12426" s="2" t="s">
        <v>344</v>
      </c>
      <c r="M12426" s="2">
        <v>45810.0</v>
      </c>
      <c r="N12426" s="2" t="s">
        <v>21</v>
      </c>
    </row>
    <row r="12427" ht="15.75" customHeight="1">
      <c r="A12427" s="2">
        <v>2020.0</v>
      </c>
      <c r="B12427" s="2" t="s">
        <v>49530</v>
      </c>
      <c r="C12427" s="2" t="s">
        <v>49530</v>
      </c>
      <c r="D12427" s="2" t="str">
        <f>"8069399084"</f>
        <v>8069399084</v>
      </c>
      <c r="E12427" s="2" t="s">
        <v>2162</v>
      </c>
      <c r="F12427" s="2" t="s">
        <v>2906</v>
      </c>
      <c r="G12427" s="2" t="str">
        <f>"SR-17663"</f>
        <v>SR-17663</v>
      </c>
      <c r="H12427" s="2" t="s">
        <v>49531</v>
      </c>
      <c r="I12427" s="2" t="s">
        <v>49532</v>
      </c>
      <c r="K12427" s="2" t="s">
        <v>1121</v>
      </c>
      <c r="L12427" s="2" t="s">
        <v>172</v>
      </c>
      <c r="M12427" s="2">
        <v>79423.0</v>
      </c>
      <c r="N12427" s="2" t="s">
        <v>21</v>
      </c>
    </row>
    <row r="12428" ht="15.75" customHeight="1">
      <c r="A12428" s="2">
        <v>2020.0</v>
      </c>
      <c r="B12428" s="2" t="s">
        <v>49533</v>
      </c>
      <c r="D12428" s="2" t="str">
        <f>""</f>
        <v/>
      </c>
      <c r="E12428" s="2" t="s">
        <v>339</v>
      </c>
      <c r="F12428" s="2" t="s">
        <v>49534</v>
      </c>
      <c r="G12428" s="2" t="str">
        <f>"SR-17666"</f>
        <v>SR-17666</v>
      </c>
      <c r="H12428" s="2" t="s">
        <v>49535</v>
      </c>
    </row>
    <row r="12429" ht="15.75" customHeight="1">
      <c r="A12429" s="2">
        <v>2020.0</v>
      </c>
      <c r="B12429" s="2" t="s">
        <v>49536</v>
      </c>
      <c r="C12429" s="2" t="s">
        <v>49537</v>
      </c>
      <c r="D12429" s="2" t="str">
        <f>"4349875970"</f>
        <v>4349875970</v>
      </c>
      <c r="E12429" s="2" t="s">
        <v>7278</v>
      </c>
      <c r="F12429" s="2" t="s">
        <v>49538</v>
      </c>
      <c r="G12429" s="2" t="str">
        <f>"SR-17657"</f>
        <v>SR-17657</v>
      </c>
      <c r="H12429" s="2" t="s">
        <v>49539</v>
      </c>
      <c r="I12429" s="2" t="s">
        <v>49540</v>
      </c>
      <c r="K12429" s="2" t="s">
        <v>49541</v>
      </c>
      <c r="L12429" s="2" t="s">
        <v>165</v>
      </c>
      <c r="M12429" s="2">
        <v>22936.0</v>
      </c>
      <c r="N12429" s="2" t="s">
        <v>21</v>
      </c>
    </row>
    <row r="12430" ht="15.75" customHeight="1">
      <c r="A12430" s="2">
        <v>2020.0</v>
      </c>
      <c r="B12430" s="2" t="s">
        <v>49542</v>
      </c>
      <c r="C12430" s="2" t="s">
        <v>49543</v>
      </c>
      <c r="D12430" s="2" t="str">
        <f>"9255963894"</f>
        <v>9255963894</v>
      </c>
      <c r="E12430" s="2" t="s">
        <v>1208</v>
      </c>
      <c r="F12430" s="2" t="s">
        <v>49544</v>
      </c>
      <c r="G12430" s="2" t="str">
        <f>"SR-17674"</f>
        <v>SR-17674</v>
      </c>
      <c r="H12430" s="2" t="s">
        <v>49545</v>
      </c>
      <c r="I12430" s="2" t="s">
        <v>49546</v>
      </c>
      <c r="K12430" s="2" t="s">
        <v>15230</v>
      </c>
      <c r="L12430" s="2" t="s">
        <v>222</v>
      </c>
      <c r="M12430" s="2">
        <v>94588.0</v>
      </c>
      <c r="N12430" s="2" t="s">
        <v>21</v>
      </c>
    </row>
    <row r="12431" ht="15.75" customHeight="1">
      <c r="A12431" s="2">
        <v>2020.0</v>
      </c>
      <c r="B12431" s="2" t="s">
        <v>49547</v>
      </c>
      <c r="C12431" s="2" t="s">
        <v>49548</v>
      </c>
      <c r="D12431" s="2" t="str">
        <f>"9259187418"</f>
        <v>9259187418</v>
      </c>
      <c r="E12431" s="2" t="s">
        <v>1180</v>
      </c>
      <c r="F12431" s="2" t="s">
        <v>49544</v>
      </c>
      <c r="G12431" s="2" t="str">
        <f>"SR-17675"</f>
        <v>SR-17675</v>
      </c>
      <c r="H12431" s="2" t="s">
        <v>49549</v>
      </c>
      <c r="I12431" s="2" t="s">
        <v>49546</v>
      </c>
      <c r="K12431" s="2" t="s">
        <v>49550</v>
      </c>
      <c r="L12431" s="2" t="s">
        <v>222</v>
      </c>
      <c r="M12431" s="2">
        <v>94588.0</v>
      </c>
      <c r="N12431" s="2" t="s">
        <v>21</v>
      </c>
    </row>
    <row r="12432" ht="15.75" customHeight="1">
      <c r="A12432" s="2">
        <v>2020.0</v>
      </c>
      <c r="B12432" s="2" t="s">
        <v>49551</v>
      </c>
      <c r="C12432" s="2" t="s">
        <v>49551</v>
      </c>
      <c r="D12432" s="2" t="str">
        <f>"325-226 1630"</f>
        <v>325-226 1630</v>
      </c>
      <c r="E12432" s="2" t="s">
        <v>11583</v>
      </c>
      <c r="F12432" s="2" t="s">
        <v>1150</v>
      </c>
      <c r="G12432" s="2" t="str">
        <f>"SR-17678"</f>
        <v>SR-17678</v>
      </c>
      <c r="H12432" s="2" t="s">
        <v>49552</v>
      </c>
      <c r="I12432" s="2" t="s">
        <v>49553</v>
      </c>
      <c r="K12432" s="2" t="s">
        <v>22724</v>
      </c>
      <c r="L12432" s="2" t="s">
        <v>172</v>
      </c>
      <c r="M12432" s="2">
        <v>76950.0</v>
      </c>
      <c r="N12432" s="2" t="s">
        <v>21</v>
      </c>
    </row>
    <row r="12433" ht="15.75" customHeight="1">
      <c r="A12433" s="2">
        <v>2020.0</v>
      </c>
      <c r="B12433" s="2" t="s">
        <v>44554</v>
      </c>
      <c r="C12433" s="2" t="s">
        <v>44555</v>
      </c>
      <c r="D12433" s="2" t="str">
        <f t="shared" ref="D12433:D12434" si="209">"419-913-9298"</f>
        <v>419-913-9298</v>
      </c>
      <c r="E12433" s="2" t="s">
        <v>167</v>
      </c>
      <c r="F12433" s="2" t="s">
        <v>44556</v>
      </c>
      <c r="G12433" s="2" t="str">
        <f>"SR-15638"</f>
        <v>SR-15638</v>
      </c>
      <c r="H12433" s="2" t="s">
        <v>44557</v>
      </c>
      <c r="I12433" s="2" t="s">
        <v>44558</v>
      </c>
      <c r="K12433" s="2" t="s">
        <v>39465</v>
      </c>
      <c r="L12433" s="2" t="s">
        <v>344</v>
      </c>
      <c r="M12433" s="2">
        <v>43402.0</v>
      </c>
      <c r="N12433" s="2" t="s">
        <v>21</v>
      </c>
    </row>
    <row r="12434" ht="15.75" customHeight="1">
      <c r="A12434" s="2">
        <v>2020.0</v>
      </c>
      <c r="B12434" s="2" t="s">
        <v>44554</v>
      </c>
      <c r="C12434" s="2" t="s">
        <v>44559</v>
      </c>
      <c r="D12434" s="2" t="str">
        <f t="shared" si="209"/>
        <v>419-913-9298</v>
      </c>
      <c r="E12434" s="2" t="s">
        <v>6007</v>
      </c>
      <c r="F12434" s="2" t="s">
        <v>44556</v>
      </c>
      <c r="G12434" s="2" t="str">
        <f>"SR-15639"</f>
        <v>SR-15639</v>
      </c>
      <c r="H12434" s="2" t="s">
        <v>44560</v>
      </c>
      <c r="I12434" s="2" t="s">
        <v>44558</v>
      </c>
      <c r="K12434" s="2" t="s">
        <v>39465</v>
      </c>
      <c r="L12434" s="2" t="s">
        <v>344</v>
      </c>
      <c r="M12434" s="2">
        <v>43402.0</v>
      </c>
      <c r="N12434" s="2" t="s">
        <v>21</v>
      </c>
    </row>
    <row r="12435" ht="15.75" customHeight="1">
      <c r="A12435" s="2">
        <v>2020.0</v>
      </c>
      <c r="B12435" s="2" t="s">
        <v>49554</v>
      </c>
      <c r="C12435" s="2" t="s">
        <v>49555</v>
      </c>
      <c r="D12435" s="2" t="str">
        <f>"3252263809"</f>
        <v>3252263809</v>
      </c>
      <c r="E12435" s="2" t="s">
        <v>1185</v>
      </c>
      <c r="F12435" s="2" t="s">
        <v>22579</v>
      </c>
      <c r="G12435" s="2" t="str">
        <f>"SR-17679"</f>
        <v>SR-17679</v>
      </c>
      <c r="H12435" s="2" t="s">
        <v>49556</v>
      </c>
      <c r="I12435" s="2" t="s">
        <v>49557</v>
      </c>
      <c r="K12435" s="2" t="s">
        <v>22724</v>
      </c>
      <c r="L12435" s="2" t="s">
        <v>172</v>
      </c>
      <c r="M12435" s="2">
        <v>76950.0</v>
      </c>
      <c r="N12435" s="2" t="s">
        <v>21</v>
      </c>
    </row>
    <row r="12436" ht="15.75" customHeight="1">
      <c r="A12436" s="2">
        <v>2020.0</v>
      </c>
      <c r="B12436" s="2" t="s">
        <v>49558</v>
      </c>
      <c r="C12436" s="2" t="s">
        <v>49559</v>
      </c>
      <c r="D12436" s="2" t="str">
        <f>"404-790-9923"</f>
        <v>404-790-9923</v>
      </c>
      <c r="E12436" s="2" t="s">
        <v>261</v>
      </c>
      <c r="F12436" s="2" t="s">
        <v>49560</v>
      </c>
      <c r="G12436" s="2" t="str">
        <f>"SR-17683"</f>
        <v>SR-17683</v>
      </c>
      <c r="H12436" s="2" t="s">
        <v>49561</v>
      </c>
      <c r="I12436" s="2" t="s">
        <v>49562</v>
      </c>
      <c r="K12436" s="2" t="s">
        <v>16743</v>
      </c>
      <c r="L12436" s="2" t="s">
        <v>200</v>
      </c>
      <c r="M12436" s="2">
        <v>30040.0</v>
      </c>
      <c r="N12436" s="2" t="s">
        <v>21</v>
      </c>
    </row>
    <row r="12437" ht="15.75" customHeight="1">
      <c r="A12437" s="2">
        <v>2020.0</v>
      </c>
      <c r="B12437" s="2" t="s">
        <v>49563</v>
      </c>
      <c r="C12437" s="2" t="s">
        <v>49564</v>
      </c>
      <c r="D12437" s="2" t="str">
        <f>"805-515-9582"</f>
        <v>805-515-9582</v>
      </c>
      <c r="E12437" s="2" t="s">
        <v>1483</v>
      </c>
      <c r="F12437" s="2" t="s">
        <v>40845</v>
      </c>
      <c r="G12437" s="2" t="str">
        <f>"SR-17328"</f>
        <v>SR-17328</v>
      </c>
      <c r="H12437" s="2" t="s">
        <v>49565</v>
      </c>
      <c r="I12437" s="2" t="s">
        <v>49566</v>
      </c>
      <c r="K12437" s="2" t="s">
        <v>36028</v>
      </c>
      <c r="L12437" s="2" t="s">
        <v>222</v>
      </c>
      <c r="M12437" s="2">
        <v>93001.0</v>
      </c>
      <c r="N12437" s="2" t="s">
        <v>21</v>
      </c>
    </row>
    <row r="12438" ht="15.75" customHeight="1">
      <c r="A12438" s="2">
        <v>2020.0</v>
      </c>
      <c r="B12438" s="2" t="s">
        <v>23276</v>
      </c>
      <c r="C12438" s="2" t="s">
        <v>49567</v>
      </c>
      <c r="D12438" s="2" t="str">
        <f>"9167568615"</f>
        <v>9167568615</v>
      </c>
      <c r="E12438" s="2" t="s">
        <v>250</v>
      </c>
      <c r="F12438" s="2" t="s">
        <v>1101</v>
      </c>
      <c r="G12438" s="2" t="str">
        <f>"SR-17695"</f>
        <v>SR-17695</v>
      </c>
      <c r="H12438" s="2" t="s">
        <v>28363</v>
      </c>
      <c r="I12438" s="2" t="s">
        <v>12207</v>
      </c>
      <c r="K12438" s="2" t="s">
        <v>4446</v>
      </c>
      <c r="L12438" s="2" t="s">
        <v>222</v>
      </c>
      <c r="M12438" s="2">
        <v>95612.0</v>
      </c>
      <c r="N12438" s="2" t="s">
        <v>21</v>
      </c>
    </row>
    <row r="12439" ht="15.75" customHeight="1">
      <c r="A12439" s="2">
        <v>2020.0</v>
      </c>
      <c r="B12439" s="2" t="s">
        <v>49568</v>
      </c>
      <c r="C12439" s="2" t="s">
        <v>49568</v>
      </c>
      <c r="D12439" s="2" t="str">
        <f>"7205348104"</f>
        <v>7205348104</v>
      </c>
      <c r="E12439" s="2" t="s">
        <v>239</v>
      </c>
      <c r="F12439" s="2" t="s">
        <v>49569</v>
      </c>
      <c r="G12439" s="2" t="str">
        <f>"SR-17696"</f>
        <v>SR-17696</v>
      </c>
      <c r="H12439" s="2" t="s">
        <v>49570</v>
      </c>
      <c r="I12439" s="2" t="s">
        <v>49571</v>
      </c>
      <c r="K12439" s="2" t="s">
        <v>4939</v>
      </c>
      <c r="L12439" s="2" t="s">
        <v>157</v>
      </c>
      <c r="M12439" s="2">
        <v>80516.0</v>
      </c>
      <c r="N12439" s="2" t="s">
        <v>21</v>
      </c>
    </row>
    <row r="12440" ht="15.75" customHeight="1">
      <c r="A12440" s="2">
        <v>2020.0</v>
      </c>
      <c r="B12440" s="2" t="s">
        <v>49572</v>
      </c>
      <c r="D12440" s="2" t="str">
        <f t="shared" ref="D12440:D12441" si="210">""</f>
        <v/>
      </c>
      <c r="E12440" s="2" t="s">
        <v>938</v>
      </c>
      <c r="F12440" s="2" t="s">
        <v>1045</v>
      </c>
      <c r="G12440" s="2" t="str">
        <f>"SR-21911"</f>
        <v>SR-21911</v>
      </c>
      <c r="H12440" s="2" t="s">
        <v>49573</v>
      </c>
    </row>
    <row r="12441" ht="15.75" customHeight="1">
      <c r="A12441" s="2">
        <v>2020.0</v>
      </c>
      <c r="B12441" s="2" t="s">
        <v>43464</v>
      </c>
      <c r="D12441" s="2" t="str">
        <f t="shared" si="210"/>
        <v/>
      </c>
      <c r="E12441" s="2" t="s">
        <v>8826</v>
      </c>
      <c r="F12441" s="2" t="s">
        <v>43465</v>
      </c>
      <c r="G12441" s="2" t="str">
        <f>"SR-17703"</f>
        <v>SR-17703</v>
      </c>
      <c r="H12441" s="2" t="s">
        <v>49574</v>
      </c>
      <c r="N12441" s="2" t="s">
        <v>21</v>
      </c>
    </row>
    <row r="12442" ht="15.75" customHeight="1">
      <c r="A12442" s="2">
        <v>2020.0</v>
      </c>
      <c r="B12442" s="2" t="s">
        <v>49575</v>
      </c>
      <c r="C12442" s="2" t="s">
        <v>49576</v>
      </c>
      <c r="D12442" s="2" t="str">
        <f>"(786)508-8245"</f>
        <v>(786)508-8245</v>
      </c>
      <c r="E12442" s="2" t="s">
        <v>167</v>
      </c>
      <c r="F12442" s="2" t="s">
        <v>49577</v>
      </c>
      <c r="G12442" s="2" t="str">
        <f>"SR-17690"</f>
        <v>SR-17690</v>
      </c>
      <c r="H12442" s="2" t="s">
        <v>49578</v>
      </c>
      <c r="I12442" s="2" t="s">
        <v>49579</v>
      </c>
      <c r="K12442" s="2" t="s">
        <v>2211</v>
      </c>
      <c r="L12442" s="2" t="s">
        <v>208</v>
      </c>
      <c r="M12442" s="2">
        <v>33165.0</v>
      </c>
      <c r="N12442" s="2" t="s">
        <v>21</v>
      </c>
    </row>
    <row r="12443" ht="15.75" customHeight="1">
      <c r="A12443" s="2">
        <v>2020.0</v>
      </c>
      <c r="B12443" s="2" t="s">
        <v>35948</v>
      </c>
      <c r="C12443" s="2" t="s">
        <v>49580</v>
      </c>
      <c r="D12443" s="2" t="str">
        <f>"720-749-0144"</f>
        <v>720-749-0144</v>
      </c>
      <c r="E12443" s="2" t="s">
        <v>49581</v>
      </c>
      <c r="F12443" s="2" t="s">
        <v>22526</v>
      </c>
      <c r="G12443" s="2" t="str">
        <f>"SR-17704"</f>
        <v>SR-17704</v>
      </c>
      <c r="H12443" s="2" t="s">
        <v>49582</v>
      </c>
      <c r="I12443" s="2" t="s">
        <v>49583</v>
      </c>
      <c r="K12443" s="2" t="s">
        <v>1520</v>
      </c>
      <c r="L12443" s="2" t="s">
        <v>157</v>
      </c>
      <c r="M12443" s="2">
        <v>80015.0</v>
      </c>
      <c r="N12443" s="2" t="s">
        <v>21</v>
      </c>
    </row>
    <row r="12444" ht="15.75" customHeight="1">
      <c r="A12444" s="2">
        <v>2020.0</v>
      </c>
      <c r="B12444" s="2" t="s">
        <v>49584</v>
      </c>
      <c r="C12444" s="2" t="s">
        <v>49585</v>
      </c>
      <c r="D12444" s="2" t="str">
        <f>"707-951-5776"</f>
        <v>707-951-5776</v>
      </c>
      <c r="E12444" s="2" t="s">
        <v>1803</v>
      </c>
      <c r="F12444" s="2" t="s">
        <v>690</v>
      </c>
      <c r="G12444" s="2" t="str">
        <f>"SR-17706"</f>
        <v>SR-17706</v>
      </c>
      <c r="H12444" s="2" t="s">
        <v>19152</v>
      </c>
      <c r="I12444" s="2" t="s">
        <v>49586</v>
      </c>
      <c r="J12444" s="2" t="s">
        <v>49587</v>
      </c>
      <c r="K12444" s="2" t="s">
        <v>49588</v>
      </c>
      <c r="L12444" s="2" t="s">
        <v>222</v>
      </c>
      <c r="M12444" s="2">
        <v>95543.0</v>
      </c>
      <c r="N12444" s="2" t="s">
        <v>21</v>
      </c>
    </row>
    <row r="12445" ht="15.75" customHeight="1">
      <c r="A12445" s="2">
        <v>2020.0</v>
      </c>
      <c r="B12445" s="2" t="s">
        <v>49589</v>
      </c>
      <c r="C12445" s="2" t="s">
        <v>49589</v>
      </c>
      <c r="D12445" s="2" t="str">
        <f>"(919)267-0327"</f>
        <v>(919)267-0327</v>
      </c>
      <c r="E12445" s="2" t="s">
        <v>2296</v>
      </c>
      <c r="F12445" s="2" t="s">
        <v>4519</v>
      </c>
      <c r="G12445" s="2" t="str">
        <f>"SR-17680"</f>
        <v>SR-17680</v>
      </c>
      <c r="H12445" s="2" t="s">
        <v>49590</v>
      </c>
      <c r="I12445" s="2" t="s">
        <v>49591</v>
      </c>
      <c r="K12445" s="2" t="s">
        <v>14454</v>
      </c>
      <c r="L12445" s="2" t="s">
        <v>20</v>
      </c>
      <c r="M12445" s="2">
        <v>27502.0</v>
      </c>
      <c r="N12445" s="2" t="s">
        <v>21</v>
      </c>
    </row>
    <row r="12446" ht="15.75" customHeight="1">
      <c r="A12446" s="2">
        <v>2020.0</v>
      </c>
      <c r="B12446" s="2" t="s">
        <v>49592</v>
      </c>
      <c r="C12446" s="2" t="s">
        <v>49592</v>
      </c>
      <c r="D12446" s="2" t="str">
        <f>"501-920-5307"</f>
        <v>501-920-5307</v>
      </c>
      <c r="E12446" s="2" t="s">
        <v>4401</v>
      </c>
      <c r="F12446" s="2" t="s">
        <v>639</v>
      </c>
      <c r="G12446" s="2" t="str">
        <f>"SR-17701"</f>
        <v>SR-17701</v>
      </c>
      <c r="H12446" s="2" t="s">
        <v>49593</v>
      </c>
      <c r="I12446" s="2" t="s">
        <v>49594</v>
      </c>
      <c r="K12446" s="2" t="s">
        <v>49595</v>
      </c>
      <c r="L12446" s="2" t="s">
        <v>1012</v>
      </c>
      <c r="M12446" s="2">
        <v>72013.0</v>
      </c>
      <c r="N12446" s="2" t="s">
        <v>21</v>
      </c>
    </row>
    <row r="12447" ht="15.75" customHeight="1">
      <c r="A12447" s="2">
        <v>2020.0</v>
      </c>
      <c r="B12447" s="2" t="s">
        <v>49596</v>
      </c>
      <c r="C12447" s="2" t="s">
        <v>49596</v>
      </c>
      <c r="D12447" s="2" t="str">
        <f>"7196604057"</f>
        <v>7196604057</v>
      </c>
      <c r="E12447" s="2" t="s">
        <v>217</v>
      </c>
      <c r="F12447" s="2" t="s">
        <v>3028</v>
      </c>
      <c r="G12447" s="2" t="str">
        <f>"SR-17709"</f>
        <v>SR-17709</v>
      </c>
      <c r="H12447" s="2" t="s">
        <v>49597</v>
      </c>
      <c r="I12447" s="2" t="s">
        <v>49598</v>
      </c>
      <c r="K12447" s="2" t="s">
        <v>809</v>
      </c>
      <c r="L12447" s="2" t="s">
        <v>157</v>
      </c>
      <c r="M12447" s="2">
        <v>80919.0</v>
      </c>
      <c r="N12447" s="2" t="s">
        <v>21</v>
      </c>
    </row>
    <row r="12448" ht="15.75" customHeight="1">
      <c r="A12448" s="2">
        <v>2020.0</v>
      </c>
      <c r="B12448" s="2" t="s">
        <v>49599</v>
      </c>
      <c r="D12448" s="2" t="str">
        <f>""</f>
        <v/>
      </c>
      <c r="E12448" s="2" t="s">
        <v>9470</v>
      </c>
      <c r="F12448" s="2" t="s">
        <v>23520</v>
      </c>
      <c r="G12448" s="2" t="str">
        <f>"SR-17549"</f>
        <v>SR-17549</v>
      </c>
      <c r="H12448" s="2" t="s">
        <v>49600</v>
      </c>
    </row>
    <row r="12449" ht="15.75" customHeight="1">
      <c r="A12449" s="2">
        <v>2020.0</v>
      </c>
      <c r="B12449" s="2" t="s">
        <v>49601</v>
      </c>
      <c r="C12449" s="2" t="s">
        <v>49601</v>
      </c>
      <c r="D12449" s="2" t="str">
        <f>"210-383-2022"</f>
        <v>210-383-2022</v>
      </c>
      <c r="E12449" s="2" t="s">
        <v>25610</v>
      </c>
      <c r="F12449" s="2" t="s">
        <v>23273</v>
      </c>
      <c r="G12449" s="2" t="str">
        <f>"SR-17714"</f>
        <v>SR-17714</v>
      </c>
      <c r="H12449" s="2" t="s">
        <v>49602</v>
      </c>
      <c r="I12449" s="2" t="s">
        <v>49603</v>
      </c>
      <c r="K12449" s="2" t="s">
        <v>1141</v>
      </c>
      <c r="L12449" s="2" t="s">
        <v>172</v>
      </c>
      <c r="M12449" s="2">
        <v>78749.0</v>
      </c>
      <c r="N12449" s="2" t="s">
        <v>21</v>
      </c>
    </row>
    <row r="12450" ht="15.75" customHeight="1">
      <c r="A12450" s="2">
        <v>2020.0</v>
      </c>
      <c r="B12450" s="2" t="s">
        <v>49604</v>
      </c>
      <c r="D12450" s="2" t="str">
        <f>""</f>
        <v/>
      </c>
      <c r="E12450" s="2" t="s">
        <v>1094</v>
      </c>
      <c r="F12450" s="2" t="s">
        <v>49605</v>
      </c>
      <c r="G12450" s="2" t="str">
        <f>"SR-17451"</f>
        <v>SR-17451</v>
      </c>
      <c r="H12450" s="2" t="s">
        <v>49606</v>
      </c>
      <c r="N12450" s="2" t="s">
        <v>21</v>
      </c>
    </row>
    <row r="12451" ht="15.75" customHeight="1">
      <c r="A12451" s="2">
        <v>2020.0</v>
      </c>
      <c r="B12451" s="2" t="s">
        <v>49604</v>
      </c>
      <c r="C12451" s="2" t="s">
        <v>49607</v>
      </c>
      <c r="D12451" s="2" t="str">
        <f>"9016045787"</f>
        <v>9016045787</v>
      </c>
      <c r="E12451" s="2" t="s">
        <v>4136</v>
      </c>
      <c r="F12451" s="2" t="s">
        <v>49605</v>
      </c>
      <c r="G12451" s="2" t="str">
        <f>"SR-17452"</f>
        <v>SR-17452</v>
      </c>
      <c r="H12451" s="2" t="s">
        <v>49608</v>
      </c>
      <c r="I12451" s="2" t="s">
        <v>49609</v>
      </c>
      <c r="K12451" s="2" t="s">
        <v>1257</v>
      </c>
      <c r="L12451" s="2" t="s">
        <v>279</v>
      </c>
      <c r="M12451" s="2">
        <v>38305.0</v>
      </c>
      <c r="N12451" s="2" t="s">
        <v>21</v>
      </c>
    </row>
    <row r="12452" ht="15.75" customHeight="1">
      <c r="A12452" s="2">
        <v>2020.0</v>
      </c>
      <c r="B12452" s="2" t="s">
        <v>8616</v>
      </c>
      <c r="C12452" s="2" t="s">
        <v>49610</v>
      </c>
      <c r="D12452" s="2" t="str">
        <f>"720-253-5972"</f>
        <v>720-253-5972</v>
      </c>
      <c r="E12452" s="2" t="s">
        <v>843</v>
      </c>
      <c r="F12452" s="2" t="s">
        <v>8618</v>
      </c>
      <c r="G12452" s="2" t="str">
        <f>"SR-17672"</f>
        <v>SR-17672</v>
      </c>
      <c r="H12452" s="2" t="s">
        <v>49611</v>
      </c>
      <c r="I12452" s="2" t="s">
        <v>49612</v>
      </c>
      <c r="K12452" s="2" t="s">
        <v>1520</v>
      </c>
      <c r="L12452" s="2" t="s">
        <v>157</v>
      </c>
      <c r="M12452" s="2">
        <v>80013.0</v>
      </c>
      <c r="N12452" s="2" t="s">
        <v>21</v>
      </c>
    </row>
    <row r="12453" ht="15.75" customHeight="1">
      <c r="A12453" s="2">
        <v>2020.0</v>
      </c>
      <c r="B12453" s="2" t="s">
        <v>49613</v>
      </c>
      <c r="C12453" s="2" t="s">
        <v>49613</v>
      </c>
      <c r="D12453" s="2" t="str">
        <f>"3204230051"</f>
        <v>3204230051</v>
      </c>
      <c r="E12453" s="2" t="s">
        <v>534</v>
      </c>
      <c r="F12453" s="2" t="s">
        <v>22323</v>
      </c>
      <c r="G12453" s="2" t="str">
        <f>"SR-17722"</f>
        <v>SR-17722</v>
      </c>
      <c r="H12453" s="2" t="s">
        <v>49614</v>
      </c>
      <c r="I12453" s="2" t="s">
        <v>23725</v>
      </c>
      <c r="K12453" s="2" t="s">
        <v>23726</v>
      </c>
      <c r="L12453" s="2" t="s">
        <v>62</v>
      </c>
      <c r="M12453" s="2">
        <v>56378.0</v>
      </c>
      <c r="N12453" s="2" t="s">
        <v>21</v>
      </c>
    </row>
    <row r="12454" ht="15.75" customHeight="1">
      <c r="A12454" s="2">
        <v>2020.0</v>
      </c>
      <c r="B12454" s="2" t="s">
        <v>49615</v>
      </c>
      <c r="C12454" s="2" t="s">
        <v>49615</v>
      </c>
      <c r="D12454" s="2" t="str">
        <f>"8323025233"</f>
        <v>8323025233</v>
      </c>
      <c r="E12454" s="2" t="s">
        <v>167</v>
      </c>
      <c r="F12454" s="2" t="s">
        <v>49616</v>
      </c>
      <c r="G12454" s="2" t="str">
        <f>"SR-17593"</f>
        <v>SR-17593</v>
      </c>
      <c r="H12454" s="2" t="s">
        <v>49617</v>
      </c>
      <c r="I12454" s="2" t="s">
        <v>49618</v>
      </c>
      <c r="K12454" s="2" t="s">
        <v>4216</v>
      </c>
      <c r="L12454" s="2" t="s">
        <v>172</v>
      </c>
      <c r="M12454" s="2">
        <v>77406.0</v>
      </c>
      <c r="N12454" s="2" t="s">
        <v>21</v>
      </c>
    </row>
    <row r="12455" ht="15.75" customHeight="1">
      <c r="A12455" s="2">
        <v>2020.0</v>
      </c>
      <c r="B12455" s="2" t="s">
        <v>49619</v>
      </c>
      <c r="C12455" s="2" t="s">
        <v>49620</v>
      </c>
      <c r="D12455" s="2" t="str">
        <f>"8654413390"</f>
        <v>8654413390</v>
      </c>
      <c r="E12455" s="2" t="s">
        <v>2412</v>
      </c>
      <c r="F12455" s="2" t="s">
        <v>850</v>
      </c>
      <c r="G12455" s="2" t="str">
        <f>"SR-17711"</f>
        <v>SR-17711</v>
      </c>
      <c r="H12455" s="2" t="s">
        <v>23480</v>
      </c>
      <c r="I12455" s="2" t="s">
        <v>49621</v>
      </c>
      <c r="K12455" s="2" t="s">
        <v>44699</v>
      </c>
      <c r="L12455" s="2" t="s">
        <v>279</v>
      </c>
      <c r="M12455" s="2">
        <v>37865.0</v>
      </c>
      <c r="N12455" s="2" t="s">
        <v>21</v>
      </c>
    </row>
    <row r="12456" ht="15.75" customHeight="1">
      <c r="A12456" s="2">
        <v>2020.0</v>
      </c>
      <c r="B12456" s="2" t="s">
        <v>49622</v>
      </c>
      <c r="C12456" s="2" t="s">
        <v>49623</v>
      </c>
      <c r="D12456" s="2" t="str">
        <f>"7316977585"</f>
        <v>7316977585</v>
      </c>
      <c r="E12456" s="2" t="s">
        <v>1585</v>
      </c>
      <c r="F12456" s="2" t="s">
        <v>49624</v>
      </c>
      <c r="G12456" s="2" t="str">
        <f>"SR-17726"</f>
        <v>SR-17726</v>
      </c>
      <c r="H12456" s="2" t="s">
        <v>49625</v>
      </c>
      <c r="I12456" s="2" t="s">
        <v>49626</v>
      </c>
      <c r="K12456" s="2" t="s">
        <v>1257</v>
      </c>
      <c r="L12456" s="2" t="s">
        <v>279</v>
      </c>
      <c r="M12456" s="2">
        <v>38305.0</v>
      </c>
      <c r="N12456" s="2" t="s">
        <v>21</v>
      </c>
    </row>
    <row r="12457" ht="15.75" customHeight="1">
      <c r="A12457" s="2">
        <v>2020.0</v>
      </c>
      <c r="B12457" s="2" t="s">
        <v>49627</v>
      </c>
      <c r="C12457" s="2" t="s">
        <v>49628</v>
      </c>
      <c r="D12457" s="2" t="str">
        <f>"+1 (470) 808-9064"</f>
        <v>+1 (470) 808-9064</v>
      </c>
      <c r="E12457" s="2" t="s">
        <v>3196</v>
      </c>
      <c r="F12457" s="2" t="s">
        <v>4171</v>
      </c>
      <c r="G12457" s="2" t="str">
        <f>"SR-17730"</f>
        <v>SR-17730</v>
      </c>
      <c r="H12457" s="2" t="s">
        <v>49629</v>
      </c>
      <c r="I12457" s="2" t="s">
        <v>49630</v>
      </c>
      <c r="K12457" s="2" t="s">
        <v>16743</v>
      </c>
      <c r="L12457" s="2" t="s">
        <v>200</v>
      </c>
      <c r="M12457" s="2">
        <v>30040.0</v>
      </c>
      <c r="N12457" s="2" t="s">
        <v>21</v>
      </c>
    </row>
    <row r="12458" ht="15.75" customHeight="1">
      <c r="A12458" s="2">
        <v>2020.0</v>
      </c>
      <c r="B12458" s="2" t="s">
        <v>48945</v>
      </c>
      <c r="C12458" s="2" t="s">
        <v>49631</v>
      </c>
      <c r="D12458" s="2" t="str">
        <f>"731-420-2660"</f>
        <v>731-420-2660</v>
      </c>
      <c r="E12458" s="2" t="s">
        <v>9672</v>
      </c>
      <c r="F12458" s="2" t="s">
        <v>48947</v>
      </c>
      <c r="G12458" s="2" t="str">
        <f>"SR-17731"</f>
        <v>SR-17731</v>
      </c>
      <c r="H12458" s="2" t="s">
        <v>49632</v>
      </c>
      <c r="I12458" s="2" t="s">
        <v>48949</v>
      </c>
      <c r="K12458" s="2" t="s">
        <v>42374</v>
      </c>
      <c r="L12458" s="2" t="s">
        <v>279</v>
      </c>
      <c r="M12458" s="2">
        <v>38343.0</v>
      </c>
      <c r="N12458" s="2" t="s">
        <v>21</v>
      </c>
    </row>
    <row r="12459" ht="15.75" customHeight="1">
      <c r="A12459" s="2">
        <v>2020.0</v>
      </c>
      <c r="B12459" s="2" t="s">
        <v>46308</v>
      </c>
      <c r="C12459" s="2" t="s">
        <v>46308</v>
      </c>
      <c r="D12459" s="2" t="str">
        <f>"512-800-1072"</f>
        <v>512-800-1072</v>
      </c>
      <c r="E12459" s="2" t="s">
        <v>137</v>
      </c>
      <c r="F12459" s="2" t="s">
        <v>23273</v>
      </c>
      <c r="G12459" s="2" t="str">
        <f>"SR-17719"</f>
        <v>SR-17719</v>
      </c>
      <c r="H12459" s="2" t="s">
        <v>46309</v>
      </c>
      <c r="I12459" s="2" t="s">
        <v>49633</v>
      </c>
      <c r="K12459" s="2" t="s">
        <v>1141</v>
      </c>
      <c r="L12459" s="2" t="s">
        <v>172</v>
      </c>
      <c r="M12459" s="2">
        <v>78749.0</v>
      </c>
      <c r="N12459" s="2" t="s">
        <v>21</v>
      </c>
    </row>
    <row r="12460" ht="15.75" customHeight="1">
      <c r="A12460" s="2">
        <v>2020.0</v>
      </c>
      <c r="B12460" s="2" t="s">
        <v>49634</v>
      </c>
      <c r="C12460" s="2" t="s">
        <v>49635</v>
      </c>
      <c r="D12460" s="2" t="str">
        <f>"5078298237"</f>
        <v>5078298237</v>
      </c>
      <c r="E12460" s="2" t="s">
        <v>367</v>
      </c>
      <c r="F12460" s="2" t="s">
        <v>49636</v>
      </c>
      <c r="G12460" s="2" t="str">
        <f>"SR-17732"</f>
        <v>SR-17732</v>
      </c>
      <c r="H12460" s="2" t="s">
        <v>49637</v>
      </c>
      <c r="I12460" s="2" t="s">
        <v>49638</v>
      </c>
      <c r="K12460" s="2" t="s">
        <v>3511</v>
      </c>
      <c r="L12460" s="2" t="s">
        <v>62</v>
      </c>
      <c r="M12460" s="2">
        <v>56258.0</v>
      </c>
      <c r="N12460" s="2" t="s">
        <v>21</v>
      </c>
    </row>
    <row r="12461" ht="15.75" customHeight="1">
      <c r="A12461" s="2">
        <v>2020.0</v>
      </c>
      <c r="B12461" s="2" t="s">
        <v>49634</v>
      </c>
      <c r="C12461" s="2" t="s">
        <v>49639</v>
      </c>
      <c r="D12461" s="2" t="str">
        <f>"6056517614"</f>
        <v>6056517614</v>
      </c>
      <c r="E12461" s="2" t="s">
        <v>9455</v>
      </c>
      <c r="F12461" s="2" t="s">
        <v>49636</v>
      </c>
      <c r="G12461" s="2" t="str">
        <f>"SR-17733"</f>
        <v>SR-17733</v>
      </c>
      <c r="H12461" s="2" t="s">
        <v>49640</v>
      </c>
      <c r="I12461" s="2" t="s">
        <v>49638</v>
      </c>
      <c r="K12461" s="2" t="s">
        <v>3511</v>
      </c>
      <c r="L12461" s="2" t="s">
        <v>62</v>
      </c>
      <c r="M12461" s="2">
        <v>56258.0</v>
      </c>
      <c r="N12461" s="2" t="s">
        <v>21</v>
      </c>
    </row>
    <row r="12462" ht="15.75" customHeight="1">
      <c r="A12462" s="2">
        <v>2020.0</v>
      </c>
      <c r="B12462" s="2" t="s">
        <v>49641</v>
      </c>
      <c r="C12462" s="2" t="s">
        <v>49642</v>
      </c>
      <c r="D12462" s="2" t="str">
        <f>"7856436087"</f>
        <v>7856436087</v>
      </c>
      <c r="E12462" s="2" t="s">
        <v>843</v>
      </c>
      <c r="F12462" s="2" t="s">
        <v>49643</v>
      </c>
      <c r="G12462" s="2" t="str">
        <f>"SR-17564"</f>
        <v>SR-17564</v>
      </c>
      <c r="H12462" s="2" t="s">
        <v>49644</v>
      </c>
      <c r="I12462" s="2" t="s">
        <v>49645</v>
      </c>
      <c r="K12462" s="2" t="s">
        <v>49646</v>
      </c>
      <c r="L12462" s="2" t="s">
        <v>272</v>
      </c>
      <c r="M12462" s="2">
        <v>67867.0</v>
      </c>
      <c r="N12462" s="2" t="s">
        <v>21</v>
      </c>
    </row>
    <row r="12463" ht="15.75" customHeight="1">
      <c r="A12463" s="2">
        <v>2020.0</v>
      </c>
      <c r="B12463" s="2" t="s">
        <v>49647</v>
      </c>
      <c r="C12463" s="2" t="s">
        <v>49647</v>
      </c>
      <c r="D12463" s="2" t="str">
        <f>"00447857943782"</f>
        <v>00447857943782</v>
      </c>
      <c r="E12463" s="2" t="s">
        <v>49648</v>
      </c>
      <c r="F12463" s="2" t="s">
        <v>49649</v>
      </c>
      <c r="G12463" s="2" t="str">
        <f>"SR-17643"</f>
        <v>SR-17643</v>
      </c>
      <c r="H12463" s="2" t="s">
        <v>49650</v>
      </c>
      <c r="I12463" s="2" t="s">
        <v>49651</v>
      </c>
      <c r="K12463" s="2" t="s">
        <v>47742</v>
      </c>
      <c r="M12463" s="2" t="s">
        <v>49652</v>
      </c>
      <c r="N12463" s="2" t="s">
        <v>22523</v>
      </c>
    </row>
    <row r="12464" ht="15.75" customHeight="1">
      <c r="A12464" s="2">
        <v>2020.0</v>
      </c>
      <c r="B12464" s="2" t="s">
        <v>49653</v>
      </c>
      <c r="C12464" s="2" t="s">
        <v>49654</v>
      </c>
      <c r="D12464" s="2" t="str">
        <f>"507-530-9412"</f>
        <v>507-530-9412</v>
      </c>
      <c r="E12464" s="2" t="s">
        <v>6170</v>
      </c>
      <c r="F12464" s="2" t="s">
        <v>47130</v>
      </c>
      <c r="G12464" s="2" t="str">
        <f>"SR-17739"</f>
        <v>SR-17739</v>
      </c>
      <c r="H12464" s="2" t="s">
        <v>49655</v>
      </c>
      <c r="I12464" s="2" t="s">
        <v>49656</v>
      </c>
      <c r="K12464" s="2" t="s">
        <v>3511</v>
      </c>
      <c r="L12464" s="2" t="s">
        <v>62</v>
      </c>
      <c r="M12464" s="2">
        <v>56258.0</v>
      </c>
      <c r="N12464" s="2" t="s">
        <v>21</v>
      </c>
    </row>
    <row r="12465" ht="15.75" customHeight="1">
      <c r="A12465" s="2">
        <v>2020.0</v>
      </c>
      <c r="B12465" s="2" t="s">
        <v>49657</v>
      </c>
      <c r="C12465" s="2" t="s">
        <v>49657</v>
      </c>
      <c r="D12465" s="2" t="str">
        <f>"7013880077"</f>
        <v>7013880077</v>
      </c>
      <c r="E12465" s="2" t="s">
        <v>13609</v>
      </c>
      <c r="F12465" s="2" t="s">
        <v>38320</v>
      </c>
      <c r="G12465" s="2" t="str">
        <f>"SR-17741"</f>
        <v>SR-17741</v>
      </c>
      <c r="H12465" s="2" t="s">
        <v>49658</v>
      </c>
      <c r="I12465" s="2" t="s">
        <v>38322</v>
      </c>
      <c r="K12465" s="2" t="s">
        <v>38323</v>
      </c>
      <c r="L12465" s="2" t="s">
        <v>62</v>
      </c>
      <c r="M12465" s="2">
        <v>56560.0</v>
      </c>
      <c r="N12465" s="2" t="s">
        <v>21</v>
      </c>
    </row>
    <row r="12466" ht="15.75" customHeight="1">
      <c r="A12466" s="2">
        <v>2020.0</v>
      </c>
      <c r="B12466" s="2" t="s">
        <v>49659</v>
      </c>
      <c r="C12466" s="2" t="s">
        <v>49660</v>
      </c>
      <c r="D12466" s="2" t="str">
        <f>"9704268782"</f>
        <v>9704268782</v>
      </c>
      <c r="E12466" s="2" t="s">
        <v>239</v>
      </c>
      <c r="F12466" s="2" t="s">
        <v>37599</v>
      </c>
      <c r="G12466" s="2" t="str">
        <f>"SR-17647"</f>
        <v>SR-17647</v>
      </c>
      <c r="H12466" s="2" t="s">
        <v>49661</v>
      </c>
      <c r="I12466" s="2" t="s">
        <v>49662</v>
      </c>
      <c r="K12466" s="2" t="s">
        <v>13748</v>
      </c>
      <c r="L12466" s="2" t="s">
        <v>2389</v>
      </c>
      <c r="M12466" s="2">
        <v>97035.0</v>
      </c>
      <c r="N12466" s="2" t="s">
        <v>21</v>
      </c>
    </row>
    <row r="12467" ht="15.75" customHeight="1">
      <c r="A12467" s="2">
        <v>2020.0</v>
      </c>
      <c r="B12467" s="2" t="s">
        <v>49663</v>
      </c>
      <c r="C12467" s="2" t="s">
        <v>49663</v>
      </c>
      <c r="D12467" s="2" t="str">
        <f>"571-318-0404"</f>
        <v>571-318-0404</v>
      </c>
      <c r="E12467" s="2" t="s">
        <v>49664</v>
      </c>
      <c r="F12467" s="2" t="s">
        <v>49665</v>
      </c>
      <c r="G12467" s="2" t="str">
        <f>"SR-17744"</f>
        <v>SR-17744</v>
      </c>
      <c r="H12467" s="2" t="s">
        <v>49666</v>
      </c>
      <c r="I12467" s="2" t="s">
        <v>49667</v>
      </c>
      <c r="K12467" s="2" t="s">
        <v>404</v>
      </c>
      <c r="L12467" s="2" t="s">
        <v>165</v>
      </c>
      <c r="M12467" s="2">
        <v>22309.0</v>
      </c>
      <c r="N12467" s="2" t="s">
        <v>21</v>
      </c>
    </row>
    <row r="12468" ht="15.75" customHeight="1">
      <c r="A12468" s="2">
        <v>2020.0</v>
      </c>
      <c r="B12468" s="2" t="s">
        <v>49668</v>
      </c>
      <c r="C12468" s="2" t="s">
        <v>49669</v>
      </c>
      <c r="D12468" s="2" t="str">
        <f>"7142962660"</f>
        <v>7142962660</v>
      </c>
      <c r="E12468" s="2" t="s">
        <v>11583</v>
      </c>
      <c r="F12468" s="2" t="s">
        <v>4776</v>
      </c>
      <c r="G12468" s="2" t="str">
        <f>"SR-17743"</f>
        <v>SR-17743</v>
      </c>
      <c r="H12468" s="2" t="s">
        <v>49670</v>
      </c>
      <c r="I12468" s="2" t="s">
        <v>49671</v>
      </c>
      <c r="K12468" s="2" t="s">
        <v>49672</v>
      </c>
      <c r="L12468" s="2" t="s">
        <v>222</v>
      </c>
      <c r="M12468" s="2">
        <v>92625.0</v>
      </c>
      <c r="N12468" s="2" t="s">
        <v>21</v>
      </c>
    </row>
    <row r="12469" ht="15.75" customHeight="1">
      <c r="A12469" s="2">
        <v>2020.0</v>
      </c>
      <c r="B12469" s="2" t="s">
        <v>49673</v>
      </c>
      <c r="C12469" s="2" t="s">
        <v>49673</v>
      </c>
      <c r="D12469" s="2" t="str">
        <f>"9496775414"</f>
        <v>9496775414</v>
      </c>
      <c r="E12469" s="2" t="s">
        <v>4604</v>
      </c>
      <c r="F12469" s="2" t="s">
        <v>49674</v>
      </c>
      <c r="G12469" s="2" t="str">
        <f>"SR-17734"</f>
        <v>SR-17734</v>
      </c>
      <c r="H12469" s="2" t="s">
        <v>49675</v>
      </c>
      <c r="I12469" s="2" t="s">
        <v>49676</v>
      </c>
      <c r="K12469" s="2" t="s">
        <v>5979</v>
      </c>
      <c r="L12469" s="2" t="s">
        <v>222</v>
      </c>
      <c r="M12469" s="2">
        <v>92679.0</v>
      </c>
      <c r="N12469" s="2" t="s">
        <v>21</v>
      </c>
    </row>
    <row r="12470" ht="15.75" customHeight="1">
      <c r="A12470" s="2">
        <v>2020.0</v>
      </c>
      <c r="B12470" s="2" t="s">
        <v>49677</v>
      </c>
      <c r="C12470" s="2" t="s">
        <v>49678</v>
      </c>
      <c r="D12470" s="2" t="str">
        <f>"9495335772"</f>
        <v>9495335772</v>
      </c>
      <c r="E12470" s="2" t="s">
        <v>10152</v>
      </c>
      <c r="F12470" s="2" t="s">
        <v>49674</v>
      </c>
      <c r="G12470" s="2" t="str">
        <f>"SR-17735"</f>
        <v>SR-17735</v>
      </c>
      <c r="H12470" s="2" t="s">
        <v>49679</v>
      </c>
      <c r="I12470" s="2" t="s">
        <v>49676</v>
      </c>
      <c r="K12470" s="2" t="s">
        <v>5979</v>
      </c>
      <c r="L12470" s="2" t="s">
        <v>222</v>
      </c>
      <c r="M12470" s="2">
        <v>92679.0</v>
      </c>
      <c r="N12470" s="2" t="s">
        <v>21</v>
      </c>
    </row>
    <row r="12471" ht="15.75" customHeight="1">
      <c r="A12471" s="2">
        <v>2020.0</v>
      </c>
      <c r="B12471" s="2" t="s">
        <v>38934</v>
      </c>
      <c r="C12471" s="2" t="s">
        <v>49680</v>
      </c>
      <c r="D12471" s="2" t="str">
        <f>"204-325-4170"</f>
        <v>204-325-4170</v>
      </c>
      <c r="E12471" s="2" t="s">
        <v>21985</v>
      </c>
      <c r="F12471" s="2" t="s">
        <v>38936</v>
      </c>
      <c r="G12471" s="2" t="str">
        <f>"SR-17745"</f>
        <v>SR-17745</v>
      </c>
      <c r="H12471" s="2" t="s">
        <v>49681</v>
      </c>
      <c r="I12471" s="2" t="s">
        <v>38938</v>
      </c>
      <c r="K12471" s="2" t="s">
        <v>3231</v>
      </c>
      <c r="L12471" s="2" t="s">
        <v>1600</v>
      </c>
      <c r="M12471" s="2" t="s">
        <v>38939</v>
      </c>
      <c r="N12471" s="2" t="s">
        <v>1602</v>
      </c>
    </row>
    <row r="12472" ht="15.75" customHeight="1">
      <c r="A12472" s="2">
        <v>2020.0</v>
      </c>
      <c r="B12472" s="2" t="s">
        <v>38934</v>
      </c>
      <c r="C12472" s="2" t="s">
        <v>38935</v>
      </c>
      <c r="D12472" s="2" t="str">
        <f>"204-312-8525"</f>
        <v>204-312-8525</v>
      </c>
      <c r="E12472" s="2" t="s">
        <v>651</v>
      </c>
      <c r="F12472" s="2" t="s">
        <v>38936</v>
      </c>
      <c r="G12472" s="2" t="str">
        <f>"SR-13368"</f>
        <v>SR-13368</v>
      </c>
      <c r="H12472" s="2" t="s">
        <v>38937</v>
      </c>
      <c r="I12472" s="2" t="s">
        <v>38938</v>
      </c>
      <c r="K12472" s="2" t="s">
        <v>3231</v>
      </c>
      <c r="L12472" s="2" t="s">
        <v>1600</v>
      </c>
      <c r="M12472" s="2" t="s">
        <v>38939</v>
      </c>
      <c r="N12472" s="2" t="s">
        <v>1602</v>
      </c>
    </row>
    <row r="12473" ht="15.75" customHeight="1">
      <c r="A12473" s="2">
        <v>2020.0</v>
      </c>
      <c r="B12473" s="2" t="s">
        <v>49682</v>
      </c>
      <c r="C12473" s="2" t="s">
        <v>49683</v>
      </c>
      <c r="D12473" s="2" t="str">
        <f>"7205898765"</f>
        <v>7205898765</v>
      </c>
      <c r="E12473" s="2" t="s">
        <v>580</v>
      </c>
      <c r="F12473" s="2" t="s">
        <v>2632</v>
      </c>
      <c r="G12473" s="2" t="str">
        <f>"SR-17746"</f>
        <v>SR-17746</v>
      </c>
      <c r="H12473" s="2" t="s">
        <v>49684</v>
      </c>
      <c r="I12473" s="2" t="s">
        <v>49685</v>
      </c>
      <c r="K12473" s="2" t="s">
        <v>17147</v>
      </c>
      <c r="L12473" s="2" t="s">
        <v>157</v>
      </c>
      <c r="M12473" s="2">
        <v>80601.0</v>
      </c>
      <c r="N12473" s="2" t="s">
        <v>21</v>
      </c>
    </row>
    <row r="12474" ht="15.75" customHeight="1">
      <c r="A12474" s="2">
        <v>2020.0</v>
      </c>
      <c r="B12474" s="2" t="s">
        <v>49686</v>
      </c>
      <c r="C12474" s="2" t="s">
        <v>49687</v>
      </c>
      <c r="D12474" s="2" t="str">
        <f>"5743982119"</f>
        <v>5743982119</v>
      </c>
      <c r="E12474" s="2" t="s">
        <v>2800</v>
      </c>
      <c r="F12474" s="2" t="s">
        <v>49688</v>
      </c>
      <c r="G12474" s="2" t="str">
        <f>"SR-17641"</f>
        <v>SR-17641</v>
      </c>
      <c r="H12474" s="2" t="s">
        <v>49689</v>
      </c>
      <c r="I12474" s="2" t="s">
        <v>49690</v>
      </c>
      <c r="K12474" s="2" t="s">
        <v>49691</v>
      </c>
      <c r="L12474" s="2" t="s">
        <v>193</v>
      </c>
      <c r="M12474" s="2">
        <v>54904.0</v>
      </c>
      <c r="N12474" s="2" t="s">
        <v>21</v>
      </c>
    </row>
    <row r="12475" ht="15.75" customHeight="1">
      <c r="A12475" s="2">
        <v>2020.0</v>
      </c>
      <c r="B12475" s="2" t="s">
        <v>49692</v>
      </c>
      <c r="C12475" s="2" t="s">
        <v>49693</v>
      </c>
      <c r="D12475" s="2" t="str">
        <f t="shared" ref="D12475:D12476" si="211">"937-608-4551"</f>
        <v>937-608-4551</v>
      </c>
      <c r="E12475" s="2" t="s">
        <v>1725</v>
      </c>
      <c r="F12475" s="2" t="s">
        <v>1151</v>
      </c>
      <c r="G12475" s="2" t="str">
        <f>"SR-17747"</f>
        <v>SR-17747</v>
      </c>
      <c r="H12475" s="2" t="s">
        <v>49694</v>
      </c>
      <c r="I12475" s="2" t="s">
        <v>49695</v>
      </c>
      <c r="K12475" s="2" t="s">
        <v>10119</v>
      </c>
      <c r="L12475" s="2" t="s">
        <v>344</v>
      </c>
      <c r="M12475" s="2">
        <v>45206.0</v>
      </c>
      <c r="N12475" s="2" t="s">
        <v>21</v>
      </c>
    </row>
    <row r="12476" ht="15.75" customHeight="1">
      <c r="A12476" s="2">
        <v>2020.0</v>
      </c>
      <c r="B12476" s="2" t="s">
        <v>49692</v>
      </c>
      <c r="C12476" s="2" t="s">
        <v>49696</v>
      </c>
      <c r="D12476" s="2" t="str">
        <f t="shared" si="211"/>
        <v>937-608-4551</v>
      </c>
      <c r="E12476" s="2" t="s">
        <v>14100</v>
      </c>
      <c r="F12476" s="2" t="s">
        <v>1151</v>
      </c>
      <c r="G12476" s="2" t="str">
        <f>"SR-17748"</f>
        <v>SR-17748</v>
      </c>
      <c r="H12476" s="2" t="s">
        <v>49697</v>
      </c>
      <c r="I12476" s="2" t="s">
        <v>49698</v>
      </c>
      <c r="K12476" s="2" t="s">
        <v>10119</v>
      </c>
      <c r="L12476" s="2" t="s">
        <v>344</v>
      </c>
      <c r="M12476" s="2">
        <v>45206.0</v>
      </c>
      <c r="N12476" s="2" t="s">
        <v>21</v>
      </c>
    </row>
    <row r="12477" ht="15.75" customHeight="1">
      <c r="A12477" s="2">
        <v>2020.0</v>
      </c>
      <c r="B12477" s="2" t="s">
        <v>27354</v>
      </c>
      <c r="C12477" s="2" t="s">
        <v>49699</v>
      </c>
      <c r="D12477" s="2" t="str">
        <f>"6052300771"</f>
        <v>6052300771</v>
      </c>
      <c r="E12477" s="2" t="s">
        <v>7389</v>
      </c>
      <c r="F12477" s="2" t="s">
        <v>27356</v>
      </c>
      <c r="G12477" s="2" t="str">
        <f>"SR-15122"</f>
        <v>SR-15122</v>
      </c>
      <c r="H12477" s="2" t="s">
        <v>49700</v>
      </c>
      <c r="I12477" s="2" t="s">
        <v>27358</v>
      </c>
      <c r="K12477" s="2" t="s">
        <v>18927</v>
      </c>
      <c r="L12477" s="2" t="s">
        <v>920</v>
      </c>
      <c r="M12477" s="2">
        <v>57472.0</v>
      </c>
      <c r="N12477" s="2" t="s">
        <v>21</v>
      </c>
    </row>
    <row r="12478" ht="15.75" customHeight="1">
      <c r="A12478" s="2">
        <v>2020.0</v>
      </c>
      <c r="B12478" s="2" t="s">
        <v>24617</v>
      </c>
      <c r="C12478" s="2" t="s">
        <v>49701</v>
      </c>
      <c r="D12478" s="2" t="str">
        <f>"4063615647"</f>
        <v>4063615647</v>
      </c>
      <c r="E12478" s="2" t="s">
        <v>4763</v>
      </c>
      <c r="F12478" s="2" t="s">
        <v>9714</v>
      </c>
      <c r="G12478" s="2" t="str">
        <f>"SR-17751"</f>
        <v>SR-17751</v>
      </c>
      <c r="H12478" s="2" t="s">
        <v>49702</v>
      </c>
      <c r="I12478" s="2" t="s">
        <v>49703</v>
      </c>
      <c r="K12478" s="2" t="s">
        <v>9717</v>
      </c>
      <c r="L12478" s="2" t="s">
        <v>2696</v>
      </c>
      <c r="M12478" s="2">
        <v>59870.0</v>
      </c>
      <c r="N12478" s="2" t="s">
        <v>21</v>
      </c>
    </row>
    <row r="12479" ht="15.75" customHeight="1">
      <c r="A12479" s="2">
        <v>2020.0</v>
      </c>
      <c r="B12479" s="2" t="s">
        <v>49704</v>
      </c>
      <c r="C12479" s="2" t="s">
        <v>49705</v>
      </c>
      <c r="D12479" s="2" t="str">
        <f>"719-648-9686"</f>
        <v>719-648-9686</v>
      </c>
      <c r="E12479" s="2" t="s">
        <v>1022</v>
      </c>
      <c r="F12479" s="2" t="s">
        <v>49706</v>
      </c>
      <c r="G12479" s="2" t="str">
        <f>"SR-17753"</f>
        <v>SR-17753</v>
      </c>
      <c r="H12479" s="2" t="s">
        <v>49707</v>
      </c>
      <c r="I12479" s="2" t="s">
        <v>49708</v>
      </c>
      <c r="K12479" s="2" t="s">
        <v>507</v>
      </c>
      <c r="L12479" s="2" t="s">
        <v>157</v>
      </c>
      <c r="M12479" s="2">
        <v>80132.0</v>
      </c>
      <c r="N12479" s="2" t="s">
        <v>21</v>
      </c>
    </row>
    <row r="12480" ht="15.75" customHeight="1">
      <c r="A12480" s="2">
        <v>2020.0</v>
      </c>
      <c r="B12480" s="2" t="s">
        <v>49704</v>
      </c>
      <c r="C12480" s="2" t="s">
        <v>49709</v>
      </c>
      <c r="D12480" s="2" t="str">
        <f>"719-453-6763"</f>
        <v>719-453-6763</v>
      </c>
      <c r="E12480" s="2" t="s">
        <v>1257</v>
      </c>
      <c r="F12480" s="2" t="s">
        <v>49706</v>
      </c>
      <c r="G12480" s="2" t="str">
        <f>"SR-17754"</f>
        <v>SR-17754</v>
      </c>
      <c r="H12480" s="2" t="s">
        <v>49710</v>
      </c>
      <c r="I12480" s="2" t="s">
        <v>49708</v>
      </c>
      <c r="K12480" s="2" t="s">
        <v>507</v>
      </c>
      <c r="L12480" s="2" t="s">
        <v>157</v>
      </c>
      <c r="M12480" s="2">
        <v>80132.0</v>
      </c>
      <c r="N12480" s="2" t="s">
        <v>21</v>
      </c>
    </row>
    <row r="12481" ht="15.75" customHeight="1">
      <c r="A12481" s="2">
        <v>2020.0</v>
      </c>
      <c r="B12481" s="2" t="s">
        <v>49711</v>
      </c>
      <c r="C12481" s="2" t="s">
        <v>49711</v>
      </c>
      <c r="D12481" s="2" t="str">
        <f>"5126963939"</f>
        <v>5126963939</v>
      </c>
      <c r="E12481" s="2" t="s">
        <v>10152</v>
      </c>
      <c r="F12481" s="2" t="s">
        <v>13073</v>
      </c>
      <c r="G12481" s="2" t="str">
        <f>"SR-17756"</f>
        <v>SR-17756</v>
      </c>
      <c r="H12481" s="2" t="s">
        <v>49712</v>
      </c>
      <c r="I12481" s="2" t="s">
        <v>49713</v>
      </c>
      <c r="K12481" s="2" t="s">
        <v>1141</v>
      </c>
      <c r="L12481" s="2" t="s">
        <v>172</v>
      </c>
      <c r="M12481" s="2">
        <v>78727.0</v>
      </c>
      <c r="N12481" s="2" t="s">
        <v>21</v>
      </c>
    </row>
    <row r="12482" ht="15.75" customHeight="1">
      <c r="A12482" s="2">
        <v>2020.0</v>
      </c>
      <c r="B12482" s="2" t="s">
        <v>49714</v>
      </c>
      <c r="C12482" s="2" t="s">
        <v>49715</v>
      </c>
      <c r="D12482" s="2" t="str">
        <f>"7196418577"</f>
        <v>7196418577</v>
      </c>
      <c r="E12482" s="2" t="s">
        <v>1208</v>
      </c>
      <c r="F12482" s="2" t="s">
        <v>562</v>
      </c>
      <c r="G12482" s="2" t="str">
        <f>"SR-17758"</f>
        <v>SR-17758</v>
      </c>
      <c r="H12482" s="2" t="s">
        <v>49716</v>
      </c>
      <c r="I12482" s="2" t="s">
        <v>42945</v>
      </c>
      <c r="K12482" s="2" t="s">
        <v>809</v>
      </c>
      <c r="L12482" s="2" t="s">
        <v>157</v>
      </c>
      <c r="M12482" s="2">
        <v>80908.0</v>
      </c>
      <c r="N12482" s="2" t="s">
        <v>21</v>
      </c>
    </row>
    <row r="12483" ht="15.75" customHeight="1">
      <c r="A12483" s="2">
        <v>2020.0</v>
      </c>
      <c r="B12483" s="2" t="s">
        <v>49717</v>
      </c>
      <c r="D12483" s="2" t="str">
        <f>""</f>
        <v/>
      </c>
      <c r="E12483" s="2" t="s">
        <v>47879</v>
      </c>
      <c r="F12483" s="2" t="s">
        <v>13604</v>
      </c>
      <c r="G12483" s="2" t="str">
        <f>"SR-17473"</f>
        <v>SR-17473</v>
      </c>
      <c r="H12483" s="2" t="s">
        <v>49718</v>
      </c>
    </row>
    <row r="12484" ht="15.75" customHeight="1">
      <c r="A12484" s="2">
        <v>2020.0</v>
      </c>
      <c r="B12484" s="2" t="s">
        <v>42472</v>
      </c>
      <c r="C12484" s="2" t="s">
        <v>43736</v>
      </c>
      <c r="D12484" s="2" t="str">
        <f>"6124134225"</f>
        <v>6124134225</v>
      </c>
      <c r="E12484" s="2" t="s">
        <v>651</v>
      </c>
      <c r="F12484" s="2" t="s">
        <v>42473</v>
      </c>
      <c r="G12484" s="2" t="str">
        <f>"SR-15390"</f>
        <v>SR-15390</v>
      </c>
      <c r="H12484" s="2" t="s">
        <v>43737</v>
      </c>
      <c r="I12484" s="2" t="s">
        <v>43738</v>
      </c>
      <c r="K12484" s="2" t="s">
        <v>43739</v>
      </c>
      <c r="L12484" s="2" t="s">
        <v>62</v>
      </c>
      <c r="M12484" s="2">
        <v>55129.0</v>
      </c>
      <c r="N12484" s="2" t="s">
        <v>21</v>
      </c>
    </row>
    <row r="12485" ht="15.75" customHeight="1">
      <c r="A12485" s="2">
        <v>2020.0</v>
      </c>
      <c r="B12485" s="2" t="s">
        <v>39577</v>
      </c>
      <c r="C12485" s="2" t="s">
        <v>49719</v>
      </c>
      <c r="D12485" s="2" t="str">
        <f>"8139578886"</f>
        <v>8139578886</v>
      </c>
      <c r="E12485" s="2" t="s">
        <v>2760</v>
      </c>
      <c r="F12485" s="2" t="s">
        <v>26789</v>
      </c>
      <c r="G12485" s="2" t="str">
        <f>"SR-17759"</f>
        <v>SR-17759</v>
      </c>
      <c r="H12485" s="2" t="s">
        <v>49720</v>
      </c>
      <c r="I12485" s="2" t="s">
        <v>26791</v>
      </c>
      <c r="K12485" s="2" t="s">
        <v>3431</v>
      </c>
      <c r="L12485" s="2" t="s">
        <v>208</v>
      </c>
      <c r="M12485" s="2">
        <v>33626.0</v>
      </c>
      <c r="N12485" s="2" t="s">
        <v>21</v>
      </c>
    </row>
    <row r="12486" ht="15.75" customHeight="1">
      <c r="A12486" s="2">
        <v>2020.0</v>
      </c>
      <c r="B12486" s="2" t="s">
        <v>49210</v>
      </c>
      <c r="C12486" s="2" t="s">
        <v>49721</v>
      </c>
      <c r="D12486" s="2" t="str">
        <f>"2813692349"</f>
        <v>2813692349</v>
      </c>
      <c r="E12486" s="2" t="s">
        <v>915</v>
      </c>
      <c r="F12486" s="2" t="s">
        <v>5105</v>
      </c>
      <c r="G12486" s="2" t="str">
        <f>"SR-17763"</f>
        <v>SR-17763</v>
      </c>
      <c r="H12486" s="2" t="s">
        <v>49722</v>
      </c>
      <c r="I12486" s="2" t="s">
        <v>49213</v>
      </c>
      <c r="K12486" s="2" t="s">
        <v>22621</v>
      </c>
      <c r="L12486" s="2" t="s">
        <v>172</v>
      </c>
      <c r="M12486" s="2">
        <v>77583.0</v>
      </c>
      <c r="N12486" s="2" t="s">
        <v>21</v>
      </c>
    </row>
    <row r="12487" ht="15.75" customHeight="1">
      <c r="A12487" s="2">
        <v>2020.0</v>
      </c>
      <c r="B12487" s="2" t="s">
        <v>34514</v>
      </c>
      <c r="C12487" s="2" t="s">
        <v>49723</v>
      </c>
      <c r="D12487" s="2" t="str">
        <f>"4352371790"</f>
        <v>4352371790</v>
      </c>
      <c r="E12487" s="2" t="s">
        <v>1529</v>
      </c>
      <c r="F12487" s="2" t="s">
        <v>34516</v>
      </c>
      <c r="G12487" s="2" t="str">
        <f>"SR-17765"</f>
        <v>SR-17765</v>
      </c>
      <c r="H12487" s="2" t="s">
        <v>49724</v>
      </c>
      <c r="I12487" s="2" t="s">
        <v>49725</v>
      </c>
      <c r="K12487" s="2" t="s">
        <v>19689</v>
      </c>
      <c r="L12487" s="2" t="s">
        <v>763</v>
      </c>
      <c r="M12487" s="2">
        <v>84340.0</v>
      </c>
      <c r="N12487" s="2" t="s">
        <v>21</v>
      </c>
    </row>
    <row r="12488" ht="15.75" customHeight="1">
      <c r="A12488" s="2">
        <v>2020.0</v>
      </c>
      <c r="B12488" s="2" t="s">
        <v>49726</v>
      </c>
      <c r="C12488" s="2" t="s">
        <v>49727</v>
      </c>
      <c r="D12488" s="2" t="str">
        <f>"3208155648"</f>
        <v>3208155648</v>
      </c>
      <c r="E12488" s="2" t="s">
        <v>49728</v>
      </c>
      <c r="F12488" s="2" t="s">
        <v>1209</v>
      </c>
      <c r="G12488" s="2" t="str">
        <f>"SR-17766"</f>
        <v>SR-17766</v>
      </c>
      <c r="H12488" s="2" t="s">
        <v>49729</v>
      </c>
      <c r="I12488" s="2" t="s">
        <v>49730</v>
      </c>
      <c r="K12488" s="2" t="s">
        <v>25661</v>
      </c>
      <c r="L12488" s="2" t="s">
        <v>62</v>
      </c>
      <c r="M12488" s="2">
        <v>56343.0</v>
      </c>
      <c r="N12488" s="2" t="s">
        <v>21</v>
      </c>
    </row>
    <row r="12489" ht="15.75" customHeight="1">
      <c r="A12489" s="2">
        <v>2020.0</v>
      </c>
      <c r="B12489" s="2" t="s">
        <v>31036</v>
      </c>
      <c r="C12489" s="2" t="s">
        <v>49731</v>
      </c>
      <c r="D12489" s="2" t="str">
        <f>"9516912432"</f>
        <v>9516912432</v>
      </c>
      <c r="E12489" s="2" t="s">
        <v>2162</v>
      </c>
      <c r="F12489" s="2" t="s">
        <v>711</v>
      </c>
      <c r="G12489" s="2" t="str">
        <f>"SR-17767"</f>
        <v>SR-17767</v>
      </c>
      <c r="H12489" s="2" t="s">
        <v>49732</v>
      </c>
      <c r="I12489" s="2" t="s">
        <v>49733</v>
      </c>
      <c r="K12489" s="2" t="s">
        <v>13793</v>
      </c>
      <c r="L12489" s="2" t="s">
        <v>222</v>
      </c>
      <c r="M12489" s="2">
        <v>92562.0</v>
      </c>
      <c r="N12489" s="2" t="s">
        <v>21</v>
      </c>
    </row>
    <row r="12490" ht="15.75" customHeight="1">
      <c r="A12490" s="2">
        <v>2020.0</v>
      </c>
      <c r="B12490" s="2" t="s">
        <v>28844</v>
      </c>
      <c r="C12490" s="2" t="s">
        <v>49734</v>
      </c>
      <c r="D12490" s="2" t="str">
        <f>"(803) 348-6056"</f>
        <v>(803) 348-6056</v>
      </c>
      <c r="E12490" s="2" t="s">
        <v>2010</v>
      </c>
      <c r="F12490" s="2" t="s">
        <v>3301</v>
      </c>
      <c r="G12490" s="2" t="str">
        <f>"SR-17768"</f>
        <v>SR-17768</v>
      </c>
      <c r="H12490" s="2" t="s">
        <v>49735</v>
      </c>
      <c r="I12490" s="2" t="s">
        <v>28847</v>
      </c>
      <c r="K12490" s="2" t="s">
        <v>2750</v>
      </c>
      <c r="L12490" s="2" t="s">
        <v>55</v>
      </c>
      <c r="M12490" s="2">
        <v>29210.0</v>
      </c>
      <c r="N12490" s="2" t="s">
        <v>21</v>
      </c>
    </row>
    <row r="12491" ht="15.75" customHeight="1">
      <c r="A12491" s="2">
        <v>2020.0</v>
      </c>
      <c r="B12491" s="2" t="s">
        <v>49736</v>
      </c>
      <c r="C12491" s="2" t="s">
        <v>49736</v>
      </c>
      <c r="D12491" s="2" t="str">
        <f>"(402) 316-8915"</f>
        <v>(402) 316-8915</v>
      </c>
      <c r="E12491" s="2" t="s">
        <v>301</v>
      </c>
      <c r="F12491" s="2" t="s">
        <v>49737</v>
      </c>
      <c r="G12491" s="2" t="str">
        <f>"SR-17575"</f>
        <v>SR-17575</v>
      </c>
      <c r="H12491" s="2" t="s">
        <v>49738</v>
      </c>
      <c r="I12491" s="2" t="s">
        <v>49739</v>
      </c>
      <c r="K12491" s="2" t="s">
        <v>11726</v>
      </c>
      <c r="L12491" s="2" t="s">
        <v>757</v>
      </c>
      <c r="M12491" s="2">
        <v>68701.0</v>
      </c>
      <c r="N12491" s="2" t="s">
        <v>21</v>
      </c>
    </row>
    <row r="12492" ht="15.75" customHeight="1">
      <c r="A12492" s="2">
        <v>2020.0</v>
      </c>
      <c r="B12492" s="2" t="s">
        <v>49740</v>
      </c>
      <c r="C12492" s="2" t="s">
        <v>49741</v>
      </c>
      <c r="D12492" s="2" t="str">
        <f>"402 379-4468"</f>
        <v>402 379-4468</v>
      </c>
      <c r="E12492" s="2" t="s">
        <v>160</v>
      </c>
      <c r="F12492" s="2" t="s">
        <v>3627</v>
      </c>
      <c r="G12492" s="2" t="str">
        <f>"SR-17772"</f>
        <v>SR-17772</v>
      </c>
      <c r="H12492" s="2" t="s">
        <v>3628</v>
      </c>
      <c r="I12492" s="2" t="s">
        <v>33371</v>
      </c>
      <c r="K12492" s="2" t="s">
        <v>11726</v>
      </c>
      <c r="L12492" s="2" t="s">
        <v>757</v>
      </c>
      <c r="M12492" s="2">
        <v>68701.0</v>
      </c>
      <c r="N12492" s="2" t="s">
        <v>21</v>
      </c>
    </row>
    <row r="12493" ht="15.75" customHeight="1">
      <c r="A12493" s="2">
        <v>2020.0</v>
      </c>
      <c r="B12493" s="2" t="s">
        <v>42000</v>
      </c>
      <c r="C12493" s="2" t="s">
        <v>49742</v>
      </c>
      <c r="D12493" s="2" t="str">
        <f>"4029922338"</f>
        <v>4029922338</v>
      </c>
      <c r="E12493" s="2" t="s">
        <v>11885</v>
      </c>
      <c r="F12493" s="2" t="s">
        <v>42002</v>
      </c>
      <c r="G12493" s="2" t="str">
        <f>"SR-17773"</f>
        <v>SR-17773</v>
      </c>
      <c r="H12493" s="2" t="s">
        <v>49743</v>
      </c>
      <c r="I12493" s="2" t="s">
        <v>49744</v>
      </c>
      <c r="K12493" s="2" t="s">
        <v>11726</v>
      </c>
      <c r="L12493" s="2" t="s">
        <v>757</v>
      </c>
      <c r="M12493" s="2">
        <v>68701.0</v>
      </c>
      <c r="N12493" s="2" t="s">
        <v>21</v>
      </c>
    </row>
    <row r="12494" ht="15.75" customHeight="1">
      <c r="A12494" s="2">
        <v>2020.0</v>
      </c>
      <c r="B12494" s="2" t="s">
        <v>11721</v>
      </c>
      <c r="C12494" s="2" t="s">
        <v>49745</v>
      </c>
      <c r="D12494" s="2" t="str">
        <f>"402-860-6195"</f>
        <v>402-860-6195</v>
      </c>
      <c r="E12494" s="2" t="s">
        <v>453</v>
      </c>
      <c r="F12494" s="2" t="s">
        <v>11723</v>
      </c>
      <c r="G12494" s="2" t="str">
        <f>"SR-17774"</f>
        <v>SR-17774</v>
      </c>
      <c r="H12494" s="2" t="s">
        <v>49746</v>
      </c>
      <c r="I12494" s="2" t="s">
        <v>31083</v>
      </c>
      <c r="K12494" s="2" t="s">
        <v>11726</v>
      </c>
      <c r="L12494" s="2" t="s">
        <v>757</v>
      </c>
      <c r="M12494" s="2">
        <v>68701.0</v>
      </c>
      <c r="N12494" s="2" t="s">
        <v>21</v>
      </c>
    </row>
    <row r="12495" ht="15.75" customHeight="1">
      <c r="A12495" s="2">
        <v>2020.0</v>
      </c>
      <c r="B12495" s="2" t="s">
        <v>49747</v>
      </c>
      <c r="C12495" s="2" t="s">
        <v>49748</v>
      </c>
      <c r="D12495" s="2" t="str">
        <f>"(949)293-7171"</f>
        <v>(949)293-7171</v>
      </c>
      <c r="E12495" s="2" t="s">
        <v>9975</v>
      </c>
      <c r="F12495" s="2" t="s">
        <v>49749</v>
      </c>
      <c r="G12495" s="2" t="str">
        <f>"SR-17775"</f>
        <v>SR-17775</v>
      </c>
      <c r="H12495" s="2" t="s">
        <v>49750</v>
      </c>
      <c r="I12495" s="2" t="s">
        <v>49751</v>
      </c>
      <c r="K12495" s="2" t="s">
        <v>24136</v>
      </c>
      <c r="L12495" s="2" t="s">
        <v>222</v>
      </c>
      <c r="M12495" s="2">
        <v>92604.0</v>
      </c>
      <c r="N12495" s="2" t="s">
        <v>21</v>
      </c>
    </row>
    <row r="12496" ht="15.75" customHeight="1">
      <c r="A12496" s="2">
        <v>2020.0</v>
      </c>
      <c r="B12496" s="2" t="s">
        <v>49752</v>
      </c>
      <c r="C12496" s="2" t="s">
        <v>49752</v>
      </c>
      <c r="D12496" s="2" t="str">
        <f>"5857891499"</f>
        <v>5857891499</v>
      </c>
      <c r="E12496" s="2" t="s">
        <v>2089</v>
      </c>
      <c r="F12496" s="2" t="s">
        <v>49753</v>
      </c>
      <c r="G12496" s="2" t="str">
        <f>"SR-17776"</f>
        <v>SR-17776</v>
      </c>
      <c r="H12496" s="2" t="s">
        <v>49754</v>
      </c>
      <c r="I12496" s="2" t="s">
        <v>49755</v>
      </c>
      <c r="K12496" s="2" t="s">
        <v>35372</v>
      </c>
      <c r="L12496" s="2" t="s">
        <v>142</v>
      </c>
      <c r="M12496" s="2">
        <v>14414.0</v>
      </c>
      <c r="N12496" s="2" t="s">
        <v>21</v>
      </c>
    </row>
    <row r="12497" ht="15.75" customHeight="1">
      <c r="A12497" s="2">
        <v>2020.0</v>
      </c>
      <c r="B12497" s="2" t="s">
        <v>49752</v>
      </c>
      <c r="C12497" s="2" t="s">
        <v>49756</v>
      </c>
      <c r="D12497" s="2" t="str">
        <f>"5854410999"</f>
        <v>5854410999</v>
      </c>
      <c r="E12497" s="2" t="s">
        <v>72</v>
      </c>
      <c r="F12497" s="2" t="s">
        <v>49753</v>
      </c>
      <c r="G12497" s="2" t="str">
        <f>"SR-17777"</f>
        <v>SR-17777</v>
      </c>
      <c r="H12497" s="2" t="s">
        <v>49757</v>
      </c>
      <c r="I12497" s="2" t="s">
        <v>49758</v>
      </c>
      <c r="K12497" s="2" t="s">
        <v>35372</v>
      </c>
      <c r="L12497" s="2" t="s">
        <v>142</v>
      </c>
      <c r="M12497" s="2">
        <v>14414.0</v>
      </c>
      <c r="N12497" s="2" t="s">
        <v>21</v>
      </c>
    </row>
    <row r="12498" ht="15.75" customHeight="1">
      <c r="A12498" s="2">
        <v>2020.0</v>
      </c>
      <c r="B12498" s="2" t="s">
        <v>49759</v>
      </c>
      <c r="C12498" s="2" t="s">
        <v>49760</v>
      </c>
      <c r="D12498" s="2" t="str">
        <f>"352-973-5339"</f>
        <v>352-973-5339</v>
      </c>
      <c r="E12498" s="2" t="s">
        <v>705</v>
      </c>
      <c r="F12498" s="2" t="s">
        <v>4318</v>
      </c>
      <c r="G12498" s="2" t="str">
        <f>"SR-17779"</f>
        <v>SR-17779</v>
      </c>
      <c r="H12498" s="2" t="s">
        <v>49761</v>
      </c>
      <c r="I12498" s="2" t="s">
        <v>49762</v>
      </c>
      <c r="K12498" s="2" t="s">
        <v>1771</v>
      </c>
      <c r="L12498" s="2" t="s">
        <v>208</v>
      </c>
      <c r="M12498" s="2">
        <v>34731.0</v>
      </c>
      <c r="N12498" s="2" t="s">
        <v>21</v>
      </c>
    </row>
    <row r="12499" ht="15.75" customHeight="1">
      <c r="A12499" s="2">
        <v>2020.0</v>
      </c>
      <c r="B12499" s="2" t="s">
        <v>49763</v>
      </c>
      <c r="C12499" s="2" t="s">
        <v>49764</v>
      </c>
      <c r="D12499" s="2" t="str">
        <f>"3608652586"</f>
        <v>3608652586</v>
      </c>
      <c r="E12499" s="2" t="s">
        <v>659</v>
      </c>
      <c r="F12499" s="2" t="s">
        <v>23396</v>
      </c>
      <c r="G12499" s="2" t="str">
        <f>"SR-17699"</f>
        <v>SR-17699</v>
      </c>
      <c r="H12499" s="2" t="s">
        <v>49765</v>
      </c>
      <c r="I12499" s="2" t="s">
        <v>49766</v>
      </c>
      <c r="K12499" s="2" t="s">
        <v>49767</v>
      </c>
      <c r="L12499" s="2" t="s">
        <v>105</v>
      </c>
      <c r="M12499" s="2">
        <v>60449.0</v>
      </c>
      <c r="N12499" s="2" t="s">
        <v>21</v>
      </c>
    </row>
    <row r="12500" ht="15.75" customHeight="1">
      <c r="A12500" s="2">
        <v>2020.0</v>
      </c>
      <c r="B12500" s="2" t="s">
        <v>49763</v>
      </c>
      <c r="C12500" s="2" t="s">
        <v>49768</v>
      </c>
      <c r="D12500" s="2" t="str">
        <f>"8084656006"</f>
        <v>8084656006</v>
      </c>
      <c r="E12500" s="2" t="s">
        <v>3511</v>
      </c>
      <c r="F12500" s="2" t="s">
        <v>49769</v>
      </c>
      <c r="G12500" s="2" t="str">
        <f>"SR-17752"</f>
        <v>SR-17752</v>
      </c>
      <c r="H12500" s="2" t="s">
        <v>49770</v>
      </c>
      <c r="I12500" s="2" t="s">
        <v>49771</v>
      </c>
      <c r="K12500" s="2" t="s">
        <v>12644</v>
      </c>
      <c r="L12500" s="2" t="s">
        <v>2696</v>
      </c>
      <c r="M12500" s="2">
        <v>59718.0</v>
      </c>
      <c r="N12500" s="2" t="s">
        <v>21</v>
      </c>
    </row>
    <row r="12501" ht="15.75" customHeight="1">
      <c r="A12501" s="2">
        <v>2020.0</v>
      </c>
      <c r="B12501" s="2" t="s">
        <v>49772</v>
      </c>
      <c r="C12501" s="2" t="s">
        <v>49772</v>
      </c>
      <c r="D12501" s="2" t="str">
        <f>"(316)253-4613"</f>
        <v>(316)253-4613</v>
      </c>
      <c r="E12501" s="2" t="s">
        <v>28621</v>
      </c>
      <c r="F12501" s="2" t="s">
        <v>457</v>
      </c>
      <c r="G12501" s="2" t="str">
        <f>"SR-17782"</f>
        <v>SR-17782</v>
      </c>
      <c r="H12501" s="2" t="s">
        <v>49773</v>
      </c>
      <c r="I12501" s="2" t="s">
        <v>49774</v>
      </c>
      <c r="K12501" s="2" t="s">
        <v>1991</v>
      </c>
      <c r="L12501" s="2" t="s">
        <v>272</v>
      </c>
      <c r="M12501" s="2">
        <v>67002.0</v>
      </c>
      <c r="N12501" s="2" t="s">
        <v>21</v>
      </c>
    </row>
    <row r="12502" ht="15.75" customHeight="1">
      <c r="A12502" s="2">
        <v>2020.0</v>
      </c>
      <c r="B12502" s="2" t="s">
        <v>47752</v>
      </c>
      <c r="C12502" s="2" t="s">
        <v>47753</v>
      </c>
      <c r="D12502" s="2" t="str">
        <f>"8282000223"</f>
        <v>8282000223</v>
      </c>
      <c r="E12502" s="2" t="s">
        <v>1274</v>
      </c>
      <c r="F12502" s="2" t="s">
        <v>10041</v>
      </c>
      <c r="G12502" s="2" t="str">
        <f>"SR-16743"</f>
        <v>SR-16743</v>
      </c>
      <c r="H12502" s="2" t="s">
        <v>47754</v>
      </c>
      <c r="I12502" s="2" t="s">
        <v>47755</v>
      </c>
      <c r="K12502" s="2" t="s">
        <v>47756</v>
      </c>
      <c r="L12502" s="2" t="s">
        <v>20</v>
      </c>
      <c r="M12502" s="2">
        <v>28803.0</v>
      </c>
      <c r="N12502" s="2" t="s">
        <v>21</v>
      </c>
    </row>
    <row r="12503" ht="15.75" customHeight="1">
      <c r="A12503" s="2">
        <v>2020.0</v>
      </c>
      <c r="B12503" s="2" t="s">
        <v>49775</v>
      </c>
      <c r="C12503" s="2" t="s">
        <v>49776</v>
      </c>
      <c r="D12503" s="2" t="str">
        <f>"405-612-7777"</f>
        <v>405-612-7777</v>
      </c>
      <c r="E12503" s="2" t="s">
        <v>13107</v>
      </c>
      <c r="F12503" s="2" t="s">
        <v>11708</v>
      </c>
      <c r="G12503" s="2" t="str">
        <f>"SR-17783"</f>
        <v>SR-17783</v>
      </c>
      <c r="H12503" s="2" t="s">
        <v>49777</v>
      </c>
      <c r="I12503" s="2" t="s">
        <v>39468</v>
      </c>
      <c r="K12503" s="2" t="s">
        <v>21503</v>
      </c>
      <c r="L12503" s="2" t="s">
        <v>1236</v>
      </c>
      <c r="M12503" s="2">
        <v>40390.0</v>
      </c>
      <c r="N12503" s="2" t="s">
        <v>21</v>
      </c>
    </row>
    <row r="12504" ht="15.75" customHeight="1">
      <c r="A12504" s="2">
        <v>2020.0</v>
      </c>
      <c r="B12504" s="2" t="s">
        <v>49778</v>
      </c>
      <c r="C12504" s="2" t="s">
        <v>49779</v>
      </c>
      <c r="D12504" s="2" t="str">
        <f>"9712838414"</f>
        <v>9712838414</v>
      </c>
      <c r="E12504" s="2" t="s">
        <v>4871</v>
      </c>
      <c r="F12504" s="2" t="s">
        <v>7396</v>
      </c>
      <c r="G12504" s="2" t="str">
        <f>"SR-17784"</f>
        <v>SR-17784</v>
      </c>
      <c r="H12504" s="2" t="s">
        <v>49780</v>
      </c>
      <c r="I12504" s="2" t="s">
        <v>49781</v>
      </c>
      <c r="K12504" s="2" t="s">
        <v>49782</v>
      </c>
      <c r="L12504" s="2" t="s">
        <v>2389</v>
      </c>
      <c r="M12504" s="2">
        <v>97303.0</v>
      </c>
      <c r="N12504" s="2" t="s">
        <v>21</v>
      </c>
    </row>
    <row r="12505" ht="15.75" customHeight="1">
      <c r="A12505" s="2">
        <v>2020.0</v>
      </c>
      <c r="B12505" s="2" t="s">
        <v>31069</v>
      </c>
      <c r="C12505" s="2" t="s">
        <v>49783</v>
      </c>
      <c r="D12505" s="2" t="str">
        <f>"360-939-1215"</f>
        <v>360-939-1215</v>
      </c>
      <c r="E12505" s="2" t="s">
        <v>1803</v>
      </c>
      <c r="F12505" s="2" t="s">
        <v>31071</v>
      </c>
      <c r="G12505" s="2" t="str">
        <f>"SR-17787"</f>
        <v>SR-17787</v>
      </c>
      <c r="H12505" s="2" t="s">
        <v>49784</v>
      </c>
      <c r="I12505" s="2" t="s">
        <v>49785</v>
      </c>
      <c r="K12505" s="2" t="s">
        <v>31074</v>
      </c>
      <c r="L12505" s="2" t="s">
        <v>86</v>
      </c>
      <c r="M12505" s="2">
        <v>98331.0</v>
      </c>
      <c r="N12505" s="2" t="s">
        <v>21</v>
      </c>
    </row>
    <row r="12506" ht="15.75" customHeight="1">
      <c r="A12506" s="2">
        <v>2020.0</v>
      </c>
      <c r="B12506" s="2" t="s">
        <v>49786</v>
      </c>
      <c r="C12506" s="2" t="s">
        <v>49787</v>
      </c>
      <c r="D12506" s="2" t="str">
        <f>"540-750-6772"</f>
        <v>540-750-6772</v>
      </c>
      <c r="E12506" s="2" t="s">
        <v>26087</v>
      </c>
      <c r="F12506" s="2" t="s">
        <v>38027</v>
      </c>
      <c r="G12506" s="2" t="str">
        <f>"SR-17781"</f>
        <v>SR-17781</v>
      </c>
      <c r="H12506" s="2" t="s">
        <v>49788</v>
      </c>
      <c r="I12506" s="2" t="s">
        <v>49789</v>
      </c>
      <c r="K12506" s="2" t="s">
        <v>28154</v>
      </c>
      <c r="L12506" s="2" t="s">
        <v>165</v>
      </c>
      <c r="M12506" s="2">
        <v>24073.0</v>
      </c>
      <c r="N12506" s="2" t="s">
        <v>21</v>
      </c>
    </row>
    <row r="12507" ht="15.75" customHeight="1">
      <c r="A12507" s="2">
        <v>2020.0</v>
      </c>
      <c r="B12507" s="2" t="s">
        <v>49790</v>
      </c>
      <c r="C12507" s="2" t="s">
        <v>49791</v>
      </c>
      <c r="D12507" s="2" t="str">
        <f>"843-291-5172"</f>
        <v>843-291-5172</v>
      </c>
      <c r="E12507" s="2" t="s">
        <v>34353</v>
      </c>
      <c r="F12507" s="2" t="s">
        <v>41301</v>
      </c>
      <c r="G12507" s="2" t="str">
        <f>"SR-17791"</f>
        <v>SR-17791</v>
      </c>
      <c r="H12507" s="2" t="s">
        <v>49792</v>
      </c>
      <c r="I12507" s="2" t="s">
        <v>41303</v>
      </c>
      <c r="K12507" s="2" t="s">
        <v>1932</v>
      </c>
      <c r="L12507" s="2" t="s">
        <v>55</v>
      </c>
      <c r="M12507" s="2">
        <v>29486.0</v>
      </c>
      <c r="N12507" s="2" t="s">
        <v>21</v>
      </c>
    </row>
    <row r="12508" ht="15.75" customHeight="1">
      <c r="A12508" s="2">
        <v>2020.0</v>
      </c>
      <c r="B12508" s="2" t="s">
        <v>49793</v>
      </c>
      <c r="C12508" s="2" t="s">
        <v>49794</v>
      </c>
      <c r="D12508" s="2" t="str">
        <f>"5034000400"</f>
        <v>5034000400</v>
      </c>
      <c r="E12508" s="2" t="s">
        <v>23409</v>
      </c>
      <c r="F12508" s="2" t="s">
        <v>2954</v>
      </c>
      <c r="G12508" s="2" t="str">
        <f>"SR-17792"</f>
        <v>SR-17792</v>
      </c>
      <c r="H12508" s="2" t="s">
        <v>49795</v>
      </c>
      <c r="I12508" s="2" t="s">
        <v>49796</v>
      </c>
      <c r="K12508" s="2" t="s">
        <v>5131</v>
      </c>
      <c r="L12508" s="2" t="s">
        <v>2389</v>
      </c>
      <c r="M12508" s="2">
        <v>97305.0</v>
      </c>
      <c r="N12508" s="2" t="s">
        <v>21</v>
      </c>
    </row>
    <row r="12509" ht="15.75" customHeight="1">
      <c r="A12509" s="2">
        <v>2020.0</v>
      </c>
      <c r="B12509" s="2" t="s">
        <v>3569</v>
      </c>
      <c r="C12509" s="2" t="s">
        <v>49797</v>
      </c>
      <c r="D12509" s="2" t="str">
        <f>"4792124479"</f>
        <v>4792124479</v>
      </c>
      <c r="E12509" s="2" t="s">
        <v>8649</v>
      </c>
      <c r="F12509" s="2" t="s">
        <v>3570</v>
      </c>
      <c r="G12509" s="2" t="str">
        <f>"SR-17134"</f>
        <v>SR-17134</v>
      </c>
      <c r="H12509" s="2" t="s">
        <v>47560</v>
      </c>
      <c r="I12509" s="2" t="s">
        <v>49798</v>
      </c>
      <c r="K12509" s="2" t="s">
        <v>3573</v>
      </c>
      <c r="L12509" s="2" t="s">
        <v>1012</v>
      </c>
      <c r="M12509" s="2">
        <v>72736.0</v>
      </c>
      <c r="N12509" s="2" t="s">
        <v>21</v>
      </c>
    </row>
    <row r="12510" ht="15.75" customHeight="1">
      <c r="A12510" s="2">
        <v>2020.0</v>
      </c>
      <c r="B12510" s="2" t="s">
        <v>3569</v>
      </c>
      <c r="C12510" s="2" t="s">
        <v>3569</v>
      </c>
      <c r="D12510" s="2" t="str">
        <f>"479-276-0450"</f>
        <v>479-276-0450</v>
      </c>
      <c r="E12510" s="2" t="s">
        <v>983</v>
      </c>
      <c r="F12510" s="2" t="s">
        <v>3570</v>
      </c>
      <c r="G12510" s="2" t="str">
        <f>"SR-17789"</f>
        <v>SR-17789</v>
      </c>
      <c r="H12510" s="2" t="s">
        <v>47558</v>
      </c>
      <c r="I12510" s="2" t="s">
        <v>49799</v>
      </c>
      <c r="K12510" s="2" t="s">
        <v>14516</v>
      </c>
      <c r="L12510" s="2" t="s">
        <v>1012</v>
      </c>
      <c r="M12510" s="2">
        <v>72712.0</v>
      </c>
      <c r="N12510" s="2" t="s">
        <v>21</v>
      </c>
    </row>
    <row r="12511" ht="15.75" customHeight="1">
      <c r="A12511" s="2">
        <v>2020.0</v>
      </c>
      <c r="B12511" s="2" t="s">
        <v>3569</v>
      </c>
      <c r="C12511" s="2" t="s">
        <v>49800</v>
      </c>
      <c r="D12511" s="2" t="str">
        <f>"479-212-8602"</f>
        <v>479-212-8602</v>
      </c>
      <c r="E12511" s="2" t="s">
        <v>1263</v>
      </c>
      <c r="F12511" s="2" t="s">
        <v>3570</v>
      </c>
      <c r="G12511" s="2" t="str">
        <f>"SR-17790"</f>
        <v>SR-17790</v>
      </c>
      <c r="H12511" s="2" t="s">
        <v>49801</v>
      </c>
      <c r="I12511" s="2" t="s">
        <v>49802</v>
      </c>
      <c r="K12511" s="2" t="s">
        <v>3573</v>
      </c>
      <c r="L12511" s="2" t="s">
        <v>1012</v>
      </c>
      <c r="M12511" s="2">
        <v>72736.0</v>
      </c>
      <c r="N12511" s="2" t="s">
        <v>21</v>
      </c>
    </row>
    <row r="12512" ht="15.75" customHeight="1">
      <c r="A12512" s="2">
        <v>2020.0</v>
      </c>
      <c r="B12512" s="2" t="s">
        <v>49803</v>
      </c>
      <c r="C12512" s="2" t="s">
        <v>49803</v>
      </c>
      <c r="D12512" s="2" t="str">
        <f>"7193532430"</f>
        <v>7193532430</v>
      </c>
      <c r="E12512" s="2" t="s">
        <v>49804</v>
      </c>
      <c r="F12512" s="2" t="s">
        <v>49805</v>
      </c>
      <c r="G12512" s="2" t="str">
        <f>"SR-17794"</f>
        <v>SR-17794</v>
      </c>
      <c r="H12512" s="2" t="s">
        <v>49806</v>
      </c>
      <c r="I12512" s="2" t="s">
        <v>49807</v>
      </c>
      <c r="K12512" s="2" t="s">
        <v>49808</v>
      </c>
      <c r="L12512" s="2" t="s">
        <v>157</v>
      </c>
      <c r="M12512" s="2">
        <v>81073.0</v>
      </c>
      <c r="N12512" s="2" t="s">
        <v>21</v>
      </c>
    </row>
    <row r="12513" ht="15.75" customHeight="1">
      <c r="A12513" s="2">
        <v>2020.0</v>
      </c>
      <c r="B12513" s="2" t="s">
        <v>49809</v>
      </c>
      <c r="C12513" s="2" t="s">
        <v>49809</v>
      </c>
      <c r="D12513" s="2" t="str">
        <f>"2709801801"</f>
        <v>2709801801</v>
      </c>
      <c r="E12513" s="2" t="s">
        <v>1548</v>
      </c>
      <c r="F12513" s="2" t="s">
        <v>17530</v>
      </c>
      <c r="G12513" s="2" t="str">
        <f>"SR-17795"</f>
        <v>SR-17795</v>
      </c>
      <c r="H12513" s="2" t="s">
        <v>49810</v>
      </c>
      <c r="I12513" s="2" t="s">
        <v>49811</v>
      </c>
      <c r="K12513" s="2" t="s">
        <v>44754</v>
      </c>
      <c r="L12513" s="2" t="s">
        <v>1236</v>
      </c>
      <c r="M12513" s="2">
        <v>40108.0</v>
      </c>
      <c r="N12513" s="2" t="s">
        <v>21</v>
      </c>
    </row>
    <row r="12514" ht="15.75" customHeight="1">
      <c r="A12514" s="2">
        <v>2020.0</v>
      </c>
      <c r="B12514" s="2" t="s">
        <v>49812</v>
      </c>
      <c r="C12514" s="2" t="s">
        <v>49813</v>
      </c>
      <c r="D12514" s="2" t="str">
        <f>"4693584024"</f>
        <v>4693584024</v>
      </c>
      <c r="E12514" s="2" t="s">
        <v>261</v>
      </c>
      <c r="F12514" s="2" t="s">
        <v>2753</v>
      </c>
      <c r="G12514" s="2" t="str">
        <f>"SR-17796"</f>
        <v>SR-17796</v>
      </c>
      <c r="H12514" s="2" t="s">
        <v>22570</v>
      </c>
      <c r="I12514" s="2" t="s">
        <v>30602</v>
      </c>
      <c r="K12514" s="2" t="s">
        <v>4079</v>
      </c>
      <c r="L12514" s="2" t="s">
        <v>172</v>
      </c>
      <c r="M12514" s="2">
        <v>75040.0</v>
      </c>
      <c r="N12514" s="2" t="s">
        <v>21</v>
      </c>
    </row>
    <row r="12515" ht="15.75" customHeight="1">
      <c r="A12515" s="2">
        <v>2020.0</v>
      </c>
      <c r="B12515" s="2" t="s">
        <v>49814</v>
      </c>
      <c r="C12515" s="2" t="s">
        <v>49815</v>
      </c>
      <c r="D12515" s="2" t="str">
        <f>"352.665.0485"</f>
        <v>352.665.0485</v>
      </c>
      <c r="E12515" s="2" t="s">
        <v>385</v>
      </c>
      <c r="F12515" s="2" t="s">
        <v>2063</v>
      </c>
      <c r="G12515" s="2" t="str">
        <f>"SR-17798"</f>
        <v>SR-17798</v>
      </c>
      <c r="H12515" s="2" t="s">
        <v>49816</v>
      </c>
      <c r="I12515" s="2" t="s">
        <v>49817</v>
      </c>
      <c r="K12515" s="2" t="s">
        <v>2007</v>
      </c>
      <c r="L12515" s="2" t="s">
        <v>208</v>
      </c>
      <c r="M12515" s="2">
        <v>32312.0</v>
      </c>
      <c r="N12515" s="2" t="s">
        <v>21</v>
      </c>
    </row>
    <row r="12516" ht="15.75" customHeight="1">
      <c r="A12516" s="2">
        <v>2020.0</v>
      </c>
      <c r="B12516" s="2" t="s">
        <v>49818</v>
      </c>
      <c r="C12516" s="2" t="s">
        <v>49819</v>
      </c>
      <c r="D12516" s="2" t="str">
        <f>"3252621780"</f>
        <v>3252621780</v>
      </c>
      <c r="E12516" s="2" t="s">
        <v>485</v>
      </c>
      <c r="F12516" s="2" t="s">
        <v>49820</v>
      </c>
      <c r="G12516" s="2" t="str">
        <f>"SR-17799"</f>
        <v>SR-17799</v>
      </c>
      <c r="H12516" s="2" t="s">
        <v>49821</v>
      </c>
      <c r="I12516" s="2" t="s">
        <v>49822</v>
      </c>
      <c r="K12516" s="2" t="s">
        <v>23004</v>
      </c>
      <c r="L12516" s="2" t="s">
        <v>172</v>
      </c>
      <c r="M12516" s="2">
        <v>76935.0</v>
      </c>
      <c r="N12516" s="2" t="s">
        <v>21</v>
      </c>
    </row>
    <row r="12517" ht="15.75" customHeight="1">
      <c r="A12517" s="2">
        <v>2020.0</v>
      </c>
      <c r="B12517" s="2" t="s">
        <v>21143</v>
      </c>
      <c r="C12517" s="2" t="s">
        <v>49823</v>
      </c>
      <c r="D12517" s="2" t="str">
        <f>"229-848-7341"</f>
        <v>229-848-7341</v>
      </c>
      <c r="E12517" s="2" t="s">
        <v>339</v>
      </c>
      <c r="F12517" s="2" t="s">
        <v>1151</v>
      </c>
      <c r="G12517" s="2" t="str">
        <f>"SR-17797"</f>
        <v>SR-17797</v>
      </c>
      <c r="H12517" s="2" t="s">
        <v>49824</v>
      </c>
      <c r="I12517" s="2" t="s">
        <v>49825</v>
      </c>
      <c r="K12517" s="2" t="s">
        <v>46831</v>
      </c>
      <c r="L12517" s="2" t="s">
        <v>55</v>
      </c>
      <c r="M12517" s="2">
        <v>29045.0</v>
      </c>
      <c r="N12517" s="2" t="s">
        <v>21</v>
      </c>
    </row>
    <row r="12518" ht="15.75" customHeight="1">
      <c r="A12518" s="2">
        <v>2020.0</v>
      </c>
      <c r="B12518" s="2" t="s">
        <v>47950</v>
      </c>
      <c r="C12518" s="2" t="s">
        <v>47951</v>
      </c>
      <c r="D12518" s="2" t="str">
        <f>"(608) 539-2701"</f>
        <v>(608) 539-2701</v>
      </c>
      <c r="E12518" s="2" t="s">
        <v>4300</v>
      </c>
      <c r="F12518" s="2" t="s">
        <v>850</v>
      </c>
      <c r="G12518" s="2" t="str">
        <f>"SR-16801"</f>
        <v>SR-16801</v>
      </c>
      <c r="H12518" s="2" t="s">
        <v>38344</v>
      </c>
      <c r="I12518" s="2" t="s">
        <v>47952</v>
      </c>
      <c r="K12518" s="2" t="s">
        <v>47953</v>
      </c>
      <c r="L12518" s="2" t="s">
        <v>193</v>
      </c>
      <c r="M12518" s="2">
        <v>54630.0</v>
      </c>
      <c r="N12518" s="2" t="s">
        <v>21</v>
      </c>
    </row>
    <row r="12519" ht="15.75" customHeight="1">
      <c r="A12519" s="2">
        <v>2020.0</v>
      </c>
      <c r="B12519" s="2" t="s">
        <v>38197</v>
      </c>
      <c r="C12519" s="2" t="s">
        <v>49826</v>
      </c>
      <c r="D12519" s="2" t="str">
        <f>"5154514472"</f>
        <v>5154514472</v>
      </c>
      <c r="E12519" s="2" t="s">
        <v>6520</v>
      </c>
      <c r="F12519" s="2" t="s">
        <v>25630</v>
      </c>
      <c r="G12519" s="2" t="str">
        <f>"SR-17801"</f>
        <v>SR-17801</v>
      </c>
      <c r="H12519" s="2" t="s">
        <v>49827</v>
      </c>
      <c r="I12519" s="2" t="s">
        <v>49828</v>
      </c>
      <c r="K12519" s="2" t="s">
        <v>6354</v>
      </c>
      <c r="L12519" s="2" t="s">
        <v>560</v>
      </c>
      <c r="M12519" s="2">
        <v>50014.0</v>
      </c>
      <c r="N12519" s="2" t="s">
        <v>21</v>
      </c>
    </row>
    <row r="12520" ht="15.75" customHeight="1">
      <c r="A12520" s="2">
        <v>2020.0</v>
      </c>
      <c r="B12520" s="2" t="s">
        <v>25478</v>
      </c>
      <c r="C12520" s="2" t="s">
        <v>49829</v>
      </c>
      <c r="D12520" s="2" t="str">
        <f>"612-286-5544"</f>
        <v>612-286-5544</v>
      </c>
      <c r="E12520" s="2" t="s">
        <v>49830</v>
      </c>
      <c r="F12520" s="2" t="s">
        <v>9406</v>
      </c>
      <c r="G12520" s="2" t="str">
        <f>"SR-17786"</f>
        <v>SR-17786</v>
      </c>
      <c r="H12520" s="2" t="s">
        <v>49831</v>
      </c>
      <c r="I12520" s="2" t="s">
        <v>25482</v>
      </c>
      <c r="K12520" s="2" t="s">
        <v>25483</v>
      </c>
      <c r="L12520" s="2" t="s">
        <v>62</v>
      </c>
      <c r="M12520" s="2">
        <v>55382.0</v>
      </c>
      <c r="N12520" s="2" t="s">
        <v>21</v>
      </c>
    </row>
    <row r="12521" ht="15.75" customHeight="1">
      <c r="A12521" s="2">
        <v>2020.0</v>
      </c>
      <c r="B12521" s="2" t="s">
        <v>49832</v>
      </c>
      <c r="C12521" s="2" t="s">
        <v>49832</v>
      </c>
      <c r="D12521" s="2" t="str">
        <f>"6066697751"</f>
        <v>6066697751</v>
      </c>
      <c r="E12521" s="2" t="s">
        <v>49833</v>
      </c>
      <c r="F12521" s="2" t="s">
        <v>2598</v>
      </c>
      <c r="G12521" s="2" t="str">
        <f>"SR-17804"</f>
        <v>SR-17804</v>
      </c>
      <c r="H12521" s="2" t="s">
        <v>49834</v>
      </c>
      <c r="I12521" s="2" t="s">
        <v>49835</v>
      </c>
      <c r="K12521" s="2" t="s">
        <v>49836</v>
      </c>
      <c r="L12521" s="2" t="s">
        <v>1236</v>
      </c>
      <c r="M12521" s="2">
        <v>40437.0</v>
      </c>
      <c r="N12521" s="2" t="s">
        <v>21</v>
      </c>
    </row>
    <row r="12522" ht="15.75" customHeight="1">
      <c r="A12522" s="2">
        <v>2020.0</v>
      </c>
      <c r="B12522" s="2" t="s">
        <v>49837</v>
      </c>
      <c r="C12522" s="2" t="s">
        <v>49837</v>
      </c>
      <c r="D12522" s="2" t="str">
        <f>"4027187415"</f>
        <v>4027187415</v>
      </c>
      <c r="E12522" s="2" t="s">
        <v>485</v>
      </c>
      <c r="F12522" s="2" t="s">
        <v>49838</v>
      </c>
      <c r="G12522" s="2" t="str">
        <f>"SR-17803"</f>
        <v>SR-17803</v>
      </c>
      <c r="H12522" s="2" t="s">
        <v>49839</v>
      </c>
      <c r="I12522" s="2" t="s">
        <v>49840</v>
      </c>
      <c r="K12522" s="2" t="s">
        <v>30390</v>
      </c>
      <c r="L12522" s="2" t="s">
        <v>757</v>
      </c>
      <c r="M12522" s="2">
        <v>68020.0</v>
      </c>
      <c r="N12522" s="2" t="s">
        <v>21</v>
      </c>
    </row>
    <row r="12523" ht="15.75" customHeight="1">
      <c r="A12523" s="2">
        <v>2020.0</v>
      </c>
      <c r="B12523" s="2" t="s">
        <v>49841</v>
      </c>
      <c r="C12523" s="2" t="s">
        <v>49842</v>
      </c>
      <c r="D12523" s="2" t="str">
        <f>"5672424422"</f>
        <v>5672424422</v>
      </c>
      <c r="E12523" s="2" t="s">
        <v>485</v>
      </c>
      <c r="F12523" s="2" t="s">
        <v>7724</v>
      </c>
      <c r="G12523" s="2" t="str">
        <f>"SR-17805"</f>
        <v>SR-17805</v>
      </c>
      <c r="H12523" s="2" t="s">
        <v>44766</v>
      </c>
      <c r="I12523" s="2" t="s">
        <v>49843</v>
      </c>
      <c r="K12523" s="2" t="s">
        <v>12179</v>
      </c>
      <c r="L12523" s="2" t="s">
        <v>344</v>
      </c>
      <c r="M12523" s="2">
        <v>45805.0</v>
      </c>
      <c r="N12523" s="2" t="s">
        <v>21</v>
      </c>
    </row>
    <row r="12524" ht="15.75" customHeight="1">
      <c r="A12524" s="2">
        <v>2020.0</v>
      </c>
      <c r="B12524" s="2" t="s">
        <v>895</v>
      </c>
      <c r="C12524" s="2" t="s">
        <v>49844</v>
      </c>
      <c r="D12524" s="2" t="str">
        <f>"507-401-5949"</f>
        <v>507-401-5949</v>
      </c>
      <c r="E12524" s="2" t="s">
        <v>4665</v>
      </c>
      <c r="F12524" s="2" t="s">
        <v>898</v>
      </c>
      <c r="G12524" s="2" t="str">
        <f>"SR-17808"</f>
        <v>SR-17808</v>
      </c>
      <c r="H12524" s="2" t="s">
        <v>49845</v>
      </c>
      <c r="I12524" s="2" t="s">
        <v>980</v>
      </c>
      <c r="K12524" s="2" t="s">
        <v>133</v>
      </c>
      <c r="L12524" s="2" t="s">
        <v>62</v>
      </c>
      <c r="M12524" s="2">
        <v>56175.0</v>
      </c>
      <c r="N12524" s="2" t="s">
        <v>21</v>
      </c>
    </row>
    <row r="12525" ht="15.75" customHeight="1">
      <c r="A12525" s="2">
        <v>2020.0</v>
      </c>
      <c r="B12525" s="2" t="s">
        <v>49846</v>
      </c>
      <c r="C12525" s="2" t="s">
        <v>49847</v>
      </c>
      <c r="D12525" s="2" t="str">
        <f>"4698537282"</f>
        <v>4698537282</v>
      </c>
      <c r="E12525" s="2" t="s">
        <v>225</v>
      </c>
      <c r="F12525" s="2" t="s">
        <v>2761</v>
      </c>
      <c r="G12525" s="2" t="str">
        <f>"SR-16888"</f>
        <v>SR-16888</v>
      </c>
      <c r="H12525" s="2" t="s">
        <v>49848</v>
      </c>
      <c r="I12525" s="2" t="s">
        <v>49849</v>
      </c>
      <c r="K12525" s="2" t="s">
        <v>1255</v>
      </c>
      <c r="L12525" s="2" t="s">
        <v>172</v>
      </c>
      <c r="M12525" s="2">
        <v>75240.0</v>
      </c>
      <c r="N12525" s="2" t="s">
        <v>21</v>
      </c>
    </row>
    <row r="12526" ht="15.75" customHeight="1">
      <c r="A12526" s="2">
        <v>2020.0</v>
      </c>
      <c r="B12526" s="2" t="s">
        <v>49850</v>
      </c>
      <c r="C12526" s="2" t="s">
        <v>49851</v>
      </c>
      <c r="D12526" s="2" t="str">
        <f>"7124544165"</f>
        <v>7124544165</v>
      </c>
      <c r="E12526" s="2" t="s">
        <v>659</v>
      </c>
      <c r="F12526" s="2" t="s">
        <v>752</v>
      </c>
      <c r="G12526" s="2" t="str">
        <f>"SR-17601"</f>
        <v>SR-17601</v>
      </c>
      <c r="H12526" s="2" t="s">
        <v>17449</v>
      </c>
      <c r="I12526" s="2" t="s">
        <v>49852</v>
      </c>
      <c r="J12526" s="2" t="s">
        <v>49853</v>
      </c>
      <c r="K12526" s="2" t="s">
        <v>49854</v>
      </c>
      <c r="L12526" s="2" t="s">
        <v>757</v>
      </c>
      <c r="M12526" s="2">
        <v>68770.0</v>
      </c>
      <c r="N12526" s="2" t="s">
        <v>21</v>
      </c>
    </row>
    <row r="12527" ht="15.75" customHeight="1">
      <c r="A12527" s="2">
        <v>2020.0</v>
      </c>
      <c r="B12527" s="2" t="s">
        <v>24967</v>
      </c>
      <c r="C12527" s="2" t="s">
        <v>49855</v>
      </c>
      <c r="D12527" s="2" t="str">
        <f>"3463684138"</f>
        <v>3463684138</v>
      </c>
      <c r="E12527" s="2" t="s">
        <v>339</v>
      </c>
      <c r="F12527" s="2" t="s">
        <v>24969</v>
      </c>
      <c r="G12527" s="2" t="str">
        <f>"SR-17542"</f>
        <v>SR-17542</v>
      </c>
      <c r="H12527" s="2" t="s">
        <v>49856</v>
      </c>
      <c r="I12527" s="2" t="s">
        <v>24971</v>
      </c>
      <c r="K12527" s="2" t="s">
        <v>2182</v>
      </c>
      <c r="L12527" s="2" t="s">
        <v>172</v>
      </c>
      <c r="M12527" s="2">
        <v>77479.0</v>
      </c>
      <c r="N12527" s="2" t="s">
        <v>21</v>
      </c>
    </row>
    <row r="12528" ht="15.75" customHeight="1">
      <c r="A12528" s="2">
        <v>2020.0</v>
      </c>
      <c r="B12528" s="2" t="s">
        <v>49857</v>
      </c>
      <c r="C12528" s="2" t="s">
        <v>49858</v>
      </c>
      <c r="D12528" s="2" t="str">
        <f>"260-615-1234"</f>
        <v>260-615-1234</v>
      </c>
      <c r="E12528" s="2" t="s">
        <v>217</v>
      </c>
      <c r="F12528" s="2" t="s">
        <v>49859</v>
      </c>
      <c r="G12528" s="2" t="str">
        <f>"SR-17676"</f>
        <v>SR-17676</v>
      </c>
      <c r="H12528" s="2" t="s">
        <v>49860</v>
      </c>
      <c r="I12528" s="2" t="s">
        <v>49861</v>
      </c>
      <c r="K12528" s="2" t="s">
        <v>4298</v>
      </c>
      <c r="L12528" s="2" t="s">
        <v>149</v>
      </c>
      <c r="M12528" s="2">
        <v>46845.0</v>
      </c>
      <c r="N12528" s="2" t="s">
        <v>21</v>
      </c>
    </row>
    <row r="12529" ht="15.75" customHeight="1">
      <c r="A12529" s="2">
        <v>2020.0</v>
      </c>
      <c r="B12529" s="2" t="s">
        <v>49862</v>
      </c>
      <c r="C12529" s="2" t="s">
        <v>49863</v>
      </c>
      <c r="D12529" s="2" t="str">
        <f>"4026103239"</f>
        <v>4026103239</v>
      </c>
      <c r="E12529" s="2" t="s">
        <v>562</v>
      </c>
      <c r="F12529" s="2" t="s">
        <v>1467</v>
      </c>
      <c r="G12529" s="2" t="str">
        <f>"SR-17816"</f>
        <v>SR-17816</v>
      </c>
      <c r="H12529" s="2" t="s">
        <v>49864</v>
      </c>
      <c r="I12529" s="2" t="s">
        <v>49865</v>
      </c>
      <c r="K12529" s="2" t="s">
        <v>38089</v>
      </c>
      <c r="L12529" s="2" t="s">
        <v>757</v>
      </c>
      <c r="M12529" s="2">
        <v>68460.0</v>
      </c>
      <c r="N12529" s="2" t="s">
        <v>21</v>
      </c>
    </row>
    <row r="12530" ht="15.75" customHeight="1">
      <c r="A12530" s="2">
        <v>2020.0</v>
      </c>
      <c r="B12530" s="2" t="s">
        <v>49862</v>
      </c>
      <c r="C12530" s="2" t="s">
        <v>49866</v>
      </c>
      <c r="D12530" s="2" t="str">
        <f>"3078993923"</f>
        <v>3078993923</v>
      </c>
      <c r="E12530" s="2" t="s">
        <v>49867</v>
      </c>
      <c r="F12530" s="2" t="s">
        <v>26984</v>
      </c>
      <c r="G12530" s="2" t="str">
        <f>"SR-17817"</f>
        <v>SR-17817</v>
      </c>
      <c r="H12530" s="2" t="s">
        <v>49868</v>
      </c>
      <c r="I12530" s="2" t="s">
        <v>49869</v>
      </c>
      <c r="J12530" s="2" t="s">
        <v>49870</v>
      </c>
      <c r="K12530" s="2" t="s">
        <v>14036</v>
      </c>
      <c r="L12530" s="2" t="s">
        <v>1540</v>
      </c>
      <c r="M12530" s="2">
        <v>82070.0</v>
      </c>
      <c r="N12530" s="2" t="s">
        <v>21</v>
      </c>
    </row>
    <row r="12531" ht="15.75" customHeight="1">
      <c r="A12531" s="2">
        <v>2020.0</v>
      </c>
      <c r="B12531" s="2" t="s">
        <v>49871</v>
      </c>
      <c r="C12531" s="2" t="s">
        <v>49872</v>
      </c>
      <c r="D12531" s="2" t="str">
        <f>"919-691-3000"</f>
        <v>919-691-3000</v>
      </c>
      <c r="E12531" s="2" t="s">
        <v>678</v>
      </c>
      <c r="F12531" s="2" t="s">
        <v>3394</v>
      </c>
      <c r="G12531" s="2" t="str">
        <f>"SR-17681"</f>
        <v>SR-17681</v>
      </c>
      <c r="H12531" s="2" t="s">
        <v>49873</v>
      </c>
      <c r="I12531" s="2" t="s">
        <v>49874</v>
      </c>
      <c r="K12531" s="2" t="s">
        <v>8475</v>
      </c>
      <c r="L12531" s="2" t="s">
        <v>165</v>
      </c>
      <c r="M12531" s="2">
        <v>23188.0</v>
      </c>
      <c r="N12531" s="2" t="s">
        <v>21</v>
      </c>
    </row>
    <row r="12532" ht="15.75" customHeight="1">
      <c r="A12532" s="2">
        <v>2020.0</v>
      </c>
      <c r="B12532" s="2" t="s">
        <v>49875</v>
      </c>
      <c r="C12532" s="2" t="s">
        <v>49876</v>
      </c>
      <c r="D12532" s="2" t="str">
        <f>"8632669243"</f>
        <v>8632669243</v>
      </c>
      <c r="E12532" s="2" t="s">
        <v>1842</v>
      </c>
      <c r="F12532" s="2" t="s">
        <v>49877</v>
      </c>
      <c r="G12532" s="2" t="str">
        <f>"SR-17821"</f>
        <v>SR-17821</v>
      </c>
      <c r="H12532" s="2" t="s">
        <v>49878</v>
      </c>
      <c r="I12532" s="2" t="s">
        <v>49879</v>
      </c>
      <c r="K12532" s="2" t="s">
        <v>19345</v>
      </c>
      <c r="L12532" s="2" t="s">
        <v>208</v>
      </c>
      <c r="M12532" s="2">
        <v>34711.0</v>
      </c>
      <c r="N12532" s="2" t="s">
        <v>21</v>
      </c>
    </row>
    <row r="12533" ht="15.75" customHeight="1">
      <c r="A12533" s="2">
        <v>2020.0</v>
      </c>
      <c r="B12533" s="2" t="s">
        <v>49880</v>
      </c>
      <c r="C12533" s="2" t="s">
        <v>49881</v>
      </c>
      <c r="D12533" s="2" t="str">
        <f>"4694006468"</f>
        <v>4694006468</v>
      </c>
      <c r="E12533" s="2" t="s">
        <v>4984</v>
      </c>
      <c r="F12533" s="2" t="s">
        <v>49882</v>
      </c>
      <c r="G12533" s="2" t="str">
        <f>"SR-17822"</f>
        <v>SR-17822</v>
      </c>
      <c r="H12533" s="2" t="s">
        <v>49883</v>
      </c>
      <c r="I12533" s="2" t="s">
        <v>49884</v>
      </c>
      <c r="K12533" s="2" t="s">
        <v>4071</v>
      </c>
      <c r="L12533" s="2" t="s">
        <v>172</v>
      </c>
      <c r="M12533" s="2">
        <v>75454.0</v>
      </c>
      <c r="N12533" s="2" t="s">
        <v>21</v>
      </c>
    </row>
    <row r="12534" ht="15.75" customHeight="1">
      <c r="A12534" s="2">
        <v>2020.0</v>
      </c>
      <c r="B12534" s="2" t="s">
        <v>49885</v>
      </c>
      <c r="C12534" s="2" t="s">
        <v>49885</v>
      </c>
      <c r="D12534" s="2" t="str">
        <f>"5702176487"</f>
        <v>5702176487</v>
      </c>
      <c r="E12534" s="2" t="s">
        <v>843</v>
      </c>
      <c r="F12534" s="2" t="s">
        <v>40406</v>
      </c>
      <c r="G12534" s="2" t="str">
        <f>"SR-17723"</f>
        <v>SR-17723</v>
      </c>
      <c r="H12534" s="2" t="s">
        <v>49886</v>
      </c>
      <c r="I12534" s="2" t="s">
        <v>49887</v>
      </c>
      <c r="K12534" s="2" t="s">
        <v>5460</v>
      </c>
      <c r="L12534" s="2" t="s">
        <v>179</v>
      </c>
      <c r="M12534" s="2">
        <v>17701.0</v>
      </c>
      <c r="N12534" s="2" t="s">
        <v>21</v>
      </c>
    </row>
    <row r="12535" ht="15.75" customHeight="1">
      <c r="A12535" s="2">
        <v>2020.0</v>
      </c>
      <c r="B12535" s="2" t="s">
        <v>49888</v>
      </c>
      <c r="C12535" s="2" t="s">
        <v>49888</v>
      </c>
      <c r="D12535" s="2" t="str">
        <f>"570-506-7775"</f>
        <v>570-506-7775</v>
      </c>
      <c r="E12535" s="2" t="s">
        <v>1761</v>
      </c>
      <c r="F12535" s="2" t="s">
        <v>49889</v>
      </c>
      <c r="G12535" s="2" t="str">
        <f>"SR-17823"</f>
        <v>SR-17823</v>
      </c>
      <c r="H12535" s="2" t="s">
        <v>49890</v>
      </c>
      <c r="I12535" s="2" t="s">
        <v>49891</v>
      </c>
      <c r="K12535" s="2" t="s">
        <v>5460</v>
      </c>
      <c r="L12535" s="2" t="s">
        <v>179</v>
      </c>
      <c r="M12535" s="2">
        <v>17701.0</v>
      </c>
      <c r="N12535" s="2" t="s">
        <v>21</v>
      </c>
    </row>
    <row r="12536" ht="15.75" customHeight="1">
      <c r="A12536" s="2">
        <v>2020.0</v>
      </c>
      <c r="B12536" s="2" t="s">
        <v>44917</v>
      </c>
      <c r="C12536" s="2" t="s">
        <v>44917</v>
      </c>
      <c r="D12536" s="2" t="str">
        <f>"8157138691"</f>
        <v>8157138691</v>
      </c>
      <c r="E12536" s="2" t="s">
        <v>1767</v>
      </c>
      <c r="F12536" s="2" t="s">
        <v>379</v>
      </c>
      <c r="G12536" s="2" t="str">
        <f>"SR-15757"</f>
        <v>SR-15757</v>
      </c>
      <c r="H12536" s="2" t="s">
        <v>44918</v>
      </c>
      <c r="I12536" s="2" t="s">
        <v>44919</v>
      </c>
      <c r="K12536" s="2" t="s">
        <v>25130</v>
      </c>
      <c r="L12536" s="2" t="s">
        <v>105</v>
      </c>
      <c r="M12536" s="2">
        <v>61111.0</v>
      </c>
      <c r="N12536" s="2" t="s">
        <v>21</v>
      </c>
    </row>
    <row r="12537" ht="15.75" customHeight="1">
      <c r="A12537" s="2">
        <v>2020.0</v>
      </c>
      <c r="B12537" s="2" t="s">
        <v>49892</v>
      </c>
      <c r="C12537" s="2" t="s">
        <v>49893</v>
      </c>
      <c r="D12537" s="2" t="str">
        <f t="shared" ref="D12537:D12538" si="212">"937-342-8597"</f>
        <v>937-342-8597</v>
      </c>
      <c r="E12537" s="2" t="s">
        <v>2031</v>
      </c>
      <c r="F12537" s="2" t="s">
        <v>3067</v>
      </c>
      <c r="G12537" s="2" t="str">
        <f>"SR-17829"</f>
        <v>SR-17829</v>
      </c>
      <c r="H12537" s="2" t="s">
        <v>49894</v>
      </c>
      <c r="I12537" s="2" t="s">
        <v>49895</v>
      </c>
      <c r="K12537" s="2" t="s">
        <v>3239</v>
      </c>
      <c r="L12537" s="2" t="s">
        <v>344</v>
      </c>
      <c r="M12537" s="2">
        <v>45502.0</v>
      </c>
      <c r="N12537" s="2" t="s">
        <v>21</v>
      </c>
    </row>
    <row r="12538" ht="15.75" customHeight="1">
      <c r="A12538" s="2">
        <v>2020.0</v>
      </c>
      <c r="B12538" s="2" t="s">
        <v>49892</v>
      </c>
      <c r="C12538" s="2" t="s">
        <v>49896</v>
      </c>
      <c r="D12538" s="2" t="str">
        <f t="shared" si="212"/>
        <v>937-342-8597</v>
      </c>
      <c r="E12538" s="2" t="s">
        <v>1810</v>
      </c>
      <c r="F12538" s="2" t="s">
        <v>3067</v>
      </c>
      <c r="G12538" s="2" t="str">
        <f>"SR-17830"</f>
        <v>SR-17830</v>
      </c>
      <c r="H12538" s="2" t="s">
        <v>49897</v>
      </c>
      <c r="I12538" s="2" t="s">
        <v>49895</v>
      </c>
      <c r="K12538" s="2" t="s">
        <v>3239</v>
      </c>
      <c r="L12538" s="2" t="s">
        <v>344</v>
      </c>
      <c r="M12538" s="2">
        <v>45502.0</v>
      </c>
      <c r="N12538" s="2" t="s">
        <v>21</v>
      </c>
    </row>
    <row r="12539" ht="15.75" customHeight="1">
      <c r="A12539" s="2">
        <v>2020.0</v>
      </c>
      <c r="B12539" s="2" t="s">
        <v>49898</v>
      </c>
      <c r="C12539" s="2" t="s">
        <v>49898</v>
      </c>
      <c r="D12539" s="2" t="str">
        <f>"9379265850"</f>
        <v>9379265850</v>
      </c>
      <c r="E12539" s="2" t="s">
        <v>44587</v>
      </c>
      <c r="F12539" s="2" t="s">
        <v>49899</v>
      </c>
      <c r="G12539" s="2" t="str">
        <f>"SR-17831"</f>
        <v>SR-17831</v>
      </c>
      <c r="H12539" s="2" t="s">
        <v>49900</v>
      </c>
      <c r="I12539" s="2" t="s">
        <v>49901</v>
      </c>
      <c r="K12539" s="2" t="s">
        <v>3239</v>
      </c>
      <c r="L12539" s="2" t="s">
        <v>344</v>
      </c>
      <c r="M12539" s="2">
        <v>45502.0</v>
      </c>
      <c r="N12539" s="2" t="s">
        <v>21</v>
      </c>
    </row>
    <row r="12540" ht="15.75" customHeight="1">
      <c r="A12540" s="2">
        <v>2020.0</v>
      </c>
      <c r="B12540" s="2" t="s">
        <v>8674</v>
      </c>
      <c r="C12540" s="2" t="s">
        <v>49902</v>
      </c>
      <c r="D12540" s="2" t="str">
        <f>"7069688520"</f>
        <v>7069688520</v>
      </c>
      <c r="E12540" s="2" t="s">
        <v>3342</v>
      </c>
      <c r="F12540" s="2" t="s">
        <v>386</v>
      </c>
      <c r="G12540" s="2" t="str">
        <f>"SR-17832"</f>
        <v>SR-17832</v>
      </c>
      <c r="H12540" s="2" t="s">
        <v>49903</v>
      </c>
      <c r="I12540" s="2" t="s">
        <v>49904</v>
      </c>
      <c r="K12540" s="2" t="s">
        <v>49905</v>
      </c>
      <c r="L12540" s="2" t="s">
        <v>200</v>
      </c>
      <c r="M12540" s="2">
        <v>30563.0</v>
      </c>
      <c r="N12540" s="2" t="s">
        <v>21</v>
      </c>
    </row>
    <row r="12541" ht="15.75" customHeight="1">
      <c r="A12541" s="2">
        <v>2020.0</v>
      </c>
      <c r="B12541" s="2" t="s">
        <v>49906</v>
      </c>
      <c r="C12541" s="2" t="s">
        <v>49907</v>
      </c>
      <c r="D12541" s="2" t="str">
        <f>"256-479-0917"</f>
        <v>256-479-0917</v>
      </c>
      <c r="E12541" s="2" t="s">
        <v>1288</v>
      </c>
      <c r="F12541" s="2" t="s">
        <v>5281</v>
      </c>
      <c r="G12541" s="2" t="str">
        <f>"SR-17833"</f>
        <v>SR-17833</v>
      </c>
      <c r="H12541" s="2" t="s">
        <v>49908</v>
      </c>
      <c r="I12541" s="2" t="s">
        <v>49909</v>
      </c>
      <c r="K12541" s="2" t="s">
        <v>3630</v>
      </c>
      <c r="L12541" s="2" t="s">
        <v>539</v>
      </c>
      <c r="M12541" s="2">
        <v>35761.0</v>
      </c>
      <c r="N12541" s="2" t="s">
        <v>21</v>
      </c>
    </row>
    <row r="12542" ht="15.75" customHeight="1">
      <c r="A12542" s="2">
        <v>2020.0</v>
      </c>
      <c r="B12542" s="2" t="s">
        <v>49910</v>
      </c>
      <c r="C12542" s="2" t="s">
        <v>49910</v>
      </c>
      <c r="D12542" s="2" t="str">
        <f>"7013398982"</f>
        <v>7013398982</v>
      </c>
      <c r="E12542" s="2" t="s">
        <v>27574</v>
      </c>
      <c r="F12542" s="2" t="s">
        <v>701</v>
      </c>
      <c r="G12542" s="2" t="str">
        <f>"SR-17729"</f>
        <v>SR-17729</v>
      </c>
      <c r="H12542" s="2" t="s">
        <v>49911</v>
      </c>
      <c r="I12542" s="2" t="s">
        <v>49912</v>
      </c>
      <c r="K12542" s="2" t="s">
        <v>327</v>
      </c>
      <c r="L12542" s="2" t="s">
        <v>2534</v>
      </c>
      <c r="M12542" s="2">
        <v>58784.0</v>
      </c>
      <c r="N12542" s="2" t="s">
        <v>21</v>
      </c>
    </row>
    <row r="12543" ht="15.75" customHeight="1">
      <c r="A12543" s="2">
        <v>2020.0</v>
      </c>
      <c r="B12543" s="2" t="s">
        <v>8914</v>
      </c>
      <c r="D12543" s="2" t="str">
        <f>""</f>
        <v/>
      </c>
      <c r="E12543" s="2" t="s">
        <v>385</v>
      </c>
      <c r="F12543" s="2" t="s">
        <v>8915</v>
      </c>
      <c r="G12543" s="2" t="str">
        <f>"SR-17761"</f>
        <v>SR-17761</v>
      </c>
      <c r="H12543" s="2" t="s">
        <v>49913</v>
      </c>
      <c r="N12543" s="2" t="s">
        <v>21</v>
      </c>
    </row>
    <row r="12544" ht="15.75" customHeight="1">
      <c r="A12544" s="2">
        <v>2020.0</v>
      </c>
      <c r="B12544" s="2" t="s">
        <v>43813</v>
      </c>
      <c r="C12544" s="2" t="s">
        <v>49914</v>
      </c>
      <c r="D12544" s="2" t="str">
        <f>"6158047069"</f>
        <v>6158047069</v>
      </c>
      <c r="E12544" s="2" t="s">
        <v>25495</v>
      </c>
      <c r="F12544" s="2" t="s">
        <v>1170</v>
      </c>
      <c r="G12544" s="2" t="str">
        <f>"SR-17826"</f>
        <v>SR-17826</v>
      </c>
      <c r="H12544" s="2" t="s">
        <v>49915</v>
      </c>
      <c r="I12544" s="2" t="s">
        <v>43816</v>
      </c>
      <c r="K12544" s="2" t="s">
        <v>3286</v>
      </c>
      <c r="L12544" s="2" t="s">
        <v>279</v>
      </c>
      <c r="M12544" s="2">
        <v>37055.0</v>
      </c>
      <c r="N12544" s="2" t="s">
        <v>21</v>
      </c>
    </row>
    <row r="12545" ht="15.75" customHeight="1">
      <c r="A12545" s="2">
        <v>2020.0</v>
      </c>
      <c r="B12545" s="2" t="s">
        <v>49916</v>
      </c>
      <c r="D12545" s="2" t="str">
        <f>""</f>
        <v/>
      </c>
      <c r="E12545" s="2" t="s">
        <v>57</v>
      </c>
      <c r="F12545" s="2" t="s">
        <v>49917</v>
      </c>
      <c r="G12545" s="2" t="str">
        <f>"SR-17720"</f>
        <v>SR-17720</v>
      </c>
      <c r="H12545" s="2" t="s">
        <v>49918</v>
      </c>
      <c r="N12545" s="2" t="s">
        <v>21</v>
      </c>
    </row>
    <row r="12546" ht="15.75" customHeight="1">
      <c r="A12546" s="2">
        <v>2020.0</v>
      </c>
      <c r="B12546" s="2" t="s">
        <v>49919</v>
      </c>
      <c r="C12546" s="2" t="s">
        <v>49920</v>
      </c>
      <c r="D12546" s="2" t="str">
        <f>"8659823618"</f>
        <v>8659823618</v>
      </c>
      <c r="E12546" s="2" t="s">
        <v>132</v>
      </c>
      <c r="F12546" s="2" t="s">
        <v>49921</v>
      </c>
      <c r="G12546" s="2" t="str">
        <f>"SR-17396"</f>
        <v>SR-17396</v>
      </c>
      <c r="H12546" s="2" t="s">
        <v>49922</v>
      </c>
      <c r="I12546" s="2" t="s">
        <v>49923</v>
      </c>
      <c r="K12546" s="2" t="s">
        <v>22167</v>
      </c>
      <c r="L12546" s="2" t="s">
        <v>279</v>
      </c>
      <c r="M12546" s="2">
        <v>37801.0</v>
      </c>
      <c r="N12546" s="2" t="s">
        <v>21</v>
      </c>
    </row>
    <row r="12547" ht="15.75" customHeight="1">
      <c r="A12547" s="2">
        <v>2020.0</v>
      </c>
      <c r="B12547" s="2" t="s">
        <v>49924</v>
      </c>
      <c r="C12547" s="2" t="s">
        <v>49924</v>
      </c>
      <c r="D12547" s="2" t="str">
        <f>"3522270084"</f>
        <v>3522270084</v>
      </c>
      <c r="E12547" s="2" t="s">
        <v>2752</v>
      </c>
      <c r="F12547" s="2" t="s">
        <v>49925</v>
      </c>
      <c r="G12547" s="2" t="str">
        <f>"SR-17835"</f>
        <v>SR-17835</v>
      </c>
      <c r="H12547" s="2" t="s">
        <v>49926</v>
      </c>
      <c r="I12547" s="2" t="s">
        <v>49927</v>
      </c>
      <c r="K12547" s="2" t="s">
        <v>19345</v>
      </c>
      <c r="L12547" s="2" t="s">
        <v>208</v>
      </c>
      <c r="M12547" s="2">
        <v>34711.0</v>
      </c>
      <c r="N12547" s="2" t="s">
        <v>21</v>
      </c>
    </row>
    <row r="12548" ht="15.75" customHeight="1">
      <c r="A12548" s="2">
        <v>2020.0</v>
      </c>
      <c r="B12548" s="2" t="s">
        <v>49928</v>
      </c>
      <c r="C12548" s="2" t="s">
        <v>49929</v>
      </c>
      <c r="D12548" s="2" t="str">
        <f t="shared" ref="D12548:D12549" si="213">"5742689726"</f>
        <v>5742689726</v>
      </c>
      <c r="E12548" s="2" t="s">
        <v>10929</v>
      </c>
      <c r="F12548" s="2" t="s">
        <v>49930</v>
      </c>
      <c r="G12548" s="2" t="str">
        <f>"SR-17800"</f>
        <v>SR-17800</v>
      </c>
      <c r="H12548" s="2" t="s">
        <v>49931</v>
      </c>
      <c r="I12548" s="2" t="s">
        <v>49932</v>
      </c>
      <c r="K12548" s="2" t="s">
        <v>809</v>
      </c>
      <c r="L12548" s="2" t="s">
        <v>157</v>
      </c>
      <c r="M12548" s="2">
        <v>80917.0</v>
      </c>
      <c r="N12548" s="2" t="s">
        <v>21</v>
      </c>
    </row>
    <row r="12549" ht="15.75" customHeight="1">
      <c r="A12549" s="2">
        <v>2020.0</v>
      </c>
      <c r="B12549" s="2" t="s">
        <v>49928</v>
      </c>
      <c r="C12549" s="2" t="s">
        <v>49933</v>
      </c>
      <c r="D12549" s="2" t="str">
        <f t="shared" si="213"/>
        <v>5742689726</v>
      </c>
      <c r="E12549" s="2" t="s">
        <v>49934</v>
      </c>
      <c r="F12549" s="2" t="s">
        <v>49930</v>
      </c>
      <c r="G12549" s="2" t="str">
        <f>"SR-17838"</f>
        <v>SR-17838</v>
      </c>
      <c r="H12549" s="2" t="s">
        <v>49935</v>
      </c>
      <c r="I12549" s="2" t="s">
        <v>49936</v>
      </c>
      <c r="K12549" s="2" t="s">
        <v>809</v>
      </c>
      <c r="L12549" s="2" t="s">
        <v>157</v>
      </c>
      <c r="M12549" s="2">
        <v>80919.0</v>
      </c>
      <c r="N12549" s="2" t="s">
        <v>21</v>
      </c>
    </row>
    <row r="12550" ht="15.75" customHeight="1">
      <c r="A12550" s="2">
        <v>2020.0</v>
      </c>
      <c r="B12550" s="2" t="s">
        <v>49937</v>
      </c>
      <c r="C12550" s="2" t="s">
        <v>49938</v>
      </c>
      <c r="D12550" s="2" t="str">
        <f>"8505916319"</f>
        <v>8505916319</v>
      </c>
      <c r="E12550" s="2" t="s">
        <v>19160</v>
      </c>
      <c r="F12550" s="2" t="s">
        <v>45111</v>
      </c>
      <c r="G12550" s="2" t="str">
        <f>"SR-17839"</f>
        <v>SR-17839</v>
      </c>
      <c r="H12550" s="2" t="s">
        <v>49939</v>
      </c>
      <c r="I12550" s="2" t="s">
        <v>49940</v>
      </c>
      <c r="K12550" s="2" t="s">
        <v>2007</v>
      </c>
      <c r="L12550" s="2" t="s">
        <v>208</v>
      </c>
      <c r="M12550" s="2">
        <v>32308.0</v>
      </c>
      <c r="N12550" s="2" t="s">
        <v>21</v>
      </c>
    </row>
    <row r="12551" ht="15.75" customHeight="1">
      <c r="A12551" s="2">
        <v>2020.0</v>
      </c>
      <c r="B12551" s="2" t="s">
        <v>49941</v>
      </c>
      <c r="C12551" s="2" t="s">
        <v>49941</v>
      </c>
      <c r="D12551" s="2" t="str">
        <f>"281-733-7191"</f>
        <v>281-733-7191</v>
      </c>
      <c r="E12551" s="2" t="s">
        <v>9975</v>
      </c>
      <c r="F12551" s="2" t="s">
        <v>49942</v>
      </c>
      <c r="G12551" s="2" t="str">
        <f>"SR-17845"</f>
        <v>SR-17845</v>
      </c>
      <c r="H12551" s="2" t="s">
        <v>49943</v>
      </c>
      <c r="I12551" s="2" t="s">
        <v>49944</v>
      </c>
      <c r="K12551" s="2" t="s">
        <v>14508</v>
      </c>
      <c r="L12551" s="2" t="s">
        <v>172</v>
      </c>
      <c r="M12551" s="2">
        <v>77389.0</v>
      </c>
      <c r="N12551" s="2" t="s">
        <v>21</v>
      </c>
    </row>
    <row r="12552" ht="15.75" customHeight="1">
      <c r="A12552" s="2">
        <v>2020.0</v>
      </c>
      <c r="B12552" s="2" t="s">
        <v>49945</v>
      </c>
      <c r="C12552" s="2" t="s">
        <v>49945</v>
      </c>
      <c r="D12552" s="2" t="str">
        <f>"281-844-3121"</f>
        <v>281-844-3121</v>
      </c>
      <c r="E12552" s="2" t="s">
        <v>36244</v>
      </c>
      <c r="F12552" s="2" t="s">
        <v>49946</v>
      </c>
      <c r="G12552" s="2" t="str">
        <f>"SR-17846"</f>
        <v>SR-17846</v>
      </c>
      <c r="H12552" s="2" t="s">
        <v>49947</v>
      </c>
      <c r="I12552" s="2" t="s">
        <v>49948</v>
      </c>
      <c r="K12552" s="2" t="s">
        <v>9614</v>
      </c>
      <c r="L12552" s="2" t="s">
        <v>172</v>
      </c>
      <c r="M12552" s="2">
        <v>77384.0</v>
      </c>
      <c r="N12552" s="2" t="s">
        <v>21</v>
      </c>
    </row>
    <row r="12553" ht="15.75" customHeight="1">
      <c r="A12553" s="2">
        <v>2020.0</v>
      </c>
      <c r="B12553" s="2" t="s">
        <v>23326</v>
      </c>
      <c r="C12553" s="2" t="s">
        <v>49949</v>
      </c>
      <c r="D12553" s="2" t="str">
        <f>"832-483-0880"</f>
        <v>832-483-0880</v>
      </c>
      <c r="E12553" s="2" t="s">
        <v>144</v>
      </c>
      <c r="F12553" s="2" t="s">
        <v>2296</v>
      </c>
      <c r="G12553" s="2" t="str">
        <f>"SR-17847"</f>
        <v>SR-17847</v>
      </c>
      <c r="H12553" s="2" t="s">
        <v>49950</v>
      </c>
      <c r="I12553" s="2" t="s">
        <v>49951</v>
      </c>
      <c r="K12553" s="2" t="s">
        <v>2651</v>
      </c>
      <c r="L12553" s="2" t="s">
        <v>172</v>
      </c>
      <c r="M12553" s="2">
        <v>77382.0</v>
      </c>
      <c r="N12553" s="2" t="s">
        <v>21</v>
      </c>
    </row>
    <row r="12554" ht="15.75" customHeight="1">
      <c r="A12554" s="2">
        <v>2020.0</v>
      </c>
      <c r="B12554" s="2" t="s">
        <v>49952</v>
      </c>
      <c r="C12554" s="2" t="s">
        <v>49953</v>
      </c>
      <c r="D12554" s="2" t="str">
        <f>"1-701-728-6800"</f>
        <v>1-701-728-6800</v>
      </c>
      <c r="E12554" s="2" t="s">
        <v>12491</v>
      </c>
      <c r="F12554" s="2" t="s">
        <v>49954</v>
      </c>
      <c r="G12554" s="2" t="str">
        <f>"SR-17659"</f>
        <v>SR-17659</v>
      </c>
      <c r="H12554" s="2" t="s">
        <v>49955</v>
      </c>
      <c r="I12554" s="2" t="s">
        <v>49956</v>
      </c>
      <c r="K12554" s="2" t="s">
        <v>49957</v>
      </c>
      <c r="L12554" s="2" t="s">
        <v>2534</v>
      </c>
      <c r="M12554" s="2">
        <v>58741.0</v>
      </c>
      <c r="N12554" s="2" t="s">
        <v>21</v>
      </c>
    </row>
    <row r="12555" ht="15.75" customHeight="1">
      <c r="A12555" s="2">
        <v>2020.0</v>
      </c>
      <c r="B12555" s="2" t="s">
        <v>49958</v>
      </c>
      <c r="D12555" s="2" t="str">
        <f>""</f>
        <v/>
      </c>
      <c r="E12555" s="2" t="s">
        <v>49959</v>
      </c>
      <c r="F12555" s="2" t="s">
        <v>49960</v>
      </c>
      <c r="G12555" s="2" t="str">
        <f>"SR-17850"</f>
        <v>SR-17850</v>
      </c>
      <c r="H12555" s="2" t="s">
        <v>49961</v>
      </c>
      <c r="N12555" s="2" t="s">
        <v>21</v>
      </c>
    </row>
    <row r="12556" ht="15.75" customHeight="1">
      <c r="A12556" s="2">
        <v>2020.0</v>
      </c>
      <c r="B12556" s="2" t="s">
        <v>49962</v>
      </c>
      <c r="C12556" s="2" t="s">
        <v>49963</v>
      </c>
      <c r="D12556" s="2" t="str">
        <f>"2692811871"</f>
        <v>2692811871</v>
      </c>
      <c r="E12556" s="2" t="s">
        <v>27484</v>
      </c>
      <c r="F12556" s="2" t="s">
        <v>49964</v>
      </c>
      <c r="G12556" s="2" t="str">
        <f>"SR-17852"</f>
        <v>SR-17852</v>
      </c>
      <c r="H12556" s="2" t="s">
        <v>49965</v>
      </c>
      <c r="I12556" s="2" t="s">
        <v>49966</v>
      </c>
      <c r="K12556" s="2" t="s">
        <v>1201</v>
      </c>
      <c r="L12556" s="2" t="s">
        <v>29</v>
      </c>
      <c r="M12556" s="2">
        <v>49085.0</v>
      </c>
      <c r="N12556" s="2" t="s">
        <v>21</v>
      </c>
    </row>
    <row r="12557" ht="15.75" customHeight="1">
      <c r="A12557" s="2">
        <v>2020.0</v>
      </c>
      <c r="B12557" s="2" t="s">
        <v>43971</v>
      </c>
      <c r="C12557" s="2" t="s">
        <v>43972</v>
      </c>
      <c r="D12557" s="2" t="str">
        <f>"612-2198-6763"</f>
        <v>612-2198-6763</v>
      </c>
      <c r="E12557" s="2" t="s">
        <v>2147</v>
      </c>
      <c r="F12557" s="2" t="s">
        <v>43973</v>
      </c>
      <c r="G12557" s="2" t="str">
        <f>"SR-15492"</f>
        <v>SR-15492</v>
      </c>
      <c r="H12557" s="2" t="s">
        <v>43974</v>
      </c>
      <c r="I12557" s="2" t="s">
        <v>43975</v>
      </c>
      <c r="K12557" s="2" t="s">
        <v>43739</v>
      </c>
      <c r="L12557" s="2" t="s">
        <v>62</v>
      </c>
      <c r="M12557" s="2">
        <v>55129.0</v>
      </c>
      <c r="N12557" s="2" t="s">
        <v>21</v>
      </c>
    </row>
    <row r="12558" ht="15.75" customHeight="1">
      <c r="A12558" s="2">
        <v>2020.0</v>
      </c>
      <c r="B12558" s="2" t="s">
        <v>49967</v>
      </c>
      <c r="C12558" s="2" t="s">
        <v>49967</v>
      </c>
      <c r="D12558" s="2" t="str">
        <f>"9062313515"</f>
        <v>9062313515</v>
      </c>
      <c r="E12558" s="2" t="s">
        <v>1548</v>
      </c>
      <c r="F12558" s="2" t="s">
        <v>49968</v>
      </c>
      <c r="G12558" s="2" t="str">
        <f>"SR-17854"</f>
        <v>SR-17854</v>
      </c>
      <c r="H12558" s="2" t="s">
        <v>49969</v>
      </c>
      <c r="I12558" s="2" t="s">
        <v>49970</v>
      </c>
      <c r="J12558" s="2" t="s">
        <v>49971</v>
      </c>
      <c r="K12558" s="2" t="s">
        <v>49972</v>
      </c>
      <c r="L12558" s="2" t="s">
        <v>29</v>
      </c>
      <c r="M12558" s="2">
        <v>49922.0</v>
      </c>
      <c r="N12558" s="2" t="s">
        <v>21</v>
      </c>
    </row>
    <row r="12559" ht="15.75" customHeight="1">
      <c r="A12559" s="2">
        <v>2020.0</v>
      </c>
      <c r="B12559" s="2" t="s">
        <v>49962</v>
      </c>
      <c r="C12559" s="2" t="s">
        <v>49973</v>
      </c>
      <c r="D12559" s="2" t="str">
        <f>"2699212728"</f>
        <v>2699212728</v>
      </c>
      <c r="E12559" s="2" t="s">
        <v>1076</v>
      </c>
      <c r="F12559" s="2" t="s">
        <v>49964</v>
      </c>
      <c r="G12559" s="2" t="str">
        <f>"SR-17853"</f>
        <v>SR-17853</v>
      </c>
      <c r="H12559" s="2" t="s">
        <v>49974</v>
      </c>
      <c r="I12559" s="2" t="s">
        <v>49966</v>
      </c>
      <c r="K12559" s="2" t="s">
        <v>1201</v>
      </c>
      <c r="L12559" s="2" t="s">
        <v>29</v>
      </c>
      <c r="M12559" s="2">
        <v>49085.0</v>
      </c>
      <c r="N12559" s="2" t="s">
        <v>21</v>
      </c>
    </row>
    <row r="12560" ht="15.75" customHeight="1">
      <c r="A12560" s="2">
        <v>2020.0</v>
      </c>
      <c r="B12560" s="2" t="s">
        <v>33613</v>
      </c>
      <c r="C12560" s="2" t="s">
        <v>49975</v>
      </c>
      <c r="D12560" s="2" t="str">
        <f>"940-594-9592"</f>
        <v>940-594-9592</v>
      </c>
      <c r="E12560" s="2" t="s">
        <v>34156</v>
      </c>
      <c r="F12560" s="2" t="s">
        <v>29796</v>
      </c>
      <c r="G12560" s="2" t="str">
        <f>"SR-17569"</f>
        <v>SR-17569</v>
      </c>
      <c r="H12560" s="2" t="s">
        <v>49976</v>
      </c>
      <c r="I12560" s="2" t="s">
        <v>49977</v>
      </c>
      <c r="K12560" s="2" t="s">
        <v>49978</v>
      </c>
      <c r="L12560" s="2" t="s">
        <v>172</v>
      </c>
      <c r="M12560" s="2">
        <v>76262.0</v>
      </c>
      <c r="N12560" s="2" t="s">
        <v>21</v>
      </c>
    </row>
    <row r="12561" ht="15.75" customHeight="1">
      <c r="A12561" s="2">
        <v>2020.0</v>
      </c>
      <c r="B12561" s="2" t="s">
        <v>49979</v>
      </c>
      <c r="C12561" s="2" t="s">
        <v>49979</v>
      </c>
      <c r="D12561" s="2" t="str">
        <f>"9706912450"</f>
        <v>9706912450</v>
      </c>
      <c r="E12561" s="2" t="s">
        <v>1529</v>
      </c>
      <c r="F12561" s="2" t="s">
        <v>8666</v>
      </c>
      <c r="G12561" s="2" t="str">
        <f>"SR-17366"</f>
        <v>SR-17366</v>
      </c>
      <c r="H12561" s="2" t="s">
        <v>49980</v>
      </c>
      <c r="I12561" s="2" t="s">
        <v>8668</v>
      </c>
      <c r="J12561" s="2" t="s">
        <v>8668</v>
      </c>
      <c r="K12561" s="2" t="s">
        <v>656</v>
      </c>
      <c r="L12561" s="2" t="s">
        <v>157</v>
      </c>
      <c r="M12561" s="2">
        <v>80521.0</v>
      </c>
      <c r="N12561" s="2" t="s">
        <v>21</v>
      </c>
    </row>
    <row r="12562" ht="15.75" customHeight="1">
      <c r="A12562" s="2">
        <v>2020.0</v>
      </c>
      <c r="B12562" s="2" t="s">
        <v>33613</v>
      </c>
      <c r="C12562" s="2" t="s">
        <v>49981</v>
      </c>
      <c r="D12562" s="2" t="str">
        <f>"469-381-9028"</f>
        <v>469-381-9028</v>
      </c>
      <c r="E12562" s="2" t="s">
        <v>1197</v>
      </c>
      <c r="F12562" s="2" t="s">
        <v>11248</v>
      </c>
      <c r="G12562" s="2" t="str">
        <f>"SR-17855"</f>
        <v>SR-17855</v>
      </c>
      <c r="H12562" s="2" t="s">
        <v>49982</v>
      </c>
      <c r="I12562" s="2" t="s">
        <v>49983</v>
      </c>
      <c r="K12562" s="2" t="s">
        <v>3677</v>
      </c>
      <c r="L12562" s="2" t="s">
        <v>172</v>
      </c>
      <c r="M12562" s="2">
        <v>75167.0</v>
      </c>
      <c r="N12562" s="2" t="s">
        <v>21</v>
      </c>
    </row>
    <row r="12563" ht="15.75" customHeight="1">
      <c r="A12563" s="2">
        <v>2020.0</v>
      </c>
      <c r="B12563" s="2" t="s">
        <v>38640</v>
      </c>
      <c r="C12563" s="2" t="s">
        <v>49984</v>
      </c>
      <c r="D12563" s="2" t="str">
        <f>"940-595-1468"</f>
        <v>940-595-1468</v>
      </c>
      <c r="E12563" s="2" t="s">
        <v>20541</v>
      </c>
      <c r="F12563" s="2" t="s">
        <v>22911</v>
      </c>
      <c r="G12563" s="2" t="str">
        <f>"SR-17856"</f>
        <v>SR-17856</v>
      </c>
      <c r="H12563" s="2" t="s">
        <v>49985</v>
      </c>
      <c r="I12563" s="2" t="s">
        <v>38643</v>
      </c>
      <c r="K12563" s="2" t="s">
        <v>24245</v>
      </c>
      <c r="L12563" s="2" t="s">
        <v>172</v>
      </c>
      <c r="M12563" s="2">
        <v>76210.0</v>
      </c>
      <c r="N12563" s="2" t="s">
        <v>21</v>
      </c>
    </row>
    <row r="12564" ht="15.75" customHeight="1">
      <c r="A12564" s="2">
        <v>2020.0</v>
      </c>
      <c r="B12564" s="2" t="s">
        <v>49986</v>
      </c>
      <c r="C12564" s="2" t="s">
        <v>49987</v>
      </c>
      <c r="D12564" s="2" t="str">
        <f>"5857480762"</f>
        <v>5857480762</v>
      </c>
      <c r="E12564" s="2" t="s">
        <v>261</v>
      </c>
      <c r="F12564" s="2" t="s">
        <v>984</v>
      </c>
      <c r="G12564" s="2" t="str">
        <f>"SR-17464"</f>
        <v>SR-17464</v>
      </c>
      <c r="H12564" s="2" t="s">
        <v>49988</v>
      </c>
      <c r="I12564" s="2" t="s">
        <v>49989</v>
      </c>
      <c r="K12564" s="2" t="s">
        <v>2804</v>
      </c>
      <c r="L12564" s="2" t="s">
        <v>142</v>
      </c>
      <c r="M12564" s="2">
        <v>14613.0</v>
      </c>
      <c r="N12564" s="2" t="s">
        <v>21</v>
      </c>
    </row>
    <row r="12565" ht="15.75" customHeight="1">
      <c r="A12565" s="2">
        <v>2020.0</v>
      </c>
      <c r="B12565" s="2" t="s">
        <v>49990</v>
      </c>
      <c r="C12565" s="2" t="s">
        <v>49991</v>
      </c>
      <c r="D12565" s="2" t="str">
        <f>"7176369818"</f>
        <v>7176369818</v>
      </c>
      <c r="E12565" s="2" t="s">
        <v>12590</v>
      </c>
      <c r="F12565" s="2" t="s">
        <v>49992</v>
      </c>
      <c r="G12565" s="2" t="str">
        <f>"SR-17858"</f>
        <v>SR-17858</v>
      </c>
      <c r="H12565" s="2" t="s">
        <v>49993</v>
      </c>
      <c r="I12565" s="2" t="s">
        <v>49994</v>
      </c>
      <c r="K12565" s="2" t="s">
        <v>39284</v>
      </c>
      <c r="L12565" s="2" t="s">
        <v>179</v>
      </c>
      <c r="M12565" s="2">
        <v>17013.0</v>
      </c>
      <c r="N12565" s="2" t="s">
        <v>21</v>
      </c>
    </row>
    <row r="12566" ht="15.75" customHeight="1">
      <c r="A12566" s="2">
        <v>2020.0</v>
      </c>
      <c r="B12566" s="2" t="s">
        <v>49995</v>
      </c>
      <c r="C12566" s="2" t="s">
        <v>49996</v>
      </c>
      <c r="D12566" s="2" t="str">
        <f>"316-680-5676"</f>
        <v>316-680-5676</v>
      </c>
      <c r="E12566" s="2" t="s">
        <v>20541</v>
      </c>
      <c r="F12566" s="2" t="s">
        <v>2234</v>
      </c>
      <c r="G12566" s="2" t="str">
        <f>"SR-17860"</f>
        <v>SR-17860</v>
      </c>
      <c r="H12566" s="2" t="s">
        <v>49997</v>
      </c>
      <c r="I12566" s="2" t="s">
        <v>49998</v>
      </c>
      <c r="K12566" s="2" t="s">
        <v>606</v>
      </c>
      <c r="L12566" s="2" t="s">
        <v>272</v>
      </c>
      <c r="M12566" s="2">
        <v>67235.0</v>
      </c>
      <c r="N12566" s="2" t="s">
        <v>21</v>
      </c>
    </row>
    <row r="12567" ht="15.75" customHeight="1">
      <c r="A12567" s="2">
        <v>2020.0</v>
      </c>
      <c r="B12567" s="2" t="s">
        <v>49999</v>
      </c>
      <c r="C12567" s="2" t="s">
        <v>50000</v>
      </c>
      <c r="D12567" s="2" t="str">
        <f>"5855940934"</f>
        <v>5855940934</v>
      </c>
      <c r="E12567" s="2" t="s">
        <v>261</v>
      </c>
      <c r="F12567" s="2" t="s">
        <v>8115</v>
      </c>
      <c r="G12567" s="2" t="str">
        <f>"SR-17864"</f>
        <v>SR-17864</v>
      </c>
      <c r="H12567" s="2" t="s">
        <v>50001</v>
      </c>
      <c r="I12567" s="2" t="s">
        <v>50002</v>
      </c>
      <c r="K12567" s="2" t="s">
        <v>2804</v>
      </c>
      <c r="L12567" s="2" t="s">
        <v>142</v>
      </c>
      <c r="M12567" s="2">
        <v>14624.0</v>
      </c>
      <c r="N12567" s="2" t="s">
        <v>21</v>
      </c>
    </row>
    <row r="12568" ht="15.75" customHeight="1">
      <c r="A12568" s="2">
        <v>2020.0</v>
      </c>
      <c r="B12568" s="2" t="s">
        <v>50003</v>
      </c>
      <c r="C12568" s="2" t="s">
        <v>50004</v>
      </c>
      <c r="D12568" s="2" t="str">
        <f>"34637725063"</f>
        <v>34637725063</v>
      </c>
      <c r="E12568" s="2" t="s">
        <v>38605</v>
      </c>
      <c r="F12568" s="2" t="s">
        <v>50005</v>
      </c>
      <c r="G12568" s="2" t="str">
        <f>"SR-17865"</f>
        <v>SR-17865</v>
      </c>
      <c r="H12568" s="2" t="s">
        <v>50006</v>
      </c>
      <c r="I12568" s="2" t="s">
        <v>50007</v>
      </c>
      <c r="K12568" s="2" t="s">
        <v>50008</v>
      </c>
      <c r="L12568" s="2" t="s">
        <v>50009</v>
      </c>
      <c r="M12568" s="2">
        <v>28660.0</v>
      </c>
      <c r="N12568" s="2" t="s">
        <v>33843</v>
      </c>
    </row>
    <row r="12569" ht="15.75" customHeight="1">
      <c r="A12569" s="2">
        <v>2020.0</v>
      </c>
      <c r="B12569" s="2" t="s">
        <v>50010</v>
      </c>
      <c r="C12569" s="2" t="s">
        <v>50011</v>
      </c>
      <c r="D12569" s="2" t="str">
        <f>"423-544-9832"</f>
        <v>423-544-9832</v>
      </c>
      <c r="E12569" s="2" t="s">
        <v>2361</v>
      </c>
      <c r="F12569" s="2" t="s">
        <v>50012</v>
      </c>
      <c r="G12569" s="2" t="str">
        <f>"SR-17785"</f>
        <v>SR-17785</v>
      </c>
      <c r="H12569" s="2" t="s">
        <v>50013</v>
      </c>
      <c r="I12569" s="2" t="s">
        <v>50014</v>
      </c>
      <c r="K12569" s="2" t="s">
        <v>4310</v>
      </c>
      <c r="L12569" s="2" t="s">
        <v>279</v>
      </c>
      <c r="M12569" s="2">
        <v>37321.0</v>
      </c>
      <c r="N12569" s="2" t="s">
        <v>21</v>
      </c>
    </row>
    <row r="12570" ht="15.75" customHeight="1">
      <c r="A12570" s="2">
        <v>2020.0</v>
      </c>
      <c r="B12570" s="2" t="s">
        <v>48249</v>
      </c>
      <c r="C12570" s="2" t="s">
        <v>50015</v>
      </c>
      <c r="D12570" s="2" t="str">
        <f>"3373170551"</f>
        <v>3373170551</v>
      </c>
      <c r="E12570" s="2" t="s">
        <v>2243</v>
      </c>
      <c r="F12570" s="2" t="s">
        <v>19823</v>
      </c>
      <c r="G12570" s="2" t="str">
        <f>"SR-17633"</f>
        <v>SR-17633</v>
      </c>
      <c r="H12570" s="2" t="s">
        <v>50016</v>
      </c>
      <c r="I12570" s="2" t="s">
        <v>48252</v>
      </c>
      <c r="K12570" s="2" t="s">
        <v>11600</v>
      </c>
      <c r="L12570" s="2" t="s">
        <v>715</v>
      </c>
      <c r="M12570" s="2">
        <v>70605.0</v>
      </c>
      <c r="N12570" s="2" t="s">
        <v>21</v>
      </c>
    </row>
    <row r="12571" ht="15.75" customHeight="1">
      <c r="A12571" s="2">
        <v>2020.0</v>
      </c>
      <c r="B12571" s="2" t="s">
        <v>37444</v>
      </c>
      <c r="C12571" s="2" t="s">
        <v>50017</v>
      </c>
      <c r="D12571" s="2" t="str">
        <f>"3038050196"</f>
        <v>3038050196</v>
      </c>
      <c r="E12571" s="2" t="s">
        <v>4224</v>
      </c>
      <c r="F12571" s="2" t="s">
        <v>23553</v>
      </c>
      <c r="G12571" s="2" t="str">
        <f>"SR-17552"</f>
        <v>SR-17552</v>
      </c>
      <c r="H12571" s="2" t="s">
        <v>50018</v>
      </c>
      <c r="I12571" s="2" t="s">
        <v>23555</v>
      </c>
      <c r="K12571" s="2" t="s">
        <v>6514</v>
      </c>
      <c r="L12571" s="2" t="s">
        <v>157</v>
      </c>
      <c r="M12571" s="2">
        <v>80228.0</v>
      </c>
      <c r="N12571" s="2" t="s">
        <v>21</v>
      </c>
    </row>
    <row r="12572" ht="15.75" customHeight="1">
      <c r="A12572" s="2">
        <v>2020.0</v>
      </c>
      <c r="B12572" s="2" t="s">
        <v>50019</v>
      </c>
      <c r="C12572" s="2" t="s">
        <v>50020</v>
      </c>
      <c r="D12572" s="2" t="str">
        <f>"9707769488"</f>
        <v>9707769488</v>
      </c>
      <c r="E12572" s="2" t="s">
        <v>15</v>
      </c>
      <c r="F12572" s="2" t="s">
        <v>25935</v>
      </c>
      <c r="G12572" s="2" t="str">
        <f>"SR-17869"</f>
        <v>SR-17869</v>
      </c>
      <c r="H12572" s="2" t="s">
        <v>50021</v>
      </c>
      <c r="I12572" s="2" t="s">
        <v>50022</v>
      </c>
      <c r="K12572" s="2" t="s">
        <v>1048</v>
      </c>
      <c r="L12572" s="2" t="s">
        <v>157</v>
      </c>
      <c r="M12572" s="2">
        <v>80538.0</v>
      </c>
      <c r="N12572" s="2" t="s">
        <v>21</v>
      </c>
    </row>
    <row r="12573" ht="15.75" customHeight="1">
      <c r="A12573" s="2">
        <v>2020.0</v>
      </c>
      <c r="B12573" s="2" t="s">
        <v>50023</v>
      </c>
      <c r="D12573" s="2" t="str">
        <f t="shared" ref="D12573:D12574" si="214">""</f>
        <v/>
      </c>
      <c r="E12573" s="2" t="s">
        <v>18715</v>
      </c>
      <c r="F12573" s="2" t="s">
        <v>5121</v>
      </c>
      <c r="G12573" s="2" t="str">
        <f>"SR-17859"</f>
        <v>SR-17859</v>
      </c>
      <c r="H12573" s="2" t="s">
        <v>50024</v>
      </c>
      <c r="N12573" s="2" t="s">
        <v>21</v>
      </c>
    </row>
    <row r="12574" ht="15.75" customHeight="1">
      <c r="A12574" s="2">
        <v>2020.0</v>
      </c>
      <c r="B12574" s="2" t="s">
        <v>50025</v>
      </c>
      <c r="D12574" s="2" t="str">
        <f t="shared" si="214"/>
        <v/>
      </c>
      <c r="E12574" s="2" t="s">
        <v>843</v>
      </c>
      <c r="F12574" s="2" t="s">
        <v>50026</v>
      </c>
      <c r="G12574" s="2" t="str">
        <f>"SR-17873"</f>
        <v>SR-17873</v>
      </c>
      <c r="H12574" s="2" t="s">
        <v>50027</v>
      </c>
      <c r="N12574" s="2" t="s">
        <v>21</v>
      </c>
    </row>
    <row r="12575" ht="15.75" customHeight="1">
      <c r="A12575" s="2">
        <v>2020.0</v>
      </c>
      <c r="B12575" s="2" t="s">
        <v>50028</v>
      </c>
      <c r="C12575" s="2" t="s">
        <v>50029</v>
      </c>
      <c r="D12575" s="2" t="str">
        <f>"605-222-2422"</f>
        <v>605-222-2422</v>
      </c>
      <c r="E12575" s="2" t="s">
        <v>2711</v>
      </c>
      <c r="F12575" s="2" t="s">
        <v>50030</v>
      </c>
      <c r="G12575" s="2" t="str">
        <f>"SR-17807"</f>
        <v>SR-17807</v>
      </c>
      <c r="H12575" s="2" t="s">
        <v>50031</v>
      </c>
      <c r="I12575" s="2" t="s">
        <v>50032</v>
      </c>
      <c r="K12575" s="2" t="s">
        <v>4355</v>
      </c>
      <c r="L12575" s="2" t="s">
        <v>920</v>
      </c>
      <c r="M12575" s="2">
        <v>57501.0</v>
      </c>
      <c r="N12575" s="2" t="s">
        <v>21</v>
      </c>
    </row>
    <row r="12576" ht="15.75" customHeight="1">
      <c r="A12576" s="2">
        <v>2020.0</v>
      </c>
      <c r="B12576" s="2" t="s">
        <v>50033</v>
      </c>
      <c r="C12576" s="2" t="s">
        <v>50034</v>
      </c>
      <c r="D12576" s="2" t="str">
        <f>"909-678-2936‚Ä¨"</f>
        <v>909-678-2936‚Ä¨</v>
      </c>
      <c r="E12576" s="2" t="s">
        <v>23239</v>
      </c>
      <c r="F12576" s="2" t="s">
        <v>50035</v>
      </c>
      <c r="G12576" s="2" t="str">
        <f>"SR-17875"</f>
        <v>SR-17875</v>
      </c>
      <c r="H12576" s="2" t="s">
        <v>50036</v>
      </c>
      <c r="I12576" s="2" t="s">
        <v>50037</v>
      </c>
      <c r="K12576" s="2" t="s">
        <v>15671</v>
      </c>
      <c r="L12576" s="2" t="s">
        <v>222</v>
      </c>
      <c r="M12576" s="2">
        <v>91766.0</v>
      </c>
      <c r="N12576" s="2" t="s">
        <v>21</v>
      </c>
    </row>
    <row r="12577" ht="15.75" customHeight="1">
      <c r="A12577" s="2">
        <v>2020.0</v>
      </c>
      <c r="B12577" s="2" t="s">
        <v>50033</v>
      </c>
      <c r="C12577" s="2" t="s">
        <v>50038</v>
      </c>
      <c r="D12577" s="2" t="str">
        <f>"909-761-1921"</f>
        <v>909-761-1921</v>
      </c>
      <c r="E12577" s="2" t="s">
        <v>17623</v>
      </c>
      <c r="F12577" s="2" t="s">
        <v>50039</v>
      </c>
      <c r="G12577" s="2" t="str">
        <f>"SR-17876"</f>
        <v>SR-17876</v>
      </c>
      <c r="H12577" s="2" t="s">
        <v>50040</v>
      </c>
      <c r="I12577" s="2" t="s">
        <v>50041</v>
      </c>
      <c r="K12577" s="2" t="s">
        <v>15671</v>
      </c>
      <c r="L12577" s="2" t="s">
        <v>222</v>
      </c>
      <c r="M12577" s="2">
        <v>91767.0</v>
      </c>
      <c r="N12577" s="2" t="s">
        <v>21</v>
      </c>
    </row>
    <row r="12578" ht="15.75" customHeight="1">
      <c r="A12578" s="2">
        <v>2020.0</v>
      </c>
      <c r="B12578" s="2" t="s">
        <v>50042</v>
      </c>
      <c r="C12578" s="2" t="s">
        <v>50043</v>
      </c>
      <c r="D12578" s="2" t="str">
        <f>"6033931449"</f>
        <v>6033931449</v>
      </c>
      <c r="E12578" s="2" t="s">
        <v>590</v>
      </c>
      <c r="F12578" s="2" t="s">
        <v>50044</v>
      </c>
      <c r="G12578" s="2" t="str">
        <f>"SR-17877"</f>
        <v>SR-17877</v>
      </c>
      <c r="H12578" s="2" t="s">
        <v>50045</v>
      </c>
      <c r="I12578" s="2" t="s">
        <v>50046</v>
      </c>
      <c r="K12578" s="2" t="s">
        <v>50047</v>
      </c>
      <c r="L12578" s="2" t="s">
        <v>19930</v>
      </c>
      <c r="M12578" s="2">
        <v>3276.0</v>
      </c>
      <c r="N12578" s="2" t="s">
        <v>21</v>
      </c>
    </row>
    <row r="12579" ht="15.75" customHeight="1">
      <c r="A12579" s="2">
        <v>2020.0</v>
      </c>
      <c r="B12579" s="2" t="s">
        <v>50048</v>
      </c>
      <c r="C12579" s="2" t="s">
        <v>50049</v>
      </c>
      <c r="D12579" s="2" t="str">
        <f>"3032432902"</f>
        <v>3032432902</v>
      </c>
      <c r="E12579" s="2" t="s">
        <v>1094</v>
      </c>
      <c r="F12579" s="2" t="s">
        <v>50050</v>
      </c>
      <c r="G12579" s="2" t="str">
        <f>"SR-17878"</f>
        <v>SR-17878</v>
      </c>
      <c r="H12579" s="2" t="s">
        <v>50051</v>
      </c>
      <c r="I12579" s="2" t="s">
        <v>50052</v>
      </c>
      <c r="K12579" s="2" t="s">
        <v>1889</v>
      </c>
      <c r="L12579" s="2" t="s">
        <v>157</v>
      </c>
      <c r="M12579" s="2">
        <v>80127.0</v>
      </c>
      <c r="N12579" s="2" t="s">
        <v>21</v>
      </c>
    </row>
    <row r="12580" ht="15.75" customHeight="1">
      <c r="A12580" s="2">
        <v>2020.0</v>
      </c>
      <c r="B12580" s="2" t="s">
        <v>45074</v>
      </c>
      <c r="C12580" s="2" t="s">
        <v>45075</v>
      </c>
      <c r="D12580" s="2" t="str">
        <f>"6516001309"</f>
        <v>6516001309</v>
      </c>
      <c r="E12580" s="2" t="s">
        <v>644</v>
      </c>
      <c r="F12580" s="2" t="s">
        <v>45076</v>
      </c>
      <c r="G12580" s="2" t="str">
        <f>"SR-15825"</f>
        <v>SR-15825</v>
      </c>
      <c r="H12580" s="2" t="s">
        <v>45077</v>
      </c>
      <c r="I12580" s="2" t="s">
        <v>45078</v>
      </c>
      <c r="K12580" s="2" t="s">
        <v>2046</v>
      </c>
      <c r="L12580" s="2" t="s">
        <v>172</v>
      </c>
      <c r="M12580" s="2">
        <v>76049.0</v>
      </c>
      <c r="N12580" s="2" t="s">
        <v>21</v>
      </c>
    </row>
    <row r="12581" ht="15.75" customHeight="1">
      <c r="A12581" s="2">
        <v>2020.0</v>
      </c>
      <c r="B12581" s="2" t="s">
        <v>48373</v>
      </c>
      <c r="C12581" s="2" t="s">
        <v>48374</v>
      </c>
      <c r="D12581" s="2" t="str">
        <f>"17787150891"</f>
        <v>17787150891</v>
      </c>
      <c r="E12581" s="2" t="s">
        <v>48375</v>
      </c>
      <c r="F12581" s="2" t="s">
        <v>48376</v>
      </c>
      <c r="G12581" s="2" t="str">
        <f>"SR-16985"</f>
        <v>SR-16985</v>
      </c>
      <c r="H12581" s="2" t="s">
        <v>48377</v>
      </c>
      <c r="I12581" s="2" t="s">
        <v>48378</v>
      </c>
      <c r="K12581" s="2" t="s">
        <v>48379</v>
      </c>
      <c r="L12581" s="2" t="s">
        <v>48380</v>
      </c>
      <c r="M12581" s="2">
        <v>650500.0</v>
      </c>
      <c r="N12581" s="2" t="s">
        <v>20821</v>
      </c>
    </row>
    <row r="12582" ht="15.75" customHeight="1">
      <c r="A12582" s="2">
        <v>2020.0</v>
      </c>
      <c r="B12582" s="2" t="s">
        <v>50053</v>
      </c>
      <c r="C12582" s="2" t="s">
        <v>50053</v>
      </c>
      <c r="D12582" s="2" t="str">
        <f>"6825008564"</f>
        <v>6825008564</v>
      </c>
      <c r="E12582" s="2" t="s">
        <v>456</v>
      </c>
      <c r="F12582" s="2" t="s">
        <v>50054</v>
      </c>
      <c r="G12582" s="2" t="str">
        <f>"SR-17881"</f>
        <v>SR-17881</v>
      </c>
      <c r="H12582" s="2" t="s">
        <v>50055</v>
      </c>
      <c r="I12582" s="2" t="s">
        <v>50056</v>
      </c>
      <c r="K12582" s="2" t="s">
        <v>2046</v>
      </c>
      <c r="L12582" s="2" t="s">
        <v>172</v>
      </c>
      <c r="M12582" s="2">
        <v>76049.0</v>
      </c>
      <c r="N12582" s="2" t="s">
        <v>21</v>
      </c>
    </row>
    <row r="12583" ht="15.75" customHeight="1">
      <c r="A12583" s="2">
        <v>2020.0</v>
      </c>
      <c r="B12583" s="2" t="s">
        <v>10306</v>
      </c>
      <c r="C12583" s="2" t="s">
        <v>40554</v>
      </c>
      <c r="D12583" s="2" t="str">
        <f>"605-353-1233"</f>
        <v>605-353-1233</v>
      </c>
      <c r="E12583" s="2" t="s">
        <v>282</v>
      </c>
      <c r="F12583" s="2" t="s">
        <v>10308</v>
      </c>
      <c r="G12583" s="2" t="str">
        <f>"SR-13684"</f>
        <v>SR-13684</v>
      </c>
      <c r="H12583" s="2" t="s">
        <v>40555</v>
      </c>
      <c r="I12583" s="2" t="s">
        <v>10310</v>
      </c>
      <c r="K12583" s="2" t="s">
        <v>10311</v>
      </c>
      <c r="L12583" s="2" t="s">
        <v>920</v>
      </c>
      <c r="M12583" s="2">
        <v>57386.0</v>
      </c>
      <c r="N12583" s="2" t="s">
        <v>21</v>
      </c>
    </row>
    <row r="12584" ht="15.75" customHeight="1">
      <c r="A12584" s="2">
        <v>2020.0</v>
      </c>
      <c r="B12584" s="2" t="s">
        <v>39063</v>
      </c>
      <c r="C12584" s="2" t="s">
        <v>50057</v>
      </c>
      <c r="D12584" s="2" t="str">
        <f>"9012320240"</f>
        <v>9012320240</v>
      </c>
      <c r="E12584" s="2" t="s">
        <v>26038</v>
      </c>
      <c r="F12584" s="2" t="s">
        <v>3283</v>
      </c>
      <c r="G12584" s="2" t="str">
        <f>"SR-17883"</f>
        <v>SR-17883</v>
      </c>
      <c r="H12584" s="2" t="s">
        <v>50058</v>
      </c>
      <c r="I12584" s="2" t="s">
        <v>50059</v>
      </c>
      <c r="K12584" s="2" t="s">
        <v>5519</v>
      </c>
      <c r="L12584" s="2" t="s">
        <v>279</v>
      </c>
      <c r="M12584" s="2">
        <v>38115.0</v>
      </c>
      <c r="N12584" s="2" t="s">
        <v>21</v>
      </c>
    </row>
    <row r="12585" ht="15.75" customHeight="1">
      <c r="A12585" s="2">
        <v>2020.0</v>
      </c>
      <c r="B12585" s="2" t="s">
        <v>50060</v>
      </c>
      <c r="C12585" s="2" t="s">
        <v>50061</v>
      </c>
      <c r="D12585" s="2" t="str">
        <f>"6168418280"</f>
        <v>6168418280</v>
      </c>
      <c r="E12585" s="2" t="s">
        <v>1725</v>
      </c>
      <c r="F12585" s="2" t="s">
        <v>4389</v>
      </c>
      <c r="G12585" s="2" t="str">
        <f>"SR-17884"</f>
        <v>SR-17884</v>
      </c>
      <c r="H12585" s="2" t="s">
        <v>50062</v>
      </c>
      <c r="I12585" s="2" t="s">
        <v>50063</v>
      </c>
      <c r="K12585" s="2" t="s">
        <v>26234</v>
      </c>
      <c r="L12585" s="2" t="s">
        <v>29</v>
      </c>
      <c r="M12585" s="2">
        <v>49331.0</v>
      </c>
      <c r="N12585" s="2" t="s">
        <v>21</v>
      </c>
    </row>
    <row r="12586" ht="15.75" customHeight="1">
      <c r="A12586" s="2">
        <v>2020.0</v>
      </c>
      <c r="B12586" s="2" t="s">
        <v>50064</v>
      </c>
      <c r="C12586" s="2" t="s">
        <v>50065</v>
      </c>
      <c r="D12586" s="2" t="str">
        <f>"3193786329"</f>
        <v>3193786329</v>
      </c>
      <c r="E12586" s="2" t="s">
        <v>2851</v>
      </c>
      <c r="F12586" s="2" t="s">
        <v>19900</v>
      </c>
      <c r="G12586" s="2" t="str">
        <f>"SR-17886"</f>
        <v>SR-17886</v>
      </c>
      <c r="H12586" s="2" t="s">
        <v>50066</v>
      </c>
      <c r="I12586" s="2" t="s">
        <v>50067</v>
      </c>
      <c r="K12586" s="2" t="s">
        <v>3273</v>
      </c>
      <c r="L12586" s="2" t="s">
        <v>560</v>
      </c>
      <c r="M12586" s="2">
        <v>52411.0</v>
      </c>
      <c r="N12586" s="2" t="s">
        <v>21</v>
      </c>
    </row>
    <row r="12587" ht="15.75" customHeight="1">
      <c r="A12587" s="2">
        <v>2020.0</v>
      </c>
      <c r="B12587" s="2" t="s">
        <v>44781</v>
      </c>
      <c r="D12587" s="2" t="str">
        <f>""</f>
        <v/>
      </c>
      <c r="E12587" s="2" t="s">
        <v>2309</v>
      </c>
      <c r="F12587" s="2" t="s">
        <v>44782</v>
      </c>
      <c r="G12587" s="2" t="str">
        <f>"SR-15683"</f>
        <v>SR-15683</v>
      </c>
      <c r="H12587" s="2" t="s">
        <v>44783</v>
      </c>
      <c r="N12587" s="2" t="s">
        <v>21</v>
      </c>
    </row>
    <row r="12588" ht="15.75" customHeight="1">
      <c r="A12588" s="2">
        <v>2020.0</v>
      </c>
      <c r="B12588" s="2" t="s">
        <v>50068</v>
      </c>
      <c r="C12588" s="2" t="s">
        <v>50069</v>
      </c>
      <c r="D12588" s="2" t="str">
        <f>"8657223766"</f>
        <v>8657223766</v>
      </c>
      <c r="E12588" s="2" t="s">
        <v>678</v>
      </c>
      <c r="F12588" s="2" t="s">
        <v>50070</v>
      </c>
      <c r="G12588" s="2" t="str">
        <f>"SR-16154"</f>
        <v>SR-16154</v>
      </c>
      <c r="H12588" s="2" t="s">
        <v>50071</v>
      </c>
      <c r="I12588" s="2" t="s">
        <v>50072</v>
      </c>
      <c r="K12588" s="2" t="s">
        <v>5712</v>
      </c>
      <c r="L12588" s="2" t="s">
        <v>279</v>
      </c>
      <c r="M12588" s="2">
        <v>37725.0</v>
      </c>
      <c r="N12588" s="2" t="s">
        <v>21</v>
      </c>
    </row>
    <row r="12589" ht="15.75" customHeight="1">
      <c r="A12589" s="2">
        <v>2020.0</v>
      </c>
      <c r="B12589" s="2" t="s">
        <v>44575</v>
      </c>
      <c r="C12589" s="2" t="s">
        <v>44576</v>
      </c>
      <c r="D12589" s="2" t="str">
        <f>"615-406-2383"</f>
        <v>615-406-2383</v>
      </c>
      <c r="E12589" s="2" t="s">
        <v>453</v>
      </c>
      <c r="F12589" s="2" t="s">
        <v>44577</v>
      </c>
      <c r="G12589" s="2" t="str">
        <f>"SR-15643"</f>
        <v>SR-15643</v>
      </c>
      <c r="H12589" s="2" t="s">
        <v>44578</v>
      </c>
      <c r="I12589" s="2" t="s">
        <v>44579</v>
      </c>
      <c r="K12589" s="2" t="s">
        <v>37983</v>
      </c>
      <c r="L12589" s="2" t="s">
        <v>279</v>
      </c>
      <c r="M12589" s="2">
        <v>37180.0</v>
      </c>
      <c r="N12589" s="2" t="s">
        <v>21</v>
      </c>
    </row>
    <row r="12590" ht="15.75" customHeight="1">
      <c r="A12590" s="2">
        <v>2020.0</v>
      </c>
      <c r="B12590" s="2" t="s">
        <v>50073</v>
      </c>
      <c r="C12590" s="2" t="s">
        <v>50074</v>
      </c>
      <c r="D12590" s="2" t="str">
        <f>"2313438202"</f>
        <v>2313438202</v>
      </c>
      <c r="E12590" s="2" t="s">
        <v>188</v>
      </c>
      <c r="F12590" s="2" t="s">
        <v>50075</v>
      </c>
      <c r="G12590" s="2" t="str">
        <f>"SR-17895"</f>
        <v>SR-17895</v>
      </c>
      <c r="H12590" s="2" t="s">
        <v>50076</v>
      </c>
      <c r="I12590" s="2" t="s">
        <v>50077</v>
      </c>
      <c r="K12590" s="2" t="s">
        <v>18776</v>
      </c>
      <c r="L12590" s="2" t="s">
        <v>29</v>
      </c>
      <c r="M12590" s="2">
        <v>49441.0</v>
      </c>
      <c r="N12590" s="2" t="s">
        <v>21</v>
      </c>
    </row>
    <row r="12591" ht="15.75" customHeight="1">
      <c r="A12591" s="2">
        <v>2020.0</v>
      </c>
      <c r="B12591" s="2" t="s">
        <v>50078</v>
      </c>
      <c r="C12591" s="2" t="s">
        <v>50079</v>
      </c>
      <c r="D12591" s="2" t="str">
        <f>"442-234-3709"</f>
        <v>442-234-3709</v>
      </c>
      <c r="E12591" s="2" t="s">
        <v>1150</v>
      </c>
      <c r="F12591" s="2" t="s">
        <v>50080</v>
      </c>
      <c r="G12591" s="2" t="str">
        <f>"SR-17896"</f>
        <v>SR-17896</v>
      </c>
      <c r="H12591" s="2" t="s">
        <v>50081</v>
      </c>
      <c r="I12591" s="2" t="s">
        <v>50082</v>
      </c>
      <c r="K12591" s="2" t="s">
        <v>14981</v>
      </c>
      <c r="L12591" s="2" t="s">
        <v>222</v>
      </c>
      <c r="M12591" s="2">
        <v>92084.0</v>
      </c>
      <c r="N12591" s="2" t="s">
        <v>21</v>
      </c>
    </row>
    <row r="12592" ht="15.75" customHeight="1">
      <c r="A12592" s="2">
        <v>2020.0</v>
      </c>
      <c r="B12592" s="2" t="s">
        <v>50083</v>
      </c>
      <c r="C12592" s="2" t="s">
        <v>50084</v>
      </c>
      <c r="D12592" s="2" t="str">
        <f>"7193392378"</f>
        <v>7193392378</v>
      </c>
      <c r="E12592" s="2" t="s">
        <v>50085</v>
      </c>
      <c r="F12592" s="2" t="s">
        <v>50086</v>
      </c>
      <c r="G12592" s="2" t="str">
        <f>"SR-17880"</f>
        <v>SR-17880</v>
      </c>
      <c r="H12592" s="2" t="s">
        <v>50087</v>
      </c>
      <c r="I12592" s="2" t="s">
        <v>50088</v>
      </c>
      <c r="K12592" s="2" t="s">
        <v>50089</v>
      </c>
      <c r="L12592" s="2" t="s">
        <v>157</v>
      </c>
      <c r="M12592" s="2">
        <v>80832.0</v>
      </c>
      <c r="N12592" s="2" t="s">
        <v>21</v>
      </c>
    </row>
    <row r="12593" ht="15.75" customHeight="1">
      <c r="A12593" s="2">
        <v>2020.0</v>
      </c>
      <c r="B12593" s="2" t="s">
        <v>7415</v>
      </c>
      <c r="C12593" s="2" t="s">
        <v>50090</v>
      </c>
      <c r="D12593" s="2" t="str">
        <f>"3193780993"</f>
        <v>3193780993</v>
      </c>
      <c r="E12593" s="2" t="s">
        <v>1548</v>
      </c>
      <c r="F12593" s="2" t="s">
        <v>1083</v>
      </c>
      <c r="G12593" s="2" t="str">
        <f>"SR-17897"</f>
        <v>SR-17897</v>
      </c>
      <c r="H12593" s="2" t="s">
        <v>50091</v>
      </c>
      <c r="I12593" s="2" t="s">
        <v>7419</v>
      </c>
      <c r="K12593" s="2" t="s">
        <v>3273</v>
      </c>
      <c r="L12593" s="2" t="s">
        <v>560</v>
      </c>
      <c r="M12593" s="2">
        <v>52411.0</v>
      </c>
      <c r="N12593" s="2" t="s">
        <v>21</v>
      </c>
    </row>
    <row r="12594" ht="15.75" customHeight="1">
      <c r="A12594" s="2">
        <v>2020.0</v>
      </c>
      <c r="B12594" s="2" t="s">
        <v>19790</v>
      </c>
      <c r="D12594" s="2" t="str">
        <f>""</f>
        <v/>
      </c>
      <c r="E12594" s="2" t="s">
        <v>5760</v>
      </c>
      <c r="F12594" s="2" t="s">
        <v>19792</v>
      </c>
      <c r="G12594" s="2" t="str">
        <f>"SR-17355"</f>
        <v>SR-17355</v>
      </c>
      <c r="H12594" s="2" t="s">
        <v>50092</v>
      </c>
    </row>
    <row r="12595" ht="15.75" customHeight="1">
      <c r="A12595" s="2">
        <v>2020.0</v>
      </c>
      <c r="B12595" s="2" t="s">
        <v>38740</v>
      </c>
      <c r="C12595" s="2" t="s">
        <v>50093</v>
      </c>
      <c r="D12595" s="2" t="str">
        <f>"519-843-7806"</f>
        <v>519-843-7806</v>
      </c>
      <c r="E12595" s="2" t="s">
        <v>1022</v>
      </c>
      <c r="F12595" s="2" t="s">
        <v>38741</v>
      </c>
      <c r="G12595" s="2" t="str">
        <f>"SR-17900"</f>
        <v>SR-17900</v>
      </c>
      <c r="H12595" s="2" t="s">
        <v>50094</v>
      </c>
      <c r="I12595" s="2" t="s">
        <v>50095</v>
      </c>
      <c r="K12595" s="2" t="s">
        <v>50096</v>
      </c>
      <c r="L12595" s="2" t="s">
        <v>2022</v>
      </c>
      <c r="M12595" s="2" t="s">
        <v>50097</v>
      </c>
      <c r="N12595" s="2" t="s">
        <v>1602</v>
      </c>
    </row>
    <row r="12596" ht="15.75" customHeight="1">
      <c r="A12596" s="2">
        <v>2020.0</v>
      </c>
      <c r="B12596" s="2" t="s">
        <v>50098</v>
      </c>
      <c r="C12596" s="2" t="s">
        <v>50098</v>
      </c>
      <c r="D12596" s="2" t="str">
        <f>"7178804747"</f>
        <v>7178804747</v>
      </c>
      <c r="E12596" s="2" t="s">
        <v>10825</v>
      </c>
      <c r="F12596" s="2" t="s">
        <v>16538</v>
      </c>
      <c r="G12596" s="2" t="str">
        <f>"SR-17901"</f>
        <v>SR-17901</v>
      </c>
      <c r="H12596" s="2" t="s">
        <v>50099</v>
      </c>
      <c r="I12596" s="2" t="s">
        <v>50100</v>
      </c>
      <c r="K12596" s="2" t="s">
        <v>16541</v>
      </c>
      <c r="L12596" s="2" t="s">
        <v>179</v>
      </c>
      <c r="M12596" s="2">
        <v>17403.0</v>
      </c>
      <c r="N12596" s="2" t="s">
        <v>21</v>
      </c>
    </row>
    <row r="12597" ht="15.75" customHeight="1">
      <c r="A12597" s="2">
        <v>2020.0</v>
      </c>
      <c r="B12597" s="2" t="s">
        <v>37754</v>
      </c>
      <c r="D12597" s="2" t="str">
        <f>""</f>
        <v/>
      </c>
      <c r="E12597" s="2" t="s">
        <v>1022</v>
      </c>
      <c r="F12597" s="2" t="s">
        <v>19002</v>
      </c>
      <c r="G12597" s="2" t="str">
        <f>"SR-12873"</f>
        <v>SR-12873</v>
      </c>
      <c r="H12597" s="2" t="s">
        <v>37757</v>
      </c>
    </row>
    <row r="12598" ht="15.75" customHeight="1">
      <c r="A12598" s="2">
        <v>2020.0</v>
      </c>
      <c r="B12598" s="2" t="s">
        <v>37754</v>
      </c>
      <c r="C12598" s="2" t="s">
        <v>37755</v>
      </c>
      <c r="D12598" s="2" t="str">
        <f>"505-377-3123"</f>
        <v>505-377-3123</v>
      </c>
      <c r="E12598" s="2" t="s">
        <v>16070</v>
      </c>
      <c r="F12598" s="2" t="s">
        <v>19002</v>
      </c>
      <c r="G12598" s="2" t="str">
        <f>"SR-12874"</f>
        <v>SR-12874</v>
      </c>
      <c r="H12598" s="2" t="s">
        <v>37756</v>
      </c>
      <c r="I12598" s="2" t="s">
        <v>19004</v>
      </c>
      <c r="K12598" s="2" t="s">
        <v>3705</v>
      </c>
      <c r="L12598" s="2" t="s">
        <v>789</v>
      </c>
      <c r="M12598" s="2">
        <v>87123.0</v>
      </c>
      <c r="N12598" s="2" t="s">
        <v>21</v>
      </c>
    </row>
    <row r="12599" ht="15.75" customHeight="1">
      <c r="A12599" s="2">
        <v>2020.0</v>
      </c>
      <c r="B12599" s="2" t="s">
        <v>47610</v>
      </c>
      <c r="C12599" s="2" t="s">
        <v>47611</v>
      </c>
      <c r="D12599" s="2" t="str">
        <f>"210--260-0846"</f>
        <v>210--260-0846</v>
      </c>
      <c r="E12599" s="2" t="s">
        <v>47612</v>
      </c>
      <c r="F12599" s="2" t="s">
        <v>1156</v>
      </c>
      <c r="G12599" s="2" t="str">
        <f>"SR-16697"</f>
        <v>SR-16697</v>
      </c>
      <c r="H12599" s="2" t="s">
        <v>47613</v>
      </c>
      <c r="I12599" s="2" t="s">
        <v>47614</v>
      </c>
      <c r="K12599" s="2" t="s">
        <v>47615</v>
      </c>
      <c r="L12599" s="2" t="s">
        <v>172</v>
      </c>
      <c r="M12599" s="2">
        <v>78231.0</v>
      </c>
      <c r="N12599" s="2" t="s">
        <v>21</v>
      </c>
    </row>
    <row r="12600" ht="15.75" customHeight="1">
      <c r="A12600" s="2">
        <v>2020.0</v>
      </c>
      <c r="B12600" s="2" t="s">
        <v>47610</v>
      </c>
      <c r="C12600" s="2" t="s">
        <v>50101</v>
      </c>
      <c r="D12600" s="2" t="str">
        <f>"210-623-0768"</f>
        <v>210-623-0768</v>
      </c>
      <c r="E12600" s="2" t="s">
        <v>4888</v>
      </c>
      <c r="F12600" s="2" t="s">
        <v>1156</v>
      </c>
      <c r="G12600" s="2" t="str">
        <f>"SR-17904"</f>
        <v>SR-17904</v>
      </c>
      <c r="H12600" s="2" t="s">
        <v>50102</v>
      </c>
      <c r="I12600" s="2" t="s">
        <v>50103</v>
      </c>
      <c r="K12600" s="2" t="s">
        <v>47615</v>
      </c>
      <c r="L12600" s="2" t="s">
        <v>172</v>
      </c>
      <c r="M12600" s="2">
        <v>78231.0</v>
      </c>
      <c r="N12600" s="2" t="s">
        <v>21</v>
      </c>
    </row>
    <row r="12601" ht="15.75" customHeight="1">
      <c r="A12601" s="2">
        <v>2020.0</v>
      </c>
      <c r="B12601" s="2" t="s">
        <v>50104</v>
      </c>
      <c r="C12601" s="2" t="s">
        <v>50104</v>
      </c>
      <c r="D12601" s="2" t="str">
        <f>"(717)870-8479"</f>
        <v>(717)870-8479</v>
      </c>
      <c r="E12601" s="2" t="s">
        <v>9558</v>
      </c>
      <c r="F12601" s="2" t="s">
        <v>2333</v>
      </c>
      <c r="G12601" s="2" t="str">
        <f>"SR-17905"</f>
        <v>SR-17905</v>
      </c>
      <c r="H12601" s="2" t="s">
        <v>50105</v>
      </c>
      <c r="I12601" s="2" t="s">
        <v>50106</v>
      </c>
      <c r="K12601" s="2" t="s">
        <v>16541</v>
      </c>
      <c r="L12601" s="2" t="s">
        <v>179</v>
      </c>
      <c r="M12601" s="2">
        <v>17403.0</v>
      </c>
      <c r="N12601" s="2" t="s">
        <v>21</v>
      </c>
    </row>
    <row r="12602" ht="15.75" customHeight="1">
      <c r="A12602" s="2">
        <v>2020.0</v>
      </c>
      <c r="B12602" s="2" t="s">
        <v>50107</v>
      </c>
      <c r="C12602" s="2" t="s">
        <v>50108</v>
      </c>
      <c r="D12602" s="2" t="str">
        <f>"719-493-4357"</f>
        <v>719-493-4357</v>
      </c>
      <c r="E12602" s="2" t="s">
        <v>4775</v>
      </c>
      <c r="F12602" s="2" t="s">
        <v>50109</v>
      </c>
      <c r="G12602" s="2" t="str">
        <f>"SR-17574"</f>
        <v>SR-17574</v>
      </c>
      <c r="H12602" s="2" t="s">
        <v>50110</v>
      </c>
      <c r="I12602" s="2" t="s">
        <v>50111</v>
      </c>
      <c r="K12602" s="2" t="s">
        <v>809</v>
      </c>
      <c r="L12602" s="2" t="s">
        <v>157</v>
      </c>
      <c r="M12602" s="2">
        <v>80921.0</v>
      </c>
      <c r="N12602" s="2" t="s">
        <v>21</v>
      </c>
    </row>
    <row r="12603" ht="15.75" customHeight="1">
      <c r="A12603" s="2">
        <v>2020.0</v>
      </c>
      <c r="B12603" s="2" t="s">
        <v>50112</v>
      </c>
      <c r="C12603" s="2" t="s">
        <v>50113</v>
      </c>
      <c r="D12603" s="2" t="str">
        <f>"2528854311"</f>
        <v>2528854311</v>
      </c>
      <c r="E12603" s="2" t="s">
        <v>50114</v>
      </c>
      <c r="F12603" s="2" t="s">
        <v>50115</v>
      </c>
      <c r="G12603" s="2" t="str">
        <f>"SR-17333"</f>
        <v>SR-17333</v>
      </c>
      <c r="H12603" s="2" t="s">
        <v>50116</v>
      </c>
      <c r="I12603" s="2" t="s">
        <v>50117</v>
      </c>
      <c r="K12603" s="2" t="s">
        <v>50118</v>
      </c>
      <c r="L12603" s="2" t="s">
        <v>20</v>
      </c>
      <c r="M12603" s="2">
        <v>27886.0</v>
      </c>
      <c r="N12603" s="2" t="s">
        <v>21</v>
      </c>
    </row>
    <row r="12604" ht="15.75" customHeight="1">
      <c r="A12604" s="2">
        <v>2020.0</v>
      </c>
      <c r="B12604" s="2" t="s">
        <v>31394</v>
      </c>
      <c r="C12604" s="2" t="s">
        <v>31394</v>
      </c>
      <c r="D12604" s="2" t="str">
        <f>"8303427257"</f>
        <v>8303427257</v>
      </c>
      <c r="E12604" s="2" t="s">
        <v>12075</v>
      </c>
      <c r="F12604" s="2" t="s">
        <v>562</v>
      </c>
      <c r="G12604" s="2" t="str">
        <f>"SR-10122"</f>
        <v>SR-10122</v>
      </c>
      <c r="H12604" s="2" t="s">
        <v>31395</v>
      </c>
      <c r="I12604" s="2" t="s">
        <v>31396</v>
      </c>
      <c r="K12604" s="2" t="s">
        <v>12164</v>
      </c>
      <c r="L12604" s="2" t="s">
        <v>172</v>
      </c>
      <c r="M12604" s="2">
        <v>78624.0</v>
      </c>
      <c r="N12604" s="2" t="s">
        <v>21</v>
      </c>
    </row>
    <row r="12605" ht="15.75" customHeight="1">
      <c r="A12605" s="2">
        <v>2020.0</v>
      </c>
      <c r="B12605" s="2" t="s">
        <v>25297</v>
      </c>
      <c r="D12605" s="2" t="str">
        <f>""</f>
        <v/>
      </c>
      <c r="E12605" s="2" t="s">
        <v>25057</v>
      </c>
      <c r="F12605" s="2" t="s">
        <v>4648</v>
      </c>
      <c r="G12605" s="2" t="str">
        <f>"SR-17445"</f>
        <v>SR-17445</v>
      </c>
      <c r="H12605" s="2" t="s">
        <v>50119</v>
      </c>
      <c r="N12605" s="2" t="s">
        <v>21</v>
      </c>
    </row>
    <row r="12606" ht="15.75" customHeight="1">
      <c r="A12606" s="2">
        <v>2020.0</v>
      </c>
      <c r="B12606" s="2" t="s">
        <v>50120</v>
      </c>
      <c r="C12606" s="2" t="s">
        <v>50121</v>
      </c>
      <c r="D12606" s="2" t="str">
        <f>"5019086712"</f>
        <v>5019086712</v>
      </c>
      <c r="E12606" s="2" t="s">
        <v>50122</v>
      </c>
      <c r="F12606" s="2" t="s">
        <v>16668</v>
      </c>
      <c r="G12606" s="2" t="str">
        <f>"SR-17634"</f>
        <v>SR-17634</v>
      </c>
      <c r="H12606" s="2" t="s">
        <v>50123</v>
      </c>
      <c r="I12606" s="2" t="s">
        <v>50124</v>
      </c>
      <c r="K12606" s="2" t="s">
        <v>9682</v>
      </c>
      <c r="L12606" s="2" t="s">
        <v>1012</v>
      </c>
      <c r="M12606" s="2">
        <v>72034.0</v>
      </c>
      <c r="N12606" s="2" t="s">
        <v>21</v>
      </c>
    </row>
    <row r="12607" ht="15.75" customHeight="1">
      <c r="A12607" s="2">
        <v>2020.0</v>
      </c>
      <c r="B12607" s="2" t="s">
        <v>45726</v>
      </c>
      <c r="C12607" s="2" t="s">
        <v>50125</v>
      </c>
      <c r="D12607" s="2" t="str">
        <f>"4072270883"</f>
        <v>4072270883</v>
      </c>
      <c r="E12607" s="2" t="s">
        <v>5858</v>
      </c>
      <c r="F12607" s="2" t="s">
        <v>45728</v>
      </c>
      <c r="G12607" s="2" t="str">
        <f>"SR-17907"</f>
        <v>SR-17907</v>
      </c>
      <c r="H12607" s="2" t="s">
        <v>50126</v>
      </c>
      <c r="I12607" s="2" t="s">
        <v>45730</v>
      </c>
      <c r="K12607" s="2" t="s">
        <v>525</v>
      </c>
      <c r="L12607" s="2" t="s">
        <v>208</v>
      </c>
      <c r="M12607" s="2">
        <v>32750.0</v>
      </c>
      <c r="N12607" s="2" t="s">
        <v>21</v>
      </c>
    </row>
    <row r="12608" ht="15.75" customHeight="1">
      <c r="A12608" s="2">
        <v>2020.0</v>
      </c>
      <c r="B12608" s="2" t="s">
        <v>4608</v>
      </c>
      <c r="C12608" s="2" t="s">
        <v>40897</v>
      </c>
      <c r="D12608" s="2" t="str">
        <f>"224-563-7541"</f>
        <v>224-563-7541</v>
      </c>
      <c r="E12608" s="2" t="s">
        <v>453</v>
      </c>
      <c r="F12608" s="2" t="s">
        <v>4610</v>
      </c>
      <c r="G12608" s="2" t="str">
        <f>"SR-13976"</f>
        <v>SR-13976</v>
      </c>
      <c r="H12608" s="2" t="s">
        <v>40898</v>
      </c>
      <c r="I12608" s="2" t="s">
        <v>33774</v>
      </c>
      <c r="K12608" s="2" t="s">
        <v>4613</v>
      </c>
      <c r="L12608" s="2" t="s">
        <v>105</v>
      </c>
      <c r="M12608" s="2">
        <v>60047.0</v>
      </c>
      <c r="N12608" s="2" t="s">
        <v>21</v>
      </c>
    </row>
    <row r="12609" ht="15.75" customHeight="1">
      <c r="A12609" s="2">
        <v>2020.0</v>
      </c>
      <c r="B12609" s="2" t="s">
        <v>50127</v>
      </c>
      <c r="C12609" s="2" t="s">
        <v>50127</v>
      </c>
      <c r="D12609" s="2" t="str">
        <f>"352-978-3612"</f>
        <v>352-978-3612</v>
      </c>
      <c r="E12609" s="2" t="s">
        <v>2126</v>
      </c>
      <c r="F12609" s="2" t="s">
        <v>50128</v>
      </c>
      <c r="G12609" s="2" t="str">
        <f>"SR-17908"</f>
        <v>SR-17908</v>
      </c>
      <c r="H12609" s="2" t="s">
        <v>50129</v>
      </c>
      <c r="I12609" s="2" t="s">
        <v>50130</v>
      </c>
      <c r="K12609" s="2" t="s">
        <v>19345</v>
      </c>
      <c r="L12609" s="2" t="s">
        <v>208</v>
      </c>
      <c r="M12609" s="2">
        <v>34711.0</v>
      </c>
      <c r="N12609" s="2" t="s">
        <v>21</v>
      </c>
    </row>
    <row r="12610" ht="15.75" customHeight="1">
      <c r="A12610" s="2">
        <v>2020.0</v>
      </c>
      <c r="B12610" s="2" t="s">
        <v>50131</v>
      </c>
      <c r="C12610" s="2" t="s">
        <v>50131</v>
      </c>
      <c r="D12610" s="2" t="str">
        <f>"9196033730"</f>
        <v>9196033730</v>
      </c>
      <c r="E12610" s="2" t="s">
        <v>453</v>
      </c>
      <c r="F12610" s="2" t="s">
        <v>33030</v>
      </c>
      <c r="G12610" s="2" t="str">
        <f>"SR-17788"</f>
        <v>SR-17788</v>
      </c>
      <c r="H12610" s="2" t="s">
        <v>50132</v>
      </c>
      <c r="I12610" s="2" t="s">
        <v>50133</v>
      </c>
      <c r="K12610" s="2" t="s">
        <v>24227</v>
      </c>
      <c r="L12610" s="2" t="s">
        <v>20</v>
      </c>
      <c r="M12610" s="2">
        <v>27565.0</v>
      </c>
      <c r="N12610" s="2" t="s">
        <v>21</v>
      </c>
    </row>
    <row r="12611" ht="15.75" customHeight="1">
      <c r="A12611" s="2">
        <v>2020.0</v>
      </c>
      <c r="B12611" s="2" t="s">
        <v>50134</v>
      </c>
      <c r="C12611" s="2" t="s">
        <v>50135</v>
      </c>
      <c r="D12611" s="2" t="str">
        <f>"509-822-9344"</f>
        <v>509-822-9344</v>
      </c>
      <c r="E12611" s="2" t="s">
        <v>2306</v>
      </c>
      <c r="F12611" s="2" t="s">
        <v>4657</v>
      </c>
      <c r="G12611" s="2" t="str">
        <f>"SR-17902"</f>
        <v>SR-17902</v>
      </c>
      <c r="H12611" s="2" t="s">
        <v>50136</v>
      </c>
      <c r="I12611" s="2" t="s">
        <v>50137</v>
      </c>
      <c r="K12611" s="2" t="s">
        <v>1413</v>
      </c>
      <c r="L12611" s="2" t="s">
        <v>86</v>
      </c>
      <c r="M12611" s="2">
        <v>99218.0</v>
      </c>
      <c r="N12611" s="2" t="s">
        <v>21</v>
      </c>
    </row>
    <row r="12612" ht="15.75" customHeight="1">
      <c r="A12612" s="2">
        <v>2020.0</v>
      </c>
      <c r="B12612" s="2" t="s">
        <v>47606</v>
      </c>
      <c r="C12612" s="2" t="s">
        <v>47607</v>
      </c>
      <c r="D12612" s="2" t="str">
        <f>"2104599115"</f>
        <v>2104599115</v>
      </c>
      <c r="E12612" s="2" t="s">
        <v>160</v>
      </c>
      <c r="F12612" s="2" t="s">
        <v>13995</v>
      </c>
      <c r="G12612" s="2" t="str">
        <f>"SR-16696"</f>
        <v>SR-16696</v>
      </c>
      <c r="H12612" s="2" t="s">
        <v>47608</v>
      </c>
      <c r="I12612" s="2" t="s">
        <v>47609</v>
      </c>
      <c r="K12612" s="2" t="s">
        <v>632</v>
      </c>
      <c r="L12612" s="2" t="s">
        <v>172</v>
      </c>
      <c r="M12612" s="2">
        <v>78258.0</v>
      </c>
      <c r="N12612" s="2" t="s">
        <v>21</v>
      </c>
    </row>
    <row r="12613" ht="15.75" customHeight="1">
      <c r="A12613" s="2">
        <v>2020.0</v>
      </c>
      <c r="B12613" s="2" t="s">
        <v>50138</v>
      </c>
      <c r="C12613" s="2" t="s">
        <v>50139</v>
      </c>
      <c r="D12613" s="2" t="str">
        <f>"905-466-2295"</f>
        <v>905-466-2295</v>
      </c>
      <c r="E12613" s="2" t="s">
        <v>339</v>
      </c>
      <c r="F12613" s="2" t="s">
        <v>34410</v>
      </c>
      <c r="G12613" s="2" t="str">
        <f>"SR-17910"</f>
        <v>SR-17910</v>
      </c>
      <c r="H12613" s="2" t="s">
        <v>50140</v>
      </c>
      <c r="I12613" s="2">
        <v>244.0</v>
      </c>
      <c r="J12613" s="2" t="s">
        <v>50141</v>
      </c>
      <c r="K12613" s="2" t="s">
        <v>34250</v>
      </c>
      <c r="L12613" s="2" t="s">
        <v>2022</v>
      </c>
      <c r="M12613" s="2" t="s">
        <v>50142</v>
      </c>
      <c r="N12613" s="2" t="s">
        <v>1602</v>
      </c>
    </row>
    <row r="12614" ht="15.75" customHeight="1">
      <c r="A12614" s="2">
        <v>2020.0</v>
      </c>
      <c r="B12614" s="2" t="s">
        <v>50143</v>
      </c>
      <c r="D12614" s="2" t="str">
        <f>""</f>
        <v/>
      </c>
      <c r="E12614" s="2" t="s">
        <v>1094</v>
      </c>
      <c r="F12614" s="2" t="s">
        <v>4148</v>
      </c>
      <c r="G12614" s="2" t="str">
        <f>"SR-17911"</f>
        <v>SR-17911</v>
      </c>
      <c r="H12614" s="2" t="s">
        <v>50144</v>
      </c>
      <c r="N12614" s="2" t="s">
        <v>21</v>
      </c>
    </row>
    <row r="12615" ht="15.75" customHeight="1">
      <c r="A12615" s="2">
        <v>2020.0</v>
      </c>
      <c r="B12615" s="2" t="s">
        <v>50145</v>
      </c>
      <c r="C12615" s="2" t="s">
        <v>50146</v>
      </c>
      <c r="D12615" s="2" t="str">
        <f>"9105473323"</f>
        <v>9105473323</v>
      </c>
      <c r="E12615" s="2" t="s">
        <v>15</v>
      </c>
      <c r="F12615" s="2" t="s">
        <v>50147</v>
      </c>
      <c r="G12615" s="2" t="str">
        <f>"SR-17912"</f>
        <v>SR-17912</v>
      </c>
      <c r="H12615" s="2" t="s">
        <v>50148</v>
      </c>
      <c r="I12615" s="2" t="s">
        <v>50149</v>
      </c>
      <c r="K12615" s="2" t="s">
        <v>11784</v>
      </c>
      <c r="L12615" s="2" t="s">
        <v>20</v>
      </c>
      <c r="M12615" s="2">
        <v>28409.0</v>
      </c>
      <c r="N12615" s="2" t="s">
        <v>21</v>
      </c>
    </row>
    <row r="12616" ht="15.75" customHeight="1">
      <c r="A12616" s="2">
        <v>2020.0</v>
      </c>
      <c r="B12616" s="2" t="s">
        <v>41478</v>
      </c>
      <c r="C12616" s="2" t="s">
        <v>41478</v>
      </c>
      <c r="D12616" s="2" t="str">
        <f>"7196400357"</f>
        <v>7196400357</v>
      </c>
      <c r="E12616" s="2" t="s">
        <v>14036</v>
      </c>
      <c r="F12616" s="2" t="s">
        <v>19752</v>
      </c>
      <c r="G12616" s="2" t="str">
        <f>"SR-14228"</f>
        <v>SR-14228</v>
      </c>
      <c r="H12616" s="2" t="s">
        <v>41479</v>
      </c>
      <c r="I12616" s="2" t="s">
        <v>41480</v>
      </c>
      <c r="K12616" s="2" t="s">
        <v>111</v>
      </c>
      <c r="L12616" s="2" t="s">
        <v>272</v>
      </c>
      <c r="M12616" s="2">
        <v>66968.0</v>
      </c>
      <c r="N12616" s="2" t="s">
        <v>21</v>
      </c>
    </row>
    <row r="12617" ht="15.75" customHeight="1">
      <c r="A12617" s="2">
        <v>2020.0</v>
      </c>
      <c r="B12617" s="2" t="s">
        <v>50150</v>
      </c>
      <c r="C12617" s="2" t="s">
        <v>50151</v>
      </c>
      <c r="D12617" s="2" t="str">
        <f>"909-855-4228"</f>
        <v>909-855-4228</v>
      </c>
      <c r="E12617" s="2" t="s">
        <v>12491</v>
      </c>
      <c r="F12617" s="2" t="s">
        <v>1257</v>
      </c>
      <c r="G12617" s="2" t="str">
        <f>"SR-17898"</f>
        <v>SR-17898</v>
      </c>
      <c r="H12617" s="2" t="s">
        <v>50152</v>
      </c>
      <c r="I12617" s="2">
        <v>7014.0</v>
      </c>
      <c r="J12617" s="2" t="s">
        <v>50153</v>
      </c>
      <c r="K12617" s="2" t="s">
        <v>25872</v>
      </c>
      <c r="L12617" s="2" t="s">
        <v>222</v>
      </c>
      <c r="M12617" s="2">
        <v>92346.0</v>
      </c>
      <c r="N12617" s="2" t="s">
        <v>21</v>
      </c>
    </row>
    <row r="12618" ht="15.75" customHeight="1">
      <c r="A12618" s="2">
        <v>2020.0</v>
      </c>
      <c r="B12618" s="2" t="s">
        <v>47927</v>
      </c>
      <c r="D12618" s="2" t="str">
        <f>""</f>
        <v/>
      </c>
      <c r="E12618" s="2" t="s">
        <v>261</v>
      </c>
      <c r="F12618" s="2" t="s">
        <v>47928</v>
      </c>
      <c r="G12618" s="2" t="str">
        <f>"SR-16647"</f>
        <v>SR-16647</v>
      </c>
      <c r="H12618" s="2" t="s">
        <v>47929</v>
      </c>
      <c r="N12618" s="2" t="s">
        <v>21</v>
      </c>
    </row>
    <row r="12619" ht="15.75" customHeight="1">
      <c r="A12619" s="2">
        <v>2020.0</v>
      </c>
      <c r="B12619" s="2" t="s">
        <v>50154</v>
      </c>
      <c r="C12619" s="2" t="s">
        <v>50155</v>
      </c>
      <c r="D12619" s="2" t="str">
        <f>"719-213-9947"</f>
        <v>719-213-9947</v>
      </c>
      <c r="E12619" s="2" t="s">
        <v>282</v>
      </c>
      <c r="F12619" s="2" t="s">
        <v>50156</v>
      </c>
      <c r="G12619" s="2" t="str">
        <f>"SR-17916"</f>
        <v>SR-17916</v>
      </c>
      <c r="H12619" s="2" t="s">
        <v>50157</v>
      </c>
      <c r="I12619" s="2" t="s">
        <v>50158</v>
      </c>
      <c r="K12619" s="2" t="s">
        <v>7106</v>
      </c>
      <c r="L12619" s="2" t="s">
        <v>157</v>
      </c>
      <c r="M12619" s="2">
        <v>80831.0</v>
      </c>
      <c r="N12619" s="2" t="s">
        <v>21</v>
      </c>
    </row>
    <row r="12620" ht="15.75" customHeight="1">
      <c r="A12620" s="2">
        <v>2020.0</v>
      </c>
      <c r="B12620" s="2" t="s">
        <v>45879</v>
      </c>
      <c r="C12620" s="2" t="s">
        <v>45880</v>
      </c>
      <c r="D12620" s="2" t="str">
        <f>"4695524517"</f>
        <v>4695524517</v>
      </c>
      <c r="E12620" s="2" t="s">
        <v>4769</v>
      </c>
      <c r="F12620" s="2" t="s">
        <v>45881</v>
      </c>
      <c r="G12620" s="2" t="str">
        <f>"SR-16101"</f>
        <v>SR-16101</v>
      </c>
      <c r="H12620" s="2" t="s">
        <v>45882</v>
      </c>
      <c r="I12620" s="2" t="s">
        <v>45883</v>
      </c>
      <c r="K12620" s="2" t="s">
        <v>21040</v>
      </c>
      <c r="L12620" s="2" t="s">
        <v>172</v>
      </c>
      <c r="M12620" s="2">
        <v>75143.0</v>
      </c>
      <c r="N12620" s="2" t="s">
        <v>21</v>
      </c>
    </row>
    <row r="12621" ht="15.75" customHeight="1">
      <c r="A12621" s="2">
        <v>2020.0</v>
      </c>
      <c r="B12621" s="2" t="s">
        <v>50159</v>
      </c>
      <c r="C12621" s="2" t="s">
        <v>50160</v>
      </c>
      <c r="D12621" s="2" t="str">
        <f>"2293447253"</f>
        <v>2293447253</v>
      </c>
      <c r="E12621" s="2" t="s">
        <v>915</v>
      </c>
      <c r="F12621" s="2" t="s">
        <v>50161</v>
      </c>
      <c r="G12621" s="2" t="str">
        <f>"SR-17891"</f>
        <v>SR-17891</v>
      </c>
      <c r="H12621" s="2" t="s">
        <v>50162</v>
      </c>
      <c r="I12621" s="2" t="s">
        <v>50163</v>
      </c>
      <c r="K12621" s="2" t="s">
        <v>7670</v>
      </c>
      <c r="L12621" s="2" t="s">
        <v>200</v>
      </c>
      <c r="M12621" s="2">
        <v>31721.0</v>
      </c>
      <c r="N12621" s="2" t="s">
        <v>21</v>
      </c>
    </row>
    <row r="12622" ht="15.75" customHeight="1">
      <c r="A12622" s="2">
        <v>2020.0</v>
      </c>
      <c r="B12622" s="2" t="s">
        <v>50164</v>
      </c>
      <c r="C12622" s="2" t="s">
        <v>50164</v>
      </c>
      <c r="D12622" s="2" t="str">
        <f>"7605767402"</f>
        <v>7605767402</v>
      </c>
      <c r="E12622" s="2" t="s">
        <v>50165</v>
      </c>
      <c r="F12622" s="2" t="s">
        <v>50166</v>
      </c>
      <c r="G12622" s="2" t="str">
        <f>"SR-17913"</f>
        <v>SR-17913</v>
      </c>
      <c r="H12622" s="2" t="s">
        <v>50167</v>
      </c>
      <c r="I12622" s="2" t="s">
        <v>50168</v>
      </c>
      <c r="K12622" s="2" t="s">
        <v>27851</v>
      </c>
      <c r="L12622" s="2" t="s">
        <v>222</v>
      </c>
      <c r="M12622" s="2">
        <v>92056.0</v>
      </c>
      <c r="N12622" s="2" t="s">
        <v>21</v>
      </c>
    </row>
    <row r="12623" ht="15.75" customHeight="1">
      <c r="A12623" s="2">
        <v>2020.0</v>
      </c>
      <c r="B12623" s="2" t="s">
        <v>23967</v>
      </c>
      <c r="C12623" s="2" t="s">
        <v>50169</v>
      </c>
      <c r="D12623" s="2" t="str">
        <f>"760-996-5367"</f>
        <v>760-996-5367</v>
      </c>
      <c r="E12623" s="2" t="s">
        <v>983</v>
      </c>
      <c r="F12623" s="2" t="s">
        <v>23970</v>
      </c>
      <c r="G12623" s="2" t="str">
        <f>"SR-17922"</f>
        <v>SR-17922</v>
      </c>
      <c r="H12623" s="2" t="s">
        <v>50170</v>
      </c>
      <c r="I12623" s="2" t="s">
        <v>23972</v>
      </c>
      <c r="K12623" s="2" t="s">
        <v>21133</v>
      </c>
      <c r="L12623" s="2" t="s">
        <v>222</v>
      </c>
      <c r="M12623" s="2">
        <v>92251.0</v>
      </c>
      <c r="N12623" s="2" t="s">
        <v>21</v>
      </c>
    </row>
    <row r="12624" ht="15.75" customHeight="1">
      <c r="A12624" s="2">
        <v>2020.0</v>
      </c>
      <c r="B12624" s="2" t="s">
        <v>50171</v>
      </c>
      <c r="C12624" s="2" t="s">
        <v>50172</v>
      </c>
      <c r="D12624" s="2" t="str">
        <f>"7605540481"</f>
        <v>7605540481</v>
      </c>
      <c r="E12624" s="2" t="s">
        <v>4322</v>
      </c>
      <c r="F12624" s="2" t="s">
        <v>50173</v>
      </c>
      <c r="G12624" s="2" t="str">
        <f>"SR-17920"</f>
        <v>SR-17920</v>
      </c>
      <c r="H12624" s="2" t="s">
        <v>50174</v>
      </c>
      <c r="I12624" s="2" t="s">
        <v>50175</v>
      </c>
      <c r="K12624" s="2" t="s">
        <v>50176</v>
      </c>
      <c r="L12624" s="2" t="s">
        <v>222</v>
      </c>
      <c r="M12624" s="2">
        <v>92243.0</v>
      </c>
      <c r="N12624" s="2" t="s">
        <v>21</v>
      </c>
    </row>
    <row r="12625" ht="15.75" customHeight="1">
      <c r="A12625" s="2">
        <v>2020.0</v>
      </c>
      <c r="B12625" s="2" t="s">
        <v>50177</v>
      </c>
      <c r="D12625" s="2" t="str">
        <f>""</f>
        <v/>
      </c>
      <c r="E12625" s="2" t="s">
        <v>6121</v>
      </c>
      <c r="F12625" s="2" t="s">
        <v>25763</v>
      </c>
      <c r="G12625" s="2" t="str">
        <f>"SR-17909"</f>
        <v>SR-17909</v>
      </c>
      <c r="H12625" s="2" t="s">
        <v>50178</v>
      </c>
    </row>
    <row r="12626" ht="15.75" customHeight="1">
      <c r="A12626" s="2">
        <v>2020.0</v>
      </c>
      <c r="B12626" s="2" t="s">
        <v>50179</v>
      </c>
      <c r="C12626" s="2" t="s">
        <v>50179</v>
      </c>
      <c r="D12626" s="2" t="str">
        <f>"952-353-3113"</f>
        <v>952-353-3113</v>
      </c>
      <c r="E12626" s="2" t="s">
        <v>485</v>
      </c>
      <c r="F12626" s="2" t="s">
        <v>35140</v>
      </c>
      <c r="G12626" s="2" t="str">
        <f>"SR-17924"</f>
        <v>SR-17924</v>
      </c>
      <c r="H12626" s="2" t="s">
        <v>50180</v>
      </c>
      <c r="I12626" s="2" t="s">
        <v>35142</v>
      </c>
      <c r="K12626" s="2" t="s">
        <v>1073</v>
      </c>
      <c r="L12626" s="2" t="s">
        <v>62</v>
      </c>
      <c r="M12626" s="2">
        <v>55417.0</v>
      </c>
      <c r="N12626" s="2" t="s">
        <v>21</v>
      </c>
    </row>
    <row r="12627" ht="15.75" customHeight="1">
      <c r="A12627" s="2">
        <v>2020.0</v>
      </c>
      <c r="B12627" s="2" t="s">
        <v>23387</v>
      </c>
      <c r="C12627" s="2" t="s">
        <v>50181</v>
      </c>
      <c r="D12627" s="2" t="str">
        <f>"9492351419"</f>
        <v>9492351419</v>
      </c>
      <c r="E12627" s="2" t="s">
        <v>301</v>
      </c>
      <c r="F12627" s="2" t="s">
        <v>23389</v>
      </c>
      <c r="G12627" s="2" t="str">
        <f>"SR-17927"</f>
        <v>SR-17927</v>
      </c>
      <c r="H12627" s="2" t="s">
        <v>50182</v>
      </c>
      <c r="I12627" s="2" t="s">
        <v>50183</v>
      </c>
      <c r="K12627" s="2" t="s">
        <v>278</v>
      </c>
      <c r="L12627" s="2" t="s">
        <v>279</v>
      </c>
      <c r="M12627" s="2">
        <v>37067.0</v>
      </c>
      <c r="N12627" s="2" t="s">
        <v>21</v>
      </c>
    </row>
    <row r="12628" ht="15.75" customHeight="1">
      <c r="A12628" s="2">
        <v>2020.0</v>
      </c>
      <c r="B12628" s="2" t="s">
        <v>26655</v>
      </c>
      <c r="C12628" s="2" t="s">
        <v>50184</v>
      </c>
      <c r="D12628" s="2" t="str">
        <f>"720-364-0952"</f>
        <v>720-364-0952</v>
      </c>
      <c r="E12628" s="2" t="s">
        <v>3170</v>
      </c>
      <c r="F12628" s="2" t="s">
        <v>26657</v>
      </c>
      <c r="G12628" s="2" t="str">
        <f>"SR-17925"</f>
        <v>SR-17925</v>
      </c>
      <c r="H12628" s="2" t="s">
        <v>50185</v>
      </c>
      <c r="I12628" s="2" t="s">
        <v>26659</v>
      </c>
      <c r="K12628" s="2" t="s">
        <v>992</v>
      </c>
      <c r="L12628" s="2" t="s">
        <v>157</v>
      </c>
      <c r="M12628" s="2">
        <v>80015.0</v>
      </c>
      <c r="N12628" s="2" t="s">
        <v>21</v>
      </c>
    </row>
    <row r="12629" ht="15.75" customHeight="1">
      <c r="A12629" s="2">
        <v>2020.0</v>
      </c>
      <c r="B12629" s="2" t="s">
        <v>50186</v>
      </c>
      <c r="C12629" s="2" t="s">
        <v>50187</v>
      </c>
      <c r="D12629" s="2" t="str">
        <f>"7207554612"</f>
        <v>7207554612</v>
      </c>
      <c r="E12629" s="2" t="s">
        <v>50188</v>
      </c>
      <c r="F12629" s="2" t="s">
        <v>42238</v>
      </c>
      <c r="G12629" s="2" t="str">
        <f>"SR-17926"</f>
        <v>SR-17926</v>
      </c>
      <c r="H12629" s="2" t="s">
        <v>50189</v>
      </c>
      <c r="I12629" s="2" t="s">
        <v>50190</v>
      </c>
      <c r="K12629" s="2" t="s">
        <v>50191</v>
      </c>
      <c r="L12629" s="2" t="s">
        <v>157</v>
      </c>
      <c r="M12629" s="2">
        <v>80015.0</v>
      </c>
      <c r="N12629" s="2" t="s">
        <v>21</v>
      </c>
    </row>
    <row r="12630" ht="15.75" customHeight="1">
      <c r="A12630" s="2">
        <v>2020.0</v>
      </c>
      <c r="B12630" s="2" t="s">
        <v>44271</v>
      </c>
      <c r="C12630" s="2" t="s">
        <v>50192</v>
      </c>
      <c r="D12630" s="2" t="str">
        <f>"615635-8056"</f>
        <v>615635-8056</v>
      </c>
      <c r="E12630" s="2" t="s">
        <v>19884</v>
      </c>
      <c r="F12630" s="2" t="s">
        <v>44273</v>
      </c>
      <c r="G12630" s="2" t="str">
        <f>"SR-15146"</f>
        <v>SR-15146</v>
      </c>
      <c r="H12630" s="2" t="s">
        <v>50193</v>
      </c>
      <c r="I12630" s="2" t="s">
        <v>50194</v>
      </c>
      <c r="K12630" s="2" t="s">
        <v>12405</v>
      </c>
      <c r="L12630" s="2" t="s">
        <v>279</v>
      </c>
      <c r="M12630" s="2">
        <v>37128.0</v>
      </c>
      <c r="N12630" s="2" t="s">
        <v>21</v>
      </c>
    </row>
    <row r="12631" ht="15.75" customHeight="1">
      <c r="A12631" s="2">
        <v>2020.0</v>
      </c>
      <c r="B12631" s="2" t="s">
        <v>50195</v>
      </c>
      <c r="C12631" s="2" t="s">
        <v>50195</v>
      </c>
      <c r="D12631" s="2" t="str">
        <f>"2898881377"</f>
        <v>2898881377</v>
      </c>
      <c r="E12631" s="2" t="s">
        <v>50196</v>
      </c>
      <c r="F12631" s="2" t="s">
        <v>50197</v>
      </c>
      <c r="G12631" s="2" t="str">
        <f>"SR-17931"</f>
        <v>SR-17931</v>
      </c>
      <c r="H12631" s="2" t="s">
        <v>50198</v>
      </c>
      <c r="I12631" s="2" t="s">
        <v>50199</v>
      </c>
      <c r="K12631" s="2" t="s">
        <v>34250</v>
      </c>
      <c r="L12631" s="2" t="s">
        <v>2015</v>
      </c>
      <c r="M12631" s="2" t="s">
        <v>50200</v>
      </c>
      <c r="N12631" s="2" t="s">
        <v>1602</v>
      </c>
    </row>
    <row r="12632" ht="15.75" customHeight="1">
      <c r="A12632" s="2">
        <v>2020.0</v>
      </c>
      <c r="B12632" s="2" t="s">
        <v>50201</v>
      </c>
      <c r="C12632" s="2" t="s">
        <v>50202</v>
      </c>
      <c r="D12632" s="2" t="str">
        <f>"7603053100"</f>
        <v>7603053100</v>
      </c>
      <c r="E12632" s="2" t="s">
        <v>2941</v>
      </c>
      <c r="F12632" s="2" t="s">
        <v>50203</v>
      </c>
      <c r="G12632" s="2" t="str">
        <f>"SR-17933"</f>
        <v>SR-17933</v>
      </c>
      <c r="H12632" s="2" t="s">
        <v>50204</v>
      </c>
      <c r="I12632" s="2" t="s">
        <v>50205</v>
      </c>
      <c r="K12632" s="2" t="s">
        <v>50206</v>
      </c>
      <c r="L12632" s="2" t="s">
        <v>222</v>
      </c>
      <c r="M12632" s="2">
        <v>92056.0</v>
      </c>
      <c r="N12632" s="2" t="s">
        <v>21</v>
      </c>
    </row>
    <row r="12633" ht="15.75" customHeight="1">
      <c r="A12633" s="2">
        <v>2020.0</v>
      </c>
      <c r="B12633" s="2" t="s">
        <v>50207</v>
      </c>
      <c r="C12633" s="2" t="s">
        <v>50208</v>
      </c>
      <c r="D12633" s="2" t="str">
        <f>"913-601-2564"</f>
        <v>913-601-2564</v>
      </c>
      <c r="E12633" s="2" t="s">
        <v>24063</v>
      </c>
      <c r="F12633" s="2" t="s">
        <v>40698</v>
      </c>
      <c r="G12633" s="2" t="str">
        <f>"SR-17932"</f>
        <v>SR-17932</v>
      </c>
      <c r="H12633" s="2" t="s">
        <v>50209</v>
      </c>
      <c r="I12633" s="2" t="s">
        <v>50210</v>
      </c>
      <c r="K12633" s="2" t="s">
        <v>50211</v>
      </c>
      <c r="L12633" s="2" t="s">
        <v>272</v>
      </c>
      <c r="M12633" s="2">
        <v>66018.0</v>
      </c>
      <c r="N12633" s="2" t="s">
        <v>21</v>
      </c>
    </row>
    <row r="12634" ht="15.75" customHeight="1">
      <c r="A12634" s="2">
        <v>2020.0</v>
      </c>
      <c r="B12634" s="2" t="s">
        <v>50212</v>
      </c>
      <c r="C12634" s="2" t="s">
        <v>50212</v>
      </c>
      <c r="D12634" s="2" t="str">
        <f>"7205500547"</f>
        <v>7205500547</v>
      </c>
      <c r="E12634" s="2" t="s">
        <v>2648</v>
      </c>
      <c r="F12634" s="2" t="s">
        <v>42990</v>
      </c>
      <c r="G12634" s="2" t="str">
        <f>"SR-17935"</f>
        <v>SR-17935</v>
      </c>
      <c r="H12634" s="2" t="s">
        <v>50213</v>
      </c>
      <c r="I12634" s="2" t="s">
        <v>50214</v>
      </c>
      <c r="K12634" s="2" t="s">
        <v>2527</v>
      </c>
      <c r="L12634" s="2" t="s">
        <v>157</v>
      </c>
      <c r="M12634" s="2">
        <v>80203.0</v>
      </c>
      <c r="N12634" s="2" t="s">
        <v>21</v>
      </c>
    </row>
    <row r="12635" ht="15.75" customHeight="1">
      <c r="A12635" s="2">
        <v>2020.0</v>
      </c>
      <c r="B12635" s="2" t="s">
        <v>50215</v>
      </c>
      <c r="C12635" s="2" t="s">
        <v>50216</v>
      </c>
      <c r="D12635" s="2" t="str">
        <f>"7193737725"</f>
        <v>7193737725</v>
      </c>
      <c r="E12635" s="2" t="s">
        <v>50217</v>
      </c>
      <c r="F12635" s="2" t="s">
        <v>50218</v>
      </c>
      <c r="G12635" s="2" t="str">
        <f>"SR-17936"</f>
        <v>SR-17936</v>
      </c>
      <c r="H12635" s="2" t="s">
        <v>50219</v>
      </c>
      <c r="I12635" s="2" t="s">
        <v>50220</v>
      </c>
      <c r="K12635" s="2" t="s">
        <v>50221</v>
      </c>
      <c r="L12635" s="2" t="s">
        <v>172</v>
      </c>
      <c r="M12635" s="2">
        <v>77494.0</v>
      </c>
      <c r="N12635" s="2" t="s">
        <v>21</v>
      </c>
    </row>
    <row r="12636" ht="15.75" customHeight="1">
      <c r="A12636" s="2">
        <v>2020.0</v>
      </c>
      <c r="B12636" s="2" t="s">
        <v>16191</v>
      </c>
      <c r="C12636" s="2" t="s">
        <v>16191</v>
      </c>
      <c r="D12636" s="2" t="str">
        <f>"4055840052"</f>
        <v>4055840052</v>
      </c>
      <c r="E12636" s="2" t="s">
        <v>453</v>
      </c>
      <c r="F12636" s="2" t="s">
        <v>16193</v>
      </c>
      <c r="G12636" s="2" t="str">
        <f>"SR-17930"</f>
        <v>SR-17930</v>
      </c>
      <c r="H12636" s="2" t="s">
        <v>50222</v>
      </c>
      <c r="I12636" s="2" t="s">
        <v>16195</v>
      </c>
      <c r="K12636" s="2" t="s">
        <v>16196</v>
      </c>
      <c r="L12636" s="2" t="s">
        <v>840</v>
      </c>
      <c r="M12636" s="2">
        <v>74880.0</v>
      </c>
      <c r="N12636" s="2" t="s">
        <v>21</v>
      </c>
    </row>
    <row r="12637" ht="15.75" customHeight="1">
      <c r="A12637" s="2">
        <v>2020.0</v>
      </c>
      <c r="B12637" s="2" t="s">
        <v>50223</v>
      </c>
      <c r="C12637" s="2" t="s">
        <v>50224</v>
      </c>
      <c r="D12637" s="2" t="str">
        <f>"417-830-4086"</f>
        <v>417-830-4086</v>
      </c>
      <c r="E12637" s="2" t="s">
        <v>2941</v>
      </c>
      <c r="F12637" s="2" t="s">
        <v>50225</v>
      </c>
      <c r="G12637" s="2" t="str">
        <f>"SR-17938"</f>
        <v>SR-17938</v>
      </c>
      <c r="H12637" s="2" t="s">
        <v>50226</v>
      </c>
      <c r="I12637" s="2" t="s">
        <v>23068</v>
      </c>
      <c r="K12637" s="2" t="s">
        <v>386</v>
      </c>
      <c r="L12637" s="2" t="s">
        <v>840</v>
      </c>
      <c r="M12637" s="2">
        <v>73669.0</v>
      </c>
      <c r="N12637" s="2" t="s">
        <v>21</v>
      </c>
    </row>
    <row r="12638" ht="15.75" customHeight="1">
      <c r="A12638" s="2">
        <v>2020.0</v>
      </c>
      <c r="B12638" s="2" t="s">
        <v>50227</v>
      </c>
      <c r="C12638" s="2" t="s">
        <v>50228</v>
      </c>
      <c r="D12638" s="2" t="str">
        <f>"7202613768"</f>
        <v>7202613768</v>
      </c>
      <c r="E12638" s="2" t="s">
        <v>24169</v>
      </c>
      <c r="F12638" s="2" t="s">
        <v>2116</v>
      </c>
      <c r="G12638" s="2" t="str">
        <f>"SR-17939"</f>
        <v>SR-17939</v>
      </c>
      <c r="H12638" s="2" t="s">
        <v>50229</v>
      </c>
      <c r="I12638" s="2" t="s">
        <v>50230</v>
      </c>
      <c r="K12638" s="2" t="s">
        <v>1398</v>
      </c>
      <c r="L12638" s="2" t="s">
        <v>157</v>
      </c>
      <c r="M12638" s="2">
        <v>80104.0</v>
      </c>
      <c r="N12638" s="2" t="s">
        <v>21</v>
      </c>
    </row>
    <row r="12639" ht="15.75" customHeight="1">
      <c r="A12639" s="2">
        <v>2020.0</v>
      </c>
      <c r="B12639" s="2" t="s">
        <v>50231</v>
      </c>
      <c r="C12639" s="2" t="s">
        <v>50232</v>
      </c>
      <c r="D12639" s="2" t="str">
        <f>"303-907-0062"</f>
        <v>303-907-0062</v>
      </c>
      <c r="E12639" s="2" t="s">
        <v>2250</v>
      </c>
      <c r="F12639" s="2" t="s">
        <v>23643</v>
      </c>
      <c r="G12639" s="2" t="str">
        <f>"SR-17940"</f>
        <v>SR-17940</v>
      </c>
      <c r="H12639" s="2" t="s">
        <v>50233</v>
      </c>
      <c r="I12639" s="2" t="s">
        <v>50234</v>
      </c>
      <c r="K12639" s="2" t="s">
        <v>1520</v>
      </c>
      <c r="L12639" s="2" t="s">
        <v>157</v>
      </c>
      <c r="M12639" s="2">
        <v>80013.0</v>
      </c>
      <c r="N12639" s="2" t="s">
        <v>21</v>
      </c>
    </row>
    <row r="12640" ht="15.75" customHeight="1">
      <c r="A12640" s="2">
        <v>2020.0</v>
      </c>
      <c r="B12640" s="2" t="s">
        <v>50231</v>
      </c>
      <c r="C12640" s="2" t="s">
        <v>50235</v>
      </c>
      <c r="D12640" s="2" t="str">
        <f>"720-965-0799"</f>
        <v>720-965-0799</v>
      </c>
      <c r="E12640" s="2" t="s">
        <v>137</v>
      </c>
      <c r="F12640" s="2" t="s">
        <v>23643</v>
      </c>
      <c r="G12640" s="2" t="str">
        <f>"SR-17941"</f>
        <v>SR-17941</v>
      </c>
      <c r="H12640" s="2" t="s">
        <v>50236</v>
      </c>
      <c r="I12640" s="2" t="s">
        <v>50234</v>
      </c>
      <c r="K12640" s="2" t="s">
        <v>1520</v>
      </c>
      <c r="L12640" s="2" t="s">
        <v>157</v>
      </c>
      <c r="M12640" s="2">
        <v>80013.0</v>
      </c>
      <c r="N12640" s="2" t="s">
        <v>21</v>
      </c>
    </row>
    <row r="12641" ht="15.75" customHeight="1">
      <c r="A12641" s="2">
        <v>2020.0</v>
      </c>
      <c r="B12641" s="2" t="s">
        <v>50237</v>
      </c>
      <c r="C12641" s="2" t="s">
        <v>50238</v>
      </c>
      <c r="D12641" s="2" t="str">
        <f>"7319359655"</f>
        <v>7319359655</v>
      </c>
      <c r="E12641" s="2" t="s">
        <v>1263</v>
      </c>
      <c r="F12641" s="2" t="s">
        <v>24530</v>
      </c>
      <c r="G12641" s="2" t="str">
        <f>"SR-17942"</f>
        <v>SR-17942</v>
      </c>
      <c r="H12641" s="2" t="s">
        <v>50239</v>
      </c>
      <c r="I12641" s="2" t="s">
        <v>50240</v>
      </c>
      <c r="K12641" s="2" t="s">
        <v>9103</v>
      </c>
      <c r="L12641" s="2" t="s">
        <v>279</v>
      </c>
      <c r="M12641" s="2">
        <v>38301.0</v>
      </c>
      <c r="N12641" s="2" t="s">
        <v>21</v>
      </c>
    </row>
    <row r="12642" ht="15.75" customHeight="1">
      <c r="A12642" s="2">
        <v>2020.0</v>
      </c>
      <c r="B12642" s="2" t="s">
        <v>50241</v>
      </c>
      <c r="C12642" s="2" t="s">
        <v>50242</v>
      </c>
      <c r="D12642" s="2" t="str">
        <f>"6155878109"</f>
        <v>6155878109</v>
      </c>
      <c r="E12642" s="2" t="s">
        <v>1803</v>
      </c>
      <c r="F12642" s="2" t="s">
        <v>50243</v>
      </c>
      <c r="G12642" s="2" t="str">
        <f>"SR-17943"</f>
        <v>SR-17943</v>
      </c>
      <c r="H12642" s="2" t="s">
        <v>50244</v>
      </c>
      <c r="I12642" s="2" t="s">
        <v>50245</v>
      </c>
      <c r="K12642" s="2" t="s">
        <v>278</v>
      </c>
      <c r="L12642" s="2" t="s">
        <v>279</v>
      </c>
      <c r="M12642" s="2">
        <v>37069.0</v>
      </c>
      <c r="N12642" s="2" t="s">
        <v>21</v>
      </c>
    </row>
    <row r="12643" ht="15.75" customHeight="1">
      <c r="A12643" s="2">
        <v>2020.0</v>
      </c>
      <c r="B12643" s="2" t="s">
        <v>50246</v>
      </c>
      <c r="C12643" s="2" t="s">
        <v>50247</v>
      </c>
      <c r="D12643" s="2" t="str">
        <f>"3167655021"</f>
        <v>3167655021</v>
      </c>
      <c r="E12643" s="2" t="s">
        <v>1946</v>
      </c>
      <c r="F12643" s="2" t="s">
        <v>50248</v>
      </c>
      <c r="G12643" s="2" t="str">
        <f>"SR-17400"</f>
        <v>SR-17400</v>
      </c>
      <c r="H12643" s="2" t="s">
        <v>50249</v>
      </c>
      <c r="I12643" s="2" t="s">
        <v>50250</v>
      </c>
      <c r="K12643" s="2" t="s">
        <v>28594</v>
      </c>
      <c r="L12643" s="2" t="s">
        <v>272</v>
      </c>
      <c r="M12643" s="2">
        <v>67052.0</v>
      </c>
      <c r="N12643" s="2" t="s">
        <v>21</v>
      </c>
    </row>
    <row r="12644" ht="15.75" customHeight="1">
      <c r="A12644" s="2">
        <v>2020.0</v>
      </c>
      <c r="B12644" s="2" t="s">
        <v>50246</v>
      </c>
      <c r="C12644" s="2" t="s">
        <v>50251</v>
      </c>
      <c r="D12644" s="2" t="str">
        <f>"3162185120"</f>
        <v>3162185120</v>
      </c>
      <c r="E12644" s="2" t="s">
        <v>167</v>
      </c>
      <c r="F12644" s="2" t="s">
        <v>50248</v>
      </c>
      <c r="G12644" s="2" t="str">
        <f>"SR-17945"</f>
        <v>SR-17945</v>
      </c>
      <c r="H12644" s="2" t="s">
        <v>50252</v>
      </c>
      <c r="I12644" s="2" t="s">
        <v>50253</v>
      </c>
      <c r="K12644" s="2" t="s">
        <v>28594</v>
      </c>
      <c r="L12644" s="2" t="s">
        <v>272</v>
      </c>
      <c r="M12644" s="2">
        <v>67052.0</v>
      </c>
      <c r="N12644" s="2" t="s">
        <v>21</v>
      </c>
    </row>
    <row r="12645" ht="15.75" customHeight="1">
      <c r="A12645" s="2">
        <v>2020.0</v>
      </c>
      <c r="B12645" s="2" t="s">
        <v>50254</v>
      </c>
      <c r="C12645" s="2" t="s">
        <v>50255</v>
      </c>
      <c r="D12645" s="2" t="str">
        <f>"765-490-4220"</f>
        <v>765-490-4220</v>
      </c>
      <c r="E12645" s="2" t="s">
        <v>385</v>
      </c>
      <c r="F12645" s="2" t="s">
        <v>50256</v>
      </c>
      <c r="G12645" s="2" t="str">
        <f>"SR-17946"</f>
        <v>SR-17946</v>
      </c>
      <c r="H12645" s="2" t="s">
        <v>50257</v>
      </c>
      <c r="I12645" s="2" t="s">
        <v>50258</v>
      </c>
      <c r="K12645" s="2" t="s">
        <v>48533</v>
      </c>
      <c r="L12645" s="2" t="s">
        <v>149</v>
      </c>
      <c r="M12645" s="2">
        <v>47906.0</v>
      </c>
      <c r="N12645" s="2" t="s">
        <v>21</v>
      </c>
    </row>
    <row r="12646" ht="15.75" customHeight="1">
      <c r="A12646" s="2">
        <v>2020.0</v>
      </c>
      <c r="B12646" s="2" t="s">
        <v>50259</v>
      </c>
      <c r="C12646" s="2" t="s">
        <v>50260</v>
      </c>
      <c r="D12646" s="2" t="str">
        <f>"4074159489"</f>
        <v>4074159489</v>
      </c>
      <c r="E12646" s="2" t="s">
        <v>843</v>
      </c>
      <c r="F12646" s="2" t="s">
        <v>868</v>
      </c>
      <c r="G12646" s="2" t="str">
        <f>"SR-17948"</f>
        <v>SR-17948</v>
      </c>
      <c r="H12646" s="2" t="s">
        <v>50261</v>
      </c>
      <c r="I12646" s="2" t="s">
        <v>50262</v>
      </c>
      <c r="K12646" s="2" t="s">
        <v>4773</v>
      </c>
      <c r="L12646" s="2" t="s">
        <v>208</v>
      </c>
      <c r="M12646" s="2">
        <v>32771.0</v>
      </c>
      <c r="N12646" s="2" t="s">
        <v>21</v>
      </c>
    </row>
    <row r="12647" ht="15.75" customHeight="1">
      <c r="A12647" s="2">
        <v>2020.0</v>
      </c>
      <c r="B12647" s="2" t="s">
        <v>39574</v>
      </c>
      <c r="C12647" s="2" t="s">
        <v>50263</v>
      </c>
      <c r="D12647" s="2" t="str">
        <f>"2392503743"</f>
        <v>2392503743</v>
      </c>
      <c r="E12647" s="2" t="s">
        <v>8649</v>
      </c>
      <c r="F12647" s="2" t="s">
        <v>39575</v>
      </c>
      <c r="G12647" s="2" t="str">
        <f>"SR-17511"</f>
        <v>SR-17511</v>
      </c>
      <c r="H12647" s="2" t="s">
        <v>50264</v>
      </c>
      <c r="I12647" s="2" t="s">
        <v>50265</v>
      </c>
      <c r="K12647" s="2" t="s">
        <v>5046</v>
      </c>
      <c r="L12647" s="2" t="s">
        <v>208</v>
      </c>
      <c r="M12647" s="2">
        <v>34108.0</v>
      </c>
      <c r="N12647" s="2" t="s">
        <v>21</v>
      </c>
    </row>
    <row r="12648" ht="15.75" customHeight="1">
      <c r="A12648" s="2">
        <v>2020.0</v>
      </c>
      <c r="B12648" s="2" t="s">
        <v>30761</v>
      </c>
      <c r="C12648" s="2" t="s">
        <v>50266</v>
      </c>
      <c r="D12648" s="2" t="str">
        <f>"219 869 2094"</f>
        <v>219 869 2094</v>
      </c>
      <c r="E12648" s="2" t="s">
        <v>2306</v>
      </c>
      <c r="F12648" s="2" t="s">
        <v>30762</v>
      </c>
      <c r="G12648" s="2" t="str">
        <f>"SR-17950"</f>
        <v>SR-17950</v>
      </c>
      <c r="H12648" s="2" t="s">
        <v>50267</v>
      </c>
      <c r="I12648" s="2" t="s">
        <v>44812</v>
      </c>
      <c r="K12648" s="2" t="s">
        <v>16647</v>
      </c>
      <c r="L12648" s="2" t="s">
        <v>149</v>
      </c>
      <c r="M12648" s="2">
        <v>47995.0</v>
      </c>
      <c r="N12648" s="2" t="s">
        <v>21</v>
      </c>
    </row>
    <row r="12649" ht="15.75" customHeight="1">
      <c r="A12649" s="2">
        <v>2020.0</v>
      </c>
      <c r="B12649" s="2" t="s">
        <v>50268</v>
      </c>
      <c r="C12649" s="2" t="s">
        <v>50269</v>
      </c>
      <c r="D12649" s="2" t="str">
        <f>"9719006061"</f>
        <v>9719006061</v>
      </c>
      <c r="E12649" s="2" t="s">
        <v>751</v>
      </c>
      <c r="F12649" s="2" t="s">
        <v>50270</v>
      </c>
      <c r="G12649" s="2" t="str">
        <f>"SR-17951"</f>
        <v>SR-17951</v>
      </c>
      <c r="H12649" s="2" t="s">
        <v>50271</v>
      </c>
      <c r="I12649" s="2" t="s">
        <v>50272</v>
      </c>
      <c r="K12649" s="2" t="s">
        <v>5131</v>
      </c>
      <c r="L12649" s="2" t="s">
        <v>2389</v>
      </c>
      <c r="M12649" s="2">
        <v>97303.0</v>
      </c>
      <c r="N12649" s="2" t="s">
        <v>21</v>
      </c>
    </row>
    <row r="12650" ht="15.75" customHeight="1">
      <c r="A12650" s="2">
        <v>2020.0</v>
      </c>
      <c r="B12650" s="2" t="s">
        <v>50273</v>
      </c>
      <c r="C12650" s="2" t="s">
        <v>50274</v>
      </c>
      <c r="D12650" s="2" t="str">
        <f>"719-354-0121"</f>
        <v>719-354-0121</v>
      </c>
      <c r="E12650" s="2" t="s">
        <v>4300</v>
      </c>
      <c r="F12650" s="2" t="s">
        <v>50275</v>
      </c>
      <c r="G12650" s="2" t="str">
        <f>"SR-17953"</f>
        <v>SR-17953</v>
      </c>
      <c r="H12650" s="2" t="s">
        <v>50276</v>
      </c>
      <c r="I12650" s="2" t="s">
        <v>50277</v>
      </c>
      <c r="K12650" s="2" t="s">
        <v>809</v>
      </c>
      <c r="L12650" s="2" t="s">
        <v>157</v>
      </c>
      <c r="M12650" s="2">
        <v>80921.0</v>
      </c>
      <c r="N12650" s="2" t="s">
        <v>21</v>
      </c>
    </row>
    <row r="12651" ht="15.75" customHeight="1">
      <c r="A12651" s="2">
        <v>2020.0</v>
      </c>
      <c r="B12651" s="2" t="s">
        <v>50278</v>
      </c>
      <c r="C12651" s="2" t="s">
        <v>50279</v>
      </c>
      <c r="D12651" s="2" t="str">
        <f>"9376318247"</f>
        <v>9376318247</v>
      </c>
      <c r="E12651" s="2" t="s">
        <v>19353</v>
      </c>
      <c r="F12651" s="2" t="s">
        <v>1101</v>
      </c>
      <c r="G12651" s="2" t="str">
        <f>"SR-17915"</f>
        <v>SR-17915</v>
      </c>
      <c r="H12651" s="2" t="s">
        <v>50280</v>
      </c>
      <c r="I12651" s="2">
        <v>1960.0</v>
      </c>
      <c r="J12651" s="2" t="s">
        <v>50281</v>
      </c>
      <c r="K12651" s="2" t="s">
        <v>3239</v>
      </c>
      <c r="L12651" s="2" t="s">
        <v>344</v>
      </c>
      <c r="M12651" s="2">
        <v>45502.0</v>
      </c>
      <c r="N12651" s="2" t="s">
        <v>21</v>
      </c>
    </row>
    <row r="12652" ht="15.75" customHeight="1">
      <c r="A12652" s="2">
        <v>2020.0</v>
      </c>
      <c r="B12652" s="2" t="s">
        <v>50282</v>
      </c>
      <c r="C12652" s="2" t="s">
        <v>50283</v>
      </c>
      <c r="D12652" s="2" t="str">
        <f>"480-737-8416"</f>
        <v>480-737-8416</v>
      </c>
      <c r="E12652" s="2" t="s">
        <v>485</v>
      </c>
      <c r="F12652" s="2" t="s">
        <v>50284</v>
      </c>
      <c r="G12652" s="2" t="str">
        <f>"SR-17872"</f>
        <v>SR-17872</v>
      </c>
      <c r="H12652" s="2" t="s">
        <v>50285</v>
      </c>
      <c r="I12652" s="2" t="s">
        <v>50286</v>
      </c>
      <c r="K12652" s="2" t="s">
        <v>1593</v>
      </c>
      <c r="L12652" s="2" t="s">
        <v>422</v>
      </c>
      <c r="M12652" s="2">
        <v>85254.0</v>
      </c>
      <c r="N12652" s="2" t="s">
        <v>21</v>
      </c>
    </row>
    <row r="12653" ht="15.75" customHeight="1">
      <c r="A12653" s="2">
        <v>2020.0</v>
      </c>
      <c r="B12653" s="2" t="s">
        <v>50287</v>
      </c>
      <c r="C12653" s="2" t="s">
        <v>50287</v>
      </c>
      <c r="D12653" s="2" t="str">
        <f>"7196843212"</f>
        <v>7196843212</v>
      </c>
      <c r="E12653" s="2" t="s">
        <v>137</v>
      </c>
      <c r="F12653" s="2" t="s">
        <v>50288</v>
      </c>
      <c r="G12653" s="2" t="str">
        <f>"SR-17956"</f>
        <v>SR-17956</v>
      </c>
      <c r="H12653" s="2" t="s">
        <v>50289</v>
      </c>
      <c r="I12653" s="2" t="s">
        <v>50290</v>
      </c>
      <c r="K12653" s="2" t="s">
        <v>809</v>
      </c>
      <c r="L12653" s="2" t="s">
        <v>157</v>
      </c>
      <c r="M12653" s="2">
        <v>80923.0</v>
      </c>
      <c r="N12653" s="2" t="s">
        <v>21</v>
      </c>
    </row>
    <row r="12654" ht="15.75" customHeight="1">
      <c r="A12654" s="2">
        <v>2020.0</v>
      </c>
      <c r="B12654" s="2" t="s">
        <v>50291</v>
      </c>
      <c r="C12654" s="2" t="s">
        <v>50291</v>
      </c>
      <c r="D12654" s="2" t="str">
        <f>"719 659-2738"</f>
        <v>719 659-2738</v>
      </c>
      <c r="E12654" s="2" t="s">
        <v>167</v>
      </c>
      <c r="F12654" s="2" t="s">
        <v>50288</v>
      </c>
      <c r="G12654" s="2" t="str">
        <f>"SR-17958"</f>
        <v>SR-17958</v>
      </c>
      <c r="H12654" s="2" t="s">
        <v>50292</v>
      </c>
      <c r="I12654" s="2" t="s">
        <v>50290</v>
      </c>
      <c r="K12654" s="2" t="s">
        <v>809</v>
      </c>
      <c r="L12654" s="2" t="s">
        <v>157</v>
      </c>
      <c r="M12654" s="2">
        <v>80923.0</v>
      </c>
      <c r="N12654" s="2" t="s">
        <v>21</v>
      </c>
    </row>
    <row r="12655" ht="15.75" customHeight="1">
      <c r="A12655" s="2">
        <v>2020.0</v>
      </c>
      <c r="B12655" s="2" t="s">
        <v>50293</v>
      </c>
      <c r="D12655" s="2" t="str">
        <f>""</f>
        <v/>
      </c>
      <c r="E12655" s="2" t="s">
        <v>28993</v>
      </c>
      <c r="F12655" s="2" t="s">
        <v>1636</v>
      </c>
      <c r="G12655" s="2" t="str">
        <f>"SR-17952"</f>
        <v>SR-17952</v>
      </c>
      <c r="H12655" s="2" t="s">
        <v>50294</v>
      </c>
    </row>
    <row r="12656" ht="15.75" customHeight="1">
      <c r="A12656" s="2">
        <v>2020.0</v>
      </c>
      <c r="B12656" s="2" t="s">
        <v>39091</v>
      </c>
      <c r="C12656" s="2" t="s">
        <v>39091</v>
      </c>
      <c r="D12656" s="2" t="str">
        <f>"4422079975"</f>
        <v>4422079975</v>
      </c>
      <c r="E12656" s="2" t="s">
        <v>50295</v>
      </c>
      <c r="F12656" s="2" t="s">
        <v>962</v>
      </c>
      <c r="G12656" s="2" t="str">
        <f>"SR-17960"</f>
        <v>SR-17960</v>
      </c>
      <c r="H12656" s="2" t="s">
        <v>50296</v>
      </c>
      <c r="I12656" s="2" t="s">
        <v>39094</v>
      </c>
      <c r="K12656" s="2" t="s">
        <v>22462</v>
      </c>
      <c r="L12656" s="2" t="s">
        <v>222</v>
      </c>
      <c r="M12656" s="2">
        <v>92028.0</v>
      </c>
      <c r="N12656" s="2" t="s">
        <v>21</v>
      </c>
    </row>
    <row r="12657" ht="15.75" customHeight="1">
      <c r="A12657" s="2">
        <v>2020.0</v>
      </c>
      <c r="B12657" s="2" t="s">
        <v>50297</v>
      </c>
      <c r="C12657" s="2" t="s">
        <v>50298</v>
      </c>
      <c r="D12657" s="2" t="str">
        <f>"(651) 724-2897"</f>
        <v>(651) 724-2897</v>
      </c>
      <c r="E12657" s="2" t="s">
        <v>696</v>
      </c>
      <c r="F12657" s="2" t="s">
        <v>22107</v>
      </c>
      <c r="G12657" s="2" t="str">
        <f>"SR-17086"</f>
        <v>SR-17086</v>
      </c>
      <c r="H12657" s="2" t="s">
        <v>50299</v>
      </c>
      <c r="I12657" s="2" t="s">
        <v>50300</v>
      </c>
      <c r="K12657" s="2" t="s">
        <v>50301</v>
      </c>
      <c r="L12657" s="2" t="s">
        <v>62</v>
      </c>
      <c r="M12657" s="2">
        <v>55042.0</v>
      </c>
      <c r="N12657" s="2" t="s">
        <v>21</v>
      </c>
    </row>
    <row r="12658" ht="15.75" customHeight="1">
      <c r="A12658" s="2">
        <v>2020.0</v>
      </c>
      <c r="B12658" s="2" t="s">
        <v>50302</v>
      </c>
      <c r="C12658" s="2" t="s">
        <v>50303</v>
      </c>
      <c r="D12658" s="2" t="str">
        <f>"713-557-2195"</f>
        <v>713-557-2195</v>
      </c>
      <c r="E12658" s="2" t="s">
        <v>2083</v>
      </c>
      <c r="F12658" s="2" t="s">
        <v>50304</v>
      </c>
      <c r="G12658" s="2" t="str">
        <f>"SR-17944"</f>
        <v>SR-17944</v>
      </c>
      <c r="H12658" s="2" t="s">
        <v>50305</v>
      </c>
      <c r="I12658" s="2" t="s">
        <v>50306</v>
      </c>
      <c r="K12658" s="2" t="s">
        <v>4216</v>
      </c>
      <c r="L12658" s="2" t="s">
        <v>172</v>
      </c>
      <c r="M12658" s="2">
        <v>77469.0</v>
      </c>
      <c r="N12658" s="2" t="s">
        <v>21</v>
      </c>
    </row>
    <row r="12659" ht="15.75" customHeight="1">
      <c r="A12659" s="2">
        <v>2020.0</v>
      </c>
      <c r="B12659" s="2" t="s">
        <v>23769</v>
      </c>
      <c r="C12659" s="2" t="s">
        <v>50307</v>
      </c>
      <c r="D12659" s="2" t="str">
        <f>"805-540-4581"</f>
        <v>805-540-4581</v>
      </c>
      <c r="E12659" s="2" t="s">
        <v>29586</v>
      </c>
      <c r="F12659" s="2" t="s">
        <v>10861</v>
      </c>
      <c r="G12659" s="2" t="str">
        <f>"SR-17689"</f>
        <v>SR-17689</v>
      </c>
      <c r="H12659" s="2" t="s">
        <v>50308</v>
      </c>
      <c r="I12659" s="2" t="s">
        <v>23772</v>
      </c>
      <c r="K12659" s="2" t="s">
        <v>13810</v>
      </c>
      <c r="L12659" s="2" t="s">
        <v>222</v>
      </c>
      <c r="M12659" s="2">
        <v>93401.0</v>
      </c>
      <c r="N12659" s="2" t="s">
        <v>21</v>
      </c>
    </row>
    <row r="12660" ht="15.75" customHeight="1">
      <c r="A12660" s="2">
        <v>2020.0</v>
      </c>
      <c r="B12660" s="2" t="s">
        <v>50309</v>
      </c>
      <c r="C12660" s="2" t="s">
        <v>50310</v>
      </c>
      <c r="D12660" s="2" t="str">
        <f>"314-258-1882"</f>
        <v>314-258-1882</v>
      </c>
      <c r="E12660" s="2" t="s">
        <v>977</v>
      </c>
      <c r="F12660" s="2" t="s">
        <v>10019</v>
      </c>
      <c r="G12660" s="2" t="str">
        <f>"SR-17968"</f>
        <v>SR-17968</v>
      </c>
      <c r="H12660" s="2" t="s">
        <v>50311</v>
      </c>
      <c r="I12660" s="2" t="s">
        <v>50312</v>
      </c>
      <c r="K12660" s="2" t="s">
        <v>11181</v>
      </c>
      <c r="L12660" s="2" t="s">
        <v>200</v>
      </c>
      <c r="M12660" s="2">
        <v>30004.0</v>
      </c>
      <c r="N12660" s="2" t="s">
        <v>21</v>
      </c>
    </row>
    <row r="12661" ht="15.75" customHeight="1">
      <c r="A12661" s="2">
        <v>2020.0</v>
      </c>
      <c r="B12661" s="2" t="s">
        <v>50313</v>
      </c>
      <c r="C12661" s="2" t="s">
        <v>50314</v>
      </c>
      <c r="D12661" s="2" t="str">
        <f>"7196630233"</f>
        <v>7196630233</v>
      </c>
      <c r="E12661" s="2" t="s">
        <v>50315</v>
      </c>
      <c r="F12661" s="2" t="s">
        <v>14140</v>
      </c>
      <c r="G12661" s="2" t="str">
        <f>"SR-17969"</f>
        <v>SR-17969</v>
      </c>
      <c r="H12661" s="2" t="s">
        <v>50316</v>
      </c>
      <c r="I12661" s="2" t="s">
        <v>50317</v>
      </c>
      <c r="K12661" s="2" t="s">
        <v>507</v>
      </c>
      <c r="L12661" s="2" t="s">
        <v>157</v>
      </c>
      <c r="M12661" s="2">
        <v>80132.0</v>
      </c>
      <c r="N12661" s="2" t="s">
        <v>21</v>
      </c>
    </row>
    <row r="12662" ht="15.75" customHeight="1">
      <c r="A12662" s="2">
        <v>2020.0</v>
      </c>
      <c r="B12662" s="2" t="s">
        <v>49759</v>
      </c>
      <c r="C12662" s="2" t="s">
        <v>50318</v>
      </c>
      <c r="D12662" s="2" t="str">
        <f>"3528187803"</f>
        <v>3528187803</v>
      </c>
      <c r="E12662" s="2" t="s">
        <v>301</v>
      </c>
      <c r="F12662" s="2" t="s">
        <v>4318</v>
      </c>
      <c r="G12662" s="2" t="str">
        <f>"SR-17848"</f>
        <v>SR-17848</v>
      </c>
      <c r="H12662" s="2" t="s">
        <v>50319</v>
      </c>
      <c r="I12662" s="2">
        <v>36056.0</v>
      </c>
      <c r="J12662" s="2" t="s">
        <v>50320</v>
      </c>
      <c r="K12662" s="2" t="s">
        <v>1771</v>
      </c>
      <c r="L12662" s="2" t="s">
        <v>208</v>
      </c>
      <c r="M12662" s="2">
        <v>34731.0</v>
      </c>
      <c r="N12662" s="2" t="s">
        <v>21</v>
      </c>
    </row>
    <row r="12663" ht="15.75" customHeight="1">
      <c r="A12663" s="2">
        <v>2020.0</v>
      </c>
      <c r="B12663" s="2" t="s">
        <v>30843</v>
      </c>
      <c r="C12663" s="2" t="s">
        <v>50321</v>
      </c>
      <c r="D12663" s="2" t="str">
        <f>"7274584858"</f>
        <v>7274584858</v>
      </c>
      <c r="E12663" s="2" t="s">
        <v>137</v>
      </c>
      <c r="F12663" s="2" t="s">
        <v>744</v>
      </c>
      <c r="G12663" s="2" t="str">
        <f>"SR-17971"</f>
        <v>SR-17971</v>
      </c>
      <c r="H12663" s="2" t="s">
        <v>50322</v>
      </c>
      <c r="I12663" s="2" t="s">
        <v>30846</v>
      </c>
      <c r="K12663" s="2" t="s">
        <v>30847</v>
      </c>
      <c r="L12663" s="2" t="s">
        <v>208</v>
      </c>
      <c r="M12663" s="2">
        <v>33709.0</v>
      </c>
      <c r="N12663" s="2" t="s">
        <v>21</v>
      </c>
    </row>
    <row r="12664" ht="15.75" customHeight="1">
      <c r="A12664" s="2">
        <v>2020.0</v>
      </c>
      <c r="B12664" s="2" t="s">
        <v>30843</v>
      </c>
      <c r="C12664" s="2" t="s">
        <v>30844</v>
      </c>
      <c r="D12664" s="2" t="str">
        <f>"7276419517"</f>
        <v>7276419517</v>
      </c>
      <c r="E12664" s="2" t="s">
        <v>261</v>
      </c>
      <c r="F12664" s="2" t="s">
        <v>744</v>
      </c>
      <c r="G12664" s="2" t="str">
        <f>"SR-9749"</f>
        <v>SR-9749</v>
      </c>
      <c r="H12664" s="2" t="s">
        <v>30845</v>
      </c>
      <c r="I12664" s="2" t="s">
        <v>30846</v>
      </c>
      <c r="K12664" s="2" t="s">
        <v>30847</v>
      </c>
      <c r="L12664" s="2" t="s">
        <v>208</v>
      </c>
      <c r="M12664" s="2">
        <v>33709.0</v>
      </c>
      <c r="N12664" s="2" t="s">
        <v>21</v>
      </c>
    </row>
    <row r="12665" ht="15.75" customHeight="1">
      <c r="A12665" s="2">
        <v>2020.0</v>
      </c>
      <c r="B12665" s="2" t="s">
        <v>50323</v>
      </c>
      <c r="D12665" s="2" t="str">
        <f>""</f>
        <v/>
      </c>
      <c r="E12665" s="2" t="s">
        <v>50324</v>
      </c>
      <c r="F12665" s="2" t="s">
        <v>50325</v>
      </c>
      <c r="G12665" s="2" t="str">
        <f>"SR-17966"</f>
        <v>SR-17966</v>
      </c>
      <c r="H12665" s="2" t="s">
        <v>50326</v>
      </c>
      <c r="N12665" s="2" t="s">
        <v>21</v>
      </c>
    </row>
    <row r="12666" ht="15.75" customHeight="1">
      <c r="A12666" s="2">
        <v>2020.0</v>
      </c>
      <c r="B12666" s="2" t="s">
        <v>50327</v>
      </c>
      <c r="C12666" s="2" t="s">
        <v>50328</v>
      </c>
      <c r="D12666" s="2" t="str">
        <f>"931-703-4836"</f>
        <v>931-703-4836</v>
      </c>
      <c r="E12666" s="2" t="s">
        <v>250</v>
      </c>
      <c r="F12666" s="2" t="s">
        <v>12686</v>
      </c>
      <c r="G12666" s="2" t="str">
        <f>"SR-17973"</f>
        <v>SR-17973</v>
      </c>
      <c r="H12666" s="2" t="s">
        <v>50329</v>
      </c>
      <c r="I12666" s="2" t="s">
        <v>50330</v>
      </c>
      <c r="K12666" s="2" t="s">
        <v>50331</v>
      </c>
      <c r="L12666" s="2" t="s">
        <v>279</v>
      </c>
      <c r="M12666" s="2">
        <v>37020.0</v>
      </c>
      <c r="N12666" s="2" t="s">
        <v>21</v>
      </c>
    </row>
    <row r="12667" ht="15.75" customHeight="1">
      <c r="A12667" s="2">
        <v>2020.0</v>
      </c>
      <c r="B12667" s="2" t="s">
        <v>50332</v>
      </c>
      <c r="C12667" s="2" t="s">
        <v>50333</v>
      </c>
      <c r="D12667" s="2" t="str">
        <f>"3252348272"</f>
        <v>3252348272</v>
      </c>
      <c r="E12667" s="2" t="s">
        <v>492</v>
      </c>
      <c r="F12667" s="2" t="s">
        <v>877</v>
      </c>
      <c r="G12667" s="2" t="str">
        <f>"SR-17976"</f>
        <v>SR-17976</v>
      </c>
      <c r="H12667" s="2" t="s">
        <v>50334</v>
      </c>
      <c r="I12667" s="2" t="s">
        <v>50335</v>
      </c>
      <c r="K12667" s="2" t="s">
        <v>23004</v>
      </c>
      <c r="L12667" s="2" t="s">
        <v>172</v>
      </c>
      <c r="M12667" s="2">
        <v>76935.0</v>
      </c>
      <c r="N12667" s="2" t="s">
        <v>21</v>
      </c>
    </row>
    <row r="12668" ht="15.75" customHeight="1">
      <c r="A12668" s="2">
        <v>2020.0</v>
      </c>
      <c r="B12668" s="2" t="s">
        <v>50336</v>
      </c>
      <c r="C12668" s="2" t="s">
        <v>50337</v>
      </c>
      <c r="D12668" s="2" t="str">
        <f>"9312126962"</f>
        <v>9312126962</v>
      </c>
      <c r="E12668" s="2" t="s">
        <v>590</v>
      </c>
      <c r="F12668" s="2" t="s">
        <v>50338</v>
      </c>
      <c r="G12668" s="2" t="str">
        <f>"SR-17977"</f>
        <v>SR-17977</v>
      </c>
      <c r="H12668" s="2" t="s">
        <v>50339</v>
      </c>
      <c r="I12668" s="2" t="s">
        <v>50340</v>
      </c>
      <c r="K12668" s="2" t="s">
        <v>12405</v>
      </c>
      <c r="L12668" s="2" t="s">
        <v>279</v>
      </c>
      <c r="M12668" s="2">
        <v>37128.0</v>
      </c>
      <c r="N12668" s="2" t="s">
        <v>21</v>
      </c>
    </row>
    <row r="12669" ht="15.75" customHeight="1">
      <c r="A12669" s="2">
        <v>2020.0</v>
      </c>
      <c r="B12669" s="2" t="s">
        <v>50341</v>
      </c>
      <c r="C12669" s="2" t="s">
        <v>50342</v>
      </c>
      <c r="D12669" s="2" t="str">
        <f>"2606092031"</f>
        <v>2606092031</v>
      </c>
      <c r="E12669" s="2" t="s">
        <v>2760</v>
      </c>
      <c r="F12669" s="2" t="s">
        <v>36307</v>
      </c>
      <c r="G12669" s="2" t="str">
        <f>"SR-17892"</f>
        <v>SR-17892</v>
      </c>
      <c r="H12669" s="2" t="s">
        <v>36308</v>
      </c>
      <c r="I12669" s="2" t="s">
        <v>50343</v>
      </c>
      <c r="K12669" s="2" t="s">
        <v>4298</v>
      </c>
      <c r="L12669" s="2" t="s">
        <v>149</v>
      </c>
      <c r="M12669" s="2">
        <v>46814.0</v>
      </c>
      <c r="N12669" s="2" t="s">
        <v>21</v>
      </c>
    </row>
    <row r="12670" ht="15.75" customHeight="1">
      <c r="A12670" s="2">
        <v>2020.0</v>
      </c>
      <c r="B12670" s="2" t="s">
        <v>50344</v>
      </c>
      <c r="D12670" s="2" t="str">
        <f>""</f>
        <v/>
      </c>
      <c r="E12670" s="2" t="s">
        <v>678</v>
      </c>
      <c r="F12670" s="2" t="s">
        <v>40817</v>
      </c>
      <c r="G12670" s="2" t="str">
        <f>"SR-17989"</f>
        <v>SR-17989</v>
      </c>
      <c r="H12670" s="2" t="s">
        <v>50345</v>
      </c>
      <c r="N12670" s="2" t="s">
        <v>21</v>
      </c>
    </row>
    <row r="12671" ht="15.75" customHeight="1">
      <c r="A12671" s="2">
        <v>2020.0</v>
      </c>
      <c r="B12671" s="2" t="s">
        <v>50346</v>
      </c>
      <c r="C12671" s="2" t="s">
        <v>50346</v>
      </c>
      <c r="D12671" s="2" t="str">
        <f>"7039402204"</f>
        <v>7039402204</v>
      </c>
      <c r="E12671" s="2" t="s">
        <v>38052</v>
      </c>
      <c r="F12671" s="2" t="s">
        <v>37247</v>
      </c>
      <c r="G12671" s="2" t="str">
        <f>"SR-17979"</f>
        <v>SR-17979</v>
      </c>
      <c r="H12671" s="2" t="s">
        <v>50347</v>
      </c>
      <c r="I12671" s="2" t="s">
        <v>43497</v>
      </c>
      <c r="K12671" s="2" t="s">
        <v>12253</v>
      </c>
      <c r="L12671" s="2" t="s">
        <v>165</v>
      </c>
      <c r="M12671" s="2">
        <v>22182.0</v>
      </c>
      <c r="N12671" s="2" t="s">
        <v>21</v>
      </c>
    </row>
    <row r="12672" ht="15.75" customHeight="1">
      <c r="A12672" s="2">
        <v>2020.0</v>
      </c>
      <c r="B12672" s="2" t="s">
        <v>50348</v>
      </c>
      <c r="C12672" s="2" t="s">
        <v>50348</v>
      </c>
      <c r="D12672" s="2" t="str">
        <f>"4253781888"</f>
        <v>4253781888</v>
      </c>
      <c r="E12672" s="2" t="s">
        <v>1434</v>
      </c>
      <c r="F12672" s="2" t="s">
        <v>50349</v>
      </c>
      <c r="G12672" s="2" t="str">
        <f>"SR-17990"</f>
        <v>SR-17990</v>
      </c>
      <c r="H12672" s="2" t="s">
        <v>50350</v>
      </c>
      <c r="I12672" s="2" t="s">
        <v>50351</v>
      </c>
      <c r="K12672" s="2" t="s">
        <v>7873</v>
      </c>
      <c r="L12672" s="2" t="s">
        <v>86</v>
      </c>
      <c r="M12672" s="2">
        <v>98008.0</v>
      </c>
      <c r="N12672" s="2" t="s">
        <v>21</v>
      </c>
    </row>
    <row r="12673" ht="15.75" customHeight="1">
      <c r="A12673" s="2">
        <v>2020.0</v>
      </c>
      <c r="B12673" s="2" t="s">
        <v>50352</v>
      </c>
      <c r="C12673" s="2" t="s">
        <v>50353</v>
      </c>
      <c r="D12673" s="2" t="str">
        <f>"3256502081"</f>
        <v>3256502081</v>
      </c>
      <c r="E12673" s="2" t="s">
        <v>282</v>
      </c>
      <c r="F12673" s="2" t="s">
        <v>16295</v>
      </c>
      <c r="G12673" s="2" t="str">
        <f>"SR-17991"</f>
        <v>SR-17991</v>
      </c>
      <c r="H12673" s="2" t="s">
        <v>50354</v>
      </c>
      <c r="I12673" s="2" t="s">
        <v>50355</v>
      </c>
      <c r="K12673" s="2" t="s">
        <v>23004</v>
      </c>
      <c r="L12673" s="2" t="s">
        <v>172</v>
      </c>
      <c r="M12673" s="2">
        <v>76935.0</v>
      </c>
      <c r="N12673" s="2" t="s">
        <v>21</v>
      </c>
    </row>
    <row r="12674" ht="15.75" customHeight="1">
      <c r="A12674" s="2">
        <v>2020.0</v>
      </c>
      <c r="B12674" s="2" t="s">
        <v>50356</v>
      </c>
      <c r="C12674" s="2" t="s">
        <v>50357</v>
      </c>
      <c r="D12674" s="2" t="str">
        <f>"6157649475"</f>
        <v>6157649475</v>
      </c>
      <c r="E12674" s="2" t="s">
        <v>9162</v>
      </c>
      <c r="F12674" s="2" t="s">
        <v>50358</v>
      </c>
      <c r="G12674" s="2" t="str">
        <f>"SR-17994"</f>
        <v>SR-17994</v>
      </c>
      <c r="H12674" s="2" t="s">
        <v>50359</v>
      </c>
      <c r="I12674" s="2" t="s">
        <v>50360</v>
      </c>
      <c r="K12674" s="2" t="s">
        <v>278</v>
      </c>
      <c r="L12674" s="2" t="s">
        <v>279</v>
      </c>
      <c r="M12674" s="2">
        <v>37069.0</v>
      </c>
      <c r="N12674" s="2" t="s">
        <v>21</v>
      </c>
    </row>
    <row r="12675" ht="15.75" customHeight="1">
      <c r="A12675" s="2">
        <v>2020.0</v>
      </c>
      <c r="B12675" s="2" t="s">
        <v>50361</v>
      </c>
      <c r="C12675" s="2" t="s">
        <v>50362</v>
      </c>
      <c r="D12675" s="2" t="str">
        <f>"2149075689"</f>
        <v>2149075689</v>
      </c>
      <c r="E12675" s="2" t="s">
        <v>11010</v>
      </c>
      <c r="F12675" s="2" t="s">
        <v>50363</v>
      </c>
      <c r="G12675" s="2" t="str">
        <f>"SR-17423"</f>
        <v>SR-17423</v>
      </c>
      <c r="H12675" s="2" t="s">
        <v>50364</v>
      </c>
      <c r="I12675" s="2" t="s">
        <v>50365</v>
      </c>
      <c r="K12675" s="2" t="s">
        <v>2643</v>
      </c>
      <c r="L12675" s="2" t="s">
        <v>172</v>
      </c>
      <c r="M12675" s="2">
        <v>75028.0</v>
      </c>
      <c r="N12675" s="2" t="s">
        <v>21</v>
      </c>
    </row>
    <row r="12676" ht="15.75" customHeight="1">
      <c r="A12676" s="2">
        <v>2020.0</v>
      </c>
      <c r="B12676" s="2" t="s">
        <v>50361</v>
      </c>
      <c r="C12676" s="2" t="s">
        <v>50366</v>
      </c>
      <c r="D12676" s="2" t="str">
        <f>"2149078139"</f>
        <v>2149078139</v>
      </c>
      <c r="E12676" s="2" t="s">
        <v>1642</v>
      </c>
      <c r="F12676" s="2" t="s">
        <v>50363</v>
      </c>
      <c r="G12676" s="2" t="str">
        <f>"SR-17995"</f>
        <v>SR-17995</v>
      </c>
      <c r="H12676" s="2" t="s">
        <v>50367</v>
      </c>
      <c r="I12676" s="2" t="s">
        <v>50365</v>
      </c>
      <c r="K12676" s="2" t="s">
        <v>2643</v>
      </c>
      <c r="L12676" s="2" t="s">
        <v>172</v>
      </c>
      <c r="M12676" s="2">
        <v>75028.0</v>
      </c>
      <c r="N12676" s="2" t="s">
        <v>21</v>
      </c>
    </row>
    <row r="12677" ht="15.75" customHeight="1">
      <c r="A12677" s="2">
        <v>2020.0</v>
      </c>
      <c r="B12677" s="2" t="s">
        <v>3748</v>
      </c>
      <c r="C12677" s="2" t="s">
        <v>25983</v>
      </c>
      <c r="D12677" s="2" t="str">
        <f>"308-991-2225"</f>
        <v>308-991-2225</v>
      </c>
      <c r="E12677" s="2" t="s">
        <v>580</v>
      </c>
      <c r="F12677" s="2" t="s">
        <v>3751</v>
      </c>
      <c r="G12677" s="2" t="str">
        <f>"SR-8250"</f>
        <v>SR-8250</v>
      </c>
      <c r="H12677" s="2" t="s">
        <v>25984</v>
      </c>
      <c r="I12677" s="2" t="s">
        <v>25985</v>
      </c>
      <c r="J12677" s="2" t="s">
        <v>25986</v>
      </c>
      <c r="K12677" s="2" t="s">
        <v>3754</v>
      </c>
      <c r="L12677" s="2" t="s">
        <v>757</v>
      </c>
      <c r="M12677" s="2">
        <v>68920.0</v>
      </c>
      <c r="N12677" s="2" t="s">
        <v>21</v>
      </c>
    </row>
    <row r="12678" ht="15.75" customHeight="1">
      <c r="A12678" s="2">
        <v>2020.0</v>
      </c>
      <c r="B12678" s="2" t="s">
        <v>50368</v>
      </c>
      <c r="C12678" s="2" t="s">
        <v>50369</v>
      </c>
      <c r="D12678" s="2" t="str">
        <f>"831 5217614"</f>
        <v>831 5217614</v>
      </c>
      <c r="E12678" s="2" t="s">
        <v>373</v>
      </c>
      <c r="F12678" s="2" t="s">
        <v>7897</v>
      </c>
      <c r="G12678" s="2" t="str">
        <f>"SR-18001"</f>
        <v>SR-18001</v>
      </c>
      <c r="H12678" s="2" t="s">
        <v>50370</v>
      </c>
      <c r="I12678" s="2" t="s">
        <v>50371</v>
      </c>
      <c r="K12678" s="2" t="s">
        <v>4107</v>
      </c>
      <c r="L12678" s="2" t="s">
        <v>222</v>
      </c>
      <c r="M12678" s="2">
        <v>93940.0</v>
      </c>
      <c r="N12678" s="2" t="s">
        <v>21</v>
      </c>
    </row>
    <row r="12679" ht="15.75" customHeight="1">
      <c r="A12679" s="2">
        <v>2020.0</v>
      </c>
      <c r="B12679" s="2" t="s">
        <v>50372</v>
      </c>
      <c r="C12679" s="2" t="s">
        <v>50372</v>
      </c>
      <c r="D12679" s="2" t="str">
        <f>"3257250205"</f>
        <v>3257250205</v>
      </c>
      <c r="E12679" s="2" t="s">
        <v>65</v>
      </c>
      <c r="F12679" s="2" t="s">
        <v>50373</v>
      </c>
      <c r="G12679" s="2" t="str">
        <f>"SR-17721"</f>
        <v>SR-17721</v>
      </c>
      <c r="H12679" s="2" t="s">
        <v>50374</v>
      </c>
      <c r="I12679" s="2" t="s">
        <v>50375</v>
      </c>
      <c r="K12679" s="2" t="s">
        <v>23004</v>
      </c>
      <c r="L12679" s="2" t="s">
        <v>172</v>
      </c>
      <c r="M12679" s="2">
        <v>76935.0</v>
      </c>
      <c r="N12679" s="2" t="s">
        <v>21</v>
      </c>
    </row>
    <row r="12680" ht="15.75" customHeight="1">
      <c r="A12680" s="2">
        <v>2020.0</v>
      </c>
      <c r="B12680" s="2" t="s">
        <v>50376</v>
      </c>
      <c r="C12680" s="2" t="s">
        <v>50377</v>
      </c>
      <c r="D12680" s="2" t="str">
        <f>"5032179201"</f>
        <v>5032179201</v>
      </c>
      <c r="E12680" s="2" t="s">
        <v>1529</v>
      </c>
      <c r="F12680" s="2" t="s">
        <v>42553</v>
      </c>
      <c r="G12680" s="2" t="str">
        <f>"SR-17888"</f>
        <v>SR-17888</v>
      </c>
      <c r="H12680" s="2" t="s">
        <v>50378</v>
      </c>
      <c r="I12680" s="2" t="s">
        <v>50379</v>
      </c>
      <c r="K12680" s="2" t="s">
        <v>49782</v>
      </c>
      <c r="L12680" s="2" t="s">
        <v>2389</v>
      </c>
      <c r="M12680" s="2">
        <v>97303.0</v>
      </c>
      <c r="N12680" s="2" t="s">
        <v>21</v>
      </c>
    </row>
    <row r="12681" ht="15.75" customHeight="1">
      <c r="A12681" s="2">
        <v>2020.0</v>
      </c>
      <c r="B12681" s="2" t="s">
        <v>45330</v>
      </c>
      <c r="C12681" s="2" t="s">
        <v>50380</v>
      </c>
      <c r="D12681" s="2" t="str">
        <f>"256-808-9377"</f>
        <v>256-808-9377</v>
      </c>
      <c r="E12681" s="2" t="s">
        <v>4406</v>
      </c>
      <c r="F12681" s="2" t="s">
        <v>23077</v>
      </c>
      <c r="G12681" s="2" t="str">
        <f>"SR-17705"</f>
        <v>SR-17705</v>
      </c>
      <c r="H12681" s="2" t="s">
        <v>50381</v>
      </c>
      <c r="I12681" s="2" t="s">
        <v>45333</v>
      </c>
      <c r="K12681" s="2" t="s">
        <v>1408</v>
      </c>
      <c r="L12681" s="2" t="s">
        <v>279</v>
      </c>
      <c r="M12681" s="2">
        <v>37323.0</v>
      </c>
      <c r="N12681" s="2" t="s">
        <v>21</v>
      </c>
    </row>
    <row r="12682" ht="15.75" customHeight="1">
      <c r="A12682" s="2">
        <v>2020.0</v>
      </c>
      <c r="B12682" s="2" t="s">
        <v>50382</v>
      </c>
      <c r="C12682" s="2" t="s">
        <v>50383</v>
      </c>
      <c r="D12682" s="2" t="str">
        <f>"6362955402"</f>
        <v>6362955402</v>
      </c>
      <c r="E12682" s="2" t="s">
        <v>1197</v>
      </c>
      <c r="F12682" s="2" t="s">
        <v>40547</v>
      </c>
      <c r="G12682" s="2" t="str">
        <f>"SR-18004"</f>
        <v>SR-18004</v>
      </c>
      <c r="H12682" s="2" t="s">
        <v>50384</v>
      </c>
      <c r="I12682" s="2" t="s">
        <v>40549</v>
      </c>
      <c r="K12682" s="2" t="s">
        <v>1141</v>
      </c>
      <c r="L12682" s="2" t="s">
        <v>172</v>
      </c>
      <c r="M12682" s="2">
        <v>78736.0</v>
      </c>
      <c r="N12682" s="2" t="s">
        <v>21</v>
      </c>
    </row>
    <row r="12683" ht="15.75" customHeight="1">
      <c r="A12683" s="2">
        <v>2020.0</v>
      </c>
      <c r="B12683" s="2" t="s">
        <v>50385</v>
      </c>
      <c r="C12683" s="2" t="s">
        <v>50386</v>
      </c>
      <c r="D12683" s="2" t="str">
        <f>"512-914-7160"</f>
        <v>512-914-7160</v>
      </c>
      <c r="E12683" s="2" t="s">
        <v>50387</v>
      </c>
      <c r="F12683" s="2" t="s">
        <v>962</v>
      </c>
      <c r="G12683" s="2" t="str">
        <f>"SR-17967"</f>
        <v>SR-17967</v>
      </c>
      <c r="H12683" s="2" t="s">
        <v>50388</v>
      </c>
      <c r="I12683" s="2" t="s">
        <v>50389</v>
      </c>
      <c r="K12683" s="2" t="s">
        <v>50390</v>
      </c>
      <c r="L12683" s="2" t="s">
        <v>172</v>
      </c>
      <c r="M12683" s="2">
        <v>78676.0</v>
      </c>
      <c r="N12683" s="2" t="s">
        <v>21</v>
      </c>
    </row>
    <row r="12684" ht="15.75" customHeight="1">
      <c r="A12684" s="2">
        <v>2020.0</v>
      </c>
      <c r="B12684" s="2" t="s">
        <v>50391</v>
      </c>
      <c r="D12684" s="2" t="str">
        <f>""</f>
        <v/>
      </c>
      <c r="E12684" s="2" t="s">
        <v>21409</v>
      </c>
      <c r="F12684" s="2" t="s">
        <v>50392</v>
      </c>
      <c r="G12684" s="2" t="str">
        <f>"SR-17906"</f>
        <v>SR-17906</v>
      </c>
      <c r="H12684" s="2" t="s">
        <v>50393</v>
      </c>
      <c r="N12684" s="2" t="s">
        <v>21</v>
      </c>
    </row>
    <row r="12685" ht="15.75" customHeight="1">
      <c r="A12685" s="2">
        <v>2020.0</v>
      </c>
      <c r="B12685" s="2" t="s">
        <v>50394</v>
      </c>
      <c r="C12685" s="2" t="s">
        <v>50395</v>
      </c>
      <c r="D12685" s="2" t="str">
        <f>"4173725952"</f>
        <v>4173725952</v>
      </c>
      <c r="E12685" s="2" t="s">
        <v>144</v>
      </c>
      <c r="F12685" s="2" t="s">
        <v>50396</v>
      </c>
      <c r="G12685" s="2" t="str">
        <f>"SR-18005"</f>
        <v>SR-18005</v>
      </c>
      <c r="H12685" s="2" t="s">
        <v>50397</v>
      </c>
      <c r="I12685" s="2" t="s">
        <v>50398</v>
      </c>
      <c r="K12685" s="2" t="s">
        <v>229</v>
      </c>
      <c r="L12685" s="2" t="s">
        <v>214</v>
      </c>
      <c r="M12685" s="2">
        <v>65775.0</v>
      </c>
      <c r="N12685" s="2" t="s">
        <v>21</v>
      </c>
    </row>
    <row r="12686" ht="15.75" customHeight="1">
      <c r="A12686" s="2">
        <v>2020.0</v>
      </c>
      <c r="B12686" s="2" t="s">
        <v>50399</v>
      </c>
      <c r="C12686" s="2" t="s">
        <v>50400</v>
      </c>
      <c r="D12686" s="2" t="str">
        <f>"615-920-0495"</f>
        <v>615-920-0495</v>
      </c>
      <c r="E12686" s="2" t="s">
        <v>2930</v>
      </c>
      <c r="F12686" s="2" t="s">
        <v>50401</v>
      </c>
      <c r="G12686" s="2" t="str">
        <f>"SR-18006"</f>
        <v>SR-18006</v>
      </c>
      <c r="H12686" s="2" t="s">
        <v>50402</v>
      </c>
      <c r="I12686" s="2" t="s">
        <v>50403</v>
      </c>
      <c r="K12686" s="2" t="s">
        <v>278</v>
      </c>
      <c r="L12686" s="2" t="s">
        <v>279</v>
      </c>
      <c r="M12686" s="2">
        <v>37069.0</v>
      </c>
      <c r="N12686" s="2" t="s">
        <v>21</v>
      </c>
    </row>
    <row r="12687" ht="15.75" customHeight="1">
      <c r="A12687" s="2">
        <v>2020.0</v>
      </c>
      <c r="B12687" s="2" t="s">
        <v>50404</v>
      </c>
      <c r="C12687" s="2" t="s">
        <v>50404</v>
      </c>
      <c r="D12687" s="2" t="str">
        <f>"(603)953-7647"</f>
        <v>(603)953-7647</v>
      </c>
      <c r="E12687" s="2" t="s">
        <v>471</v>
      </c>
      <c r="F12687" s="2" t="s">
        <v>50405</v>
      </c>
      <c r="G12687" s="2" t="str">
        <f>"SR-17996"</f>
        <v>SR-17996</v>
      </c>
      <c r="H12687" s="2" t="s">
        <v>50406</v>
      </c>
      <c r="I12687" s="2" t="s">
        <v>50407</v>
      </c>
      <c r="K12687" s="2" t="s">
        <v>2811</v>
      </c>
      <c r="L12687" s="2" t="s">
        <v>62</v>
      </c>
      <c r="M12687" s="2">
        <v>55124.0</v>
      </c>
      <c r="N12687" s="2" t="s">
        <v>21</v>
      </c>
    </row>
    <row r="12688" ht="15.75" customHeight="1">
      <c r="A12688" s="2">
        <v>2020.0</v>
      </c>
      <c r="B12688" s="2" t="s">
        <v>46326</v>
      </c>
      <c r="C12688" s="2" t="s">
        <v>46327</v>
      </c>
      <c r="D12688" s="2" t="str">
        <f>"215-370-1865"</f>
        <v>215-370-1865</v>
      </c>
      <c r="E12688" s="2" t="s">
        <v>46328</v>
      </c>
      <c r="F12688" s="2" t="s">
        <v>23163</v>
      </c>
      <c r="G12688" s="2" t="str">
        <f>"SR-15814"</f>
        <v>SR-15814</v>
      </c>
      <c r="H12688" s="2" t="s">
        <v>46329</v>
      </c>
      <c r="I12688" s="2" t="s">
        <v>46330</v>
      </c>
      <c r="K12688" s="2" t="s">
        <v>1398</v>
      </c>
      <c r="L12688" s="2" t="s">
        <v>157</v>
      </c>
      <c r="M12688" s="2">
        <v>80109.0</v>
      </c>
      <c r="N12688" s="2" t="s">
        <v>21</v>
      </c>
    </row>
    <row r="12689" ht="15.75" customHeight="1">
      <c r="A12689" s="2">
        <v>2020.0</v>
      </c>
      <c r="B12689" s="2" t="s">
        <v>50408</v>
      </c>
      <c r="D12689" s="2" t="str">
        <f>""</f>
        <v/>
      </c>
      <c r="E12689" s="2" t="s">
        <v>4968</v>
      </c>
      <c r="F12689" s="2" t="s">
        <v>3028</v>
      </c>
      <c r="G12689" s="2" t="str">
        <f>"SR-17278"</f>
        <v>SR-17278</v>
      </c>
      <c r="H12689" s="2" t="s">
        <v>50409</v>
      </c>
    </row>
    <row r="12690" ht="15.75" customHeight="1">
      <c r="A12690" s="2">
        <v>2020.0</v>
      </c>
      <c r="B12690" s="2" t="s">
        <v>50410</v>
      </c>
      <c r="C12690" s="2" t="s">
        <v>50411</v>
      </c>
      <c r="D12690" s="2" t="str">
        <f>"828-260-9838"</f>
        <v>828-260-9838</v>
      </c>
      <c r="E12690" s="2" t="s">
        <v>6170</v>
      </c>
      <c r="F12690" s="2" t="s">
        <v>14577</v>
      </c>
      <c r="G12690" s="2" t="str">
        <f>"SR-17899"</f>
        <v>SR-17899</v>
      </c>
      <c r="H12690" s="2" t="s">
        <v>50412</v>
      </c>
      <c r="I12690" s="2" t="s">
        <v>50413</v>
      </c>
      <c r="K12690" s="2" t="s">
        <v>10856</v>
      </c>
      <c r="L12690" s="2" t="s">
        <v>20</v>
      </c>
      <c r="M12690" s="2">
        <v>28607.0</v>
      </c>
      <c r="N12690" s="2" t="s">
        <v>21</v>
      </c>
    </row>
    <row r="12691" ht="15.75" customHeight="1">
      <c r="A12691" s="2">
        <v>2020.0</v>
      </c>
      <c r="B12691" s="2" t="s">
        <v>50414</v>
      </c>
      <c r="C12691" s="2" t="s">
        <v>50415</v>
      </c>
      <c r="D12691" s="2" t="str">
        <f>"3254500579"</f>
        <v>3254500579</v>
      </c>
      <c r="E12691" s="2" t="s">
        <v>2162</v>
      </c>
      <c r="F12691" s="2" t="s">
        <v>50416</v>
      </c>
      <c r="G12691" s="2" t="str">
        <f>"SR-17917"</f>
        <v>SR-17917</v>
      </c>
      <c r="H12691" s="2" t="s">
        <v>50417</v>
      </c>
      <c r="I12691" s="2" t="s">
        <v>50418</v>
      </c>
      <c r="K12691" s="2" t="s">
        <v>23004</v>
      </c>
      <c r="L12691" s="2" t="s">
        <v>172</v>
      </c>
      <c r="M12691" s="2">
        <v>76935.0</v>
      </c>
      <c r="N12691" s="2" t="s">
        <v>21</v>
      </c>
    </row>
    <row r="12692" ht="15.75" customHeight="1">
      <c r="A12692" s="2">
        <v>2020.0</v>
      </c>
      <c r="B12692" s="2" t="s">
        <v>6421</v>
      </c>
      <c r="C12692" s="2" t="s">
        <v>45452</v>
      </c>
      <c r="D12692" s="2" t="str">
        <f>"2144497385"</f>
        <v>2144497385</v>
      </c>
      <c r="E12692" s="2" t="s">
        <v>217</v>
      </c>
      <c r="F12692" s="2" t="s">
        <v>457</v>
      </c>
      <c r="G12692" s="2" t="str">
        <f>"SR-14121"</f>
        <v>SR-14121</v>
      </c>
      <c r="H12692" s="2" t="s">
        <v>45453</v>
      </c>
      <c r="I12692" s="2" t="s">
        <v>45454</v>
      </c>
      <c r="K12692" s="2" t="s">
        <v>1255</v>
      </c>
      <c r="L12692" s="2" t="s">
        <v>172</v>
      </c>
      <c r="M12692" s="2">
        <v>75243.0</v>
      </c>
      <c r="N12692" s="2" t="s">
        <v>21</v>
      </c>
    </row>
    <row r="12693" ht="15.75" customHeight="1">
      <c r="A12693" s="2">
        <v>2020.0</v>
      </c>
      <c r="B12693" s="2" t="s">
        <v>50419</v>
      </c>
      <c r="C12693" s="2" t="s">
        <v>50420</v>
      </c>
      <c r="D12693" s="2" t="str">
        <f>"(832) 334-8872"</f>
        <v>(832) 334-8872</v>
      </c>
      <c r="E12693" s="2" t="s">
        <v>1548</v>
      </c>
      <c r="F12693" s="2" t="s">
        <v>1108</v>
      </c>
      <c r="G12693" s="2" t="str">
        <f>"SR-18015"</f>
        <v>SR-18015</v>
      </c>
      <c r="H12693" s="2" t="s">
        <v>50421</v>
      </c>
      <c r="I12693" s="2" t="s">
        <v>50422</v>
      </c>
      <c r="K12693" s="2" t="s">
        <v>444</v>
      </c>
      <c r="L12693" s="2" t="s">
        <v>172</v>
      </c>
      <c r="M12693" s="2">
        <v>77024.0</v>
      </c>
      <c r="N12693" s="2" t="s">
        <v>21</v>
      </c>
    </row>
    <row r="12694" ht="15.75" customHeight="1">
      <c r="A12694" s="2">
        <v>2020.0</v>
      </c>
      <c r="B12694" s="2" t="s">
        <v>50423</v>
      </c>
      <c r="C12694" s="2" t="s">
        <v>50424</v>
      </c>
      <c r="D12694" s="2" t="str">
        <f>"4029100825"</f>
        <v>4029100825</v>
      </c>
      <c r="E12694" s="2" t="s">
        <v>137</v>
      </c>
      <c r="F12694" s="2" t="s">
        <v>36535</v>
      </c>
      <c r="G12694" s="2" t="str">
        <f>"SR-18017"</f>
        <v>SR-18017</v>
      </c>
      <c r="H12694" s="2" t="s">
        <v>50425</v>
      </c>
      <c r="I12694" s="2" t="s">
        <v>50426</v>
      </c>
      <c r="K12694" s="2" t="s">
        <v>2421</v>
      </c>
      <c r="L12694" s="2" t="s">
        <v>757</v>
      </c>
      <c r="M12694" s="2">
        <v>68601.0</v>
      </c>
      <c r="N12694" s="2" t="s">
        <v>21</v>
      </c>
    </row>
    <row r="12695" ht="15.75" customHeight="1">
      <c r="A12695" s="2">
        <v>2020.0</v>
      </c>
      <c r="B12695" s="2" t="s">
        <v>50427</v>
      </c>
      <c r="C12695" s="2" t="s">
        <v>50428</v>
      </c>
      <c r="D12695" s="2" t="str">
        <f>"5106349490"</f>
        <v>5106349490</v>
      </c>
      <c r="E12695" s="2" t="s">
        <v>50429</v>
      </c>
      <c r="F12695" s="2" t="s">
        <v>50430</v>
      </c>
      <c r="G12695" s="2" t="str">
        <f>"SR-18018"</f>
        <v>SR-18018</v>
      </c>
      <c r="H12695" s="2" t="s">
        <v>50431</v>
      </c>
      <c r="I12695" s="2" t="s">
        <v>50432</v>
      </c>
      <c r="K12695" s="2" t="s">
        <v>50433</v>
      </c>
      <c r="L12695" s="2" t="s">
        <v>222</v>
      </c>
      <c r="M12695" s="2">
        <v>94546.0</v>
      </c>
      <c r="N12695" s="2" t="s">
        <v>21</v>
      </c>
    </row>
    <row r="12696" ht="15.75" customHeight="1">
      <c r="A12696" s="2">
        <v>2020.0</v>
      </c>
      <c r="B12696" s="2" t="s">
        <v>50434</v>
      </c>
      <c r="C12696" s="2" t="s">
        <v>50435</v>
      </c>
      <c r="D12696" s="2" t="str">
        <f>"9138001676"</f>
        <v>9138001676</v>
      </c>
      <c r="E12696" s="2" t="s">
        <v>13027</v>
      </c>
      <c r="F12696" s="2" t="s">
        <v>3984</v>
      </c>
      <c r="G12696" s="2" t="str">
        <f>"SR-15992"</f>
        <v>SR-15992</v>
      </c>
      <c r="H12696" s="2" t="s">
        <v>50436</v>
      </c>
      <c r="I12696" s="2" t="s">
        <v>50437</v>
      </c>
      <c r="K12696" s="2" t="s">
        <v>3329</v>
      </c>
      <c r="L12696" s="2" t="s">
        <v>272</v>
      </c>
      <c r="M12696" s="2">
        <v>66216.0</v>
      </c>
      <c r="N12696" s="2" t="s">
        <v>21</v>
      </c>
    </row>
    <row r="12697" ht="15.75" customHeight="1">
      <c r="A12697" s="2">
        <v>2020.0</v>
      </c>
      <c r="B12697" s="2" t="s">
        <v>50438</v>
      </c>
      <c r="C12697" s="2" t="s">
        <v>50439</v>
      </c>
      <c r="D12697" s="2" t="str">
        <f>"6156186555"</f>
        <v>6156186555</v>
      </c>
      <c r="E12697" s="2" t="s">
        <v>1263</v>
      </c>
      <c r="F12697" s="2" t="s">
        <v>50440</v>
      </c>
      <c r="G12697" s="2" t="str">
        <f>"SR-18020"</f>
        <v>SR-18020</v>
      </c>
      <c r="H12697" s="2" t="s">
        <v>50441</v>
      </c>
      <c r="I12697" s="2" t="s">
        <v>50442</v>
      </c>
      <c r="K12697" s="2" t="s">
        <v>278</v>
      </c>
      <c r="L12697" s="2" t="s">
        <v>279</v>
      </c>
      <c r="M12697" s="2">
        <v>37069.0</v>
      </c>
      <c r="N12697" s="2" t="s">
        <v>21</v>
      </c>
    </row>
    <row r="12698" ht="15.75" customHeight="1">
      <c r="A12698" s="2">
        <v>2020.0</v>
      </c>
      <c r="B12698" s="2" t="s">
        <v>50443</v>
      </c>
      <c r="C12698" s="2" t="s">
        <v>50444</v>
      </c>
      <c r="D12698" s="2" t="str">
        <f>"5134461824"</f>
        <v>5134461824</v>
      </c>
      <c r="E12698" s="2" t="s">
        <v>4968</v>
      </c>
      <c r="F12698" s="2" t="s">
        <v>50445</v>
      </c>
      <c r="G12698" s="2" t="str">
        <f>"SR-18022"</f>
        <v>SR-18022</v>
      </c>
      <c r="H12698" s="2" t="s">
        <v>50446</v>
      </c>
      <c r="I12698" s="2" t="s">
        <v>50447</v>
      </c>
      <c r="K12698" s="2" t="s">
        <v>10119</v>
      </c>
      <c r="L12698" s="2" t="s">
        <v>344</v>
      </c>
      <c r="M12698" s="2">
        <v>45241.0</v>
      </c>
      <c r="N12698" s="2" t="s">
        <v>21</v>
      </c>
    </row>
    <row r="12699" ht="15.75" customHeight="1">
      <c r="A12699" s="2">
        <v>2020.0</v>
      </c>
      <c r="B12699" s="2" t="s">
        <v>50448</v>
      </c>
      <c r="C12699" s="2" t="s">
        <v>50449</v>
      </c>
      <c r="D12699" s="2" t="str">
        <f>"7605804356"</f>
        <v>7605804356</v>
      </c>
      <c r="E12699" s="2" t="s">
        <v>751</v>
      </c>
      <c r="F12699" s="2" t="s">
        <v>50450</v>
      </c>
      <c r="G12699" s="2" t="str">
        <f>"SR-18023"</f>
        <v>SR-18023</v>
      </c>
      <c r="H12699" s="2" t="s">
        <v>50451</v>
      </c>
      <c r="I12699" s="2" t="s">
        <v>50452</v>
      </c>
      <c r="K12699" s="2" t="s">
        <v>50206</v>
      </c>
      <c r="L12699" s="2" t="s">
        <v>222</v>
      </c>
      <c r="M12699" s="2">
        <v>92056.0</v>
      </c>
      <c r="N12699" s="2" t="s">
        <v>21</v>
      </c>
    </row>
    <row r="12700" ht="15.75" customHeight="1">
      <c r="A12700" s="2">
        <v>2020.0</v>
      </c>
      <c r="B12700" s="2" t="s">
        <v>48577</v>
      </c>
      <c r="C12700" s="2" t="s">
        <v>48578</v>
      </c>
      <c r="D12700" s="2" t="str">
        <f>"510-501-6099"</f>
        <v>510-501-6099</v>
      </c>
      <c r="E12700" s="2" t="s">
        <v>81</v>
      </c>
      <c r="F12700" s="2" t="s">
        <v>9835</v>
      </c>
      <c r="G12700" s="2" t="str">
        <f>"SR-15681"</f>
        <v>SR-15681</v>
      </c>
      <c r="H12700" s="2" t="s">
        <v>48579</v>
      </c>
      <c r="I12700" s="2" t="s">
        <v>48580</v>
      </c>
      <c r="K12700" s="2" t="s">
        <v>7670</v>
      </c>
      <c r="L12700" s="2" t="s">
        <v>222</v>
      </c>
      <c r="M12700" s="2">
        <v>94706.0</v>
      </c>
      <c r="N12700" s="2" t="s">
        <v>21</v>
      </c>
    </row>
    <row r="12701" ht="15.75" customHeight="1">
      <c r="A12701" s="2">
        <v>2020.0</v>
      </c>
      <c r="B12701" s="2" t="s">
        <v>50453</v>
      </c>
      <c r="D12701" s="2" t="str">
        <f>""</f>
        <v/>
      </c>
      <c r="E12701" s="2" t="s">
        <v>843</v>
      </c>
      <c r="F12701" s="2" t="s">
        <v>50454</v>
      </c>
      <c r="G12701" s="2" t="str">
        <f>"SR-17118"</f>
        <v>SR-17118</v>
      </c>
      <c r="H12701" s="2" t="s">
        <v>50455</v>
      </c>
    </row>
    <row r="12702" ht="15.75" customHeight="1">
      <c r="A12702" s="2">
        <v>2020.0</v>
      </c>
      <c r="B12702" s="2" t="s">
        <v>50456</v>
      </c>
      <c r="C12702" s="2" t="s">
        <v>50457</v>
      </c>
      <c r="D12702" s="2" t="str">
        <f>"4254408661"</f>
        <v>4254408661</v>
      </c>
      <c r="E12702" s="2" t="s">
        <v>11885</v>
      </c>
      <c r="F12702" s="2" t="s">
        <v>50458</v>
      </c>
      <c r="G12702" s="2" t="str">
        <f>"SR-18024"</f>
        <v>SR-18024</v>
      </c>
      <c r="H12702" s="2" t="s">
        <v>50459</v>
      </c>
      <c r="I12702" s="2" t="s">
        <v>50460</v>
      </c>
      <c r="K12702" s="2" t="s">
        <v>3118</v>
      </c>
      <c r="L12702" s="2" t="s">
        <v>86</v>
      </c>
      <c r="M12702" s="2">
        <v>98101.0</v>
      </c>
      <c r="N12702" s="2" t="s">
        <v>21</v>
      </c>
    </row>
    <row r="12703" ht="15.75" customHeight="1">
      <c r="A12703" s="2">
        <v>2020.0</v>
      </c>
      <c r="B12703" s="2" t="s">
        <v>50461</v>
      </c>
      <c r="C12703" s="2" t="s">
        <v>50461</v>
      </c>
      <c r="D12703" s="2" t="str">
        <f>"260-494-7097"</f>
        <v>260-494-7097</v>
      </c>
      <c r="E12703" s="2" t="s">
        <v>9010</v>
      </c>
      <c r="F12703" s="2" t="s">
        <v>50462</v>
      </c>
      <c r="G12703" s="2" t="str">
        <f>"SR-17984"</f>
        <v>SR-17984</v>
      </c>
      <c r="H12703" s="2" t="s">
        <v>50463</v>
      </c>
      <c r="I12703" s="2" t="s">
        <v>50464</v>
      </c>
      <c r="K12703" s="2" t="s">
        <v>6312</v>
      </c>
      <c r="L12703" s="2" t="s">
        <v>149</v>
      </c>
      <c r="M12703" s="2">
        <v>46706.0</v>
      </c>
      <c r="N12703" s="2" t="s">
        <v>21</v>
      </c>
    </row>
    <row r="12704" ht="15.75" customHeight="1">
      <c r="A12704" s="2">
        <v>2020.0</v>
      </c>
      <c r="B12704" s="2" t="s">
        <v>50465</v>
      </c>
      <c r="D12704" s="2" t="str">
        <f>""</f>
        <v/>
      </c>
      <c r="E12704" s="2" t="s">
        <v>1032</v>
      </c>
      <c r="F12704" s="2" t="s">
        <v>89</v>
      </c>
      <c r="G12704" s="2" t="str">
        <f>"SR-17987"</f>
        <v>SR-17987</v>
      </c>
      <c r="H12704" s="2" t="s">
        <v>50466</v>
      </c>
      <c r="N12704" s="2" t="s">
        <v>21</v>
      </c>
    </row>
    <row r="12705" ht="15.75" customHeight="1">
      <c r="A12705" s="2">
        <v>2020.0</v>
      </c>
      <c r="B12705" s="2" t="s">
        <v>50467</v>
      </c>
      <c r="C12705" s="2" t="s">
        <v>50468</v>
      </c>
      <c r="D12705" s="2" t="str">
        <f>"260-920-0087"</f>
        <v>260-920-0087</v>
      </c>
      <c r="E12705" s="2" t="s">
        <v>2162</v>
      </c>
      <c r="F12705" s="2" t="s">
        <v>33938</v>
      </c>
      <c r="G12705" s="2" t="str">
        <f>"SR-17980"</f>
        <v>SR-17980</v>
      </c>
      <c r="H12705" s="2" t="s">
        <v>50469</v>
      </c>
      <c r="I12705" s="2" t="s">
        <v>50470</v>
      </c>
      <c r="K12705" s="2" t="s">
        <v>4298</v>
      </c>
      <c r="L12705" s="2" t="s">
        <v>149</v>
      </c>
      <c r="M12705" s="2">
        <v>46845.0</v>
      </c>
      <c r="N12705" s="2" t="s">
        <v>21</v>
      </c>
    </row>
    <row r="12706" ht="15.75" customHeight="1">
      <c r="A12706" s="2">
        <v>2020.0</v>
      </c>
      <c r="B12706" s="2" t="s">
        <v>47287</v>
      </c>
      <c r="C12706" s="2" t="s">
        <v>47288</v>
      </c>
      <c r="D12706" s="2" t="str">
        <f>"2609200644"</f>
        <v>2609200644</v>
      </c>
      <c r="E12706" s="2" t="s">
        <v>47289</v>
      </c>
      <c r="F12706" s="2" t="s">
        <v>26812</v>
      </c>
      <c r="G12706" s="2" t="str">
        <f>"SR-16587"</f>
        <v>SR-16587</v>
      </c>
      <c r="H12706" s="2" t="s">
        <v>47290</v>
      </c>
      <c r="I12706" s="2" t="s">
        <v>47291</v>
      </c>
      <c r="K12706" s="2" t="s">
        <v>6312</v>
      </c>
      <c r="L12706" s="2" t="s">
        <v>149</v>
      </c>
      <c r="M12706" s="2">
        <v>46706.0</v>
      </c>
      <c r="N12706" s="2" t="s">
        <v>21</v>
      </c>
    </row>
    <row r="12707" ht="15.75" customHeight="1">
      <c r="A12707" s="2">
        <v>2020.0</v>
      </c>
      <c r="B12707" s="2" t="s">
        <v>50471</v>
      </c>
      <c r="C12707" s="2" t="s">
        <v>50471</v>
      </c>
      <c r="D12707" s="2" t="str">
        <f>"2603120736"</f>
        <v>2603120736</v>
      </c>
      <c r="E12707" s="2" t="s">
        <v>22628</v>
      </c>
      <c r="F12707" s="2" t="s">
        <v>50472</v>
      </c>
      <c r="G12707" s="2" t="str">
        <f>"SR-17970"</f>
        <v>SR-17970</v>
      </c>
      <c r="H12707" s="2" t="s">
        <v>50473</v>
      </c>
      <c r="I12707" s="2" t="s">
        <v>50474</v>
      </c>
      <c r="K12707" s="2" t="s">
        <v>4298</v>
      </c>
      <c r="L12707" s="2" t="s">
        <v>149</v>
      </c>
      <c r="M12707" s="2">
        <v>46835.0</v>
      </c>
      <c r="N12707" s="2" t="s">
        <v>21</v>
      </c>
    </row>
    <row r="12708" ht="15.75" customHeight="1">
      <c r="A12708" s="2">
        <v>2020.0</v>
      </c>
      <c r="B12708" s="2" t="s">
        <v>50475</v>
      </c>
      <c r="C12708" s="2" t="s">
        <v>50475</v>
      </c>
      <c r="D12708" s="2" t="str">
        <f>"(260)402-5290"</f>
        <v>(260)402-5290</v>
      </c>
      <c r="E12708" s="2" t="s">
        <v>4437</v>
      </c>
      <c r="F12708" s="2" t="s">
        <v>31837</v>
      </c>
      <c r="G12708" s="2" t="str">
        <f>"SR-17986"</f>
        <v>SR-17986</v>
      </c>
      <c r="H12708" s="2" t="s">
        <v>50476</v>
      </c>
      <c r="I12708" s="2" t="s">
        <v>50477</v>
      </c>
      <c r="K12708" s="2" t="s">
        <v>4298</v>
      </c>
      <c r="L12708" s="2" t="s">
        <v>149</v>
      </c>
      <c r="M12708" s="2">
        <v>46825.0</v>
      </c>
      <c r="N12708" s="2" t="s">
        <v>21</v>
      </c>
    </row>
    <row r="12709" ht="15.75" customHeight="1">
      <c r="A12709" s="2">
        <v>2020.0</v>
      </c>
      <c r="B12709" s="2" t="s">
        <v>50478</v>
      </c>
      <c r="C12709" s="2" t="s">
        <v>50479</v>
      </c>
      <c r="D12709" s="2" t="str">
        <f>"3087631335"</f>
        <v>3087631335</v>
      </c>
      <c r="E12709" s="2" t="s">
        <v>50480</v>
      </c>
      <c r="F12709" s="2" t="s">
        <v>50481</v>
      </c>
      <c r="G12709" s="2" t="str">
        <f>"SR-18025"</f>
        <v>SR-18025</v>
      </c>
      <c r="H12709" s="2" t="s">
        <v>50482</v>
      </c>
      <c r="I12709" s="2" t="s">
        <v>50483</v>
      </c>
      <c r="K12709" s="2" t="s">
        <v>31561</v>
      </c>
      <c r="L12709" s="2" t="s">
        <v>757</v>
      </c>
      <c r="M12709" s="2">
        <v>69331.0</v>
      </c>
      <c r="N12709" s="2" t="s">
        <v>21</v>
      </c>
    </row>
    <row r="12710" ht="15.75" customHeight="1">
      <c r="A12710" s="2">
        <v>2020.0</v>
      </c>
      <c r="B12710" s="2" t="s">
        <v>50484</v>
      </c>
      <c r="C12710" s="2" t="s">
        <v>50485</v>
      </c>
      <c r="D12710" s="2" t="str">
        <f>"3364693903"</f>
        <v>3364693903</v>
      </c>
      <c r="E12710" s="2" t="s">
        <v>651</v>
      </c>
      <c r="F12710" s="2" t="s">
        <v>34521</v>
      </c>
      <c r="G12710" s="2" t="str">
        <f>"SR-17738"</f>
        <v>SR-17738</v>
      </c>
      <c r="H12710" s="2" t="s">
        <v>50486</v>
      </c>
      <c r="I12710" s="2" t="s">
        <v>50487</v>
      </c>
      <c r="J12710" s="2" t="s">
        <v>50488</v>
      </c>
      <c r="K12710" s="2" t="s">
        <v>50489</v>
      </c>
      <c r="L12710" s="2" t="s">
        <v>20</v>
      </c>
      <c r="M12710" s="2">
        <v>27055.0</v>
      </c>
      <c r="N12710" s="2" t="s">
        <v>21</v>
      </c>
    </row>
    <row r="12711" ht="15.75" customHeight="1">
      <c r="A12711" s="2">
        <v>2020.0</v>
      </c>
      <c r="B12711" s="2" t="s">
        <v>50490</v>
      </c>
      <c r="C12711" s="2" t="s">
        <v>50491</v>
      </c>
      <c r="D12711" s="2" t="str">
        <f>"5105668748"</f>
        <v>5105668748</v>
      </c>
      <c r="E12711" s="2" t="s">
        <v>50492</v>
      </c>
      <c r="F12711" s="2" t="s">
        <v>89</v>
      </c>
      <c r="G12711" s="2" t="str">
        <f>"SR-18013"</f>
        <v>SR-18013</v>
      </c>
      <c r="H12711" s="2" t="s">
        <v>50493</v>
      </c>
      <c r="I12711" s="2" t="s">
        <v>50494</v>
      </c>
      <c r="K12711" s="2" t="s">
        <v>50433</v>
      </c>
      <c r="L12711" s="2" t="s">
        <v>222</v>
      </c>
      <c r="M12711" s="2">
        <v>94546.0</v>
      </c>
      <c r="N12711" s="2" t="s">
        <v>21</v>
      </c>
    </row>
    <row r="12712" ht="15.75" customHeight="1">
      <c r="A12712" s="2">
        <v>2020.0</v>
      </c>
      <c r="B12712" s="2" t="s">
        <v>50495</v>
      </c>
      <c r="C12712" s="2" t="s">
        <v>50496</v>
      </c>
      <c r="D12712" s="2" t="str">
        <f>"8159789503"</f>
        <v>8159789503</v>
      </c>
      <c r="E12712" s="2" t="s">
        <v>590</v>
      </c>
      <c r="F12712" s="2" t="s">
        <v>46067</v>
      </c>
      <c r="G12712" s="2" t="str">
        <f>"SR-17824"</f>
        <v>SR-17824</v>
      </c>
      <c r="H12712" s="2" t="s">
        <v>50497</v>
      </c>
      <c r="I12712" s="2" t="s">
        <v>44919</v>
      </c>
      <c r="K12712" s="2" t="s">
        <v>25130</v>
      </c>
      <c r="L12712" s="2" t="s">
        <v>105</v>
      </c>
      <c r="M12712" s="2">
        <v>61111.0</v>
      </c>
      <c r="N12712" s="2" t="s">
        <v>21</v>
      </c>
    </row>
    <row r="12713" ht="15.75" customHeight="1">
      <c r="A12713" s="2">
        <v>2020.0</v>
      </c>
      <c r="B12713" s="2" t="s">
        <v>50498</v>
      </c>
      <c r="C12713" s="2" t="s">
        <v>50499</v>
      </c>
      <c r="D12713" s="2" t="str">
        <f>"2142156794"</f>
        <v>2142156794</v>
      </c>
      <c r="E12713" s="2" t="s">
        <v>705</v>
      </c>
      <c r="F12713" s="2" t="s">
        <v>30550</v>
      </c>
      <c r="G12713" s="2" t="str">
        <f>"SR-18028"</f>
        <v>SR-18028</v>
      </c>
      <c r="H12713" s="2" t="s">
        <v>50500</v>
      </c>
      <c r="I12713" s="2" t="s">
        <v>50501</v>
      </c>
      <c r="K12713" s="2" t="s">
        <v>1255</v>
      </c>
      <c r="L12713" s="2" t="s">
        <v>172</v>
      </c>
      <c r="M12713" s="2">
        <v>75230.0</v>
      </c>
      <c r="N12713" s="2" t="s">
        <v>21</v>
      </c>
    </row>
    <row r="12714" ht="15.75" customHeight="1">
      <c r="A12714" s="2">
        <v>2020.0</v>
      </c>
      <c r="B12714" s="2" t="s">
        <v>31084</v>
      </c>
      <c r="C12714" s="2" t="s">
        <v>43792</v>
      </c>
      <c r="D12714" s="2" t="str">
        <f>"720-892-9004"</f>
        <v>720-892-9004</v>
      </c>
      <c r="E12714" s="2" t="s">
        <v>3640</v>
      </c>
      <c r="F12714" s="2" t="s">
        <v>2753</v>
      </c>
      <c r="G12714" s="2" t="str">
        <f>"SR-18030"</f>
        <v>SR-18030</v>
      </c>
      <c r="H12714" s="2" t="s">
        <v>43793</v>
      </c>
      <c r="I12714" s="2" t="s">
        <v>50502</v>
      </c>
      <c r="K12714" s="2" t="s">
        <v>519</v>
      </c>
      <c r="L12714" s="2" t="s">
        <v>157</v>
      </c>
      <c r="M12714" s="2">
        <v>80465.0</v>
      </c>
      <c r="N12714" s="2" t="s">
        <v>21</v>
      </c>
    </row>
    <row r="12715" ht="15.75" customHeight="1">
      <c r="A12715" s="2">
        <v>2020.0</v>
      </c>
      <c r="B12715" s="2" t="s">
        <v>50503</v>
      </c>
      <c r="C12715" s="2" t="s">
        <v>50503</v>
      </c>
      <c r="D12715" s="2" t="str">
        <f>"8058047433"</f>
        <v>8058047433</v>
      </c>
      <c r="E12715" s="2" t="s">
        <v>1642</v>
      </c>
      <c r="F12715" s="2" t="s">
        <v>31</v>
      </c>
      <c r="G12715" s="2" t="str">
        <f>"SR-17668"</f>
        <v>SR-17668</v>
      </c>
      <c r="H12715" s="2" t="s">
        <v>50504</v>
      </c>
      <c r="I12715" s="2" t="s">
        <v>50505</v>
      </c>
      <c r="K12715" s="2" t="s">
        <v>36028</v>
      </c>
      <c r="L12715" s="2" t="s">
        <v>222</v>
      </c>
      <c r="M12715" s="2">
        <v>93004.0</v>
      </c>
      <c r="N12715" s="2" t="s">
        <v>21</v>
      </c>
    </row>
    <row r="12716" ht="15.75" customHeight="1">
      <c r="A12716" s="2">
        <v>2020.0</v>
      </c>
      <c r="B12716" s="2" t="s">
        <v>50506</v>
      </c>
      <c r="C12716" s="2" t="s">
        <v>50507</v>
      </c>
      <c r="D12716" s="2" t="str">
        <f>"7758309500"</f>
        <v>7758309500</v>
      </c>
      <c r="E12716" s="2" t="s">
        <v>160</v>
      </c>
      <c r="F12716" s="2" t="s">
        <v>24289</v>
      </c>
      <c r="G12716" s="2" t="str">
        <f>"SR-18032"</f>
        <v>SR-18032</v>
      </c>
      <c r="H12716" s="2" t="s">
        <v>50508</v>
      </c>
      <c r="I12716" s="2" t="s">
        <v>50509</v>
      </c>
      <c r="K12716" s="2" t="s">
        <v>43930</v>
      </c>
      <c r="L12716" s="2" t="s">
        <v>1419</v>
      </c>
      <c r="M12716" s="2">
        <v>89502.0</v>
      </c>
      <c r="N12716" s="2" t="s">
        <v>21</v>
      </c>
    </row>
    <row r="12717" ht="15.75" customHeight="1">
      <c r="A12717" s="2">
        <v>2020.0</v>
      </c>
      <c r="B12717" s="2" t="s">
        <v>50510</v>
      </c>
      <c r="C12717" s="2" t="s">
        <v>50511</v>
      </c>
      <c r="D12717" s="2" t="str">
        <f>"559-392-1102"</f>
        <v>559-392-1102</v>
      </c>
      <c r="E12717" s="2" t="s">
        <v>2126</v>
      </c>
      <c r="F12717" s="2" t="s">
        <v>50512</v>
      </c>
      <c r="G12717" s="2" t="str">
        <f>"SR-18033"</f>
        <v>SR-18033</v>
      </c>
      <c r="H12717" s="2" t="s">
        <v>50513</v>
      </c>
      <c r="I12717" s="2" t="s">
        <v>50514</v>
      </c>
      <c r="K12717" s="2" t="s">
        <v>50515</v>
      </c>
      <c r="L12717" s="2" t="s">
        <v>222</v>
      </c>
      <c r="M12717" s="2">
        <v>93619.0</v>
      </c>
      <c r="N12717" s="2" t="s">
        <v>21</v>
      </c>
    </row>
    <row r="12718" ht="15.75" customHeight="1">
      <c r="A12718" s="2">
        <v>2020.0</v>
      </c>
      <c r="B12718" s="2" t="s">
        <v>50510</v>
      </c>
      <c r="C12718" s="2" t="s">
        <v>50510</v>
      </c>
      <c r="D12718" s="2" t="str">
        <f>"559-779-9943"</f>
        <v>559-779-9943</v>
      </c>
      <c r="E12718" s="2" t="s">
        <v>705</v>
      </c>
      <c r="F12718" s="2" t="s">
        <v>50512</v>
      </c>
      <c r="G12718" s="2" t="str">
        <f>"SR-18034"</f>
        <v>SR-18034</v>
      </c>
      <c r="H12718" s="2" t="s">
        <v>50516</v>
      </c>
      <c r="I12718" s="2" t="s">
        <v>50514</v>
      </c>
      <c r="K12718" s="2" t="s">
        <v>50515</v>
      </c>
      <c r="L12718" s="2" t="s">
        <v>222</v>
      </c>
      <c r="M12718" s="2">
        <v>93619.0</v>
      </c>
      <c r="N12718" s="2" t="s">
        <v>21</v>
      </c>
    </row>
    <row r="12719" ht="15.75" customHeight="1">
      <c r="A12719" s="2">
        <v>2020.0</v>
      </c>
      <c r="B12719" s="2" t="s">
        <v>50517</v>
      </c>
      <c r="C12719" s="2" t="s">
        <v>50518</v>
      </c>
      <c r="D12719" s="2" t="str">
        <f>"3157757650"</f>
        <v>3157757650</v>
      </c>
      <c r="E12719" s="2" t="s">
        <v>3460</v>
      </c>
      <c r="F12719" s="2" t="s">
        <v>3590</v>
      </c>
      <c r="G12719" s="2" t="str">
        <f>"SR-17988"</f>
        <v>SR-17988</v>
      </c>
      <c r="H12719" s="2" t="s">
        <v>50519</v>
      </c>
      <c r="I12719" s="2" t="s">
        <v>3592</v>
      </c>
      <c r="K12719" s="2" t="s">
        <v>50520</v>
      </c>
      <c r="L12719" s="2" t="s">
        <v>142</v>
      </c>
      <c r="M12719" s="2">
        <v>13367.0</v>
      </c>
      <c r="N12719" s="2" t="s">
        <v>21</v>
      </c>
    </row>
    <row r="12720" ht="15.75" customHeight="1">
      <c r="A12720" s="2">
        <v>2020.0</v>
      </c>
      <c r="B12720" s="2" t="s">
        <v>50521</v>
      </c>
      <c r="C12720" s="2" t="s">
        <v>50522</v>
      </c>
      <c r="D12720" s="2" t="str">
        <f>"8058274193"</f>
        <v>8058274193</v>
      </c>
      <c r="E12720" s="2" t="s">
        <v>25253</v>
      </c>
      <c r="F12720" s="2" t="s">
        <v>50523</v>
      </c>
      <c r="G12720" s="2" t="str">
        <f>"SR-17669"</f>
        <v>SR-17669</v>
      </c>
      <c r="H12720" s="2" t="s">
        <v>50524</v>
      </c>
      <c r="I12720" s="2" t="s">
        <v>50525</v>
      </c>
      <c r="K12720" s="2" t="s">
        <v>36028</v>
      </c>
      <c r="L12720" s="2" t="s">
        <v>222</v>
      </c>
      <c r="M12720" s="2">
        <v>93003.0</v>
      </c>
      <c r="N12720" s="2" t="s">
        <v>21</v>
      </c>
    </row>
    <row r="12721" ht="15.75" customHeight="1">
      <c r="A12721" s="2">
        <v>2020.0</v>
      </c>
      <c r="B12721" s="2" t="s">
        <v>50526</v>
      </c>
      <c r="C12721" s="2" t="s">
        <v>50527</v>
      </c>
      <c r="D12721" s="2" t="str">
        <f>"720-981-1739"</f>
        <v>720-981-1739</v>
      </c>
      <c r="E12721" s="2" t="s">
        <v>50528</v>
      </c>
      <c r="F12721" s="2" t="s">
        <v>50529</v>
      </c>
      <c r="G12721" s="2" t="str">
        <f>"SR-18036"</f>
        <v>SR-18036</v>
      </c>
      <c r="H12721" s="2" t="s">
        <v>50530</v>
      </c>
      <c r="I12721" s="2" t="s">
        <v>50531</v>
      </c>
      <c r="K12721" s="2" t="s">
        <v>1889</v>
      </c>
      <c r="L12721" s="2" t="s">
        <v>157</v>
      </c>
      <c r="M12721" s="2">
        <v>80127.0</v>
      </c>
      <c r="N12721" s="2" t="s">
        <v>21</v>
      </c>
    </row>
    <row r="12722" ht="15.75" customHeight="1">
      <c r="A12722" s="2">
        <v>2020.0</v>
      </c>
      <c r="B12722" s="2" t="s">
        <v>38275</v>
      </c>
      <c r="C12722" s="2" t="s">
        <v>50532</v>
      </c>
      <c r="D12722" s="2" t="str">
        <f>"7193730628"</f>
        <v>7193730628</v>
      </c>
      <c r="E12722" s="2" t="s">
        <v>453</v>
      </c>
      <c r="F12722" s="2" t="s">
        <v>11248</v>
      </c>
      <c r="G12722" s="2" t="str">
        <f>"SR-18037"</f>
        <v>SR-18037</v>
      </c>
      <c r="H12722" s="2" t="s">
        <v>50533</v>
      </c>
      <c r="I12722" s="2" t="s">
        <v>50534</v>
      </c>
      <c r="K12722" s="2" t="s">
        <v>809</v>
      </c>
      <c r="L12722" s="2" t="s">
        <v>157</v>
      </c>
      <c r="M12722" s="2">
        <v>80923.0</v>
      </c>
      <c r="N12722" s="2" t="s">
        <v>21</v>
      </c>
    </row>
    <row r="12723" ht="15.75" customHeight="1">
      <c r="A12723" s="2">
        <v>2020.0</v>
      </c>
      <c r="B12723" s="2" t="s">
        <v>50535</v>
      </c>
      <c r="C12723" s="2" t="s">
        <v>50536</v>
      </c>
      <c r="D12723" s="2" t="str">
        <f>"7207468601"</f>
        <v>7207468601</v>
      </c>
      <c r="E12723" s="2" t="s">
        <v>50537</v>
      </c>
      <c r="F12723" s="2" t="s">
        <v>309</v>
      </c>
      <c r="G12723" s="2" t="str">
        <f>"SR-17806"</f>
        <v>SR-17806</v>
      </c>
      <c r="H12723" s="2" t="s">
        <v>50538</v>
      </c>
      <c r="I12723" s="2" t="s">
        <v>311</v>
      </c>
      <c r="K12723" s="2" t="s">
        <v>312</v>
      </c>
      <c r="L12723" s="2" t="s">
        <v>157</v>
      </c>
      <c r="M12723" s="2">
        <v>80106.0</v>
      </c>
      <c r="N12723" s="2" t="s">
        <v>21</v>
      </c>
    </row>
    <row r="12724" ht="15.75" customHeight="1">
      <c r="A12724" s="2">
        <v>2020.0</v>
      </c>
      <c r="B12724" s="2" t="s">
        <v>38900</v>
      </c>
      <c r="D12724" s="2" t="str">
        <f>""</f>
        <v/>
      </c>
      <c r="E12724" s="2" t="s">
        <v>2361</v>
      </c>
      <c r="F12724" s="2" t="s">
        <v>38902</v>
      </c>
      <c r="G12724" s="2" t="str">
        <f>"SR-17253"</f>
        <v>SR-17253</v>
      </c>
      <c r="H12724" s="2" t="s">
        <v>50539</v>
      </c>
      <c r="N12724" s="2" t="s">
        <v>21</v>
      </c>
    </row>
    <row r="12725" ht="15.75" customHeight="1">
      <c r="A12725" s="2">
        <v>2020.0</v>
      </c>
      <c r="B12725" s="2" t="s">
        <v>50540</v>
      </c>
      <c r="C12725" s="2" t="s">
        <v>50540</v>
      </c>
      <c r="D12725" s="2" t="str">
        <f>"9514400456"</f>
        <v>9514400456</v>
      </c>
      <c r="E12725" s="2" t="s">
        <v>239</v>
      </c>
      <c r="F12725" s="2" t="s">
        <v>50541</v>
      </c>
      <c r="G12725" s="2" t="str">
        <f>"SR-18038"</f>
        <v>SR-18038</v>
      </c>
      <c r="H12725" s="2" t="s">
        <v>50542</v>
      </c>
      <c r="I12725" s="2" t="s">
        <v>50543</v>
      </c>
      <c r="K12725" s="2" t="s">
        <v>13081</v>
      </c>
      <c r="L12725" s="2" t="s">
        <v>222</v>
      </c>
      <c r="M12725" s="2">
        <v>92008.0</v>
      </c>
      <c r="N12725" s="2" t="s">
        <v>21</v>
      </c>
    </row>
    <row r="12726" ht="15.75" customHeight="1">
      <c r="A12726" s="2">
        <v>2020.0</v>
      </c>
      <c r="B12726" s="2" t="s">
        <v>50544</v>
      </c>
      <c r="C12726" s="2" t="s">
        <v>50545</v>
      </c>
      <c r="D12726" s="2" t="str">
        <f>"4197041166"</f>
        <v>4197041166</v>
      </c>
      <c r="E12726" s="2" t="s">
        <v>7046</v>
      </c>
      <c r="F12726" s="2" t="s">
        <v>1151</v>
      </c>
      <c r="G12726" s="2" t="str">
        <f>"SR-17825"</f>
        <v>SR-17825</v>
      </c>
      <c r="H12726" s="2" t="s">
        <v>50546</v>
      </c>
      <c r="I12726" s="2" t="s">
        <v>50547</v>
      </c>
      <c r="K12726" s="2" t="s">
        <v>50548</v>
      </c>
      <c r="L12726" s="2" t="s">
        <v>208</v>
      </c>
      <c r="M12726" s="2">
        <v>32065.0</v>
      </c>
      <c r="N12726" s="2" t="s">
        <v>21</v>
      </c>
    </row>
    <row r="12727" ht="15.75" customHeight="1">
      <c r="A12727" s="2">
        <v>2020.0</v>
      </c>
      <c r="B12727" s="2" t="s">
        <v>50549</v>
      </c>
      <c r="C12727" s="2" t="s">
        <v>50549</v>
      </c>
      <c r="D12727" s="2" t="str">
        <f>"(507)-530-1975"</f>
        <v>(507)-530-1975</v>
      </c>
      <c r="E12727" s="2" t="s">
        <v>50550</v>
      </c>
      <c r="F12727" s="2" t="s">
        <v>9052</v>
      </c>
      <c r="G12727" s="2" t="str">
        <f>"SR-18039"</f>
        <v>SR-18039</v>
      </c>
      <c r="H12727" s="2" t="s">
        <v>50551</v>
      </c>
      <c r="I12727" s="2" t="s">
        <v>50552</v>
      </c>
      <c r="K12727" s="2" t="s">
        <v>3511</v>
      </c>
      <c r="L12727" s="2" t="s">
        <v>62</v>
      </c>
      <c r="M12727" s="2">
        <v>56258.0</v>
      </c>
      <c r="N12727" s="2" t="s">
        <v>21</v>
      </c>
    </row>
    <row r="12728" ht="15.75" customHeight="1">
      <c r="A12728" s="2">
        <v>2020.0</v>
      </c>
      <c r="B12728" s="2" t="s">
        <v>50553</v>
      </c>
      <c r="C12728" s="2" t="s">
        <v>50554</v>
      </c>
      <c r="D12728" s="2" t="str">
        <f>"8052790006"</f>
        <v>8052790006</v>
      </c>
      <c r="E12728" s="2" t="s">
        <v>7145</v>
      </c>
      <c r="F12728" s="2" t="s">
        <v>4322</v>
      </c>
      <c r="G12728" s="2" t="str">
        <f>"SR-18040"</f>
        <v>SR-18040</v>
      </c>
      <c r="H12728" s="2" t="s">
        <v>50555</v>
      </c>
      <c r="I12728" s="2" t="s">
        <v>50556</v>
      </c>
      <c r="K12728" s="2" t="s">
        <v>36028</v>
      </c>
      <c r="L12728" s="2" t="s">
        <v>222</v>
      </c>
      <c r="M12728" s="2">
        <v>93003.0</v>
      </c>
      <c r="N12728" s="2" t="s">
        <v>21</v>
      </c>
    </row>
    <row r="12729" ht="15.75" customHeight="1">
      <c r="A12729" s="2">
        <v>2020.0</v>
      </c>
      <c r="B12729" s="2" t="s">
        <v>50557</v>
      </c>
      <c r="C12729" s="2" t="s">
        <v>50557</v>
      </c>
      <c r="D12729" s="2" t="str">
        <f>"8062800557"</f>
        <v>8062800557</v>
      </c>
      <c r="E12729" s="2" t="s">
        <v>3191</v>
      </c>
      <c r="F12729" s="2" t="s">
        <v>8115</v>
      </c>
      <c r="G12729" s="2" t="str">
        <f>"SR-18041"</f>
        <v>SR-18041</v>
      </c>
      <c r="H12729" s="2" t="s">
        <v>50558</v>
      </c>
      <c r="I12729" s="2" t="s">
        <v>50559</v>
      </c>
      <c r="K12729" s="2" t="s">
        <v>1121</v>
      </c>
      <c r="L12729" s="2" t="s">
        <v>172</v>
      </c>
      <c r="M12729" s="2">
        <v>79424.0</v>
      </c>
      <c r="N12729" s="2" t="s">
        <v>21</v>
      </c>
    </row>
    <row r="12730" ht="15.75" customHeight="1">
      <c r="A12730" s="2">
        <v>2020.0</v>
      </c>
      <c r="B12730" s="2" t="s">
        <v>49063</v>
      </c>
      <c r="C12730" s="2" t="s">
        <v>49063</v>
      </c>
      <c r="D12730" s="2" t="str">
        <f>"9032612628"</f>
        <v>9032612628</v>
      </c>
      <c r="E12730" s="2" t="s">
        <v>534</v>
      </c>
      <c r="F12730" s="2" t="s">
        <v>18559</v>
      </c>
      <c r="G12730" s="2" t="str">
        <f>"SR-12050"</f>
        <v>SR-12050</v>
      </c>
      <c r="H12730" s="2" t="s">
        <v>49066</v>
      </c>
      <c r="I12730" s="2" t="s">
        <v>49065</v>
      </c>
      <c r="K12730" s="2" t="s">
        <v>5578</v>
      </c>
      <c r="L12730" s="2" t="s">
        <v>172</v>
      </c>
      <c r="M12730" s="2">
        <v>75503.0</v>
      </c>
      <c r="N12730" s="2" t="s">
        <v>21</v>
      </c>
    </row>
    <row r="12731" ht="15.75" customHeight="1">
      <c r="A12731" s="2">
        <v>2020.0</v>
      </c>
      <c r="B12731" s="2" t="s">
        <v>50560</v>
      </c>
      <c r="C12731" s="2" t="s">
        <v>50561</v>
      </c>
      <c r="D12731" s="2" t="str">
        <f>"704-641-2821"</f>
        <v>704-641-2821</v>
      </c>
      <c r="E12731" s="2" t="s">
        <v>29155</v>
      </c>
      <c r="F12731" s="2" t="s">
        <v>12923</v>
      </c>
      <c r="G12731" s="2" t="str">
        <f>"SR-18046"</f>
        <v>SR-18046</v>
      </c>
      <c r="H12731" s="2" t="s">
        <v>50562</v>
      </c>
      <c r="I12731" s="2" t="s">
        <v>50563</v>
      </c>
      <c r="K12731" s="2" t="s">
        <v>50564</v>
      </c>
      <c r="L12731" s="2" t="s">
        <v>20</v>
      </c>
      <c r="M12731" s="2">
        <v>28090.0</v>
      </c>
      <c r="N12731" s="2" t="s">
        <v>21</v>
      </c>
    </row>
    <row r="12732" ht="15.75" customHeight="1">
      <c r="A12732" s="2">
        <v>2020.0</v>
      </c>
      <c r="B12732" s="2" t="s">
        <v>49793</v>
      </c>
      <c r="C12732" s="2" t="s">
        <v>50565</v>
      </c>
      <c r="D12732" s="2" t="str">
        <f>"5033931589"</f>
        <v>5033931589</v>
      </c>
      <c r="E12732" s="2" t="s">
        <v>23239</v>
      </c>
      <c r="F12732" s="2" t="s">
        <v>2954</v>
      </c>
      <c r="G12732" s="2" t="str">
        <f>"SR-18047"</f>
        <v>SR-18047</v>
      </c>
      <c r="H12732" s="2" t="s">
        <v>50566</v>
      </c>
      <c r="I12732" s="2" t="s">
        <v>49796</v>
      </c>
      <c r="K12732" s="2" t="s">
        <v>5131</v>
      </c>
      <c r="L12732" s="2" t="s">
        <v>2389</v>
      </c>
      <c r="M12732" s="2">
        <v>97305.0</v>
      </c>
      <c r="N12732" s="2" t="s">
        <v>21</v>
      </c>
    </row>
    <row r="12733" ht="15.75" customHeight="1">
      <c r="A12733" s="2">
        <v>2020.0</v>
      </c>
      <c r="B12733" s="2" t="s">
        <v>50567</v>
      </c>
      <c r="C12733" s="2" t="s">
        <v>50568</v>
      </c>
      <c r="D12733" s="2" t="str">
        <f>"8285060777"</f>
        <v>8285060777</v>
      </c>
      <c r="E12733" s="2" t="s">
        <v>453</v>
      </c>
      <c r="F12733" s="2" t="s">
        <v>50569</v>
      </c>
      <c r="G12733" s="2" t="str">
        <f>"SR-17728"</f>
        <v>SR-17728</v>
      </c>
      <c r="H12733" s="2" t="s">
        <v>50570</v>
      </c>
      <c r="I12733" s="2" t="s">
        <v>50571</v>
      </c>
      <c r="K12733" s="2" t="s">
        <v>17947</v>
      </c>
      <c r="L12733" s="2" t="s">
        <v>20</v>
      </c>
      <c r="M12733" s="2">
        <v>28730.0</v>
      </c>
      <c r="N12733" s="2" t="s">
        <v>21</v>
      </c>
    </row>
    <row r="12734" ht="15.75" customHeight="1">
      <c r="A12734" s="2">
        <v>2020.0</v>
      </c>
      <c r="B12734" s="2" t="s">
        <v>50572</v>
      </c>
      <c r="C12734" s="2" t="s">
        <v>50573</v>
      </c>
      <c r="D12734" s="2" t="str">
        <f>"317-790-9664"</f>
        <v>317-790-9664</v>
      </c>
      <c r="E12734" s="2" t="s">
        <v>2162</v>
      </c>
      <c r="F12734" s="2" t="s">
        <v>43961</v>
      </c>
      <c r="G12734" s="2" t="str">
        <f>"SR-18051"</f>
        <v>SR-18051</v>
      </c>
      <c r="H12734" s="2" t="s">
        <v>50574</v>
      </c>
      <c r="I12734" s="2" t="s">
        <v>50575</v>
      </c>
      <c r="K12734" s="2" t="s">
        <v>16705</v>
      </c>
      <c r="L12734" s="2" t="s">
        <v>149</v>
      </c>
      <c r="M12734" s="2">
        <v>46168.0</v>
      </c>
      <c r="N12734" s="2" t="s">
        <v>21</v>
      </c>
    </row>
    <row r="12735" ht="15.75" customHeight="1">
      <c r="A12735" s="2">
        <v>2020.0</v>
      </c>
      <c r="B12735" s="2" t="s">
        <v>50576</v>
      </c>
      <c r="C12735" s="2" t="s">
        <v>50577</v>
      </c>
      <c r="D12735" s="2" t="str">
        <f>"2817058535"</f>
        <v>2817058535</v>
      </c>
      <c r="E12735" s="2" t="s">
        <v>5858</v>
      </c>
      <c r="F12735" s="2" t="s">
        <v>4422</v>
      </c>
      <c r="G12735" s="2" t="str">
        <f>"SR-18053"</f>
        <v>SR-18053</v>
      </c>
      <c r="H12735" s="2" t="s">
        <v>50578</v>
      </c>
      <c r="I12735" s="2" t="s">
        <v>50579</v>
      </c>
      <c r="K12735" s="2" t="s">
        <v>2651</v>
      </c>
      <c r="L12735" s="2" t="s">
        <v>172</v>
      </c>
      <c r="M12735" s="2">
        <v>77382.0</v>
      </c>
      <c r="N12735" s="2" t="s">
        <v>21</v>
      </c>
    </row>
    <row r="12736" ht="15.75" customHeight="1">
      <c r="A12736" s="2">
        <v>2020.0</v>
      </c>
      <c r="B12736" s="2" t="s">
        <v>45329</v>
      </c>
      <c r="C12736" s="2" t="s">
        <v>50580</v>
      </c>
      <c r="D12736" s="2" t="str">
        <f>"269-535-9272"</f>
        <v>269-535-9272</v>
      </c>
      <c r="E12736" s="2" t="s">
        <v>10825</v>
      </c>
      <c r="F12736" s="2" t="s">
        <v>32621</v>
      </c>
      <c r="G12736" s="2" t="str">
        <f>"SR-18054"</f>
        <v>SR-18054</v>
      </c>
      <c r="H12736" s="2" t="s">
        <v>50581</v>
      </c>
      <c r="I12736" s="2" t="s">
        <v>50582</v>
      </c>
      <c r="K12736" s="2" t="s">
        <v>13760</v>
      </c>
      <c r="L12736" s="2" t="s">
        <v>29</v>
      </c>
      <c r="M12736" s="2">
        <v>49032.0</v>
      </c>
      <c r="N12736" s="2" t="s">
        <v>21</v>
      </c>
    </row>
    <row r="12737" ht="15.75" customHeight="1">
      <c r="A12737" s="2">
        <v>2020.0</v>
      </c>
      <c r="B12737" s="2" t="s">
        <v>50583</v>
      </c>
      <c r="C12737" s="2" t="s">
        <v>50583</v>
      </c>
      <c r="D12737" s="2" t="str">
        <f>"812-929-1507"</f>
        <v>812-929-1507</v>
      </c>
      <c r="E12737" s="2" t="s">
        <v>29808</v>
      </c>
      <c r="F12737" s="2" t="s">
        <v>728</v>
      </c>
      <c r="G12737" s="2" t="str">
        <f>"SR-18055"</f>
        <v>SR-18055</v>
      </c>
      <c r="H12737" s="2" t="s">
        <v>50584</v>
      </c>
      <c r="I12737" s="2" t="s">
        <v>50585</v>
      </c>
      <c r="K12737" s="2" t="s">
        <v>731</v>
      </c>
      <c r="L12737" s="2" t="s">
        <v>149</v>
      </c>
      <c r="M12737" s="2">
        <v>47448.0</v>
      </c>
      <c r="N12737" s="2" t="s">
        <v>21</v>
      </c>
    </row>
    <row r="12738" ht="15.75" customHeight="1">
      <c r="A12738" s="2">
        <v>2020.0</v>
      </c>
      <c r="B12738" s="2" t="s">
        <v>3246</v>
      </c>
      <c r="C12738" s="2" t="s">
        <v>50586</v>
      </c>
      <c r="D12738" s="2" t="str">
        <f>"6624011085"</f>
        <v>6624011085</v>
      </c>
      <c r="E12738" s="2" t="s">
        <v>11410</v>
      </c>
      <c r="F12738" s="2" t="s">
        <v>50587</v>
      </c>
      <c r="G12738" s="2" t="str">
        <f>"SR-18057"</f>
        <v>SR-18057</v>
      </c>
      <c r="H12738" s="2" t="s">
        <v>50588</v>
      </c>
      <c r="I12738" s="2" t="s">
        <v>50589</v>
      </c>
      <c r="K12738" s="2" t="s">
        <v>50590</v>
      </c>
      <c r="L12738" s="2" t="s">
        <v>1722</v>
      </c>
      <c r="M12738" s="2">
        <v>38801.0</v>
      </c>
      <c r="N12738" s="2" t="s">
        <v>21</v>
      </c>
    </row>
    <row r="12739" ht="15.75" customHeight="1">
      <c r="A12739" s="2">
        <v>2020.0</v>
      </c>
      <c r="B12739" s="2" t="s">
        <v>50591</v>
      </c>
      <c r="C12739" s="2" t="s">
        <v>50592</v>
      </c>
      <c r="D12739" s="2" t="str">
        <f>"2602670035"</f>
        <v>2602670035</v>
      </c>
      <c r="E12739" s="2" t="s">
        <v>2361</v>
      </c>
      <c r="F12739" s="2" t="s">
        <v>50593</v>
      </c>
      <c r="G12739" s="2" t="str">
        <f>"SR-18058"</f>
        <v>SR-18058</v>
      </c>
      <c r="H12739" s="2" t="s">
        <v>50594</v>
      </c>
      <c r="I12739" s="2" t="s">
        <v>50595</v>
      </c>
      <c r="K12739" s="2" t="s">
        <v>4298</v>
      </c>
      <c r="L12739" s="2" t="s">
        <v>149</v>
      </c>
      <c r="M12739" s="2">
        <v>46814.0</v>
      </c>
      <c r="N12739" s="2" t="s">
        <v>21</v>
      </c>
    </row>
    <row r="12740" ht="15.75" customHeight="1">
      <c r="A12740" s="2">
        <v>2020.0</v>
      </c>
      <c r="B12740" s="2" t="s">
        <v>37687</v>
      </c>
      <c r="C12740" s="2" t="s">
        <v>50596</v>
      </c>
      <c r="D12740" s="2" t="str">
        <f>"6128054739"</f>
        <v>6128054739</v>
      </c>
      <c r="E12740" s="2" t="s">
        <v>24169</v>
      </c>
      <c r="F12740" s="2" t="s">
        <v>9481</v>
      </c>
      <c r="G12740" s="2" t="str">
        <f>"SR-18056"</f>
        <v>SR-18056</v>
      </c>
      <c r="H12740" s="2" t="s">
        <v>50597</v>
      </c>
      <c r="I12740" s="2" t="s">
        <v>50598</v>
      </c>
      <c r="K12740" s="2" t="s">
        <v>626</v>
      </c>
      <c r="L12740" s="2" t="s">
        <v>62</v>
      </c>
      <c r="M12740" s="2">
        <v>55388.0</v>
      </c>
      <c r="N12740" s="2" t="s">
        <v>21</v>
      </c>
    </row>
    <row r="12741" ht="15.75" customHeight="1">
      <c r="A12741" s="2">
        <v>2020.0</v>
      </c>
      <c r="B12741" s="2" t="s">
        <v>50599</v>
      </c>
      <c r="C12741" s="2" t="s">
        <v>50600</v>
      </c>
      <c r="D12741" s="2" t="str">
        <f>"918-986-0330"</f>
        <v>918-986-0330</v>
      </c>
      <c r="E12741" s="2" t="s">
        <v>44587</v>
      </c>
      <c r="F12741" s="2" t="s">
        <v>1257</v>
      </c>
      <c r="G12741" s="2" t="str">
        <f>"SR-18060"</f>
        <v>SR-18060</v>
      </c>
      <c r="H12741" s="2" t="s">
        <v>50601</v>
      </c>
      <c r="I12741" s="2" t="s">
        <v>50602</v>
      </c>
      <c r="K12741" s="2" t="s">
        <v>29982</v>
      </c>
      <c r="L12741" s="2" t="s">
        <v>840</v>
      </c>
      <c r="M12741" s="2">
        <v>74021.0</v>
      </c>
      <c r="N12741" s="2" t="s">
        <v>21</v>
      </c>
    </row>
    <row r="12742" ht="15.75" customHeight="1">
      <c r="A12742" s="2">
        <v>2020.0</v>
      </c>
      <c r="B12742" s="2" t="s">
        <v>50603</v>
      </c>
      <c r="C12742" s="2" t="s">
        <v>50603</v>
      </c>
      <c r="D12742" s="2" t="str">
        <f>"7194255501"</f>
        <v>7194255501</v>
      </c>
      <c r="E12742" s="2" t="s">
        <v>50604</v>
      </c>
      <c r="F12742" s="2" t="s">
        <v>11786</v>
      </c>
      <c r="G12742" s="2" t="str">
        <f>"SR-18061"</f>
        <v>SR-18061</v>
      </c>
      <c r="H12742" s="2" t="s">
        <v>50605</v>
      </c>
      <c r="I12742" s="2" t="s">
        <v>50606</v>
      </c>
      <c r="K12742" s="2" t="s">
        <v>809</v>
      </c>
      <c r="L12742" s="2" t="s">
        <v>157</v>
      </c>
      <c r="M12742" s="2">
        <v>80908.0</v>
      </c>
      <c r="N12742" s="2" t="s">
        <v>21</v>
      </c>
    </row>
    <row r="12743" ht="15.75" customHeight="1">
      <c r="A12743" s="2">
        <v>2020.0</v>
      </c>
      <c r="B12743" s="2" t="s">
        <v>50607</v>
      </c>
      <c r="C12743" s="2" t="s">
        <v>50607</v>
      </c>
      <c r="D12743" s="2" t="str">
        <f>"9039229289"</f>
        <v>9039229289</v>
      </c>
      <c r="E12743" s="2" t="s">
        <v>428</v>
      </c>
      <c r="F12743" s="2" t="s">
        <v>17359</v>
      </c>
      <c r="G12743" s="2" t="str">
        <f>"SR-14981"</f>
        <v>SR-14981</v>
      </c>
      <c r="H12743" s="2" t="s">
        <v>17360</v>
      </c>
      <c r="I12743" s="2" t="s">
        <v>50608</v>
      </c>
      <c r="K12743" s="2" t="s">
        <v>50609</v>
      </c>
      <c r="L12743" s="2" t="s">
        <v>172</v>
      </c>
      <c r="M12743" s="2">
        <v>77651.0</v>
      </c>
      <c r="N12743" s="2" t="s">
        <v>21</v>
      </c>
    </row>
    <row r="12744" ht="15.75" customHeight="1">
      <c r="A12744" s="2">
        <v>2020.0</v>
      </c>
      <c r="B12744" s="2" t="s">
        <v>50610</v>
      </c>
      <c r="C12744" s="2" t="s">
        <v>50610</v>
      </c>
      <c r="D12744" s="2" t="str">
        <f>"314-399-0458"</f>
        <v>314-399-0458</v>
      </c>
      <c r="E12744" s="2" t="s">
        <v>50611</v>
      </c>
      <c r="F12744" s="2" t="s">
        <v>50612</v>
      </c>
      <c r="G12744" s="2" t="str">
        <f>"SR-18063"</f>
        <v>SR-18063</v>
      </c>
      <c r="H12744" s="2" t="s">
        <v>50613</v>
      </c>
      <c r="I12744" s="2" t="s">
        <v>50614</v>
      </c>
      <c r="K12744" s="2" t="s">
        <v>22865</v>
      </c>
      <c r="L12744" s="2" t="s">
        <v>214</v>
      </c>
      <c r="M12744" s="2">
        <v>63112.0</v>
      </c>
      <c r="N12744" s="2" t="s">
        <v>21</v>
      </c>
    </row>
    <row r="12745" ht="15.75" customHeight="1">
      <c r="A12745" s="2">
        <v>2020.0</v>
      </c>
      <c r="B12745" s="2" t="s">
        <v>50615</v>
      </c>
      <c r="C12745" s="2" t="s">
        <v>50616</v>
      </c>
      <c r="D12745" s="2" t="str">
        <f>"6266290530"</f>
        <v>6266290530</v>
      </c>
      <c r="E12745" s="2" t="s">
        <v>11981</v>
      </c>
      <c r="F12745" s="2" t="s">
        <v>41174</v>
      </c>
      <c r="G12745" s="2" t="str">
        <f>"SR-17928"</f>
        <v>SR-17928</v>
      </c>
      <c r="H12745" s="2" t="s">
        <v>50617</v>
      </c>
      <c r="I12745" s="2" t="s">
        <v>41176</v>
      </c>
      <c r="K12745" s="2" t="s">
        <v>7320</v>
      </c>
      <c r="L12745" s="2" t="s">
        <v>222</v>
      </c>
      <c r="M12745" s="2">
        <v>91740.0</v>
      </c>
      <c r="N12745" s="2" t="s">
        <v>21</v>
      </c>
    </row>
    <row r="12746" ht="15.75" customHeight="1">
      <c r="A12746" s="2">
        <v>2020.0</v>
      </c>
      <c r="B12746" s="2" t="s">
        <v>50618</v>
      </c>
      <c r="C12746" s="2" t="s">
        <v>50618</v>
      </c>
      <c r="D12746" s="2" t="str">
        <f>"(864)986-2064"</f>
        <v>(864)986-2064</v>
      </c>
      <c r="E12746" s="2" t="s">
        <v>373</v>
      </c>
      <c r="F12746" s="2" t="s">
        <v>12872</v>
      </c>
      <c r="G12746" s="2" t="str">
        <f>"SR-18068"</f>
        <v>SR-18068</v>
      </c>
      <c r="H12746" s="2" t="s">
        <v>50619</v>
      </c>
      <c r="I12746" s="2" t="s">
        <v>50620</v>
      </c>
      <c r="K12746" s="2" t="s">
        <v>19801</v>
      </c>
      <c r="L12746" s="2" t="s">
        <v>55</v>
      </c>
      <c r="M12746" s="2">
        <v>29642.0</v>
      </c>
      <c r="N12746" s="2" t="s">
        <v>21</v>
      </c>
    </row>
    <row r="12747" ht="15.75" customHeight="1">
      <c r="A12747" s="2">
        <v>2020.0</v>
      </c>
      <c r="B12747" s="2" t="s">
        <v>50621</v>
      </c>
      <c r="C12747" s="2" t="s">
        <v>50621</v>
      </c>
      <c r="D12747" s="2" t="str">
        <f>"7794233025"</f>
        <v>7794233025</v>
      </c>
      <c r="E12747" s="2" t="s">
        <v>261</v>
      </c>
      <c r="F12747" s="2" t="s">
        <v>50622</v>
      </c>
      <c r="G12747" s="2" t="str">
        <f>"SR-17934"</f>
        <v>SR-17934</v>
      </c>
      <c r="H12747" s="2" t="s">
        <v>50623</v>
      </c>
      <c r="I12747" s="2" t="s">
        <v>50624</v>
      </c>
      <c r="K12747" s="2" t="s">
        <v>382</v>
      </c>
      <c r="L12747" s="2" t="s">
        <v>105</v>
      </c>
      <c r="M12747" s="2">
        <v>61109.0</v>
      </c>
      <c r="N12747" s="2" t="s">
        <v>21</v>
      </c>
    </row>
    <row r="12748" ht="15.75" customHeight="1">
      <c r="A12748" s="2">
        <v>2020.0</v>
      </c>
      <c r="B12748" s="2" t="s">
        <v>50625</v>
      </c>
      <c r="C12748" s="2" t="s">
        <v>50626</v>
      </c>
      <c r="D12748" s="2" t="str">
        <f>"5172560068"</f>
        <v>5172560068</v>
      </c>
      <c r="E12748" s="2" t="s">
        <v>45326</v>
      </c>
      <c r="F12748" s="2" t="s">
        <v>34521</v>
      </c>
      <c r="G12748" s="2" t="str">
        <f>"SR-18044"</f>
        <v>SR-18044</v>
      </c>
      <c r="H12748" s="2" t="s">
        <v>45327</v>
      </c>
      <c r="I12748" s="2" t="s">
        <v>50627</v>
      </c>
      <c r="K12748" s="2" t="s">
        <v>34290</v>
      </c>
      <c r="L12748" s="2" t="s">
        <v>29</v>
      </c>
      <c r="M12748" s="2">
        <v>48823.0</v>
      </c>
      <c r="N12748" s="2" t="s">
        <v>21</v>
      </c>
    </row>
    <row r="12749" ht="15.75" customHeight="1">
      <c r="A12749" s="2">
        <v>2020.0</v>
      </c>
      <c r="B12749" s="2" t="s">
        <v>50628</v>
      </c>
      <c r="C12749" s="2" t="s">
        <v>50629</v>
      </c>
      <c r="D12749" s="2" t="str">
        <f>"1-312-231-3401"</f>
        <v>1-312-231-3401</v>
      </c>
      <c r="E12749" s="2" t="s">
        <v>428</v>
      </c>
      <c r="F12749" s="2" t="s">
        <v>2449</v>
      </c>
      <c r="G12749" s="2" t="str">
        <f>"SR-18016"</f>
        <v>SR-18016</v>
      </c>
      <c r="H12749" s="2" t="s">
        <v>50630</v>
      </c>
      <c r="I12749" s="2" t="s">
        <v>50631</v>
      </c>
      <c r="K12749" s="2" t="s">
        <v>27461</v>
      </c>
      <c r="L12749" s="2" t="s">
        <v>1012</v>
      </c>
      <c r="M12749" s="2">
        <v>71901.0</v>
      </c>
      <c r="N12749" s="2" t="s">
        <v>21</v>
      </c>
    </row>
    <row r="12750" ht="15.75" customHeight="1">
      <c r="A12750" s="2">
        <v>2020.0</v>
      </c>
      <c r="B12750" s="2" t="s">
        <v>50632</v>
      </c>
      <c r="C12750" s="2" t="s">
        <v>50633</v>
      </c>
      <c r="D12750" s="2" t="str">
        <f>"7632689024"</f>
        <v>7632689024</v>
      </c>
      <c r="E12750" s="2" t="s">
        <v>50634</v>
      </c>
      <c r="F12750" s="2" t="s">
        <v>50635</v>
      </c>
      <c r="G12750" s="2" t="str">
        <f>"SR-18071"</f>
        <v>SR-18071</v>
      </c>
      <c r="H12750" s="2" t="s">
        <v>50636</v>
      </c>
      <c r="I12750" s="2" t="s">
        <v>50637</v>
      </c>
      <c r="K12750" s="2" t="s">
        <v>50638</v>
      </c>
      <c r="L12750" s="2" t="s">
        <v>62</v>
      </c>
      <c r="M12750" s="2">
        <v>55416.0</v>
      </c>
      <c r="N12750" s="2" t="s">
        <v>21</v>
      </c>
    </row>
    <row r="12751" ht="15.75" customHeight="1">
      <c r="A12751" s="2">
        <v>2020.0</v>
      </c>
      <c r="B12751" s="2" t="s">
        <v>50639</v>
      </c>
      <c r="C12751" s="2" t="s">
        <v>50640</v>
      </c>
      <c r="D12751" s="2" t="str">
        <f>"2606090277"</f>
        <v>2606090277</v>
      </c>
      <c r="E12751" s="2" t="s">
        <v>705</v>
      </c>
      <c r="F12751" s="2" t="s">
        <v>9463</v>
      </c>
      <c r="G12751" s="2" t="str">
        <f>"SR-18072"</f>
        <v>SR-18072</v>
      </c>
      <c r="H12751" s="2" t="s">
        <v>50641</v>
      </c>
      <c r="I12751" s="2" t="s">
        <v>50642</v>
      </c>
      <c r="K12751" s="2" t="s">
        <v>4298</v>
      </c>
      <c r="L12751" s="2" t="s">
        <v>149</v>
      </c>
      <c r="M12751" s="2">
        <v>46814.0</v>
      </c>
      <c r="N12751" s="2" t="s">
        <v>21</v>
      </c>
    </row>
    <row r="12752" ht="15.75" customHeight="1">
      <c r="A12752" s="2">
        <v>2020.0</v>
      </c>
      <c r="B12752" s="2" t="s">
        <v>50639</v>
      </c>
      <c r="C12752" s="2" t="s">
        <v>50643</v>
      </c>
      <c r="D12752" s="2" t="str">
        <f>"2606090276"</f>
        <v>2606090276</v>
      </c>
      <c r="E12752" s="2" t="s">
        <v>778</v>
      </c>
      <c r="F12752" s="2" t="s">
        <v>9463</v>
      </c>
      <c r="G12752" s="2" t="str">
        <f>"SR-18074"</f>
        <v>SR-18074</v>
      </c>
      <c r="H12752" s="2" t="s">
        <v>50644</v>
      </c>
      <c r="I12752" s="2" t="s">
        <v>50642</v>
      </c>
      <c r="K12752" s="2" t="s">
        <v>4298</v>
      </c>
      <c r="L12752" s="2" t="s">
        <v>149</v>
      </c>
      <c r="M12752" s="2">
        <v>46814.0</v>
      </c>
      <c r="N12752" s="2" t="s">
        <v>21</v>
      </c>
    </row>
    <row r="12753" ht="15.75" customHeight="1">
      <c r="A12753" s="2">
        <v>2020.0</v>
      </c>
      <c r="B12753" s="2" t="s">
        <v>50645</v>
      </c>
      <c r="C12753" s="2" t="s">
        <v>50646</v>
      </c>
      <c r="D12753" s="2" t="str">
        <f>"832-774-8297"</f>
        <v>832-774-8297</v>
      </c>
      <c r="E12753" s="2" t="s">
        <v>596</v>
      </c>
      <c r="F12753" s="2" t="s">
        <v>5300</v>
      </c>
      <c r="G12753" s="2" t="str">
        <f>"SR-17692"</f>
        <v>SR-17692</v>
      </c>
      <c r="H12753" s="2" t="s">
        <v>50647</v>
      </c>
      <c r="I12753" s="2" t="s">
        <v>50648</v>
      </c>
      <c r="K12753" s="2" t="s">
        <v>6499</v>
      </c>
      <c r="L12753" s="2" t="s">
        <v>172</v>
      </c>
      <c r="M12753" s="2">
        <v>77494.0</v>
      </c>
      <c r="N12753" s="2" t="s">
        <v>21</v>
      </c>
    </row>
    <row r="12754" ht="15.75" customHeight="1">
      <c r="A12754" s="2">
        <v>2020.0</v>
      </c>
      <c r="B12754" s="2" t="s">
        <v>50649</v>
      </c>
      <c r="C12754" s="2" t="s">
        <v>50649</v>
      </c>
      <c r="D12754" s="2" t="str">
        <f>"260 336 4737"</f>
        <v>260 336 4737</v>
      </c>
      <c r="E12754" s="2" t="s">
        <v>23409</v>
      </c>
      <c r="F12754" s="2" t="s">
        <v>50650</v>
      </c>
      <c r="G12754" s="2" t="str">
        <f>"SR-18079"</f>
        <v>SR-18079</v>
      </c>
      <c r="H12754" s="2" t="s">
        <v>50651</v>
      </c>
      <c r="I12754" s="2" t="s">
        <v>50652</v>
      </c>
      <c r="K12754" s="2" t="s">
        <v>50653</v>
      </c>
      <c r="L12754" s="2" t="s">
        <v>149</v>
      </c>
      <c r="M12754" s="2">
        <v>46761.0</v>
      </c>
      <c r="N12754" s="2" t="s">
        <v>21</v>
      </c>
    </row>
    <row r="12755" ht="15.75" customHeight="1">
      <c r="A12755" s="2">
        <v>2020.0</v>
      </c>
      <c r="B12755" s="2" t="s">
        <v>23321</v>
      </c>
      <c r="C12755" s="2" t="s">
        <v>50654</v>
      </c>
      <c r="D12755" s="2" t="str">
        <f>"620-272-9671"</f>
        <v>620-272-9671</v>
      </c>
      <c r="E12755" s="2" t="s">
        <v>9513</v>
      </c>
      <c r="F12755" s="2" t="s">
        <v>23323</v>
      </c>
      <c r="G12755" s="2" t="str">
        <f>"SR-18080"</f>
        <v>SR-18080</v>
      </c>
      <c r="H12755" s="2" t="s">
        <v>50655</v>
      </c>
      <c r="I12755" s="2" t="s">
        <v>50656</v>
      </c>
      <c r="K12755" s="2" t="s">
        <v>1583</v>
      </c>
      <c r="L12755" s="2" t="s">
        <v>272</v>
      </c>
      <c r="M12755" s="2">
        <v>67846.0</v>
      </c>
      <c r="N12755" s="2" t="s">
        <v>21</v>
      </c>
    </row>
    <row r="12756" ht="15.75" customHeight="1">
      <c r="A12756" s="2">
        <v>2020.0</v>
      </c>
      <c r="B12756" s="2" t="s">
        <v>50657</v>
      </c>
      <c r="C12756" s="2" t="s">
        <v>50658</v>
      </c>
      <c r="D12756" s="2" t="str">
        <f>"3193508080"</f>
        <v>3193508080</v>
      </c>
      <c r="E12756" s="2" t="s">
        <v>50659</v>
      </c>
      <c r="F12756" s="2" t="s">
        <v>50660</v>
      </c>
      <c r="G12756" s="2" t="str">
        <f>"SR-18082"</f>
        <v>SR-18082</v>
      </c>
      <c r="H12756" s="2" t="s">
        <v>50661</v>
      </c>
      <c r="I12756" s="2" t="s">
        <v>50662</v>
      </c>
      <c r="K12756" s="2" t="s">
        <v>8938</v>
      </c>
      <c r="L12756" s="2" t="s">
        <v>560</v>
      </c>
      <c r="M12756" s="2">
        <v>52214.0</v>
      </c>
      <c r="N12756" s="2" t="s">
        <v>21</v>
      </c>
    </row>
    <row r="12757" ht="15.75" customHeight="1">
      <c r="A12757" s="2">
        <v>2020.0</v>
      </c>
      <c r="B12757" s="2" t="s">
        <v>50663</v>
      </c>
      <c r="C12757" s="2" t="s">
        <v>50664</v>
      </c>
      <c r="D12757" s="2" t="str">
        <f>"5072265779"</f>
        <v>5072265779</v>
      </c>
      <c r="E12757" s="2" t="s">
        <v>1803</v>
      </c>
      <c r="F12757" s="2" t="s">
        <v>50665</v>
      </c>
      <c r="G12757" s="2" t="str">
        <f>"SR-18083"</f>
        <v>SR-18083</v>
      </c>
      <c r="H12757" s="2" t="s">
        <v>50666</v>
      </c>
      <c r="I12757" s="2" t="s">
        <v>50667</v>
      </c>
      <c r="K12757" s="2" t="s">
        <v>2804</v>
      </c>
      <c r="L12757" s="2" t="s">
        <v>62</v>
      </c>
      <c r="M12757" s="2">
        <v>55906.0</v>
      </c>
      <c r="N12757" s="2" t="s">
        <v>21</v>
      </c>
    </row>
    <row r="12758" ht="15.75" customHeight="1">
      <c r="A12758" s="2">
        <v>2020.0</v>
      </c>
      <c r="B12758" s="2" t="s">
        <v>50668</v>
      </c>
      <c r="C12758" s="2" t="s">
        <v>50669</v>
      </c>
      <c r="D12758" s="2" t="str">
        <f>"2097408714"</f>
        <v>2097408714</v>
      </c>
      <c r="E12758" s="2" t="s">
        <v>705</v>
      </c>
      <c r="F12758" s="2" t="s">
        <v>50670</v>
      </c>
      <c r="G12758" s="2" t="str">
        <f>"SR-18086"</f>
        <v>SR-18086</v>
      </c>
      <c r="H12758" s="2" t="s">
        <v>50671</v>
      </c>
      <c r="I12758" s="2" t="s">
        <v>50672</v>
      </c>
      <c r="K12758" s="2" t="s">
        <v>10273</v>
      </c>
      <c r="L12758" s="2" t="s">
        <v>222</v>
      </c>
      <c r="M12758" s="2">
        <v>95366.0</v>
      </c>
      <c r="N12758" s="2" t="s">
        <v>21</v>
      </c>
    </row>
    <row r="12759" ht="15.75" customHeight="1">
      <c r="A12759" s="2">
        <v>2020.0</v>
      </c>
      <c r="B12759" s="2" t="s">
        <v>50673</v>
      </c>
      <c r="C12759" s="2" t="s">
        <v>50674</v>
      </c>
      <c r="D12759" s="2" t="str">
        <f>"979-820-3222"</f>
        <v>979-820-3222</v>
      </c>
      <c r="E12759" s="2" t="s">
        <v>2167</v>
      </c>
      <c r="F12759" s="2" t="s">
        <v>1311</v>
      </c>
      <c r="G12759" s="2" t="str">
        <f>"SR-18090"</f>
        <v>SR-18090</v>
      </c>
      <c r="H12759" s="2" t="s">
        <v>50675</v>
      </c>
      <c r="I12759" s="2" t="s">
        <v>50676</v>
      </c>
      <c r="K12759" s="2" t="s">
        <v>2969</v>
      </c>
      <c r="L12759" s="2" t="s">
        <v>172</v>
      </c>
      <c r="M12759" s="2">
        <v>77845.0</v>
      </c>
      <c r="N12759" s="2" t="s">
        <v>21</v>
      </c>
    </row>
    <row r="12760" ht="15.75" customHeight="1">
      <c r="A12760" s="2">
        <v>2020.0</v>
      </c>
      <c r="B12760" s="2" t="s">
        <v>50677</v>
      </c>
      <c r="C12760" s="2" t="s">
        <v>50677</v>
      </c>
      <c r="D12760" s="2" t="str">
        <f>"6126700730"</f>
        <v>6126700730</v>
      </c>
      <c r="E12760" s="2" t="s">
        <v>47481</v>
      </c>
      <c r="F12760" s="2" t="s">
        <v>4148</v>
      </c>
      <c r="G12760" s="2" t="str">
        <f>"SR-18091"</f>
        <v>SR-18091</v>
      </c>
      <c r="H12760" s="2" t="s">
        <v>50678</v>
      </c>
      <c r="I12760" s="2" t="s">
        <v>50679</v>
      </c>
      <c r="K12760" s="2" t="s">
        <v>1991</v>
      </c>
      <c r="L12760" s="2" t="s">
        <v>62</v>
      </c>
      <c r="M12760" s="2">
        <v>55304.0</v>
      </c>
      <c r="N12760" s="2" t="s">
        <v>21</v>
      </c>
    </row>
    <row r="12761" ht="15.75" customHeight="1">
      <c r="A12761" s="2">
        <v>2020.0</v>
      </c>
      <c r="B12761" s="2" t="s">
        <v>23108</v>
      </c>
      <c r="C12761" s="2" t="s">
        <v>50680</v>
      </c>
      <c r="D12761" s="2" t="str">
        <f>"469-703-3232"</f>
        <v>469-703-3232</v>
      </c>
      <c r="E12761" s="2" t="s">
        <v>13107</v>
      </c>
      <c r="F12761" s="2" t="s">
        <v>4281</v>
      </c>
      <c r="G12761" s="2" t="str">
        <f>"SR-18092"</f>
        <v>SR-18092</v>
      </c>
      <c r="H12761" s="2" t="s">
        <v>50681</v>
      </c>
      <c r="I12761" s="2" t="s">
        <v>50682</v>
      </c>
      <c r="K12761" s="2" t="s">
        <v>1646</v>
      </c>
      <c r="L12761" s="2" t="s">
        <v>560</v>
      </c>
      <c r="M12761" s="2">
        <v>52060.0</v>
      </c>
      <c r="N12761" s="2" t="s">
        <v>21</v>
      </c>
    </row>
    <row r="12762" ht="15.75" customHeight="1">
      <c r="A12762" s="2">
        <v>2020.0</v>
      </c>
      <c r="B12762" s="2" t="s">
        <v>50683</v>
      </c>
      <c r="D12762" s="2" t="str">
        <f>""</f>
        <v/>
      </c>
      <c r="E12762" s="2" t="s">
        <v>2031</v>
      </c>
      <c r="F12762" s="2" t="s">
        <v>50684</v>
      </c>
      <c r="G12762" s="2" t="str">
        <f>"SR-16993"</f>
        <v>SR-16993</v>
      </c>
      <c r="H12762" s="2" t="s">
        <v>50685</v>
      </c>
    </row>
    <row r="12763" ht="15.75" customHeight="1">
      <c r="A12763" s="2">
        <v>2020.0</v>
      </c>
      <c r="B12763" s="2" t="s">
        <v>50686</v>
      </c>
      <c r="C12763" s="2" t="s">
        <v>50687</v>
      </c>
      <c r="D12763" s="2" t="str">
        <f>"214-616-5557"</f>
        <v>214-616-5557</v>
      </c>
      <c r="E12763" s="2" t="s">
        <v>25057</v>
      </c>
      <c r="F12763" s="2" t="s">
        <v>50688</v>
      </c>
      <c r="G12763" s="2" t="str">
        <f>"SR-18095"</f>
        <v>SR-18095</v>
      </c>
      <c r="H12763" s="2" t="s">
        <v>50689</v>
      </c>
      <c r="I12763" s="2" t="s">
        <v>50690</v>
      </c>
      <c r="K12763" s="2" t="s">
        <v>171</v>
      </c>
      <c r="L12763" s="2" t="s">
        <v>172</v>
      </c>
      <c r="M12763" s="2">
        <v>75010.0</v>
      </c>
      <c r="N12763" s="2" t="s">
        <v>21</v>
      </c>
    </row>
    <row r="12764" ht="15.75" customHeight="1">
      <c r="A12764" s="2">
        <v>2020.0</v>
      </c>
      <c r="B12764" s="2" t="s">
        <v>50691</v>
      </c>
      <c r="D12764" s="2" t="str">
        <f>""</f>
        <v/>
      </c>
      <c r="E12764" s="2" t="s">
        <v>50692</v>
      </c>
      <c r="F12764" s="2" t="s">
        <v>31483</v>
      </c>
      <c r="G12764" s="2" t="str">
        <f>"SR-18094"</f>
        <v>SR-18094</v>
      </c>
      <c r="H12764" s="2" t="s">
        <v>50693</v>
      </c>
      <c r="N12764" s="2" t="s">
        <v>21</v>
      </c>
    </row>
    <row r="12765" ht="15.75" customHeight="1">
      <c r="A12765" s="2">
        <v>2020.0</v>
      </c>
      <c r="B12765" s="2" t="s">
        <v>50694</v>
      </c>
      <c r="C12765" s="2" t="s">
        <v>50694</v>
      </c>
      <c r="D12765" s="2" t="str">
        <f>"4145445540"</f>
        <v>4145445540</v>
      </c>
      <c r="E12765" s="2" t="s">
        <v>2158</v>
      </c>
      <c r="F12765" s="2" t="s">
        <v>23843</v>
      </c>
      <c r="G12765" s="2" t="str">
        <f>"SR-18096"</f>
        <v>SR-18096</v>
      </c>
      <c r="H12765" s="2" t="s">
        <v>50695</v>
      </c>
      <c r="I12765" s="2" t="s">
        <v>50696</v>
      </c>
      <c r="K12765" s="2" t="s">
        <v>50697</v>
      </c>
      <c r="L12765" s="2" t="s">
        <v>193</v>
      </c>
      <c r="M12765" s="2">
        <v>53051.0</v>
      </c>
      <c r="N12765" s="2" t="s">
        <v>21</v>
      </c>
    </row>
    <row r="12766" ht="15.75" customHeight="1">
      <c r="A12766" s="2">
        <v>2020.0</v>
      </c>
      <c r="B12766" s="2" t="s">
        <v>50698</v>
      </c>
      <c r="C12766" s="2" t="s">
        <v>50699</v>
      </c>
      <c r="D12766" s="2" t="str">
        <f>"7194938851"</f>
        <v>7194938851</v>
      </c>
      <c r="E12766" s="2" t="s">
        <v>10753</v>
      </c>
      <c r="F12766" s="2" t="s">
        <v>1151</v>
      </c>
      <c r="G12766" s="2" t="str">
        <f>"SR-18027"</f>
        <v>SR-18027</v>
      </c>
      <c r="H12766" s="2" t="s">
        <v>50700</v>
      </c>
      <c r="I12766" s="2" t="s">
        <v>50701</v>
      </c>
      <c r="K12766" s="2" t="s">
        <v>809</v>
      </c>
      <c r="L12766" s="2" t="s">
        <v>157</v>
      </c>
      <c r="M12766" s="2">
        <v>80908.0</v>
      </c>
      <c r="N12766" s="2" t="s">
        <v>21</v>
      </c>
    </row>
    <row r="12767" ht="15.75" customHeight="1">
      <c r="A12767" s="2">
        <v>2020.0</v>
      </c>
      <c r="B12767" s="2" t="s">
        <v>50702</v>
      </c>
      <c r="C12767" s="2" t="s">
        <v>50703</v>
      </c>
      <c r="D12767" s="2" t="str">
        <f>"4236508344"</f>
        <v>4236508344</v>
      </c>
      <c r="E12767" s="2" t="s">
        <v>1434</v>
      </c>
      <c r="F12767" s="2" t="s">
        <v>1001</v>
      </c>
      <c r="G12767" s="2" t="str">
        <f>"SR-17656"</f>
        <v>SR-17656</v>
      </c>
      <c r="H12767" s="2" t="s">
        <v>50704</v>
      </c>
      <c r="I12767" s="2" t="s">
        <v>50705</v>
      </c>
      <c r="K12767" s="2" t="s">
        <v>43930</v>
      </c>
      <c r="L12767" s="2" t="s">
        <v>1419</v>
      </c>
      <c r="M12767" s="2">
        <v>89521.0</v>
      </c>
      <c r="N12767" s="2" t="s">
        <v>21</v>
      </c>
    </row>
    <row r="12768" ht="15.75" customHeight="1">
      <c r="A12768" s="2">
        <v>2020.0</v>
      </c>
      <c r="B12768" s="2" t="s">
        <v>50706</v>
      </c>
      <c r="C12768" s="2" t="s">
        <v>50706</v>
      </c>
      <c r="D12768" s="2" t="str">
        <f>"763-607-1774"</f>
        <v>763-607-1774</v>
      </c>
      <c r="E12768" s="2" t="s">
        <v>10825</v>
      </c>
      <c r="F12768" s="2" t="s">
        <v>6655</v>
      </c>
      <c r="G12768" s="2" t="str">
        <f>"SR-18087"</f>
        <v>SR-18087</v>
      </c>
      <c r="H12768" s="2" t="s">
        <v>50707</v>
      </c>
      <c r="I12768" s="2" t="s">
        <v>50708</v>
      </c>
      <c r="K12768" s="2" t="s">
        <v>3420</v>
      </c>
      <c r="L12768" s="2" t="s">
        <v>62</v>
      </c>
      <c r="M12768" s="2">
        <v>55008.0</v>
      </c>
      <c r="N12768" s="2" t="s">
        <v>21</v>
      </c>
    </row>
    <row r="12769" ht="15.75" customHeight="1">
      <c r="A12769" s="2">
        <v>2020.0</v>
      </c>
      <c r="B12769" s="2" t="s">
        <v>50709</v>
      </c>
      <c r="C12769" s="2" t="s">
        <v>50710</v>
      </c>
      <c r="D12769" s="2" t="str">
        <f>"(731)616-0160"</f>
        <v>(731)616-0160</v>
      </c>
      <c r="E12769" s="2" t="s">
        <v>1440</v>
      </c>
      <c r="F12769" s="2" t="s">
        <v>50711</v>
      </c>
      <c r="G12769" s="2" t="str">
        <f>"SR-18097"</f>
        <v>SR-18097</v>
      </c>
      <c r="H12769" s="2" t="s">
        <v>50712</v>
      </c>
      <c r="I12769" s="2" t="s">
        <v>50713</v>
      </c>
      <c r="K12769" s="2" t="s">
        <v>1257</v>
      </c>
      <c r="L12769" s="2" t="s">
        <v>279</v>
      </c>
      <c r="M12769" s="2">
        <v>38305.0</v>
      </c>
      <c r="N12769" s="2" t="s">
        <v>21</v>
      </c>
    </row>
    <row r="12770" ht="15.75" customHeight="1">
      <c r="A12770" s="2">
        <v>2020.0</v>
      </c>
      <c r="B12770" s="2" t="s">
        <v>50714</v>
      </c>
      <c r="C12770" s="2" t="s">
        <v>50715</v>
      </c>
      <c r="D12770" s="2" t="str">
        <f>"9793834324"</f>
        <v>9793834324</v>
      </c>
      <c r="E12770" s="2" t="s">
        <v>50716</v>
      </c>
      <c r="F12770" s="2" t="s">
        <v>472</v>
      </c>
      <c r="G12770" s="2" t="str">
        <f>"SR-18098"</f>
        <v>SR-18098</v>
      </c>
      <c r="H12770" s="2" t="s">
        <v>50717</v>
      </c>
      <c r="I12770" s="2" t="s">
        <v>50718</v>
      </c>
      <c r="K12770" s="2" t="s">
        <v>1190</v>
      </c>
      <c r="L12770" s="2" t="s">
        <v>172</v>
      </c>
      <c r="M12770" s="2">
        <v>77808.0</v>
      </c>
      <c r="N12770" s="2" t="s">
        <v>21</v>
      </c>
    </row>
    <row r="12771" ht="15.75" customHeight="1">
      <c r="A12771" s="2">
        <v>2020.0</v>
      </c>
      <c r="B12771" s="2" t="s">
        <v>50719</v>
      </c>
      <c r="C12771" s="2" t="s">
        <v>50720</v>
      </c>
      <c r="D12771" s="2" t="str">
        <f>"5405386478"</f>
        <v>5405386478</v>
      </c>
      <c r="E12771" s="2" t="s">
        <v>2572</v>
      </c>
      <c r="F12771" s="2" t="s">
        <v>38446</v>
      </c>
      <c r="G12771" s="2" t="str">
        <f>"SR-18099"</f>
        <v>SR-18099</v>
      </c>
      <c r="H12771" s="2" t="s">
        <v>50721</v>
      </c>
      <c r="I12771" s="2" t="s">
        <v>38448</v>
      </c>
      <c r="K12771" s="2" t="s">
        <v>38449</v>
      </c>
      <c r="L12771" s="2" t="s">
        <v>165</v>
      </c>
      <c r="M12771" s="2">
        <v>22553.0</v>
      </c>
      <c r="N12771" s="2" t="s">
        <v>21</v>
      </c>
    </row>
    <row r="12772" ht="15.75" customHeight="1">
      <c r="A12772" s="2">
        <v>2020.0</v>
      </c>
      <c r="B12772" s="2" t="s">
        <v>50722</v>
      </c>
      <c r="D12772" s="2" t="str">
        <f>""</f>
        <v/>
      </c>
      <c r="E12772" s="2" t="s">
        <v>590</v>
      </c>
      <c r="F12772" s="2" t="s">
        <v>962</v>
      </c>
      <c r="G12772" s="2" t="str">
        <f>"SR-18049"</f>
        <v>SR-18049</v>
      </c>
      <c r="H12772" s="2" t="s">
        <v>40052</v>
      </c>
      <c r="N12772" s="2" t="s">
        <v>21</v>
      </c>
    </row>
    <row r="12773" ht="15.75" customHeight="1">
      <c r="A12773" s="2">
        <v>2020.0</v>
      </c>
      <c r="B12773" s="2" t="s">
        <v>50723</v>
      </c>
      <c r="C12773" s="2" t="s">
        <v>50724</v>
      </c>
      <c r="D12773" s="2" t="str">
        <f>"720-841-9598"</f>
        <v>720-841-9598</v>
      </c>
      <c r="E12773" s="2" t="s">
        <v>11478</v>
      </c>
      <c r="F12773" s="2" t="s">
        <v>690</v>
      </c>
      <c r="G12773" s="2" t="str">
        <f>"SR-17497"</f>
        <v>SR-17497</v>
      </c>
      <c r="H12773" s="2" t="s">
        <v>50725</v>
      </c>
      <c r="I12773" s="2" t="s">
        <v>50726</v>
      </c>
      <c r="K12773" s="2" t="s">
        <v>6915</v>
      </c>
      <c r="L12773" s="2" t="s">
        <v>157</v>
      </c>
      <c r="M12773" s="2">
        <v>80031.0</v>
      </c>
      <c r="N12773" s="2" t="s">
        <v>21</v>
      </c>
    </row>
    <row r="12774" ht="15.75" customHeight="1">
      <c r="A12774" s="2">
        <v>2020.0</v>
      </c>
      <c r="B12774" s="2" t="s">
        <v>50723</v>
      </c>
      <c r="C12774" s="2" t="s">
        <v>50727</v>
      </c>
      <c r="D12774" s="2" t="str">
        <f>"303-464-9006"</f>
        <v>303-464-9006</v>
      </c>
      <c r="E12774" s="2" t="s">
        <v>50728</v>
      </c>
      <c r="F12774" s="2" t="s">
        <v>690</v>
      </c>
      <c r="G12774" s="2" t="str">
        <f>"SR-17498"</f>
        <v>SR-17498</v>
      </c>
      <c r="H12774" s="2" t="s">
        <v>50729</v>
      </c>
      <c r="I12774" s="2" t="s">
        <v>50726</v>
      </c>
      <c r="K12774" s="2" t="s">
        <v>6915</v>
      </c>
      <c r="L12774" s="2" t="s">
        <v>157</v>
      </c>
      <c r="M12774" s="2">
        <v>80031.0</v>
      </c>
      <c r="N12774" s="2" t="s">
        <v>21</v>
      </c>
    </row>
    <row r="12775" ht="15.75" customHeight="1">
      <c r="A12775" s="2">
        <v>2020.0</v>
      </c>
      <c r="B12775" s="2" t="s">
        <v>50730</v>
      </c>
      <c r="C12775" s="2" t="s">
        <v>50731</v>
      </c>
      <c r="D12775" s="2" t="str">
        <f>"612-751-7106"</f>
        <v>612-751-7106</v>
      </c>
      <c r="E12775" s="2" t="s">
        <v>1208</v>
      </c>
      <c r="F12775" s="2" t="s">
        <v>50732</v>
      </c>
      <c r="G12775" s="2" t="str">
        <f>"SR-18104"</f>
        <v>SR-18104</v>
      </c>
      <c r="H12775" s="2" t="s">
        <v>50733</v>
      </c>
      <c r="I12775" s="2" t="s">
        <v>50734</v>
      </c>
      <c r="K12775" s="2" t="s">
        <v>4770</v>
      </c>
      <c r="L12775" s="2" t="s">
        <v>62</v>
      </c>
      <c r="M12775" s="2">
        <v>55315.0</v>
      </c>
      <c r="N12775" s="2" t="s">
        <v>21</v>
      </c>
    </row>
    <row r="12776" ht="15.75" customHeight="1">
      <c r="A12776" s="2">
        <v>2020.0</v>
      </c>
      <c r="B12776" s="2" t="s">
        <v>50735</v>
      </c>
      <c r="C12776" s="2" t="s">
        <v>50735</v>
      </c>
      <c r="D12776" s="2" t="str">
        <f>"6513242027"</f>
        <v>6513242027</v>
      </c>
      <c r="E12776" s="2" t="s">
        <v>2752</v>
      </c>
      <c r="F12776" s="2" t="s">
        <v>50736</v>
      </c>
      <c r="G12776" s="2" t="str">
        <f>"SR-18105"</f>
        <v>SR-18105</v>
      </c>
      <c r="H12776" s="2" t="s">
        <v>50737</v>
      </c>
      <c r="I12776" s="2" t="s">
        <v>50738</v>
      </c>
      <c r="K12776" s="2" t="s">
        <v>501</v>
      </c>
      <c r="L12776" s="2" t="s">
        <v>62</v>
      </c>
      <c r="M12776" s="2">
        <v>55123.0</v>
      </c>
      <c r="N12776" s="2" t="s">
        <v>21</v>
      </c>
    </row>
    <row r="12777" ht="15.75" customHeight="1">
      <c r="A12777" s="2">
        <v>2020.0</v>
      </c>
      <c r="B12777" s="2" t="s">
        <v>50730</v>
      </c>
      <c r="C12777" s="2" t="s">
        <v>50739</v>
      </c>
      <c r="D12777" s="2" t="str">
        <f>"612-751-7106"</f>
        <v>612-751-7106</v>
      </c>
      <c r="E12777" s="2" t="s">
        <v>1579</v>
      </c>
      <c r="F12777" s="2" t="s">
        <v>50732</v>
      </c>
      <c r="G12777" s="2" t="str">
        <f>"SR-18107"</f>
        <v>SR-18107</v>
      </c>
      <c r="H12777" s="2" t="s">
        <v>50740</v>
      </c>
      <c r="I12777" s="2" t="s">
        <v>50734</v>
      </c>
      <c r="K12777" s="2" t="s">
        <v>4770</v>
      </c>
      <c r="L12777" s="2" t="s">
        <v>62</v>
      </c>
      <c r="M12777" s="2">
        <v>55315.0</v>
      </c>
      <c r="N12777" s="2" t="s">
        <v>21</v>
      </c>
    </row>
    <row r="12778" ht="15.75" customHeight="1">
      <c r="A12778" s="2">
        <v>2020.0</v>
      </c>
      <c r="B12778" s="2" t="s">
        <v>50741</v>
      </c>
      <c r="C12778" s="2" t="s">
        <v>50742</v>
      </c>
      <c r="D12778" s="2" t="str">
        <f>"952-210-3177"</f>
        <v>952-210-3177</v>
      </c>
      <c r="E12778" s="2" t="s">
        <v>301</v>
      </c>
      <c r="F12778" s="2" t="s">
        <v>23949</v>
      </c>
      <c r="G12778" s="2" t="str">
        <f>"SR-18106"</f>
        <v>SR-18106</v>
      </c>
      <c r="H12778" s="2" t="s">
        <v>50743</v>
      </c>
      <c r="I12778" s="2" t="s">
        <v>50744</v>
      </c>
      <c r="K12778" s="2" t="s">
        <v>37207</v>
      </c>
      <c r="L12778" s="2" t="s">
        <v>62</v>
      </c>
      <c r="M12778" s="2">
        <v>55318.0</v>
      </c>
      <c r="N12778" s="2" t="s">
        <v>21</v>
      </c>
    </row>
    <row r="12779" ht="15.75" customHeight="1">
      <c r="A12779" s="2">
        <v>2020.0</v>
      </c>
      <c r="B12779" s="2" t="s">
        <v>50745</v>
      </c>
      <c r="C12779" s="2" t="s">
        <v>50746</v>
      </c>
      <c r="D12779" s="2" t="str">
        <f>"3202234180"</f>
        <v>3202234180</v>
      </c>
      <c r="E12779" s="2" t="s">
        <v>50747</v>
      </c>
      <c r="F12779" s="2" t="s">
        <v>50748</v>
      </c>
      <c r="G12779" s="2" t="str">
        <f>"SR-18101"</f>
        <v>SR-18101</v>
      </c>
      <c r="H12779" s="2" t="s">
        <v>50749</v>
      </c>
      <c r="I12779" s="2" t="s">
        <v>50750</v>
      </c>
      <c r="K12779" s="2" t="s">
        <v>4020</v>
      </c>
      <c r="L12779" s="2" t="s">
        <v>62</v>
      </c>
      <c r="M12779" s="2">
        <v>55063.0</v>
      </c>
      <c r="N12779" s="2" t="s">
        <v>21</v>
      </c>
    </row>
    <row r="12780" ht="15.75" customHeight="1">
      <c r="A12780" s="2">
        <v>2020.0</v>
      </c>
      <c r="B12780" s="2" t="s">
        <v>26195</v>
      </c>
      <c r="C12780" s="2" t="s">
        <v>50751</v>
      </c>
      <c r="D12780" s="2" t="str">
        <f>"4027698689"</f>
        <v>4027698689</v>
      </c>
      <c r="E12780" s="2" t="s">
        <v>50752</v>
      </c>
      <c r="F12780" s="2" t="s">
        <v>10595</v>
      </c>
      <c r="G12780" s="2" t="str">
        <f>"SR-18109"</f>
        <v>SR-18109</v>
      </c>
      <c r="H12780" s="2" t="s">
        <v>50753</v>
      </c>
      <c r="I12780" s="2" t="s">
        <v>50754</v>
      </c>
      <c r="K12780" s="2" t="s">
        <v>1154</v>
      </c>
      <c r="L12780" s="2" t="s">
        <v>757</v>
      </c>
      <c r="M12780" s="2">
        <v>68003.0</v>
      </c>
      <c r="N12780" s="2" t="s">
        <v>21</v>
      </c>
    </row>
    <row r="12781" ht="15.75" customHeight="1">
      <c r="A12781" s="2">
        <v>2020.0</v>
      </c>
      <c r="B12781" s="2" t="s">
        <v>42047</v>
      </c>
      <c r="C12781" s="2" t="s">
        <v>42048</v>
      </c>
      <c r="D12781" s="2" t="str">
        <f>"509-492-1615"</f>
        <v>509-492-1615</v>
      </c>
      <c r="E12781" s="2" t="s">
        <v>7095</v>
      </c>
      <c r="F12781" s="2" t="s">
        <v>42049</v>
      </c>
      <c r="G12781" s="2" t="str">
        <f>"SR-14581"</f>
        <v>SR-14581</v>
      </c>
      <c r="H12781" s="2" t="s">
        <v>42050</v>
      </c>
      <c r="I12781" s="2" t="s">
        <v>42051</v>
      </c>
      <c r="K12781" s="2" t="s">
        <v>9516</v>
      </c>
      <c r="L12781" s="2" t="s">
        <v>86</v>
      </c>
      <c r="M12781" s="2">
        <v>99301.0</v>
      </c>
      <c r="N12781" s="2" t="s">
        <v>21</v>
      </c>
    </row>
    <row r="12782" ht="15.75" customHeight="1">
      <c r="A12782" s="2">
        <v>2020.0</v>
      </c>
      <c r="B12782" s="2" t="s">
        <v>42047</v>
      </c>
      <c r="C12782" s="2" t="s">
        <v>50755</v>
      </c>
      <c r="D12782" s="2" t="str">
        <f>"509-396-8470"</f>
        <v>509-396-8470</v>
      </c>
      <c r="E12782" s="2" t="s">
        <v>3935</v>
      </c>
      <c r="F12782" s="2" t="s">
        <v>42049</v>
      </c>
      <c r="G12782" s="2" t="str">
        <f>"SR-18110"</f>
        <v>SR-18110</v>
      </c>
      <c r="H12782" s="2" t="s">
        <v>50756</v>
      </c>
      <c r="I12782" s="2" t="s">
        <v>42051</v>
      </c>
      <c r="K12782" s="2" t="s">
        <v>9516</v>
      </c>
      <c r="L12782" s="2" t="s">
        <v>86</v>
      </c>
      <c r="M12782" s="2">
        <v>99301.0</v>
      </c>
      <c r="N12782" s="2" t="s">
        <v>21</v>
      </c>
    </row>
    <row r="12783" ht="15.75" customHeight="1">
      <c r="A12783" s="2">
        <v>2020.0</v>
      </c>
      <c r="B12783" s="2" t="s">
        <v>48309</v>
      </c>
      <c r="C12783" s="2" t="s">
        <v>50757</v>
      </c>
      <c r="D12783" s="2" t="str">
        <f>"719-246-8435"</f>
        <v>719-246-8435</v>
      </c>
      <c r="E12783" s="2" t="s">
        <v>41306</v>
      </c>
      <c r="F12783" s="2" t="s">
        <v>48311</v>
      </c>
      <c r="G12783" s="2" t="str">
        <f>"SR-17992"</f>
        <v>SR-17992</v>
      </c>
      <c r="H12783" s="2" t="s">
        <v>50758</v>
      </c>
      <c r="I12783" s="2" t="s">
        <v>48313</v>
      </c>
      <c r="K12783" s="2" t="s">
        <v>809</v>
      </c>
      <c r="L12783" s="2" t="s">
        <v>157</v>
      </c>
      <c r="M12783" s="2">
        <v>80919.0</v>
      </c>
      <c r="N12783" s="2" t="s">
        <v>21</v>
      </c>
    </row>
    <row r="12784" ht="15.75" customHeight="1">
      <c r="A12784" s="2">
        <v>2020.0</v>
      </c>
      <c r="B12784" s="2" t="s">
        <v>50759</v>
      </c>
      <c r="C12784" s="2" t="s">
        <v>50759</v>
      </c>
      <c r="D12784" s="2" t="str">
        <f>"3198045398"</f>
        <v>3198045398</v>
      </c>
      <c r="E12784" s="2" t="s">
        <v>1278</v>
      </c>
      <c r="F12784" s="2" t="s">
        <v>50760</v>
      </c>
      <c r="G12784" s="2" t="str">
        <f>"SR-18112"</f>
        <v>SR-18112</v>
      </c>
      <c r="H12784" s="2" t="s">
        <v>50761</v>
      </c>
      <c r="I12784" s="2" t="s">
        <v>50762</v>
      </c>
      <c r="K12784" s="2" t="s">
        <v>3493</v>
      </c>
      <c r="L12784" s="2" t="s">
        <v>560</v>
      </c>
      <c r="M12784" s="2">
        <v>52302.0</v>
      </c>
      <c r="N12784" s="2" t="s">
        <v>21</v>
      </c>
    </row>
    <row r="12785" ht="15.75" customHeight="1">
      <c r="A12785" s="2">
        <v>2020.0</v>
      </c>
      <c r="B12785" s="2" t="s">
        <v>24186</v>
      </c>
      <c r="C12785" s="2" t="s">
        <v>41144</v>
      </c>
      <c r="D12785" s="2" t="str">
        <f>"3609813091"</f>
        <v>3609813091</v>
      </c>
      <c r="E12785" s="2" t="s">
        <v>7930</v>
      </c>
      <c r="F12785" s="2" t="s">
        <v>24188</v>
      </c>
      <c r="G12785" s="2" t="str">
        <f>"SR-14149"</f>
        <v>SR-14149</v>
      </c>
      <c r="H12785" s="2" t="s">
        <v>41145</v>
      </c>
      <c r="I12785" s="2" t="s">
        <v>41146</v>
      </c>
      <c r="K12785" s="2" t="s">
        <v>3114</v>
      </c>
      <c r="L12785" s="2" t="s">
        <v>222</v>
      </c>
      <c r="M12785" s="2">
        <v>95765.0</v>
      </c>
      <c r="N12785" s="2" t="s">
        <v>21</v>
      </c>
    </row>
    <row r="12786" ht="15.75" customHeight="1">
      <c r="A12786" s="2">
        <v>2020.0</v>
      </c>
      <c r="B12786" s="2" t="s">
        <v>50763</v>
      </c>
      <c r="C12786" s="2" t="s">
        <v>50764</v>
      </c>
      <c r="D12786" s="2" t="str">
        <f>"4233204478"</f>
        <v>4233204478</v>
      </c>
      <c r="E12786" s="2" t="s">
        <v>261</v>
      </c>
      <c r="F12786" s="2" t="s">
        <v>543</v>
      </c>
      <c r="G12786" s="2" t="str">
        <f>"SR-18116"</f>
        <v>SR-18116</v>
      </c>
      <c r="H12786" s="2" t="s">
        <v>50765</v>
      </c>
      <c r="I12786" s="2" t="s">
        <v>50766</v>
      </c>
      <c r="K12786" s="2" t="s">
        <v>4569</v>
      </c>
      <c r="L12786" s="2" t="s">
        <v>200</v>
      </c>
      <c r="M12786" s="2">
        <v>30736.0</v>
      </c>
      <c r="N12786" s="2" t="s">
        <v>21</v>
      </c>
    </row>
    <row r="12787" ht="15.75" customHeight="1">
      <c r="A12787" s="2">
        <v>2020.0</v>
      </c>
      <c r="B12787" s="2" t="s">
        <v>50767</v>
      </c>
      <c r="C12787" s="2" t="s">
        <v>50767</v>
      </c>
      <c r="D12787" s="2" t="str">
        <f>"442-273-9682"</f>
        <v>442-273-9682</v>
      </c>
      <c r="E12787" s="2" t="s">
        <v>386</v>
      </c>
      <c r="F12787" s="2" t="s">
        <v>11038</v>
      </c>
      <c r="G12787" s="2" t="str">
        <f>"SR-18119"</f>
        <v>SR-18119</v>
      </c>
      <c r="H12787" s="2" t="s">
        <v>50768</v>
      </c>
      <c r="I12787" s="2" t="s">
        <v>50769</v>
      </c>
      <c r="K12787" s="2" t="s">
        <v>50206</v>
      </c>
      <c r="L12787" s="2" t="s">
        <v>222</v>
      </c>
      <c r="M12787" s="2">
        <v>92056.0</v>
      </c>
      <c r="N12787" s="2" t="s">
        <v>21</v>
      </c>
    </row>
    <row r="12788" ht="15.75" customHeight="1">
      <c r="A12788" s="2">
        <v>2020.0</v>
      </c>
      <c r="B12788" s="2" t="s">
        <v>50770</v>
      </c>
      <c r="C12788" s="2" t="s">
        <v>50771</v>
      </c>
      <c r="D12788" s="2" t="str">
        <f>"574-312-3665"</f>
        <v>574-312-3665</v>
      </c>
      <c r="E12788" s="2" t="s">
        <v>705</v>
      </c>
      <c r="F12788" s="2" t="s">
        <v>7508</v>
      </c>
      <c r="G12788" s="2" t="str">
        <f>"SR-17890"</f>
        <v>SR-17890</v>
      </c>
      <c r="H12788" s="2" t="s">
        <v>50772</v>
      </c>
      <c r="I12788" s="2" t="s">
        <v>50773</v>
      </c>
      <c r="K12788" s="2" t="s">
        <v>7248</v>
      </c>
      <c r="L12788" s="2" t="s">
        <v>272</v>
      </c>
      <c r="M12788" s="2">
        <v>46540.0</v>
      </c>
      <c r="N12788" s="2" t="s">
        <v>21</v>
      </c>
    </row>
    <row r="12789" ht="15.75" customHeight="1">
      <c r="A12789" s="2">
        <v>2020.0</v>
      </c>
      <c r="B12789" s="2" t="s">
        <v>50774</v>
      </c>
      <c r="C12789" s="2" t="s">
        <v>50775</v>
      </c>
      <c r="D12789" s="2" t="str">
        <f>"570-265-3085"</f>
        <v>570-265-3085</v>
      </c>
      <c r="E12789" s="2" t="s">
        <v>50776</v>
      </c>
      <c r="F12789" s="2" t="s">
        <v>40709</v>
      </c>
      <c r="G12789" s="2" t="str">
        <f>"SR-18120"</f>
        <v>SR-18120</v>
      </c>
      <c r="H12789" s="2" t="s">
        <v>50777</v>
      </c>
      <c r="I12789" s="2" t="s">
        <v>50778</v>
      </c>
      <c r="K12789" s="2" t="s">
        <v>40712</v>
      </c>
      <c r="L12789" s="2" t="s">
        <v>179</v>
      </c>
      <c r="M12789" s="2">
        <v>18853.0</v>
      </c>
      <c r="N12789" s="2" t="s">
        <v>21</v>
      </c>
    </row>
    <row r="12790" ht="15.75" customHeight="1">
      <c r="A12790" s="2">
        <v>2020.0</v>
      </c>
      <c r="B12790" s="2" t="s">
        <v>50779</v>
      </c>
      <c r="C12790" s="2" t="s">
        <v>50780</v>
      </c>
      <c r="D12790" s="2" t="str">
        <f>"815-709-9432"</f>
        <v>815-709-9432</v>
      </c>
      <c r="E12790" s="2" t="s">
        <v>1208</v>
      </c>
      <c r="F12790" s="2" t="s">
        <v>10840</v>
      </c>
      <c r="G12790" s="2" t="str">
        <f>"SR-18122"</f>
        <v>SR-18122</v>
      </c>
      <c r="H12790" s="2" t="s">
        <v>50781</v>
      </c>
      <c r="I12790" s="2" t="s">
        <v>50782</v>
      </c>
      <c r="K12790" s="2" t="s">
        <v>12153</v>
      </c>
      <c r="L12790" s="2" t="s">
        <v>149</v>
      </c>
      <c r="M12790" s="2">
        <v>47553.0</v>
      </c>
      <c r="N12790" s="2" t="s">
        <v>21</v>
      </c>
    </row>
    <row r="12791" ht="15.75" customHeight="1">
      <c r="A12791" s="2">
        <v>2020.0</v>
      </c>
      <c r="B12791" s="2" t="s">
        <v>42346</v>
      </c>
      <c r="C12791" s="2" t="s">
        <v>50783</v>
      </c>
      <c r="D12791" s="2" t="str">
        <f>"734-546-0738"</f>
        <v>734-546-0738</v>
      </c>
      <c r="E12791" s="2" t="s">
        <v>261</v>
      </c>
      <c r="F12791" s="2" t="s">
        <v>19130</v>
      </c>
      <c r="G12791" s="2" t="str">
        <f>"SR-18066"</f>
        <v>SR-18066</v>
      </c>
      <c r="H12791" s="2" t="s">
        <v>50784</v>
      </c>
      <c r="I12791" s="2" t="s">
        <v>50785</v>
      </c>
      <c r="K12791" s="2" t="s">
        <v>7174</v>
      </c>
      <c r="L12791" s="2" t="s">
        <v>29</v>
      </c>
      <c r="M12791" s="2">
        <v>48130.0</v>
      </c>
      <c r="N12791" s="2" t="s">
        <v>21</v>
      </c>
    </row>
    <row r="12792" ht="15.75" customHeight="1">
      <c r="A12792" s="2">
        <v>2020.0</v>
      </c>
      <c r="B12792" s="2" t="s">
        <v>50786</v>
      </c>
      <c r="C12792" s="2" t="s">
        <v>50786</v>
      </c>
      <c r="D12792" s="2" t="str">
        <f>"(574) 349-4027"</f>
        <v>(574) 349-4027</v>
      </c>
      <c r="E12792" s="2" t="s">
        <v>453</v>
      </c>
      <c r="F12792" s="2" t="s">
        <v>37570</v>
      </c>
      <c r="G12792" s="2" t="str">
        <f>"SR-18125"</f>
        <v>SR-18125</v>
      </c>
      <c r="H12792" s="2" t="s">
        <v>50787</v>
      </c>
      <c r="I12792" s="2" t="s">
        <v>50788</v>
      </c>
      <c r="K12792" s="2" t="s">
        <v>13513</v>
      </c>
      <c r="L12792" s="2" t="s">
        <v>149</v>
      </c>
      <c r="M12792" s="2">
        <v>46528.0</v>
      </c>
      <c r="N12792" s="2" t="s">
        <v>21</v>
      </c>
    </row>
    <row r="12793" ht="15.75" customHeight="1">
      <c r="A12793" s="2">
        <v>2020.0</v>
      </c>
      <c r="B12793" s="2" t="s">
        <v>50789</v>
      </c>
      <c r="C12793" s="2" t="s">
        <v>50790</v>
      </c>
      <c r="D12793" s="2" t="str">
        <f>"9404353085"</f>
        <v>9404353085</v>
      </c>
      <c r="E12793" s="2" t="s">
        <v>2635</v>
      </c>
      <c r="F12793" s="2" t="s">
        <v>465</v>
      </c>
      <c r="G12793" s="2" t="str">
        <f>"SR-18127"</f>
        <v>SR-18127</v>
      </c>
      <c r="H12793" s="2" t="s">
        <v>50791</v>
      </c>
      <c r="I12793" s="2" t="s">
        <v>50792</v>
      </c>
      <c r="K12793" s="2" t="s">
        <v>6539</v>
      </c>
      <c r="L12793" s="2" t="s">
        <v>172</v>
      </c>
      <c r="M12793" s="2">
        <v>76201.0</v>
      </c>
      <c r="N12793" s="2" t="s">
        <v>21</v>
      </c>
    </row>
    <row r="12794" ht="15.75" customHeight="1">
      <c r="A12794" s="2">
        <v>2020.0</v>
      </c>
      <c r="B12794" s="2" t="s">
        <v>50793</v>
      </c>
      <c r="C12794" s="2" t="s">
        <v>50794</v>
      </c>
      <c r="D12794" s="2" t="str">
        <f>"7719-651-6880"</f>
        <v>7719-651-6880</v>
      </c>
      <c r="E12794" s="2" t="s">
        <v>301</v>
      </c>
      <c r="F12794" s="2" t="s">
        <v>50795</v>
      </c>
      <c r="G12794" s="2" t="str">
        <f>"SR-17740"</f>
        <v>SR-17740</v>
      </c>
      <c r="H12794" s="2" t="s">
        <v>50796</v>
      </c>
      <c r="I12794" s="2" t="s">
        <v>50797</v>
      </c>
      <c r="K12794" s="2" t="s">
        <v>809</v>
      </c>
      <c r="L12794" s="2" t="s">
        <v>157</v>
      </c>
      <c r="M12794" s="2">
        <v>80920.0</v>
      </c>
      <c r="N12794" s="2" t="s">
        <v>21</v>
      </c>
    </row>
    <row r="12795" ht="15.75" customHeight="1">
      <c r="A12795" s="2">
        <v>2020.0</v>
      </c>
      <c r="B12795" s="2" t="s">
        <v>3213</v>
      </c>
      <c r="C12795" s="2" t="s">
        <v>50798</v>
      </c>
      <c r="D12795" s="2" t="str">
        <f>"7192668727"</f>
        <v>7192668727</v>
      </c>
      <c r="E12795" s="2" t="s">
        <v>25495</v>
      </c>
      <c r="F12795" s="2" t="s">
        <v>3215</v>
      </c>
      <c r="G12795" s="2" t="str">
        <f>"SR-18123"</f>
        <v>SR-18123</v>
      </c>
      <c r="H12795" s="2" t="s">
        <v>50799</v>
      </c>
      <c r="I12795" s="2" t="s">
        <v>50800</v>
      </c>
      <c r="K12795" s="2" t="s">
        <v>809</v>
      </c>
      <c r="L12795" s="2" t="s">
        <v>157</v>
      </c>
      <c r="M12795" s="2">
        <v>80907.0</v>
      </c>
      <c r="N12795" s="2" t="s">
        <v>21</v>
      </c>
    </row>
    <row r="12796" ht="15.75" customHeight="1">
      <c r="A12796" s="2">
        <v>2020.0</v>
      </c>
      <c r="B12796" s="2" t="s">
        <v>50801</v>
      </c>
      <c r="C12796" s="2" t="s">
        <v>50802</v>
      </c>
      <c r="D12796" s="2" t="str">
        <f>"7192008225"</f>
        <v>7192008225</v>
      </c>
      <c r="E12796" s="2" t="s">
        <v>373</v>
      </c>
      <c r="F12796" s="2" t="s">
        <v>50803</v>
      </c>
      <c r="G12796" s="2" t="str">
        <f>"SR-18126"</f>
        <v>SR-18126</v>
      </c>
      <c r="H12796" s="2" t="s">
        <v>50804</v>
      </c>
      <c r="I12796" s="2" t="s">
        <v>50805</v>
      </c>
      <c r="K12796" s="2" t="s">
        <v>809</v>
      </c>
      <c r="L12796" s="2" t="s">
        <v>157</v>
      </c>
      <c r="M12796" s="2">
        <v>80909.0</v>
      </c>
      <c r="N12796" s="2" t="s">
        <v>21</v>
      </c>
    </row>
    <row r="12797" ht="15.75" customHeight="1">
      <c r="A12797" s="2">
        <v>2020.0</v>
      </c>
      <c r="B12797" s="2" t="s">
        <v>50806</v>
      </c>
      <c r="C12797" s="2" t="s">
        <v>50806</v>
      </c>
      <c r="D12797" s="2" t="str">
        <f>"7637466556"</f>
        <v>7637466556</v>
      </c>
      <c r="E12797" s="2" t="s">
        <v>1548</v>
      </c>
      <c r="F12797" s="2" t="s">
        <v>3826</v>
      </c>
      <c r="G12797" s="2" t="str">
        <f>"SR-18130"</f>
        <v>SR-18130</v>
      </c>
      <c r="H12797" s="2" t="s">
        <v>50807</v>
      </c>
      <c r="I12797" s="2" t="s">
        <v>50808</v>
      </c>
      <c r="K12797" s="2" t="s">
        <v>21393</v>
      </c>
      <c r="L12797" s="2" t="s">
        <v>62</v>
      </c>
      <c r="M12797" s="2">
        <v>55330.0</v>
      </c>
      <c r="N12797" s="2" t="s">
        <v>21</v>
      </c>
    </row>
    <row r="12798" ht="15.75" customHeight="1">
      <c r="A12798" s="2">
        <v>2020.0</v>
      </c>
      <c r="B12798" s="2" t="s">
        <v>50809</v>
      </c>
      <c r="C12798" s="2" t="s">
        <v>50809</v>
      </c>
      <c r="D12798" s="2" t="str">
        <f>"7634019245"</f>
        <v>7634019245</v>
      </c>
      <c r="E12798" s="2" t="s">
        <v>2851</v>
      </c>
      <c r="F12798" s="2" t="s">
        <v>12769</v>
      </c>
      <c r="G12798" s="2" t="str">
        <f>"SR-18131"</f>
        <v>SR-18131</v>
      </c>
      <c r="H12798" s="2" t="s">
        <v>50810</v>
      </c>
      <c r="I12798" s="2" t="s">
        <v>50811</v>
      </c>
      <c r="K12798" s="2" t="s">
        <v>10904</v>
      </c>
      <c r="L12798" s="2" t="s">
        <v>62</v>
      </c>
      <c r="M12798" s="2">
        <v>55313.0</v>
      </c>
      <c r="N12798" s="2" t="s">
        <v>21</v>
      </c>
    </row>
    <row r="12799" ht="15.75" customHeight="1">
      <c r="A12799" s="2">
        <v>2020.0</v>
      </c>
      <c r="B12799" s="2" t="s">
        <v>50812</v>
      </c>
      <c r="C12799" s="2" t="s">
        <v>50813</v>
      </c>
      <c r="D12799" s="2" t="str">
        <f>"9403685286"</f>
        <v>9403685286</v>
      </c>
      <c r="E12799" s="2" t="s">
        <v>3499</v>
      </c>
      <c r="F12799" s="2" t="s">
        <v>24782</v>
      </c>
      <c r="G12799" s="2" t="str">
        <f>"SR-18132"</f>
        <v>SR-18132</v>
      </c>
      <c r="H12799" s="2" t="s">
        <v>50814</v>
      </c>
      <c r="I12799" s="2" t="s">
        <v>50815</v>
      </c>
      <c r="K12799" s="2" t="s">
        <v>6539</v>
      </c>
      <c r="L12799" s="2" t="s">
        <v>172</v>
      </c>
      <c r="M12799" s="2">
        <v>76205.0</v>
      </c>
      <c r="N12799" s="2" t="s">
        <v>21</v>
      </c>
    </row>
    <row r="12800" ht="15.75" customHeight="1">
      <c r="A12800" s="2">
        <v>2020.0</v>
      </c>
      <c r="B12800" s="2" t="s">
        <v>50816</v>
      </c>
      <c r="D12800" s="2" t="str">
        <f>""</f>
        <v/>
      </c>
      <c r="E12800" s="2" t="s">
        <v>16040</v>
      </c>
      <c r="F12800" s="2" t="s">
        <v>50817</v>
      </c>
      <c r="G12800" s="2" t="str">
        <f>"SR-17603"</f>
        <v>SR-17603</v>
      </c>
      <c r="H12800" s="2" t="s">
        <v>50818</v>
      </c>
      <c r="N12800" s="2" t="s">
        <v>21</v>
      </c>
    </row>
    <row r="12801" ht="15.75" customHeight="1">
      <c r="A12801" s="2">
        <v>2020.0</v>
      </c>
      <c r="B12801" s="2" t="s">
        <v>50819</v>
      </c>
      <c r="C12801" s="2" t="s">
        <v>50820</v>
      </c>
      <c r="D12801" s="2" t="str">
        <f>"916-502-7540"</f>
        <v>916-502-7540</v>
      </c>
      <c r="E12801" s="2" t="s">
        <v>50821</v>
      </c>
      <c r="F12801" s="2" t="s">
        <v>50822</v>
      </c>
      <c r="G12801" s="2" t="str">
        <f>"SR-18133"</f>
        <v>SR-18133</v>
      </c>
      <c r="H12801" s="2" t="s">
        <v>50823</v>
      </c>
      <c r="I12801" s="2" t="s">
        <v>50824</v>
      </c>
      <c r="K12801" s="2" t="s">
        <v>10305</v>
      </c>
      <c r="L12801" s="2" t="s">
        <v>222</v>
      </c>
      <c r="M12801" s="2">
        <v>95829.0</v>
      </c>
      <c r="N12801" s="2" t="s">
        <v>21</v>
      </c>
    </row>
    <row r="12802" ht="15.75" customHeight="1">
      <c r="A12802" s="2">
        <v>2020.0</v>
      </c>
      <c r="B12802" s="2" t="s">
        <v>50825</v>
      </c>
      <c r="C12802" s="2" t="s">
        <v>50825</v>
      </c>
      <c r="D12802" s="2" t="str">
        <f>"916-835-0859"</f>
        <v>916-835-0859</v>
      </c>
      <c r="E12802" s="2" t="s">
        <v>15187</v>
      </c>
      <c r="F12802" s="2" t="s">
        <v>50817</v>
      </c>
      <c r="G12802" s="2" t="str">
        <f>"SR-18134"</f>
        <v>SR-18134</v>
      </c>
      <c r="H12802" s="2" t="s">
        <v>50826</v>
      </c>
      <c r="I12802" s="2" t="s">
        <v>50827</v>
      </c>
      <c r="K12802" s="2" t="s">
        <v>50828</v>
      </c>
      <c r="L12802" s="2" t="s">
        <v>222</v>
      </c>
      <c r="M12802" s="2">
        <v>95829.0</v>
      </c>
      <c r="N12802" s="2" t="s">
        <v>21</v>
      </c>
    </row>
    <row r="12803" ht="15.75" customHeight="1">
      <c r="A12803" s="2">
        <v>2020.0</v>
      </c>
      <c r="B12803" s="2" t="s">
        <v>50829</v>
      </c>
      <c r="C12803" s="2" t="s">
        <v>50829</v>
      </c>
      <c r="D12803" s="2" t="str">
        <f>"916-873-2684"</f>
        <v>916-873-2684</v>
      </c>
      <c r="E12803" s="2" t="s">
        <v>50830</v>
      </c>
      <c r="F12803" s="2" t="s">
        <v>50817</v>
      </c>
      <c r="G12803" s="2" t="str">
        <f>"SR-18135"</f>
        <v>SR-18135</v>
      </c>
      <c r="H12803" s="2" t="s">
        <v>50831</v>
      </c>
      <c r="I12803" s="2" t="s">
        <v>50827</v>
      </c>
      <c r="K12803" s="2" t="s">
        <v>50828</v>
      </c>
      <c r="L12803" s="2" t="s">
        <v>222</v>
      </c>
      <c r="M12803" s="2">
        <v>95829.0</v>
      </c>
      <c r="N12803" s="2" t="s">
        <v>21</v>
      </c>
    </row>
    <row r="12804" ht="15.75" customHeight="1">
      <c r="A12804" s="2">
        <v>2020.0</v>
      </c>
      <c r="B12804" s="2" t="s">
        <v>50832</v>
      </c>
      <c r="C12804" s="2" t="s">
        <v>50832</v>
      </c>
      <c r="D12804" s="2" t="str">
        <f>"916-230-9190"</f>
        <v>916-230-9190</v>
      </c>
      <c r="E12804" s="2" t="s">
        <v>50833</v>
      </c>
      <c r="F12804" s="2" t="s">
        <v>50834</v>
      </c>
      <c r="G12804" s="2" t="str">
        <f>"SR-18137"</f>
        <v>SR-18137</v>
      </c>
      <c r="H12804" s="2" t="s">
        <v>50835</v>
      </c>
      <c r="I12804" s="2" t="s">
        <v>50836</v>
      </c>
      <c r="K12804" s="2" t="s">
        <v>10305</v>
      </c>
      <c r="L12804" s="2" t="s">
        <v>222</v>
      </c>
      <c r="M12804" s="2">
        <v>95827.0</v>
      </c>
      <c r="N12804" s="2" t="s">
        <v>21</v>
      </c>
    </row>
    <row r="12805" ht="15.75" customHeight="1">
      <c r="A12805" s="2">
        <v>2020.0</v>
      </c>
      <c r="B12805" s="2" t="s">
        <v>50837</v>
      </c>
      <c r="C12805" s="2" t="s">
        <v>50837</v>
      </c>
      <c r="D12805" s="2" t="str">
        <f>"916-710-0259"</f>
        <v>916-710-0259</v>
      </c>
      <c r="E12805" s="2" t="s">
        <v>50838</v>
      </c>
      <c r="F12805" s="2" t="s">
        <v>50839</v>
      </c>
      <c r="G12805" s="2" t="str">
        <f>"SR-18139"</f>
        <v>SR-18139</v>
      </c>
      <c r="H12805" s="2" t="s">
        <v>50840</v>
      </c>
      <c r="I12805" s="2" t="s">
        <v>50841</v>
      </c>
      <c r="K12805" s="2" t="s">
        <v>24816</v>
      </c>
      <c r="L12805" s="2" t="s">
        <v>222</v>
      </c>
      <c r="M12805" s="2">
        <v>95605.0</v>
      </c>
      <c r="N12805" s="2" t="s">
        <v>21</v>
      </c>
    </row>
    <row r="12806" ht="15.75" customHeight="1">
      <c r="A12806" s="2">
        <v>2020.0</v>
      </c>
      <c r="B12806" s="2" t="s">
        <v>50842</v>
      </c>
      <c r="C12806" s="2" t="s">
        <v>50843</v>
      </c>
      <c r="D12806" s="2" t="str">
        <f>"417-349-5297"</f>
        <v>417-349-5297</v>
      </c>
      <c r="E12806" s="2" t="s">
        <v>447</v>
      </c>
      <c r="F12806" s="2" t="s">
        <v>50844</v>
      </c>
      <c r="G12806" s="2" t="str">
        <f>"SR-18035"</f>
        <v>SR-18035</v>
      </c>
      <c r="H12806" s="2" t="s">
        <v>50845</v>
      </c>
      <c r="I12806" s="2" t="s">
        <v>50846</v>
      </c>
      <c r="J12806" s="2" t="s">
        <v>50847</v>
      </c>
      <c r="K12806" s="2" t="s">
        <v>50848</v>
      </c>
      <c r="L12806" s="2" t="s">
        <v>214</v>
      </c>
      <c r="M12806" s="2">
        <v>65711.0</v>
      </c>
      <c r="N12806" s="2" t="s">
        <v>21</v>
      </c>
    </row>
    <row r="12807" ht="15.75" customHeight="1">
      <c r="A12807" s="2">
        <v>2020.0</v>
      </c>
      <c r="B12807" s="2" t="s">
        <v>50849</v>
      </c>
      <c r="C12807" s="2" t="s">
        <v>50850</v>
      </c>
      <c r="D12807" s="2" t="str">
        <f>"6154789457"</f>
        <v>6154789457</v>
      </c>
      <c r="E12807" s="2" t="s">
        <v>2861</v>
      </c>
      <c r="F12807" s="2" t="s">
        <v>44774</v>
      </c>
      <c r="G12807" s="2" t="str">
        <f>"SR-18128"</f>
        <v>SR-18128</v>
      </c>
      <c r="H12807" s="2" t="s">
        <v>50851</v>
      </c>
      <c r="I12807" s="2" t="s">
        <v>50852</v>
      </c>
      <c r="K12807" s="2" t="s">
        <v>731</v>
      </c>
      <c r="L12807" s="2" t="s">
        <v>279</v>
      </c>
      <c r="M12807" s="2">
        <v>37211.0</v>
      </c>
      <c r="N12807" s="2" t="s">
        <v>21</v>
      </c>
    </row>
    <row r="12808" ht="15.75" customHeight="1">
      <c r="A12808" s="2">
        <v>2020.0</v>
      </c>
      <c r="B12808" s="2" t="s">
        <v>42346</v>
      </c>
      <c r="C12808" s="2" t="s">
        <v>50853</v>
      </c>
      <c r="D12808" s="2" t="str">
        <f>"7348082165"</f>
        <v>7348082165</v>
      </c>
      <c r="E12808" s="2" t="s">
        <v>1015</v>
      </c>
      <c r="F12808" s="2" t="s">
        <v>31012</v>
      </c>
      <c r="G12808" s="2" t="str">
        <f>"SR-18067"</f>
        <v>SR-18067</v>
      </c>
      <c r="H12808" s="2" t="s">
        <v>50854</v>
      </c>
      <c r="I12808" s="2" t="s">
        <v>31014</v>
      </c>
      <c r="K12808" s="2" t="s">
        <v>7174</v>
      </c>
      <c r="L12808" s="2" t="s">
        <v>29</v>
      </c>
      <c r="M12808" s="2">
        <v>48130.0</v>
      </c>
      <c r="N12808" s="2" t="s">
        <v>21</v>
      </c>
    </row>
    <row r="12809" ht="15.75" customHeight="1">
      <c r="A12809" s="2">
        <v>2020.0</v>
      </c>
      <c r="B12809" s="2" t="s">
        <v>50855</v>
      </c>
      <c r="C12809" s="2" t="s">
        <v>8532</v>
      </c>
      <c r="D12809" s="2" t="str">
        <f>"1112223333"</f>
        <v>1112223333</v>
      </c>
      <c r="E12809" s="2" t="s">
        <v>50856</v>
      </c>
      <c r="F12809" s="2" t="s">
        <v>50856</v>
      </c>
      <c r="G12809" s="2" t="str">
        <f>"SR-18144"</f>
        <v>SR-18144</v>
      </c>
      <c r="H12809" s="2" t="s">
        <v>50857</v>
      </c>
      <c r="I12809" s="2">
        <v>112345.0</v>
      </c>
      <c r="K12809" s="2" t="s">
        <v>50856</v>
      </c>
      <c r="L12809" s="2" t="s">
        <v>200</v>
      </c>
      <c r="M12809" s="2">
        <v>12345.0</v>
      </c>
      <c r="N12809" s="2" t="s">
        <v>21</v>
      </c>
    </row>
    <row r="12810" ht="15.75" customHeight="1">
      <c r="A12810" s="2">
        <v>2020.0</v>
      </c>
      <c r="B12810" s="2" t="s">
        <v>50858</v>
      </c>
      <c r="C12810" s="2" t="s">
        <v>50858</v>
      </c>
      <c r="D12810" s="2" t="str">
        <f>"5012863360"</f>
        <v>5012863360</v>
      </c>
      <c r="E12810" s="2" t="s">
        <v>50859</v>
      </c>
      <c r="F12810" s="2" t="s">
        <v>50860</v>
      </c>
      <c r="G12810" s="2" t="str">
        <f>"SR-18115"</f>
        <v>SR-18115</v>
      </c>
      <c r="H12810" s="2" t="s">
        <v>50861</v>
      </c>
      <c r="I12810" s="2" t="s">
        <v>50862</v>
      </c>
      <c r="K12810" s="2" t="s">
        <v>809</v>
      </c>
      <c r="L12810" s="2" t="s">
        <v>157</v>
      </c>
      <c r="M12810" s="2">
        <v>80919.0</v>
      </c>
      <c r="N12810" s="2" t="s">
        <v>21</v>
      </c>
    </row>
    <row r="12811" ht="15.75" customHeight="1">
      <c r="A12811" s="2">
        <v>2020.0</v>
      </c>
      <c r="B12811" s="2" t="s">
        <v>50863</v>
      </c>
      <c r="C12811" s="2" t="s">
        <v>50864</v>
      </c>
      <c r="D12811" s="2" t="str">
        <f>"7192015959"</f>
        <v>7192015959</v>
      </c>
      <c r="E12811" s="2" t="s">
        <v>1918</v>
      </c>
      <c r="F12811" s="2" t="s">
        <v>10182</v>
      </c>
      <c r="G12811" s="2" t="str">
        <f>"SR-18146"</f>
        <v>SR-18146</v>
      </c>
      <c r="H12811" s="2" t="s">
        <v>50865</v>
      </c>
      <c r="I12811" s="2" t="s">
        <v>50866</v>
      </c>
      <c r="K12811" s="2" t="s">
        <v>809</v>
      </c>
      <c r="L12811" s="2" t="s">
        <v>157</v>
      </c>
      <c r="M12811" s="2">
        <v>80919.0</v>
      </c>
      <c r="N12811" s="2" t="s">
        <v>21</v>
      </c>
    </row>
    <row r="12812" ht="15.75" customHeight="1">
      <c r="A12812" s="2">
        <v>2020.0</v>
      </c>
      <c r="B12812" s="2" t="s">
        <v>50867</v>
      </c>
      <c r="C12812" s="2" t="s">
        <v>50868</v>
      </c>
      <c r="D12812" s="2" t="str">
        <f>"214-973-0297"</f>
        <v>214-973-0297</v>
      </c>
      <c r="E12812" s="2" t="s">
        <v>50</v>
      </c>
      <c r="F12812" s="2" t="s">
        <v>50869</v>
      </c>
      <c r="G12812" s="2" t="str">
        <f>"SR-18151"</f>
        <v>SR-18151</v>
      </c>
      <c r="H12812" s="2" t="s">
        <v>50870</v>
      </c>
      <c r="I12812" s="2" t="s">
        <v>50871</v>
      </c>
      <c r="K12812" s="2" t="s">
        <v>5011</v>
      </c>
      <c r="L12812" s="2" t="s">
        <v>172</v>
      </c>
      <c r="M12812" s="2">
        <v>75035.0</v>
      </c>
      <c r="N12812" s="2" t="s">
        <v>21</v>
      </c>
    </row>
    <row r="12813" ht="15.75" customHeight="1">
      <c r="A12813" s="2">
        <v>2020.0</v>
      </c>
      <c r="B12813" s="2" t="s">
        <v>50872</v>
      </c>
      <c r="C12813" s="2" t="s">
        <v>50873</v>
      </c>
      <c r="D12813" s="2" t="str">
        <f>"4849196638"</f>
        <v>4849196638</v>
      </c>
      <c r="E12813" s="2" t="s">
        <v>50874</v>
      </c>
      <c r="F12813" s="2" t="s">
        <v>3295</v>
      </c>
      <c r="G12813" s="2" t="str">
        <f>"SR-18108"</f>
        <v>SR-18108</v>
      </c>
      <c r="H12813" s="2" t="s">
        <v>50875</v>
      </c>
      <c r="I12813" s="2" t="s">
        <v>50876</v>
      </c>
      <c r="K12813" s="2" t="s">
        <v>1398</v>
      </c>
      <c r="L12813" s="2" t="s">
        <v>157</v>
      </c>
      <c r="M12813" s="2">
        <v>80108.0</v>
      </c>
      <c r="N12813" s="2" t="s">
        <v>21</v>
      </c>
    </row>
    <row r="12814" ht="15.75" customHeight="1">
      <c r="A12814" s="2">
        <v>2020.0</v>
      </c>
      <c r="B12814" s="2" t="s">
        <v>50877</v>
      </c>
      <c r="C12814" s="2" t="s">
        <v>50878</v>
      </c>
      <c r="D12814" s="2" t="str">
        <f>"7205951237"</f>
        <v>7205951237</v>
      </c>
      <c r="E12814" s="2" t="s">
        <v>81</v>
      </c>
      <c r="F12814" s="2" t="s">
        <v>94</v>
      </c>
      <c r="G12814" s="2" t="str">
        <f>"SR-18153"</f>
        <v>SR-18153</v>
      </c>
      <c r="H12814" s="2" t="s">
        <v>50879</v>
      </c>
      <c r="I12814" s="2" t="s">
        <v>50880</v>
      </c>
      <c r="K12814" s="2" t="s">
        <v>50881</v>
      </c>
      <c r="L12814" s="2" t="s">
        <v>157</v>
      </c>
      <c r="M12814" s="2">
        <v>80504.0</v>
      </c>
      <c r="N12814" s="2" t="s">
        <v>21</v>
      </c>
    </row>
    <row r="12815" ht="15.75" customHeight="1">
      <c r="A12815" s="2">
        <v>2020.0</v>
      </c>
      <c r="B12815" s="2" t="s">
        <v>27896</v>
      </c>
      <c r="C12815" s="2" t="s">
        <v>50882</v>
      </c>
      <c r="D12815" s="2" t="str">
        <f>"2056018095"</f>
        <v>2056018095</v>
      </c>
      <c r="E12815" s="2" t="s">
        <v>1257</v>
      </c>
      <c r="F12815" s="2" t="s">
        <v>1859</v>
      </c>
      <c r="G12815" s="2" t="str">
        <f>"SR-17963"</f>
        <v>SR-17963</v>
      </c>
      <c r="H12815" s="2" t="s">
        <v>50883</v>
      </c>
      <c r="I12815" s="2" t="s">
        <v>50884</v>
      </c>
      <c r="K12815" s="2" t="s">
        <v>1173</v>
      </c>
      <c r="L12815" s="2" t="s">
        <v>539</v>
      </c>
      <c r="M12815" s="2">
        <v>35242.0</v>
      </c>
      <c r="N12815" s="2" t="s">
        <v>21</v>
      </c>
    </row>
    <row r="12816" ht="15.75" customHeight="1">
      <c r="A12816" s="2">
        <v>2020.0</v>
      </c>
      <c r="B12816" s="2" t="s">
        <v>50885</v>
      </c>
      <c r="C12816" s="2" t="s">
        <v>50886</v>
      </c>
      <c r="D12816" s="2" t="str">
        <f>"9402317326"</f>
        <v>9402317326</v>
      </c>
      <c r="E12816" s="2" t="s">
        <v>3693</v>
      </c>
      <c r="F12816" s="2" t="s">
        <v>1045</v>
      </c>
      <c r="G12816" s="2" t="str">
        <f>"SR-18158"</f>
        <v>SR-18158</v>
      </c>
      <c r="H12816" s="2" t="s">
        <v>50887</v>
      </c>
      <c r="I12816" s="2" t="s">
        <v>50888</v>
      </c>
      <c r="K12816" s="2" t="s">
        <v>6539</v>
      </c>
      <c r="L12816" s="2" t="s">
        <v>172</v>
      </c>
      <c r="M12816" s="2">
        <v>76210.0</v>
      </c>
      <c r="N12816" s="2" t="s">
        <v>21</v>
      </c>
    </row>
    <row r="12817" ht="15.75" customHeight="1">
      <c r="A12817" s="2">
        <v>2020.0</v>
      </c>
      <c r="B12817" s="2" t="s">
        <v>50889</v>
      </c>
      <c r="C12817" s="2" t="s">
        <v>50889</v>
      </c>
      <c r="D12817" s="2" t="str">
        <f>"612-442-0429"</f>
        <v>612-442-0429</v>
      </c>
      <c r="E12817" s="2" t="s">
        <v>15719</v>
      </c>
      <c r="F12817" s="2" t="s">
        <v>39173</v>
      </c>
      <c r="G12817" s="2" t="str">
        <f>"SR-17698"</f>
        <v>SR-17698</v>
      </c>
      <c r="H12817" s="2" t="s">
        <v>50890</v>
      </c>
      <c r="I12817" s="2" t="s">
        <v>50891</v>
      </c>
      <c r="K12817" s="2" t="s">
        <v>3598</v>
      </c>
      <c r="L12817" s="2" t="s">
        <v>62</v>
      </c>
      <c r="M12817" s="2">
        <v>55360.0</v>
      </c>
      <c r="N12817" s="2" t="s">
        <v>21</v>
      </c>
    </row>
    <row r="12818" ht="15.75" customHeight="1">
      <c r="A12818" s="2">
        <v>2020.0</v>
      </c>
      <c r="B12818" s="2" t="s">
        <v>50892</v>
      </c>
      <c r="C12818" s="2" t="s">
        <v>50893</v>
      </c>
      <c r="D12818" s="2" t="str">
        <f>"6414303680"</f>
        <v>6414303680</v>
      </c>
      <c r="E12818" s="2" t="s">
        <v>2941</v>
      </c>
      <c r="F12818" s="2" t="s">
        <v>50894</v>
      </c>
      <c r="G12818" s="2" t="str">
        <f>"SR-18155"</f>
        <v>SR-18155</v>
      </c>
      <c r="H12818" s="2" t="s">
        <v>50895</v>
      </c>
      <c r="I12818" s="2" t="s">
        <v>50896</v>
      </c>
      <c r="K12818" s="2" t="s">
        <v>14916</v>
      </c>
      <c r="L12818" s="2" t="s">
        <v>560</v>
      </c>
      <c r="M12818" s="2">
        <v>50438.0</v>
      </c>
      <c r="N12818" s="2" t="s">
        <v>21</v>
      </c>
    </row>
    <row r="12819" ht="15.75" customHeight="1">
      <c r="A12819" s="2">
        <v>2020.0</v>
      </c>
      <c r="B12819" s="2" t="s">
        <v>50892</v>
      </c>
      <c r="C12819" s="2" t="s">
        <v>50897</v>
      </c>
      <c r="D12819" s="2" t="str">
        <f>"6414307830"</f>
        <v>6414307830</v>
      </c>
      <c r="E12819" s="2" t="s">
        <v>908</v>
      </c>
      <c r="F12819" s="2" t="s">
        <v>50894</v>
      </c>
      <c r="G12819" s="2" t="str">
        <f>"SR-18156"</f>
        <v>SR-18156</v>
      </c>
      <c r="H12819" s="2" t="s">
        <v>50898</v>
      </c>
      <c r="I12819" s="2" t="s">
        <v>50896</v>
      </c>
      <c r="K12819" s="2" t="s">
        <v>14916</v>
      </c>
      <c r="L12819" s="2" t="s">
        <v>560</v>
      </c>
      <c r="M12819" s="2">
        <v>50438.0</v>
      </c>
      <c r="N12819" s="2" t="s">
        <v>21</v>
      </c>
    </row>
    <row r="12820" ht="15.75" customHeight="1">
      <c r="A12820" s="2">
        <v>2020.0</v>
      </c>
      <c r="B12820" s="2" t="s">
        <v>50899</v>
      </c>
      <c r="C12820" s="2" t="s">
        <v>50900</v>
      </c>
      <c r="D12820" s="2" t="str">
        <f>"(719)510-1175"</f>
        <v>(719)510-1175</v>
      </c>
      <c r="E12820" s="2" t="s">
        <v>7543</v>
      </c>
      <c r="F12820" s="2" t="s">
        <v>1312</v>
      </c>
      <c r="G12820" s="2" t="str">
        <f>"SR-18163"</f>
        <v>SR-18163</v>
      </c>
      <c r="H12820" s="2" t="s">
        <v>50901</v>
      </c>
      <c r="I12820" s="2" t="s">
        <v>50902</v>
      </c>
      <c r="K12820" s="2" t="s">
        <v>809</v>
      </c>
      <c r="L12820" s="2" t="s">
        <v>157</v>
      </c>
      <c r="M12820" s="2">
        <v>80921.0</v>
      </c>
      <c r="N12820" s="2" t="s">
        <v>21</v>
      </c>
    </row>
    <row r="12821" ht="15.75" customHeight="1">
      <c r="A12821" s="2">
        <v>2020.0</v>
      </c>
      <c r="B12821" s="2" t="s">
        <v>50899</v>
      </c>
      <c r="C12821" s="2" t="s">
        <v>50903</v>
      </c>
      <c r="D12821" s="2" t="str">
        <f>"(719)331-4710"</f>
        <v>(719)331-4710</v>
      </c>
      <c r="E12821" s="2" t="s">
        <v>955</v>
      </c>
      <c r="F12821" s="2" t="s">
        <v>1312</v>
      </c>
      <c r="G12821" s="2" t="str">
        <f>"SR-18164"</f>
        <v>SR-18164</v>
      </c>
      <c r="H12821" s="2" t="s">
        <v>50904</v>
      </c>
      <c r="I12821" s="2" t="s">
        <v>50902</v>
      </c>
      <c r="K12821" s="2" t="s">
        <v>809</v>
      </c>
      <c r="L12821" s="2" t="s">
        <v>157</v>
      </c>
      <c r="M12821" s="2">
        <v>80921.0</v>
      </c>
      <c r="N12821" s="2" t="s">
        <v>21</v>
      </c>
    </row>
    <row r="12822" ht="15.75" customHeight="1">
      <c r="A12822" s="2">
        <v>2020.0</v>
      </c>
      <c r="B12822" s="2" t="s">
        <v>49726</v>
      </c>
      <c r="C12822" s="2" t="s">
        <v>50905</v>
      </c>
      <c r="D12822" s="2" t="str">
        <f>"3203047793"</f>
        <v>3203047793</v>
      </c>
      <c r="E12822" s="2" t="s">
        <v>50906</v>
      </c>
      <c r="F12822" s="2" t="s">
        <v>1209</v>
      </c>
      <c r="G12822" s="2" t="str">
        <f>"SR-18165"</f>
        <v>SR-18165</v>
      </c>
      <c r="H12822" s="2" t="s">
        <v>50907</v>
      </c>
      <c r="I12822" s="2" t="s">
        <v>49730</v>
      </c>
      <c r="K12822" s="2" t="s">
        <v>25661</v>
      </c>
      <c r="L12822" s="2" t="s">
        <v>62</v>
      </c>
      <c r="M12822" s="2">
        <v>56343.0</v>
      </c>
      <c r="N12822" s="2" t="s">
        <v>21</v>
      </c>
    </row>
    <row r="12823" ht="15.75" customHeight="1">
      <c r="A12823" s="2">
        <v>2020.0</v>
      </c>
      <c r="B12823" s="2" t="s">
        <v>50908</v>
      </c>
      <c r="C12823" s="2" t="s">
        <v>50909</v>
      </c>
      <c r="D12823" s="2" t="str">
        <f>"5097783252"</f>
        <v>5097783252</v>
      </c>
      <c r="E12823" s="2" t="s">
        <v>50910</v>
      </c>
      <c r="F12823" s="2" t="s">
        <v>50911</v>
      </c>
      <c r="G12823" s="2" t="str">
        <f>"SR-17874"</f>
        <v>SR-17874</v>
      </c>
      <c r="H12823" s="2" t="s">
        <v>50912</v>
      </c>
      <c r="I12823" s="2" t="s">
        <v>50913</v>
      </c>
      <c r="K12823" s="2" t="s">
        <v>47304</v>
      </c>
      <c r="L12823" s="2" t="s">
        <v>86</v>
      </c>
      <c r="M12823" s="2">
        <v>99350.0</v>
      </c>
      <c r="N12823" s="2" t="s">
        <v>21</v>
      </c>
    </row>
    <row r="12824" ht="15.75" customHeight="1">
      <c r="A12824" s="2">
        <v>2020.0</v>
      </c>
      <c r="B12824" s="2" t="s">
        <v>50914</v>
      </c>
      <c r="C12824" s="2" t="s">
        <v>50914</v>
      </c>
      <c r="D12824" s="2" t="str">
        <f>"9177735992"</f>
        <v>9177735992</v>
      </c>
      <c r="E12824" s="2" t="s">
        <v>16187</v>
      </c>
      <c r="F12824" s="2" t="s">
        <v>50915</v>
      </c>
      <c r="G12824" s="2" t="str">
        <f>"SR-18167"</f>
        <v>SR-18167</v>
      </c>
      <c r="H12824" s="2" t="s">
        <v>50916</v>
      </c>
      <c r="I12824" s="2" t="s">
        <v>50917</v>
      </c>
      <c r="K12824" s="2" t="s">
        <v>50918</v>
      </c>
      <c r="L12824" s="2" t="s">
        <v>142</v>
      </c>
      <c r="M12824" s="2">
        <v>10461.0</v>
      </c>
      <c r="N12824" s="2" t="s">
        <v>21</v>
      </c>
    </row>
    <row r="12825" ht="15.75" customHeight="1">
      <c r="A12825" s="2">
        <v>2020.0</v>
      </c>
      <c r="B12825" s="2" t="s">
        <v>50919</v>
      </c>
      <c r="C12825" s="2" t="s">
        <v>50919</v>
      </c>
      <c r="D12825" s="2" t="str">
        <f>"6209315341"</f>
        <v>6209315341</v>
      </c>
      <c r="E12825" s="2" t="s">
        <v>1281</v>
      </c>
      <c r="F12825" s="2" t="s">
        <v>10439</v>
      </c>
      <c r="G12825" s="2" t="str">
        <f>"SR-18168"</f>
        <v>SR-18168</v>
      </c>
      <c r="H12825" s="2" t="s">
        <v>50920</v>
      </c>
      <c r="I12825" s="2" t="s">
        <v>50921</v>
      </c>
      <c r="K12825" s="2" t="s">
        <v>5351</v>
      </c>
      <c r="L12825" s="2" t="s">
        <v>272</v>
      </c>
      <c r="M12825" s="2">
        <v>67501.0</v>
      </c>
      <c r="N12825" s="2" t="s">
        <v>21</v>
      </c>
    </row>
    <row r="12826" ht="15.75" customHeight="1">
      <c r="A12826" s="2">
        <v>2020.0</v>
      </c>
      <c r="B12826" s="2" t="s">
        <v>50922</v>
      </c>
      <c r="C12826" s="2" t="s">
        <v>50922</v>
      </c>
      <c r="D12826" s="2" t="str">
        <f>"706-416-8500"</f>
        <v>706-416-8500</v>
      </c>
      <c r="E12826" s="2" t="s">
        <v>915</v>
      </c>
      <c r="F12826" s="2" t="s">
        <v>9272</v>
      </c>
      <c r="G12826" s="2" t="str">
        <f>"SR-18173"</f>
        <v>SR-18173</v>
      </c>
      <c r="H12826" s="2" t="s">
        <v>50923</v>
      </c>
      <c r="I12826" s="2" t="s">
        <v>9274</v>
      </c>
      <c r="K12826" s="2" t="s">
        <v>4814</v>
      </c>
      <c r="L12826" s="2" t="s">
        <v>200</v>
      </c>
      <c r="M12826" s="2">
        <v>30240.0</v>
      </c>
      <c r="N12826" s="2" t="s">
        <v>21</v>
      </c>
    </row>
    <row r="12827" ht="15.75" customHeight="1">
      <c r="A12827" s="2">
        <v>2020.0</v>
      </c>
      <c r="B12827" s="2" t="s">
        <v>6358</v>
      </c>
      <c r="C12827" s="2" t="s">
        <v>50924</v>
      </c>
      <c r="D12827" s="2" t="str">
        <f>"260-667-0673"</f>
        <v>260-667-0673</v>
      </c>
      <c r="E12827" s="2" t="s">
        <v>1156</v>
      </c>
      <c r="F12827" s="2" t="s">
        <v>6360</v>
      </c>
      <c r="G12827" s="2" t="str">
        <f>"SR-15297"</f>
        <v>SR-15297</v>
      </c>
      <c r="H12827" s="2" t="s">
        <v>50925</v>
      </c>
      <c r="I12827" s="2" t="s">
        <v>16980</v>
      </c>
      <c r="K12827" s="2" t="s">
        <v>6363</v>
      </c>
      <c r="L12827" s="2" t="s">
        <v>149</v>
      </c>
      <c r="M12827" s="2">
        <v>46703.0</v>
      </c>
      <c r="N12827" s="2" t="s">
        <v>21</v>
      </c>
    </row>
    <row r="12828" ht="15.75" customHeight="1">
      <c r="A12828" s="2">
        <v>2020.0</v>
      </c>
      <c r="B12828" s="2" t="s">
        <v>50926</v>
      </c>
      <c r="C12828" s="2" t="s">
        <v>50927</v>
      </c>
      <c r="D12828" s="2" t="str">
        <f>"9014301606"</f>
        <v>9014301606</v>
      </c>
      <c r="E12828" s="2" t="s">
        <v>2243</v>
      </c>
      <c r="F12828" s="2" t="s">
        <v>50928</v>
      </c>
      <c r="G12828" s="2" t="str">
        <f>"SR-18175"</f>
        <v>SR-18175</v>
      </c>
      <c r="H12828" s="2" t="s">
        <v>50929</v>
      </c>
      <c r="I12828" s="2" t="s">
        <v>50930</v>
      </c>
      <c r="K12828" s="2" t="s">
        <v>882</v>
      </c>
      <c r="L12828" s="2" t="s">
        <v>279</v>
      </c>
      <c r="M12828" s="2">
        <v>38002.0</v>
      </c>
      <c r="N12828" s="2" t="s">
        <v>21</v>
      </c>
    </row>
    <row r="12829" ht="15.75" customHeight="1">
      <c r="A12829" s="2">
        <v>2020.0</v>
      </c>
      <c r="B12829" s="2" t="s">
        <v>50931</v>
      </c>
      <c r="C12829" s="2" t="s">
        <v>50931</v>
      </c>
      <c r="D12829" s="2" t="str">
        <f>"731-499-1405"</f>
        <v>731-499-1405</v>
      </c>
      <c r="E12829" s="2" t="s">
        <v>4224</v>
      </c>
      <c r="F12829" s="2" t="s">
        <v>8766</v>
      </c>
      <c r="G12829" s="2" t="str">
        <f>"SR-18177"</f>
        <v>SR-18177</v>
      </c>
      <c r="H12829" s="2" t="s">
        <v>50932</v>
      </c>
      <c r="I12829" s="2" t="s">
        <v>50933</v>
      </c>
      <c r="K12829" s="2" t="s">
        <v>1257</v>
      </c>
      <c r="L12829" s="2" t="s">
        <v>279</v>
      </c>
      <c r="M12829" s="2">
        <v>38305.0</v>
      </c>
      <c r="N12829" s="2" t="s">
        <v>21</v>
      </c>
    </row>
    <row r="12830" ht="15.75" customHeight="1">
      <c r="A12830" s="2">
        <v>2020.0</v>
      </c>
      <c r="B12830" s="2" t="s">
        <v>50934</v>
      </c>
      <c r="C12830" s="2" t="s">
        <v>50935</v>
      </c>
      <c r="D12830" s="2" t="str">
        <f>"3252488133"</f>
        <v>3252488133</v>
      </c>
      <c r="E12830" s="2" t="s">
        <v>2452</v>
      </c>
      <c r="F12830" s="2" t="s">
        <v>50936</v>
      </c>
      <c r="G12830" s="2" t="str">
        <f>"SR-18172"</f>
        <v>SR-18172</v>
      </c>
      <c r="H12830" s="2" t="s">
        <v>50937</v>
      </c>
      <c r="I12830" s="2" t="s">
        <v>50938</v>
      </c>
      <c r="J12830" s="2" t="s">
        <v>50939</v>
      </c>
      <c r="K12830" s="2" t="s">
        <v>38030</v>
      </c>
      <c r="L12830" s="2" t="s">
        <v>172</v>
      </c>
      <c r="M12830" s="2">
        <v>78643.0</v>
      </c>
      <c r="N12830" s="2" t="s">
        <v>21</v>
      </c>
    </row>
    <row r="12831" ht="15.75" customHeight="1">
      <c r="A12831" s="2">
        <v>2020.0</v>
      </c>
      <c r="B12831" s="2" t="s">
        <v>50940</v>
      </c>
      <c r="C12831" s="2" t="s">
        <v>50940</v>
      </c>
      <c r="D12831" s="2" t="str">
        <f>"7176489356"</f>
        <v>7176489356</v>
      </c>
      <c r="E12831" s="2" t="s">
        <v>167</v>
      </c>
      <c r="F12831" s="2" t="s">
        <v>4728</v>
      </c>
      <c r="G12831" s="2" t="str">
        <f>"SR-18162"</f>
        <v>SR-18162</v>
      </c>
      <c r="H12831" s="2" t="s">
        <v>50941</v>
      </c>
      <c r="I12831" s="2" t="s">
        <v>50942</v>
      </c>
      <c r="K12831" s="2" t="s">
        <v>32115</v>
      </c>
      <c r="L12831" s="2" t="s">
        <v>179</v>
      </c>
      <c r="M12831" s="2">
        <v>17055.0</v>
      </c>
      <c r="N12831" s="2" t="s">
        <v>21</v>
      </c>
    </row>
    <row r="12832" ht="15.75" customHeight="1">
      <c r="A12832" s="2">
        <v>2020.0</v>
      </c>
      <c r="B12832" s="2" t="s">
        <v>50943</v>
      </c>
      <c r="C12832" s="2" t="s">
        <v>50944</v>
      </c>
      <c r="D12832" s="2" t="str">
        <f>"816-723-9810"</f>
        <v>816-723-9810</v>
      </c>
      <c r="E12832" s="2" t="s">
        <v>50945</v>
      </c>
      <c r="F12832" s="2" t="s">
        <v>50946</v>
      </c>
      <c r="G12832" s="2" t="str">
        <f>"SR-15106"</f>
        <v>SR-15106</v>
      </c>
      <c r="H12832" s="2" t="s">
        <v>50947</v>
      </c>
      <c r="I12832" s="2" t="s">
        <v>50948</v>
      </c>
      <c r="K12832" s="2" t="s">
        <v>1814</v>
      </c>
      <c r="L12832" s="2" t="s">
        <v>214</v>
      </c>
      <c r="M12832" s="2">
        <v>64114.0</v>
      </c>
      <c r="N12832" s="2" t="s">
        <v>21</v>
      </c>
    </row>
    <row r="12833" ht="15.75" customHeight="1">
      <c r="A12833" s="2">
        <v>2020.0</v>
      </c>
      <c r="B12833" s="2" t="s">
        <v>40306</v>
      </c>
      <c r="C12833" s="2" t="s">
        <v>50949</v>
      </c>
      <c r="D12833" s="2" t="str">
        <f>"9132697575"</f>
        <v>9132697575</v>
      </c>
      <c r="E12833" s="2" t="s">
        <v>49189</v>
      </c>
      <c r="F12833" s="2" t="s">
        <v>639</v>
      </c>
      <c r="G12833" s="2" t="str">
        <f>"SR-17965"</f>
        <v>SR-17965</v>
      </c>
      <c r="H12833" s="2" t="s">
        <v>50950</v>
      </c>
      <c r="I12833" s="2" t="s">
        <v>40309</v>
      </c>
      <c r="K12833" s="2" t="s">
        <v>1814</v>
      </c>
      <c r="L12833" s="2" t="s">
        <v>272</v>
      </c>
      <c r="M12833" s="2">
        <v>66102.0</v>
      </c>
      <c r="N12833" s="2" t="s">
        <v>21</v>
      </c>
    </row>
    <row r="12834" ht="15.75" customHeight="1">
      <c r="A12834" s="2">
        <v>2020.0</v>
      </c>
      <c r="B12834" s="2" t="s">
        <v>50951</v>
      </c>
      <c r="C12834" s="2" t="s">
        <v>50952</v>
      </c>
      <c r="D12834" s="2" t="str">
        <f>"717-254-9299"</f>
        <v>717-254-9299</v>
      </c>
      <c r="E12834" s="2" t="s">
        <v>5548</v>
      </c>
      <c r="F12834" s="2" t="s">
        <v>49088</v>
      </c>
      <c r="G12834" s="2" t="str">
        <f>"SR-18182"</f>
        <v>SR-18182</v>
      </c>
      <c r="H12834" s="2" t="s">
        <v>50953</v>
      </c>
      <c r="I12834" s="2" t="s">
        <v>50954</v>
      </c>
      <c r="K12834" s="2" t="s">
        <v>32115</v>
      </c>
      <c r="L12834" s="2" t="s">
        <v>179</v>
      </c>
      <c r="M12834" s="2">
        <v>17055.0</v>
      </c>
      <c r="N12834" s="2" t="s">
        <v>21</v>
      </c>
    </row>
    <row r="12835" ht="15.75" customHeight="1">
      <c r="A12835" s="2">
        <v>2020.0</v>
      </c>
      <c r="B12835" s="2" t="s">
        <v>50955</v>
      </c>
      <c r="C12835" s="2" t="s">
        <v>50956</v>
      </c>
      <c r="D12835" s="2" t="str">
        <f>"7608456752"</f>
        <v>7608456752</v>
      </c>
      <c r="E12835" s="2" t="s">
        <v>13027</v>
      </c>
      <c r="F12835" s="2" t="s">
        <v>19130</v>
      </c>
      <c r="G12835" s="2" t="str">
        <f>"SR-17885"</f>
        <v>SR-17885</v>
      </c>
      <c r="H12835" s="2" t="s">
        <v>50957</v>
      </c>
      <c r="I12835" s="2" t="s">
        <v>50958</v>
      </c>
      <c r="K12835" s="2" t="s">
        <v>14981</v>
      </c>
      <c r="L12835" s="2" t="s">
        <v>222</v>
      </c>
      <c r="M12835" s="2">
        <v>92084.0</v>
      </c>
      <c r="N12835" s="2" t="s">
        <v>21</v>
      </c>
    </row>
    <row r="12836" ht="15.75" customHeight="1">
      <c r="A12836" s="2">
        <v>2020.0</v>
      </c>
      <c r="B12836" s="2" t="s">
        <v>50959</v>
      </c>
      <c r="C12836" s="2" t="s">
        <v>50959</v>
      </c>
      <c r="D12836" s="2" t="str">
        <f>"8593939761"</f>
        <v>8593939761</v>
      </c>
      <c r="E12836" s="2" t="s">
        <v>14000</v>
      </c>
      <c r="F12836" s="2" t="s">
        <v>3385</v>
      </c>
      <c r="G12836" s="2" t="str">
        <f>"SR-18184"</f>
        <v>SR-18184</v>
      </c>
      <c r="H12836" s="2" t="s">
        <v>50960</v>
      </c>
      <c r="I12836" s="2" t="s">
        <v>50961</v>
      </c>
      <c r="K12836" s="2" t="s">
        <v>10088</v>
      </c>
      <c r="L12836" s="2" t="s">
        <v>1236</v>
      </c>
      <c r="M12836" s="2">
        <v>41048.0</v>
      </c>
      <c r="N12836" s="2" t="s">
        <v>21</v>
      </c>
    </row>
    <row r="12837" ht="15.75" customHeight="1">
      <c r="A12837" s="2">
        <v>2020.0</v>
      </c>
      <c r="B12837" s="2" t="s">
        <v>50962</v>
      </c>
      <c r="C12837" s="2" t="s">
        <v>50962</v>
      </c>
      <c r="D12837" s="2" t="str">
        <f>"202-641-8898"</f>
        <v>202-641-8898</v>
      </c>
      <c r="E12837" s="2" t="s">
        <v>339</v>
      </c>
      <c r="F12837" s="2" t="s">
        <v>1864</v>
      </c>
      <c r="G12837" s="2" t="str">
        <f>"SR-17894"</f>
        <v>SR-17894</v>
      </c>
      <c r="H12837" s="2" t="s">
        <v>50963</v>
      </c>
      <c r="I12837" s="2" t="s">
        <v>1866</v>
      </c>
      <c r="K12837" s="2" t="s">
        <v>1867</v>
      </c>
      <c r="L12837" s="2" t="s">
        <v>1868</v>
      </c>
      <c r="M12837" s="2">
        <v>20705.0</v>
      </c>
      <c r="N12837" s="2" t="s">
        <v>21</v>
      </c>
    </row>
    <row r="12838" ht="15.75" customHeight="1">
      <c r="A12838" s="2">
        <v>2020.0</v>
      </c>
      <c r="B12838" s="2" t="s">
        <v>50964</v>
      </c>
      <c r="C12838" s="2" t="s">
        <v>50965</v>
      </c>
      <c r="D12838" s="2" t="str">
        <f>"719-447-7605"</f>
        <v>719-447-7605</v>
      </c>
      <c r="E12838" s="2" t="s">
        <v>11043</v>
      </c>
      <c r="F12838" s="2" t="s">
        <v>50966</v>
      </c>
      <c r="G12838" s="2" t="str">
        <f>"SR-18186"</f>
        <v>SR-18186</v>
      </c>
      <c r="H12838" s="2" t="s">
        <v>50967</v>
      </c>
      <c r="I12838" s="2" t="s">
        <v>50968</v>
      </c>
      <c r="K12838" s="2" t="s">
        <v>809</v>
      </c>
      <c r="L12838" s="2" t="s">
        <v>157</v>
      </c>
      <c r="M12838" s="2">
        <v>80923.0</v>
      </c>
      <c r="N12838" s="2" t="s">
        <v>21</v>
      </c>
    </row>
    <row r="12839" ht="15.75" customHeight="1">
      <c r="A12839" s="2">
        <v>2020.0</v>
      </c>
      <c r="B12839" s="2" t="s">
        <v>50969</v>
      </c>
      <c r="C12839" s="2" t="s">
        <v>50970</v>
      </c>
      <c r="D12839" s="2" t="str">
        <f>"9374053249"</f>
        <v>9374053249</v>
      </c>
      <c r="E12839" s="2" t="s">
        <v>10566</v>
      </c>
      <c r="F12839" s="2" t="s">
        <v>3095</v>
      </c>
      <c r="G12839" s="2" t="str">
        <f>"SR-18187"</f>
        <v>SR-18187</v>
      </c>
      <c r="H12839" s="2" t="s">
        <v>50971</v>
      </c>
      <c r="I12839" s="2" t="s">
        <v>50972</v>
      </c>
      <c r="K12839" s="2" t="s">
        <v>3098</v>
      </c>
      <c r="L12839" s="2" t="s">
        <v>344</v>
      </c>
      <c r="M12839" s="2">
        <v>45312.0</v>
      </c>
      <c r="N12839" s="2" t="s">
        <v>21</v>
      </c>
    </row>
    <row r="12840" ht="15.75" customHeight="1">
      <c r="A12840" s="2">
        <v>2020.0</v>
      </c>
      <c r="B12840" s="2" t="s">
        <v>50973</v>
      </c>
      <c r="C12840" s="2" t="s">
        <v>50973</v>
      </c>
      <c r="D12840" s="2" t="str">
        <f>"4235821978"</f>
        <v>4235821978</v>
      </c>
      <c r="E12840" s="2" t="s">
        <v>25566</v>
      </c>
      <c r="F12840" s="2" t="s">
        <v>28692</v>
      </c>
      <c r="G12840" s="2" t="str">
        <f>"SR-18188"</f>
        <v>SR-18188</v>
      </c>
      <c r="H12840" s="2" t="s">
        <v>50974</v>
      </c>
      <c r="I12840" s="2" t="s">
        <v>50975</v>
      </c>
      <c r="K12840" s="2" t="s">
        <v>6703</v>
      </c>
      <c r="L12840" s="2" t="s">
        <v>279</v>
      </c>
      <c r="M12840" s="2">
        <v>37377.0</v>
      </c>
      <c r="N12840" s="2" t="s">
        <v>21</v>
      </c>
    </row>
    <row r="12841" ht="15.75" customHeight="1">
      <c r="A12841" s="2">
        <v>2020.0</v>
      </c>
      <c r="B12841" s="2" t="s">
        <v>49011</v>
      </c>
      <c r="C12841" s="2" t="s">
        <v>50976</v>
      </c>
      <c r="D12841" s="2" t="str">
        <f>"970-313-3292"</f>
        <v>970-313-3292</v>
      </c>
      <c r="E12841" s="2" t="s">
        <v>2941</v>
      </c>
      <c r="F12841" s="2" t="s">
        <v>21049</v>
      </c>
      <c r="G12841" s="2" t="str">
        <f>"SR-17356"</f>
        <v>SR-17356</v>
      </c>
      <c r="H12841" s="2" t="s">
        <v>50977</v>
      </c>
      <c r="I12841" s="2" t="s">
        <v>49014</v>
      </c>
      <c r="K12841" s="2" t="s">
        <v>1558</v>
      </c>
      <c r="L12841" s="2" t="s">
        <v>157</v>
      </c>
      <c r="M12841" s="2">
        <v>80634.0</v>
      </c>
      <c r="N12841" s="2" t="s">
        <v>21</v>
      </c>
    </row>
    <row r="12842" ht="15.75" customHeight="1">
      <c r="A12842" s="2">
        <v>2020.0</v>
      </c>
      <c r="B12842" s="2" t="s">
        <v>48200</v>
      </c>
      <c r="C12842" s="2" t="s">
        <v>48201</v>
      </c>
      <c r="D12842" s="2" t="str">
        <f>"3378539299"</f>
        <v>3378539299</v>
      </c>
      <c r="E12842" s="2" t="s">
        <v>40320</v>
      </c>
      <c r="F12842" s="2" t="s">
        <v>486</v>
      </c>
      <c r="G12842" s="2" t="str">
        <f>"SR-16921"</f>
        <v>SR-16921</v>
      </c>
      <c r="H12842" s="2" t="s">
        <v>48202</v>
      </c>
      <c r="I12842" s="2" t="s">
        <v>48203</v>
      </c>
      <c r="K12842" s="2" t="s">
        <v>11600</v>
      </c>
      <c r="L12842" s="2" t="s">
        <v>715</v>
      </c>
      <c r="M12842" s="2">
        <v>70601.0</v>
      </c>
      <c r="N12842" s="2" t="s">
        <v>21</v>
      </c>
    </row>
    <row r="12843" ht="15.75" customHeight="1">
      <c r="A12843" s="2">
        <v>2020.0</v>
      </c>
      <c r="B12843" s="2" t="s">
        <v>50978</v>
      </c>
      <c r="C12843" s="2" t="s">
        <v>50978</v>
      </c>
      <c r="D12843" s="2" t="str">
        <f>"5803879014"</f>
        <v>5803879014</v>
      </c>
      <c r="E12843" s="2" t="s">
        <v>659</v>
      </c>
      <c r="F12843" s="2" t="s">
        <v>6494</v>
      </c>
      <c r="G12843" s="2" t="str">
        <f>"SR-18196"</f>
        <v>SR-18196</v>
      </c>
      <c r="H12843" s="2" t="s">
        <v>50979</v>
      </c>
      <c r="I12843" s="2" t="s">
        <v>50980</v>
      </c>
      <c r="K12843" s="2" t="s">
        <v>12164</v>
      </c>
      <c r="L12843" s="2" t="s">
        <v>172</v>
      </c>
      <c r="M12843" s="2">
        <v>78624.0</v>
      </c>
      <c r="N12843" s="2" t="s">
        <v>21</v>
      </c>
    </row>
    <row r="12844" ht="15.75" customHeight="1">
      <c r="A12844" s="2">
        <v>2020.0</v>
      </c>
      <c r="B12844" s="2" t="s">
        <v>50981</v>
      </c>
      <c r="C12844" s="2" t="s">
        <v>50982</v>
      </c>
      <c r="D12844" s="2" t="str">
        <f>"3107132099"</f>
        <v>3107132099</v>
      </c>
      <c r="E12844" s="2" t="s">
        <v>50983</v>
      </c>
      <c r="F12844" s="2" t="s">
        <v>666</v>
      </c>
      <c r="G12844" s="2" t="str">
        <f>"SR-18174"</f>
        <v>SR-18174</v>
      </c>
      <c r="H12844" s="2" t="s">
        <v>50984</v>
      </c>
      <c r="I12844" s="2" t="s">
        <v>50985</v>
      </c>
      <c r="K12844" s="2" t="s">
        <v>50986</v>
      </c>
      <c r="L12844" s="2" t="s">
        <v>214</v>
      </c>
      <c r="M12844" s="2">
        <v>63301.0</v>
      </c>
      <c r="N12844" s="2" t="s">
        <v>21</v>
      </c>
    </row>
    <row r="12845" ht="15.75" customHeight="1">
      <c r="A12845" s="2">
        <v>2020.0</v>
      </c>
      <c r="B12845" s="2" t="s">
        <v>23420</v>
      </c>
      <c r="C12845" s="2" t="s">
        <v>50987</v>
      </c>
      <c r="D12845" s="2" t="str">
        <f>"4079612733"</f>
        <v>4079612733</v>
      </c>
      <c r="E12845" s="2" t="s">
        <v>167</v>
      </c>
      <c r="F12845" s="2" t="s">
        <v>1151</v>
      </c>
      <c r="G12845" s="2" t="str">
        <f>"SR-18201"</f>
        <v>SR-18201</v>
      </c>
      <c r="H12845" s="2" t="s">
        <v>50988</v>
      </c>
      <c r="I12845" s="2" t="s">
        <v>23424</v>
      </c>
      <c r="K12845" s="2" t="s">
        <v>4724</v>
      </c>
      <c r="L12845" s="2" t="s">
        <v>208</v>
      </c>
      <c r="M12845" s="2">
        <v>32828.0</v>
      </c>
      <c r="N12845" s="2" t="s">
        <v>21</v>
      </c>
    </row>
    <row r="12846" ht="15.75" customHeight="1">
      <c r="A12846" s="2">
        <v>2020.0</v>
      </c>
      <c r="B12846" s="2" t="s">
        <v>50989</v>
      </c>
      <c r="C12846" s="2" t="s">
        <v>50990</v>
      </c>
      <c r="D12846" s="2" t="str">
        <f>"7194938360"</f>
        <v>7194938360</v>
      </c>
      <c r="E12846" s="2" t="s">
        <v>225</v>
      </c>
      <c r="F12846" s="2" t="s">
        <v>50991</v>
      </c>
      <c r="G12846" s="2" t="str">
        <f>"SR-18202"</f>
        <v>SR-18202</v>
      </c>
      <c r="H12846" s="2" t="s">
        <v>50992</v>
      </c>
      <c r="I12846" s="2" t="s">
        <v>50993</v>
      </c>
      <c r="K12846" s="2" t="s">
        <v>507</v>
      </c>
      <c r="L12846" s="2" t="s">
        <v>157</v>
      </c>
      <c r="M12846" s="2">
        <v>80132.0</v>
      </c>
      <c r="N12846" s="2" t="s">
        <v>21</v>
      </c>
    </row>
    <row r="12847" ht="15.75" customHeight="1">
      <c r="A12847" s="2">
        <v>2020.0</v>
      </c>
      <c r="B12847" s="2" t="s">
        <v>50994</v>
      </c>
      <c r="C12847" s="2" t="s">
        <v>50994</v>
      </c>
      <c r="D12847" s="2" t="str">
        <f>"7197228693"</f>
        <v>7197228693</v>
      </c>
      <c r="E12847" s="2" t="s">
        <v>2941</v>
      </c>
      <c r="F12847" s="2" t="s">
        <v>12320</v>
      </c>
      <c r="G12847" s="2" t="str">
        <f>"SR-18203"</f>
        <v>SR-18203</v>
      </c>
      <c r="H12847" s="2" t="s">
        <v>50995</v>
      </c>
      <c r="I12847" s="2" t="s">
        <v>17707</v>
      </c>
      <c r="K12847" s="2" t="s">
        <v>809</v>
      </c>
      <c r="L12847" s="2" t="s">
        <v>157</v>
      </c>
      <c r="M12847" s="2">
        <v>80921.0</v>
      </c>
      <c r="N12847" s="2" t="s">
        <v>21</v>
      </c>
    </row>
    <row r="12848" ht="15.75" customHeight="1">
      <c r="A12848" s="2">
        <v>2020.0</v>
      </c>
      <c r="B12848" s="2" t="s">
        <v>50996</v>
      </c>
      <c r="C12848" s="2" t="s">
        <v>34466</v>
      </c>
      <c r="D12848" s="2" t="str">
        <f>"319-365-2669"</f>
        <v>319-365-2669</v>
      </c>
      <c r="E12848" s="2" t="s">
        <v>50997</v>
      </c>
      <c r="F12848" s="2" t="s">
        <v>50998</v>
      </c>
      <c r="G12848" s="2" t="str">
        <f>"SR-18207"</f>
        <v>SR-18207</v>
      </c>
      <c r="H12848" s="2" t="s">
        <v>50999</v>
      </c>
      <c r="I12848" s="2" t="s">
        <v>34468</v>
      </c>
      <c r="K12848" s="2" t="s">
        <v>3273</v>
      </c>
      <c r="L12848" s="2" t="s">
        <v>560</v>
      </c>
      <c r="M12848" s="2">
        <v>52402.0</v>
      </c>
      <c r="N12848" s="2" t="s">
        <v>21</v>
      </c>
    </row>
    <row r="12849" ht="15.75" customHeight="1">
      <c r="A12849" s="2">
        <v>2020.0</v>
      </c>
      <c r="B12849" s="2" t="s">
        <v>50996</v>
      </c>
      <c r="C12849" s="2" t="s">
        <v>34487</v>
      </c>
      <c r="D12849" s="2" t="str">
        <f>"319-531-0274"</f>
        <v>319-531-0274</v>
      </c>
      <c r="E12849" s="2" t="s">
        <v>984</v>
      </c>
      <c r="F12849" s="2" t="s">
        <v>26297</v>
      </c>
      <c r="G12849" s="2" t="str">
        <f>"SR-18205"</f>
        <v>SR-18205</v>
      </c>
      <c r="H12849" s="2" t="s">
        <v>34488</v>
      </c>
      <c r="I12849" s="2" t="s">
        <v>34468</v>
      </c>
      <c r="K12849" s="2" t="s">
        <v>3273</v>
      </c>
      <c r="L12849" s="2" t="s">
        <v>560</v>
      </c>
      <c r="M12849" s="2">
        <v>52402.0</v>
      </c>
      <c r="N12849" s="2" t="s">
        <v>21</v>
      </c>
    </row>
    <row r="12850" ht="15.75" customHeight="1">
      <c r="A12850" s="2">
        <v>2020.0</v>
      </c>
      <c r="B12850" s="2" t="s">
        <v>51000</v>
      </c>
      <c r="C12850" s="2" t="s">
        <v>51001</v>
      </c>
      <c r="D12850" s="2" t="str">
        <f>"7042992527"</f>
        <v>7042992527</v>
      </c>
      <c r="E12850" s="2" t="s">
        <v>705</v>
      </c>
      <c r="F12850" s="2" t="s">
        <v>283</v>
      </c>
      <c r="G12850" s="2" t="str">
        <f>"SR-18208"</f>
        <v>SR-18208</v>
      </c>
      <c r="H12850" s="2" t="s">
        <v>20159</v>
      </c>
      <c r="I12850" s="2" t="s">
        <v>51002</v>
      </c>
      <c r="J12850" s="2" t="s">
        <v>51003</v>
      </c>
      <c r="K12850" s="2" t="s">
        <v>7993</v>
      </c>
      <c r="L12850" s="2" t="s">
        <v>20</v>
      </c>
      <c r="M12850" s="2">
        <v>27606.0</v>
      </c>
      <c r="N12850" s="2" t="s">
        <v>21</v>
      </c>
    </row>
    <row r="12851" ht="15.75" customHeight="1">
      <c r="A12851" s="2">
        <v>2020.0</v>
      </c>
      <c r="B12851" s="2" t="s">
        <v>51004</v>
      </c>
      <c r="C12851" s="2" t="s">
        <v>51005</v>
      </c>
      <c r="D12851" s="2" t="str">
        <f>"2812229188"</f>
        <v>2812229188</v>
      </c>
      <c r="E12851" s="2" t="s">
        <v>456</v>
      </c>
      <c r="F12851" s="2" t="s">
        <v>283</v>
      </c>
      <c r="G12851" s="2" t="str">
        <f>"SR-14942"</f>
        <v>SR-14942</v>
      </c>
      <c r="H12851" s="2" t="s">
        <v>51006</v>
      </c>
      <c r="I12851" s="2" t="s">
        <v>51007</v>
      </c>
      <c r="K12851" s="2" t="s">
        <v>538</v>
      </c>
      <c r="L12851" s="2" t="s">
        <v>172</v>
      </c>
      <c r="M12851" s="2">
        <v>77316.0</v>
      </c>
      <c r="N12851" s="2" t="s">
        <v>21</v>
      </c>
    </row>
    <row r="12852" ht="15.75" customHeight="1">
      <c r="A12852" s="2">
        <v>2020.0</v>
      </c>
      <c r="B12852" s="2" t="s">
        <v>51008</v>
      </c>
      <c r="C12852" s="2" t="s">
        <v>51009</v>
      </c>
      <c r="D12852" s="2" t="str">
        <f>"6165603472"</f>
        <v>6165603472</v>
      </c>
      <c r="E12852" s="2" t="s">
        <v>955</v>
      </c>
      <c r="F12852" s="2" t="s">
        <v>51010</v>
      </c>
      <c r="G12852" s="2" t="str">
        <f>"SR-18171"</f>
        <v>SR-18171</v>
      </c>
      <c r="H12852" s="2" t="s">
        <v>51011</v>
      </c>
      <c r="I12852" s="2" t="s">
        <v>51012</v>
      </c>
      <c r="K12852" s="2" t="s">
        <v>16428</v>
      </c>
      <c r="L12852" s="2" t="s">
        <v>29</v>
      </c>
      <c r="M12852" s="2">
        <v>49426.0</v>
      </c>
      <c r="N12852" s="2" t="s">
        <v>21</v>
      </c>
    </row>
    <row r="12853" ht="15.75" customHeight="1">
      <c r="A12853" s="2">
        <v>2020.0</v>
      </c>
      <c r="B12853" s="2" t="s">
        <v>51013</v>
      </c>
      <c r="C12853" s="2" t="s">
        <v>51014</v>
      </c>
      <c r="D12853" s="2" t="str">
        <f>"610-809-8415"</f>
        <v>610-809-8415</v>
      </c>
      <c r="E12853" s="2" t="s">
        <v>4322</v>
      </c>
      <c r="F12853" s="2" t="s">
        <v>51015</v>
      </c>
      <c r="G12853" s="2" t="str">
        <f>"SR-18218"</f>
        <v>SR-18218</v>
      </c>
      <c r="H12853" s="2" t="s">
        <v>51016</v>
      </c>
      <c r="I12853" s="2" t="s">
        <v>51017</v>
      </c>
      <c r="K12853" s="2" t="s">
        <v>51018</v>
      </c>
      <c r="L12853" s="2" t="s">
        <v>179</v>
      </c>
      <c r="M12853" s="2">
        <v>19036.0</v>
      </c>
      <c r="N12853" s="2" t="s">
        <v>21</v>
      </c>
    </row>
    <row r="12854" ht="15.75" customHeight="1">
      <c r="A12854" s="2">
        <v>2020.0</v>
      </c>
      <c r="B12854" s="2" t="s">
        <v>51019</v>
      </c>
      <c r="C12854" s="2" t="s">
        <v>51020</v>
      </c>
      <c r="D12854" s="2" t="str">
        <f>"9858040445"</f>
        <v>9858040445</v>
      </c>
      <c r="E12854" s="2" t="s">
        <v>11423</v>
      </c>
      <c r="F12854" s="2" t="s">
        <v>51021</v>
      </c>
      <c r="G12854" s="2" t="str">
        <f>"SR-18219"</f>
        <v>SR-18219</v>
      </c>
      <c r="H12854" s="2" t="s">
        <v>51022</v>
      </c>
      <c r="I12854" s="2" t="s">
        <v>51023</v>
      </c>
      <c r="K12854" s="2" t="s">
        <v>36054</v>
      </c>
      <c r="L12854" s="2" t="s">
        <v>715</v>
      </c>
      <c r="M12854" s="2">
        <v>70360.0</v>
      </c>
      <c r="N12854" s="2" t="s">
        <v>21</v>
      </c>
    </row>
    <row r="12855" ht="15.75" customHeight="1">
      <c r="A12855" s="2">
        <v>2020.0</v>
      </c>
      <c r="B12855" s="2" t="s">
        <v>51019</v>
      </c>
      <c r="C12855" s="2" t="s">
        <v>51024</v>
      </c>
      <c r="D12855" s="2" t="str">
        <f>"9852268136"</f>
        <v>9852268136</v>
      </c>
      <c r="E12855" s="2" t="s">
        <v>217</v>
      </c>
      <c r="F12855" s="2" t="s">
        <v>51021</v>
      </c>
      <c r="G12855" s="2" t="str">
        <f>"SR-18220"</f>
        <v>SR-18220</v>
      </c>
      <c r="H12855" s="2" t="s">
        <v>51025</v>
      </c>
      <c r="I12855" s="2" t="s">
        <v>51023</v>
      </c>
      <c r="K12855" s="2" t="s">
        <v>36054</v>
      </c>
      <c r="L12855" s="2" t="s">
        <v>715</v>
      </c>
      <c r="M12855" s="2">
        <v>70360.0</v>
      </c>
      <c r="N12855" s="2" t="s">
        <v>21</v>
      </c>
    </row>
    <row r="12856" ht="15.75" customHeight="1">
      <c r="A12856" s="2">
        <v>2020.0</v>
      </c>
      <c r="B12856" s="2" t="s">
        <v>51026</v>
      </c>
      <c r="C12856" s="2" t="s">
        <v>51027</v>
      </c>
      <c r="D12856" s="2" t="str">
        <f>"(310)7145454"</f>
        <v>(310)7145454</v>
      </c>
      <c r="E12856" s="2" t="s">
        <v>2412</v>
      </c>
      <c r="F12856" s="2" t="s">
        <v>15274</v>
      </c>
      <c r="G12856" s="2" t="str">
        <f>"SR-18224"</f>
        <v>SR-18224</v>
      </c>
      <c r="H12856" s="2" t="s">
        <v>51028</v>
      </c>
      <c r="I12856" s="2" t="s">
        <v>33122</v>
      </c>
      <c r="K12856" s="2" t="s">
        <v>33123</v>
      </c>
      <c r="L12856" s="2" t="s">
        <v>222</v>
      </c>
      <c r="M12856" s="2">
        <v>92536.0</v>
      </c>
      <c r="N12856" s="2" t="s">
        <v>21</v>
      </c>
    </row>
    <row r="12857" ht="15.75" customHeight="1">
      <c r="A12857" s="2">
        <v>2020.0</v>
      </c>
      <c r="B12857" s="2" t="s">
        <v>51029</v>
      </c>
      <c r="C12857" s="2" t="s">
        <v>51029</v>
      </c>
      <c r="D12857" s="2" t="str">
        <f>"4844719091"</f>
        <v>4844719091</v>
      </c>
      <c r="E12857" s="2" t="s">
        <v>7145</v>
      </c>
      <c r="F12857" s="2" t="s">
        <v>51030</v>
      </c>
      <c r="G12857" s="2" t="str">
        <f>"SR-18225"</f>
        <v>SR-18225</v>
      </c>
      <c r="H12857" s="2" t="s">
        <v>51031</v>
      </c>
      <c r="I12857" s="2" t="s">
        <v>51032</v>
      </c>
      <c r="K12857" s="2" t="s">
        <v>3760</v>
      </c>
      <c r="L12857" s="2" t="s">
        <v>179</v>
      </c>
      <c r="M12857" s="2">
        <v>19063.0</v>
      </c>
      <c r="N12857" s="2" t="s">
        <v>21</v>
      </c>
    </row>
    <row r="12858" ht="15.75" customHeight="1">
      <c r="A12858" s="2">
        <v>2020.0</v>
      </c>
      <c r="B12858" s="2" t="s">
        <v>51033</v>
      </c>
      <c r="C12858" s="2" t="s">
        <v>51034</v>
      </c>
      <c r="D12858" s="2" t="str">
        <f>"352-694-3777"</f>
        <v>352-694-3777</v>
      </c>
      <c r="E12858" s="2" t="s">
        <v>25249</v>
      </c>
      <c r="F12858" s="2" t="s">
        <v>51035</v>
      </c>
      <c r="G12858" s="2" t="str">
        <f>"SR-18031"</f>
        <v>SR-18031</v>
      </c>
      <c r="H12858" s="2" t="s">
        <v>51036</v>
      </c>
      <c r="I12858" s="2" t="s">
        <v>51037</v>
      </c>
      <c r="K12858" s="2" t="s">
        <v>12516</v>
      </c>
      <c r="L12858" s="2" t="s">
        <v>165</v>
      </c>
      <c r="M12858" s="2">
        <v>20169.0</v>
      </c>
      <c r="N12858" s="2" t="s">
        <v>21</v>
      </c>
    </row>
    <row r="12859" ht="15.75" customHeight="1">
      <c r="A12859" s="2">
        <v>2020.0</v>
      </c>
      <c r="B12859" s="2" t="s">
        <v>51038</v>
      </c>
      <c r="C12859" s="2" t="s">
        <v>51039</v>
      </c>
      <c r="D12859" s="2" t="str">
        <f>"7195026650"</f>
        <v>7195026650</v>
      </c>
      <c r="E12859" s="2" t="s">
        <v>23911</v>
      </c>
      <c r="F12859" s="2" t="s">
        <v>51040</v>
      </c>
      <c r="G12859" s="2" t="str">
        <f>"SR-17177"</f>
        <v>SR-17177</v>
      </c>
      <c r="H12859" s="2" t="s">
        <v>51041</v>
      </c>
      <c r="I12859" s="2" t="s">
        <v>51042</v>
      </c>
      <c r="K12859" s="2" t="s">
        <v>15818</v>
      </c>
      <c r="L12859" s="2" t="s">
        <v>157</v>
      </c>
      <c r="M12859" s="2">
        <v>80923.0</v>
      </c>
      <c r="N12859" s="2" t="s">
        <v>21</v>
      </c>
    </row>
    <row r="12860" ht="15.75" customHeight="1">
      <c r="A12860" s="2">
        <v>2020.0</v>
      </c>
      <c r="B12860" s="2" t="s">
        <v>51043</v>
      </c>
      <c r="D12860" s="2" t="str">
        <f>""</f>
        <v/>
      </c>
      <c r="E12860" s="2" t="s">
        <v>1197</v>
      </c>
      <c r="F12860" s="2" t="s">
        <v>51044</v>
      </c>
      <c r="G12860" s="2" t="str">
        <f>"SR-18170"</f>
        <v>SR-18170</v>
      </c>
      <c r="H12860" s="2" t="s">
        <v>51045</v>
      </c>
      <c r="N12860" s="2" t="s">
        <v>21</v>
      </c>
    </row>
    <row r="12861" ht="15.75" customHeight="1">
      <c r="A12861" s="2">
        <v>2020.0</v>
      </c>
      <c r="B12861" s="2" t="s">
        <v>51046</v>
      </c>
      <c r="C12861" s="2" t="s">
        <v>51047</v>
      </c>
      <c r="D12861" s="2" t="str">
        <f>"8067814158"</f>
        <v>8067814158</v>
      </c>
      <c r="E12861" s="2" t="s">
        <v>24625</v>
      </c>
      <c r="F12861" s="2" t="s">
        <v>2954</v>
      </c>
      <c r="G12861" s="2" t="str">
        <f>"SR-18226"</f>
        <v>SR-18226</v>
      </c>
      <c r="H12861" s="2" t="s">
        <v>51048</v>
      </c>
      <c r="I12861" s="2" t="s">
        <v>51049</v>
      </c>
      <c r="K12861" s="2" t="s">
        <v>1121</v>
      </c>
      <c r="L12861" s="2" t="s">
        <v>172</v>
      </c>
      <c r="M12861" s="2">
        <v>79424.0</v>
      </c>
      <c r="N12861" s="2" t="s">
        <v>21</v>
      </c>
    </row>
    <row r="12862" ht="15.75" customHeight="1">
      <c r="A12862" s="2">
        <v>2020.0</v>
      </c>
      <c r="B12862" s="2" t="s">
        <v>33463</v>
      </c>
      <c r="D12862" s="2" t="str">
        <f>""</f>
        <v/>
      </c>
      <c r="E12862" s="2" t="s">
        <v>3196</v>
      </c>
      <c r="F12862" s="2" t="s">
        <v>33465</v>
      </c>
      <c r="G12862" s="2" t="str">
        <f>"SR-18026"</f>
        <v>SR-18026</v>
      </c>
      <c r="H12862" s="2" t="s">
        <v>51050</v>
      </c>
      <c r="N12862" s="2" t="s">
        <v>21</v>
      </c>
    </row>
    <row r="12863" ht="15.75" customHeight="1">
      <c r="A12863" s="2">
        <v>2020.0</v>
      </c>
      <c r="B12863" s="2" t="s">
        <v>51051</v>
      </c>
      <c r="C12863" s="2" t="s">
        <v>51051</v>
      </c>
      <c r="D12863" s="2" t="str">
        <f>"630-360-5900"</f>
        <v>630-360-5900</v>
      </c>
      <c r="E12863" s="2" t="s">
        <v>15933</v>
      </c>
      <c r="F12863" s="2" t="s">
        <v>461</v>
      </c>
      <c r="G12863" s="2" t="str">
        <f>"SR-18227"</f>
        <v>SR-18227</v>
      </c>
      <c r="H12863" s="2" t="s">
        <v>51052</v>
      </c>
      <c r="I12863" s="2" t="s">
        <v>51053</v>
      </c>
      <c r="K12863" s="2" t="s">
        <v>23987</v>
      </c>
      <c r="L12863" s="2" t="s">
        <v>105</v>
      </c>
      <c r="M12863" s="2">
        <v>60184.0</v>
      </c>
      <c r="N12863" s="2" t="s">
        <v>21</v>
      </c>
    </row>
    <row r="12864" ht="15.75" customHeight="1">
      <c r="A12864" s="2">
        <v>2020.0</v>
      </c>
      <c r="B12864" s="2" t="s">
        <v>51054</v>
      </c>
      <c r="C12864" s="2" t="s">
        <v>51054</v>
      </c>
      <c r="D12864" s="2" t="str">
        <f>"4078108737"</f>
        <v>4078108737</v>
      </c>
      <c r="E12864" s="2" t="s">
        <v>3977</v>
      </c>
      <c r="F12864" s="2" t="s">
        <v>701</v>
      </c>
      <c r="G12864" s="2" t="str">
        <f>"SR-17862"</f>
        <v>SR-17862</v>
      </c>
      <c r="H12864" s="2" t="s">
        <v>51055</v>
      </c>
      <c r="I12864" s="2" t="s">
        <v>51056</v>
      </c>
      <c r="K12864" s="2" t="s">
        <v>19345</v>
      </c>
      <c r="L12864" s="2" t="s">
        <v>208</v>
      </c>
      <c r="M12864" s="2">
        <v>34711.0</v>
      </c>
      <c r="N12864" s="2" t="s">
        <v>21</v>
      </c>
    </row>
    <row r="12865" ht="15.75" customHeight="1">
      <c r="A12865" s="2">
        <v>2020.0</v>
      </c>
      <c r="B12865" s="2" t="s">
        <v>51057</v>
      </c>
      <c r="C12865" s="2" t="s">
        <v>51058</v>
      </c>
      <c r="D12865" s="2" t="str">
        <f>"8069282825"</f>
        <v>8069282825</v>
      </c>
      <c r="E12865" s="2" t="s">
        <v>447</v>
      </c>
      <c r="F12865" s="2" t="s">
        <v>1988</v>
      </c>
      <c r="G12865" s="2" t="str">
        <f>"SR-18228"</f>
        <v>SR-18228</v>
      </c>
      <c r="H12865" s="2" t="s">
        <v>51059</v>
      </c>
      <c r="I12865" s="2" t="s">
        <v>51060</v>
      </c>
      <c r="K12865" s="2" t="s">
        <v>1121</v>
      </c>
      <c r="L12865" s="2" t="s">
        <v>172</v>
      </c>
      <c r="M12865" s="2">
        <v>79423.0</v>
      </c>
      <c r="N12865" s="2" t="s">
        <v>21</v>
      </c>
    </row>
    <row r="12866" ht="15.75" customHeight="1">
      <c r="A12866" s="2">
        <v>2020.0</v>
      </c>
      <c r="B12866" s="2" t="s">
        <v>51061</v>
      </c>
      <c r="C12866" s="2" t="s">
        <v>51061</v>
      </c>
      <c r="D12866" s="2" t="str">
        <f>"(863) 464-1882"</f>
        <v>(863) 464-1882</v>
      </c>
      <c r="E12866" s="2" t="s">
        <v>8080</v>
      </c>
      <c r="F12866" s="2" t="s">
        <v>37722</v>
      </c>
      <c r="G12866" s="2" t="str">
        <f>"SR-17998"</f>
        <v>SR-17998</v>
      </c>
      <c r="H12866" s="2" t="s">
        <v>51062</v>
      </c>
      <c r="I12866" s="2" t="s">
        <v>37724</v>
      </c>
      <c r="K12866" s="2" t="s">
        <v>26300</v>
      </c>
      <c r="L12866" s="2" t="s">
        <v>208</v>
      </c>
      <c r="M12866" s="2">
        <v>33852.0</v>
      </c>
      <c r="N12866" s="2" t="s">
        <v>21</v>
      </c>
    </row>
    <row r="12867" ht="15.75" customHeight="1">
      <c r="A12867" s="2">
        <v>2020.0</v>
      </c>
      <c r="B12867" s="2" t="s">
        <v>16841</v>
      </c>
      <c r="C12867" s="2" t="s">
        <v>51063</v>
      </c>
      <c r="D12867" s="2" t="str">
        <f>"4199088951"</f>
        <v>4199088951</v>
      </c>
      <c r="E12867" s="2" t="s">
        <v>2361</v>
      </c>
      <c r="F12867" s="2" t="s">
        <v>16843</v>
      </c>
      <c r="G12867" s="2" t="str">
        <f>"SR-18229"</f>
        <v>SR-18229</v>
      </c>
      <c r="H12867" s="2" t="s">
        <v>51064</v>
      </c>
      <c r="I12867" s="2" t="s">
        <v>51065</v>
      </c>
      <c r="K12867" s="2" t="s">
        <v>8565</v>
      </c>
      <c r="L12867" s="2" t="s">
        <v>344</v>
      </c>
      <c r="M12867" s="2">
        <v>44880.0</v>
      </c>
      <c r="N12867" s="2" t="s">
        <v>21</v>
      </c>
    </row>
    <row r="12868" ht="15.75" customHeight="1">
      <c r="A12868" s="2">
        <v>2020.0</v>
      </c>
      <c r="B12868" s="2" t="s">
        <v>20683</v>
      </c>
      <c r="C12868" s="2" t="s">
        <v>20683</v>
      </c>
      <c r="D12868" s="2" t="str">
        <f>"405-613-7525"</f>
        <v>405-613-7525</v>
      </c>
      <c r="E12868" s="2" t="s">
        <v>12249</v>
      </c>
      <c r="F12868" s="2" t="s">
        <v>12320</v>
      </c>
      <c r="G12868" s="2" t="str">
        <f>"SR-18206"</f>
        <v>SR-18206</v>
      </c>
      <c r="H12868" s="2" t="s">
        <v>51066</v>
      </c>
      <c r="I12868" s="2" t="s">
        <v>20685</v>
      </c>
      <c r="K12868" s="2" t="s">
        <v>20686</v>
      </c>
      <c r="L12868" s="2" t="s">
        <v>840</v>
      </c>
      <c r="M12868" s="2">
        <v>73064.0</v>
      </c>
      <c r="N12868" s="2" t="s">
        <v>21</v>
      </c>
    </row>
    <row r="12869" ht="15.75" customHeight="1">
      <c r="A12869" s="2">
        <v>2020.0</v>
      </c>
      <c r="B12869" s="2" t="s">
        <v>51067</v>
      </c>
      <c r="C12869" s="2" t="s">
        <v>51068</v>
      </c>
      <c r="D12869" s="2" t="str">
        <f>"5202795241"</f>
        <v>5202795241</v>
      </c>
      <c r="E12869" s="2" t="s">
        <v>51069</v>
      </c>
      <c r="F12869" s="2" t="s">
        <v>51070</v>
      </c>
      <c r="G12869" s="2" t="str">
        <f>"SR-18232"</f>
        <v>SR-18232</v>
      </c>
      <c r="H12869" s="2" t="s">
        <v>51071</v>
      </c>
      <c r="I12869" s="2" t="s">
        <v>51072</v>
      </c>
      <c r="K12869" s="2" t="s">
        <v>31649</v>
      </c>
      <c r="L12869" s="2" t="s">
        <v>422</v>
      </c>
      <c r="M12869" s="2">
        <v>85629.0</v>
      </c>
      <c r="N12869" s="2" t="s">
        <v>21</v>
      </c>
    </row>
    <row r="12870" ht="15.75" customHeight="1">
      <c r="A12870" s="2">
        <v>2020.0</v>
      </c>
      <c r="B12870" s="2" t="s">
        <v>47986</v>
      </c>
      <c r="C12870" s="2" t="s">
        <v>51073</v>
      </c>
      <c r="D12870" s="2" t="str">
        <f>"5126965435"</f>
        <v>5126965435</v>
      </c>
      <c r="E12870" s="2" t="s">
        <v>6170</v>
      </c>
      <c r="F12870" s="2" t="s">
        <v>47988</v>
      </c>
      <c r="G12870" s="2" t="str">
        <f>"SR-18234"</f>
        <v>SR-18234</v>
      </c>
      <c r="H12870" s="2" t="s">
        <v>51074</v>
      </c>
      <c r="I12870" s="2" t="s">
        <v>47990</v>
      </c>
      <c r="K12870" s="2" t="s">
        <v>1141</v>
      </c>
      <c r="L12870" s="2" t="s">
        <v>172</v>
      </c>
      <c r="M12870" s="2">
        <v>78737.0</v>
      </c>
      <c r="N12870" s="2" t="s">
        <v>21</v>
      </c>
    </row>
    <row r="12871" ht="15.75" customHeight="1">
      <c r="A12871" s="2">
        <v>2020.0</v>
      </c>
      <c r="B12871" s="2" t="s">
        <v>51075</v>
      </c>
      <c r="C12871" s="2" t="s">
        <v>51075</v>
      </c>
      <c r="D12871" s="2" t="str">
        <f>"2692213278"</f>
        <v>2692213278</v>
      </c>
      <c r="E12871" s="2" t="s">
        <v>2243</v>
      </c>
      <c r="F12871" s="2" t="s">
        <v>2251</v>
      </c>
      <c r="G12871" s="2" t="str">
        <f>"SR-18195"</f>
        <v>SR-18195</v>
      </c>
      <c r="H12871" s="2" t="s">
        <v>51076</v>
      </c>
      <c r="I12871" s="2" t="s">
        <v>51077</v>
      </c>
      <c r="K12871" s="2" t="s">
        <v>44343</v>
      </c>
      <c r="L12871" s="2" t="s">
        <v>29</v>
      </c>
      <c r="M12871" s="2">
        <v>49099.0</v>
      </c>
      <c r="N12871" s="2" t="s">
        <v>21</v>
      </c>
    </row>
    <row r="12872" ht="15.75" customHeight="1">
      <c r="A12872" s="2">
        <v>2020.0</v>
      </c>
      <c r="B12872" s="2" t="s">
        <v>51078</v>
      </c>
      <c r="C12872" s="2" t="s">
        <v>51079</v>
      </c>
      <c r="D12872" s="2" t="str">
        <f>"5209907453"</f>
        <v>5209907453</v>
      </c>
      <c r="E12872" s="2" t="s">
        <v>11885</v>
      </c>
      <c r="F12872" s="2" t="s">
        <v>1151</v>
      </c>
      <c r="G12872" s="2" t="str">
        <f>"SR-18233"</f>
        <v>SR-18233</v>
      </c>
      <c r="H12872" s="2" t="s">
        <v>51080</v>
      </c>
      <c r="I12872" s="2" t="s">
        <v>51081</v>
      </c>
      <c r="K12872" s="2" t="s">
        <v>5946</v>
      </c>
      <c r="L12872" s="2" t="s">
        <v>422</v>
      </c>
      <c r="M12872" s="2">
        <v>85743.0</v>
      </c>
      <c r="N12872" s="2" t="s">
        <v>21</v>
      </c>
    </row>
    <row r="12873" ht="15.75" customHeight="1">
      <c r="A12873" s="2">
        <v>2020.0</v>
      </c>
      <c r="B12873" s="2" t="s">
        <v>51082</v>
      </c>
      <c r="C12873" s="2" t="s">
        <v>51083</v>
      </c>
      <c r="D12873" s="2" t="str">
        <f>"303-261-7597"</f>
        <v>303-261-7597</v>
      </c>
      <c r="E12873" s="2" t="s">
        <v>12392</v>
      </c>
      <c r="F12873" s="2" t="s">
        <v>51084</v>
      </c>
      <c r="G12873" s="2" t="str">
        <f>"SR-18235"</f>
        <v>SR-18235</v>
      </c>
      <c r="H12873" s="2" t="s">
        <v>51085</v>
      </c>
      <c r="I12873" s="2" t="s">
        <v>51086</v>
      </c>
      <c r="K12873" s="2" t="s">
        <v>2527</v>
      </c>
      <c r="L12873" s="2" t="s">
        <v>157</v>
      </c>
      <c r="M12873" s="2">
        <v>80212.0</v>
      </c>
      <c r="N12873" s="2" t="s">
        <v>21</v>
      </c>
    </row>
    <row r="12874" ht="15.75" customHeight="1">
      <c r="A12874" s="2">
        <v>2020.0</v>
      </c>
      <c r="B12874" s="2" t="s">
        <v>51087</v>
      </c>
      <c r="C12874" s="2" t="s">
        <v>51088</v>
      </c>
      <c r="D12874" s="2" t="str">
        <f>"7655244847"</f>
        <v>7655244847</v>
      </c>
      <c r="E12874" s="2" t="s">
        <v>24063</v>
      </c>
      <c r="F12874" s="2" t="s">
        <v>51089</v>
      </c>
      <c r="G12874" s="2" t="str">
        <f>"SR-18111"</f>
        <v>SR-18111</v>
      </c>
      <c r="H12874" s="2" t="s">
        <v>51090</v>
      </c>
      <c r="I12874" s="2" t="s">
        <v>51091</v>
      </c>
      <c r="K12874" s="2" t="s">
        <v>32398</v>
      </c>
      <c r="L12874" s="2" t="s">
        <v>149</v>
      </c>
      <c r="M12874" s="2">
        <v>47362.0</v>
      </c>
      <c r="N12874" s="2" t="s">
        <v>21</v>
      </c>
    </row>
    <row r="12875" ht="15.75" customHeight="1">
      <c r="A12875" s="2">
        <v>2020.0</v>
      </c>
      <c r="B12875" s="2" t="s">
        <v>51092</v>
      </c>
      <c r="C12875" s="2" t="s">
        <v>51092</v>
      </c>
      <c r="D12875" s="2" t="str">
        <f>"2244698184"</f>
        <v>2244698184</v>
      </c>
      <c r="E12875" s="2" t="s">
        <v>24317</v>
      </c>
      <c r="F12875" s="2" t="s">
        <v>51093</v>
      </c>
      <c r="G12875" s="2" t="str">
        <f>"SR-18200"</f>
        <v>SR-18200</v>
      </c>
      <c r="H12875" s="2" t="s">
        <v>51094</v>
      </c>
      <c r="I12875" s="2" t="s">
        <v>51095</v>
      </c>
      <c r="J12875" s="2" t="s">
        <v>51096</v>
      </c>
      <c r="K12875" s="2" t="s">
        <v>51097</v>
      </c>
      <c r="L12875" s="2" t="s">
        <v>193</v>
      </c>
      <c r="M12875" s="2">
        <v>53192.0</v>
      </c>
      <c r="N12875" s="2" t="s">
        <v>21</v>
      </c>
    </row>
    <row r="12876" ht="15.75" customHeight="1">
      <c r="A12876" s="2">
        <v>2020.0</v>
      </c>
      <c r="B12876" s="2" t="s">
        <v>51098</v>
      </c>
      <c r="C12876" s="2" t="s">
        <v>51099</v>
      </c>
      <c r="D12876" s="2" t="str">
        <f>"6127235738"</f>
        <v>6127235738</v>
      </c>
      <c r="E12876" s="2" t="s">
        <v>678</v>
      </c>
      <c r="F12876" s="2" t="s">
        <v>51100</v>
      </c>
      <c r="G12876" s="2" t="str">
        <f>"SR-17597"</f>
        <v>SR-17597</v>
      </c>
      <c r="H12876" s="2" t="s">
        <v>51101</v>
      </c>
      <c r="I12876" s="2" t="s">
        <v>51102</v>
      </c>
      <c r="K12876" s="2" t="s">
        <v>51103</v>
      </c>
      <c r="L12876" s="2" t="s">
        <v>62</v>
      </c>
      <c r="M12876" s="2">
        <v>55014.0</v>
      </c>
      <c r="N12876" s="2" t="s">
        <v>21</v>
      </c>
    </row>
    <row r="12877" ht="15.75" customHeight="1">
      <c r="A12877" s="2">
        <v>2020.0</v>
      </c>
      <c r="B12877" s="2" t="s">
        <v>41</v>
      </c>
      <c r="C12877" s="2" t="s">
        <v>51104</v>
      </c>
      <c r="D12877" s="2" t="str">
        <f>"5176052096"</f>
        <v>5176052096</v>
      </c>
      <c r="E12877" s="2" t="s">
        <v>167</v>
      </c>
      <c r="F12877" s="2" t="s">
        <v>44</v>
      </c>
      <c r="G12877" s="2" t="str">
        <f>"SR-18077"</f>
        <v>SR-18077</v>
      </c>
      <c r="H12877" s="2" t="s">
        <v>51105</v>
      </c>
      <c r="I12877" s="2" t="s">
        <v>46</v>
      </c>
      <c r="K12877" s="2" t="s">
        <v>47</v>
      </c>
      <c r="L12877" s="2" t="s">
        <v>29</v>
      </c>
      <c r="M12877" s="2">
        <v>49221.0</v>
      </c>
      <c r="N12877" s="2" t="s">
        <v>21</v>
      </c>
    </row>
    <row r="12878" ht="15.75" customHeight="1">
      <c r="A12878" s="2">
        <v>2020.0</v>
      </c>
      <c r="B12878" s="2" t="s">
        <v>51106</v>
      </c>
      <c r="C12878" s="2" t="s">
        <v>51107</v>
      </c>
      <c r="D12878" s="2" t="str">
        <f t="shared" ref="D12878:D12879" si="215">"512-987-2824"</f>
        <v>512-987-2824</v>
      </c>
      <c r="E12878" s="2" t="s">
        <v>4665</v>
      </c>
      <c r="F12878" s="2" t="s">
        <v>950</v>
      </c>
      <c r="G12878" s="2" t="str">
        <f>"SR-18240"</f>
        <v>SR-18240</v>
      </c>
      <c r="H12878" s="2" t="s">
        <v>51108</v>
      </c>
      <c r="I12878" s="2" t="s">
        <v>51109</v>
      </c>
      <c r="K12878" s="2" t="s">
        <v>28561</v>
      </c>
      <c r="L12878" s="2" t="s">
        <v>157</v>
      </c>
      <c r="M12878" s="2">
        <v>81147.0</v>
      </c>
      <c r="N12878" s="2" t="s">
        <v>21</v>
      </c>
    </row>
    <row r="12879" ht="15.75" customHeight="1">
      <c r="A12879" s="2">
        <v>2020.0</v>
      </c>
      <c r="B12879" s="2" t="s">
        <v>51106</v>
      </c>
      <c r="C12879" s="2" t="s">
        <v>51110</v>
      </c>
      <c r="D12879" s="2" t="str">
        <f t="shared" si="215"/>
        <v>512-987-2824</v>
      </c>
      <c r="E12879" s="2" t="s">
        <v>1761</v>
      </c>
      <c r="F12879" s="2" t="s">
        <v>950</v>
      </c>
      <c r="G12879" s="2" t="str">
        <f>"SR-18242"</f>
        <v>SR-18242</v>
      </c>
      <c r="H12879" s="2" t="s">
        <v>51111</v>
      </c>
      <c r="I12879" s="2" t="s">
        <v>42881</v>
      </c>
      <c r="K12879" s="2" t="s">
        <v>28561</v>
      </c>
      <c r="L12879" s="2" t="s">
        <v>157</v>
      </c>
      <c r="M12879" s="2">
        <v>81147.0</v>
      </c>
      <c r="N12879" s="2" t="s">
        <v>21</v>
      </c>
    </row>
    <row r="12880" ht="15.75" customHeight="1">
      <c r="A12880" s="2">
        <v>2020.0</v>
      </c>
      <c r="B12880" s="2" t="s">
        <v>51112</v>
      </c>
      <c r="C12880" s="2" t="s">
        <v>51112</v>
      </c>
      <c r="D12880" s="2" t="str">
        <f>"970 317 9320"</f>
        <v>970 317 9320</v>
      </c>
      <c r="E12880" s="2" t="s">
        <v>705</v>
      </c>
      <c r="F12880" s="2" t="s">
        <v>51113</v>
      </c>
      <c r="G12880" s="2" t="str">
        <f>"SR-18243"</f>
        <v>SR-18243</v>
      </c>
      <c r="H12880" s="2" t="s">
        <v>51114</v>
      </c>
      <c r="I12880" s="2" t="s">
        <v>51115</v>
      </c>
      <c r="J12880" s="2" t="s">
        <v>51116</v>
      </c>
      <c r="K12880" s="2" t="s">
        <v>28561</v>
      </c>
      <c r="L12880" s="2" t="s">
        <v>157</v>
      </c>
      <c r="M12880" s="2">
        <v>81147.0</v>
      </c>
      <c r="N12880" s="2" t="s">
        <v>21</v>
      </c>
    </row>
    <row r="12881" ht="15.75" customHeight="1">
      <c r="A12881" s="2">
        <v>2020.0</v>
      </c>
      <c r="B12881" s="2" t="s">
        <v>51117</v>
      </c>
      <c r="C12881" s="2" t="s">
        <v>51117</v>
      </c>
      <c r="D12881" s="2" t="str">
        <f>"9703981089"</f>
        <v>9703981089</v>
      </c>
      <c r="E12881" s="2" t="s">
        <v>51118</v>
      </c>
      <c r="F12881" s="2" t="s">
        <v>32126</v>
      </c>
      <c r="G12881" s="2" t="str">
        <f>"SR-18238"</f>
        <v>SR-18238</v>
      </c>
      <c r="H12881" s="2" t="s">
        <v>51119</v>
      </c>
      <c r="I12881" s="2" t="s">
        <v>51120</v>
      </c>
      <c r="K12881" s="2" t="s">
        <v>28561</v>
      </c>
      <c r="L12881" s="2" t="s">
        <v>157</v>
      </c>
      <c r="M12881" s="2">
        <v>81147.0</v>
      </c>
      <c r="N12881" s="2" t="s">
        <v>21</v>
      </c>
    </row>
    <row r="12882" ht="15.75" customHeight="1">
      <c r="A12882" s="2">
        <v>2020.0</v>
      </c>
      <c r="B12882" s="2" t="s">
        <v>51121</v>
      </c>
      <c r="C12882" s="2" t="s">
        <v>51121</v>
      </c>
      <c r="D12882" s="2" t="str">
        <f>"4196511691"</f>
        <v>4196511691</v>
      </c>
      <c r="E12882" s="2" t="s">
        <v>10626</v>
      </c>
      <c r="F12882" s="2" t="s">
        <v>6301</v>
      </c>
      <c r="G12882" s="2" t="str">
        <f>"SR-18244"</f>
        <v>SR-18244</v>
      </c>
      <c r="H12882" s="2" t="s">
        <v>51122</v>
      </c>
      <c r="I12882" s="2" t="s">
        <v>51123</v>
      </c>
      <c r="K12882" s="2" t="s">
        <v>51124</v>
      </c>
      <c r="L12882" s="2" t="s">
        <v>344</v>
      </c>
      <c r="M12882" s="2">
        <v>44805.0</v>
      </c>
      <c r="N12882" s="2" t="s">
        <v>21</v>
      </c>
    </row>
    <row r="12883" ht="15.75" customHeight="1">
      <c r="A12883" s="2">
        <v>2020.0</v>
      </c>
      <c r="B12883" s="2" t="s">
        <v>51125</v>
      </c>
      <c r="C12883" s="2" t="s">
        <v>51125</v>
      </c>
      <c r="D12883" s="2" t="str">
        <f>"4196858740"</f>
        <v>4196858740</v>
      </c>
      <c r="E12883" s="2" t="s">
        <v>4322</v>
      </c>
      <c r="F12883" s="2" t="s">
        <v>1151</v>
      </c>
      <c r="G12883" s="2" t="str">
        <f>"SR-18245"</f>
        <v>SR-18245</v>
      </c>
      <c r="H12883" s="2" t="s">
        <v>4571</v>
      </c>
      <c r="I12883" s="2" t="s">
        <v>51126</v>
      </c>
      <c r="K12883" s="2" t="s">
        <v>1154</v>
      </c>
      <c r="L12883" s="2" t="s">
        <v>344</v>
      </c>
      <c r="M12883" s="2">
        <v>44805.0</v>
      </c>
      <c r="N12883" s="2" t="s">
        <v>21</v>
      </c>
    </row>
    <row r="12884" ht="15.75" customHeight="1">
      <c r="A12884" s="2">
        <v>2020.0</v>
      </c>
      <c r="B12884" s="2" t="s">
        <v>51127</v>
      </c>
      <c r="C12884" s="2" t="s">
        <v>51128</v>
      </c>
      <c r="D12884" s="2" t="str">
        <f>"7854099730"</f>
        <v>7854099730</v>
      </c>
      <c r="E12884" s="2" t="s">
        <v>1094</v>
      </c>
      <c r="F12884" s="2" t="s">
        <v>51129</v>
      </c>
      <c r="G12884" s="2" t="str">
        <f>"SR-18154"</f>
        <v>SR-18154</v>
      </c>
      <c r="H12884" s="2" t="s">
        <v>51130</v>
      </c>
      <c r="I12884" s="2" t="s">
        <v>51131</v>
      </c>
      <c r="K12884" s="2" t="s">
        <v>3542</v>
      </c>
      <c r="L12884" s="2" t="s">
        <v>272</v>
      </c>
      <c r="M12884" s="2">
        <v>66414.0</v>
      </c>
      <c r="N12884" s="2" t="s">
        <v>21</v>
      </c>
    </row>
    <row r="12885" ht="15.75" customHeight="1">
      <c r="A12885" s="2">
        <v>2020.0</v>
      </c>
      <c r="B12885" s="2" t="s">
        <v>51132</v>
      </c>
      <c r="C12885" s="2" t="s">
        <v>51133</v>
      </c>
      <c r="D12885" s="2" t="str">
        <f>"7148036580"</f>
        <v>7148036580</v>
      </c>
      <c r="E12885" s="2" t="s">
        <v>51134</v>
      </c>
      <c r="F12885" s="2" t="s">
        <v>51135</v>
      </c>
      <c r="G12885" s="2" t="str">
        <f>"SR-18159"</f>
        <v>SR-18159</v>
      </c>
      <c r="H12885" s="2" t="s">
        <v>51136</v>
      </c>
      <c r="I12885" s="2" t="s">
        <v>51137</v>
      </c>
      <c r="K12885" s="2" t="s">
        <v>8454</v>
      </c>
      <c r="L12885" s="2" t="s">
        <v>222</v>
      </c>
      <c r="M12885" s="2">
        <v>92821.0</v>
      </c>
      <c r="N12885" s="2" t="s">
        <v>21</v>
      </c>
    </row>
    <row r="12886" ht="15.75" customHeight="1">
      <c r="A12886" s="2">
        <v>2020.0</v>
      </c>
      <c r="B12886" s="2" t="s">
        <v>51138</v>
      </c>
      <c r="C12886" s="2" t="s">
        <v>51139</v>
      </c>
      <c r="D12886" s="2" t="str">
        <f>"402-250-0883"</f>
        <v>402-250-0883</v>
      </c>
      <c r="E12886" s="2" t="s">
        <v>1007</v>
      </c>
      <c r="F12886" s="2" t="s">
        <v>51140</v>
      </c>
      <c r="G12886" s="2" t="str">
        <f>"SR-18247"</f>
        <v>SR-18247</v>
      </c>
      <c r="H12886" s="2" t="s">
        <v>51141</v>
      </c>
      <c r="I12886" s="2" t="s">
        <v>51142</v>
      </c>
      <c r="K12886" s="2" t="s">
        <v>1470</v>
      </c>
      <c r="L12886" s="2" t="s">
        <v>757</v>
      </c>
      <c r="M12886" s="2">
        <v>68116.0</v>
      </c>
      <c r="N12886" s="2" t="s">
        <v>21</v>
      </c>
    </row>
    <row r="12887" ht="15.75" customHeight="1">
      <c r="A12887" s="2">
        <v>2020.0</v>
      </c>
      <c r="B12887" s="2" t="s">
        <v>48721</v>
      </c>
      <c r="C12887" s="2" t="s">
        <v>51143</v>
      </c>
      <c r="D12887" s="2" t="str">
        <f>"2078375003"</f>
        <v>2078375003</v>
      </c>
      <c r="E12887" s="2" t="s">
        <v>301</v>
      </c>
      <c r="F12887" s="2" t="s">
        <v>14432</v>
      </c>
      <c r="G12887" s="2" t="str">
        <f>"SR-18248"</f>
        <v>SR-18248</v>
      </c>
      <c r="H12887" s="2" t="s">
        <v>18177</v>
      </c>
      <c r="I12887" s="2" t="s">
        <v>51144</v>
      </c>
      <c r="K12887" s="2" t="s">
        <v>39216</v>
      </c>
      <c r="L12887" s="2" t="s">
        <v>1236</v>
      </c>
      <c r="M12887" s="2">
        <v>40356.0</v>
      </c>
      <c r="N12887" s="2" t="s">
        <v>21</v>
      </c>
    </row>
    <row r="12888" ht="15.75" customHeight="1">
      <c r="A12888" s="2">
        <v>2020.0</v>
      </c>
      <c r="B12888" s="2" t="s">
        <v>51145</v>
      </c>
      <c r="C12888" s="2" t="s">
        <v>51146</v>
      </c>
      <c r="D12888" s="2" t="str">
        <f>"970-731-2788"</f>
        <v>970-731-2788</v>
      </c>
      <c r="E12888" s="2" t="s">
        <v>2452</v>
      </c>
      <c r="F12888" s="2" t="s">
        <v>40857</v>
      </c>
      <c r="G12888" s="2" t="str">
        <f>"SR-18250"</f>
        <v>SR-18250</v>
      </c>
      <c r="H12888" s="2" t="s">
        <v>51147</v>
      </c>
      <c r="I12888" s="2" t="s">
        <v>51148</v>
      </c>
      <c r="K12888" s="2" t="s">
        <v>28561</v>
      </c>
      <c r="L12888" s="2" t="s">
        <v>157</v>
      </c>
      <c r="M12888" s="2">
        <v>81147.0</v>
      </c>
      <c r="N12888" s="2" t="s">
        <v>21</v>
      </c>
    </row>
    <row r="12889" ht="15.75" customHeight="1">
      <c r="A12889" s="2">
        <v>2020.0</v>
      </c>
      <c r="B12889" s="2" t="s">
        <v>51149</v>
      </c>
      <c r="C12889" s="2" t="s">
        <v>51150</v>
      </c>
      <c r="D12889" s="2" t="str">
        <f>"4027796493"</f>
        <v>4027796493</v>
      </c>
      <c r="E12889" s="2" t="s">
        <v>167</v>
      </c>
      <c r="F12889" s="2" t="s">
        <v>37479</v>
      </c>
      <c r="G12889" s="2" t="str">
        <f>"SR-18249"</f>
        <v>SR-18249</v>
      </c>
      <c r="H12889" s="2" t="s">
        <v>37480</v>
      </c>
      <c r="I12889" s="2" t="s">
        <v>51151</v>
      </c>
      <c r="K12889" s="2" t="s">
        <v>1470</v>
      </c>
      <c r="L12889" s="2" t="s">
        <v>757</v>
      </c>
      <c r="M12889" s="2">
        <v>68164.0</v>
      </c>
      <c r="N12889" s="2" t="s">
        <v>21</v>
      </c>
    </row>
    <row r="12890" ht="15.75" customHeight="1">
      <c r="A12890" s="2">
        <v>2020.0</v>
      </c>
      <c r="B12890" s="2" t="s">
        <v>51152</v>
      </c>
      <c r="C12890" s="2" t="s">
        <v>51153</v>
      </c>
      <c r="D12890" s="2" t="str">
        <f>"7196239024"</f>
        <v>7196239024</v>
      </c>
      <c r="E12890" s="2" t="s">
        <v>5858</v>
      </c>
      <c r="F12890" s="2" t="s">
        <v>51154</v>
      </c>
      <c r="G12890" s="2" t="str">
        <f>"SR-18194"</f>
        <v>SR-18194</v>
      </c>
      <c r="H12890" s="2" t="s">
        <v>51155</v>
      </c>
      <c r="I12890" s="2" t="s">
        <v>51156</v>
      </c>
      <c r="K12890" s="2" t="s">
        <v>809</v>
      </c>
      <c r="L12890" s="2" t="s">
        <v>157</v>
      </c>
      <c r="M12890" s="2">
        <v>80920.0</v>
      </c>
      <c r="N12890" s="2" t="s">
        <v>21</v>
      </c>
    </row>
    <row r="12891" ht="15.75" customHeight="1">
      <c r="A12891" s="2">
        <v>2020.0</v>
      </c>
      <c r="B12891" s="2" t="s">
        <v>51157</v>
      </c>
      <c r="C12891" s="2" t="s">
        <v>51158</v>
      </c>
      <c r="D12891" s="2" t="str">
        <f>"540-809-8254"</f>
        <v>540-809-8254</v>
      </c>
      <c r="E12891" s="2" t="s">
        <v>36</v>
      </c>
      <c r="F12891" s="2" t="s">
        <v>1778</v>
      </c>
      <c r="G12891" s="2" t="str">
        <f>"SR-18256"</f>
        <v>SR-18256</v>
      </c>
      <c r="H12891" s="2" t="s">
        <v>51159</v>
      </c>
      <c r="I12891" s="2" t="s">
        <v>51160</v>
      </c>
      <c r="K12891" s="2" t="s">
        <v>5675</v>
      </c>
      <c r="L12891" s="2" t="s">
        <v>165</v>
      </c>
      <c r="M12891" s="2">
        <v>22556.0</v>
      </c>
      <c r="N12891" s="2" t="s">
        <v>21</v>
      </c>
    </row>
    <row r="12892" ht="15.75" customHeight="1">
      <c r="A12892" s="2">
        <v>2020.0</v>
      </c>
      <c r="B12892" s="2" t="s">
        <v>51161</v>
      </c>
      <c r="C12892" s="2" t="s">
        <v>51161</v>
      </c>
      <c r="D12892" s="2" t="str">
        <f>"(760) 330-1441"</f>
        <v>(760) 330-1441</v>
      </c>
      <c r="E12892" s="2" t="s">
        <v>51162</v>
      </c>
      <c r="F12892" s="2" t="s">
        <v>11769</v>
      </c>
      <c r="G12892" s="2" t="str">
        <f>"SR-18258"</f>
        <v>SR-18258</v>
      </c>
      <c r="H12892" s="2" t="s">
        <v>51163</v>
      </c>
      <c r="I12892" s="2" t="s">
        <v>51164</v>
      </c>
      <c r="K12892" s="2" t="s">
        <v>50206</v>
      </c>
      <c r="L12892" s="2" t="s">
        <v>222</v>
      </c>
      <c r="M12892" s="2">
        <v>92057.0</v>
      </c>
      <c r="N12892" s="2" t="s">
        <v>21</v>
      </c>
    </row>
    <row r="12893" ht="15.75" customHeight="1">
      <c r="A12893" s="2">
        <v>2020.0</v>
      </c>
      <c r="B12893" s="2" t="s">
        <v>51165</v>
      </c>
      <c r="C12893" s="2" t="s">
        <v>51166</v>
      </c>
      <c r="D12893" s="2" t="str">
        <f>"8168129759"</f>
        <v>8168129759</v>
      </c>
      <c r="E12893" s="2" t="s">
        <v>15187</v>
      </c>
      <c r="F12893" s="2" t="s">
        <v>51167</v>
      </c>
      <c r="G12893" s="2" t="str">
        <f>"SR-18260"</f>
        <v>SR-18260</v>
      </c>
      <c r="H12893" s="2" t="s">
        <v>51168</v>
      </c>
      <c r="I12893" s="2" t="s">
        <v>51169</v>
      </c>
      <c r="K12893" s="2" t="s">
        <v>28412</v>
      </c>
      <c r="L12893" s="2" t="s">
        <v>214</v>
      </c>
      <c r="M12893" s="2">
        <v>64068.0</v>
      </c>
      <c r="N12893" s="2" t="s">
        <v>21</v>
      </c>
    </row>
    <row r="12894" ht="15.75" customHeight="1">
      <c r="A12894" s="2">
        <v>2020.0</v>
      </c>
      <c r="B12894" s="2" t="s">
        <v>51170</v>
      </c>
      <c r="C12894" s="2" t="s">
        <v>51171</v>
      </c>
      <c r="D12894" s="2" t="str">
        <f>"903-268-4420"</f>
        <v>903-268-4420</v>
      </c>
      <c r="E12894" s="2" t="s">
        <v>651</v>
      </c>
      <c r="F12894" s="2" t="s">
        <v>9260</v>
      </c>
      <c r="G12894" s="2" t="str">
        <f>"SR-18264"</f>
        <v>SR-18264</v>
      </c>
      <c r="H12894" s="2" t="s">
        <v>51172</v>
      </c>
      <c r="I12894" s="2" t="s">
        <v>51173</v>
      </c>
      <c r="K12894" s="2" t="s">
        <v>24330</v>
      </c>
      <c r="L12894" s="2" t="s">
        <v>279</v>
      </c>
      <c r="M12894" s="2">
        <v>37046.0</v>
      </c>
      <c r="N12894" s="2" t="s">
        <v>21</v>
      </c>
    </row>
    <row r="12895" ht="15.75" customHeight="1">
      <c r="A12895" s="2">
        <v>2020.0</v>
      </c>
      <c r="B12895" s="2" t="s">
        <v>51174</v>
      </c>
      <c r="C12895" s="2" t="s">
        <v>51174</v>
      </c>
      <c r="D12895" s="2" t="str">
        <f>"(480)787-7332"</f>
        <v>(480)787-7332</v>
      </c>
      <c r="E12895" s="2" t="s">
        <v>6121</v>
      </c>
      <c r="F12895" s="2" t="s">
        <v>51175</v>
      </c>
      <c r="G12895" s="2" t="str">
        <f>"SR-17929"</f>
        <v>SR-17929</v>
      </c>
      <c r="H12895" s="2" t="s">
        <v>51176</v>
      </c>
      <c r="I12895" s="2" t="s">
        <v>51177</v>
      </c>
      <c r="K12895" s="2" t="s">
        <v>5531</v>
      </c>
      <c r="L12895" s="2" t="s">
        <v>422</v>
      </c>
      <c r="M12895" s="2">
        <v>85204.0</v>
      </c>
      <c r="N12895" s="2" t="s">
        <v>21</v>
      </c>
    </row>
    <row r="12896" ht="15.75" customHeight="1">
      <c r="A12896" s="2">
        <v>2020.0</v>
      </c>
      <c r="B12896" s="2" t="s">
        <v>51178</v>
      </c>
      <c r="C12896" s="2" t="s">
        <v>51179</v>
      </c>
      <c r="D12896" s="2" t="str">
        <f>"402-718-5782"</f>
        <v>402-718-5782</v>
      </c>
      <c r="E12896" s="2" t="s">
        <v>485</v>
      </c>
      <c r="F12896" s="2" t="s">
        <v>51180</v>
      </c>
      <c r="G12896" s="2" t="str">
        <f>"SR-18269"</f>
        <v>SR-18269</v>
      </c>
      <c r="H12896" s="2" t="s">
        <v>51181</v>
      </c>
      <c r="I12896" s="2" t="s">
        <v>51182</v>
      </c>
      <c r="K12896" s="2" t="s">
        <v>1470</v>
      </c>
      <c r="L12896" s="2" t="s">
        <v>757</v>
      </c>
      <c r="M12896" s="2">
        <v>68132.0</v>
      </c>
      <c r="N12896" s="2" t="s">
        <v>21</v>
      </c>
    </row>
    <row r="12897" ht="15.75" customHeight="1">
      <c r="A12897" s="2">
        <v>2020.0</v>
      </c>
      <c r="B12897" s="2" t="s">
        <v>51183</v>
      </c>
      <c r="C12897" s="2" t="s">
        <v>51184</v>
      </c>
      <c r="D12897" s="2" t="str">
        <f>"8062410103"</f>
        <v>8062410103</v>
      </c>
      <c r="E12897" s="2" t="s">
        <v>580</v>
      </c>
      <c r="F12897" s="2" t="s">
        <v>11822</v>
      </c>
      <c r="G12897" s="2" t="str">
        <f>"SR-17329"</f>
        <v>SR-17329</v>
      </c>
      <c r="H12897" s="2" t="s">
        <v>51185</v>
      </c>
      <c r="I12897" s="2" t="s">
        <v>51186</v>
      </c>
      <c r="K12897" s="2" t="s">
        <v>1121</v>
      </c>
      <c r="L12897" s="2" t="s">
        <v>172</v>
      </c>
      <c r="M12897" s="2">
        <v>79413.0</v>
      </c>
      <c r="N12897" s="2" t="s">
        <v>21</v>
      </c>
    </row>
    <row r="12898" ht="15.75" customHeight="1">
      <c r="A12898" s="2">
        <v>2020.0</v>
      </c>
      <c r="B12898" s="2" t="s">
        <v>51187</v>
      </c>
      <c r="C12898" s="2" t="s">
        <v>51188</v>
      </c>
      <c r="D12898" s="2" t="str">
        <f>"8168259366"</f>
        <v>8168259366</v>
      </c>
      <c r="E12898" s="2" t="s">
        <v>2807</v>
      </c>
      <c r="F12898" s="2" t="s">
        <v>51189</v>
      </c>
      <c r="G12898" s="2" t="str">
        <f>"SR-18272"</f>
        <v>SR-18272</v>
      </c>
      <c r="H12898" s="2" t="s">
        <v>51190</v>
      </c>
      <c r="I12898" s="2" t="s">
        <v>51191</v>
      </c>
      <c r="K12898" s="2" t="s">
        <v>1814</v>
      </c>
      <c r="L12898" s="2" t="s">
        <v>214</v>
      </c>
      <c r="M12898" s="2">
        <v>64118.0</v>
      </c>
      <c r="N12898" s="2" t="s">
        <v>21</v>
      </c>
    </row>
    <row r="12899" ht="15.75" customHeight="1">
      <c r="A12899" s="2">
        <v>2020.0</v>
      </c>
      <c r="B12899" s="2" t="s">
        <v>46127</v>
      </c>
      <c r="C12899" s="2" t="s">
        <v>46268</v>
      </c>
      <c r="D12899" s="2" t="str">
        <f>"407-749-9330"</f>
        <v>407-749-9330</v>
      </c>
      <c r="E12899" s="2" t="s">
        <v>6266</v>
      </c>
      <c r="F12899" s="2" t="s">
        <v>46130</v>
      </c>
      <c r="G12899" s="2" t="str">
        <f>"SR-16161"</f>
        <v>SR-16161</v>
      </c>
      <c r="H12899" s="2" t="s">
        <v>46269</v>
      </c>
      <c r="I12899" s="2" t="s">
        <v>46132</v>
      </c>
      <c r="K12899" s="2" t="s">
        <v>46133</v>
      </c>
      <c r="L12899" s="2" t="s">
        <v>208</v>
      </c>
      <c r="M12899" s="2">
        <v>32776.0</v>
      </c>
      <c r="N12899" s="2" t="s">
        <v>21</v>
      </c>
    </row>
    <row r="12900" ht="15.75" customHeight="1">
      <c r="A12900" s="2">
        <v>2020.0</v>
      </c>
      <c r="B12900" s="2" t="s">
        <v>51192</v>
      </c>
      <c r="C12900" s="2" t="s">
        <v>51192</v>
      </c>
      <c r="D12900" s="2" t="str">
        <f>"320-226-4790"</f>
        <v>320-226-4790</v>
      </c>
      <c r="E12900" s="2" t="s">
        <v>301</v>
      </c>
      <c r="F12900" s="2" t="s">
        <v>4393</v>
      </c>
      <c r="G12900" s="2" t="str">
        <f>"SR-18276"</f>
        <v>SR-18276</v>
      </c>
      <c r="H12900" s="2" t="s">
        <v>51193</v>
      </c>
      <c r="I12900" s="2" t="s">
        <v>51194</v>
      </c>
      <c r="K12900" s="2" t="s">
        <v>43324</v>
      </c>
      <c r="L12900" s="2" t="s">
        <v>62</v>
      </c>
      <c r="M12900" s="2">
        <v>56241.0</v>
      </c>
      <c r="N12900" s="2" t="s">
        <v>21</v>
      </c>
    </row>
    <row r="12901" ht="15.75" customHeight="1">
      <c r="A12901" s="2">
        <v>2020.0</v>
      </c>
      <c r="B12901" s="2" t="s">
        <v>51195</v>
      </c>
      <c r="C12901" s="2" t="s">
        <v>51196</v>
      </c>
      <c r="D12901" s="2" t="str">
        <f>"9563454998"</f>
        <v>9563454998</v>
      </c>
      <c r="E12901" s="2" t="s">
        <v>16129</v>
      </c>
      <c r="F12901" s="2" t="s">
        <v>51197</v>
      </c>
      <c r="G12901" s="2" t="str">
        <f>"SR-18262"</f>
        <v>SR-18262</v>
      </c>
      <c r="H12901" s="2" t="s">
        <v>51198</v>
      </c>
      <c r="I12901" s="2" t="s">
        <v>51199</v>
      </c>
      <c r="K12901" s="2" t="s">
        <v>51200</v>
      </c>
      <c r="L12901" s="2" t="s">
        <v>172</v>
      </c>
      <c r="M12901" s="2">
        <v>78550.0</v>
      </c>
      <c r="N12901" s="2" t="s">
        <v>21</v>
      </c>
    </row>
    <row r="12902" ht="15.75" customHeight="1">
      <c r="A12902" s="2">
        <v>2020.0</v>
      </c>
      <c r="B12902" s="2" t="s">
        <v>51201</v>
      </c>
      <c r="C12902" s="2" t="s">
        <v>51201</v>
      </c>
      <c r="D12902" s="2" t="str">
        <f>"806-928-3205"</f>
        <v>806-928-3205</v>
      </c>
      <c r="E12902" s="2" t="s">
        <v>456</v>
      </c>
      <c r="F12902" s="2" t="s">
        <v>3106</v>
      </c>
      <c r="G12902" s="2" t="str">
        <f>"SR-18265"</f>
        <v>SR-18265</v>
      </c>
      <c r="H12902" s="2" t="s">
        <v>51202</v>
      </c>
      <c r="I12902" s="2" t="s">
        <v>51203</v>
      </c>
      <c r="K12902" s="2" t="s">
        <v>13493</v>
      </c>
      <c r="L12902" s="2" t="s">
        <v>172</v>
      </c>
      <c r="M12902" s="2">
        <v>79382.0</v>
      </c>
      <c r="N12902" s="2" t="s">
        <v>21</v>
      </c>
    </row>
    <row r="12903" ht="15.75" customHeight="1">
      <c r="A12903" s="2">
        <v>2020.0</v>
      </c>
      <c r="B12903" s="2" t="s">
        <v>51204</v>
      </c>
      <c r="C12903" s="2" t="s">
        <v>51205</v>
      </c>
      <c r="D12903" s="2" t="str">
        <f>"(916) 761-1548"</f>
        <v>(916) 761-1548</v>
      </c>
      <c r="E12903" s="2" t="s">
        <v>21829</v>
      </c>
      <c r="F12903" s="2" t="s">
        <v>9237</v>
      </c>
      <c r="G12903" s="2" t="str">
        <f>"SR-18277"</f>
        <v>SR-18277</v>
      </c>
      <c r="H12903" s="2" t="s">
        <v>51206</v>
      </c>
      <c r="I12903" s="2" t="s">
        <v>51207</v>
      </c>
      <c r="K12903" s="2" t="s">
        <v>10305</v>
      </c>
      <c r="L12903" s="2" t="s">
        <v>222</v>
      </c>
      <c r="M12903" s="2">
        <v>95842.0</v>
      </c>
      <c r="N12903" s="2" t="s">
        <v>21</v>
      </c>
    </row>
    <row r="12904" ht="15.75" customHeight="1">
      <c r="A12904" s="2">
        <v>2020.0</v>
      </c>
      <c r="B12904" s="2" t="s">
        <v>51208</v>
      </c>
      <c r="C12904" s="2" t="s">
        <v>51208</v>
      </c>
      <c r="D12904" s="2" t="str">
        <f>"9705070365"</f>
        <v>9705070365</v>
      </c>
      <c r="E12904" s="2" t="s">
        <v>3650</v>
      </c>
      <c r="F12904" s="2" t="s">
        <v>51209</v>
      </c>
      <c r="G12904" s="2" t="str">
        <f>"SR-18241"</f>
        <v>SR-18241</v>
      </c>
      <c r="H12904" s="2" t="s">
        <v>51210</v>
      </c>
      <c r="I12904" s="2" t="s">
        <v>51211</v>
      </c>
      <c r="J12904" s="2" t="s">
        <v>51211</v>
      </c>
      <c r="K12904" s="2" t="s">
        <v>28561</v>
      </c>
      <c r="L12904" s="2" t="s">
        <v>157</v>
      </c>
      <c r="M12904" s="2">
        <v>81147.0</v>
      </c>
      <c r="N12904" s="2" t="s">
        <v>21</v>
      </c>
    </row>
    <row r="12905" ht="15.75" customHeight="1">
      <c r="A12905" s="2">
        <v>2020.0</v>
      </c>
      <c r="B12905" s="2" t="s">
        <v>51212</v>
      </c>
      <c r="C12905" s="2" t="s">
        <v>51212</v>
      </c>
      <c r="D12905" s="2" t="str">
        <f>"6033250387"</f>
        <v>6033250387</v>
      </c>
      <c r="E12905" s="2" t="s">
        <v>4647</v>
      </c>
      <c r="F12905" s="2" t="s">
        <v>51213</v>
      </c>
      <c r="G12905" s="2" t="str">
        <f>"SR-18282"</f>
        <v>SR-18282</v>
      </c>
      <c r="H12905" s="2" t="s">
        <v>51214</v>
      </c>
      <c r="I12905" s="2" t="s">
        <v>51215</v>
      </c>
      <c r="J12905" s="2" t="s">
        <v>47020</v>
      </c>
      <c r="K12905" s="2" t="s">
        <v>286</v>
      </c>
      <c r="L12905" s="2" t="s">
        <v>172</v>
      </c>
      <c r="M12905" s="2">
        <v>79707.0</v>
      </c>
      <c r="N12905" s="2" t="s">
        <v>21</v>
      </c>
    </row>
    <row r="12906" ht="15.75" customHeight="1">
      <c r="A12906" s="2">
        <v>2020.0</v>
      </c>
      <c r="B12906" s="2" t="s">
        <v>51216</v>
      </c>
      <c r="C12906" s="2" t="s">
        <v>51216</v>
      </c>
      <c r="D12906" s="2" t="str">
        <f>"8177763020"</f>
        <v>8177763020</v>
      </c>
      <c r="E12906" s="2" t="s">
        <v>51217</v>
      </c>
      <c r="F12906" s="2" t="s">
        <v>51213</v>
      </c>
      <c r="G12906" s="2" t="str">
        <f>"SR-18281"</f>
        <v>SR-18281</v>
      </c>
      <c r="H12906" s="2" t="s">
        <v>51218</v>
      </c>
      <c r="I12906" s="2" t="s">
        <v>51219</v>
      </c>
      <c r="J12906" s="2" t="s">
        <v>51220</v>
      </c>
      <c r="K12906" s="2" t="s">
        <v>286</v>
      </c>
      <c r="L12906" s="2" t="s">
        <v>172</v>
      </c>
      <c r="M12906" s="2">
        <v>79707.0</v>
      </c>
      <c r="N12906" s="2" t="s">
        <v>21</v>
      </c>
    </row>
    <row r="12907" ht="15.75" customHeight="1">
      <c r="A12907" s="2">
        <v>2020.0</v>
      </c>
      <c r="B12907" s="2" t="s">
        <v>51221</v>
      </c>
      <c r="C12907" s="2" t="s">
        <v>51222</v>
      </c>
      <c r="D12907" s="2" t="str">
        <f>"321-200-7601"</f>
        <v>321-200-7601</v>
      </c>
      <c r="E12907" s="2" t="s">
        <v>4111</v>
      </c>
      <c r="F12907" s="2" t="s">
        <v>51223</v>
      </c>
      <c r="G12907" s="2" t="str">
        <f>"SR-18287"</f>
        <v>SR-18287</v>
      </c>
      <c r="H12907" s="2" t="s">
        <v>51224</v>
      </c>
      <c r="I12907" s="2" t="s">
        <v>51225</v>
      </c>
      <c r="K12907" s="2" t="s">
        <v>43735</v>
      </c>
      <c r="L12907" s="2" t="s">
        <v>208</v>
      </c>
      <c r="M12907" s="2">
        <v>32958.0</v>
      </c>
      <c r="N12907" s="2" t="s">
        <v>21</v>
      </c>
    </row>
    <row r="12908" ht="15.75" customHeight="1">
      <c r="A12908" s="2">
        <v>2020.0</v>
      </c>
      <c r="B12908" s="2" t="s">
        <v>51226</v>
      </c>
      <c r="C12908" s="2" t="s">
        <v>51226</v>
      </c>
      <c r="D12908" s="2" t="str">
        <f>"989-370-6510"</f>
        <v>989-370-6510</v>
      </c>
      <c r="E12908" s="2" t="s">
        <v>485</v>
      </c>
      <c r="F12908" s="2" t="s">
        <v>51227</v>
      </c>
      <c r="G12908" s="2" t="str">
        <f>"SR-18290"</f>
        <v>SR-18290</v>
      </c>
      <c r="H12908" s="2" t="s">
        <v>51228</v>
      </c>
      <c r="I12908" s="2" t="s">
        <v>51229</v>
      </c>
      <c r="K12908" s="2" t="s">
        <v>8062</v>
      </c>
      <c r="L12908" s="2" t="s">
        <v>29</v>
      </c>
      <c r="M12908" s="2">
        <v>49735.0</v>
      </c>
      <c r="N12908" s="2" t="s">
        <v>21</v>
      </c>
    </row>
    <row r="12909" ht="15.75" customHeight="1">
      <c r="A12909" s="2">
        <v>2020.0</v>
      </c>
      <c r="B12909" s="2" t="s">
        <v>51230</v>
      </c>
      <c r="D12909" s="2" t="str">
        <f>""</f>
        <v/>
      </c>
      <c r="E12909" s="2" t="s">
        <v>167</v>
      </c>
      <c r="F12909" s="2" t="s">
        <v>51231</v>
      </c>
      <c r="G12909" s="2" t="str">
        <f>"SR-18294"</f>
        <v>SR-18294</v>
      </c>
      <c r="H12909" s="2" t="s">
        <v>51232</v>
      </c>
    </row>
    <row r="12910" ht="15.75" customHeight="1">
      <c r="A12910" s="2">
        <v>2020.0</v>
      </c>
      <c r="B12910" s="2" t="s">
        <v>51233</v>
      </c>
      <c r="C12910" s="2" t="s">
        <v>51234</v>
      </c>
      <c r="D12910" s="2" t="str">
        <f>"405-919-7583"</f>
        <v>405-919-7583</v>
      </c>
      <c r="E12910" s="2" t="s">
        <v>282</v>
      </c>
      <c r="F12910" s="2" t="s">
        <v>51235</v>
      </c>
      <c r="G12910" s="2" t="str">
        <f>"SR-18293"</f>
        <v>SR-18293</v>
      </c>
      <c r="H12910" s="2" t="s">
        <v>51236</v>
      </c>
      <c r="I12910" s="2" t="s">
        <v>51237</v>
      </c>
      <c r="K12910" s="2" t="s">
        <v>51238</v>
      </c>
      <c r="L12910" s="2" t="s">
        <v>840</v>
      </c>
      <c r="M12910" s="2">
        <v>73080.0</v>
      </c>
      <c r="N12910" s="2" t="s">
        <v>21</v>
      </c>
    </row>
    <row r="12911" ht="15.75" customHeight="1">
      <c r="A12911" s="2">
        <v>2020.0</v>
      </c>
      <c r="B12911" s="2" t="s">
        <v>51239</v>
      </c>
      <c r="C12911" s="2" t="s">
        <v>51240</v>
      </c>
      <c r="D12911" s="2" t="str">
        <f>"937-705-5855"</f>
        <v>937-705-5855</v>
      </c>
      <c r="E12911" s="2" t="s">
        <v>124</v>
      </c>
      <c r="F12911" s="2" t="s">
        <v>51241</v>
      </c>
      <c r="G12911" s="2" t="str">
        <f>"SR-18279"</f>
        <v>SR-18279</v>
      </c>
      <c r="H12911" s="2" t="s">
        <v>51242</v>
      </c>
      <c r="I12911" s="2" t="s">
        <v>51243</v>
      </c>
      <c r="K12911" s="2" t="s">
        <v>41603</v>
      </c>
      <c r="L12911" s="2" t="s">
        <v>344</v>
      </c>
      <c r="M12911" s="2">
        <v>45458.0</v>
      </c>
      <c r="N12911" s="2" t="s">
        <v>21</v>
      </c>
    </row>
    <row r="12912" ht="15.75" customHeight="1">
      <c r="A12912" s="2">
        <v>2020.0</v>
      </c>
      <c r="B12912" s="2" t="s">
        <v>37788</v>
      </c>
      <c r="C12912" s="2" t="s">
        <v>51244</v>
      </c>
      <c r="D12912" s="2" t="str">
        <f>"9704056405"</f>
        <v>9704056405</v>
      </c>
      <c r="E12912" s="2" t="s">
        <v>12205</v>
      </c>
      <c r="F12912" s="2" t="s">
        <v>1185</v>
      </c>
      <c r="G12912" s="2" t="str">
        <f>"SR-18297"</f>
        <v>SR-18297</v>
      </c>
      <c r="H12912" s="2" t="s">
        <v>51245</v>
      </c>
      <c r="I12912" s="2" t="s">
        <v>22416</v>
      </c>
      <c r="K12912" s="2" t="s">
        <v>1558</v>
      </c>
      <c r="L12912" s="2" t="s">
        <v>157</v>
      </c>
      <c r="M12912" s="2">
        <v>80631.0</v>
      </c>
      <c r="N12912" s="2" t="s">
        <v>21</v>
      </c>
    </row>
    <row r="12913" ht="15.75" customHeight="1">
      <c r="A12913" s="2">
        <v>2020.0</v>
      </c>
      <c r="B12913" s="2" t="s">
        <v>51246</v>
      </c>
      <c r="C12913" s="2" t="s">
        <v>51247</v>
      </c>
      <c r="D12913" s="2" t="str">
        <f>"2623487986"</f>
        <v>2623487986</v>
      </c>
      <c r="E12913" s="2" t="s">
        <v>705</v>
      </c>
      <c r="F12913" s="2" t="s">
        <v>18888</v>
      </c>
      <c r="G12913" s="2" t="str">
        <f>"SR-18302"</f>
        <v>SR-18302</v>
      </c>
      <c r="H12913" s="2" t="s">
        <v>51248</v>
      </c>
      <c r="I12913" s="2" t="s">
        <v>51249</v>
      </c>
      <c r="K12913" s="2" t="s">
        <v>51250</v>
      </c>
      <c r="L12913" s="2" t="s">
        <v>193</v>
      </c>
      <c r="M12913" s="2">
        <v>53147.0</v>
      </c>
      <c r="N12913" s="2" t="s">
        <v>21</v>
      </c>
    </row>
    <row r="12914" ht="15.75" customHeight="1">
      <c r="A12914" s="2">
        <v>2020.0</v>
      </c>
      <c r="B12914" s="2" t="s">
        <v>51251</v>
      </c>
      <c r="C12914" s="2" t="s">
        <v>51252</v>
      </c>
      <c r="D12914" s="2" t="str">
        <f>"5417619434"</f>
        <v>5417619434</v>
      </c>
      <c r="E12914" s="2" t="s">
        <v>16852</v>
      </c>
      <c r="F12914" s="2" t="s">
        <v>30083</v>
      </c>
      <c r="G12914" s="2" t="str">
        <f>"SR-17478"</f>
        <v>SR-17478</v>
      </c>
      <c r="H12914" s="2" t="s">
        <v>51253</v>
      </c>
      <c r="I12914" s="2" t="s">
        <v>51254</v>
      </c>
      <c r="K12914" s="2" t="s">
        <v>10966</v>
      </c>
      <c r="L12914" s="2" t="s">
        <v>2389</v>
      </c>
      <c r="M12914" s="2">
        <v>97527.0</v>
      </c>
      <c r="N12914" s="2" t="s">
        <v>21</v>
      </c>
    </row>
    <row r="12915" ht="15.75" customHeight="1">
      <c r="A12915" s="2">
        <v>2020.0</v>
      </c>
      <c r="B12915" s="2" t="s">
        <v>51255</v>
      </c>
      <c r="C12915" s="2" t="s">
        <v>51256</v>
      </c>
      <c r="D12915" s="2" t="str">
        <f>"716-697-2857"</f>
        <v>716-697-2857</v>
      </c>
      <c r="E12915" s="2" t="s">
        <v>1288</v>
      </c>
      <c r="F12915" s="2" t="s">
        <v>836</v>
      </c>
      <c r="G12915" s="2" t="str">
        <f>"SR-16308"</f>
        <v>SR-16308</v>
      </c>
      <c r="H12915" s="2" t="s">
        <v>51257</v>
      </c>
      <c r="I12915" s="2" t="s">
        <v>21962</v>
      </c>
      <c r="K12915" s="2" t="s">
        <v>12452</v>
      </c>
      <c r="L12915" s="2" t="s">
        <v>142</v>
      </c>
      <c r="M12915" s="2">
        <v>14221.0</v>
      </c>
      <c r="N12915" s="2" t="s">
        <v>21</v>
      </c>
    </row>
    <row r="12916" ht="15.75" customHeight="1">
      <c r="A12916" s="2">
        <v>2020.0</v>
      </c>
      <c r="B12916" s="2" t="s">
        <v>51255</v>
      </c>
      <c r="C12916" s="2" t="s">
        <v>51258</v>
      </c>
      <c r="D12916" s="2" t="str">
        <f>"716-697-1710"</f>
        <v>716-697-1710</v>
      </c>
      <c r="E12916" s="2" t="s">
        <v>9513</v>
      </c>
      <c r="F12916" s="2" t="s">
        <v>836</v>
      </c>
      <c r="G12916" s="2" t="str">
        <f>"SR-18307"</f>
        <v>SR-18307</v>
      </c>
      <c r="H12916" s="2" t="s">
        <v>51259</v>
      </c>
      <c r="I12916" s="2" t="s">
        <v>21962</v>
      </c>
      <c r="K12916" s="2" t="s">
        <v>12452</v>
      </c>
      <c r="L12916" s="2" t="s">
        <v>142</v>
      </c>
      <c r="M12916" s="2">
        <v>14221.0</v>
      </c>
      <c r="N12916" s="2" t="s">
        <v>21</v>
      </c>
    </row>
    <row r="12917" ht="15.75" customHeight="1">
      <c r="A12917" s="2">
        <v>2020.0</v>
      </c>
      <c r="B12917" s="2" t="s">
        <v>51260</v>
      </c>
      <c r="D12917" s="2" t="str">
        <f>""</f>
        <v/>
      </c>
      <c r="E12917" s="2" t="s">
        <v>6170</v>
      </c>
      <c r="F12917" s="2" t="s">
        <v>9406</v>
      </c>
      <c r="G12917" s="2" t="str">
        <f>"SR-18268"</f>
        <v>SR-18268</v>
      </c>
      <c r="H12917" s="2" t="s">
        <v>51261</v>
      </c>
      <c r="N12917" s="2" t="s">
        <v>21</v>
      </c>
    </row>
    <row r="12918" ht="15.75" customHeight="1">
      <c r="A12918" s="2">
        <v>2020.0</v>
      </c>
      <c r="B12918" s="2" t="s">
        <v>51262</v>
      </c>
      <c r="C12918" s="2" t="s">
        <v>51262</v>
      </c>
      <c r="D12918" s="2" t="str">
        <f>"8184475278"</f>
        <v>8184475278</v>
      </c>
      <c r="E12918" s="2" t="s">
        <v>1251</v>
      </c>
      <c r="F12918" s="2" t="s">
        <v>51263</v>
      </c>
      <c r="G12918" s="2" t="str">
        <f>"SR-17978"</f>
        <v>SR-17978</v>
      </c>
      <c r="H12918" s="2" t="s">
        <v>51264</v>
      </c>
      <c r="I12918" s="2" t="s">
        <v>51265</v>
      </c>
      <c r="K12918" s="2" t="s">
        <v>15660</v>
      </c>
      <c r="L12918" s="2" t="s">
        <v>222</v>
      </c>
      <c r="M12918" s="2">
        <v>91344.0</v>
      </c>
      <c r="N12918" s="2" t="s">
        <v>21</v>
      </c>
    </row>
    <row r="12919" ht="15.75" customHeight="1">
      <c r="A12919" s="2">
        <v>2020.0</v>
      </c>
      <c r="B12919" s="2" t="s">
        <v>51266</v>
      </c>
      <c r="C12919" s="2" t="s">
        <v>51266</v>
      </c>
      <c r="D12919" s="2" t="str">
        <f>"818-701-9999"</f>
        <v>818-701-9999</v>
      </c>
      <c r="E12919" s="2" t="s">
        <v>51267</v>
      </c>
      <c r="F12919" s="2" t="s">
        <v>44716</v>
      </c>
      <c r="G12919" s="2" t="str">
        <f>"SR-17982"</f>
        <v>SR-17982</v>
      </c>
      <c r="H12919" s="2" t="s">
        <v>51268</v>
      </c>
      <c r="I12919" s="2" t="s">
        <v>44718</v>
      </c>
      <c r="K12919" s="2" t="s">
        <v>809</v>
      </c>
      <c r="L12919" s="2" t="s">
        <v>157</v>
      </c>
      <c r="M12919" s="2">
        <v>80919.0</v>
      </c>
      <c r="N12919" s="2" t="s">
        <v>21</v>
      </c>
    </row>
    <row r="12920" ht="15.75" customHeight="1">
      <c r="A12920" s="2">
        <v>2020.0</v>
      </c>
      <c r="B12920" s="2" t="s">
        <v>51269</v>
      </c>
      <c r="C12920" s="2" t="s">
        <v>51269</v>
      </c>
      <c r="D12920" s="2" t="str">
        <f>"9707991375"</f>
        <v>9707991375</v>
      </c>
      <c r="E12920" s="2" t="s">
        <v>21829</v>
      </c>
      <c r="F12920" s="2" t="s">
        <v>16631</v>
      </c>
      <c r="G12920" s="2" t="str">
        <f>"SR-18319"</f>
        <v>SR-18319</v>
      </c>
      <c r="H12920" s="2" t="s">
        <v>51270</v>
      </c>
      <c r="I12920" s="2" t="s">
        <v>51271</v>
      </c>
      <c r="K12920" s="2" t="s">
        <v>28561</v>
      </c>
      <c r="L12920" s="2" t="s">
        <v>157</v>
      </c>
      <c r="M12920" s="2">
        <v>81147.0</v>
      </c>
      <c r="N12920" s="2" t="s">
        <v>21</v>
      </c>
    </row>
    <row r="12921" ht="15.75" customHeight="1">
      <c r="A12921" s="2">
        <v>2020.0</v>
      </c>
      <c r="B12921" s="2" t="s">
        <v>51272</v>
      </c>
      <c r="C12921" s="2" t="s">
        <v>51273</v>
      </c>
      <c r="D12921" s="2" t="str">
        <f>"719-468-3534"</f>
        <v>719-468-3534</v>
      </c>
      <c r="E12921" s="2" t="s">
        <v>51274</v>
      </c>
      <c r="F12921" s="2" t="s">
        <v>283</v>
      </c>
      <c r="G12921" s="2" t="str">
        <f>"SR-18321"</f>
        <v>SR-18321</v>
      </c>
      <c r="H12921" s="2" t="s">
        <v>51275</v>
      </c>
      <c r="I12921" s="2" t="s">
        <v>51276</v>
      </c>
      <c r="K12921" s="2" t="s">
        <v>35357</v>
      </c>
      <c r="L12921" s="2" t="s">
        <v>157</v>
      </c>
      <c r="M12921" s="2">
        <v>81063.0</v>
      </c>
      <c r="N12921" s="2" t="s">
        <v>21</v>
      </c>
    </row>
    <row r="12922" ht="15.75" customHeight="1">
      <c r="A12922" s="2">
        <v>2020.0</v>
      </c>
      <c r="B12922" s="2" t="s">
        <v>51277</v>
      </c>
      <c r="C12922" s="2" t="s">
        <v>51278</v>
      </c>
      <c r="D12922" s="2" t="str">
        <f>"6154859595"</f>
        <v>6154859595</v>
      </c>
      <c r="E12922" s="2" t="s">
        <v>15</v>
      </c>
      <c r="F12922" s="2" t="s">
        <v>16291</v>
      </c>
      <c r="G12922" s="2" t="str">
        <f>"SR-18324"</f>
        <v>SR-18324</v>
      </c>
      <c r="H12922" s="2" t="s">
        <v>51279</v>
      </c>
      <c r="I12922" s="2" t="s">
        <v>51280</v>
      </c>
      <c r="K12922" s="2" t="s">
        <v>278</v>
      </c>
      <c r="L12922" s="2" t="s">
        <v>279</v>
      </c>
      <c r="M12922" s="2">
        <v>37064.0</v>
      </c>
      <c r="N12922" s="2" t="s">
        <v>21</v>
      </c>
    </row>
    <row r="12923" ht="15.75" customHeight="1">
      <c r="A12923" s="2">
        <v>2020.0</v>
      </c>
      <c r="B12923" s="2" t="s">
        <v>51281</v>
      </c>
      <c r="C12923" s="2" t="s">
        <v>51281</v>
      </c>
      <c r="D12923" s="2" t="str">
        <f>"940-366-2371"</f>
        <v>940-366-2371</v>
      </c>
      <c r="E12923" s="2" t="s">
        <v>51282</v>
      </c>
      <c r="F12923" s="2" t="s">
        <v>51283</v>
      </c>
      <c r="G12923" s="2" t="str">
        <f>"SR-18325"</f>
        <v>SR-18325</v>
      </c>
      <c r="H12923" s="2" t="s">
        <v>51284</v>
      </c>
      <c r="I12923" s="2" t="s">
        <v>51285</v>
      </c>
      <c r="K12923" s="2" t="s">
        <v>8231</v>
      </c>
      <c r="L12923" s="2" t="s">
        <v>172</v>
      </c>
      <c r="M12923" s="2">
        <v>76234.0</v>
      </c>
      <c r="N12923" s="2" t="s">
        <v>21</v>
      </c>
    </row>
    <row r="12924" ht="15.75" customHeight="1">
      <c r="A12924" s="2">
        <v>2020.0</v>
      </c>
      <c r="B12924" s="2" t="s">
        <v>51286</v>
      </c>
      <c r="C12924" s="2" t="s">
        <v>51287</v>
      </c>
      <c r="D12924" s="2" t="str">
        <f>"530-756-7363"</f>
        <v>530-756-7363</v>
      </c>
      <c r="E12924" s="2" t="s">
        <v>1251</v>
      </c>
      <c r="F12924" s="2" t="s">
        <v>100</v>
      </c>
      <c r="G12924" s="2" t="str">
        <f>"SR-18052"</f>
        <v>SR-18052</v>
      </c>
      <c r="H12924" s="2" t="s">
        <v>51288</v>
      </c>
      <c r="I12924" s="2" t="s">
        <v>51289</v>
      </c>
      <c r="K12924" s="2" t="s">
        <v>256</v>
      </c>
      <c r="L12924" s="2" t="s">
        <v>222</v>
      </c>
      <c r="M12924" s="2">
        <v>95618.0</v>
      </c>
      <c r="N12924" s="2" t="s">
        <v>21</v>
      </c>
    </row>
    <row r="12925" ht="15.75" customHeight="1">
      <c r="A12925" s="2">
        <v>2020.0</v>
      </c>
      <c r="B12925" s="2" t="s">
        <v>51290</v>
      </c>
      <c r="C12925" s="2" t="s">
        <v>51291</v>
      </c>
      <c r="D12925" s="2" t="str">
        <f>"7194008950"</f>
        <v>7194008950</v>
      </c>
      <c r="E12925" s="2" t="s">
        <v>51292</v>
      </c>
      <c r="F12925" s="2" t="s">
        <v>2429</v>
      </c>
      <c r="G12925" s="2" t="str">
        <f>"SR-16248"</f>
        <v>SR-16248</v>
      </c>
      <c r="H12925" s="2" t="s">
        <v>51293</v>
      </c>
      <c r="I12925" s="2" t="s">
        <v>51294</v>
      </c>
      <c r="K12925" s="2" t="s">
        <v>809</v>
      </c>
      <c r="L12925" s="2" t="s">
        <v>157</v>
      </c>
      <c r="M12925" s="2">
        <v>80908.0</v>
      </c>
      <c r="N12925" s="2" t="s">
        <v>21</v>
      </c>
    </row>
    <row r="12926" ht="15.75" customHeight="1">
      <c r="A12926" s="2">
        <v>2020.0</v>
      </c>
      <c r="B12926" s="2" t="s">
        <v>3246</v>
      </c>
      <c r="C12926" s="2" t="s">
        <v>51295</v>
      </c>
      <c r="D12926" s="2" t="str">
        <f>"6622694462"</f>
        <v>6622694462</v>
      </c>
      <c r="E12926" s="2" t="s">
        <v>51296</v>
      </c>
      <c r="F12926" s="2" t="s">
        <v>3249</v>
      </c>
      <c r="G12926" s="2" t="str">
        <f>"SR-18059"</f>
        <v>SR-18059</v>
      </c>
      <c r="H12926" s="2" t="s">
        <v>51297</v>
      </c>
      <c r="I12926" s="2" t="s">
        <v>50589</v>
      </c>
      <c r="K12926" s="2" t="s">
        <v>50590</v>
      </c>
      <c r="L12926" s="2" t="s">
        <v>1722</v>
      </c>
      <c r="M12926" s="2">
        <v>38801.0</v>
      </c>
      <c r="N12926" s="2" t="s">
        <v>21</v>
      </c>
    </row>
    <row r="12927" ht="15.75" customHeight="1">
      <c r="A12927" s="2">
        <v>2020.0</v>
      </c>
      <c r="B12927" s="2" t="s">
        <v>51298</v>
      </c>
      <c r="C12927" s="2" t="s">
        <v>51299</v>
      </c>
      <c r="D12927" s="2" t="str">
        <f t="shared" ref="D12927:D12928" si="216">"719-278-7443"</f>
        <v>719-278-7443</v>
      </c>
      <c r="E12927" s="2" t="s">
        <v>51300</v>
      </c>
      <c r="F12927" s="2" t="s">
        <v>51301</v>
      </c>
      <c r="G12927" s="2" t="str">
        <f>"SR-18299"</f>
        <v>SR-18299</v>
      </c>
      <c r="H12927" s="2" t="s">
        <v>51302</v>
      </c>
      <c r="I12927" s="2" t="s">
        <v>51303</v>
      </c>
      <c r="K12927" s="2" t="s">
        <v>809</v>
      </c>
      <c r="L12927" s="2" t="s">
        <v>157</v>
      </c>
      <c r="M12927" s="2">
        <v>80918.0</v>
      </c>
      <c r="N12927" s="2" t="s">
        <v>21</v>
      </c>
    </row>
    <row r="12928" ht="15.75" customHeight="1">
      <c r="A12928" s="2">
        <v>2020.0</v>
      </c>
      <c r="B12928" s="2" t="s">
        <v>51304</v>
      </c>
      <c r="C12928" s="2" t="s">
        <v>51304</v>
      </c>
      <c r="D12928" s="2" t="str">
        <f t="shared" si="216"/>
        <v>719-278-7443</v>
      </c>
      <c r="E12928" s="2" t="s">
        <v>51305</v>
      </c>
      <c r="F12928" s="2" t="s">
        <v>51301</v>
      </c>
      <c r="G12928" s="2" t="str">
        <f>"SR-18327"</f>
        <v>SR-18327</v>
      </c>
      <c r="H12928" s="2" t="s">
        <v>51306</v>
      </c>
      <c r="I12928" s="2" t="s">
        <v>51307</v>
      </c>
      <c r="K12928" s="2" t="s">
        <v>809</v>
      </c>
      <c r="L12928" s="2" t="s">
        <v>157</v>
      </c>
      <c r="M12928" s="2">
        <v>80918.0</v>
      </c>
      <c r="N12928" s="2" t="s">
        <v>21</v>
      </c>
    </row>
    <row r="12929" ht="15.75" customHeight="1">
      <c r="A12929" s="2">
        <v>2020.0</v>
      </c>
      <c r="B12929" s="2" t="s">
        <v>51308</v>
      </c>
      <c r="C12929" s="2" t="s">
        <v>51308</v>
      </c>
      <c r="D12929" s="2" t="str">
        <f>"1-620-217-7260"</f>
        <v>1-620-217-7260</v>
      </c>
      <c r="E12929" s="2" t="s">
        <v>2800</v>
      </c>
      <c r="F12929" s="2" t="s">
        <v>10090</v>
      </c>
      <c r="G12929" s="2" t="str">
        <f>"SR-18328"</f>
        <v>SR-18328</v>
      </c>
      <c r="H12929" s="2" t="s">
        <v>51309</v>
      </c>
      <c r="I12929" s="2" t="s">
        <v>51310</v>
      </c>
      <c r="K12929" s="2" t="s">
        <v>10093</v>
      </c>
      <c r="L12929" s="2" t="s">
        <v>272</v>
      </c>
      <c r="M12929" s="2">
        <v>67062.0</v>
      </c>
      <c r="N12929" s="2" t="s">
        <v>21</v>
      </c>
    </row>
    <row r="12930" ht="15.75" customHeight="1">
      <c r="A12930" s="2">
        <v>2020.0</v>
      </c>
      <c r="B12930" s="2" t="s">
        <v>32037</v>
      </c>
      <c r="C12930" s="2" t="s">
        <v>39434</v>
      </c>
      <c r="D12930" s="2" t="str">
        <f>"5672037317"</f>
        <v>5672037317</v>
      </c>
      <c r="E12930" s="2" t="s">
        <v>6098</v>
      </c>
      <c r="F12930" s="2" t="s">
        <v>20565</v>
      </c>
      <c r="G12930" s="2" t="str">
        <f>"SR-13499"</f>
        <v>SR-13499</v>
      </c>
      <c r="H12930" s="2" t="s">
        <v>39435</v>
      </c>
      <c r="I12930" s="2" t="s">
        <v>32040</v>
      </c>
      <c r="K12930" s="2" t="s">
        <v>1154</v>
      </c>
      <c r="L12930" s="2" t="s">
        <v>344</v>
      </c>
      <c r="M12930" s="2">
        <v>44805.0</v>
      </c>
      <c r="N12930" s="2" t="s">
        <v>21</v>
      </c>
    </row>
    <row r="12931" ht="15.75" customHeight="1">
      <c r="A12931" s="2">
        <v>2020.0</v>
      </c>
      <c r="B12931" s="2" t="s">
        <v>51311</v>
      </c>
      <c r="D12931" s="2" t="str">
        <f>""</f>
        <v/>
      </c>
      <c r="E12931" s="2" t="s">
        <v>14038</v>
      </c>
      <c r="F12931" s="2" t="s">
        <v>51312</v>
      </c>
      <c r="G12931" s="2" t="str">
        <f>"SR-18193"</f>
        <v>SR-18193</v>
      </c>
      <c r="H12931" s="2" t="s">
        <v>51313</v>
      </c>
    </row>
    <row r="12932" ht="15.75" customHeight="1">
      <c r="A12932" s="2">
        <v>2020.0</v>
      </c>
      <c r="B12932" s="2" t="s">
        <v>51314</v>
      </c>
      <c r="C12932" s="2" t="s">
        <v>51315</v>
      </c>
      <c r="D12932" s="2" t="str">
        <f>"419-705-9003"</f>
        <v>419-705-9003</v>
      </c>
      <c r="E12932" s="2" t="s">
        <v>2162</v>
      </c>
      <c r="F12932" s="2" t="s">
        <v>13073</v>
      </c>
      <c r="G12932" s="2" t="str">
        <f>"SR-18291"</f>
        <v>SR-18291</v>
      </c>
      <c r="H12932" s="2" t="s">
        <v>51316</v>
      </c>
      <c r="I12932" s="2" t="s">
        <v>51317</v>
      </c>
      <c r="K12932" s="2" t="s">
        <v>51318</v>
      </c>
      <c r="L12932" s="2" t="s">
        <v>344</v>
      </c>
      <c r="M12932" s="2">
        <v>43614.0</v>
      </c>
      <c r="N12932" s="2" t="s">
        <v>21</v>
      </c>
    </row>
    <row r="12933" ht="15.75" customHeight="1">
      <c r="A12933" s="2">
        <v>2020.0</v>
      </c>
      <c r="B12933" s="2" t="s">
        <v>51319</v>
      </c>
      <c r="C12933" s="2" t="s">
        <v>51320</v>
      </c>
      <c r="D12933" s="2" t="str">
        <f>"(863)214-1645"</f>
        <v>(863)214-1645</v>
      </c>
      <c r="E12933" s="2" t="s">
        <v>908</v>
      </c>
      <c r="F12933" s="2" t="s">
        <v>51321</v>
      </c>
      <c r="G12933" s="2" t="str">
        <f>"SR-18303"</f>
        <v>SR-18303</v>
      </c>
      <c r="H12933" s="2" t="s">
        <v>51322</v>
      </c>
      <c r="I12933" s="2" t="s">
        <v>51323</v>
      </c>
      <c r="K12933" s="2" t="s">
        <v>26300</v>
      </c>
      <c r="L12933" s="2" t="s">
        <v>208</v>
      </c>
      <c r="M12933" s="2">
        <v>33852.0</v>
      </c>
      <c r="N12933" s="2" t="s">
        <v>21</v>
      </c>
    </row>
    <row r="12934" ht="15.75" customHeight="1">
      <c r="A12934" s="2">
        <v>2020.0</v>
      </c>
      <c r="B12934" s="2" t="s">
        <v>51324</v>
      </c>
      <c r="C12934" s="2" t="s">
        <v>51325</v>
      </c>
      <c r="D12934" s="2" t="str">
        <f>"806 577-3592"</f>
        <v>806 577-3592</v>
      </c>
      <c r="E12934" s="2" t="s">
        <v>51326</v>
      </c>
      <c r="F12934" s="2" t="s">
        <v>8941</v>
      </c>
      <c r="G12934" s="2" t="str">
        <f>"SR-18336"</f>
        <v>SR-18336</v>
      </c>
      <c r="H12934" s="2" t="s">
        <v>51327</v>
      </c>
      <c r="I12934" s="2" t="s">
        <v>51328</v>
      </c>
      <c r="K12934" s="2" t="s">
        <v>1121</v>
      </c>
      <c r="L12934" s="2" t="s">
        <v>172</v>
      </c>
      <c r="M12934" s="2">
        <v>79493.0</v>
      </c>
      <c r="N12934" s="2" t="s">
        <v>21</v>
      </c>
    </row>
    <row r="12935" ht="15.75" customHeight="1">
      <c r="A12935" s="2">
        <v>2020.0</v>
      </c>
      <c r="B12935" s="2" t="s">
        <v>50603</v>
      </c>
      <c r="C12935" s="2" t="s">
        <v>51329</v>
      </c>
      <c r="D12935" s="2" t="str">
        <f>"7194251651"</f>
        <v>7194251651</v>
      </c>
      <c r="E12935" s="2" t="s">
        <v>6606</v>
      </c>
      <c r="F12935" s="2" t="s">
        <v>11786</v>
      </c>
      <c r="G12935" s="2" t="str">
        <f>"SR-18337"</f>
        <v>SR-18337</v>
      </c>
      <c r="H12935" s="2" t="s">
        <v>51330</v>
      </c>
      <c r="I12935" s="2" t="s">
        <v>50606</v>
      </c>
      <c r="K12935" s="2" t="s">
        <v>809</v>
      </c>
      <c r="L12935" s="2" t="s">
        <v>157</v>
      </c>
      <c r="M12935" s="2">
        <v>80908.0</v>
      </c>
      <c r="N12935" s="2" t="s">
        <v>21</v>
      </c>
    </row>
    <row r="12936" ht="15.75" customHeight="1">
      <c r="A12936" s="2">
        <v>2020.0</v>
      </c>
      <c r="B12936" s="2" t="s">
        <v>51331</v>
      </c>
      <c r="C12936" s="2" t="s">
        <v>51331</v>
      </c>
      <c r="D12936" s="2" t="str">
        <f>"6822193926"</f>
        <v>6822193926</v>
      </c>
      <c r="E12936" s="2" t="s">
        <v>39039</v>
      </c>
      <c r="F12936" s="2" t="s">
        <v>23399</v>
      </c>
      <c r="G12936" s="2" t="str">
        <f>"SR-18338"</f>
        <v>SR-18338</v>
      </c>
      <c r="H12936" s="2" t="s">
        <v>51332</v>
      </c>
      <c r="I12936" s="2" t="s">
        <v>51333</v>
      </c>
      <c r="K12936" s="2" t="s">
        <v>882</v>
      </c>
      <c r="L12936" s="2" t="s">
        <v>172</v>
      </c>
      <c r="M12936" s="2">
        <v>76001.0</v>
      </c>
      <c r="N12936" s="2" t="s">
        <v>21</v>
      </c>
    </row>
    <row r="12937" ht="15.75" customHeight="1">
      <c r="A12937" s="2">
        <v>2020.0</v>
      </c>
      <c r="B12937" s="2" t="s">
        <v>51334</v>
      </c>
      <c r="C12937" s="2" t="s">
        <v>51335</v>
      </c>
      <c r="D12937" s="2" t="str">
        <f>"615-939-9473"</f>
        <v>615-939-9473</v>
      </c>
      <c r="E12937" s="2" t="s">
        <v>51336</v>
      </c>
      <c r="F12937" s="2" t="s">
        <v>51337</v>
      </c>
      <c r="G12937" s="2" t="str">
        <f>"SR-18267"</f>
        <v>SR-18267</v>
      </c>
      <c r="H12937" s="2" t="s">
        <v>51338</v>
      </c>
      <c r="I12937" s="2" t="s">
        <v>51339</v>
      </c>
      <c r="K12937" s="2" t="s">
        <v>731</v>
      </c>
      <c r="L12937" s="2" t="s">
        <v>279</v>
      </c>
      <c r="M12937" s="2">
        <v>37220.0</v>
      </c>
      <c r="N12937" s="2" t="s">
        <v>21</v>
      </c>
    </row>
    <row r="12938" ht="15.75" customHeight="1">
      <c r="A12938" s="2">
        <v>2020.0</v>
      </c>
      <c r="B12938" s="2" t="s">
        <v>51334</v>
      </c>
      <c r="C12938" s="2" t="s">
        <v>51340</v>
      </c>
      <c r="D12938" s="2" t="str">
        <f>"615-525-5278"</f>
        <v>615-525-5278</v>
      </c>
      <c r="E12938" s="2" t="s">
        <v>1548</v>
      </c>
      <c r="F12938" s="2" t="s">
        <v>51337</v>
      </c>
      <c r="G12938" s="2" t="str">
        <f>"SR-18339"</f>
        <v>SR-18339</v>
      </c>
      <c r="H12938" s="2" t="s">
        <v>51341</v>
      </c>
      <c r="I12938" s="2" t="s">
        <v>51339</v>
      </c>
      <c r="K12938" s="2" t="s">
        <v>731</v>
      </c>
      <c r="L12938" s="2" t="s">
        <v>279</v>
      </c>
      <c r="M12938" s="2">
        <v>37220.0</v>
      </c>
      <c r="N12938" s="2" t="s">
        <v>21</v>
      </c>
    </row>
    <row r="12939" ht="15.75" customHeight="1">
      <c r="A12939" s="2">
        <v>2020.0</v>
      </c>
      <c r="B12939" s="2" t="s">
        <v>51342</v>
      </c>
      <c r="C12939" s="2" t="s">
        <v>51342</v>
      </c>
      <c r="D12939" s="2" t="str">
        <f>"678-427-1491"</f>
        <v>678-427-1491</v>
      </c>
      <c r="E12939" s="2" t="s">
        <v>1094</v>
      </c>
      <c r="F12939" s="2" t="s">
        <v>16070</v>
      </c>
      <c r="G12939" s="2" t="str">
        <f>"SR-18341"</f>
        <v>SR-18341</v>
      </c>
      <c r="H12939" s="2" t="s">
        <v>51343</v>
      </c>
      <c r="I12939" s="2" t="s">
        <v>51344</v>
      </c>
      <c r="K12939" s="2" t="s">
        <v>775</v>
      </c>
      <c r="L12939" s="2" t="s">
        <v>200</v>
      </c>
      <c r="M12939" s="2">
        <v>30277.0</v>
      </c>
      <c r="N12939" s="2" t="s">
        <v>21</v>
      </c>
    </row>
    <row r="12940" ht="15.75" customHeight="1">
      <c r="A12940" s="2">
        <v>2020.0</v>
      </c>
      <c r="B12940" s="2" t="s">
        <v>51345</v>
      </c>
      <c r="C12940" s="2" t="s">
        <v>51345</v>
      </c>
      <c r="D12940" s="2" t="str">
        <f>"605-280-6416"</f>
        <v>605-280-6416</v>
      </c>
      <c r="E12940" s="2" t="s">
        <v>955</v>
      </c>
      <c r="F12940" s="2" t="s">
        <v>40010</v>
      </c>
      <c r="G12940" s="2" t="str">
        <f>"SR-16911"</f>
        <v>SR-16911</v>
      </c>
      <c r="H12940" s="2" t="s">
        <v>51346</v>
      </c>
      <c r="I12940" s="2" t="s">
        <v>51347</v>
      </c>
      <c r="K12940" s="2" t="s">
        <v>4355</v>
      </c>
      <c r="L12940" s="2" t="s">
        <v>920</v>
      </c>
      <c r="M12940" s="2">
        <v>57501.0</v>
      </c>
      <c r="N12940" s="2" t="s">
        <v>21</v>
      </c>
    </row>
    <row r="12941" ht="15.75" customHeight="1">
      <c r="A12941" s="2">
        <v>2020.0</v>
      </c>
      <c r="B12941" s="2" t="s">
        <v>26480</v>
      </c>
      <c r="C12941" s="2" t="s">
        <v>51348</v>
      </c>
      <c r="D12941" s="2" t="str">
        <f>"515-661-1179"</f>
        <v>515-661-1179</v>
      </c>
      <c r="E12941" s="2" t="s">
        <v>44078</v>
      </c>
      <c r="F12941" s="2" t="s">
        <v>11456</v>
      </c>
      <c r="G12941" s="2" t="str">
        <f>"SR-18345"</f>
        <v>SR-18345</v>
      </c>
      <c r="H12941" s="2" t="s">
        <v>51349</v>
      </c>
      <c r="I12941" s="2" t="s">
        <v>51350</v>
      </c>
      <c r="K12941" s="2" t="s">
        <v>26485</v>
      </c>
      <c r="L12941" s="2" t="s">
        <v>560</v>
      </c>
      <c r="M12941" s="2">
        <v>50069.0</v>
      </c>
      <c r="N12941" s="2" t="s">
        <v>21</v>
      </c>
    </row>
    <row r="12942" ht="15.75" customHeight="1">
      <c r="A12942" s="2">
        <v>2020.0</v>
      </c>
      <c r="B12942" s="2" t="s">
        <v>51351</v>
      </c>
      <c r="C12942" s="2" t="s">
        <v>51351</v>
      </c>
      <c r="D12942" s="2" t="str">
        <f>"8057757201"</f>
        <v>8057757201</v>
      </c>
      <c r="E12942" s="2" t="s">
        <v>2314</v>
      </c>
      <c r="F12942" s="2" t="s">
        <v>26192</v>
      </c>
      <c r="G12942" s="2" t="str">
        <f>"SR-18347"</f>
        <v>SR-18347</v>
      </c>
      <c r="H12942" s="2" t="s">
        <v>51352</v>
      </c>
      <c r="I12942" s="2" t="s">
        <v>51353</v>
      </c>
      <c r="K12942" s="2" t="s">
        <v>22147</v>
      </c>
      <c r="L12942" s="2" t="s">
        <v>222</v>
      </c>
      <c r="M12942" s="2">
        <v>93010.0</v>
      </c>
      <c r="N12942" s="2" t="s">
        <v>21</v>
      </c>
    </row>
    <row r="12943" ht="15.75" customHeight="1">
      <c r="A12943" s="2">
        <v>2020.0</v>
      </c>
      <c r="B12943" s="2" t="s">
        <v>51354</v>
      </c>
      <c r="C12943" s="2" t="s">
        <v>51355</v>
      </c>
      <c r="D12943" s="2" t="str">
        <f>"4695978630"</f>
        <v>4695978630</v>
      </c>
      <c r="E12943" s="2" t="s">
        <v>2158</v>
      </c>
      <c r="F12943" s="2" t="s">
        <v>3236</v>
      </c>
      <c r="G12943" s="2" t="str">
        <f>"SR-18342"</f>
        <v>SR-18342</v>
      </c>
      <c r="H12943" s="2" t="s">
        <v>51356</v>
      </c>
      <c r="I12943" s="2" t="s">
        <v>51357</v>
      </c>
      <c r="K12943" s="2" t="s">
        <v>740</v>
      </c>
      <c r="L12943" s="2" t="s">
        <v>172</v>
      </c>
      <c r="M12943" s="2">
        <v>75052.0</v>
      </c>
      <c r="N12943" s="2" t="s">
        <v>21</v>
      </c>
    </row>
    <row r="12944" ht="15.75" customHeight="1">
      <c r="A12944" s="2">
        <v>2020.0</v>
      </c>
      <c r="B12944" s="2" t="s">
        <v>51358</v>
      </c>
      <c r="C12944" s="2" t="s">
        <v>51359</v>
      </c>
      <c r="D12944" s="2" t="str">
        <f>"832-302-6251"</f>
        <v>832-302-6251</v>
      </c>
      <c r="E12944" s="2" t="s">
        <v>11583</v>
      </c>
      <c r="F12944" s="2" t="s">
        <v>690</v>
      </c>
      <c r="G12944" s="2" t="str">
        <f>"SR-18348"</f>
        <v>SR-18348</v>
      </c>
      <c r="H12944" s="2" t="s">
        <v>51360</v>
      </c>
      <c r="I12944" s="2" t="s">
        <v>32191</v>
      </c>
      <c r="K12944" s="2" t="s">
        <v>2182</v>
      </c>
      <c r="L12944" s="2" t="s">
        <v>172</v>
      </c>
      <c r="M12944" s="2">
        <v>77479.0</v>
      </c>
      <c r="N12944" s="2" t="s">
        <v>21</v>
      </c>
    </row>
    <row r="12945" ht="15.75" customHeight="1">
      <c r="A12945" s="2">
        <v>2020.0</v>
      </c>
      <c r="B12945" s="2" t="s">
        <v>26383</v>
      </c>
      <c r="C12945" s="2" t="s">
        <v>51361</v>
      </c>
      <c r="D12945" s="2" t="str">
        <f>"5159915714"</f>
        <v>5159915714</v>
      </c>
      <c r="E12945" s="2" t="s">
        <v>1362</v>
      </c>
      <c r="F12945" s="2" t="s">
        <v>26385</v>
      </c>
      <c r="G12945" s="2" t="str">
        <f>"SR-18349"</f>
        <v>SR-18349</v>
      </c>
      <c r="H12945" s="2" t="s">
        <v>51362</v>
      </c>
      <c r="I12945" s="2" t="s">
        <v>26387</v>
      </c>
      <c r="K12945" s="2" t="s">
        <v>2066</v>
      </c>
      <c r="L12945" s="2" t="s">
        <v>560</v>
      </c>
      <c r="M12945" s="2">
        <v>50266.0</v>
      </c>
      <c r="N12945" s="2" t="s">
        <v>21</v>
      </c>
    </row>
    <row r="12946" ht="15.75" customHeight="1">
      <c r="A12946" s="2">
        <v>2020.0</v>
      </c>
      <c r="B12946" s="2" t="s">
        <v>51363</v>
      </c>
      <c r="C12946" s="2" t="s">
        <v>51363</v>
      </c>
      <c r="D12946" s="2" t="str">
        <f>"8179801664"</f>
        <v>8179801664</v>
      </c>
      <c r="E12946" s="2" t="s">
        <v>15</v>
      </c>
      <c r="F12946" s="2" t="s">
        <v>4411</v>
      </c>
      <c r="G12946" s="2" t="str">
        <f>"SR-18352"</f>
        <v>SR-18352</v>
      </c>
      <c r="H12946" s="2" t="s">
        <v>51364</v>
      </c>
      <c r="I12946" s="2" t="s">
        <v>51365</v>
      </c>
      <c r="K12946" s="2" t="s">
        <v>3298</v>
      </c>
      <c r="L12946" s="2" t="s">
        <v>172</v>
      </c>
      <c r="M12946" s="2">
        <v>76108.0</v>
      </c>
      <c r="N12946" s="2" t="s">
        <v>21</v>
      </c>
    </row>
    <row r="12947" ht="15.75" customHeight="1">
      <c r="A12947" s="2">
        <v>2020.0</v>
      </c>
      <c r="B12947" s="2" t="s">
        <v>51366</v>
      </c>
      <c r="C12947" s="2" t="s">
        <v>51367</v>
      </c>
      <c r="D12947" s="2" t="str">
        <f>"3179225449"</f>
        <v>3179225449</v>
      </c>
      <c r="E12947" s="2" t="s">
        <v>503</v>
      </c>
      <c r="F12947" s="2" t="s">
        <v>20647</v>
      </c>
      <c r="G12947" s="2" t="str">
        <f>"SR-18353"</f>
        <v>SR-18353</v>
      </c>
      <c r="H12947" s="2" t="s">
        <v>51368</v>
      </c>
      <c r="I12947" s="2" t="s">
        <v>51369</v>
      </c>
      <c r="K12947" s="2" t="s">
        <v>2660</v>
      </c>
      <c r="L12947" s="2" t="s">
        <v>149</v>
      </c>
      <c r="M12947" s="2">
        <v>46038.0</v>
      </c>
      <c r="N12947" s="2" t="s">
        <v>21</v>
      </c>
    </row>
    <row r="12948" ht="15.75" customHeight="1">
      <c r="A12948" s="2">
        <v>2020.0</v>
      </c>
      <c r="B12948" s="2" t="s">
        <v>51370</v>
      </c>
      <c r="C12948" s="2" t="s">
        <v>51371</v>
      </c>
      <c r="D12948" s="2" t="str">
        <f>"2146092876"</f>
        <v>2146092876</v>
      </c>
      <c r="E12948" s="2" t="s">
        <v>17623</v>
      </c>
      <c r="F12948" s="2" t="s">
        <v>10393</v>
      </c>
      <c r="G12948" s="2" t="str">
        <f>"SR-18354"</f>
        <v>SR-18354</v>
      </c>
      <c r="H12948" s="2" t="s">
        <v>51372</v>
      </c>
      <c r="I12948" s="2" t="s">
        <v>51373</v>
      </c>
      <c r="K12948" s="2" t="s">
        <v>3677</v>
      </c>
      <c r="L12948" s="2" t="s">
        <v>172</v>
      </c>
      <c r="M12948" s="2">
        <v>75167.0</v>
      </c>
      <c r="N12948" s="2" t="s">
        <v>21</v>
      </c>
    </row>
    <row r="12949" ht="15.75" customHeight="1">
      <c r="A12949" s="2">
        <v>2020.0</v>
      </c>
      <c r="B12949" s="2" t="s">
        <v>51374</v>
      </c>
      <c r="C12949" s="2" t="s">
        <v>51375</v>
      </c>
      <c r="D12949" s="2" t="str">
        <f>"9803399638"</f>
        <v>9803399638</v>
      </c>
      <c r="E12949" s="2" t="s">
        <v>6081</v>
      </c>
      <c r="F12949" s="2" t="s">
        <v>51376</v>
      </c>
      <c r="G12949" s="2" t="str">
        <f>"SR-18356"</f>
        <v>SR-18356</v>
      </c>
      <c r="H12949" s="2" t="s">
        <v>51377</v>
      </c>
      <c r="I12949" s="2" t="s">
        <v>51378</v>
      </c>
      <c r="K12949" s="2" t="s">
        <v>19</v>
      </c>
      <c r="L12949" s="2" t="s">
        <v>20</v>
      </c>
      <c r="M12949" s="2">
        <v>28210.0</v>
      </c>
      <c r="N12949" s="2" t="s">
        <v>21</v>
      </c>
    </row>
    <row r="12950" ht="15.75" customHeight="1">
      <c r="A12950" s="2">
        <v>2020.0</v>
      </c>
      <c r="B12950" s="2" t="s">
        <v>51379</v>
      </c>
      <c r="C12950" s="2" t="s">
        <v>51380</v>
      </c>
      <c r="D12950" s="2" t="str">
        <f>"6688860258"</f>
        <v>6688860258</v>
      </c>
      <c r="E12950" s="2" t="s">
        <v>8472</v>
      </c>
      <c r="F12950" s="2" t="s">
        <v>51381</v>
      </c>
      <c r="G12950" s="2" t="str">
        <f>"SR-18357"</f>
        <v>SR-18357</v>
      </c>
      <c r="H12950" s="2" t="s">
        <v>51382</v>
      </c>
      <c r="I12950" s="2" t="s">
        <v>51383</v>
      </c>
      <c r="K12950" s="2" t="s">
        <v>1104</v>
      </c>
      <c r="L12950" s="2" t="s">
        <v>214</v>
      </c>
      <c r="M12950" s="2">
        <v>63383.0</v>
      </c>
      <c r="N12950" s="2" t="s">
        <v>21</v>
      </c>
    </row>
    <row r="12951" ht="15.75" customHeight="1">
      <c r="A12951" s="2">
        <v>2020.0</v>
      </c>
      <c r="B12951" s="2" t="s">
        <v>13993</v>
      </c>
      <c r="C12951" s="2" t="s">
        <v>51384</v>
      </c>
      <c r="D12951" s="2" t="str">
        <f>"2345218791"</f>
        <v>2345218791</v>
      </c>
      <c r="E12951" s="2" t="s">
        <v>11583</v>
      </c>
      <c r="F12951" s="2" t="s">
        <v>13995</v>
      </c>
      <c r="G12951" s="2" t="str">
        <f>"SR-16768"</f>
        <v>SR-16768</v>
      </c>
      <c r="H12951" s="2" t="s">
        <v>51385</v>
      </c>
      <c r="I12951" s="2" t="s">
        <v>13997</v>
      </c>
      <c r="K12951" s="2" t="s">
        <v>13998</v>
      </c>
      <c r="L12951" s="2" t="s">
        <v>344</v>
      </c>
      <c r="M12951" s="2">
        <v>44646.0</v>
      </c>
      <c r="N12951" s="2" t="s">
        <v>21</v>
      </c>
    </row>
    <row r="12952" ht="15.75" customHeight="1">
      <c r="A12952" s="2">
        <v>2020.0</v>
      </c>
      <c r="B12952" s="2" t="s">
        <v>51386</v>
      </c>
      <c r="C12952" s="2" t="s">
        <v>51387</v>
      </c>
      <c r="D12952" s="2" t="str">
        <f>"7143938117"</f>
        <v>7143938117</v>
      </c>
      <c r="E12952" s="2" t="s">
        <v>2243</v>
      </c>
      <c r="F12952" s="2" t="s">
        <v>10249</v>
      </c>
      <c r="G12952" s="2" t="str">
        <f>"SR-18246"</f>
        <v>SR-18246</v>
      </c>
      <c r="H12952" s="2" t="s">
        <v>51388</v>
      </c>
      <c r="I12952" s="2" t="s">
        <v>51389</v>
      </c>
      <c r="K12952" s="2" t="s">
        <v>24136</v>
      </c>
      <c r="L12952" s="2" t="s">
        <v>222</v>
      </c>
      <c r="M12952" s="2">
        <v>92620.0</v>
      </c>
      <c r="N12952" s="2" t="s">
        <v>21</v>
      </c>
    </row>
    <row r="12953" ht="15.75" customHeight="1">
      <c r="A12953" s="2">
        <v>2020.0</v>
      </c>
      <c r="B12953" s="2" t="s">
        <v>51390</v>
      </c>
      <c r="C12953" s="2" t="s">
        <v>51390</v>
      </c>
      <c r="D12953" s="2" t="str">
        <f>"3252631300"</f>
        <v>3252631300</v>
      </c>
      <c r="E12953" s="2" t="s">
        <v>6499</v>
      </c>
      <c r="F12953" s="2" t="s">
        <v>19878</v>
      </c>
      <c r="G12953" s="2" t="str">
        <f>"SR-17889"</f>
        <v>SR-17889</v>
      </c>
      <c r="H12953" s="2" t="s">
        <v>51391</v>
      </c>
      <c r="I12953" s="2" t="s">
        <v>51392</v>
      </c>
      <c r="K12953" s="2" t="s">
        <v>23004</v>
      </c>
      <c r="L12953" s="2" t="s">
        <v>172</v>
      </c>
      <c r="M12953" s="2">
        <v>76935.0</v>
      </c>
      <c r="N12953" s="2" t="s">
        <v>21</v>
      </c>
    </row>
    <row r="12954" ht="15.75" customHeight="1">
      <c r="A12954" s="2">
        <v>2020.0</v>
      </c>
      <c r="B12954" s="2" t="s">
        <v>20869</v>
      </c>
      <c r="C12954" s="2" t="s">
        <v>51393</v>
      </c>
      <c r="D12954" s="2" t="str">
        <f>"2604949625"</f>
        <v>2604949625</v>
      </c>
      <c r="E12954" s="2" t="s">
        <v>2941</v>
      </c>
      <c r="F12954" s="2" t="s">
        <v>20870</v>
      </c>
      <c r="G12954" s="2" t="str">
        <f>"SR-18166"</f>
        <v>SR-18166</v>
      </c>
      <c r="H12954" s="2" t="s">
        <v>51394</v>
      </c>
      <c r="I12954" s="2" t="s">
        <v>20918</v>
      </c>
      <c r="K12954" s="2" t="s">
        <v>3925</v>
      </c>
      <c r="L12954" s="2" t="s">
        <v>149</v>
      </c>
      <c r="M12954" s="2">
        <v>46723.0</v>
      </c>
      <c r="N12954" s="2" t="s">
        <v>21</v>
      </c>
    </row>
    <row r="12955" ht="15.75" customHeight="1">
      <c r="A12955" s="2">
        <v>2020.0</v>
      </c>
      <c r="B12955" s="2" t="s">
        <v>51395</v>
      </c>
      <c r="C12955" s="2" t="s">
        <v>51396</v>
      </c>
      <c r="D12955" s="2" t="str">
        <f>"6623521385"</f>
        <v>6623521385</v>
      </c>
      <c r="E12955" s="2" t="s">
        <v>27752</v>
      </c>
      <c r="F12955" s="2" t="s">
        <v>12373</v>
      </c>
      <c r="G12955" s="2" t="str">
        <f>"SR-18361"</f>
        <v>SR-18361</v>
      </c>
      <c r="H12955" s="2" t="s">
        <v>51397</v>
      </c>
      <c r="I12955" s="2" t="s">
        <v>51398</v>
      </c>
      <c r="K12955" s="2" t="s">
        <v>2421</v>
      </c>
      <c r="L12955" s="2" t="s">
        <v>1722</v>
      </c>
      <c r="M12955" s="2">
        <v>39705.0</v>
      </c>
      <c r="N12955" s="2" t="s">
        <v>21</v>
      </c>
    </row>
    <row r="12956" ht="15.75" customHeight="1">
      <c r="A12956" s="2">
        <v>2020.0</v>
      </c>
      <c r="B12956" s="2" t="s">
        <v>51395</v>
      </c>
      <c r="C12956" s="2" t="s">
        <v>51399</v>
      </c>
      <c r="D12956" s="2" t="str">
        <f>"3155281460"</f>
        <v>3155281460</v>
      </c>
      <c r="E12956" s="2" t="s">
        <v>3743</v>
      </c>
      <c r="F12956" s="2" t="s">
        <v>962</v>
      </c>
      <c r="G12956" s="2" t="str">
        <f>"SR-18362"</f>
        <v>SR-18362</v>
      </c>
      <c r="H12956" s="2" t="s">
        <v>51400</v>
      </c>
      <c r="I12956" s="2" t="s">
        <v>51401</v>
      </c>
      <c r="K12956" s="2" t="s">
        <v>2421</v>
      </c>
      <c r="L12956" s="2" t="s">
        <v>1722</v>
      </c>
      <c r="M12956" s="2">
        <v>39705.0</v>
      </c>
      <c r="N12956" s="2" t="s">
        <v>21</v>
      </c>
    </row>
    <row r="12957" ht="15.75" customHeight="1">
      <c r="A12957" s="2">
        <v>2020.0</v>
      </c>
      <c r="B12957" s="2" t="s">
        <v>51402</v>
      </c>
      <c r="D12957" s="2" t="str">
        <f>""</f>
        <v/>
      </c>
      <c r="E12957" s="2" t="s">
        <v>1928</v>
      </c>
      <c r="F12957" s="2" t="s">
        <v>2648</v>
      </c>
      <c r="G12957" s="2" t="str">
        <f>"SR-18364"</f>
        <v>SR-18364</v>
      </c>
      <c r="H12957" s="2" t="s">
        <v>51403</v>
      </c>
    </row>
    <row r="12958" ht="15.75" customHeight="1">
      <c r="A12958" s="2">
        <v>2020.0</v>
      </c>
      <c r="B12958" s="2" t="s">
        <v>51404</v>
      </c>
      <c r="C12958" s="2" t="s">
        <v>51404</v>
      </c>
      <c r="D12958" s="2" t="str">
        <f>"9132926783"</f>
        <v>9132926783</v>
      </c>
      <c r="E12958" s="2" t="s">
        <v>1803</v>
      </c>
      <c r="F12958" s="2" t="s">
        <v>9975</v>
      </c>
      <c r="G12958" s="2" t="str">
        <f>"SR-18359"</f>
        <v>SR-18359</v>
      </c>
      <c r="H12958" s="2" t="s">
        <v>51405</v>
      </c>
      <c r="I12958" s="2" t="s">
        <v>51406</v>
      </c>
      <c r="K12958" s="2" t="s">
        <v>1067</v>
      </c>
      <c r="L12958" s="2" t="s">
        <v>272</v>
      </c>
      <c r="M12958" s="2">
        <v>66062.0</v>
      </c>
      <c r="N12958" s="2" t="s">
        <v>21</v>
      </c>
    </row>
    <row r="12959" ht="15.75" customHeight="1">
      <c r="A12959" s="2">
        <v>2020.0</v>
      </c>
      <c r="B12959" s="2" t="s">
        <v>51407</v>
      </c>
      <c r="C12959" s="2" t="s">
        <v>51407</v>
      </c>
      <c r="D12959" s="2" t="str">
        <f>"8632143947"</f>
        <v>8632143947</v>
      </c>
      <c r="E12959" s="2" t="s">
        <v>1725</v>
      </c>
      <c r="F12959" s="2" t="s">
        <v>51408</v>
      </c>
      <c r="G12959" s="2" t="str">
        <f>"SR-18365"</f>
        <v>SR-18365</v>
      </c>
      <c r="H12959" s="2" t="s">
        <v>51409</v>
      </c>
      <c r="I12959" s="2" t="s">
        <v>51410</v>
      </c>
      <c r="K12959" s="2" t="s">
        <v>26300</v>
      </c>
      <c r="L12959" s="2" t="s">
        <v>208</v>
      </c>
      <c r="M12959" s="2">
        <v>33852.0</v>
      </c>
      <c r="N12959" s="2" t="s">
        <v>21</v>
      </c>
    </row>
    <row r="12960" ht="15.75" customHeight="1">
      <c r="A12960" s="2">
        <v>2020.0</v>
      </c>
      <c r="B12960" s="2" t="s">
        <v>51411</v>
      </c>
      <c r="C12960" s="2" t="s">
        <v>51411</v>
      </c>
      <c r="D12960" s="2" t="str">
        <f>"7209791525"</f>
        <v>7209791525</v>
      </c>
      <c r="E12960" s="2" t="s">
        <v>160</v>
      </c>
      <c r="F12960" s="2" t="s">
        <v>51412</v>
      </c>
      <c r="G12960" s="2" t="str">
        <f>"SR-18199"</f>
        <v>SR-18199</v>
      </c>
      <c r="H12960" s="2" t="s">
        <v>51413</v>
      </c>
      <c r="I12960" s="2" t="s">
        <v>51414</v>
      </c>
      <c r="K12960" s="2" t="s">
        <v>7578</v>
      </c>
      <c r="L12960" s="2" t="s">
        <v>157</v>
      </c>
      <c r="M12960" s="2">
        <v>80118.0</v>
      </c>
      <c r="N12960" s="2" t="s">
        <v>21</v>
      </c>
    </row>
    <row r="12961" ht="15.75" customHeight="1">
      <c r="A12961" s="2">
        <v>2020.0</v>
      </c>
      <c r="B12961" s="2" t="s">
        <v>32037</v>
      </c>
      <c r="D12961" s="2" t="str">
        <f>""</f>
        <v/>
      </c>
      <c r="E12961" s="2" t="s">
        <v>1001</v>
      </c>
      <c r="F12961" s="2" t="s">
        <v>20565</v>
      </c>
      <c r="G12961" s="2" t="str">
        <f>"SR-18331"</f>
        <v>SR-18331</v>
      </c>
      <c r="H12961" s="2" t="s">
        <v>51415</v>
      </c>
      <c r="N12961" s="2" t="s">
        <v>21</v>
      </c>
    </row>
    <row r="12962" ht="15.75" customHeight="1">
      <c r="A12962" s="2">
        <v>2020.0</v>
      </c>
      <c r="B12962" s="2" t="s">
        <v>24223</v>
      </c>
      <c r="C12962" s="2" t="s">
        <v>51416</v>
      </c>
      <c r="D12962" s="2" t="str">
        <f>"7652997914"</f>
        <v>7652997914</v>
      </c>
      <c r="E12962" s="2" t="s">
        <v>51417</v>
      </c>
      <c r="F12962" s="2" t="s">
        <v>1533</v>
      </c>
      <c r="G12962" s="2" t="str">
        <f>"SR-15556"</f>
        <v>SR-15556</v>
      </c>
      <c r="H12962" s="2" t="s">
        <v>51418</v>
      </c>
      <c r="I12962" s="2" t="s">
        <v>30842</v>
      </c>
      <c r="K12962" s="2" t="s">
        <v>24227</v>
      </c>
      <c r="L12962" s="2" t="s">
        <v>149</v>
      </c>
      <c r="M12962" s="2">
        <v>47971.0</v>
      </c>
      <c r="N12962" s="2" t="s">
        <v>21</v>
      </c>
    </row>
    <row r="12963" ht="15.75" customHeight="1">
      <c r="A12963" s="2">
        <v>2020.0</v>
      </c>
      <c r="B12963" s="2" t="s">
        <v>24223</v>
      </c>
      <c r="C12963" s="2" t="s">
        <v>51419</v>
      </c>
      <c r="D12963" s="2" t="str">
        <f>"7657610890"</f>
        <v>7657610890</v>
      </c>
      <c r="E12963" s="2" t="s">
        <v>678</v>
      </c>
      <c r="F12963" s="2" t="s">
        <v>2174</v>
      </c>
      <c r="G12963" s="2" t="str">
        <f>"SR-18374"</f>
        <v>SR-18374</v>
      </c>
      <c r="H12963" s="2" t="s">
        <v>51420</v>
      </c>
      <c r="I12963" s="2" t="s">
        <v>51421</v>
      </c>
      <c r="K12963" s="2" t="s">
        <v>21350</v>
      </c>
      <c r="L12963" s="2" t="s">
        <v>149</v>
      </c>
      <c r="M12963" s="2">
        <v>47918.0</v>
      </c>
      <c r="N12963" s="2" t="s">
        <v>21</v>
      </c>
    </row>
    <row r="12964" ht="15.75" customHeight="1">
      <c r="A12964" s="2">
        <v>2020.0</v>
      </c>
      <c r="B12964" s="2" t="s">
        <v>51422</v>
      </c>
      <c r="C12964" s="2" t="s">
        <v>51423</v>
      </c>
      <c r="D12964" s="2" t="str">
        <f>"4106930204"</f>
        <v>4106930204</v>
      </c>
      <c r="E12964" s="2" t="s">
        <v>9075</v>
      </c>
      <c r="F12964" s="2" t="s">
        <v>22984</v>
      </c>
      <c r="G12964" s="2" t="str">
        <f>"SR-18375"</f>
        <v>SR-18375</v>
      </c>
      <c r="H12964" s="2" t="s">
        <v>51424</v>
      </c>
      <c r="I12964" s="2" t="s">
        <v>51425</v>
      </c>
      <c r="K12964" s="2" t="s">
        <v>809</v>
      </c>
      <c r="L12964" s="2" t="s">
        <v>157</v>
      </c>
      <c r="M12964" s="2">
        <v>80924.0</v>
      </c>
      <c r="N12964" s="2" t="s">
        <v>21</v>
      </c>
    </row>
    <row r="12965" ht="15.75" customHeight="1">
      <c r="A12965" s="2">
        <v>2020.0</v>
      </c>
      <c r="B12965" s="2" t="s">
        <v>51426</v>
      </c>
      <c r="C12965" s="2" t="s">
        <v>51426</v>
      </c>
      <c r="D12965" s="2" t="str">
        <f>"(406)287-7814"</f>
        <v>(406)287-7814</v>
      </c>
      <c r="E12965" s="2" t="s">
        <v>301</v>
      </c>
      <c r="F12965" s="2" t="s">
        <v>31587</v>
      </c>
      <c r="G12965" s="2" t="str">
        <f>"SR-18377"</f>
        <v>SR-18377</v>
      </c>
      <c r="H12965" s="2" t="s">
        <v>51427</v>
      </c>
      <c r="I12965" s="2" t="s">
        <v>51428</v>
      </c>
      <c r="K12965" s="2" t="s">
        <v>2774</v>
      </c>
      <c r="L12965" s="2" t="s">
        <v>2696</v>
      </c>
      <c r="M12965" s="2">
        <v>59721.0</v>
      </c>
      <c r="N12965" s="2" t="s">
        <v>21</v>
      </c>
    </row>
    <row r="12966" ht="15.75" customHeight="1">
      <c r="A12966" s="2">
        <v>2020.0</v>
      </c>
      <c r="B12966" s="2" t="s">
        <v>51429</v>
      </c>
      <c r="C12966" s="2" t="s">
        <v>51430</v>
      </c>
      <c r="D12966" s="2" t="str">
        <f>"419-351-3489"</f>
        <v>419-351-3489</v>
      </c>
      <c r="E12966" s="2" t="s">
        <v>9010</v>
      </c>
      <c r="F12966" s="2" t="s">
        <v>283</v>
      </c>
      <c r="G12966" s="2" t="str">
        <f>"SR-17388"</f>
        <v>SR-17388</v>
      </c>
      <c r="H12966" s="2" t="s">
        <v>51431</v>
      </c>
      <c r="I12966" s="2" t="s">
        <v>51432</v>
      </c>
      <c r="K12966" s="2" t="s">
        <v>51318</v>
      </c>
      <c r="L12966" s="2" t="s">
        <v>344</v>
      </c>
      <c r="M12966" s="2">
        <v>43623.0</v>
      </c>
      <c r="N12966" s="2" t="s">
        <v>21</v>
      </c>
    </row>
    <row r="12967" ht="15.75" customHeight="1">
      <c r="A12967" s="2">
        <v>2020.0</v>
      </c>
      <c r="B12967" s="2" t="s">
        <v>51433</v>
      </c>
      <c r="C12967" s="2" t="s">
        <v>51434</v>
      </c>
      <c r="D12967" s="2" t="str">
        <f>"219-250-1485"</f>
        <v>219-250-1485</v>
      </c>
      <c r="E12967" s="2" t="s">
        <v>2752</v>
      </c>
      <c r="F12967" s="2" t="s">
        <v>33685</v>
      </c>
      <c r="G12967" s="2" t="str">
        <f>"SR-18386"</f>
        <v>SR-18386</v>
      </c>
      <c r="H12967" s="2" t="s">
        <v>51435</v>
      </c>
      <c r="I12967" s="2" t="s">
        <v>51436</v>
      </c>
      <c r="K12967" s="2" t="s">
        <v>51437</v>
      </c>
      <c r="L12967" s="2" t="s">
        <v>149</v>
      </c>
      <c r="M12967" s="2">
        <v>46391.0</v>
      </c>
      <c r="N12967" s="2" t="s">
        <v>21</v>
      </c>
    </row>
    <row r="12968" ht="15.75" customHeight="1">
      <c r="A12968" s="2">
        <v>2020.0</v>
      </c>
      <c r="B12968" s="2" t="s">
        <v>51438</v>
      </c>
      <c r="C12968" s="2" t="s">
        <v>51439</v>
      </c>
      <c r="D12968" s="2" t="str">
        <f>"907-395-7062"</f>
        <v>907-395-7062</v>
      </c>
      <c r="E12968" s="2" t="s">
        <v>51440</v>
      </c>
      <c r="F12968" s="2" t="s">
        <v>51441</v>
      </c>
      <c r="G12968" s="2" t="str">
        <f>"SR-16813"</f>
        <v>SR-16813</v>
      </c>
      <c r="H12968" s="2" t="s">
        <v>51442</v>
      </c>
      <c r="I12968" s="2" t="s">
        <v>51443</v>
      </c>
      <c r="K12968" s="2" t="s">
        <v>1336</v>
      </c>
      <c r="L12968" s="2" t="s">
        <v>70</v>
      </c>
      <c r="M12968" s="2">
        <v>99669.0</v>
      </c>
      <c r="N12968" s="2" t="s">
        <v>21</v>
      </c>
    </row>
    <row r="12969" ht="15.75" customHeight="1">
      <c r="A12969" s="2">
        <v>2020.0</v>
      </c>
      <c r="B12969" s="2" t="s">
        <v>51438</v>
      </c>
      <c r="C12969" s="2" t="s">
        <v>51444</v>
      </c>
      <c r="D12969" s="2" t="str">
        <f>"936-333-7775"</f>
        <v>936-333-7775</v>
      </c>
      <c r="E12969" s="2" t="s">
        <v>51445</v>
      </c>
      <c r="F12969" s="2" t="s">
        <v>7940</v>
      </c>
      <c r="G12969" s="2" t="str">
        <f>"SR-18366"</f>
        <v>SR-18366</v>
      </c>
      <c r="H12969" s="2" t="s">
        <v>51446</v>
      </c>
      <c r="I12969" s="2" t="s">
        <v>51447</v>
      </c>
      <c r="J12969" s="2" t="s">
        <v>51448</v>
      </c>
      <c r="K12969" s="2" t="s">
        <v>9614</v>
      </c>
      <c r="L12969" s="2" t="s">
        <v>172</v>
      </c>
      <c r="M12969" s="2">
        <v>77385.0</v>
      </c>
      <c r="N12969" s="2" t="s">
        <v>21</v>
      </c>
    </row>
    <row r="12970" ht="15.75" customHeight="1">
      <c r="A12970" s="2">
        <v>2020.0</v>
      </c>
      <c r="B12970" s="2" t="s">
        <v>9176</v>
      </c>
      <c r="C12970" s="2" t="s">
        <v>51449</v>
      </c>
      <c r="D12970" s="2" t="str">
        <f>"8588294409"</f>
        <v>8588294409</v>
      </c>
      <c r="E12970" s="2" t="s">
        <v>1761</v>
      </c>
      <c r="F12970" s="2" t="s">
        <v>9178</v>
      </c>
      <c r="G12970" s="2" t="str">
        <f>"SR-18390"</f>
        <v>SR-18390</v>
      </c>
      <c r="H12970" s="2" t="s">
        <v>51450</v>
      </c>
      <c r="I12970" s="2" t="s">
        <v>51451</v>
      </c>
      <c r="K12970" s="2" t="s">
        <v>8250</v>
      </c>
      <c r="L12970" s="2" t="s">
        <v>222</v>
      </c>
      <c r="M12970" s="2">
        <v>92129.0</v>
      </c>
      <c r="N12970" s="2" t="s">
        <v>21</v>
      </c>
    </row>
    <row r="12971" ht="15.75" customHeight="1">
      <c r="A12971" s="2">
        <v>2020.0</v>
      </c>
      <c r="B12971" s="2" t="s">
        <v>51452</v>
      </c>
      <c r="C12971" s="2" t="s">
        <v>51452</v>
      </c>
      <c r="D12971" s="2" t="str">
        <f>"832-682-5981"</f>
        <v>832-682-5981</v>
      </c>
      <c r="E12971" s="2" t="s">
        <v>1257</v>
      </c>
      <c r="F12971" s="2" t="s">
        <v>51453</v>
      </c>
      <c r="G12971" s="2" t="str">
        <f>"SR-18394"</f>
        <v>SR-18394</v>
      </c>
      <c r="H12971" s="2" t="s">
        <v>51454</v>
      </c>
      <c r="I12971" s="2" t="s">
        <v>51455</v>
      </c>
      <c r="K12971" s="2" t="s">
        <v>5404</v>
      </c>
      <c r="L12971" s="2" t="s">
        <v>172</v>
      </c>
      <c r="M12971" s="2">
        <v>77354.0</v>
      </c>
      <c r="N12971" s="2" t="s">
        <v>21</v>
      </c>
    </row>
    <row r="12972" ht="15.75" customHeight="1">
      <c r="A12972" s="2">
        <v>2020.0</v>
      </c>
      <c r="B12972" s="2" t="s">
        <v>9572</v>
      </c>
      <c r="C12972" s="2" t="s">
        <v>47637</v>
      </c>
      <c r="D12972" s="2" t="str">
        <f>"7575601926"</f>
        <v>7575601926</v>
      </c>
      <c r="E12972" s="2" t="s">
        <v>8887</v>
      </c>
      <c r="F12972" s="2" t="s">
        <v>189</v>
      </c>
      <c r="G12972" s="2" t="str">
        <f>"SR-16701"</f>
        <v>SR-16701</v>
      </c>
      <c r="H12972" s="2" t="s">
        <v>47638</v>
      </c>
      <c r="I12972" s="2" t="s">
        <v>9575</v>
      </c>
      <c r="K12972" s="2" t="s">
        <v>9576</v>
      </c>
      <c r="L12972" s="2" t="s">
        <v>165</v>
      </c>
      <c r="M12972" s="2">
        <v>23322.0</v>
      </c>
      <c r="N12972" s="2" t="s">
        <v>21</v>
      </c>
    </row>
    <row r="12973" ht="15.75" customHeight="1">
      <c r="A12973" s="2">
        <v>2020.0</v>
      </c>
      <c r="B12973" s="2" t="s">
        <v>51456</v>
      </c>
      <c r="C12973" s="2" t="s">
        <v>51457</v>
      </c>
      <c r="D12973" s="2" t="str">
        <f>"319-210-2240"</f>
        <v>319-210-2240</v>
      </c>
      <c r="E12973" s="2" t="s">
        <v>1094</v>
      </c>
      <c r="F12973" s="2" t="s">
        <v>1988</v>
      </c>
      <c r="G12973" s="2" t="str">
        <f>"SR-18397"</f>
        <v>SR-18397</v>
      </c>
      <c r="H12973" s="2" t="s">
        <v>51458</v>
      </c>
      <c r="I12973" s="2" t="s">
        <v>51459</v>
      </c>
      <c r="K12973" s="2" t="s">
        <v>3273</v>
      </c>
      <c r="L12973" s="2" t="s">
        <v>560</v>
      </c>
      <c r="M12973" s="2">
        <v>52402.0</v>
      </c>
      <c r="N12973" s="2" t="s">
        <v>21</v>
      </c>
    </row>
    <row r="12974" ht="15.75" customHeight="1">
      <c r="A12974" s="2">
        <v>2020.0</v>
      </c>
      <c r="B12974" s="2" t="s">
        <v>51460</v>
      </c>
      <c r="C12974" s="2" t="s">
        <v>51461</v>
      </c>
      <c r="D12974" s="2" t="str">
        <f>"5318001449"</f>
        <v>5318001449</v>
      </c>
      <c r="E12974" s="2" t="s">
        <v>217</v>
      </c>
      <c r="F12974" s="2" t="s">
        <v>51462</v>
      </c>
      <c r="G12974" s="2" t="str">
        <f>"SR-18398"</f>
        <v>SR-18398</v>
      </c>
      <c r="H12974" s="2" t="s">
        <v>51463</v>
      </c>
      <c r="I12974" s="2" t="s">
        <v>51464</v>
      </c>
      <c r="K12974" s="2" t="s">
        <v>1470</v>
      </c>
      <c r="L12974" s="2" t="s">
        <v>757</v>
      </c>
      <c r="M12974" s="2">
        <v>68134.0</v>
      </c>
      <c r="N12974" s="2" t="s">
        <v>21</v>
      </c>
    </row>
    <row r="12975" ht="15.75" customHeight="1">
      <c r="A12975" s="2">
        <v>2020.0</v>
      </c>
      <c r="B12975" s="2" t="s">
        <v>51465</v>
      </c>
      <c r="C12975" s="2" t="s">
        <v>51465</v>
      </c>
      <c r="D12975" s="2" t="str">
        <f>"7209085521"</f>
        <v>7209085521</v>
      </c>
      <c r="E12975" s="2" t="s">
        <v>2202</v>
      </c>
      <c r="F12975" s="2" t="s">
        <v>51412</v>
      </c>
      <c r="G12975" s="2" t="str">
        <f>"SR-18358"</f>
        <v>SR-18358</v>
      </c>
      <c r="H12975" s="2" t="s">
        <v>51466</v>
      </c>
      <c r="I12975" s="2" t="s">
        <v>51467</v>
      </c>
      <c r="K12975" s="2" t="s">
        <v>7578</v>
      </c>
      <c r="L12975" s="2" t="s">
        <v>157</v>
      </c>
      <c r="M12975" s="2">
        <v>80118.0</v>
      </c>
      <c r="N12975" s="2" t="s">
        <v>21</v>
      </c>
    </row>
    <row r="12976" ht="15.75" customHeight="1">
      <c r="A12976" s="2">
        <v>2020.0</v>
      </c>
      <c r="B12976" s="2" t="s">
        <v>4414</v>
      </c>
      <c r="C12976" s="2" t="s">
        <v>4414</v>
      </c>
      <c r="D12976" s="2" t="str">
        <f>"9282457679"</f>
        <v>9282457679</v>
      </c>
      <c r="E12976" s="2" t="s">
        <v>2480</v>
      </c>
      <c r="F12976" s="2" t="s">
        <v>4417</v>
      </c>
      <c r="G12976" s="2" t="str">
        <f>"SR-13169"</f>
        <v>SR-13169</v>
      </c>
      <c r="H12976" s="2" t="s">
        <v>39406</v>
      </c>
      <c r="I12976" s="2" t="s">
        <v>28560</v>
      </c>
      <c r="K12976" s="2" t="s">
        <v>28561</v>
      </c>
      <c r="L12976" s="2" t="s">
        <v>157</v>
      </c>
      <c r="M12976" s="2">
        <v>81147.0</v>
      </c>
      <c r="N12976" s="2" t="s">
        <v>21</v>
      </c>
    </row>
    <row r="12977" ht="15.75" customHeight="1">
      <c r="A12977" s="2">
        <v>2020.0</v>
      </c>
      <c r="B12977" s="2" t="s">
        <v>51468</v>
      </c>
      <c r="C12977" s="2" t="s">
        <v>51469</v>
      </c>
      <c r="D12977" s="2" t="str">
        <f>"3343431022"</f>
        <v>3343431022</v>
      </c>
      <c r="E12977" s="2" t="s">
        <v>1094</v>
      </c>
      <c r="F12977" s="2" t="s">
        <v>51470</v>
      </c>
      <c r="G12977" s="2" t="str">
        <f>"SR-18213"</f>
        <v>SR-18213</v>
      </c>
      <c r="H12977" s="2" t="s">
        <v>51471</v>
      </c>
      <c r="I12977" s="2" t="s">
        <v>51472</v>
      </c>
      <c r="K12977" s="2" t="s">
        <v>51473</v>
      </c>
      <c r="L12977" s="2" t="s">
        <v>539</v>
      </c>
      <c r="M12977" s="2">
        <v>36421.0</v>
      </c>
      <c r="N12977" s="2" t="s">
        <v>21</v>
      </c>
    </row>
    <row r="12978" ht="15.75" customHeight="1">
      <c r="A12978" s="2">
        <v>2020.0</v>
      </c>
      <c r="B12978" s="2" t="s">
        <v>51474</v>
      </c>
      <c r="C12978" s="2" t="s">
        <v>51474</v>
      </c>
      <c r="D12978" s="2" t="str">
        <f>"3342080217"</f>
        <v>3342080217</v>
      </c>
      <c r="E12978" s="2" t="s">
        <v>3196</v>
      </c>
      <c r="F12978" s="2" t="s">
        <v>51475</v>
      </c>
      <c r="G12978" s="2" t="str">
        <f>"SR-18392"</f>
        <v>SR-18392</v>
      </c>
      <c r="H12978" s="2" t="s">
        <v>51476</v>
      </c>
      <c r="I12978" s="2" t="s">
        <v>51477</v>
      </c>
      <c r="K12978" s="2" t="s">
        <v>51473</v>
      </c>
      <c r="L12978" s="2" t="s">
        <v>539</v>
      </c>
      <c r="M12978" s="2">
        <v>36420.0</v>
      </c>
      <c r="N12978" s="2" t="s">
        <v>21</v>
      </c>
    </row>
    <row r="12979" ht="15.75" customHeight="1">
      <c r="A12979" s="2">
        <v>2020.0</v>
      </c>
      <c r="B12979" s="2" t="s">
        <v>19275</v>
      </c>
      <c r="C12979" s="2" t="s">
        <v>51478</v>
      </c>
      <c r="D12979" s="2" t="str">
        <f>"6205501382"</f>
        <v>6205501382</v>
      </c>
      <c r="E12979" s="2" t="s">
        <v>51479</v>
      </c>
      <c r="F12979" s="2" t="s">
        <v>19277</v>
      </c>
      <c r="G12979" s="2" t="str">
        <f>"SR-18404"</f>
        <v>SR-18404</v>
      </c>
      <c r="H12979" s="2" t="s">
        <v>51480</v>
      </c>
      <c r="I12979" s="2" t="s">
        <v>19279</v>
      </c>
      <c r="K12979" s="2" t="s">
        <v>19280</v>
      </c>
      <c r="L12979" s="2" t="s">
        <v>272</v>
      </c>
      <c r="M12979" s="2">
        <v>67024.0</v>
      </c>
      <c r="N12979" s="2" t="s">
        <v>21</v>
      </c>
    </row>
    <row r="12980" ht="15.75" customHeight="1">
      <c r="A12980" s="2">
        <v>2020.0</v>
      </c>
      <c r="B12980" s="2" t="s">
        <v>51481</v>
      </c>
      <c r="C12980" s="2" t="s">
        <v>51481</v>
      </c>
      <c r="D12980" s="2" t="str">
        <f>"4703583074"</f>
        <v>4703583074</v>
      </c>
      <c r="E12980" s="2" t="s">
        <v>51482</v>
      </c>
      <c r="F12980" s="2" t="s">
        <v>51483</v>
      </c>
      <c r="G12980" s="2" t="str">
        <f>"SR-18407"</f>
        <v>SR-18407</v>
      </c>
      <c r="H12980" s="2" t="s">
        <v>51484</v>
      </c>
      <c r="I12980" s="2" t="s">
        <v>51485</v>
      </c>
      <c r="K12980" s="2" t="s">
        <v>7012</v>
      </c>
      <c r="L12980" s="2" t="s">
        <v>200</v>
      </c>
      <c r="M12980" s="2">
        <v>30005.0</v>
      </c>
      <c r="N12980" s="2" t="s">
        <v>21</v>
      </c>
    </row>
    <row r="12981" ht="15.75" customHeight="1">
      <c r="A12981" s="2">
        <v>2020.0</v>
      </c>
      <c r="B12981" s="2" t="s">
        <v>51486</v>
      </c>
      <c r="C12981" s="2" t="s">
        <v>51486</v>
      </c>
      <c r="D12981" s="2" t="str">
        <f>"8143867295"</f>
        <v>8143867295</v>
      </c>
      <c r="E12981" s="2" t="s">
        <v>1208</v>
      </c>
      <c r="F12981" s="2" t="s">
        <v>51487</v>
      </c>
      <c r="G12981" s="2" t="str">
        <f>"SR-18410"</f>
        <v>SR-18410</v>
      </c>
      <c r="H12981" s="2" t="s">
        <v>51488</v>
      </c>
      <c r="I12981" s="2" t="s">
        <v>51489</v>
      </c>
      <c r="K12981" s="2" t="s">
        <v>9877</v>
      </c>
      <c r="L12981" s="2" t="s">
        <v>165</v>
      </c>
      <c r="M12981" s="2">
        <v>24060.0</v>
      </c>
      <c r="N12981" s="2" t="s">
        <v>21</v>
      </c>
    </row>
    <row r="12982" ht="15.75" customHeight="1">
      <c r="A12982" s="2">
        <v>2020.0</v>
      </c>
      <c r="B12982" s="2" t="s">
        <v>51490</v>
      </c>
      <c r="C12982" s="2" t="s">
        <v>51491</v>
      </c>
      <c r="D12982" s="2" t="str">
        <f>"3166219722"</f>
        <v>3166219722</v>
      </c>
      <c r="E12982" s="2" t="s">
        <v>2412</v>
      </c>
      <c r="F12982" s="2" t="s">
        <v>51492</v>
      </c>
      <c r="G12982" s="2" t="str">
        <f>"SR-18409"</f>
        <v>SR-18409</v>
      </c>
      <c r="H12982" s="2" t="s">
        <v>51493</v>
      </c>
      <c r="I12982" s="2" t="s">
        <v>51494</v>
      </c>
      <c r="K12982" s="2" t="s">
        <v>10124</v>
      </c>
      <c r="L12982" s="2" t="s">
        <v>272</v>
      </c>
      <c r="M12982" s="2">
        <v>67133.0</v>
      </c>
      <c r="N12982" s="2" t="s">
        <v>21</v>
      </c>
    </row>
    <row r="12983" ht="15.75" customHeight="1">
      <c r="A12983" s="2">
        <v>2020.0</v>
      </c>
      <c r="B12983" s="2" t="s">
        <v>51495</v>
      </c>
      <c r="C12983" s="2" t="s">
        <v>51495</v>
      </c>
      <c r="D12983" s="2" t="str">
        <f>"620-218-8484"</f>
        <v>620-218-8484</v>
      </c>
      <c r="E12983" s="2" t="s">
        <v>1263</v>
      </c>
      <c r="F12983" s="2" t="s">
        <v>14111</v>
      </c>
      <c r="G12983" s="2" t="str">
        <f>"SR-18413"</f>
        <v>SR-18413</v>
      </c>
      <c r="H12983" s="2" t="s">
        <v>51496</v>
      </c>
      <c r="I12983" s="2" t="s">
        <v>51497</v>
      </c>
      <c r="J12983" s="2" t="s">
        <v>51498</v>
      </c>
      <c r="K12983" s="2" t="s">
        <v>10683</v>
      </c>
      <c r="L12983" s="2" t="s">
        <v>272</v>
      </c>
      <c r="M12983" s="2">
        <v>67008.0</v>
      </c>
      <c r="N12983" s="2" t="s">
        <v>21</v>
      </c>
    </row>
    <row r="12984" ht="15.75" customHeight="1">
      <c r="A12984" s="2">
        <v>2020.0</v>
      </c>
      <c r="B12984" s="2" t="s">
        <v>44777</v>
      </c>
      <c r="C12984" s="2" t="s">
        <v>51499</v>
      </c>
      <c r="D12984" s="2" t="str">
        <f>"7192013447"</f>
        <v>7192013447</v>
      </c>
      <c r="E12984" s="2" t="s">
        <v>2361</v>
      </c>
      <c r="F12984" s="2" t="s">
        <v>13926</v>
      </c>
      <c r="G12984" s="2" t="str">
        <f>"SR-18414"</f>
        <v>SR-18414</v>
      </c>
      <c r="H12984" s="2" t="s">
        <v>51500</v>
      </c>
      <c r="I12984" s="2" t="s">
        <v>51501</v>
      </c>
      <c r="K12984" s="2" t="s">
        <v>809</v>
      </c>
      <c r="L12984" s="2" t="s">
        <v>157</v>
      </c>
      <c r="M12984" s="2">
        <v>80908.0</v>
      </c>
      <c r="N12984" s="2" t="s">
        <v>21</v>
      </c>
    </row>
    <row r="12985" ht="15.75" customHeight="1">
      <c r="A12985" s="2">
        <v>2020.0</v>
      </c>
      <c r="B12985" s="2" t="s">
        <v>51502</v>
      </c>
      <c r="C12985" s="2" t="s">
        <v>51503</v>
      </c>
      <c r="D12985" s="2" t="str">
        <f>"7608452378"</f>
        <v>7608452378</v>
      </c>
      <c r="E12985" s="2" t="s">
        <v>48473</v>
      </c>
      <c r="F12985" s="2" t="s">
        <v>11763</v>
      </c>
      <c r="G12985" s="2" t="str">
        <f>"SR-18415"</f>
        <v>SR-18415</v>
      </c>
      <c r="H12985" s="2" t="s">
        <v>51504</v>
      </c>
      <c r="I12985" s="2" t="s">
        <v>51505</v>
      </c>
      <c r="K12985" s="2" t="s">
        <v>15205</v>
      </c>
      <c r="L12985" s="2" t="s">
        <v>222</v>
      </c>
      <c r="M12985" s="2">
        <v>92025.0</v>
      </c>
      <c r="N12985" s="2" t="s">
        <v>21</v>
      </c>
    </row>
    <row r="12986" ht="15.75" customHeight="1">
      <c r="A12986" s="2">
        <v>2020.0</v>
      </c>
      <c r="B12986" s="2" t="s">
        <v>51506</v>
      </c>
      <c r="C12986" s="2" t="s">
        <v>51507</v>
      </c>
      <c r="D12986" s="2" t="str">
        <f>"719-686-8590"</f>
        <v>719-686-8590</v>
      </c>
      <c r="E12986" s="2" t="s">
        <v>19780</v>
      </c>
      <c r="F12986" s="2" t="s">
        <v>19130</v>
      </c>
      <c r="G12986" s="2" t="str">
        <f>"SR-18416"</f>
        <v>SR-18416</v>
      </c>
      <c r="H12986" s="2" t="s">
        <v>51508</v>
      </c>
      <c r="I12986" s="2" t="s">
        <v>51509</v>
      </c>
      <c r="K12986" s="2" t="s">
        <v>51510</v>
      </c>
      <c r="L12986" s="2" t="s">
        <v>157</v>
      </c>
      <c r="M12986" s="2">
        <v>80829.0</v>
      </c>
      <c r="N12986" s="2" t="s">
        <v>21</v>
      </c>
    </row>
    <row r="12987" ht="15.75" customHeight="1">
      <c r="A12987" s="2">
        <v>2020.0</v>
      </c>
      <c r="B12987" s="2" t="s">
        <v>51511</v>
      </c>
      <c r="C12987" s="2" t="s">
        <v>51511</v>
      </c>
      <c r="D12987" s="2" t="str">
        <f>"682-404-2436"</f>
        <v>682-404-2436</v>
      </c>
      <c r="E12987" s="2" t="s">
        <v>1000</v>
      </c>
      <c r="F12987" s="2" t="s">
        <v>4839</v>
      </c>
      <c r="G12987" s="2" t="str">
        <f>"SR-18417"</f>
        <v>SR-18417</v>
      </c>
      <c r="H12987" s="2" t="s">
        <v>51512</v>
      </c>
      <c r="I12987" s="2" t="s">
        <v>51513</v>
      </c>
      <c r="K12987" s="2" t="s">
        <v>1255</v>
      </c>
      <c r="L12987" s="2" t="s">
        <v>172</v>
      </c>
      <c r="M12987" s="2">
        <v>75219.0</v>
      </c>
      <c r="N12987" s="2" t="s">
        <v>21</v>
      </c>
    </row>
    <row r="12988" ht="15.75" customHeight="1">
      <c r="A12988" s="2">
        <v>2020.0</v>
      </c>
      <c r="B12988" s="2" t="s">
        <v>51514</v>
      </c>
      <c r="D12988" s="2" t="str">
        <f>""</f>
        <v/>
      </c>
      <c r="E12988" s="2" t="s">
        <v>4763</v>
      </c>
      <c r="F12988" s="2" t="s">
        <v>14432</v>
      </c>
      <c r="G12988" s="2" t="str">
        <f>"SR-18419"</f>
        <v>SR-18419</v>
      </c>
      <c r="H12988" s="2" t="s">
        <v>51515</v>
      </c>
    </row>
    <row r="12989" ht="15.75" customHeight="1">
      <c r="A12989" s="2">
        <v>2020.0</v>
      </c>
      <c r="B12989" s="2" t="s">
        <v>51516</v>
      </c>
      <c r="C12989" s="2" t="s">
        <v>51517</v>
      </c>
      <c r="D12989" s="2" t="str">
        <f>"480-266-9912"</f>
        <v>480-266-9912</v>
      </c>
      <c r="E12989" s="2" t="s">
        <v>705</v>
      </c>
      <c r="F12989" s="2" t="s">
        <v>1151</v>
      </c>
      <c r="G12989" s="2" t="str">
        <f>"SR-18420"</f>
        <v>SR-18420</v>
      </c>
      <c r="H12989" s="2" t="s">
        <v>51518</v>
      </c>
      <c r="I12989" s="2" t="s">
        <v>51519</v>
      </c>
      <c r="K12989" s="2" t="s">
        <v>5531</v>
      </c>
      <c r="L12989" s="2" t="s">
        <v>422</v>
      </c>
      <c r="M12989" s="2">
        <v>85204.0</v>
      </c>
      <c r="N12989" s="2" t="s">
        <v>21</v>
      </c>
    </row>
    <row r="12990" ht="15.75" customHeight="1">
      <c r="A12990" s="2">
        <v>2020.0</v>
      </c>
      <c r="B12990" s="2" t="s">
        <v>33399</v>
      </c>
      <c r="C12990" s="2" t="s">
        <v>51520</v>
      </c>
      <c r="D12990" s="2" t="str">
        <f>"9524521236"</f>
        <v>9524521236</v>
      </c>
      <c r="E12990" s="2" t="s">
        <v>1400</v>
      </c>
      <c r="F12990" s="2" t="s">
        <v>33401</v>
      </c>
      <c r="G12990" s="2" t="str">
        <f>"SR-18422"</f>
        <v>SR-18422</v>
      </c>
      <c r="H12990" s="2" t="s">
        <v>51521</v>
      </c>
      <c r="I12990" s="2" t="s">
        <v>51522</v>
      </c>
      <c r="K12990" s="2" t="s">
        <v>1765</v>
      </c>
      <c r="L12990" s="2" t="s">
        <v>62</v>
      </c>
      <c r="M12990" s="2">
        <v>55378.0</v>
      </c>
      <c r="N12990" s="2" t="s">
        <v>21</v>
      </c>
    </row>
    <row r="12991" ht="15.75" customHeight="1">
      <c r="A12991" s="2">
        <v>2020.0</v>
      </c>
      <c r="B12991" s="2" t="s">
        <v>51523</v>
      </c>
      <c r="C12991" s="2" t="s">
        <v>51524</v>
      </c>
      <c r="D12991" s="2" t="str">
        <f>"7064557874"</f>
        <v>7064557874</v>
      </c>
      <c r="E12991" s="2" t="s">
        <v>5858</v>
      </c>
      <c r="F12991" s="2" t="s">
        <v>33406</v>
      </c>
      <c r="G12991" s="2" t="str">
        <f>"SR-18426"</f>
        <v>SR-18426</v>
      </c>
      <c r="H12991" s="2" t="s">
        <v>51525</v>
      </c>
      <c r="I12991" s="2" t="s">
        <v>51526</v>
      </c>
      <c r="K12991" s="2" t="s">
        <v>3141</v>
      </c>
      <c r="L12991" s="2" t="s">
        <v>142</v>
      </c>
      <c r="M12991" s="2">
        <v>13807.0</v>
      </c>
      <c r="N12991" s="2" t="s">
        <v>21</v>
      </c>
    </row>
    <row r="12992" ht="15.75" customHeight="1">
      <c r="A12992" s="2">
        <v>2020.0</v>
      </c>
      <c r="B12992" s="2" t="s">
        <v>51527</v>
      </c>
      <c r="C12992" s="2" t="s">
        <v>51528</v>
      </c>
      <c r="D12992" s="2" t="str">
        <f>"952-445-4571"</f>
        <v>952-445-4571</v>
      </c>
      <c r="E12992" s="2" t="s">
        <v>2089</v>
      </c>
      <c r="F12992" s="2" t="s">
        <v>37241</v>
      </c>
      <c r="G12992" s="2" t="str">
        <f>"SR-18257"</f>
        <v>SR-18257</v>
      </c>
      <c r="H12992" s="2" t="s">
        <v>51529</v>
      </c>
      <c r="I12992" s="2" t="s">
        <v>37243</v>
      </c>
      <c r="K12992" s="2" t="s">
        <v>1321</v>
      </c>
      <c r="L12992" s="2" t="s">
        <v>62</v>
      </c>
      <c r="M12992" s="2">
        <v>55372.0</v>
      </c>
      <c r="N12992" s="2" t="s">
        <v>21</v>
      </c>
    </row>
    <row r="12993" ht="15.75" customHeight="1">
      <c r="A12993" s="2">
        <v>2020.0</v>
      </c>
      <c r="B12993" s="2" t="s">
        <v>20430</v>
      </c>
      <c r="C12993" s="2" t="s">
        <v>51530</v>
      </c>
      <c r="D12993" s="2" t="str">
        <f>"205-702-4499"</f>
        <v>205-702-4499</v>
      </c>
      <c r="E12993" s="2" t="s">
        <v>1032</v>
      </c>
      <c r="F12993" s="2" t="s">
        <v>7973</v>
      </c>
      <c r="G12993" s="2" t="str">
        <f>"SR-18428"</f>
        <v>SR-18428</v>
      </c>
      <c r="H12993" s="2" t="s">
        <v>51531</v>
      </c>
      <c r="I12993" s="2" t="s">
        <v>7975</v>
      </c>
      <c r="K12993" s="2" t="s">
        <v>20432</v>
      </c>
      <c r="L12993" s="2" t="s">
        <v>539</v>
      </c>
      <c r="M12993" s="2">
        <v>35094.0</v>
      </c>
      <c r="N12993" s="2" t="s">
        <v>21</v>
      </c>
    </row>
    <row r="12994" ht="15.75" customHeight="1">
      <c r="A12994" s="2">
        <v>2020.0</v>
      </c>
      <c r="B12994" s="2" t="s">
        <v>51532</v>
      </c>
      <c r="C12994" s="2" t="s">
        <v>51532</v>
      </c>
      <c r="D12994" s="2" t="str">
        <f>"6026335538"</f>
        <v>6026335538</v>
      </c>
      <c r="E12994" s="2" t="s">
        <v>1702</v>
      </c>
      <c r="F12994" s="2" t="s">
        <v>15579</v>
      </c>
      <c r="G12994" s="2" t="str">
        <f>"SR-18429"</f>
        <v>SR-18429</v>
      </c>
      <c r="H12994" s="2" t="s">
        <v>51533</v>
      </c>
      <c r="I12994" s="2" t="s">
        <v>51534</v>
      </c>
      <c r="J12994" s="2" t="s">
        <v>51535</v>
      </c>
      <c r="K12994" s="2" t="s">
        <v>5531</v>
      </c>
      <c r="L12994" s="2" t="s">
        <v>422</v>
      </c>
      <c r="M12994" s="2">
        <v>85213.0</v>
      </c>
      <c r="N12994" s="2" t="s">
        <v>21</v>
      </c>
    </row>
    <row r="12995" ht="15.75" customHeight="1">
      <c r="A12995" s="2">
        <v>2020.0</v>
      </c>
      <c r="B12995" s="2" t="s">
        <v>51536</v>
      </c>
      <c r="C12995" s="2" t="s">
        <v>51537</v>
      </c>
      <c r="D12995" s="2" t="str">
        <f>"4045760939"</f>
        <v>4045760939</v>
      </c>
      <c r="E12995" s="2" t="s">
        <v>1251</v>
      </c>
      <c r="F12995" s="2" t="s">
        <v>5991</v>
      </c>
      <c r="G12995" s="2" t="str">
        <f>"SR-18432"</f>
        <v>SR-18432</v>
      </c>
      <c r="H12995" s="2" t="s">
        <v>51538</v>
      </c>
      <c r="I12995" s="2" t="s">
        <v>51539</v>
      </c>
      <c r="K12995" s="2" t="s">
        <v>10683</v>
      </c>
      <c r="L12995" s="2" t="s">
        <v>200</v>
      </c>
      <c r="M12995" s="2">
        <v>30341.0</v>
      </c>
      <c r="N12995" s="2" t="s">
        <v>21</v>
      </c>
    </row>
    <row r="12996" ht="15.75" customHeight="1">
      <c r="A12996" s="2">
        <v>2020.0</v>
      </c>
      <c r="B12996" s="2" t="s">
        <v>45491</v>
      </c>
      <c r="C12996" s="2" t="s">
        <v>51540</v>
      </c>
      <c r="D12996" s="2" t="str">
        <f>"5133752358"</f>
        <v>5133752358</v>
      </c>
      <c r="E12996" s="2" t="s">
        <v>1767</v>
      </c>
      <c r="F12996" s="2" t="s">
        <v>45493</v>
      </c>
      <c r="G12996" s="2" t="str">
        <f>"SR-18433"</f>
        <v>SR-18433</v>
      </c>
      <c r="H12996" s="2" t="s">
        <v>51541</v>
      </c>
      <c r="I12996" s="2" t="s">
        <v>51542</v>
      </c>
      <c r="K12996" s="2" t="s">
        <v>3103</v>
      </c>
      <c r="L12996" s="2" t="s">
        <v>272</v>
      </c>
      <c r="M12996" s="2">
        <v>66210.0</v>
      </c>
      <c r="N12996" s="2" t="s">
        <v>21</v>
      </c>
    </row>
    <row r="12997" ht="15.75" customHeight="1">
      <c r="A12997" s="2">
        <v>2020.0</v>
      </c>
      <c r="B12997" s="2" t="s">
        <v>51543</v>
      </c>
      <c r="C12997" s="2" t="s">
        <v>51543</v>
      </c>
      <c r="D12997" s="2" t="str">
        <f>"6202189819"</f>
        <v>6202189819</v>
      </c>
      <c r="E12997" s="2" t="s">
        <v>51544</v>
      </c>
      <c r="F12997" s="2" t="s">
        <v>14111</v>
      </c>
      <c r="G12997" s="2" t="str">
        <f>"SR-18434"</f>
        <v>SR-18434</v>
      </c>
      <c r="H12997" s="2" t="s">
        <v>51545</v>
      </c>
      <c r="I12997" s="2" t="s">
        <v>51546</v>
      </c>
      <c r="K12997" s="2" t="s">
        <v>10683</v>
      </c>
      <c r="L12997" s="2" t="s">
        <v>272</v>
      </c>
      <c r="M12997" s="2">
        <v>67008.0</v>
      </c>
      <c r="N12997" s="2" t="s">
        <v>21</v>
      </c>
    </row>
    <row r="12998" ht="15.75" customHeight="1">
      <c r="A12998" s="2">
        <v>2020.0</v>
      </c>
      <c r="B12998" s="2" t="s">
        <v>51547</v>
      </c>
      <c r="C12998" s="2" t="s">
        <v>51548</v>
      </c>
      <c r="D12998" s="2" t="str">
        <f>"6512539525"</f>
        <v>6512539525</v>
      </c>
      <c r="E12998" s="2" t="s">
        <v>678</v>
      </c>
      <c r="F12998" s="2" t="s">
        <v>51549</v>
      </c>
      <c r="G12998" s="2" t="str">
        <f>"SR-18424"</f>
        <v>SR-18424</v>
      </c>
      <c r="H12998" s="2" t="s">
        <v>51550</v>
      </c>
      <c r="I12998" s="2" t="s">
        <v>51551</v>
      </c>
      <c r="K12998" s="2" t="s">
        <v>501</v>
      </c>
      <c r="L12998" s="2" t="s">
        <v>62</v>
      </c>
      <c r="M12998" s="2">
        <v>55123.0</v>
      </c>
      <c r="N12998" s="2" t="s">
        <v>21</v>
      </c>
    </row>
    <row r="12999" ht="15.75" customHeight="1">
      <c r="A12999" s="2">
        <v>2020.0</v>
      </c>
      <c r="B12999" s="2" t="s">
        <v>51552</v>
      </c>
      <c r="C12999" s="2" t="s">
        <v>51552</v>
      </c>
      <c r="D12999" s="2" t="str">
        <f>"2317422277"</f>
        <v>2317422277</v>
      </c>
      <c r="E12999" s="2" t="s">
        <v>4206</v>
      </c>
      <c r="F12999" s="2" t="s">
        <v>51553</v>
      </c>
      <c r="G12999" s="2" t="str">
        <f>"SR-18437"</f>
        <v>SR-18437</v>
      </c>
      <c r="H12999" s="2" t="s">
        <v>51554</v>
      </c>
      <c r="I12999" s="2" t="s">
        <v>51555</v>
      </c>
      <c r="K12999" s="2" t="s">
        <v>36981</v>
      </c>
      <c r="L12999" s="2" t="s">
        <v>29</v>
      </c>
      <c r="M12999" s="2">
        <v>49420.0</v>
      </c>
      <c r="N12999" s="2" t="s">
        <v>21</v>
      </c>
    </row>
    <row r="13000" ht="15.75" customHeight="1">
      <c r="A13000" s="2">
        <v>2020.0</v>
      </c>
      <c r="B13000" s="2" t="s">
        <v>51556</v>
      </c>
      <c r="C13000" s="2" t="s">
        <v>51557</v>
      </c>
      <c r="D13000" s="2" t="str">
        <f>"289-772-9207"</f>
        <v>289-772-9207</v>
      </c>
      <c r="E13000" s="2" t="s">
        <v>28073</v>
      </c>
      <c r="F13000" s="2" t="s">
        <v>19933</v>
      </c>
      <c r="G13000" s="2" t="str">
        <f>"SR-18436"</f>
        <v>SR-18436</v>
      </c>
      <c r="H13000" s="2" t="s">
        <v>51558</v>
      </c>
      <c r="I13000" s="2" t="s">
        <v>51559</v>
      </c>
      <c r="K13000" s="2" t="s">
        <v>34250</v>
      </c>
      <c r="L13000" s="2" t="s">
        <v>2015</v>
      </c>
      <c r="M13000" s="2" t="s">
        <v>51560</v>
      </c>
      <c r="N13000" s="2" t="s">
        <v>1602</v>
      </c>
    </row>
    <row r="13001" ht="15.75" customHeight="1">
      <c r="A13001" s="2">
        <v>2020.0</v>
      </c>
      <c r="B13001" s="2" t="s">
        <v>37742</v>
      </c>
      <c r="C13001" s="2" t="s">
        <v>51561</v>
      </c>
      <c r="D13001" s="2" t="str">
        <f>"720-496-6277"</f>
        <v>720-496-6277</v>
      </c>
      <c r="E13001" s="2" t="s">
        <v>2941</v>
      </c>
      <c r="F13001" s="2" t="s">
        <v>724</v>
      </c>
      <c r="G13001" s="2" t="str">
        <f>"SR-18438"</f>
        <v>SR-18438</v>
      </c>
      <c r="H13001" s="2" t="s">
        <v>51562</v>
      </c>
      <c r="I13001" s="2" t="s">
        <v>37745</v>
      </c>
      <c r="K13001" s="2" t="s">
        <v>1520</v>
      </c>
      <c r="L13001" s="2" t="s">
        <v>157</v>
      </c>
      <c r="M13001" s="2">
        <v>80012.0</v>
      </c>
      <c r="N13001" s="2" t="s">
        <v>21</v>
      </c>
    </row>
    <row r="13002" ht="15.75" customHeight="1">
      <c r="A13002" s="2">
        <v>2020.0</v>
      </c>
      <c r="B13002" s="2" t="s">
        <v>44355</v>
      </c>
      <c r="C13002" s="2" t="s">
        <v>44356</v>
      </c>
      <c r="D13002" s="2" t="str">
        <f>"9032747799"</f>
        <v>9032747799</v>
      </c>
      <c r="E13002" s="2" t="s">
        <v>1450</v>
      </c>
      <c r="F13002" s="2" t="s">
        <v>4237</v>
      </c>
      <c r="G13002" s="2" t="str">
        <f>"SR-15589"</f>
        <v>SR-15589</v>
      </c>
      <c r="H13002" s="2" t="s">
        <v>44357</v>
      </c>
      <c r="I13002" s="2" t="s">
        <v>44358</v>
      </c>
      <c r="K13002" s="2" t="s">
        <v>408</v>
      </c>
      <c r="L13002" s="2" t="s">
        <v>149</v>
      </c>
      <c r="M13002" s="2">
        <v>46077.0</v>
      </c>
      <c r="N13002" s="2" t="s">
        <v>21</v>
      </c>
    </row>
    <row r="13003" ht="15.75" customHeight="1">
      <c r="A13003" s="2">
        <v>2020.0</v>
      </c>
      <c r="B13003" s="2" t="s">
        <v>51563</v>
      </c>
      <c r="C13003" s="2" t="s">
        <v>51564</v>
      </c>
      <c r="D13003" s="2" t="str">
        <f>"5092800579"</f>
        <v>5092800579</v>
      </c>
      <c r="E13003" s="2" t="s">
        <v>3977</v>
      </c>
      <c r="F13003" s="2" t="s">
        <v>51565</v>
      </c>
      <c r="G13003" s="2" t="str">
        <f>"SR-18439"</f>
        <v>SR-18439</v>
      </c>
      <c r="H13003" s="2" t="s">
        <v>51566</v>
      </c>
      <c r="I13003" s="2" t="s">
        <v>51567</v>
      </c>
      <c r="K13003" s="2" t="s">
        <v>1413</v>
      </c>
      <c r="L13003" s="2" t="s">
        <v>86</v>
      </c>
      <c r="M13003" s="2">
        <v>99223.0</v>
      </c>
      <c r="N13003" s="2" t="s">
        <v>21</v>
      </c>
    </row>
    <row r="13004" ht="15.75" customHeight="1">
      <c r="A13004" s="2">
        <v>2020.0</v>
      </c>
      <c r="B13004" s="2" t="s">
        <v>51568</v>
      </c>
      <c r="C13004" s="2" t="s">
        <v>51569</v>
      </c>
      <c r="D13004" s="2" t="str">
        <f>"9729785145"</f>
        <v>9729785145</v>
      </c>
      <c r="E13004" s="2" t="s">
        <v>1094</v>
      </c>
      <c r="F13004" s="2" t="s">
        <v>339</v>
      </c>
      <c r="G13004" s="2" t="str">
        <f>"SR-18441"</f>
        <v>SR-18441</v>
      </c>
      <c r="H13004" s="2" t="s">
        <v>51570</v>
      </c>
      <c r="I13004" s="2" t="s">
        <v>51571</v>
      </c>
      <c r="K13004" s="2" t="s">
        <v>54</v>
      </c>
      <c r="L13004" s="2" t="s">
        <v>172</v>
      </c>
      <c r="M13004" s="2">
        <v>75402.0</v>
      </c>
      <c r="N13004" s="2" t="s">
        <v>21</v>
      </c>
    </row>
    <row r="13005" ht="15.75" customHeight="1">
      <c r="A13005" s="2">
        <v>2020.0</v>
      </c>
      <c r="B13005" s="2" t="s">
        <v>51572</v>
      </c>
      <c r="C13005" s="2" t="s">
        <v>51573</v>
      </c>
      <c r="D13005" s="2" t="str">
        <f>"717-371-1556"</f>
        <v>717-371-1556</v>
      </c>
      <c r="E13005" s="2" t="s">
        <v>51574</v>
      </c>
      <c r="F13005" s="2" t="s">
        <v>26700</v>
      </c>
      <c r="G13005" s="2" t="str">
        <f>"SR-18443"</f>
        <v>SR-18443</v>
      </c>
      <c r="H13005" s="2" t="s">
        <v>51575</v>
      </c>
      <c r="I13005" s="2" t="s">
        <v>51576</v>
      </c>
      <c r="K13005" s="2" t="s">
        <v>18173</v>
      </c>
      <c r="L13005" s="2" t="s">
        <v>179</v>
      </c>
      <c r="M13005" s="2">
        <v>17522.0</v>
      </c>
      <c r="N13005" s="2" t="s">
        <v>21</v>
      </c>
    </row>
    <row r="13006" ht="15.75" customHeight="1">
      <c r="A13006" s="2">
        <v>2020.0</v>
      </c>
      <c r="B13006" s="2" t="s">
        <v>51577</v>
      </c>
      <c r="C13006" s="2" t="s">
        <v>51578</v>
      </c>
      <c r="D13006" s="2" t="str">
        <f>"6154902689"</f>
        <v>6154902689</v>
      </c>
      <c r="E13006" s="2" t="s">
        <v>778</v>
      </c>
      <c r="F13006" s="2" t="s">
        <v>51579</v>
      </c>
      <c r="G13006" s="2" t="str">
        <f>"SR-18444"</f>
        <v>SR-18444</v>
      </c>
      <c r="H13006" s="2" t="s">
        <v>51580</v>
      </c>
      <c r="I13006" s="2" t="s">
        <v>51581</v>
      </c>
      <c r="K13006" s="2" t="s">
        <v>278</v>
      </c>
      <c r="L13006" s="2" t="s">
        <v>279</v>
      </c>
      <c r="M13006" s="2">
        <v>37067.0</v>
      </c>
      <c r="N13006" s="2" t="s">
        <v>21</v>
      </c>
    </row>
    <row r="13007" ht="15.75" customHeight="1">
      <c r="A13007" s="2">
        <v>2020.0</v>
      </c>
      <c r="B13007" s="2" t="s">
        <v>29584</v>
      </c>
      <c r="C13007" s="2" t="s">
        <v>51582</v>
      </c>
      <c r="D13007" s="2" t="str">
        <f>"6613330123"</f>
        <v>6613330123</v>
      </c>
      <c r="E13007" s="2" t="s">
        <v>167</v>
      </c>
      <c r="F13007" s="2" t="s">
        <v>29587</v>
      </c>
      <c r="G13007" s="2" t="str">
        <f>"SR-18210"</f>
        <v>SR-18210</v>
      </c>
      <c r="H13007" s="2" t="s">
        <v>51583</v>
      </c>
      <c r="I13007" s="2" t="s">
        <v>51584</v>
      </c>
      <c r="K13007" s="2" t="s">
        <v>11198</v>
      </c>
      <c r="L13007" s="2" t="s">
        <v>222</v>
      </c>
      <c r="M13007" s="2">
        <v>93314.0</v>
      </c>
      <c r="N13007" s="2" t="s">
        <v>21</v>
      </c>
    </row>
    <row r="13008" ht="15.75" customHeight="1">
      <c r="A13008" s="2">
        <v>2020.0</v>
      </c>
      <c r="B13008" s="2" t="s">
        <v>51585</v>
      </c>
      <c r="C13008" s="2" t="s">
        <v>51586</v>
      </c>
      <c r="D13008" s="2" t="str">
        <f>"4099279140"</f>
        <v>4099279140</v>
      </c>
      <c r="E13008" s="2" t="s">
        <v>4275</v>
      </c>
      <c r="F13008" s="2" t="s">
        <v>12244</v>
      </c>
      <c r="G13008" s="2" t="str">
        <f>"SR-18442"</f>
        <v>SR-18442</v>
      </c>
      <c r="H13008" s="2" t="s">
        <v>51587</v>
      </c>
      <c r="I13008" s="2" t="s">
        <v>51588</v>
      </c>
      <c r="K13008" s="2" t="s">
        <v>51589</v>
      </c>
      <c r="L13008" s="2" t="s">
        <v>4836</v>
      </c>
      <c r="M13008" s="2">
        <v>6441.0</v>
      </c>
      <c r="N13008" s="2" t="s">
        <v>21</v>
      </c>
    </row>
    <row r="13009" ht="15.75" customHeight="1">
      <c r="A13009" s="2">
        <v>2020.0</v>
      </c>
      <c r="B13009" s="2" t="s">
        <v>51585</v>
      </c>
      <c r="C13009" s="2" t="s">
        <v>51590</v>
      </c>
      <c r="D13009" s="2" t="str">
        <f>"4092182211"</f>
        <v>4092182211</v>
      </c>
      <c r="E13009" s="2" t="s">
        <v>9455</v>
      </c>
      <c r="F13009" s="2" t="s">
        <v>12244</v>
      </c>
      <c r="G13009" s="2" t="str">
        <f>"SR-18449"</f>
        <v>SR-18449</v>
      </c>
      <c r="H13009" s="2" t="s">
        <v>51591</v>
      </c>
      <c r="I13009" s="2" t="s">
        <v>51588</v>
      </c>
      <c r="K13009" s="2" t="s">
        <v>51589</v>
      </c>
      <c r="L13009" s="2" t="s">
        <v>4836</v>
      </c>
      <c r="M13009" s="2">
        <v>6441.0</v>
      </c>
      <c r="N13009" s="2" t="s">
        <v>21</v>
      </c>
    </row>
    <row r="13010" ht="15.75" customHeight="1">
      <c r="A13010" s="2">
        <v>2020.0</v>
      </c>
      <c r="B13010" s="2" t="s">
        <v>51592</v>
      </c>
      <c r="C13010" s="2" t="s">
        <v>51592</v>
      </c>
      <c r="D13010" s="2" t="str">
        <f>"5098597561"</f>
        <v>5098597561</v>
      </c>
      <c r="E13010" s="2" t="s">
        <v>51593</v>
      </c>
      <c r="F13010" s="2" t="s">
        <v>4358</v>
      </c>
      <c r="G13010" s="2" t="str">
        <f>"SR-18253"</f>
        <v>SR-18253</v>
      </c>
      <c r="H13010" s="2" t="s">
        <v>51594</v>
      </c>
      <c r="I13010" s="2" t="s">
        <v>51595</v>
      </c>
      <c r="K13010" s="2" t="s">
        <v>85</v>
      </c>
      <c r="L13010" s="2" t="s">
        <v>86</v>
      </c>
      <c r="M13010" s="2">
        <v>98926.0</v>
      </c>
      <c r="N13010" s="2" t="s">
        <v>21</v>
      </c>
    </row>
    <row r="13011" ht="15.75" customHeight="1">
      <c r="A13011" s="2">
        <v>2020.0</v>
      </c>
      <c r="B13011" s="2" t="s">
        <v>51596</v>
      </c>
      <c r="C13011" s="2" t="s">
        <v>51597</v>
      </c>
      <c r="D13011" s="2" t="str">
        <f>"4342337780"</f>
        <v>4342337780</v>
      </c>
      <c r="E13011" s="2" t="s">
        <v>955</v>
      </c>
      <c r="F13011" s="2" t="s">
        <v>50440</v>
      </c>
      <c r="G13011" s="2" t="str">
        <f>"SR-18452"</f>
        <v>SR-18452</v>
      </c>
      <c r="H13011" s="2" t="s">
        <v>51598</v>
      </c>
      <c r="I13011" s="2" t="s">
        <v>51599</v>
      </c>
      <c r="K13011" s="2" t="s">
        <v>51600</v>
      </c>
      <c r="L13011" s="2" t="s">
        <v>165</v>
      </c>
      <c r="M13011" s="2">
        <v>23930.0</v>
      </c>
      <c r="N13011" s="2" t="s">
        <v>21</v>
      </c>
    </row>
    <row r="13012" ht="15.75" customHeight="1">
      <c r="A13012" s="2">
        <v>2020.0</v>
      </c>
      <c r="B13012" s="2" t="s">
        <v>51596</v>
      </c>
      <c r="C13012" s="2" t="s">
        <v>51601</v>
      </c>
      <c r="D13012" s="2" t="str">
        <f>"4342470142"</f>
        <v>4342470142</v>
      </c>
      <c r="E13012" s="2" t="s">
        <v>44587</v>
      </c>
      <c r="F13012" s="2" t="s">
        <v>50440</v>
      </c>
      <c r="G13012" s="2" t="str">
        <f>"SR-18453"</f>
        <v>SR-18453</v>
      </c>
      <c r="H13012" s="2" t="s">
        <v>51602</v>
      </c>
      <c r="I13012" s="2" t="s">
        <v>51599</v>
      </c>
      <c r="K13012" s="2" t="s">
        <v>51600</v>
      </c>
      <c r="L13012" s="2" t="s">
        <v>165</v>
      </c>
      <c r="M13012" s="2">
        <v>23930.0</v>
      </c>
      <c r="N13012" s="2" t="s">
        <v>21</v>
      </c>
    </row>
    <row r="13013" ht="15.75" customHeight="1">
      <c r="A13013" s="2">
        <v>2020.0</v>
      </c>
      <c r="B13013" s="2" t="s">
        <v>51603</v>
      </c>
      <c r="C13013" s="2" t="s">
        <v>51604</v>
      </c>
      <c r="D13013" s="2" t="str">
        <f>"(717) 448-1051"</f>
        <v>(717) 448-1051</v>
      </c>
      <c r="E13013" s="2" t="s">
        <v>9975</v>
      </c>
      <c r="F13013" s="2" t="s">
        <v>19156</v>
      </c>
      <c r="G13013" s="2" t="str">
        <f>"SR-18455"</f>
        <v>SR-18455</v>
      </c>
      <c r="H13013" s="2" t="s">
        <v>51605</v>
      </c>
      <c r="I13013" s="2" t="s">
        <v>51606</v>
      </c>
      <c r="K13013" s="2" t="s">
        <v>32115</v>
      </c>
      <c r="L13013" s="2" t="s">
        <v>179</v>
      </c>
      <c r="M13013" s="2">
        <v>17050.0</v>
      </c>
      <c r="N13013" s="2" t="s">
        <v>21</v>
      </c>
    </row>
    <row r="13014" ht="15.75" customHeight="1">
      <c r="A13014" s="2">
        <v>2020.0</v>
      </c>
      <c r="B13014" s="2" t="s">
        <v>35938</v>
      </c>
      <c r="C13014" s="2" t="s">
        <v>51607</v>
      </c>
      <c r="D13014" s="2" t="str">
        <f>"916-883-8503"</f>
        <v>916-883-8503</v>
      </c>
      <c r="E13014" s="2" t="s">
        <v>51282</v>
      </c>
      <c r="F13014" s="2" t="s">
        <v>35940</v>
      </c>
      <c r="G13014" s="2" t="str">
        <f>"SR-17505"</f>
        <v>SR-17505</v>
      </c>
      <c r="H13014" s="2" t="s">
        <v>51608</v>
      </c>
      <c r="I13014" s="2" t="s">
        <v>51609</v>
      </c>
      <c r="K13014" s="2" t="s">
        <v>863</v>
      </c>
      <c r="L13014" s="2" t="s">
        <v>157</v>
      </c>
      <c r="M13014" s="2">
        <v>80650.0</v>
      </c>
      <c r="N13014" s="2" t="s">
        <v>21</v>
      </c>
    </row>
    <row r="13015" ht="15.75" customHeight="1">
      <c r="A13015" s="2">
        <v>2020.0</v>
      </c>
      <c r="B13015" s="2" t="s">
        <v>51610</v>
      </c>
      <c r="C13015" s="2" t="s">
        <v>51611</v>
      </c>
      <c r="D13015" s="2" t="str">
        <f>"210-844-7370"</f>
        <v>210-844-7370</v>
      </c>
      <c r="E13015" s="2" t="s">
        <v>51612</v>
      </c>
      <c r="F13015" s="2" t="s">
        <v>51613</v>
      </c>
      <c r="G13015" s="2" t="str">
        <f>"SR-18454"</f>
        <v>SR-18454</v>
      </c>
      <c r="H13015" s="2" t="s">
        <v>51614</v>
      </c>
      <c r="I13015" s="2" t="s">
        <v>51615</v>
      </c>
      <c r="K13015" s="2" t="s">
        <v>809</v>
      </c>
      <c r="L13015" s="2" t="s">
        <v>157</v>
      </c>
      <c r="M13015" s="2">
        <v>80924.0</v>
      </c>
      <c r="N13015" s="2" t="s">
        <v>21</v>
      </c>
    </row>
    <row r="13016" ht="15.75" customHeight="1">
      <c r="A13016" s="2">
        <v>2020.0</v>
      </c>
      <c r="B13016" s="2" t="s">
        <v>51616</v>
      </c>
      <c r="C13016" s="2" t="s">
        <v>51616</v>
      </c>
      <c r="D13016" s="2" t="str">
        <f>"8328368222"</f>
        <v>8328368222</v>
      </c>
      <c r="E13016" s="2" t="s">
        <v>51617</v>
      </c>
      <c r="F13016" s="2" t="s">
        <v>3984</v>
      </c>
      <c r="G13016" s="2" t="str">
        <f>"SR-18456"</f>
        <v>SR-18456</v>
      </c>
      <c r="H13016" s="2" t="s">
        <v>51618</v>
      </c>
      <c r="I13016" s="2" t="s">
        <v>51619</v>
      </c>
      <c r="K13016" s="2" t="s">
        <v>30942</v>
      </c>
      <c r="L13016" s="2" t="s">
        <v>172</v>
      </c>
      <c r="M13016" s="2">
        <v>77573.0</v>
      </c>
      <c r="N13016" s="2" t="s">
        <v>21</v>
      </c>
    </row>
    <row r="13017" ht="15.75" customHeight="1">
      <c r="A13017" s="2">
        <v>2020.0</v>
      </c>
      <c r="B13017" s="2" t="s">
        <v>51620</v>
      </c>
      <c r="C13017" s="2" t="s">
        <v>51620</v>
      </c>
      <c r="D13017" s="2" t="str">
        <f>"7209791524"</f>
        <v>7209791524</v>
      </c>
      <c r="E13017" s="2" t="s">
        <v>15</v>
      </c>
      <c r="F13017" s="2" t="s">
        <v>51412</v>
      </c>
      <c r="G13017" s="2" t="str">
        <f>"SR-18393"</f>
        <v>SR-18393</v>
      </c>
      <c r="H13017" s="2" t="s">
        <v>51621</v>
      </c>
      <c r="I13017" s="2" t="s">
        <v>51622</v>
      </c>
      <c r="K13017" s="2" t="s">
        <v>519</v>
      </c>
      <c r="L13017" s="2" t="s">
        <v>157</v>
      </c>
      <c r="M13017" s="2">
        <v>80465.0</v>
      </c>
      <c r="N13017" s="2" t="s">
        <v>21</v>
      </c>
    </row>
    <row r="13018" ht="15.75" customHeight="1">
      <c r="A13018" s="2">
        <v>2020.0</v>
      </c>
      <c r="B13018" s="2" t="s">
        <v>51623</v>
      </c>
      <c r="C13018" s="2" t="s">
        <v>51623</v>
      </c>
      <c r="D13018" s="2" t="str">
        <f>"9073896230"</f>
        <v>9073896230</v>
      </c>
      <c r="E13018" s="2" t="s">
        <v>5934</v>
      </c>
      <c r="F13018" s="2" t="s">
        <v>10666</v>
      </c>
      <c r="G13018" s="2" t="str">
        <f>"SR-18457"</f>
        <v>SR-18457</v>
      </c>
      <c r="H13018" s="2" t="s">
        <v>51624</v>
      </c>
      <c r="I13018" s="2" t="s">
        <v>51625</v>
      </c>
      <c r="K13018" s="2" t="s">
        <v>1360</v>
      </c>
      <c r="L13018" s="2" t="s">
        <v>70</v>
      </c>
      <c r="M13018" s="2">
        <v>99611.0</v>
      </c>
      <c r="N13018" s="2" t="s">
        <v>21</v>
      </c>
    </row>
    <row r="13019" ht="15.75" customHeight="1">
      <c r="A13019" s="2">
        <v>2020.0</v>
      </c>
      <c r="B13019" s="2" t="s">
        <v>51626</v>
      </c>
      <c r="C13019" s="2" t="s">
        <v>51627</v>
      </c>
      <c r="D13019" s="2" t="str">
        <f>"8034229910"</f>
        <v>8034229910</v>
      </c>
      <c r="E13019" s="2" t="s">
        <v>301</v>
      </c>
      <c r="F13019" s="2" t="s">
        <v>4422</v>
      </c>
      <c r="G13019" s="2" t="str">
        <f>"SR-18405"</f>
        <v>SR-18405</v>
      </c>
      <c r="H13019" s="2" t="s">
        <v>51628</v>
      </c>
      <c r="I13019" s="2" t="s">
        <v>51629</v>
      </c>
      <c r="K13019" s="2" t="s">
        <v>254</v>
      </c>
      <c r="L13019" s="2" t="s">
        <v>55</v>
      </c>
      <c r="M13019" s="2">
        <v>29073.0</v>
      </c>
      <c r="N13019" s="2" t="s">
        <v>21</v>
      </c>
    </row>
    <row r="13020" ht="15.75" customHeight="1">
      <c r="A13020" s="2">
        <v>2020.0</v>
      </c>
      <c r="B13020" s="2" t="s">
        <v>51630</v>
      </c>
      <c r="C13020" s="2" t="s">
        <v>51631</v>
      </c>
      <c r="D13020" s="2" t="str">
        <f>"2059080227"</f>
        <v>2059080227</v>
      </c>
      <c r="E13020" s="2" t="s">
        <v>385</v>
      </c>
      <c r="F13020" s="2" t="s">
        <v>13554</v>
      </c>
      <c r="G13020" s="2" t="str">
        <f>"SR-18462"</f>
        <v>SR-18462</v>
      </c>
      <c r="H13020" s="2" t="s">
        <v>51632</v>
      </c>
      <c r="I13020" s="2" t="s">
        <v>51633</v>
      </c>
      <c r="K13020" s="2" t="s">
        <v>3103</v>
      </c>
      <c r="L13020" s="2" t="s">
        <v>272</v>
      </c>
      <c r="M13020" s="2">
        <v>66221.0</v>
      </c>
      <c r="N13020" s="2" t="s">
        <v>21</v>
      </c>
    </row>
    <row r="13021" ht="15.75" customHeight="1">
      <c r="A13021" s="2">
        <v>2020.0</v>
      </c>
      <c r="B13021" s="2" t="s">
        <v>51634</v>
      </c>
      <c r="C13021" s="2" t="s">
        <v>51635</v>
      </c>
      <c r="D13021" s="2" t="str">
        <f>"727-871-9749"</f>
        <v>727-871-9749</v>
      </c>
      <c r="E13021" s="2" t="s">
        <v>931</v>
      </c>
      <c r="F13021" s="2" t="s">
        <v>522</v>
      </c>
      <c r="G13021" s="2" t="str">
        <f>"SR-18464"</f>
        <v>SR-18464</v>
      </c>
      <c r="H13021" s="2" t="s">
        <v>51636</v>
      </c>
      <c r="I13021" s="2" t="s">
        <v>51637</v>
      </c>
      <c r="K13021" s="2" t="s">
        <v>4042</v>
      </c>
      <c r="L13021" s="2" t="s">
        <v>208</v>
      </c>
      <c r="M13021" s="2">
        <v>33778.0</v>
      </c>
      <c r="N13021" s="2" t="s">
        <v>21</v>
      </c>
    </row>
    <row r="13022" ht="15.75" customHeight="1">
      <c r="A13022" s="2">
        <v>2020.0</v>
      </c>
      <c r="B13022" s="2" t="s">
        <v>51634</v>
      </c>
      <c r="C13022" s="2" t="s">
        <v>51638</v>
      </c>
      <c r="D13022" s="2" t="str">
        <f>"727-510-8857"</f>
        <v>727-510-8857</v>
      </c>
      <c r="E13022" s="2" t="s">
        <v>51639</v>
      </c>
      <c r="F13022" s="2" t="s">
        <v>51640</v>
      </c>
      <c r="G13022" s="2" t="str">
        <f>"SR-18465"</f>
        <v>SR-18465</v>
      </c>
      <c r="H13022" s="2" t="s">
        <v>51641</v>
      </c>
      <c r="I13022" s="2" t="s">
        <v>51637</v>
      </c>
      <c r="K13022" s="2" t="s">
        <v>51642</v>
      </c>
      <c r="L13022" s="2" t="s">
        <v>208</v>
      </c>
      <c r="M13022" s="2">
        <v>33778.0</v>
      </c>
      <c r="N13022" s="2" t="s">
        <v>21</v>
      </c>
    </row>
    <row r="13023" ht="15.75" customHeight="1">
      <c r="A13023" s="2">
        <v>2020.0</v>
      </c>
      <c r="B13023" s="2" t="s">
        <v>51634</v>
      </c>
      <c r="C13023" s="2" t="s">
        <v>51643</v>
      </c>
      <c r="D13023" s="2" t="str">
        <f>"727-871-0538"</f>
        <v>727-871-0538</v>
      </c>
      <c r="E13023" s="2" t="s">
        <v>38546</v>
      </c>
      <c r="F13023" s="2" t="s">
        <v>51644</v>
      </c>
      <c r="G13023" s="2" t="str">
        <f>"SR-18466"</f>
        <v>SR-18466</v>
      </c>
      <c r="H13023" s="2" t="s">
        <v>51645</v>
      </c>
      <c r="I13023" s="2" t="s">
        <v>51637</v>
      </c>
      <c r="K13023" s="2" t="s">
        <v>4042</v>
      </c>
      <c r="L13023" s="2" t="s">
        <v>208</v>
      </c>
      <c r="M13023" s="2">
        <v>33778.0</v>
      </c>
      <c r="N13023" s="2" t="s">
        <v>21</v>
      </c>
    </row>
    <row r="13024" ht="15.75" customHeight="1">
      <c r="A13024" s="2">
        <v>2020.0</v>
      </c>
      <c r="B13024" s="2" t="s">
        <v>51646</v>
      </c>
      <c r="C13024" s="2" t="s">
        <v>51646</v>
      </c>
      <c r="D13024" s="2" t="str">
        <f>"7273652512"</f>
        <v>7273652512</v>
      </c>
      <c r="E13024" s="2" t="s">
        <v>1761</v>
      </c>
      <c r="F13024" s="2" t="s">
        <v>51647</v>
      </c>
      <c r="G13024" s="2" t="str">
        <f>"SR-18467"</f>
        <v>SR-18467</v>
      </c>
      <c r="H13024" s="2" t="s">
        <v>51648</v>
      </c>
      <c r="I13024" s="2" t="s">
        <v>51649</v>
      </c>
      <c r="K13024" s="2" t="s">
        <v>51650</v>
      </c>
      <c r="L13024" s="2" t="s">
        <v>208</v>
      </c>
      <c r="M13024" s="2">
        <v>33786.0</v>
      </c>
      <c r="N13024" s="2" t="s">
        <v>21</v>
      </c>
    </row>
    <row r="13025" ht="15.75" customHeight="1">
      <c r="A13025" s="2">
        <v>2020.0</v>
      </c>
      <c r="B13025" s="2" t="s">
        <v>51651</v>
      </c>
      <c r="C13025" s="2" t="s">
        <v>51651</v>
      </c>
      <c r="D13025" s="2" t="str">
        <f>"7273335736"</f>
        <v>7273335736</v>
      </c>
      <c r="E13025" s="2" t="s">
        <v>1974</v>
      </c>
      <c r="F13025" s="2" t="s">
        <v>51652</v>
      </c>
      <c r="G13025" s="2" t="str">
        <f>"SR-18468"</f>
        <v>SR-18468</v>
      </c>
      <c r="H13025" s="2" t="s">
        <v>51653</v>
      </c>
      <c r="I13025" s="2" t="s">
        <v>51654</v>
      </c>
      <c r="K13025" s="2" t="s">
        <v>414</v>
      </c>
      <c r="L13025" s="2" t="s">
        <v>208</v>
      </c>
      <c r="M13025" s="2">
        <v>33770.0</v>
      </c>
      <c r="N13025" s="2" t="s">
        <v>21</v>
      </c>
    </row>
    <row r="13026" ht="15.75" customHeight="1">
      <c r="A13026" s="2">
        <v>2020.0</v>
      </c>
      <c r="B13026" s="2" t="s">
        <v>51655</v>
      </c>
      <c r="C13026" s="2" t="s">
        <v>51655</v>
      </c>
      <c r="D13026" s="2" t="str">
        <f>"(727) 463-1533"</f>
        <v>(727) 463-1533</v>
      </c>
      <c r="E13026" s="2" t="s">
        <v>2306</v>
      </c>
      <c r="F13026" s="2" t="s">
        <v>9991</v>
      </c>
      <c r="G13026" s="2" t="str">
        <f>"SR-18470"</f>
        <v>SR-18470</v>
      </c>
      <c r="H13026" s="2" t="s">
        <v>51656</v>
      </c>
      <c r="I13026" s="2" t="s">
        <v>51657</v>
      </c>
      <c r="K13026" s="2" t="s">
        <v>414</v>
      </c>
      <c r="L13026" s="2" t="s">
        <v>208</v>
      </c>
      <c r="M13026" s="2">
        <v>33774.0</v>
      </c>
      <c r="N13026" s="2" t="s">
        <v>21</v>
      </c>
    </row>
    <row r="13027" ht="15.75" customHeight="1">
      <c r="A13027" s="2">
        <v>2020.0</v>
      </c>
      <c r="B13027" s="2" t="s">
        <v>51658</v>
      </c>
      <c r="C13027" s="2" t="s">
        <v>51659</v>
      </c>
      <c r="D13027" s="2" t="str">
        <f>"(727) 510-6168"</f>
        <v>(727) 510-6168</v>
      </c>
      <c r="E13027" s="2" t="s">
        <v>678</v>
      </c>
      <c r="F13027" s="2" t="s">
        <v>51660</v>
      </c>
      <c r="G13027" s="2" t="str">
        <f>"SR-18471"</f>
        <v>SR-18471</v>
      </c>
      <c r="H13027" s="2" t="s">
        <v>51661</v>
      </c>
      <c r="I13027" s="2" t="s">
        <v>51662</v>
      </c>
      <c r="K13027" s="2" t="s">
        <v>25060</v>
      </c>
      <c r="L13027" s="2" t="s">
        <v>208</v>
      </c>
      <c r="M13027" s="2">
        <v>33772.0</v>
      </c>
      <c r="N13027" s="2" t="s">
        <v>21</v>
      </c>
    </row>
    <row r="13028" ht="15.75" customHeight="1">
      <c r="A13028" s="2">
        <v>2020.0</v>
      </c>
      <c r="B13028" s="2" t="s">
        <v>51663</v>
      </c>
      <c r="C13028" s="2" t="s">
        <v>51663</v>
      </c>
      <c r="D13028" s="2" t="str">
        <f>"859-652-5344"</f>
        <v>859-652-5344</v>
      </c>
      <c r="E13028" s="2" t="s">
        <v>843</v>
      </c>
      <c r="F13028" s="2" t="s">
        <v>51664</v>
      </c>
      <c r="G13028" s="2" t="str">
        <f>"SR-18421"</f>
        <v>SR-18421</v>
      </c>
      <c r="H13028" s="2" t="s">
        <v>51665</v>
      </c>
      <c r="I13028" s="2" t="s">
        <v>51666</v>
      </c>
      <c r="K13028" s="2" t="s">
        <v>17392</v>
      </c>
      <c r="L13028" s="2" t="s">
        <v>1236</v>
      </c>
      <c r="M13028" s="2">
        <v>41017.0</v>
      </c>
      <c r="N13028" s="2" t="s">
        <v>21</v>
      </c>
    </row>
    <row r="13029" ht="15.75" customHeight="1">
      <c r="A13029" s="2">
        <v>2020.0</v>
      </c>
      <c r="B13029" s="2" t="s">
        <v>51667</v>
      </c>
      <c r="C13029" s="2" t="s">
        <v>51667</v>
      </c>
      <c r="D13029" s="2" t="str">
        <f>"9034808830"</f>
        <v>9034808830</v>
      </c>
      <c r="E13029" s="2" t="s">
        <v>4300</v>
      </c>
      <c r="F13029" s="2" t="s">
        <v>51668</v>
      </c>
      <c r="G13029" s="2" t="str">
        <f>"SR-18445"</f>
        <v>SR-18445</v>
      </c>
      <c r="H13029" s="2" t="s">
        <v>51669</v>
      </c>
      <c r="I13029" s="2" t="s">
        <v>51670</v>
      </c>
      <c r="K13029" s="2" t="s">
        <v>14104</v>
      </c>
      <c r="L13029" s="2" t="s">
        <v>172</v>
      </c>
      <c r="M13029" s="2">
        <v>78132.0</v>
      </c>
      <c r="N13029" s="2" t="s">
        <v>21</v>
      </c>
    </row>
    <row r="13030" ht="15.75" customHeight="1">
      <c r="A13030" s="2">
        <v>2020.0</v>
      </c>
      <c r="B13030" s="2" t="s">
        <v>51671</v>
      </c>
      <c r="C13030" s="2" t="s">
        <v>51672</v>
      </c>
      <c r="D13030" s="2" t="str">
        <f>"4847078173"</f>
        <v>4847078173</v>
      </c>
      <c r="E13030" s="2" t="s">
        <v>2126</v>
      </c>
      <c r="F13030" s="2" t="s">
        <v>1799</v>
      </c>
      <c r="G13030" s="2" t="str">
        <f>"SR-17993"</f>
        <v>SR-17993</v>
      </c>
      <c r="H13030" s="2" t="s">
        <v>51673</v>
      </c>
      <c r="I13030" s="2" t="s">
        <v>51674</v>
      </c>
      <c r="K13030" s="2" t="s">
        <v>44337</v>
      </c>
      <c r="L13030" s="2" t="s">
        <v>179</v>
      </c>
      <c r="M13030" s="2">
        <v>19310.0</v>
      </c>
      <c r="N13030" s="2" t="s">
        <v>21</v>
      </c>
    </row>
    <row r="13031" ht="15.75" customHeight="1">
      <c r="A13031" s="2">
        <v>2020.0</v>
      </c>
      <c r="B13031" s="2" t="s">
        <v>51675</v>
      </c>
      <c r="C13031" s="2" t="s">
        <v>51676</v>
      </c>
      <c r="D13031" s="2" t="str">
        <f>"971-284-8191"</f>
        <v>971-284-8191</v>
      </c>
      <c r="E13031" s="2" t="s">
        <v>19261</v>
      </c>
      <c r="F13031" s="2" t="s">
        <v>701</v>
      </c>
      <c r="G13031" s="2" t="str">
        <f>"SR-18335"</f>
        <v>SR-18335</v>
      </c>
      <c r="H13031" s="2" t="s">
        <v>51677</v>
      </c>
      <c r="I13031" s="2" t="s">
        <v>51678</v>
      </c>
      <c r="K13031" s="2" t="s">
        <v>9872</v>
      </c>
      <c r="L13031" s="2" t="s">
        <v>2389</v>
      </c>
      <c r="M13031" s="2">
        <v>97060.0</v>
      </c>
      <c r="N13031" s="2" t="s">
        <v>21</v>
      </c>
    </row>
    <row r="13032" ht="15.75" customHeight="1">
      <c r="A13032" s="2">
        <v>2020.0</v>
      </c>
      <c r="B13032" s="2" t="s">
        <v>51679</v>
      </c>
      <c r="C13032" s="2" t="s">
        <v>51679</v>
      </c>
      <c r="D13032" s="2" t="str">
        <f>"4199083693"</f>
        <v>4199083693</v>
      </c>
      <c r="E13032" s="2" t="s">
        <v>9115</v>
      </c>
      <c r="F13032" s="2" t="s">
        <v>1648</v>
      </c>
      <c r="G13032" s="2" t="str">
        <f>"SR-18479"</f>
        <v>SR-18479</v>
      </c>
      <c r="H13032" s="2" t="s">
        <v>51680</v>
      </c>
      <c r="I13032" s="2" t="s">
        <v>51681</v>
      </c>
      <c r="K13032" s="2" t="s">
        <v>8565</v>
      </c>
      <c r="L13032" s="2" t="s">
        <v>344</v>
      </c>
      <c r="M13032" s="2">
        <v>44880.0</v>
      </c>
      <c r="N13032" s="2" t="s">
        <v>21</v>
      </c>
    </row>
    <row r="13033" ht="15.75" customHeight="1">
      <c r="A13033" s="2">
        <v>2020.0</v>
      </c>
      <c r="B13033" s="2" t="s">
        <v>51682</v>
      </c>
      <c r="D13033" s="2" t="str">
        <f>""</f>
        <v/>
      </c>
      <c r="E13033" s="2" t="s">
        <v>510</v>
      </c>
      <c r="F13033" s="2" t="s">
        <v>51683</v>
      </c>
      <c r="G13033" s="2" t="str">
        <f>"SR-18289"</f>
        <v>SR-18289</v>
      </c>
      <c r="H13033" s="2" t="s">
        <v>51684</v>
      </c>
      <c r="N13033" s="2" t="s">
        <v>21</v>
      </c>
    </row>
    <row r="13034" ht="15.75" customHeight="1">
      <c r="A13034" s="2">
        <v>2020.0</v>
      </c>
      <c r="B13034" s="2" t="s">
        <v>51685</v>
      </c>
      <c r="C13034" s="2" t="s">
        <v>51686</v>
      </c>
      <c r="D13034" s="2" t="str">
        <f>"7314991594"</f>
        <v>7314991594</v>
      </c>
      <c r="E13034" s="2" t="s">
        <v>1000</v>
      </c>
      <c r="F13034" s="2" t="s">
        <v>51687</v>
      </c>
      <c r="G13034" s="2" t="str">
        <f>"SR-18474"</f>
        <v>SR-18474</v>
      </c>
      <c r="H13034" s="2" t="s">
        <v>51688</v>
      </c>
      <c r="I13034" s="2" t="s">
        <v>51689</v>
      </c>
      <c r="K13034" s="2" t="s">
        <v>46506</v>
      </c>
      <c r="L13034" s="2" t="s">
        <v>279</v>
      </c>
      <c r="M13034" s="2">
        <v>38012.0</v>
      </c>
      <c r="N13034" s="2" t="s">
        <v>21</v>
      </c>
    </row>
    <row r="13035" ht="15.75" customHeight="1">
      <c r="A13035" s="2">
        <v>2020.0</v>
      </c>
      <c r="B13035" s="2" t="s">
        <v>51690</v>
      </c>
      <c r="C13035" s="2" t="s">
        <v>51691</v>
      </c>
      <c r="D13035" s="2" t="str">
        <f>"7655200013"</f>
        <v>7655200013</v>
      </c>
      <c r="E13035" s="2" t="s">
        <v>51692</v>
      </c>
      <c r="F13035" s="2" t="s">
        <v>8787</v>
      </c>
      <c r="G13035" s="2" t="str">
        <f>"SR-18486"</f>
        <v>SR-18486</v>
      </c>
      <c r="H13035" s="2" t="s">
        <v>51693</v>
      </c>
      <c r="I13035" s="2" t="s">
        <v>51694</v>
      </c>
      <c r="K13035" s="2" t="s">
        <v>20524</v>
      </c>
      <c r="L13035" s="2" t="s">
        <v>149</v>
      </c>
      <c r="M13035" s="2">
        <v>47384.0</v>
      </c>
      <c r="N13035" s="2" t="s">
        <v>21</v>
      </c>
    </row>
    <row r="13036" ht="15.75" customHeight="1">
      <c r="A13036" s="2">
        <v>2020.0</v>
      </c>
      <c r="B13036" s="2" t="s">
        <v>51695</v>
      </c>
      <c r="C13036" s="2" t="s">
        <v>51696</v>
      </c>
      <c r="D13036" s="2" t="str">
        <f>"419.281.0315"</f>
        <v>419.281.0315</v>
      </c>
      <c r="E13036" s="2" t="s">
        <v>4300</v>
      </c>
      <c r="F13036" s="2" t="s">
        <v>51697</v>
      </c>
      <c r="G13036" s="2" t="str">
        <f>"SR-18487"</f>
        <v>SR-18487</v>
      </c>
      <c r="H13036" s="2" t="s">
        <v>51698</v>
      </c>
      <c r="I13036" s="2" t="s">
        <v>51699</v>
      </c>
      <c r="K13036" s="2" t="s">
        <v>1154</v>
      </c>
      <c r="L13036" s="2" t="s">
        <v>344</v>
      </c>
      <c r="M13036" s="2">
        <v>44805.0</v>
      </c>
      <c r="N13036" s="2" t="s">
        <v>21</v>
      </c>
    </row>
    <row r="13037" ht="15.75" customHeight="1">
      <c r="A13037" s="2">
        <v>2020.0</v>
      </c>
      <c r="B13037" s="2" t="s">
        <v>20966</v>
      </c>
      <c r="D13037" s="2" t="str">
        <f>""</f>
        <v/>
      </c>
      <c r="G13037" s="2" t="str">
        <f>"SR-17381"</f>
        <v>SR-17381</v>
      </c>
      <c r="H13037" s="2" t="s">
        <v>40988</v>
      </c>
      <c r="N13037" s="2" t="s">
        <v>21</v>
      </c>
    </row>
    <row r="13038" ht="15.75" customHeight="1">
      <c r="A13038" s="2">
        <v>2020.0</v>
      </c>
      <c r="B13038" s="2" t="s">
        <v>47770</v>
      </c>
      <c r="C13038" s="2" t="s">
        <v>51700</v>
      </c>
      <c r="D13038" s="2" t="str">
        <f>"5036281603"</f>
        <v>5036281603</v>
      </c>
      <c r="E13038" s="2" t="s">
        <v>51701</v>
      </c>
      <c r="F13038" s="2" t="s">
        <v>42702</v>
      </c>
      <c r="G13038" s="2" t="str">
        <f>"SR-18488"</f>
        <v>SR-18488</v>
      </c>
      <c r="H13038" s="2" t="s">
        <v>51702</v>
      </c>
      <c r="I13038" s="2" t="s">
        <v>51703</v>
      </c>
      <c r="K13038" s="2" t="s">
        <v>788</v>
      </c>
      <c r="L13038" s="2" t="s">
        <v>2389</v>
      </c>
      <c r="M13038" s="2">
        <v>97123.0</v>
      </c>
      <c r="N13038" s="2" t="s">
        <v>21</v>
      </c>
    </row>
    <row r="13039" ht="15.75" customHeight="1">
      <c r="A13039" s="2">
        <v>2020.0</v>
      </c>
      <c r="B13039" s="2" t="s">
        <v>35058</v>
      </c>
      <c r="C13039" s="2" t="s">
        <v>35059</v>
      </c>
      <c r="D13039" s="2" t="str">
        <f>"3194600395"</f>
        <v>3194600395</v>
      </c>
      <c r="E13039" s="2" t="s">
        <v>2800</v>
      </c>
      <c r="F13039" s="2" t="s">
        <v>35060</v>
      </c>
      <c r="G13039" s="2" t="str">
        <f>"SR-11240"</f>
        <v>SR-11240</v>
      </c>
      <c r="H13039" s="2" t="s">
        <v>35061</v>
      </c>
      <c r="I13039" s="2" t="s">
        <v>35062</v>
      </c>
      <c r="K13039" s="2" t="s">
        <v>35063</v>
      </c>
      <c r="L13039" s="2" t="s">
        <v>208</v>
      </c>
      <c r="M13039" s="2">
        <v>33983.0</v>
      </c>
      <c r="N13039" s="2" t="s">
        <v>21</v>
      </c>
    </row>
    <row r="13040" ht="15.75" customHeight="1">
      <c r="A13040" s="2">
        <v>2020.0</v>
      </c>
      <c r="B13040" s="2" t="s">
        <v>35058</v>
      </c>
      <c r="C13040" s="2" t="s">
        <v>51704</v>
      </c>
      <c r="D13040" s="2" t="str">
        <f>"9417065984"</f>
        <v>9417065984</v>
      </c>
      <c r="E13040" s="2" t="s">
        <v>51705</v>
      </c>
      <c r="F13040" s="2" t="s">
        <v>35060</v>
      </c>
      <c r="G13040" s="2" t="str">
        <f>"SR-18489"</f>
        <v>SR-18489</v>
      </c>
      <c r="H13040" s="2" t="s">
        <v>51706</v>
      </c>
      <c r="I13040" s="2" t="s">
        <v>35062</v>
      </c>
      <c r="K13040" s="2" t="s">
        <v>35063</v>
      </c>
      <c r="L13040" s="2" t="s">
        <v>208</v>
      </c>
      <c r="M13040" s="2">
        <v>33983.0</v>
      </c>
      <c r="N13040" s="2" t="s">
        <v>21</v>
      </c>
    </row>
    <row r="13041" ht="15.75" customHeight="1">
      <c r="A13041" s="2">
        <v>2020.0</v>
      </c>
      <c r="B13041" s="2" t="s">
        <v>51707</v>
      </c>
      <c r="C13041" s="2" t="s">
        <v>51707</v>
      </c>
      <c r="D13041" s="2" t="str">
        <f>"7192001845"</f>
        <v>7192001845</v>
      </c>
      <c r="E13041" s="2" t="s">
        <v>705</v>
      </c>
      <c r="F13041" s="2" t="s">
        <v>34750</v>
      </c>
      <c r="G13041" s="2" t="str">
        <f>"SR-18491"</f>
        <v>SR-18491</v>
      </c>
      <c r="H13041" s="2" t="s">
        <v>51708</v>
      </c>
      <c r="I13041" s="2" t="s">
        <v>34752</v>
      </c>
      <c r="K13041" s="2" t="s">
        <v>809</v>
      </c>
      <c r="L13041" s="2" t="s">
        <v>157</v>
      </c>
      <c r="M13041" s="2">
        <v>80917.0</v>
      </c>
      <c r="N13041" s="2" t="s">
        <v>21</v>
      </c>
    </row>
    <row r="13042" ht="15.75" customHeight="1">
      <c r="A13042" s="2">
        <v>2020.0</v>
      </c>
      <c r="B13042" s="2" t="s">
        <v>51709</v>
      </c>
      <c r="C13042" s="2" t="s">
        <v>51710</v>
      </c>
      <c r="D13042" s="2" t="str">
        <f>"719-505-4989"</f>
        <v>719-505-4989</v>
      </c>
      <c r="E13042" s="2" t="s">
        <v>4322</v>
      </c>
      <c r="F13042" s="2" t="s">
        <v>51711</v>
      </c>
      <c r="G13042" s="2" t="str">
        <f>"SR-18492"</f>
        <v>SR-18492</v>
      </c>
      <c r="H13042" s="2" t="s">
        <v>51712</v>
      </c>
      <c r="I13042" s="2" t="s">
        <v>51713</v>
      </c>
      <c r="K13042" s="2" t="s">
        <v>6998</v>
      </c>
      <c r="L13042" s="2" t="s">
        <v>157</v>
      </c>
      <c r="M13042" s="2">
        <v>80829.0</v>
      </c>
      <c r="N13042" s="2" t="s">
        <v>21</v>
      </c>
    </row>
    <row r="13043" ht="15.75" customHeight="1">
      <c r="A13043" s="2">
        <v>2020.0</v>
      </c>
      <c r="B13043" s="2" t="s">
        <v>51714</v>
      </c>
      <c r="C13043" s="2" t="s">
        <v>51714</v>
      </c>
      <c r="D13043" s="2" t="str">
        <f>"407-620-3529"</f>
        <v>407-620-3529</v>
      </c>
      <c r="E13043" s="2" t="s">
        <v>1088</v>
      </c>
      <c r="F13043" s="2" t="s">
        <v>3656</v>
      </c>
      <c r="G13043" s="2" t="str">
        <f>"SR-18493"</f>
        <v>SR-18493</v>
      </c>
      <c r="H13043" s="2" t="s">
        <v>51715</v>
      </c>
      <c r="I13043" s="2" t="s">
        <v>51716</v>
      </c>
      <c r="K13043" s="2" t="s">
        <v>51717</v>
      </c>
      <c r="L13043" s="2" t="s">
        <v>208</v>
      </c>
      <c r="M13043" s="2">
        <v>33823.0</v>
      </c>
      <c r="N13043" s="2" t="s">
        <v>21</v>
      </c>
    </row>
    <row r="13044" ht="15.75" customHeight="1">
      <c r="A13044" s="2">
        <v>2020.0</v>
      </c>
      <c r="B13044" s="2" t="s">
        <v>51718</v>
      </c>
      <c r="C13044" s="2" t="s">
        <v>51719</v>
      </c>
      <c r="D13044" s="2" t="str">
        <f>"6513735106"</f>
        <v>6513735106</v>
      </c>
      <c r="E13044" s="2" t="s">
        <v>167</v>
      </c>
      <c r="F13044" s="2" t="s">
        <v>51720</v>
      </c>
      <c r="G13044" s="2" t="str">
        <f>"SR-18495"</f>
        <v>SR-18495</v>
      </c>
      <c r="H13044" s="2" t="s">
        <v>51721</v>
      </c>
      <c r="I13044" s="2" t="s">
        <v>51722</v>
      </c>
      <c r="J13044" s="2" t="s">
        <v>51723</v>
      </c>
      <c r="K13044" s="2" t="s">
        <v>8175</v>
      </c>
      <c r="L13044" s="2" t="s">
        <v>62</v>
      </c>
      <c r="M13044" s="2">
        <v>55033.0</v>
      </c>
      <c r="N13044" s="2" t="s">
        <v>21</v>
      </c>
    </row>
    <row r="13045" ht="15.75" customHeight="1">
      <c r="A13045" s="2">
        <v>2020.0</v>
      </c>
      <c r="B13045" s="2" t="s">
        <v>51724</v>
      </c>
      <c r="C13045" s="2" t="s">
        <v>51724</v>
      </c>
      <c r="D13045" s="2" t="str">
        <f>"6519009071"</f>
        <v>6519009071</v>
      </c>
      <c r="E13045" s="2" t="s">
        <v>6266</v>
      </c>
      <c r="F13045" s="2" t="s">
        <v>11892</v>
      </c>
      <c r="G13045" s="2" t="str">
        <f>"SR-18496"</f>
        <v>SR-18496</v>
      </c>
      <c r="H13045" s="2" t="s">
        <v>51725</v>
      </c>
      <c r="I13045" s="2" t="s">
        <v>51726</v>
      </c>
      <c r="J13045" s="2" t="s">
        <v>51727</v>
      </c>
      <c r="K13045" s="2" t="s">
        <v>8175</v>
      </c>
      <c r="L13045" s="2" t="s">
        <v>62</v>
      </c>
      <c r="M13045" s="2">
        <v>55033.0</v>
      </c>
      <c r="N13045" s="2" t="s">
        <v>21</v>
      </c>
    </row>
    <row r="13046" ht="15.75" customHeight="1">
      <c r="A13046" s="2">
        <v>2020.0</v>
      </c>
      <c r="B13046" s="2" t="s">
        <v>51728</v>
      </c>
      <c r="C13046" s="2" t="s">
        <v>51729</v>
      </c>
      <c r="D13046" s="2" t="str">
        <f>"8083486217"</f>
        <v>8083486217</v>
      </c>
      <c r="E13046" s="2" t="s">
        <v>1928</v>
      </c>
      <c r="F13046" s="2" t="s">
        <v>51730</v>
      </c>
      <c r="G13046" s="2" t="str">
        <f>"SR-18497"</f>
        <v>SR-18497</v>
      </c>
      <c r="H13046" s="2" t="s">
        <v>51731</v>
      </c>
      <c r="I13046" s="2" t="s">
        <v>51732</v>
      </c>
      <c r="K13046" s="2" t="s">
        <v>51733</v>
      </c>
      <c r="L13046" s="2" t="s">
        <v>770</v>
      </c>
      <c r="M13046" s="2">
        <v>96789.0</v>
      </c>
      <c r="N13046" s="2" t="s">
        <v>21</v>
      </c>
    </row>
    <row r="13047" ht="15.75" customHeight="1">
      <c r="A13047" s="2">
        <v>2020.0</v>
      </c>
      <c r="B13047" s="2" t="s">
        <v>51734</v>
      </c>
      <c r="C13047" s="2" t="s">
        <v>51735</v>
      </c>
      <c r="D13047" s="2" t="str">
        <f>"6024891582"</f>
        <v>6024891582</v>
      </c>
      <c r="E13047" s="2" t="s">
        <v>7145</v>
      </c>
      <c r="F13047" s="2" t="s">
        <v>320</v>
      </c>
      <c r="G13047" s="2" t="str">
        <f>"SR-18423"</f>
        <v>SR-18423</v>
      </c>
      <c r="H13047" s="2" t="s">
        <v>51736</v>
      </c>
      <c r="I13047" s="2" t="s">
        <v>51737</v>
      </c>
      <c r="K13047" s="2" t="s">
        <v>5531</v>
      </c>
      <c r="L13047" s="2" t="s">
        <v>422</v>
      </c>
      <c r="M13047" s="2">
        <v>85215.0</v>
      </c>
      <c r="N13047" s="2" t="s">
        <v>21</v>
      </c>
    </row>
    <row r="13048" ht="15.75" customHeight="1">
      <c r="A13048" s="2">
        <v>2020.0</v>
      </c>
      <c r="B13048" s="2" t="s">
        <v>38208</v>
      </c>
      <c r="C13048" s="2" t="s">
        <v>51738</v>
      </c>
      <c r="D13048" s="2" t="str">
        <f>"9079522340"</f>
        <v>9079522340</v>
      </c>
      <c r="E13048" s="2" t="s">
        <v>167</v>
      </c>
      <c r="F13048" s="2" t="s">
        <v>38210</v>
      </c>
      <c r="G13048" s="2" t="str">
        <f>"SR-16615"</f>
        <v>SR-16615</v>
      </c>
      <c r="H13048" s="2" t="s">
        <v>51739</v>
      </c>
      <c r="I13048" s="2" t="s">
        <v>38212</v>
      </c>
      <c r="K13048" s="2" t="s">
        <v>2927</v>
      </c>
      <c r="L13048" s="2" t="s">
        <v>70</v>
      </c>
      <c r="M13048" s="2">
        <v>99567.0</v>
      </c>
      <c r="N13048" s="2" t="s">
        <v>21</v>
      </c>
    </row>
    <row r="13049" ht="15.75" customHeight="1">
      <c r="A13049" s="2">
        <v>2020.0</v>
      </c>
      <c r="B13049" s="2" t="s">
        <v>51740</v>
      </c>
      <c r="C13049" s="2" t="s">
        <v>51741</v>
      </c>
      <c r="D13049" s="2" t="str">
        <f>"8067787217"</f>
        <v>8067787217</v>
      </c>
      <c r="E13049" s="2" t="s">
        <v>51742</v>
      </c>
      <c r="F13049" s="2" t="s">
        <v>1301</v>
      </c>
      <c r="G13049" s="2" t="str">
        <f>"SR-18084"</f>
        <v>SR-18084</v>
      </c>
      <c r="H13049" s="2" t="s">
        <v>51743</v>
      </c>
      <c r="I13049" s="2" t="s">
        <v>51744</v>
      </c>
      <c r="K13049" s="2" t="s">
        <v>1121</v>
      </c>
      <c r="L13049" s="2" t="s">
        <v>172</v>
      </c>
      <c r="M13049" s="2">
        <v>79424.0</v>
      </c>
      <c r="N13049" s="2" t="s">
        <v>21</v>
      </c>
    </row>
    <row r="13050" ht="15.75" customHeight="1">
      <c r="A13050" s="2">
        <v>2020.0</v>
      </c>
      <c r="B13050" s="2" t="s">
        <v>51745</v>
      </c>
      <c r="C13050" s="2" t="s">
        <v>51746</v>
      </c>
      <c r="D13050" s="2" t="str">
        <f>"8135076217"</f>
        <v>8135076217</v>
      </c>
      <c r="E13050" s="2" t="s">
        <v>1455</v>
      </c>
      <c r="F13050" s="2" t="s">
        <v>51747</v>
      </c>
      <c r="G13050" s="2" t="str">
        <f>"SR-17259"</f>
        <v>SR-17259</v>
      </c>
      <c r="H13050" s="2" t="s">
        <v>51748</v>
      </c>
      <c r="I13050" s="2" t="s">
        <v>51749</v>
      </c>
      <c r="K13050" s="2" t="s">
        <v>10407</v>
      </c>
      <c r="L13050" s="2" t="s">
        <v>149</v>
      </c>
      <c r="M13050" s="2">
        <v>46032.0</v>
      </c>
      <c r="N13050" s="2" t="s">
        <v>21</v>
      </c>
    </row>
    <row r="13051" ht="15.75" customHeight="1">
      <c r="A13051" s="2">
        <v>2020.0</v>
      </c>
      <c r="B13051" s="2" t="s">
        <v>51750</v>
      </c>
      <c r="C13051" s="2" t="s">
        <v>51751</v>
      </c>
      <c r="D13051" s="2" t="str">
        <f>"320-469-0331"</f>
        <v>320-469-0331</v>
      </c>
      <c r="E13051" s="2" t="s">
        <v>22628</v>
      </c>
      <c r="F13051" s="2" t="s">
        <v>11455</v>
      </c>
      <c r="G13051" s="2" t="str">
        <f>"SR-18499"</f>
        <v>SR-18499</v>
      </c>
      <c r="H13051" s="2" t="s">
        <v>51752</v>
      </c>
      <c r="I13051" s="2" t="s">
        <v>51753</v>
      </c>
      <c r="K13051" s="2" t="s">
        <v>12059</v>
      </c>
      <c r="L13051" s="2" t="s">
        <v>62</v>
      </c>
      <c r="M13051" s="2">
        <v>56329.0</v>
      </c>
      <c r="N13051" s="2" t="s">
        <v>21</v>
      </c>
    </row>
    <row r="13052" ht="15.75" customHeight="1">
      <c r="A13052" s="2">
        <v>2020.0</v>
      </c>
      <c r="B13052" s="2" t="s">
        <v>42197</v>
      </c>
      <c r="C13052" s="2" t="s">
        <v>42198</v>
      </c>
      <c r="D13052" s="2" t="str">
        <f>"920-530-4216"</f>
        <v>920-530-4216</v>
      </c>
      <c r="E13052" s="2" t="s">
        <v>32016</v>
      </c>
      <c r="F13052" s="2" t="s">
        <v>42199</v>
      </c>
      <c r="G13052" s="2" t="str">
        <f>"SR-14621"</f>
        <v>SR-14621</v>
      </c>
      <c r="H13052" s="2" t="s">
        <v>42200</v>
      </c>
      <c r="I13052" s="2" t="s">
        <v>42201</v>
      </c>
      <c r="K13052" s="2" t="s">
        <v>42202</v>
      </c>
      <c r="L13052" s="2" t="s">
        <v>193</v>
      </c>
      <c r="M13052" s="2">
        <v>54115.0</v>
      </c>
      <c r="N13052" s="2" t="s">
        <v>21</v>
      </c>
    </row>
    <row r="13053" ht="15.75" customHeight="1">
      <c r="A13053" s="2">
        <v>2020.0</v>
      </c>
      <c r="B13053" s="2" t="s">
        <v>51750</v>
      </c>
      <c r="C13053" s="2" t="s">
        <v>51754</v>
      </c>
      <c r="D13053" s="2" t="str">
        <f>"320-469-0331"</f>
        <v>320-469-0331</v>
      </c>
      <c r="E13053" s="2" t="s">
        <v>81</v>
      </c>
      <c r="F13053" s="2" t="s">
        <v>11455</v>
      </c>
      <c r="G13053" s="2" t="str">
        <f>"SR-18500"</f>
        <v>SR-18500</v>
      </c>
      <c r="H13053" s="2" t="s">
        <v>51755</v>
      </c>
      <c r="I13053" s="2" t="s">
        <v>51756</v>
      </c>
      <c r="K13053" s="2" t="s">
        <v>12059</v>
      </c>
      <c r="L13053" s="2" t="s">
        <v>62</v>
      </c>
      <c r="M13053" s="2">
        <v>56329.0</v>
      </c>
      <c r="N13053" s="2" t="s">
        <v>21</v>
      </c>
    </row>
    <row r="13054" ht="15.75" customHeight="1">
      <c r="A13054" s="2">
        <v>2020.0</v>
      </c>
      <c r="B13054" s="2" t="s">
        <v>51757</v>
      </c>
      <c r="C13054" s="2" t="s">
        <v>51758</v>
      </c>
      <c r="D13054" s="2" t="str">
        <f>"4846493622"</f>
        <v>4846493622</v>
      </c>
      <c r="E13054" s="2" t="s">
        <v>678</v>
      </c>
      <c r="F13054" s="2" t="s">
        <v>51759</v>
      </c>
      <c r="G13054" s="2" t="str">
        <f>"SR-18501"</f>
        <v>SR-18501</v>
      </c>
      <c r="H13054" s="2" t="s">
        <v>51760</v>
      </c>
      <c r="I13054" s="2" t="s">
        <v>51761</v>
      </c>
      <c r="K13054" s="2" t="s">
        <v>51762</v>
      </c>
      <c r="L13054" s="2" t="s">
        <v>179</v>
      </c>
      <c r="M13054" s="2">
        <v>19530.0</v>
      </c>
      <c r="N13054" s="2" t="s">
        <v>21</v>
      </c>
    </row>
    <row r="13055" ht="15.75" customHeight="1">
      <c r="A13055" s="2">
        <v>2020.0</v>
      </c>
      <c r="B13055" s="2" t="s">
        <v>42197</v>
      </c>
      <c r="C13055" s="2" t="s">
        <v>42198</v>
      </c>
      <c r="D13055" s="2" t="str">
        <f>"920-532-6136"</f>
        <v>920-532-6136</v>
      </c>
      <c r="E13055" s="2" t="s">
        <v>51763</v>
      </c>
      <c r="F13055" s="2" t="s">
        <v>42199</v>
      </c>
      <c r="G13055" s="2" t="str">
        <f>"SR-18502"</f>
        <v>SR-18502</v>
      </c>
      <c r="H13055" s="2" t="s">
        <v>51764</v>
      </c>
      <c r="I13055" s="2" t="s">
        <v>51765</v>
      </c>
      <c r="K13055" s="2" t="s">
        <v>42202</v>
      </c>
      <c r="L13055" s="2" t="s">
        <v>193</v>
      </c>
      <c r="M13055" s="2">
        <v>54115.0</v>
      </c>
      <c r="N13055" s="2" t="s">
        <v>21</v>
      </c>
    </row>
    <row r="13056" ht="15.75" customHeight="1">
      <c r="A13056" s="2">
        <v>2020.0</v>
      </c>
      <c r="B13056" s="2" t="s">
        <v>51766</v>
      </c>
      <c r="C13056" s="2" t="s">
        <v>51767</v>
      </c>
      <c r="D13056" s="2" t="str">
        <f>"6789258971"</f>
        <v>6789258971</v>
      </c>
      <c r="E13056" s="2" t="s">
        <v>144</v>
      </c>
      <c r="F13056" s="2" t="s">
        <v>4164</v>
      </c>
      <c r="G13056" s="2" t="str">
        <f>"SR-18503"</f>
        <v>SR-18503</v>
      </c>
      <c r="H13056" s="2" t="s">
        <v>51768</v>
      </c>
      <c r="I13056" s="2" t="s">
        <v>51769</v>
      </c>
      <c r="K13056" s="2" t="s">
        <v>7012</v>
      </c>
      <c r="L13056" s="2" t="s">
        <v>200</v>
      </c>
      <c r="M13056" s="2">
        <v>30005.0</v>
      </c>
      <c r="N13056" s="2" t="s">
        <v>21</v>
      </c>
    </row>
    <row r="13057" ht="15.75" customHeight="1">
      <c r="A13057" s="2">
        <v>2020.0</v>
      </c>
      <c r="B13057" s="2" t="s">
        <v>51770</v>
      </c>
      <c r="C13057" s="2" t="s">
        <v>51771</v>
      </c>
      <c r="D13057" s="2" t="str">
        <f>"513-583-5998"</f>
        <v>513-583-5998</v>
      </c>
      <c r="E13057" s="2" t="s">
        <v>440</v>
      </c>
      <c r="F13057" s="2" t="s">
        <v>51772</v>
      </c>
      <c r="G13057" s="2" t="str">
        <f>"SR-18505"</f>
        <v>SR-18505</v>
      </c>
      <c r="H13057" s="2" t="s">
        <v>51773</v>
      </c>
      <c r="I13057" s="2">
        <v>11931.0</v>
      </c>
      <c r="J13057" s="2" t="s">
        <v>51774</v>
      </c>
      <c r="K13057" s="2" t="s">
        <v>1048</v>
      </c>
      <c r="L13057" s="2" t="s">
        <v>344</v>
      </c>
      <c r="M13057" s="2">
        <v>45140.0</v>
      </c>
      <c r="N13057" s="2" t="s">
        <v>21</v>
      </c>
    </row>
    <row r="13058" ht="15.75" customHeight="1">
      <c r="A13058" s="2">
        <v>2020.0</v>
      </c>
      <c r="B13058" s="2" t="s">
        <v>51775</v>
      </c>
      <c r="D13058" s="2" t="str">
        <f t="shared" ref="D13058:D13059" si="217">""</f>
        <v/>
      </c>
      <c r="E13058" s="2" t="s">
        <v>651</v>
      </c>
      <c r="F13058" s="2" t="s">
        <v>32990</v>
      </c>
      <c r="G13058" s="2" t="str">
        <f>"SR-18506"</f>
        <v>SR-18506</v>
      </c>
      <c r="H13058" s="2" t="s">
        <v>51776</v>
      </c>
    </row>
    <row r="13059" ht="15.75" customHeight="1">
      <c r="A13059" s="2">
        <v>2020.0</v>
      </c>
      <c r="B13059" s="2" t="s">
        <v>31221</v>
      </c>
      <c r="D13059" s="2" t="str">
        <f t="shared" si="217"/>
        <v/>
      </c>
      <c r="E13059" s="2" t="s">
        <v>3111</v>
      </c>
      <c r="F13059" s="2" t="s">
        <v>31224</v>
      </c>
      <c r="G13059" s="2" t="str">
        <f>"SR-18509"</f>
        <v>SR-18509</v>
      </c>
      <c r="H13059" s="2" t="s">
        <v>51777</v>
      </c>
      <c r="N13059" s="2" t="s">
        <v>21</v>
      </c>
    </row>
    <row r="13060" ht="15.75" customHeight="1">
      <c r="A13060" s="2">
        <v>2020.0</v>
      </c>
      <c r="B13060" s="2" t="s">
        <v>51778</v>
      </c>
      <c r="C13060" s="2" t="s">
        <v>51778</v>
      </c>
      <c r="D13060" s="2" t="str">
        <f>"2298158970"</f>
        <v>2298158970</v>
      </c>
      <c r="E13060" s="2" t="s">
        <v>1159</v>
      </c>
      <c r="F13060" s="2" t="s">
        <v>22526</v>
      </c>
      <c r="G13060" s="2" t="str">
        <f>"SR-18512"</f>
        <v>SR-18512</v>
      </c>
      <c r="H13060" s="2" t="s">
        <v>51779</v>
      </c>
      <c r="I13060" s="2" t="s">
        <v>51780</v>
      </c>
      <c r="K13060" s="2" t="s">
        <v>25366</v>
      </c>
      <c r="L13060" s="2" t="s">
        <v>200</v>
      </c>
      <c r="M13060" s="2">
        <v>31735.0</v>
      </c>
      <c r="N13060" s="2" t="s">
        <v>21</v>
      </c>
    </row>
    <row r="13061" ht="15.75" customHeight="1">
      <c r="A13061" s="2">
        <v>2020.0</v>
      </c>
      <c r="B13061" s="2" t="s">
        <v>51781</v>
      </c>
      <c r="D13061" s="2" t="str">
        <f>""</f>
        <v/>
      </c>
      <c r="E13061" s="2" t="s">
        <v>1263</v>
      </c>
      <c r="F13061" s="2" t="s">
        <v>8294</v>
      </c>
      <c r="G13061" s="2" t="str">
        <f>"SR-18513"</f>
        <v>SR-18513</v>
      </c>
      <c r="H13061" s="2" t="s">
        <v>51782</v>
      </c>
    </row>
    <row r="13062" ht="15.75" customHeight="1">
      <c r="A13062" s="2">
        <v>2020.0</v>
      </c>
      <c r="B13062" s="2" t="s">
        <v>39280</v>
      </c>
      <c r="C13062" s="2" t="s">
        <v>51783</v>
      </c>
      <c r="D13062" s="2" t="str">
        <f>"7176010694"</f>
        <v>7176010694</v>
      </c>
      <c r="E13062" s="2" t="s">
        <v>301</v>
      </c>
      <c r="F13062" s="2" t="s">
        <v>5396</v>
      </c>
      <c r="G13062" s="2" t="str">
        <f>"SR-18514"</f>
        <v>SR-18514</v>
      </c>
      <c r="H13062" s="2" t="s">
        <v>39732</v>
      </c>
      <c r="I13062" s="2" t="s">
        <v>51784</v>
      </c>
      <c r="K13062" s="2" t="s">
        <v>39284</v>
      </c>
      <c r="L13062" s="2" t="s">
        <v>179</v>
      </c>
      <c r="M13062" s="2">
        <v>17015.0</v>
      </c>
      <c r="N13062" s="2" t="s">
        <v>21</v>
      </c>
    </row>
    <row r="13063" ht="15.75" customHeight="1">
      <c r="A13063" s="2">
        <v>2020.0</v>
      </c>
      <c r="B13063" s="2" t="s">
        <v>51781</v>
      </c>
      <c r="C13063" s="2" t="s">
        <v>51785</v>
      </c>
      <c r="D13063" s="2" t="str">
        <f>"5154807873"</f>
        <v>5154807873</v>
      </c>
      <c r="E13063" s="2" t="s">
        <v>1548</v>
      </c>
      <c r="F13063" s="2" t="s">
        <v>8294</v>
      </c>
      <c r="G13063" s="2" t="str">
        <f>"SR-18515"</f>
        <v>SR-18515</v>
      </c>
      <c r="H13063" s="2" t="s">
        <v>51786</v>
      </c>
      <c r="I13063" s="2" t="s">
        <v>51787</v>
      </c>
      <c r="K13063" s="2" t="s">
        <v>45261</v>
      </c>
      <c r="L13063" s="2" t="s">
        <v>560</v>
      </c>
      <c r="M13063" s="2">
        <v>50124.0</v>
      </c>
      <c r="N13063" s="2" t="s">
        <v>21</v>
      </c>
    </row>
    <row r="13064" ht="15.75" customHeight="1">
      <c r="A13064" s="2">
        <v>2020.0</v>
      </c>
      <c r="B13064" s="2" t="s">
        <v>39280</v>
      </c>
      <c r="C13064" s="2" t="s">
        <v>39281</v>
      </c>
      <c r="D13064" s="2" t="str">
        <f>"7176016134"</f>
        <v>7176016134</v>
      </c>
      <c r="E13064" s="2" t="s">
        <v>100</v>
      </c>
      <c r="F13064" s="2" t="s">
        <v>5396</v>
      </c>
      <c r="G13064" s="2" t="str">
        <f>"SR-13496"</f>
        <v>SR-13496</v>
      </c>
      <c r="H13064" s="2" t="s">
        <v>39282</v>
      </c>
      <c r="I13064" s="2" t="s">
        <v>39283</v>
      </c>
      <c r="K13064" s="2" t="s">
        <v>39284</v>
      </c>
      <c r="L13064" s="2" t="s">
        <v>179</v>
      </c>
      <c r="M13064" s="2">
        <v>17015.0</v>
      </c>
      <c r="N13064" s="2" t="s">
        <v>21</v>
      </c>
    </row>
    <row r="13065" ht="15.75" customHeight="1">
      <c r="A13065" s="2">
        <v>2020.0</v>
      </c>
      <c r="B13065" s="2" t="s">
        <v>51788</v>
      </c>
      <c r="C13065" s="2" t="s">
        <v>51789</v>
      </c>
      <c r="D13065" s="2" t="str">
        <f>"(402) 478-8265"</f>
        <v>(402) 478-8265</v>
      </c>
      <c r="E13065" s="2" t="s">
        <v>7584</v>
      </c>
      <c r="F13065" s="2" t="s">
        <v>51790</v>
      </c>
      <c r="G13065" s="2" t="str">
        <f>"SR-18511"</f>
        <v>SR-18511</v>
      </c>
      <c r="H13065" s="2" t="s">
        <v>51791</v>
      </c>
      <c r="I13065" s="2" t="s">
        <v>51792</v>
      </c>
      <c r="K13065" s="2" t="s">
        <v>30390</v>
      </c>
      <c r="L13065" s="2" t="s">
        <v>757</v>
      </c>
      <c r="M13065" s="2">
        <v>68028.0</v>
      </c>
      <c r="N13065" s="2" t="s">
        <v>21</v>
      </c>
    </row>
    <row r="13066" ht="15.75" customHeight="1">
      <c r="A13066" s="2">
        <v>2020.0</v>
      </c>
      <c r="B13066" s="2" t="s">
        <v>51793</v>
      </c>
      <c r="C13066" s="2" t="s">
        <v>51794</v>
      </c>
      <c r="D13066" s="2" t="str">
        <f>"7192177919"</f>
        <v>7192177919</v>
      </c>
      <c r="E13066" s="2" t="s">
        <v>51795</v>
      </c>
      <c r="F13066" s="2" t="s">
        <v>51796</v>
      </c>
      <c r="G13066" s="2" t="str">
        <f>"SR-17879"</f>
        <v>SR-17879</v>
      </c>
      <c r="H13066" s="2" t="s">
        <v>51797</v>
      </c>
      <c r="I13066" s="2" t="s">
        <v>51798</v>
      </c>
      <c r="K13066" s="2" t="s">
        <v>809</v>
      </c>
      <c r="L13066" s="2" t="s">
        <v>157</v>
      </c>
      <c r="M13066" s="2">
        <v>80918.0</v>
      </c>
      <c r="N13066" s="2" t="s">
        <v>21</v>
      </c>
    </row>
    <row r="13067" ht="15.75" customHeight="1">
      <c r="A13067" s="2">
        <v>2020.0</v>
      </c>
      <c r="B13067" s="2" t="s">
        <v>51799</v>
      </c>
      <c r="C13067" s="2" t="s">
        <v>51800</v>
      </c>
      <c r="D13067" s="2" t="str">
        <f>"(707) 317-5733"</f>
        <v>(707) 317-5733</v>
      </c>
      <c r="E13067" s="2" t="s">
        <v>137</v>
      </c>
      <c r="F13067" s="2" t="s">
        <v>4627</v>
      </c>
      <c r="G13067" s="2" t="str">
        <f>"SR-18510"</f>
        <v>SR-18510</v>
      </c>
      <c r="H13067" s="2" t="s">
        <v>51801</v>
      </c>
      <c r="I13067" s="2" t="s">
        <v>51802</v>
      </c>
      <c r="K13067" s="2" t="s">
        <v>51803</v>
      </c>
      <c r="L13067" s="2" t="s">
        <v>222</v>
      </c>
      <c r="M13067" s="2">
        <v>95687.0</v>
      </c>
      <c r="N13067" s="2" t="s">
        <v>21</v>
      </c>
    </row>
    <row r="13068" ht="15.75" customHeight="1">
      <c r="A13068" s="2">
        <v>2020.0</v>
      </c>
      <c r="B13068" s="2" t="s">
        <v>51804</v>
      </c>
      <c r="C13068" s="2" t="s">
        <v>51804</v>
      </c>
      <c r="D13068" s="2" t="str">
        <f>"9404530868"</f>
        <v>9404530868</v>
      </c>
      <c r="E13068" s="2" t="s">
        <v>1022</v>
      </c>
      <c r="F13068" s="2" t="s">
        <v>51805</v>
      </c>
      <c r="G13068" s="2" t="str">
        <f>"SR-18519"</f>
        <v>SR-18519</v>
      </c>
      <c r="H13068" s="2" t="s">
        <v>51806</v>
      </c>
      <c r="I13068" s="2" t="s">
        <v>51807</v>
      </c>
      <c r="K13068" s="2" t="s">
        <v>6539</v>
      </c>
      <c r="L13068" s="2" t="s">
        <v>172</v>
      </c>
      <c r="M13068" s="2">
        <v>76210.0</v>
      </c>
      <c r="N13068" s="2" t="s">
        <v>21</v>
      </c>
    </row>
    <row r="13069" ht="15.75" customHeight="1">
      <c r="A13069" s="2">
        <v>2020.0</v>
      </c>
      <c r="B13069" s="2" t="s">
        <v>51808</v>
      </c>
      <c r="C13069" s="2" t="s">
        <v>51809</v>
      </c>
      <c r="D13069" s="2" t="str">
        <f>"3232045300"</f>
        <v>3232045300</v>
      </c>
      <c r="E13069" s="2" t="s">
        <v>57</v>
      </c>
      <c r="F13069" s="2" t="s">
        <v>31159</v>
      </c>
      <c r="G13069" s="2" t="str">
        <f>"SR-18161"</f>
        <v>SR-18161</v>
      </c>
      <c r="H13069" s="2" t="s">
        <v>51810</v>
      </c>
      <c r="I13069" s="2" t="s">
        <v>51811</v>
      </c>
      <c r="K13069" s="2" t="s">
        <v>21053</v>
      </c>
      <c r="L13069" s="2" t="s">
        <v>222</v>
      </c>
      <c r="M13069" s="2">
        <v>90039.0</v>
      </c>
      <c r="N13069" s="2" t="s">
        <v>21</v>
      </c>
    </row>
    <row r="13070" ht="15.75" customHeight="1">
      <c r="A13070" s="2">
        <v>2020.0</v>
      </c>
      <c r="B13070" s="2" t="s">
        <v>51812</v>
      </c>
      <c r="D13070" s="2" t="str">
        <f>""</f>
        <v/>
      </c>
      <c r="E13070" s="2" t="s">
        <v>51813</v>
      </c>
      <c r="F13070" s="2" t="s">
        <v>51814</v>
      </c>
      <c r="G13070" s="2" t="str">
        <f>"SR-17677"</f>
        <v>SR-17677</v>
      </c>
      <c r="H13070" s="2" t="s">
        <v>51815</v>
      </c>
      <c r="N13070" s="2" t="s">
        <v>21</v>
      </c>
    </row>
    <row r="13071" ht="15.75" customHeight="1">
      <c r="A13071" s="2">
        <v>2020.0</v>
      </c>
      <c r="B13071" s="2" t="s">
        <v>51816</v>
      </c>
      <c r="C13071" s="2" t="s">
        <v>51816</v>
      </c>
      <c r="D13071" s="2" t="str">
        <f>"7129492884"</f>
        <v>7129492884</v>
      </c>
      <c r="E13071" s="2" t="s">
        <v>7042</v>
      </c>
      <c r="F13071" s="2" t="s">
        <v>51817</v>
      </c>
      <c r="G13071" s="2" t="str">
        <f>"SR-18504"</f>
        <v>SR-18504</v>
      </c>
      <c r="H13071" s="2" t="s">
        <v>51818</v>
      </c>
      <c r="I13071" s="2" t="s">
        <v>51819</v>
      </c>
      <c r="K13071" s="2" t="s">
        <v>51820</v>
      </c>
      <c r="L13071" s="2" t="s">
        <v>560</v>
      </c>
      <c r="M13071" s="2">
        <v>51046.0</v>
      </c>
      <c r="N13071" s="2" t="s">
        <v>21</v>
      </c>
    </row>
    <row r="13072" ht="15.75" customHeight="1">
      <c r="A13072" s="2">
        <v>2020.0</v>
      </c>
      <c r="B13072" s="2" t="s">
        <v>51821</v>
      </c>
      <c r="D13072" s="2" t="str">
        <f>""</f>
        <v/>
      </c>
      <c r="E13072" s="2" t="s">
        <v>2681</v>
      </c>
      <c r="F13072" s="2" t="s">
        <v>51822</v>
      </c>
      <c r="G13072" s="2" t="str">
        <f>"SR-18450"</f>
        <v>SR-18450</v>
      </c>
      <c r="H13072" s="2" t="s">
        <v>51823</v>
      </c>
    </row>
    <row r="13073" ht="15.75" customHeight="1">
      <c r="A13073" s="2">
        <v>2020.0</v>
      </c>
      <c r="B13073" s="2" t="s">
        <v>35879</v>
      </c>
      <c r="C13073" s="2" t="s">
        <v>51824</v>
      </c>
      <c r="D13073" s="2" t="str">
        <f>"9712667443"</f>
        <v>9712667443</v>
      </c>
      <c r="E13073" s="2" t="s">
        <v>301</v>
      </c>
      <c r="F13073" s="2" t="s">
        <v>35881</v>
      </c>
      <c r="G13073" s="2" t="str">
        <f>"SR-18523"</f>
        <v>SR-18523</v>
      </c>
      <c r="H13073" s="2" t="s">
        <v>51825</v>
      </c>
      <c r="I13073" s="2" t="s">
        <v>35883</v>
      </c>
      <c r="K13073" s="2" t="s">
        <v>21625</v>
      </c>
      <c r="L13073" s="2" t="s">
        <v>2389</v>
      </c>
      <c r="M13073" s="2">
        <v>97055.0</v>
      </c>
      <c r="N13073" s="2" t="s">
        <v>21</v>
      </c>
    </row>
    <row r="13074" ht="15.75" customHeight="1">
      <c r="A13074" s="2">
        <v>2020.0</v>
      </c>
      <c r="B13074" s="2" t="s">
        <v>35879</v>
      </c>
      <c r="C13074" s="2" t="s">
        <v>38493</v>
      </c>
      <c r="D13074" s="2" t="str">
        <f>"5036868840"</f>
        <v>5036868840</v>
      </c>
      <c r="E13074" s="2" t="s">
        <v>1288</v>
      </c>
      <c r="F13074" s="2" t="s">
        <v>35881</v>
      </c>
      <c r="G13074" s="2" t="str">
        <f>"SR-13117"</f>
        <v>SR-13117</v>
      </c>
      <c r="H13074" s="2" t="s">
        <v>38494</v>
      </c>
      <c r="I13074" s="2" t="s">
        <v>35883</v>
      </c>
      <c r="K13074" s="2" t="s">
        <v>21625</v>
      </c>
      <c r="L13074" s="2" t="s">
        <v>2389</v>
      </c>
      <c r="M13074" s="2">
        <v>97055.0</v>
      </c>
      <c r="N13074" s="2" t="s">
        <v>21</v>
      </c>
    </row>
    <row r="13075" ht="15.75" customHeight="1">
      <c r="A13075" s="2">
        <v>2020.0</v>
      </c>
      <c r="B13075" s="2" t="s">
        <v>51826</v>
      </c>
      <c r="C13075" s="2" t="s">
        <v>51827</v>
      </c>
      <c r="D13075" s="2" t="str">
        <f t="shared" ref="D13075:D13076" si="218">"907-631-8287"</f>
        <v>907-631-8287</v>
      </c>
      <c r="E13075" s="2" t="s">
        <v>3750</v>
      </c>
      <c r="F13075" s="2" t="s">
        <v>50387</v>
      </c>
      <c r="G13075" s="2" t="str">
        <f>"SR-18524"</f>
        <v>SR-18524</v>
      </c>
      <c r="H13075" s="2" t="s">
        <v>51828</v>
      </c>
      <c r="I13075" s="2" t="s">
        <v>51829</v>
      </c>
      <c r="K13075" s="2" t="s">
        <v>13272</v>
      </c>
      <c r="L13075" s="2" t="s">
        <v>70</v>
      </c>
      <c r="M13075" s="2">
        <v>99654.0</v>
      </c>
      <c r="N13075" s="2" t="s">
        <v>21</v>
      </c>
    </row>
    <row r="13076" ht="15.75" customHeight="1">
      <c r="A13076" s="2">
        <v>2020.0</v>
      </c>
      <c r="B13076" s="2" t="s">
        <v>51826</v>
      </c>
      <c r="C13076" s="2" t="s">
        <v>51830</v>
      </c>
      <c r="D13076" s="2" t="str">
        <f t="shared" si="218"/>
        <v>907-631-8287</v>
      </c>
      <c r="E13076" s="2" t="s">
        <v>10949</v>
      </c>
      <c r="F13076" s="2" t="s">
        <v>50387</v>
      </c>
      <c r="G13076" s="2" t="str">
        <f>"SR-18525"</f>
        <v>SR-18525</v>
      </c>
      <c r="H13076" s="2" t="s">
        <v>51831</v>
      </c>
      <c r="I13076" s="2" t="s">
        <v>51829</v>
      </c>
      <c r="K13076" s="2" t="s">
        <v>13272</v>
      </c>
      <c r="L13076" s="2" t="s">
        <v>70</v>
      </c>
      <c r="M13076" s="2">
        <v>99654.0</v>
      </c>
      <c r="N13076" s="2" t="s">
        <v>21</v>
      </c>
    </row>
    <row r="13077" ht="15.75" customHeight="1">
      <c r="A13077" s="2">
        <v>2020.0</v>
      </c>
      <c r="B13077" s="2" t="s">
        <v>51832</v>
      </c>
      <c r="C13077" s="2" t="s">
        <v>51833</v>
      </c>
      <c r="D13077" s="2" t="str">
        <f>"5073981942"</f>
        <v>5073981942</v>
      </c>
      <c r="E13077" s="2" t="s">
        <v>15274</v>
      </c>
      <c r="F13077" s="2" t="s">
        <v>51834</v>
      </c>
      <c r="G13077" s="2" t="str">
        <f>"SR-18520"</f>
        <v>SR-18520</v>
      </c>
      <c r="H13077" s="2" t="s">
        <v>51835</v>
      </c>
      <c r="I13077" s="2" t="s">
        <v>51836</v>
      </c>
      <c r="K13077" s="2" t="s">
        <v>51837</v>
      </c>
      <c r="L13077" s="2" t="s">
        <v>62</v>
      </c>
      <c r="M13077" s="2">
        <v>55934.0</v>
      </c>
      <c r="N13077" s="2" t="s">
        <v>21</v>
      </c>
    </row>
    <row r="13078" ht="15.75" customHeight="1">
      <c r="A13078" s="2">
        <v>2020.0</v>
      </c>
      <c r="B13078" s="2" t="s">
        <v>30081</v>
      </c>
      <c r="C13078" s="2" t="s">
        <v>51838</v>
      </c>
      <c r="D13078" s="2" t="str">
        <f>"9362252560"</f>
        <v>9362252560</v>
      </c>
      <c r="E13078" s="2" t="s">
        <v>17011</v>
      </c>
      <c r="F13078" s="2" t="s">
        <v>30083</v>
      </c>
      <c r="G13078" s="2" t="str">
        <f>"SR-17088"</f>
        <v>SR-17088</v>
      </c>
      <c r="H13078" s="2" t="s">
        <v>51839</v>
      </c>
      <c r="I13078" s="2" t="s">
        <v>30085</v>
      </c>
      <c r="K13078" s="2" t="s">
        <v>7113</v>
      </c>
      <c r="L13078" s="2" t="s">
        <v>172</v>
      </c>
      <c r="M13078" s="2">
        <v>75904.0</v>
      </c>
      <c r="N13078" s="2" t="s">
        <v>21</v>
      </c>
    </row>
    <row r="13079" ht="15.75" customHeight="1">
      <c r="A13079" s="2">
        <v>2020.0</v>
      </c>
      <c r="B13079" s="2" t="s">
        <v>51840</v>
      </c>
      <c r="C13079" s="2" t="s">
        <v>51841</v>
      </c>
      <c r="D13079" s="2" t="str">
        <f>"702-540-3464"</f>
        <v>702-540-3464</v>
      </c>
      <c r="E13079" s="2" t="s">
        <v>24</v>
      </c>
      <c r="F13079" s="2" t="s">
        <v>51842</v>
      </c>
      <c r="G13079" s="2" t="str">
        <f>"SR-18527"</f>
        <v>SR-18527</v>
      </c>
      <c r="H13079" s="2" t="s">
        <v>51843</v>
      </c>
      <c r="I13079" s="2" t="s">
        <v>51844</v>
      </c>
      <c r="K13079" s="2" t="s">
        <v>3128</v>
      </c>
      <c r="L13079" s="2" t="s">
        <v>1419</v>
      </c>
      <c r="M13079" s="2">
        <v>89146.0</v>
      </c>
      <c r="N13079" s="2" t="s">
        <v>21</v>
      </c>
    </row>
    <row r="13080" ht="15.75" customHeight="1">
      <c r="A13080" s="2">
        <v>2020.0</v>
      </c>
      <c r="B13080" s="2" t="s">
        <v>50774</v>
      </c>
      <c r="C13080" s="2" t="s">
        <v>50774</v>
      </c>
      <c r="D13080" s="2" t="str">
        <f>"570-265-3085"</f>
        <v>570-265-3085</v>
      </c>
      <c r="E13080" s="2" t="s">
        <v>2217</v>
      </c>
      <c r="F13080" s="2" t="s">
        <v>40709</v>
      </c>
      <c r="G13080" s="2" t="str">
        <f>"SR-18526"</f>
        <v>SR-18526</v>
      </c>
      <c r="H13080" s="2" t="s">
        <v>51845</v>
      </c>
      <c r="I13080" s="2" t="s">
        <v>51846</v>
      </c>
      <c r="J13080" s="2" t="s">
        <v>51847</v>
      </c>
      <c r="K13080" s="2" t="s">
        <v>40712</v>
      </c>
      <c r="L13080" s="2" t="s">
        <v>179</v>
      </c>
      <c r="M13080" s="2">
        <v>18853.0</v>
      </c>
      <c r="N13080" s="2" t="s">
        <v>21</v>
      </c>
    </row>
    <row r="13081" ht="15.75" customHeight="1">
      <c r="A13081" s="2">
        <v>2020.0</v>
      </c>
      <c r="B13081" s="2" t="s">
        <v>51848</v>
      </c>
      <c r="C13081" s="2" t="s">
        <v>51848</v>
      </c>
      <c r="D13081" s="2" t="str">
        <f>"9896194816"</f>
        <v>9896194816</v>
      </c>
      <c r="E13081" s="2" t="s">
        <v>6526</v>
      </c>
      <c r="F13081" s="2" t="s">
        <v>42927</v>
      </c>
      <c r="G13081" s="2" t="str">
        <f>"SR-18529"</f>
        <v>SR-18529</v>
      </c>
      <c r="H13081" s="2" t="s">
        <v>51849</v>
      </c>
      <c r="I13081" s="2" t="s">
        <v>42929</v>
      </c>
      <c r="K13081" s="2" t="s">
        <v>8062</v>
      </c>
      <c r="L13081" s="2" t="s">
        <v>29</v>
      </c>
      <c r="M13081" s="2">
        <v>49735.0</v>
      </c>
      <c r="N13081" s="2" t="s">
        <v>21</v>
      </c>
    </row>
    <row r="13082" ht="15.75" customHeight="1">
      <c r="A13082" s="2">
        <v>2020.0</v>
      </c>
      <c r="B13082" s="2" t="s">
        <v>51850</v>
      </c>
      <c r="C13082" s="2" t="s">
        <v>51851</v>
      </c>
      <c r="D13082" s="2" t="str">
        <f>"706-388-9751"</f>
        <v>706-388-9751</v>
      </c>
      <c r="E13082" s="2" t="s">
        <v>51852</v>
      </c>
      <c r="F13082" s="2" t="s">
        <v>831</v>
      </c>
      <c r="G13082" s="2" t="str">
        <f>"SR-18530"</f>
        <v>SR-18530</v>
      </c>
      <c r="H13082" s="2" t="s">
        <v>51853</v>
      </c>
      <c r="I13082" s="2" t="s">
        <v>51854</v>
      </c>
      <c r="K13082" s="2" t="s">
        <v>1932</v>
      </c>
      <c r="L13082" s="2" t="s">
        <v>200</v>
      </c>
      <c r="M13082" s="2">
        <v>30747.0</v>
      </c>
      <c r="N13082" s="2" t="s">
        <v>21</v>
      </c>
    </row>
    <row r="13083" ht="15.75" customHeight="1">
      <c r="A13083" s="2">
        <v>2020.0</v>
      </c>
      <c r="B13083" s="2" t="s">
        <v>51855</v>
      </c>
      <c r="C13083" s="2" t="s">
        <v>51856</v>
      </c>
      <c r="D13083" s="2" t="str">
        <f>"615-5218463"</f>
        <v>615-5218463</v>
      </c>
      <c r="E13083" s="2" t="s">
        <v>2243</v>
      </c>
      <c r="F13083" s="2" t="s">
        <v>29481</v>
      </c>
      <c r="G13083" s="2" t="str">
        <f>"SR-18531"</f>
        <v>SR-18531</v>
      </c>
      <c r="H13083" s="2" t="s">
        <v>51857</v>
      </c>
      <c r="I13083" s="2" t="s">
        <v>51858</v>
      </c>
      <c r="K13083" s="2" t="s">
        <v>12405</v>
      </c>
      <c r="L13083" s="2" t="s">
        <v>279</v>
      </c>
      <c r="M13083" s="2">
        <v>37129.0</v>
      </c>
      <c r="N13083" s="2" t="s">
        <v>21</v>
      </c>
    </row>
    <row r="13084" ht="15.75" customHeight="1">
      <c r="A13084" s="2">
        <v>2020.0</v>
      </c>
      <c r="B13084" s="2" t="s">
        <v>36086</v>
      </c>
      <c r="C13084" s="2" t="s">
        <v>36086</v>
      </c>
      <c r="D13084" s="2" t="str">
        <f>"4074740065"</f>
        <v>4074740065</v>
      </c>
      <c r="E13084" s="2" t="s">
        <v>1197</v>
      </c>
      <c r="F13084" s="2" t="s">
        <v>868</v>
      </c>
      <c r="G13084" s="2" t="str">
        <f>"SR-18535"</f>
        <v>SR-18535</v>
      </c>
      <c r="H13084" s="2" t="s">
        <v>36087</v>
      </c>
      <c r="I13084" s="2" t="s">
        <v>51859</v>
      </c>
      <c r="K13084" s="2" t="s">
        <v>4773</v>
      </c>
      <c r="L13084" s="2" t="s">
        <v>208</v>
      </c>
      <c r="M13084" s="2">
        <v>32771.0</v>
      </c>
      <c r="N13084" s="2" t="s">
        <v>21</v>
      </c>
    </row>
    <row r="13085" ht="15.75" customHeight="1">
      <c r="A13085" s="2">
        <v>2020.0</v>
      </c>
      <c r="B13085" s="2" t="s">
        <v>51860</v>
      </c>
      <c r="C13085" s="2" t="s">
        <v>51861</v>
      </c>
      <c r="D13085" s="2" t="str">
        <f>"816-591-9473"</f>
        <v>816-591-9473</v>
      </c>
      <c r="E13085" s="2" t="s">
        <v>2243</v>
      </c>
      <c r="F13085" s="2" t="s">
        <v>51862</v>
      </c>
      <c r="G13085" s="2" t="str">
        <f>"SR-18411"</f>
        <v>SR-18411</v>
      </c>
      <c r="H13085" s="2" t="s">
        <v>51863</v>
      </c>
      <c r="I13085" s="2" t="s">
        <v>51864</v>
      </c>
      <c r="K13085" s="2" t="s">
        <v>3212</v>
      </c>
      <c r="L13085" s="2" t="s">
        <v>272</v>
      </c>
      <c r="M13085" s="2">
        <v>67114.0</v>
      </c>
      <c r="N13085" s="2" t="s">
        <v>21</v>
      </c>
    </row>
    <row r="13086" ht="15.75" customHeight="1">
      <c r="A13086" s="2">
        <v>2020.0</v>
      </c>
      <c r="B13086" s="2" t="s">
        <v>51865</v>
      </c>
      <c r="C13086" s="2" t="s">
        <v>51865</v>
      </c>
      <c r="D13086" s="2" t="str">
        <f>"3195608486"</f>
        <v>3195608486</v>
      </c>
      <c r="E13086" s="2" t="s">
        <v>39039</v>
      </c>
      <c r="F13086" s="2" t="s">
        <v>51866</v>
      </c>
      <c r="G13086" s="2" t="str">
        <f>"SR-18536"</f>
        <v>SR-18536</v>
      </c>
      <c r="H13086" s="2" t="s">
        <v>51867</v>
      </c>
      <c r="I13086" s="2" t="s">
        <v>51868</v>
      </c>
      <c r="K13086" s="2" t="s">
        <v>3493</v>
      </c>
      <c r="L13086" s="2" t="s">
        <v>560</v>
      </c>
      <c r="M13086" s="2">
        <v>52302.0</v>
      </c>
      <c r="N13086" s="2" t="s">
        <v>21</v>
      </c>
    </row>
    <row r="13087" ht="15.75" customHeight="1">
      <c r="A13087" s="2">
        <v>2020.0</v>
      </c>
      <c r="B13087" s="2" t="s">
        <v>51869</v>
      </c>
      <c r="C13087" s="2" t="s">
        <v>51870</v>
      </c>
      <c r="D13087" s="2" t="str">
        <f>"3198993887"</f>
        <v>3198993887</v>
      </c>
      <c r="E13087" s="2" t="s">
        <v>983</v>
      </c>
      <c r="F13087" s="2" t="s">
        <v>17738</v>
      </c>
      <c r="G13087" s="2" t="str">
        <f>"SR-18537"</f>
        <v>SR-18537</v>
      </c>
      <c r="H13087" s="2" t="s">
        <v>51871</v>
      </c>
      <c r="I13087" s="2" t="s">
        <v>51872</v>
      </c>
      <c r="K13087" s="2" t="s">
        <v>3273</v>
      </c>
      <c r="L13087" s="2" t="s">
        <v>560</v>
      </c>
      <c r="M13087" s="2">
        <v>52403.0</v>
      </c>
      <c r="N13087" s="2" t="s">
        <v>21</v>
      </c>
    </row>
    <row r="13088" ht="15.75" customHeight="1">
      <c r="A13088" s="2">
        <v>2020.0</v>
      </c>
      <c r="B13088" s="2" t="s">
        <v>51873</v>
      </c>
      <c r="C13088" s="2" t="s">
        <v>51873</v>
      </c>
      <c r="D13088" s="2" t="str">
        <f>"7173410571"</f>
        <v>7173410571</v>
      </c>
      <c r="E13088" s="2" t="s">
        <v>51874</v>
      </c>
      <c r="F13088" s="2" t="s">
        <v>17792</v>
      </c>
      <c r="G13088" s="2" t="str">
        <f>"SR-15378"</f>
        <v>SR-15378</v>
      </c>
      <c r="H13088" s="2" t="s">
        <v>51875</v>
      </c>
      <c r="I13088" s="2" t="s">
        <v>17794</v>
      </c>
      <c r="K13088" s="2" t="s">
        <v>17795</v>
      </c>
      <c r="L13088" s="2" t="s">
        <v>179</v>
      </c>
      <c r="M13088" s="2">
        <v>17519.0</v>
      </c>
      <c r="N13088" s="2" t="s">
        <v>21</v>
      </c>
    </row>
    <row r="13089" ht="15.75" customHeight="1">
      <c r="A13089" s="2">
        <v>2020.0</v>
      </c>
      <c r="B13089" s="2" t="s">
        <v>51876</v>
      </c>
      <c r="C13089" s="2" t="s">
        <v>51876</v>
      </c>
      <c r="D13089" s="2" t="str">
        <f>"7852210130"</f>
        <v>7852210130</v>
      </c>
      <c r="E13089" s="2" t="s">
        <v>40320</v>
      </c>
      <c r="F13089" s="2" t="s">
        <v>50044</v>
      </c>
      <c r="G13089" s="2" t="str">
        <f>"SR-18261"</f>
        <v>SR-18261</v>
      </c>
      <c r="H13089" s="2" t="s">
        <v>51877</v>
      </c>
      <c r="I13089" s="2" t="s">
        <v>51878</v>
      </c>
      <c r="K13089" s="2" t="s">
        <v>271</v>
      </c>
      <c r="L13089" s="2" t="s">
        <v>272</v>
      </c>
      <c r="M13089" s="2">
        <v>66618.0</v>
      </c>
      <c r="N13089" s="2" t="s">
        <v>21</v>
      </c>
    </row>
    <row r="13090" ht="15.75" customHeight="1">
      <c r="A13090" s="2">
        <v>2020.0</v>
      </c>
      <c r="B13090" s="2" t="s">
        <v>48213</v>
      </c>
      <c r="C13090" s="2" t="s">
        <v>48426</v>
      </c>
      <c r="D13090" s="2" t="str">
        <f>"7192318311"</f>
        <v>7192318311</v>
      </c>
      <c r="E13090" s="2" t="s">
        <v>2173</v>
      </c>
      <c r="F13090" s="2" t="s">
        <v>17913</v>
      </c>
      <c r="G13090" s="2" t="str">
        <f>"SR-15456"</f>
        <v>SR-15456</v>
      </c>
      <c r="H13090" s="2" t="s">
        <v>48427</v>
      </c>
      <c r="I13090" s="2" t="s">
        <v>48216</v>
      </c>
      <c r="K13090" s="2" t="s">
        <v>809</v>
      </c>
      <c r="L13090" s="2" t="s">
        <v>157</v>
      </c>
      <c r="M13090" s="2">
        <v>80919.0</v>
      </c>
      <c r="N13090" s="2" t="s">
        <v>21</v>
      </c>
    </row>
    <row r="13091" ht="15.75" customHeight="1">
      <c r="A13091" s="2">
        <v>2020.0</v>
      </c>
      <c r="B13091" s="2" t="s">
        <v>51879</v>
      </c>
      <c r="C13091" s="2" t="s">
        <v>51880</v>
      </c>
      <c r="D13091" s="2" t="str">
        <f>"507-262-0881"</f>
        <v>507-262-0881</v>
      </c>
      <c r="E13091" s="2" t="s">
        <v>36331</v>
      </c>
      <c r="F13091" s="2" t="s">
        <v>51881</v>
      </c>
      <c r="G13091" s="2" t="str">
        <f>"SR-18011"</f>
        <v>SR-18011</v>
      </c>
      <c r="H13091" s="2" t="s">
        <v>51882</v>
      </c>
      <c r="I13091" s="2" t="s">
        <v>51883</v>
      </c>
      <c r="K13091" s="2" t="s">
        <v>1348</v>
      </c>
      <c r="L13091" s="2" t="s">
        <v>62</v>
      </c>
      <c r="M13091" s="2">
        <v>56138.0</v>
      </c>
      <c r="N13091" s="2" t="s">
        <v>21</v>
      </c>
    </row>
    <row r="13092" ht="15.75" customHeight="1">
      <c r="A13092" s="2">
        <v>2020.0</v>
      </c>
      <c r="B13092" s="2" t="s">
        <v>51884</v>
      </c>
      <c r="C13092" s="2" t="s">
        <v>51884</v>
      </c>
      <c r="D13092" s="2" t="str">
        <f>"641-485-2986"</f>
        <v>641-485-2986</v>
      </c>
      <c r="E13092" s="2" t="s">
        <v>1022</v>
      </c>
      <c r="F13092" s="2" t="s">
        <v>256</v>
      </c>
      <c r="G13092" s="2" t="str">
        <f>"SR-18542"</f>
        <v>SR-18542</v>
      </c>
      <c r="H13092" s="2" t="s">
        <v>51885</v>
      </c>
      <c r="I13092" s="2" t="s">
        <v>51886</v>
      </c>
      <c r="K13092" s="2" t="s">
        <v>4358</v>
      </c>
      <c r="L13092" s="2" t="s">
        <v>560</v>
      </c>
      <c r="M13092" s="2">
        <v>50055.0</v>
      </c>
      <c r="N13092" s="2" t="s">
        <v>21</v>
      </c>
    </row>
    <row r="13093" ht="15.75" customHeight="1">
      <c r="A13093" s="2">
        <v>2020.0</v>
      </c>
      <c r="B13093" s="2" t="s">
        <v>51887</v>
      </c>
      <c r="C13093" s="2" t="s">
        <v>51887</v>
      </c>
      <c r="D13093" s="2" t="str">
        <f>"541-915-1424"</f>
        <v>541-915-1424</v>
      </c>
      <c r="E13093" s="2" t="s">
        <v>267</v>
      </c>
      <c r="F13093" s="2" t="s">
        <v>44890</v>
      </c>
      <c r="G13093" s="2" t="str">
        <f>"SR-18543"</f>
        <v>SR-18543</v>
      </c>
      <c r="H13093" s="2" t="s">
        <v>51888</v>
      </c>
      <c r="I13093" s="2" t="s">
        <v>51889</v>
      </c>
      <c r="K13093" s="2" t="s">
        <v>14616</v>
      </c>
      <c r="L13093" s="2" t="s">
        <v>2389</v>
      </c>
      <c r="M13093" s="2">
        <v>97401.0</v>
      </c>
      <c r="N13093" s="2" t="s">
        <v>21</v>
      </c>
    </row>
    <row r="13094" ht="15.75" customHeight="1">
      <c r="A13094" s="2">
        <v>2020.0</v>
      </c>
      <c r="B13094" s="2" t="s">
        <v>35058</v>
      </c>
      <c r="C13094" s="2" t="s">
        <v>51890</v>
      </c>
      <c r="D13094" s="2" t="str">
        <f>"3196107946"</f>
        <v>3196107946</v>
      </c>
      <c r="E13094" s="2" t="s">
        <v>13630</v>
      </c>
      <c r="F13094" s="2" t="s">
        <v>35060</v>
      </c>
      <c r="G13094" s="2" t="str">
        <f>"SR-18551"</f>
        <v>SR-18551</v>
      </c>
      <c r="H13094" s="2" t="s">
        <v>51891</v>
      </c>
      <c r="I13094" s="2" t="s">
        <v>51892</v>
      </c>
      <c r="K13094" s="2" t="s">
        <v>51893</v>
      </c>
      <c r="L13094" s="2" t="s">
        <v>208</v>
      </c>
      <c r="M13094" s="2">
        <v>34287.0</v>
      </c>
      <c r="N13094" s="2" t="s">
        <v>21</v>
      </c>
    </row>
    <row r="13095" ht="15.75" customHeight="1">
      <c r="A13095" s="2">
        <v>2020.0</v>
      </c>
      <c r="B13095" s="2" t="s">
        <v>51894</v>
      </c>
      <c r="C13095" s="2" t="s">
        <v>51895</v>
      </c>
      <c r="D13095" s="2" t="str">
        <f>"4147747353"</f>
        <v>4147747353</v>
      </c>
      <c r="E13095" s="2" t="s">
        <v>1918</v>
      </c>
      <c r="F13095" s="2" t="s">
        <v>51896</v>
      </c>
      <c r="G13095" s="2" t="str">
        <f>"SR-18553"</f>
        <v>SR-18553</v>
      </c>
      <c r="H13095" s="2" t="s">
        <v>51897</v>
      </c>
      <c r="I13095" s="2" t="s">
        <v>51898</v>
      </c>
      <c r="K13095" s="2" t="s">
        <v>16219</v>
      </c>
      <c r="L13095" s="2" t="s">
        <v>193</v>
      </c>
      <c r="M13095" s="2">
        <v>53226.0</v>
      </c>
      <c r="N13095" s="2" t="s">
        <v>21</v>
      </c>
    </row>
    <row r="13096" ht="15.75" customHeight="1">
      <c r="A13096" s="2">
        <v>2020.0</v>
      </c>
      <c r="B13096" s="2" t="s">
        <v>51899</v>
      </c>
      <c r="C13096" s="2" t="s">
        <v>51900</v>
      </c>
      <c r="D13096" s="2" t="str">
        <f>"423-413-8735"</f>
        <v>423-413-8735</v>
      </c>
      <c r="E13096" s="2" t="s">
        <v>843</v>
      </c>
      <c r="F13096" s="2" t="s">
        <v>1008</v>
      </c>
      <c r="G13096" s="2" t="str">
        <f>"SR-18554"</f>
        <v>SR-18554</v>
      </c>
      <c r="H13096" s="2" t="s">
        <v>51901</v>
      </c>
      <c r="I13096" s="2" t="s">
        <v>51902</v>
      </c>
      <c r="K13096" s="2" t="s">
        <v>4310</v>
      </c>
      <c r="L13096" s="2" t="s">
        <v>279</v>
      </c>
      <c r="M13096" s="2">
        <v>37321.0</v>
      </c>
      <c r="N13096" s="2" t="s">
        <v>21</v>
      </c>
    </row>
    <row r="13097" ht="15.75" customHeight="1">
      <c r="A13097" s="2">
        <v>2020.0</v>
      </c>
      <c r="B13097" s="2" t="s">
        <v>51903</v>
      </c>
      <c r="C13097" s="2" t="s">
        <v>51904</v>
      </c>
      <c r="D13097" s="2" t="str">
        <f>"847-949-8716"</f>
        <v>847-949-8716</v>
      </c>
      <c r="E13097" s="2" t="s">
        <v>282</v>
      </c>
      <c r="F13097" s="2" t="s">
        <v>16736</v>
      </c>
      <c r="G13097" s="2" t="str">
        <f>"SR-18549"</f>
        <v>SR-18549</v>
      </c>
      <c r="H13097" s="2" t="s">
        <v>51905</v>
      </c>
      <c r="I13097" s="2" t="s">
        <v>51906</v>
      </c>
      <c r="K13097" s="2" t="s">
        <v>30510</v>
      </c>
      <c r="L13097" s="2" t="s">
        <v>105</v>
      </c>
      <c r="M13097" s="2">
        <v>60060.0</v>
      </c>
      <c r="N13097" s="2" t="s">
        <v>21</v>
      </c>
    </row>
    <row r="13098" ht="15.75" customHeight="1">
      <c r="A13098" s="2">
        <v>2020.0</v>
      </c>
      <c r="B13098" s="2" t="s">
        <v>51903</v>
      </c>
      <c r="C13098" s="2" t="s">
        <v>51907</v>
      </c>
      <c r="D13098" s="2" t="str">
        <f>"847-816-7232"</f>
        <v>847-816-7232</v>
      </c>
      <c r="E13098" s="2" t="s">
        <v>9513</v>
      </c>
      <c r="F13098" s="2" t="s">
        <v>2847</v>
      </c>
      <c r="G13098" s="2" t="str">
        <f>"SR-18550"</f>
        <v>SR-18550</v>
      </c>
      <c r="H13098" s="2" t="s">
        <v>51908</v>
      </c>
      <c r="I13098" s="2" t="s">
        <v>51909</v>
      </c>
      <c r="K13098" s="2" t="s">
        <v>43451</v>
      </c>
      <c r="L13098" s="2" t="s">
        <v>105</v>
      </c>
      <c r="M13098" s="2">
        <v>60061.0</v>
      </c>
      <c r="N13098" s="2" t="s">
        <v>21</v>
      </c>
    </row>
    <row r="13099" ht="15.75" customHeight="1">
      <c r="A13099" s="2">
        <v>2020.0</v>
      </c>
      <c r="B13099" s="2" t="s">
        <v>51910</v>
      </c>
      <c r="C13099" s="2" t="s">
        <v>51910</v>
      </c>
      <c r="D13099" s="2" t="str">
        <f>"289-221-0945"</f>
        <v>289-221-0945</v>
      </c>
      <c r="E13099" s="2" t="s">
        <v>651</v>
      </c>
      <c r="F13099" s="2" t="s">
        <v>51911</v>
      </c>
      <c r="G13099" s="2" t="str">
        <f>"SR-18463"</f>
        <v>SR-18463</v>
      </c>
      <c r="H13099" s="2" t="s">
        <v>51912</v>
      </c>
      <c r="I13099" s="2" t="s">
        <v>51913</v>
      </c>
      <c r="K13099" s="2" t="s">
        <v>51914</v>
      </c>
      <c r="L13099" s="2" t="s">
        <v>2015</v>
      </c>
      <c r="M13099" s="2" t="s">
        <v>51915</v>
      </c>
      <c r="N13099" s="2" t="s">
        <v>1602</v>
      </c>
    </row>
    <row r="13100" ht="15.75" customHeight="1">
      <c r="A13100" s="2">
        <v>2020.0</v>
      </c>
      <c r="B13100" s="2" t="s">
        <v>51916</v>
      </c>
      <c r="C13100" s="2" t="s">
        <v>51917</v>
      </c>
      <c r="D13100" s="2" t="str">
        <f>"225-763-1453"</f>
        <v>225-763-1453</v>
      </c>
      <c r="E13100" s="2" t="s">
        <v>1263</v>
      </c>
      <c r="F13100" s="2" t="s">
        <v>15501</v>
      </c>
      <c r="G13100" s="2" t="str">
        <f>"SR-18559"</f>
        <v>SR-18559</v>
      </c>
      <c r="H13100" s="2" t="s">
        <v>51918</v>
      </c>
      <c r="I13100" s="2" t="s">
        <v>51919</v>
      </c>
      <c r="K13100" s="2" t="s">
        <v>3654</v>
      </c>
      <c r="L13100" s="2" t="s">
        <v>715</v>
      </c>
      <c r="M13100" s="2">
        <v>70808.0</v>
      </c>
      <c r="N13100" s="2" t="s">
        <v>21</v>
      </c>
    </row>
    <row r="13101" ht="15.75" customHeight="1">
      <c r="A13101" s="2">
        <v>2020.0</v>
      </c>
      <c r="B13101" s="2" t="s">
        <v>19945</v>
      </c>
      <c r="C13101" s="2" t="s">
        <v>51920</v>
      </c>
      <c r="D13101" s="2" t="str">
        <f>"6232621232"</f>
        <v>6232621232</v>
      </c>
      <c r="E13101" s="2" t="s">
        <v>51921</v>
      </c>
      <c r="F13101" s="2" t="s">
        <v>19947</v>
      </c>
      <c r="G13101" s="2" t="str">
        <f>"SR-17310"</f>
        <v>SR-17310</v>
      </c>
      <c r="H13101" s="2" t="s">
        <v>51922</v>
      </c>
      <c r="I13101" s="2" t="s">
        <v>51923</v>
      </c>
      <c r="K13101" s="2" t="s">
        <v>19950</v>
      </c>
      <c r="L13101" s="2" t="s">
        <v>422</v>
      </c>
      <c r="M13101" s="2">
        <v>85379.0</v>
      </c>
      <c r="N13101" s="2" t="s">
        <v>21</v>
      </c>
    </row>
    <row r="13102" ht="15.75" customHeight="1">
      <c r="A13102" s="2">
        <v>2020.0</v>
      </c>
      <c r="B13102" s="2" t="s">
        <v>51799</v>
      </c>
      <c r="C13102" s="2" t="s">
        <v>51924</v>
      </c>
      <c r="D13102" s="2" t="str">
        <f>"7075801447"</f>
        <v>7075801447</v>
      </c>
      <c r="E13102" s="2" t="s">
        <v>1141</v>
      </c>
      <c r="F13102" s="2" t="s">
        <v>51925</v>
      </c>
      <c r="G13102" s="2" t="str">
        <f>"SR-18546"</f>
        <v>SR-18546</v>
      </c>
      <c r="H13102" s="2" t="s">
        <v>51926</v>
      </c>
      <c r="I13102" s="2" t="s">
        <v>51927</v>
      </c>
      <c r="K13102" s="2" t="s">
        <v>51803</v>
      </c>
      <c r="L13102" s="2" t="s">
        <v>222</v>
      </c>
      <c r="M13102" s="2">
        <v>95687.0</v>
      </c>
      <c r="N13102" s="2" t="s">
        <v>21</v>
      </c>
    </row>
    <row r="13103" ht="15.75" customHeight="1">
      <c r="A13103" s="2">
        <v>2020.0</v>
      </c>
      <c r="B13103" s="2" t="s">
        <v>51928</v>
      </c>
      <c r="C13103" s="2" t="s">
        <v>51929</v>
      </c>
      <c r="D13103" s="2" t="str">
        <f t="shared" ref="D13103:D13104" si="219">"970-773-4284"</f>
        <v>970-773-4284</v>
      </c>
      <c r="E13103" s="2" t="s">
        <v>51930</v>
      </c>
      <c r="F13103" s="2" t="s">
        <v>51931</v>
      </c>
      <c r="G13103" s="2" t="str">
        <f>"SR-18381"</f>
        <v>SR-18381</v>
      </c>
      <c r="H13103" s="2" t="s">
        <v>51932</v>
      </c>
      <c r="I13103" s="2" t="s">
        <v>51933</v>
      </c>
      <c r="K13103" s="2" t="s">
        <v>51934</v>
      </c>
      <c r="L13103" s="2" t="s">
        <v>2696</v>
      </c>
      <c r="M13103" s="2">
        <v>59759.0</v>
      </c>
      <c r="N13103" s="2" t="s">
        <v>21</v>
      </c>
    </row>
    <row r="13104" ht="15.75" customHeight="1">
      <c r="A13104" s="2">
        <v>2020.0</v>
      </c>
      <c r="B13104" s="2" t="s">
        <v>51928</v>
      </c>
      <c r="C13104" s="2" t="s">
        <v>51935</v>
      </c>
      <c r="D13104" s="2" t="str">
        <f t="shared" si="219"/>
        <v>970-773-4284</v>
      </c>
      <c r="E13104" s="2" t="s">
        <v>3689</v>
      </c>
      <c r="F13104" s="2" t="s">
        <v>51931</v>
      </c>
      <c r="G13104" s="2" t="str">
        <f>"SR-18378"</f>
        <v>SR-18378</v>
      </c>
      <c r="H13104" s="2" t="s">
        <v>51936</v>
      </c>
      <c r="I13104" s="2" t="s">
        <v>51933</v>
      </c>
      <c r="K13104" s="2" t="s">
        <v>51934</v>
      </c>
      <c r="L13104" s="2" t="s">
        <v>2696</v>
      </c>
      <c r="M13104" s="2">
        <v>59759.0</v>
      </c>
      <c r="N13104" s="2" t="s">
        <v>21</v>
      </c>
    </row>
    <row r="13105" ht="15.75" customHeight="1">
      <c r="A13105" s="2">
        <v>2020.0</v>
      </c>
      <c r="B13105" s="2" t="s">
        <v>51937</v>
      </c>
      <c r="C13105" s="2" t="s">
        <v>51938</v>
      </c>
      <c r="D13105" s="2" t="str">
        <f>"4057652127"</f>
        <v>4057652127</v>
      </c>
      <c r="E13105" s="2" t="s">
        <v>26038</v>
      </c>
      <c r="F13105" s="2" t="s">
        <v>51939</v>
      </c>
      <c r="G13105" s="2" t="str">
        <f>"SR-18564"</f>
        <v>SR-18564</v>
      </c>
      <c r="H13105" s="2" t="s">
        <v>51940</v>
      </c>
      <c r="I13105" s="2" t="s">
        <v>51941</v>
      </c>
      <c r="K13105" s="2" t="s">
        <v>51942</v>
      </c>
      <c r="L13105" s="2" t="s">
        <v>840</v>
      </c>
      <c r="M13105" s="2">
        <v>74878.0</v>
      </c>
      <c r="N13105" s="2" t="s">
        <v>21</v>
      </c>
    </row>
    <row r="13106" ht="15.75" customHeight="1">
      <c r="A13106" s="2">
        <v>2020.0</v>
      </c>
      <c r="B13106" s="2" t="s">
        <v>51943</v>
      </c>
      <c r="C13106" s="2" t="s">
        <v>51944</v>
      </c>
      <c r="D13106" s="2" t="str">
        <f>"7193560259"</f>
        <v>7193560259</v>
      </c>
      <c r="E13106" s="2" t="s">
        <v>778</v>
      </c>
      <c r="F13106" s="2" t="s">
        <v>10358</v>
      </c>
      <c r="G13106" s="2" t="str">
        <f>"SR-17487"</f>
        <v>SR-17487</v>
      </c>
      <c r="H13106" s="2" t="s">
        <v>51945</v>
      </c>
      <c r="I13106" s="2" t="s">
        <v>51946</v>
      </c>
      <c r="K13106" s="2" t="s">
        <v>507</v>
      </c>
      <c r="L13106" s="2" t="s">
        <v>157</v>
      </c>
      <c r="M13106" s="2">
        <v>80132.0</v>
      </c>
      <c r="N13106" s="2" t="s">
        <v>21</v>
      </c>
    </row>
    <row r="13107" ht="15.75" customHeight="1">
      <c r="A13107" s="2">
        <v>2020.0</v>
      </c>
      <c r="B13107" s="2" t="s">
        <v>51947</v>
      </c>
      <c r="C13107" s="2" t="s">
        <v>51947</v>
      </c>
      <c r="D13107" s="2" t="str">
        <f>"1712-449-5414"</f>
        <v>1712-449-5414</v>
      </c>
      <c r="E13107" s="2" t="s">
        <v>24625</v>
      </c>
      <c r="F13107" s="2" t="s">
        <v>51948</v>
      </c>
      <c r="G13107" s="2" t="str">
        <f>"SR-18565"</f>
        <v>SR-18565</v>
      </c>
      <c r="H13107" s="2" t="s">
        <v>51949</v>
      </c>
      <c r="I13107" s="2" t="s">
        <v>51950</v>
      </c>
      <c r="K13107" s="2" t="s">
        <v>12097</v>
      </c>
      <c r="L13107" s="2" t="s">
        <v>560</v>
      </c>
      <c r="M13107" s="2">
        <v>51041.0</v>
      </c>
      <c r="N13107" s="2" t="s">
        <v>21</v>
      </c>
    </row>
    <row r="13108" ht="15.75" customHeight="1">
      <c r="A13108" s="2">
        <v>2020.0</v>
      </c>
      <c r="B13108" s="2" t="s">
        <v>51951</v>
      </c>
      <c r="C13108" s="2" t="s">
        <v>51952</v>
      </c>
      <c r="D13108" s="2" t="str">
        <f>"(613) 661-3231"</f>
        <v>(613) 661-3231</v>
      </c>
      <c r="E13108" s="2" t="s">
        <v>862</v>
      </c>
      <c r="F13108" s="2" t="s">
        <v>51953</v>
      </c>
      <c r="G13108" s="2" t="str">
        <f>"SR-18552"</f>
        <v>SR-18552</v>
      </c>
      <c r="H13108" s="2" t="s">
        <v>51954</v>
      </c>
      <c r="I13108" s="2" t="s">
        <v>51955</v>
      </c>
      <c r="K13108" s="2" t="s">
        <v>8693</v>
      </c>
      <c r="N13108" s="2" t="s">
        <v>1602</v>
      </c>
    </row>
    <row r="13109" ht="15.75" customHeight="1">
      <c r="A13109" s="2">
        <v>2020.0</v>
      </c>
      <c r="B13109" s="2" t="s">
        <v>51884</v>
      </c>
      <c r="C13109" s="2" t="s">
        <v>51956</v>
      </c>
      <c r="D13109" s="2" t="str">
        <f>"515-215-3166"</f>
        <v>515-215-3166</v>
      </c>
      <c r="E13109" s="2" t="s">
        <v>4401</v>
      </c>
      <c r="F13109" s="2" t="s">
        <v>256</v>
      </c>
      <c r="G13109" s="2" t="str">
        <f>"SR-18548"</f>
        <v>SR-18548</v>
      </c>
      <c r="H13109" s="2" t="s">
        <v>51957</v>
      </c>
      <c r="I13109" s="2" t="s">
        <v>51886</v>
      </c>
      <c r="K13109" s="2" t="s">
        <v>4358</v>
      </c>
      <c r="L13109" s="2" t="s">
        <v>560</v>
      </c>
      <c r="M13109" s="2">
        <v>50055.0</v>
      </c>
      <c r="N13109" s="2" t="s">
        <v>21</v>
      </c>
    </row>
    <row r="13110" ht="15.75" customHeight="1">
      <c r="A13110" s="2">
        <v>2020.0</v>
      </c>
      <c r="B13110" s="2" t="s">
        <v>37466</v>
      </c>
      <c r="C13110" s="2" t="s">
        <v>51958</v>
      </c>
      <c r="D13110" s="2" t="str">
        <f>"541-404-1997"</f>
        <v>541-404-1997</v>
      </c>
      <c r="E13110" s="2" t="s">
        <v>2361</v>
      </c>
      <c r="F13110" s="2" t="s">
        <v>37468</v>
      </c>
      <c r="G13110" s="2" t="str">
        <f>"SR-18566"</f>
        <v>SR-18566</v>
      </c>
      <c r="H13110" s="2" t="s">
        <v>51959</v>
      </c>
      <c r="I13110" s="2" t="s">
        <v>51960</v>
      </c>
      <c r="J13110" s="2" t="s">
        <v>51961</v>
      </c>
      <c r="K13110" s="2" t="s">
        <v>51962</v>
      </c>
      <c r="L13110" s="2" t="s">
        <v>2389</v>
      </c>
      <c r="M13110" s="2">
        <v>97416.0</v>
      </c>
      <c r="N13110" s="2" t="s">
        <v>21</v>
      </c>
    </row>
    <row r="13111" ht="15.75" customHeight="1">
      <c r="A13111" s="2">
        <v>2020.0</v>
      </c>
      <c r="B13111" s="2" t="s">
        <v>51963</v>
      </c>
      <c r="C13111" s="2" t="s">
        <v>51963</v>
      </c>
      <c r="D13111" s="2" t="str">
        <f>"605-280-6377"</f>
        <v>605-280-6377</v>
      </c>
      <c r="E13111" s="2" t="s">
        <v>843</v>
      </c>
      <c r="F13111" s="2" t="s">
        <v>10050</v>
      </c>
      <c r="G13111" s="2" t="str">
        <f>"SR-18568"</f>
        <v>SR-18568</v>
      </c>
      <c r="H13111" s="2" t="s">
        <v>18883</v>
      </c>
      <c r="I13111" s="2" t="s">
        <v>51964</v>
      </c>
      <c r="J13111" s="2" t="s">
        <v>51965</v>
      </c>
      <c r="K13111" s="2" t="s">
        <v>11510</v>
      </c>
      <c r="L13111" s="2" t="s">
        <v>920</v>
      </c>
      <c r="M13111" s="2">
        <v>57701.0</v>
      </c>
      <c r="N13111" s="2" t="s">
        <v>21</v>
      </c>
    </row>
    <row r="13112" ht="15.75" customHeight="1">
      <c r="A13112" s="2">
        <v>2020.0</v>
      </c>
      <c r="B13112" s="2" t="s">
        <v>51966</v>
      </c>
      <c r="C13112" s="2" t="s">
        <v>51966</v>
      </c>
      <c r="D13112" s="2" t="str">
        <f>"2255036182"</f>
        <v>2255036182</v>
      </c>
      <c r="E13112" s="2" t="s">
        <v>690</v>
      </c>
      <c r="F13112" s="2" t="s">
        <v>42521</v>
      </c>
      <c r="G13112" s="2" t="str">
        <f>"SR-18569"</f>
        <v>SR-18569</v>
      </c>
      <c r="H13112" s="2" t="s">
        <v>51967</v>
      </c>
      <c r="I13112" s="2" t="s">
        <v>51968</v>
      </c>
      <c r="K13112" s="2" t="s">
        <v>32086</v>
      </c>
      <c r="L13112" s="2" t="s">
        <v>715</v>
      </c>
      <c r="M13112" s="2">
        <v>70726.0</v>
      </c>
      <c r="N13112" s="2" t="s">
        <v>21</v>
      </c>
    </row>
    <row r="13113" ht="15.75" customHeight="1">
      <c r="A13113" s="2">
        <v>2020.0</v>
      </c>
      <c r="B13113" s="2" t="s">
        <v>51969</v>
      </c>
      <c r="C13113" s="2" t="s">
        <v>51970</v>
      </c>
      <c r="D13113" s="2" t="str">
        <f>"2054277046"</f>
        <v>2054277046</v>
      </c>
      <c r="E13113" s="2" t="s">
        <v>1636</v>
      </c>
      <c r="F13113" s="2" t="s">
        <v>2636</v>
      </c>
      <c r="G13113" s="2" t="str">
        <f>"SR-18572"</f>
        <v>SR-18572</v>
      </c>
      <c r="H13113" s="2" t="s">
        <v>51971</v>
      </c>
      <c r="I13113" s="2" t="s">
        <v>51972</v>
      </c>
      <c r="K13113" s="2" t="s">
        <v>1173</v>
      </c>
      <c r="L13113" s="2" t="s">
        <v>539</v>
      </c>
      <c r="M13113" s="2">
        <v>35210.0</v>
      </c>
      <c r="N13113" s="2" t="s">
        <v>21</v>
      </c>
    </row>
    <row r="13114" ht="15.75" customHeight="1">
      <c r="A13114" s="2">
        <v>2020.0</v>
      </c>
      <c r="B13114" s="2" t="s">
        <v>51973</v>
      </c>
      <c r="C13114" s="2" t="s">
        <v>51974</v>
      </c>
      <c r="D13114" s="2" t="str">
        <f>"8065597041"</f>
        <v>8065597041</v>
      </c>
      <c r="E13114" s="2" t="s">
        <v>51975</v>
      </c>
      <c r="F13114" s="2" t="s">
        <v>4675</v>
      </c>
      <c r="G13114" s="2" t="str">
        <f>"SR-18370"</f>
        <v>SR-18370</v>
      </c>
      <c r="H13114" s="2" t="s">
        <v>51976</v>
      </c>
      <c r="I13114" s="2" t="s">
        <v>51977</v>
      </c>
      <c r="K13114" s="2" t="s">
        <v>1121</v>
      </c>
      <c r="L13114" s="2" t="s">
        <v>172</v>
      </c>
      <c r="M13114" s="2">
        <v>79424.0</v>
      </c>
      <c r="N13114" s="2" t="s">
        <v>21</v>
      </c>
    </row>
    <row r="13115" ht="15.75" customHeight="1">
      <c r="A13115" s="2">
        <v>2020.0</v>
      </c>
      <c r="B13115" s="2" t="s">
        <v>51978</v>
      </c>
      <c r="C13115" s="2" t="s">
        <v>51978</v>
      </c>
      <c r="D13115" s="2" t="str">
        <f>"8065841712"</f>
        <v>8065841712</v>
      </c>
      <c r="E13115" s="2" t="s">
        <v>534</v>
      </c>
      <c r="F13115" s="2" t="s">
        <v>39735</v>
      </c>
      <c r="G13115" s="2" t="str">
        <f>"SR-17013"</f>
        <v>SR-17013</v>
      </c>
      <c r="H13115" s="2" t="s">
        <v>51979</v>
      </c>
      <c r="I13115" s="2" t="s">
        <v>51980</v>
      </c>
      <c r="J13115" s="2" t="s">
        <v>51981</v>
      </c>
      <c r="K13115" s="2" t="s">
        <v>1121</v>
      </c>
      <c r="L13115" s="2" t="s">
        <v>172</v>
      </c>
      <c r="M13115" s="2">
        <v>79416.0</v>
      </c>
      <c r="N13115" s="2" t="s">
        <v>21</v>
      </c>
    </row>
    <row r="13116" ht="15.75" customHeight="1">
      <c r="A13116" s="2">
        <v>2020.0</v>
      </c>
      <c r="B13116" s="2" t="s">
        <v>51982</v>
      </c>
      <c r="C13116" s="2" t="s">
        <v>51983</v>
      </c>
      <c r="D13116" s="2" t="str">
        <f>"5182210047"</f>
        <v>5182210047</v>
      </c>
      <c r="E13116" s="2" t="s">
        <v>13107</v>
      </c>
      <c r="F13116" s="2" t="s">
        <v>94</v>
      </c>
      <c r="G13116" s="2" t="str">
        <f>"SR-18576"</f>
        <v>SR-18576</v>
      </c>
      <c r="H13116" s="2" t="s">
        <v>51984</v>
      </c>
      <c r="I13116" s="2" t="s">
        <v>51985</v>
      </c>
      <c r="K13116" s="2" t="s">
        <v>4115</v>
      </c>
      <c r="L13116" s="2" t="s">
        <v>142</v>
      </c>
      <c r="M13116" s="2">
        <v>12180.0</v>
      </c>
      <c r="N13116" s="2" t="s">
        <v>21</v>
      </c>
    </row>
    <row r="13117" ht="15.75" customHeight="1">
      <c r="A13117" s="2">
        <v>2020.0</v>
      </c>
      <c r="B13117" s="2" t="s">
        <v>51986</v>
      </c>
      <c r="C13117" s="2" t="s">
        <v>51986</v>
      </c>
      <c r="D13117" s="2" t="str">
        <f>"319-640-2368"</f>
        <v>319-640-2368</v>
      </c>
      <c r="E13117" s="2" t="s">
        <v>51987</v>
      </c>
      <c r="F13117" s="2" t="s">
        <v>51988</v>
      </c>
      <c r="G13117" s="2" t="str">
        <f>"SR-18577"</f>
        <v>SR-18577</v>
      </c>
      <c r="H13117" s="2" t="s">
        <v>51989</v>
      </c>
      <c r="I13117" s="2" t="s">
        <v>51990</v>
      </c>
      <c r="K13117" s="2" t="s">
        <v>3493</v>
      </c>
      <c r="L13117" s="2" t="s">
        <v>560</v>
      </c>
      <c r="M13117" s="2">
        <v>52302.0</v>
      </c>
      <c r="N13117" s="2" t="s">
        <v>21</v>
      </c>
    </row>
    <row r="13118" ht="15.75" customHeight="1">
      <c r="A13118" s="2">
        <v>2020.0</v>
      </c>
      <c r="B13118" s="2" t="s">
        <v>51991</v>
      </c>
      <c r="C13118" s="2" t="s">
        <v>51991</v>
      </c>
      <c r="D13118" s="2" t="str">
        <f>"4699553467"</f>
        <v>4699553467</v>
      </c>
      <c r="E13118" s="2" t="s">
        <v>651</v>
      </c>
      <c r="F13118" s="2" t="s">
        <v>36239</v>
      </c>
      <c r="G13118" s="2" t="str">
        <f>"SR-18578"</f>
        <v>SR-18578</v>
      </c>
      <c r="H13118" s="2" t="s">
        <v>51992</v>
      </c>
      <c r="I13118" s="2" t="s">
        <v>51993</v>
      </c>
      <c r="K13118" s="2" t="s">
        <v>3493</v>
      </c>
      <c r="L13118" s="2" t="s">
        <v>560</v>
      </c>
      <c r="M13118" s="2">
        <v>52302.0</v>
      </c>
      <c r="N13118" s="2" t="s">
        <v>21</v>
      </c>
    </row>
    <row r="13119" ht="15.75" customHeight="1">
      <c r="A13119" s="2">
        <v>2020.0</v>
      </c>
      <c r="B13119" s="2" t="s">
        <v>51994</v>
      </c>
      <c r="C13119" s="2" t="s">
        <v>51994</v>
      </c>
      <c r="D13119" s="2" t="str">
        <f>"3167963726"</f>
        <v>3167963726</v>
      </c>
      <c r="E13119" s="2" t="s">
        <v>132</v>
      </c>
      <c r="F13119" s="2" t="s">
        <v>13824</v>
      </c>
      <c r="G13119" s="2" t="str">
        <f>"SR-17304"</f>
        <v>SR-17304</v>
      </c>
      <c r="H13119" s="2" t="s">
        <v>51995</v>
      </c>
      <c r="I13119" s="2" t="s">
        <v>51996</v>
      </c>
      <c r="K13119" s="2" t="s">
        <v>606</v>
      </c>
      <c r="L13119" s="2" t="s">
        <v>272</v>
      </c>
      <c r="M13119" s="2">
        <v>67219.0</v>
      </c>
      <c r="N13119" s="2" t="s">
        <v>21</v>
      </c>
    </row>
    <row r="13120" ht="15.75" customHeight="1">
      <c r="A13120" s="2">
        <v>2020.0</v>
      </c>
      <c r="B13120" s="2" t="s">
        <v>51997</v>
      </c>
      <c r="C13120" s="2" t="s">
        <v>51997</v>
      </c>
      <c r="D13120" s="2" t="str">
        <f>"8137775083"</f>
        <v>8137775083</v>
      </c>
      <c r="E13120" s="2" t="s">
        <v>4064</v>
      </c>
      <c r="F13120" s="2" t="s">
        <v>6884</v>
      </c>
      <c r="G13120" s="2" t="str">
        <f>"SR-18580"</f>
        <v>SR-18580</v>
      </c>
      <c r="H13120" s="2" t="s">
        <v>51998</v>
      </c>
      <c r="I13120" s="2" t="s">
        <v>51999</v>
      </c>
      <c r="K13120" s="2" t="s">
        <v>10170</v>
      </c>
      <c r="L13120" s="2" t="s">
        <v>208</v>
      </c>
      <c r="M13120" s="2">
        <v>33556.0</v>
      </c>
      <c r="N13120" s="2" t="s">
        <v>21</v>
      </c>
    </row>
    <row r="13121" ht="15.75" customHeight="1">
      <c r="A13121" s="2">
        <v>2020.0</v>
      </c>
      <c r="B13121" s="2" t="s">
        <v>52000</v>
      </c>
      <c r="C13121" s="2" t="s">
        <v>52001</v>
      </c>
      <c r="D13121" s="2" t="str">
        <f>"2522698522"</f>
        <v>2522698522</v>
      </c>
      <c r="E13121" s="2" t="s">
        <v>81</v>
      </c>
      <c r="F13121" s="2" t="s">
        <v>52002</v>
      </c>
      <c r="G13121" s="2" t="str">
        <f>"SR-18280"</f>
        <v>SR-18280</v>
      </c>
      <c r="H13121" s="2" t="s">
        <v>52003</v>
      </c>
      <c r="I13121" s="2" t="s">
        <v>52004</v>
      </c>
      <c r="K13121" s="2" t="s">
        <v>52005</v>
      </c>
      <c r="L13121" s="2" t="s">
        <v>20</v>
      </c>
      <c r="M13121" s="2">
        <v>28557.0</v>
      </c>
      <c r="N13121" s="2" t="s">
        <v>21</v>
      </c>
    </row>
    <row r="13122" ht="15.75" customHeight="1">
      <c r="A13122" s="2">
        <v>2020.0</v>
      </c>
      <c r="B13122" s="2" t="s">
        <v>52006</v>
      </c>
      <c r="C13122" s="2" t="s">
        <v>52007</v>
      </c>
      <c r="D13122" s="2" t="str">
        <f>"(949) 690-8113"</f>
        <v>(949) 690-8113</v>
      </c>
      <c r="E13122" s="2" t="s">
        <v>1269</v>
      </c>
      <c r="F13122" s="2" t="s">
        <v>52008</v>
      </c>
      <c r="G13122" s="2" t="str">
        <f>"SR-18534"</f>
        <v>SR-18534</v>
      </c>
      <c r="H13122" s="2" t="s">
        <v>52009</v>
      </c>
      <c r="I13122" s="2" t="s">
        <v>52010</v>
      </c>
      <c r="K13122" s="2" t="s">
        <v>10926</v>
      </c>
      <c r="L13122" s="2" t="s">
        <v>222</v>
      </c>
      <c r="M13122" s="2">
        <v>92692.0</v>
      </c>
      <c r="N13122" s="2" t="s">
        <v>21</v>
      </c>
    </row>
    <row r="13123" ht="15.75" customHeight="1">
      <c r="A13123" s="2">
        <v>2020.0</v>
      </c>
      <c r="B13123" s="2" t="s">
        <v>42518</v>
      </c>
      <c r="C13123" s="2" t="s">
        <v>52011</v>
      </c>
      <c r="D13123" s="2" t="str">
        <f>"225-610-7883"</f>
        <v>225-610-7883</v>
      </c>
      <c r="E13123" s="2" t="s">
        <v>1257</v>
      </c>
      <c r="F13123" s="2" t="s">
        <v>42521</v>
      </c>
      <c r="G13123" s="2" t="str">
        <f>"SR-18582"</f>
        <v>SR-18582</v>
      </c>
      <c r="H13123" s="2" t="s">
        <v>52012</v>
      </c>
      <c r="I13123" s="2" t="s">
        <v>52013</v>
      </c>
      <c r="K13123" s="2" t="s">
        <v>3654</v>
      </c>
      <c r="L13123" s="2" t="s">
        <v>715</v>
      </c>
      <c r="M13123" s="2">
        <v>70806.0</v>
      </c>
      <c r="N13123" s="2" t="s">
        <v>21</v>
      </c>
    </row>
    <row r="13124" ht="15.75" customHeight="1">
      <c r="A13124" s="2">
        <v>2020.0</v>
      </c>
      <c r="B13124" s="2" t="s">
        <v>52014</v>
      </c>
      <c r="C13124" s="2" t="s">
        <v>52014</v>
      </c>
      <c r="D13124" s="2" t="str">
        <f>"765-414-1935"</f>
        <v>765-414-1935</v>
      </c>
      <c r="E13124" s="2" t="s">
        <v>34097</v>
      </c>
      <c r="F13124" s="2" t="s">
        <v>52015</v>
      </c>
      <c r="G13124" s="2" t="str">
        <f>"SR-18583"</f>
        <v>SR-18583</v>
      </c>
      <c r="H13124" s="2" t="s">
        <v>52016</v>
      </c>
      <c r="I13124" s="2" t="s">
        <v>52017</v>
      </c>
      <c r="K13124" s="2" t="s">
        <v>809</v>
      </c>
      <c r="L13124" s="2" t="s">
        <v>157</v>
      </c>
      <c r="M13124" s="2">
        <v>80921.0</v>
      </c>
      <c r="N13124" s="2" t="s">
        <v>21</v>
      </c>
    </row>
    <row r="13125" ht="15.75" customHeight="1">
      <c r="A13125" s="2">
        <v>2020.0</v>
      </c>
      <c r="B13125" s="2" t="s">
        <v>52018</v>
      </c>
      <c r="C13125" s="2" t="s">
        <v>52018</v>
      </c>
      <c r="D13125" s="2" t="str">
        <f>"8179333856"</f>
        <v>8179333856</v>
      </c>
      <c r="E13125" s="2" t="s">
        <v>1015</v>
      </c>
      <c r="F13125" s="2" t="s">
        <v>8378</v>
      </c>
      <c r="G13125" s="2" t="str">
        <f>"SR-18562"</f>
        <v>SR-18562</v>
      </c>
      <c r="H13125" s="2" t="s">
        <v>52019</v>
      </c>
      <c r="I13125" s="2" t="s">
        <v>52020</v>
      </c>
      <c r="K13125" s="2" t="s">
        <v>43735</v>
      </c>
      <c r="L13125" s="2" t="s">
        <v>208</v>
      </c>
      <c r="M13125" s="2">
        <v>32958.0</v>
      </c>
      <c r="N13125" s="2" t="s">
        <v>21</v>
      </c>
    </row>
    <row r="13126" ht="15.75" customHeight="1">
      <c r="A13126" s="2">
        <v>2020.0</v>
      </c>
      <c r="B13126" s="2" t="s">
        <v>25209</v>
      </c>
      <c r="C13126" s="2" t="s">
        <v>52021</v>
      </c>
      <c r="D13126" s="2" t="str">
        <f>"7013199255"</f>
        <v>7013199255</v>
      </c>
      <c r="E13126" s="2" t="s">
        <v>5736</v>
      </c>
      <c r="F13126" s="2" t="s">
        <v>4492</v>
      </c>
      <c r="G13126" s="2" t="str">
        <f>"SR-18584"</f>
        <v>SR-18584</v>
      </c>
      <c r="H13126" s="2" t="s">
        <v>52022</v>
      </c>
      <c r="I13126" s="2" t="s">
        <v>25213</v>
      </c>
      <c r="K13126" s="2" t="s">
        <v>4495</v>
      </c>
      <c r="L13126" s="2" t="s">
        <v>2534</v>
      </c>
      <c r="M13126" s="2">
        <v>58554.0</v>
      </c>
      <c r="N13126" s="2" t="s">
        <v>21</v>
      </c>
    </row>
    <row r="13127" ht="15.75" customHeight="1">
      <c r="A13127" s="2">
        <v>2020.0</v>
      </c>
      <c r="B13127" s="2" t="s">
        <v>52023</v>
      </c>
      <c r="D13127" s="2" t="str">
        <f>""</f>
        <v/>
      </c>
      <c r="E13127" s="2" t="s">
        <v>52024</v>
      </c>
      <c r="F13127" s="2" t="s">
        <v>52025</v>
      </c>
      <c r="G13127" s="2" t="str">
        <f>"SR-17857"</f>
        <v>SR-17857</v>
      </c>
      <c r="H13127" s="2" t="s">
        <v>52026</v>
      </c>
      <c r="N13127" s="2" t="s">
        <v>21</v>
      </c>
    </row>
    <row r="13128" ht="15.75" customHeight="1">
      <c r="A13128" s="2">
        <v>2020.0</v>
      </c>
      <c r="B13128" s="2" t="s">
        <v>52027</v>
      </c>
      <c r="C13128" s="2" t="s">
        <v>52027</v>
      </c>
      <c r="D13128" s="2" t="str">
        <f>"760 965 6451"</f>
        <v>760 965 6451</v>
      </c>
      <c r="E13128" s="2" t="s">
        <v>52028</v>
      </c>
      <c r="F13128" s="2" t="s">
        <v>52029</v>
      </c>
      <c r="G13128" s="2" t="str">
        <f>"SR-18592"</f>
        <v>SR-18592</v>
      </c>
      <c r="H13128" s="2" t="s">
        <v>52030</v>
      </c>
      <c r="I13128" s="2" t="s">
        <v>52031</v>
      </c>
      <c r="J13128" s="2" t="s">
        <v>52032</v>
      </c>
      <c r="K13128" s="2" t="s">
        <v>52033</v>
      </c>
      <c r="L13128" s="2" t="s">
        <v>222</v>
      </c>
      <c r="M13128" s="2">
        <v>93546.0</v>
      </c>
      <c r="N13128" s="2" t="s">
        <v>21</v>
      </c>
    </row>
    <row r="13129" ht="15.75" customHeight="1">
      <c r="A13129" s="2">
        <v>2020.0</v>
      </c>
      <c r="B13129" s="2" t="s">
        <v>52034</v>
      </c>
      <c r="C13129" s="2" t="s">
        <v>52035</v>
      </c>
      <c r="D13129" s="2" t="str">
        <f>"(319)899-6083"</f>
        <v>(319)899-6083</v>
      </c>
      <c r="E13129" s="2" t="s">
        <v>217</v>
      </c>
      <c r="F13129" s="2" t="s">
        <v>33649</v>
      </c>
      <c r="G13129" s="2" t="str">
        <f>"SR-18593"</f>
        <v>SR-18593</v>
      </c>
      <c r="H13129" s="2" t="s">
        <v>52036</v>
      </c>
      <c r="I13129" s="2" t="s">
        <v>52037</v>
      </c>
      <c r="K13129" s="2" t="s">
        <v>3273</v>
      </c>
      <c r="L13129" s="2" t="s">
        <v>560</v>
      </c>
      <c r="M13129" s="2">
        <v>52402.0</v>
      </c>
      <c r="N13129" s="2" t="s">
        <v>21</v>
      </c>
    </row>
    <row r="13130" ht="15.75" customHeight="1">
      <c r="A13130" s="2">
        <v>2020.0</v>
      </c>
      <c r="B13130" s="2" t="s">
        <v>52038</v>
      </c>
      <c r="C13130" s="2" t="s">
        <v>52038</v>
      </c>
      <c r="D13130" s="2" t="str">
        <f>"7173144981"</f>
        <v>7173144981</v>
      </c>
      <c r="E13130" s="2" t="s">
        <v>428</v>
      </c>
      <c r="F13130" s="2" t="s">
        <v>52039</v>
      </c>
      <c r="G13130" s="2" t="str">
        <f>"SR-18594"</f>
        <v>SR-18594</v>
      </c>
      <c r="H13130" s="2" t="s">
        <v>52040</v>
      </c>
      <c r="I13130" s="2" t="s">
        <v>52041</v>
      </c>
      <c r="K13130" s="2" t="s">
        <v>52042</v>
      </c>
      <c r="L13130" s="2" t="s">
        <v>179</v>
      </c>
      <c r="M13130" s="2">
        <v>17529.0</v>
      </c>
      <c r="N13130" s="2" t="s">
        <v>21</v>
      </c>
    </row>
    <row r="13131" ht="15.75" customHeight="1">
      <c r="A13131" s="2">
        <v>2020.0</v>
      </c>
      <c r="B13131" s="2" t="s">
        <v>52043</v>
      </c>
      <c r="C13131" s="2" t="s">
        <v>52044</v>
      </c>
      <c r="D13131" s="2" t="str">
        <f>"630 506.3067"</f>
        <v>630 506.3067</v>
      </c>
      <c r="E13131" s="2" t="s">
        <v>4769</v>
      </c>
      <c r="F13131" s="2" t="s">
        <v>23908</v>
      </c>
      <c r="G13131" s="2" t="str">
        <f>"SR-18595"</f>
        <v>SR-18595</v>
      </c>
      <c r="H13131" s="2" t="s">
        <v>52045</v>
      </c>
      <c r="I13131" s="2" t="s">
        <v>52046</v>
      </c>
      <c r="K13131" s="2" t="s">
        <v>6248</v>
      </c>
      <c r="L13131" s="2" t="s">
        <v>105</v>
      </c>
      <c r="M13131" s="2">
        <v>60126.0</v>
      </c>
      <c r="N13131" s="2" t="s">
        <v>21</v>
      </c>
    </row>
    <row r="13132" ht="15.75" customHeight="1">
      <c r="A13132" s="2">
        <v>2020.0</v>
      </c>
      <c r="B13132" s="2" t="s">
        <v>52047</v>
      </c>
      <c r="C13132" s="2" t="s">
        <v>52048</v>
      </c>
      <c r="D13132" s="2" t="str">
        <f>"(406)850-8163"</f>
        <v>(406)850-8163</v>
      </c>
      <c r="E13132" s="2" t="s">
        <v>52049</v>
      </c>
      <c r="F13132" s="2" t="s">
        <v>11976</v>
      </c>
      <c r="G13132" s="2" t="str">
        <f>"SR-18596"</f>
        <v>SR-18596</v>
      </c>
      <c r="H13132" s="2" t="s">
        <v>52050</v>
      </c>
      <c r="I13132" s="2" t="s">
        <v>52051</v>
      </c>
      <c r="K13132" s="2" t="s">
        <v>5732</v>
      </c>
      <c r="L13132" s="2" t="s">
        <v>2696</v>
      </c>
      <c r="M13132" s="2">
        <v>59044.0</v>
      </c>
      <c r="N13132" s="2" t="s">
        <v>21</v>
      </c>
    </row>
    <row r="13133" ht="15.75" customHeight="1">
      <c r="A13133" s="2">
        <v>2020.0</v>
      </c>
      <c r="B13133" s="2" t="s">
        <v>52052</v>
      </c>
      <c r="C13133" s="2" t="s">
        <v>52053</v>
      </c>
      <c r="D13133" s="2" t="str">
        <f>"2085761377"</f>
        <v>2085761377</v>
      </c>
      <c r="E13133" s="2" t="s">
        <v>9828</v>
      </c>
      <c r="F13133" s="2" t="s">
        <v>52054</v>
      </c>
      <c r="G13133" s="2" t="str">
        <f>"SR-18597"</f>
        <v>SR-18597</v>
      </c>
      <c r="H13133" s="2" t="s">
        <v>52055</v>
      </c>
      <c r="I13133" s="2" t="s">
        <v>52056</v>
      </c>
      <c r="K13133" s="2" t="s">
        <v>52057</v>
      </c>
      <c r="L13133" s="2" t="s">
        <v>157</v>
      </c>
      <c r="M13133" s="2">
        <v>80126.0</v>
      </c>
      <c r="N13133" s="2" t="s">
        <v>21</v>
      </c>
    </row>
    <row r="13134" ht="15.75" customHeight="1">
      <c r="A13134" s="2">
        <v>2020.0</v>
      </c>
      <c r="B13134" s="2" t="s">
        <v>52058</v>
      </c>
      <c r="C13134" s="2" t="s">
        <v>52059</v>
      </c>
      <c r="D13134" s="2" t="str">
        <f>"(208)841-9716"</f>
        <v>(208)841-9716</v>
      </c>
      <c r="E13134" s="2" t="s">
        <v>4322</v>
      </c>
      <c r="F13134" s="2" t="s">
        <v>52060</v>
      </c>
      <c r="G13134" s="2" t="str">
        <f>"SR-18598"</f>
        <v>SR-18598</v>
      </c>
      <c r="H13134" s="2" t="s">
        <v>52061</v>
      </c>
      <c r="I13134" s="2" t="s">
        <v>52062</v>
      </c>
      <c r="K13134" s="2" t="s">
        <v>10823</v>
      </c>
      <c r="L13134" s="2" t="s">
        <v>2613</v>
      </c>
      <c r="M13134" s="2">
        <v>83709.0</v>
      </c>
      <c r="N13134" s="2" t="s">
        <v>21</v>
      </c>
    </row>
    <row r="13135" ht="15.75" customHeight="1">
      <c r="A13135" s="2">
        <v>2020.0</v>
      </c>
      <c r="B13135" s="2" t="s">
        <v>52063</v>
      </c>
      <c r="C13135" s="2" t="s">
        <v>52064</v>
      </c>
      <c r="D13135" s="2" t="str">
        <f>"3367824243"</f>
        <v>3367824243</v>
      </c>
      <c r="E13135" s="2" t="s">
        <v>225</v>
      </c>
      <c r="F13135" s="2" t="s">
        <v>13946</v>
      </c>
      <c r="G13135" s="2" t="str">
        <f>"SR-18599"</f>
        <v>SR-18599</v>
      </c>
      <c r="H13135" s="2" t="s">
        <v>52065</v>
      </c>
      <c r="I13135" s="2" t="s">
        <v>52066</v>
      </c>
      <c r="K13135" s="2" t="s">
        <v>25468</v>
      </c>
      <c r="L13135" s="2" t="s">
        <v>20</v>
      </c>
      <c r="M13135" s="2">
        <v>27284.0</v>
      </c>
      <c r="N13135" s="2" t="s">
        <v>21</v>
      </c>
    </row>
    <row r="13136" ht="15.75" customHeight="1">
      <c r="A13136" s="2">
        <v>2020.0</v>
      </c>
      <c r="B13136" s="2" t="s">
        <v>52067</v>
      </c>
      <c r="C13136" s="2" t="s">
        <v>52067</v>
      </c>
      <c r="D13136" s="2" t="str">
        <f>"208-513-4539"</f>
        <v>208-513-4539</v>
      </c>
      <c r="E13136" s="2" t="s">
        <v>984</v>
      </c>
      <c r="F13136" s="2" t="s">
        <v>52068</v>
      </c>
      <c r="G13136" s="2" t="str">
        <f>"SR-18600"</f>
        <v>SR-18600</v>
      </c>
      <c r="H13136" s="2" t="s">
        <v>52069</v>
      </c>
      <c r="I13136" s="2" t="s">
        <v>52070</v>
      </c>
      <c r="K13136" s="2" t="s">
        <v>20485</v>
      </c>
      <c r="L13136" s="2" t="s">
        <v>2613</v>
      </c>
      <c r="M13136" s="2">
        <v>83642.0</v>
      </c>
      <c r="N13136" s="2" t="s">
        <v>21</v>
      </c>
    </row>
    <row r="13137" ht="15.75" customHeight="1">
      <c r="A13137" s="2">
        <v>2020.0</v>
      </c>
      <c r="B13137" s="2" t="s">
        <v>52071</v>
      </c>
      <c r="C13137" s="2" t="s">
        <v>52072</v>
      </c>
      <c r="D13137" s="2" t="str">
        <f>"406-531-4740"</f>
        <v>406-531-4740</v>
      </c>
      <c r="E13137" s="2" t="s">
        <v>23077</v>
      </c>
      <c r="F13137" s="2" t="s">
        <v>52073</v>
      </c>
      <c r="G13137" s="2" t="str">
        <f>"SR-15789"</f>
        <v>SR-15789</v>
      </c>
      <c r="H13137" s="2" t="s">
        <v>52074</v>
      </c>
      <c r="I13137" s="2" t="s">
        <v>52075</v>
      </c>
      <c r="K13137" s="2" t="s">
        <v>4120</v>
      </c>
      <c r="L13137" s="2" t="s">
        <v>2696</v>
      </c>
      <c r="M13137" s="2">
        <v>59840.0</v>
      </c>
      <c r="N13137" s="2" t="s">
        <v>21</v>
      </c>
    </row>
    <row r="13138" ht="15.75" customHeight="1">
      <c r="A13138" s="2">
        <v>2020.0</v>
      </c>
      <c r="B13138" s="2" t="s">
        <v>52071</v>
      </c>
      <c r="C13138" s="2" t="s">
        <v>52076</v>
      </c>
      <c r="D13138" s="2" t="str">
        <f>"406-531-3572"</f>
        <v>406-531-3572</v>
      </c>
      <c r="E13138" s="2" t="s">
        <v>2243</v>
      </c>
      <c r="F13138" s="2" t="s">
        <v>52073</v>
      </c>
      <c r="G13138" s="2" t="str">
        <f>"SR-18602"</f>
        <v>SR-18602</v>
      </c>
      <c r="H13138" s="2" t="s">
        <v>52077</v>
      </c>
      <c r="I13138" s="2" t="s">
        <v>52075</v>
      </c>
      <c r="K13138" s="2" t="s">
        <v>4120</v>
      </c>
      <c r="L13138" s="2" t="s">
        <v>2696</v>
      </c>
      <c r="M13138" s="2">
        <v>59840.0</v>
      </c>
      <c r="N13138" s="2" t="s">
        <v>21</v>
      </c>
    </row>
    <row r="13139" ht="15.75" customHeight="1">
      <c r="A13139" s="2">
        <v>2020.0</v>
      </c>
      <c r="B13139" s="2" t="s">
        <v>52078</v>
      </c>
      <c r="C13139" s="2" t="s">
        <v>52079</v>
      </c>
      <c r="D13139" s="2" t="str">
        <f>"760-500-5594"</f>
        <v>760-500-5594</v>
      </c>
      <c r="E13139" s="2" t="s">
        <v>38052</v>
      </c>
      <c r="F13139" s="2" t="s">
        <v>21049</v>
      </c>
      <c r="G13139" s="2" t="str">
        <f>"SR-18430"</f>
        <v>SR-18430</v>
      </c>
      <c r="H13139" s="2" t="s">
        <v>52080</v>
      </c>
      <c r="I13139" s="2" t="s">
        <v>52081</v>
      </c>
      <c r="K13139" s="2" t="s">
        <v>14981</v>
      </c>
      <c r="L13139" s="2" t="s">
        <v>222</v>
      </c>
      <c r="M13139" s="2">
        <v>92083.0</v>
      </c>
      <c r="N13139" s="2" t="s">
        <v>21</v>
      </c>
    </row>
    <row r="13140" ht="15.75" customHeight="1">
      <c r="A13140" s="2">
        <v>2020.0</v>
      </c>
      <c r="B13140" s="2" t="s">
        <v>52082</v>
      </c>
      <c r="C13140" s="2" t="s">
        <v>52082</v>
      </c>
      <c r="D13140" s="2" t="str">
        <f>"9496728281"</f>
        <v>9496728281</v>
      </c>
      <c r="E13140" s="2" t="s">
        <v>3778</v>
      </c>
      <c r="F13140" s="2" t="s">
        <v>52083</v>
      </c>
      <c r="G13140" s="2" t="str">
        <f>"SR-18532"</f>
        <v>SR-18532</v>
      </c>
      <c r="H13140" s="2" t="s">
        <v>52084</v>
      </c>
      <c r="I13140" s="2" t="s">
        <v>52085</v>
      </c>
      <c r="K13140" s="2" t="s">
        <v>16116</v>
      </c>
      <c r="L13140" s="2" t="s">
        <v>222</v>
      </c>
      <c r="M13140" s="2">
        <v>92630.0</v>
      </c>
      <c r="N13140" s="2" t="s">
        <v>21</v>
      </c>
    </row>
    <row r="13141" ht="15.75" customHeight="1">
      <c r="A13141" s="2">
        <v>2020.0</v>
      </c>
      <c r="B13141" s="2" t="s">
        <v>34849</v>
      </c>
      <c r="C13141" s="2" t="s">
        <v>40809</v>
      </c>
      <c r="D13141" s="2" t="str">
        <f>"7208794733"</f>
        <v>7208794733</v>
      </c>
      <c r="E13141" s="2" t="s">
        <v>40810</v>
      </c>
      <c r="F13141" s="2" t="s">
        <v>17913</v>
      </c>
      <c r="G13141" s="2" t="str">
        <f>"SR-13951"</f>
        <v>SR-13951</v>
      </c>
      <c r="H13141" s="2" t="s">
        <v>40811</v>
      </c>
      <c r="I13141" s="2" t="s">
        <v>40812</v>
      </c>
      <c r="K13141" s="2" t="s">
        <v>7578</v>
      </c>
      <c r="L13141" s="2" t="s">
        <v>157</v>
      </c>
      <c r="M13141" s="2">
        <v>80118.0</v>
      </c>
      <c r="N13141" s="2" t="s">
        <v>21</v>
      </c>
    </row>
    <row r="13142" ht="15.75" customHeight="1">
      <c r="A13142" s="2">
        <v>2020.0</v>
      </c>
      <c r="B13142" s="2" t="s">
        <v>52086</v>
      </c>
      <c r="C13142" s="2" t="s">
        <v>52087</v>
      </c>
      <c r="D13142" s="2" t="str">
        <f>"85295079343"</f>
        <v>85295079343</v>
      </c>
      <c r="E13142" s="2" t="s">
        <v>705</v>
      </c>
      <c r="F13142" s="2" t="s">
        <v>5321</v>
      </c>
      <c r="G13142" s="2" t="str">
        <f>"SR-18540"</f>
        <v>SR-18540</v>
      </c>
      <c r="H13142" s="2" t="s">
        <v>52088</v>
      </c>
      <c r="I13142" s="2" t="s">
        <v>52089</v>
      </c>
      <c r="K13142" s="2" t="s">
        <v>52090</v>
      </c>
      <c r="L13142" s="2" t="s">
        <v>52091</v>
      </c>
      <c r="N13142" s="2" t="s">
        <v>19761</v>
      </c>
    </row>
    <row r="13143" ht="15.75" customHeight="1">
      <c r="A13143" s="2">
        <v>2020.0</v>
      </c>
      <c r="B13143" s="2" t="s">
        <v>52092</v>
      </c>
      <c r="C13143" s="2" t="s">
        <v>51700</v>
      </c>
      <c r="D13143" s="2" t="str">
        <f>"5034319987"</f>
        <v>5034319987</v>
      </c>
      <c r="E13143" s="2" t="s">
        <v>51701</v>
      </c>
      <c r="F13143" s="2" t="s">
        <v>42702</v>
      </c>
      <c r="G13143" s="2" t="str">
        <f>"SR-18609"</f>
        <v>SR-18609</v>
      </c>
      <c r="H13143" s="2" t="s">
        <v>51702</v>
      </c>
      <c r="I13143" s="2" t="s">
        <v>52093</v>
      </c>
      <c r="K13143" s="2" t="s">
        <v>788</v>
      </c>
      <c r="L13143" s="2" t="s">
        <v>2389</v>
      </c>
      <c r="M13143" s="2">
        <v>97123.0</v>
      </c>
      <c r="N13143" s="2" t="s">
        <v>21</v>
      </c>
    </row>
    <row r="13144" ht="15.75" customHeight="1">
      <c r="A13144" s="2">
        <v>2020.0</v>
      </c>
      <c r="B13144" s="2" t="s">
        <v>33338</v>
      </c>
      <c r="C13144" s="2" t="s">
        <v>33338</v>
      </c>
      <c r="D13144" s="2" t="str">
        <f>"9413769152"</f>
        <v>9413769152</v>
      </c>
      <c r="E13144" s="2" t="s">
        <v>1548</v>
      </c>
      <c r="F13144" s="2" t="s">
        <v>33339</v>
      </c>
      <c r="G13144" s="2" t="str">
        <f>"SR-10871"</f>
        <v>SR-10871</v>
      </c>
      <c r="H13144" s="2" t="s">
        <v>33340</v>
      </c>
      <c r="I13144" s="2" t="s">
        <v>33341</v>
      </c>
      <c r="K13144" s="2" t="s">
        <v>33342</v>
      </c>
      <c r="L13144" s="2" t="s">
        <v>200</v>
      </c>
      <c r="M13144" s="2">
        <v>31093.0</v>
      </c>
      <c r="N13144" s="2" t="s">
        <v>21</v>
      </c>
    </row>
    <row r="13145" ht="15.75" customHeight="1">
      <c r="A13145" s="2">
        <v>2020.0</v>
      </c>
      <c r="B13145" s="2" t="s">
        <v>39880</v>
      </c>
      <c r="C13145" s="2" t="s">
        <v>39880</v>
      </c>
      <c r="D13145" s="2" t="str">
        <f t="shared" ref="D13145:D13146" si="220">"740-369-5475"</f>
        <v>740-369-5475</v>
      </c>
      <c r="E13145" s="2" t="s">
        <v>1548</v>
      </c>
      <c r="F13145" s="2" t="s">
        <v>30837</v>
      </c>
      <c r="G13145" s="2" t="str">
        <f>"SR-18606"</f>
        <v>SR-18606</v>
      </c>
      <c r="H13145" s="2" t="s">
        <v>39881</v>
      </c>
      <c r="I13145" s="2" t="s">
        <v>52094</v>
      </c>
      <c r="K13145" s="2" t="s">
        <v>10756</v>
      </c>
      <c r="L13145" s="2" t="s">
        <v>344</v>
      </c>
      <c r="M13145" s="2">
        <v>43015.0</v>
      </c>
      <c r="N13145" s="2" t="s">
        <v>21</v>
      </c>
    </row>
    <row r="13146" ht="15.75" customHeight="1">
      <c r="A13146" s="2">
        <v>2020.0</v>
      </c>
      <c r="B13146" s="2" t="s">
        <v>52095</v>
      </c>
      <c r="C13146" s="2" t="s">
        <v>52095</v>
      </c>
      <c r="D13146" s="2" t="str">
        <f t="shared" si="220"/>
        <v>740-369-5475</v>
      </c>
      <c r="E13146" s="2" t="s">
        <v>225</v>
      </c>
      <c r="F13146" s="2" t="s">
        <v>30837</v>
      </c>
      <c r="G13146" s="2" t="str">
        <f>"SR-18607"</f>
        <v>SR-18607</v>
      </c>
      <c r="H13146" s="2" t="s">
        <v>39800</v>
      </c>
      <c r="I13146" s="2" t="s">
        <v>39801</v>
      </c>
      <c r="K13146" s="2" t="s">
        <v>10756</v>
      </c>
      <c r="L13146" s="2" t="s">
        <v>344</v>
      </c>
      <c r="M13146" s="2">
        <v>43015.0</v>
      </c>
      <c r="N13146" s="2" t="s">
        <v>21</v>
      </c>
    </row>
    <row r="13147" ht="15.75" customHeight="1">
      <c r="A13147" s="2">
        <v>2020.0</v>
      </c>
      <c r="B13147" s="2" t="s">
        <v>39849</v>
      </c>
      <c r="C13147" s="2" t="s">
        <v>39849</v>
      </c>
      <c r="D13147" s="2" t="str">
        <f>"740-957-4730"</f>
        <v>740-957-4730</v>
      </c>
      <c r="E13147" s="2" t="s">
        <v>485</v>
      </c>
      <c r="F13147" s="2" t="s">
        <v>30837</v>
      </c>
      <c r="G13147" s="2" t="str">
        <f>"SR-18608"</f>
        <v>SR-18608</v>
      </c>
      <c r="H13147" s="2" t="s">
        <v>39850</v>
      </c>
      <c r="I13147" s="2" t="s">
        <v>30839</v>
      </c>
      <c r="K13147" s="2" t="s">
        <v>10756</v>
      </c>
      <c r="L13147" s="2" t="s">
        <v>344</v>
      </c>
      <c r="M13147" s="2">
        <v>43015.0</v>
      </c>
      <c r="N13147" s="2" t="s">
        <v>21</v>
      </c>
    </row>
    <row r="13148" ht="15.75" customHeight="1">
      <c r="A13148" s="2">
        <v>2020.0</v>
      </c>
      <c r="B13148" s="2" t="s">
        <v>52096</v>
      </c>
      <c r="C13148" s="2" t="s">
        <v>52097</v>
      </c>
      <c r="D13148" s="2" t="str">
        <f>"9413562487"</f>
        <v>9413562487</v>
      </c>
      <c r="E13148" s="2" t="s">
        <v>373</v>
      </c>
      <c r="F13148" s="2" t="s">
        <v>52098</v>
      </c>
      <c r="G13148" s="2" t="str">
        <f>"SR-18615"</f>
        <v>SR-18615</v>
      </c>
      <c r="H13148" s="2" t="s">
        <v>52099</v>
      </c>
      <c r="I13148" s="2" t="s">
        <v>52100</v>
      </c>
      <c r="K13148" s="2" t="s">
        <v>207</v>
      </c>
      <c r="L13148" s="2" t="s">
        <v>208</v>
      </c>
      <c r="M13148" s="2">
        <v>34232.0</v>
      </c>
      <c r="N13148" s="2" t="s">
        <v>21</v>
      </c>
    </row>
    <row r="13149" ht="15.75" customHeight="1">
      <c r="A13149" s="2">
        <v>2020.0</v>
      </c>
      <c r="B13149" s="2" t="s">
        <v>48140</v>
      </c>
      <c r="D13149" s="2" t="str">
        <f>""</f>
        <v/>
      </c>
      <c r="E13149" s="2" t="s">
        <v>65</v>
      </c>
      <c r="F13149" s="2" t="s">
        <v>48143</v>
      </c>
      <c r="G13149" s="2" t="str">
        <f>"SR-18113"</f>
        <v>SR-18113</v>
      </c>
      <c r="H13149" s="2" t="s">
        <v>52101</v>
      </c>
      <c r="N13149" s="2" t="s">
        <v>21</v>
      </c>
    </row>
    <row r="13150" ht="15.75" customHeight="1">
      <c r="A13150" s="2">
        <v>2020.0</v>
      </c>
      <c r="B13150" s="2" t="s">
        <v>52102</v>
      </c>
      <c r="C13150" s="2" t="s">
        <v>52102</v>
      </c>
      <c r="D13150" s="2" t="str">
        <f>"9138086414"</f>
        <v>9138086414</v>
      </c>
      <c r="E13150" s="2" t="s">
        <v>2361</v>
      </c>
      <c r="F13150" s="2" t="s">
        <v>9975</v>
      </c>
      <c r="G13150" s="2" t="str">
        <f>"SR-18604"</f>
        <v>SR-18604</v>
      </c>
      <c r="H13150" s="2" t="s">
        <v>52103</v>
      </c>
      <c r="I13150" s="2" t="s">
        <v>52104</v>
      </c>
      <c r="K13150" s="2" t="s">
        <v>1067</v>
      </c>
      <c r="L13150" s="2" t="s">
        <v>272</v>
      </c>
      <c r="M13150" s="2">
        <v>66062.0</v>
      </c>
      <c r="N13150" s="2" t="s">
        <v>21</v>
      </c>
    </row>
    <row r="13151" ht="15.75" customHeight="1">
      <c r="A13151" s="2">
        <v>2020.0</v>
      </c>
      <c r="B13151" s="2" t="s">
        <v>52105</v>
      </c>
      <c r="C13151" s="2" t="s">
        <v>52106</v>
      </c>
      <c r="D13151" s="2" t="str">
        <f>"7634799098"</f>
        <v>7634799098</v>
      </c>
      <c r="E13151" s="2" t="s">
        <v>52107</v>
      </c>
      <c r="F13151" s="2" t="s">
        <v>4776</v>
      </c>
      <c r="G13151" s="2" t="str">
        <f>"SR-18617"</f>
        <v>SR-18617</v>
      </c>
      <c r="H13151" s="2" t="s">
        <v>52108</v>
      </c>
      <c r="I13151" s="2" t="s">
        <v>52109</v>
      </c>
      <c r="K13151" s="2" t="s">
        <v>382</v>
      </c>
      <c r="L13151" s="2" t="s">
        <v>62</v>
      </c>
      <c r="M13151" s="2">
        <v>55373.0</v>
      </c>
      <c r="N13151" s="2" t="s">
        <v>21</v>
      </c>
    </row>
    <row r="13152" ht="15.75" customHeight="1">
      <c r="A13152" s="2">
        <v>2020.0</v>
      </c>
      <c r="B13152" s="2" t="s">
        <v>52110</v>
      </c>
      <c r="C13152" s="2" t="s">
        <v>52110</v>
      </c>
      <c r="D13152" s="2" t="str">
        <f>"317-3401"</f>
        <v>317-3401</v>
      </c>
      <c r="E13152" s="2" t="s">
        <v>843</v>
      </c>
      <c r="F13152" s="2" t="s">
        <v>7102</v>
      </c>
      <c r="G13152" s="2" t="str">
        <f>"SR-18522"</f>
        <v>SR-18522</v>
      </c>
      <c r="H13152" s="2" t="s">
        <v>52111</v>
      </c>
      <c r="I13152" s="2" t="s">
        <v>52112</v>
      </c>
      <c r="K13152" s="2" t="s">
        <v>9717</v>
      </c>
      <c r="L13152" s="2" t="s">
        <v>2696</v>
      </c>
      <c r="M13152" s="2">
        <v>59870.0</v>
      </c>
      <c r="N13152" s="2" t="s">
        <v>21</v>
      </c>
    </row>
    <row r="13153" ht="15.75" customHeight="1">
      <c r="A13153" s="2">
        <v>2020.0</v>
      </c>
      <c r="B13153" s="2" t="s">
        <v>52113</v>
      </c>
      <c r="C13153" s="2" t="s">
        <v>52113</v>
      </c>
      <c r="D13153" s="2" t="str">
        <f>"8649096765"</f>
        <v>8649096765</v>
      </c>
      <c r="E13153" s="2" t="s">
        <v>492</v>
      </c>
      <c r="F13153" s="2" t="s">
        <v>386</v>
      </c>
      <c r="G13153" s="2" t="str">
        <f>"SR-18192"</f>
        <v>SR-18192</v>
      </c>
      <c r="H13153" s="2" t="s">
        <v>52114</v>
      </c>
      <c r="I13153" s="2" t="s">
        <v>52115</v>
      </c>
      <c r="K13153" s="2" t="s">
        <v>2711</v>
      </c>
      <c r="L13153" s="2" t="s">
        <v>55</v>
      </c>
      <c r="M13153" s="2">
        <v>29678.0</v>
      </c>
      <c r="N13153" s="2" t="s">
        <v>21</v>
      </c>
    </row>
    <row r="13154" ht="15.75" customHeight="1">
      <c r="A13154" s="2">
        <v>2020.0</v>
      </c>
      <c r="B13154" s="2" t="s">
        <v>52116</v>
      </c>
      <c r="C13154" s="2" t="s">
        <v>52116</v>
      </c>
      <c r="D13154" s="2" t="str">
        <f>"804-815-8138"</f>
        <v>804-815-8138</v>
      </c>
      <c r="E13154" s="2" t="s">
        <v>485</v>
      </c>
      <c r="F13154" s="2" t="s">
        <v>1054</v>
      </c>
      <c r="G13154" s="2" t="str">
        <f>"SR-18625"</f>
        <v>SR-18625</v>
      </c>
      <c r="H13154" s="2" t="s">
        <v>52117</v>
      </c>
      <c r="I13154" s="2" t="s">
        <v>52118</v>
      </c>
      <c r="K13154" s="2" t="s">
        <v>52119</v>
      </c>
      <c r="L13154" s="2" t="s">
        <v>165</v>
      </c>
      <c r="M13154" s="2">
        <v>23061.0</v>
      </c>
      <c r="N13154" s="2" t="s">
        <v>21</v>
      </c>
    </row>
    <row r="13155" ht="15.75" customHeight="1">
      <c r="A13155" s="2">
        <v>2020.0</v>
      </c>
      <c r="B13155" s="2" t="s">
        <v>47497</v>
      </c>
      <c r="C13155" s="2" t="s">
        <v>52120</v>
      </c>
      <c r="D13155" s="2" t="str">
        <f>"7196843623"</f>
        <v>7196843623</v>
      </c>
      <c r="E13155" s="2" t="s">
        <v>52121</v>
      </c>
      <c r="F13155" s="2" t="s">
        <v>52122</v>
      </c>
      <c r="G13155" s="2" t="str">
        <f>"SR-18622"</f>
        <v>SR-18622</v>
      </c>
      <c r="H13155" s="2" t="s">
        <v>52123</v>
      </c>
      <c r="I13155" s="2" t="s">
        <v>52124</v>
      </c>
      <c r="K13155" s="2" t="s">
        <v>21476</v>
      </c>
      <c r="L13155" s="2" t="s">
        <v>157</v>
      </c>
      <c r="M13155" s="2">
        <v>80701.0</v>
      </c>
      <c r="N13155" s="2" t="s">
        <v>21</v>
      </c>
    </row>
    <row r="13156" ht="15.75" customHeight="1">
      <c r="A13156" s="2">
        <v>2020.0</v>
      </c>
      <c r="B13156" s="2" t="s">
        <v>35814</v>
      </c>
      <c r="C13156" s="2" t="s">
        <v>35814</v>
      </c>
      <c r="D13156" s="2" t="str">
        <f>"773-850-9684"</f>
        <v>773-850-9684</v>
      </c>
      <c r="E13156" s="2" t="s">
        <v>4300</v>
      </c>
      <c r="F13156" s="2" t="s">
        <v>529</v>
      </c>
      <c r="G13156" s="2" t="str">
        <f>"SR-11533"</f>
        <v>SR-11533</v>
      </c>
      <c r="H13156" s="2" t="s">
        <v>35815</v>
      </c>
      <c r="I13156" s="2" t="s">
        <v>35816</v>
      </c>
      <c r="K13156" s="2" t="s">
        <v>18221</v>
      </c>
      <c r="L13156" s="2" t="s">
        <v>105</v>
      </c>
      <c r="M13156" s="2">
        <v>60645.0</v>
      </c>
      <c r="N13156" s="2" t="s">
        <v>21</v>
      </c>
    </row>
    <row r="13157" ht="15.75" customHeight="1">
      <c r="A13157" s="2">
        <v>2020.0</v>
      </c>
      <c r="B13157" s="2" t="s">
        <v>52125</v>
      </c>
      <c r="C13157" s="2" t="s">
        <v>52126</v>
      </c>
      <c r="D13157" s="2" t="str">
        <f>"303-859-8141"</f>
        <v>303-859-8141</v>
      </c>
      <c r="E13157" s="2" t="s">
        <v>1094</v>
      </c>
      <c r="F13157" s="2" t="s">
        <v>52127</v>
      </c>
      <c r="G13157" s="2" t="str">
        <f>"SR-18627"</f>
        <v>SR-18627</v>
      </c>
      <c r="H13157" s="2" t="s">
        <v>52128</v>
      </c>
      <c r="I13157" s="2" t="s">
        <v>52129</v>
      </c>
      <c r="K13157" s="2" t="s">
        <v>6514</v>
      </c>
      <c r="L13157" s="2" t="s">
        <v>157</v>
      </c>
      <c r="M13157" s="2">
        <v>80227.0</v>
      </c>
      <c r="N13157" s="2" t="s">
        <v>21</v>
      </c>
    </row>
    <row r="13158" ht="15.75" customHeight="1">
      <c r="A13158" s="2">
        <v>2020.0</v>
      </c>
      <c r="B13158" s="2" t="s">
        <v>11136</v>
      </c>
      <c r="C13158" s="2" t="s">
        <v>52130</v>
      </c>
      <c r="D13158" s="2" t="str">
        <f>"7204085715"</f>
        <v>7204085715</v>
      </c>
      <c r="E13158" s="2" t="s">
        <v>8195</v>
      </c>
      <c r="F13158" s="2" t="s">
        <v>11138</v>
      </c>
      <c r="G13158" s="2" t="str">
        <f>"SR-18626"</f>
        <v>SR-18626</v>
      </c>
      <c r="H13158" s="2" t="s">
        <v>52131</v>
      </c>
      <c r="I13158" s="2" t="s">
        <v>11140</v>
      </c>
      <c r="K13158" s="2" t="s">
        <v>6514</v>
      </c>
      <c r="L13158" s="2" t="s">
        <v>157</v>
      </c>
      <c r="M13158" s="2">
        <v>80227.0</v>
      </c>
      <c r="N13158" s="2" t="s">
        <v>21</v>
      </c>
    </row>
    <row r="13159" ht="15.75" customHeight="1">
      <c r="A13159" s="2">
        <v>2020.0</v>
      </c>
      <c r="B13159" s="2" t="s">
        <v>52132</v>
      </c>
      <c r="C13159" s="2" t="s">
        <v>52132</v>
      </c>
      <c r="D13159" s="2" t="str">
        <f>"920-323-8209"</f>
        <v>920-323-8209</v>
      </c>
      <c r="E13159" s="2" t="s">
        <v>39039</v>
      </c>
      <c r="F13159" s="2" t="s">
        <v>33827</v>
      </c>
      <c r="G13159" s="2" t="str">
        <f>"SR-18628"</f>
        <v>SR-18628</v>
      </c>
      <c r="H13159" s="2" t="s">
        <v>52133</v>
      </c>
      <c r="I13159" s="2" t="s">
        <v>52134</v>
      </c>
      <c r="K13159" s="2" t="s">
        <v>52135</v>
      </c>
      <c r="L13159" s="2" t="s">
        <v>193</v>
      </c>
      <c r="M13159" s="2">
        <v>54220.0</v>
      </c>
      <c r="N13159" s="2" t="s">
        <v>21</v>
      </c>
    </row>
    <row r="13160" ht="15.75" customHeight="1">
      <c r="A13160" s="2">
        <v>2020.0</v>
      </c>
      <c r="B13160" s="2" t="s">
        <v>11136</v>
      </c>
      <c r="C13160" s="2" t="s">
        <v>52136</v>
      </c>
      <c r="D13160" s="2" t="str">
        <f>"9706280640"</f>
        <v>9706280640</v>
      </c>
      <c r="E13160" s="2" t="s">
        <v>17011</v>
      </c>
      <c r="F13160" s="2" t="s">
        <v>11138</v>
      </c>
      <c r="G13160" s="2" t="str">
        <f>"SR-18629"</f>
        <v>SR-18629</v>
      </c>
      <c r="H13160" s="2" t="s">
        <v>52137</v>
      </c>
      <c r="I13160" s="2" t="s">
        <v>11140</v>
      </c>
      <c r="K13160" s="2" t="s">
        <v>6514</v>
      </c>
      <c r="L13160" s="2" t="s">
        <v>157</v>
      </c>
      <c r="M13160" s="2">
        <v>80227.0</v>
      </c>
      <c r="N13160" s="2" t="s">
        <v>21</v>
      </c>
    </row>
    <row r="13161" ht="15.75" customHeight="1">
      <c r="A13161" s="2">
        <v>2020.0</v>
      </c>
      <c r="B13161" s="2" t="s">
        <v>45851</v>
      </c>
      <c r="C13161" s="2" t="s">
        <v>45852</v>
      </c>
      <c r="D13161" s="2" t="str">
        <f>"9073069383"</f>
        <v>9073069383</v>
      </c>
      <c r="E13161" s="2" t="s">
        <v>18277</v>
      </c>
      <c r="F13161" s="2" t="s">
        <v>5051</v>
      </c>
      <c r="G13161" s="2" t="str">
        <f>"SR-16093"</f>
        <v>SR-16093</v>
      </c>
      <c r="H13161" s="2" t="s">
        <v>45853</v>
      </c>
      <c r="I13161" s="2" t="s">
        <v>45854</v>
      </c>
      <c r="K13161" s="2" t="s">
        <v>1729</v>
      </c>
      <c r="L13161" s="2" t="s">
        <v>70</v>
      </c>
      <c r="M13161" s="2">
        <v>99577.0</v>
      </c>
      <c r="N13161" s="2" t="s">
        <v>21</v>
      </c>
    </row>
    <row r="13162" ht="15.75" customHeight="1">
      <c r="A13162" s="2">
        <v>2020.0</v>
      </c>
      <c r="B13162" s="2" t="s">
        <v>52138</v>
      </c>
      <c r="C13162" s="2" t="s">
        <v>52138</v>
      </c>
      <c r="D13162" s="2" t="str">
        <f>"7015951072"</f>
        <v>7015951072</v>
      </c>
      <c r="E13162" s="2" t="s">
        <v>733</v>
      </c>
      <c r="F13162" s="2" t="s">
        <v>34077</v>
      </c>
      <c r="G13162" s="2" t="str">
        <f>"SR-18588"</f>
        <v>SR-18588</v>
      </c>
      <c r="H13162" s="2" t="s">
        <v>52139</v>
      </c>
      <c r="I13162" s="2" t="s">
        <v>52140</v>
      </c>
      <c r="K13162" s="2" t="s">
        <v>32787</v>
      </c>
      <c r="L13162" s="2" t="s">
        <v>2534</v>
      </c>
      <c r="M13162" s="2">
        <v>58521.0</v>
      </c>
      <c r="N13162" s="2" t="s">
        <v>21</v>
      </c>
    </row>
    <row r="13163" ht="15.75" customHeight="1">
      <c r="A13163" s="2">
        <v>2020.0</v>
      </c>
      <c r="B13163" s="2" t="s">
        <v>52141</v>
      </c>
      <c r="C13163" s="2" t="s">
        <v>52141</v>
      </c>
      <c r="D13163" s="2" t="str">
        <f>"7203453650"</f>
        <v>7203453650</v>
      </c>
      <c r="E13163" s="2" t="s">
        <v>584</v>
      </c>
      <c r="F13163" s="2" t="s">
        <v>44952</v>
      </c>
      <c r="G13163" s="2" t="str">
        <f>"SR-18632"</f>
        <v>SR-18632</v>
      </c>
      <c r="H13163" s="2" t="s">
        <v>52142</v>
      </c>
      <c r="I13163" s="2" t="s">
        <v>52143</v>
      </c>
      <c r="K13163" s="2" t="s">
        <v>6915</v>
      </c>
      <c r="L13163" s="2" t="s">
        <v>157</v>
      </c>
      <c r="M13163" s="2">
        <v>80021.0</v>
      </c>
      <c r="N13163" s="2" t="s">
        <v>21</v>
      </c>
    </row>
    <row r="13164" ht="15.75" customHeight="1">
      <c r="A13164" s="2">
        <v>2020.0</v>
      </c>
      <c r="B13164" s="2" t="s">
        <v>52144</v>
      </c>
      <c r="C13164" s="2" t="s">
        <v>52145</v>
      </c>
      <c r="D13164" s="2" t="str">
        <f>"6625491974"</f>
        <v>6625491974</v>
      </c>
      <c r="E13164" s="2" t="s">
        <v>6170</v>
      </c>
      <c r="F13164" s="2" t="s">
        <v>1151</v>
      </c>
      <c r="G13164" s="2" t="str">
        <f>"SR-18611"</f>
        <v>SR-18611</v>
      </c>
      <c r="H13164" s="2" t="s">
        <v>41274</v>
      </c>
      <c r="I13164" s="2" t="s">
        <v>52146</v>
      </c>
      <c r="K13164" s="2" t="s">
        <v>52147</v>
      </c>
      <c r="L13164" s="2" t="s">
        <v>1722</v>
      </c>
      <c r="M13164" s="2">
        <v>39755.0</v>
      </c>
      <c r="N13164" s="2" t="s">
        <v>21</v>
      </c>
    </row>
    <row r="13165" ht="15.75" customHeight="1">
      <c r="A13165" s="2">
        <v>2020.0</v>
      </c>
      <c r="B13165" s="2" t="s">
        <v>52148</v>
      </c>
      <c r="C13165" s="2" t="s">
        <v>52149</v>
      </c>
      <c r="D13165" s="2" t="str">
        <f>"5017775551"</f>
        <v>5017775551</v>
      </c>
      <c r="E13165" s="2" t="s">
        <v>1529</v>
      </c>
      <c r="F13165" s="2" t="s">
        <v>52150</v>
      </c>
      <c r="G13165" s="2" t="str">
        <f>"SR-18636"</f>
        <v>SR-18636</v>
      </c>
      <c r="H13165" s="2" t="s">
        <v>52151</v>
      </c>
      <c r="I13165" s="2" t="s">
        <v>52152</v>
      </c>
      <c r="K13165" s="2" t="s">
        <v>52153</v>
      </c>
      <c r="M13165" s="2">
        <v>50068.0</v>
      </c>
      <c r="N13165" s="2" t="s">
        <v>52154</v>
      </c>
    </row>
    <row r="13166" ht="15.75" customHeight="1">
      <c r="A13166" s="2">
        <v>2020.0</v>
      </c>
      <c r="B13166" s="2" t="s">
        <v>52155</v>
      </c>
      <c r="C13166" s="2" t="s">
        <v>52156</v>
      </c>
      <c r="D13166" s="2" t="str">
        <f>"6144838662"</f>
        <v>6144838662</v>
      </c>
      <c r="E13166" s="2" t="s">
        <v>1208</v>
      </c>
      <c r="F13166" s="2" t="s">
        <v>52157</v>
      </c>
      <c r="G13166" s="2" t="str">
        <f>"SR-17849"</f>
        <v>SR-17849</v>
      </c>
      <c r="H13166" s="2" t="s">
        <v>52158</v>
      </c>
      <c r="I13166" s="2" t="s">
        <v>52159</v>
      </c>
      <c r="K13166" s="2" t="s">
        <v>52160</v>
      </c>
      <c r="L13166" s="2" t="s">
        <v>344</v>
      </c>
      <c r="M13166" s="2">
        <v>43011.0</v>
      </c>
      <c r="N13166" s="2" t="s">
        <v>21</v>
      </c>
    </row>
    <row r="13167" ht="15.75" customHeight="1">
      <c r="A13167" s="2">
        <v>2020.0</v>
      </c>
      <c r="B13167" s="2" t="s">
        <v>52161</v>
      </c>
      <c r="C13167" s="2" t="s">
        <v>52162</v>
      </c>
      <c r="D13167" s="2" t="str">
        <f>"715-822-2717"</f>
        <v>715-822-2717</v>
      </c>
      <c r="E13167" s="2" t="s">
        <v>1288</v>
      </c>
      <c r="F13167" s="2" t="s">
        <v>6923</v>
      </c>
      <c r="G13167" s="2" t="str">
        <f>"SR-18618"</f>
        <v>SR-18618</v>
      </c>
      <c r="H13167" s="2" t="s">
        <v>52163</v>
      </c>
      <c r="I13167" s="2" t="s">
        <v>52164</v>
      </c>
      <c r="K13167" s="2" t="s">
        <v>9949</v>
      </c>
      <c r="L13167" s="2" t="s">
        <v>193</v>
      </c>
      <c r="M13167" s="2">
        <v>54829.0</v>
      </c>
      <c r="N13167" s="2" t="s">
        <v>21</v>
      </c>
    </row>
    <row r="13168" ht="15.75" customHeight="1">
      <c r="A13168" s="2">
        <v>2020.0</v>
      </c>
      <c r="B13168" s="2" t="s">
        <v>24078</v>
      </c>
      <c r="C13168" s="2" t="s">
        <v>52165</v>
      </c>
      <c r="D13168" s="2" t="str">
        <f>"5805839329"</f>
        <v>5805839329</v>
      </c>
      <c r="E13168" s="2" t="s">
        <v>27873</v>
      </c>
      <c r="F13168" s="2" t="s">
        <v>1209</v>
      </c>
      <c r="G13168" s="2" t="str">
        <f>"SR-18088"</f>
        <v>SR-18088</v>
      </c>
      <c r="H13168" s="2" t="s">
        <v>52166</v>
      </c>
      <c r="I13168" s="2" t="s">
        <v>24081</v>
      </c>
      <c r="K13168" s="2" t="s">
        <v>17344</v>
      </c>
      <c r="L13168" s="2" t="s">
        <v>840</v>
      </c>
      <c r="M13168" s="2">
        <v>73505.0</v>
      </c>
      <c r="N13168" s="2" t="s">
        <v>21</v>
      </c>
    </row>
    <row r="13169" ht="15.75" customHeight="1">
      <c r="A13169" s="2">
        <v>2020.0</v>
      </c>
      <c r="B13169" s="2" t="s">
        <v>52167</v>
      </c>
      <c r="C13169" s="2" t="s">
        <v>52167</v>
      </c>
      <c r="D13169" s="2" t="str">
        <f>"9034401244"</f>
        <v>9034401244</v>
      </c>
      <c r="E13169" s="2" t="s">
        <v>4224</v>
      </c>
      <c r="F13169" s="2" t="s">
        <v>22680</v>
      </c>
      <c r="G13169" s="2" t="str">
        <f>"SR-18590"</f>
        <v>SR-18590</v>
      </c>
      <c r="H13169" s="2" t="s">
        <v>52168</v>
      </c>
      <c r="I13169" s="2" t="s">
        <v>52169</v>
      </c>
      <c r="K13169" s="2" t="s">
        <v>52170</v>
      </c>
      <c r="L13169" s="2" t="s">
        <v>172</v>
      </c>
      <c r="M13169" s="2">
        <v>75482.0</v>
      </c>
      <c r="N13169" s="2" t="s">
        <v>21</v>
      </c>
    </row>
    <row r="13170" ht="15.75" customHeight="1">
      <c r="A13170" s="2">
        <v>2020.0</v>
      </c>
      <c r="B13170" s="2" t="s">
        <v>51221</v>
      </c>
      <c r="D13170" s="2" t="str">
        <f>""</f>
        <v/>
      </c>
      <c r="E13170" s="2" t="s">
        <v>52171</v>
      </c>
      <c r="F13170" s="2" t="s">
        <v>52172</v>
      </c>
      <c r="G13170" s="2" t="str">
        <f>"SR-18641"</f>
        <v>SR-18641</v>
      </c>
      <c r="H13170" s="2" t="s">
        <v>52173</v>
      </c>
      <c r="N13170" s="2" t="s">
        <v>21</v>
      </c>
    </row>
    <row r="13171" ht="15.75" customHeight="1">
      <c r="A13171" s="2">
        <v>2020.0</v>
      </c>
      <c r="B13171" s="2" t="s">
        <v>52174</v>
      </c>
      <c r="C13171" s="2" t="s">
        <v>52175</v>
      </c>
      <c r="D13171" s="2" t="str">
        <f>"2697693484"</f>
        <v>2697693484</v>
      </c>
      <c r="E13171" s="2" t="s">
        <v>100</v>
      </c>
      <c r="F13171" s="2" t="s">
        <v>36984</v>
      </c>
      <c r="G13171" s="2" t="str">
        <f>"SR-18643"</f>
        <v>SR-18643</v>
      </c>
      <c r="H13171" s="2" t="s">
        <v>52176</v>
      </c>
      <c r="I13171" s="2" t="s">
        <v>52177</v>
      </c>
      <c r="K13171" s="2" t="s">
        <v>1201</v>
      </c>
      <c r="L13171" s="2" t="s">
        <v>29</v>
      </c>
      <c r="M13171" s="2">
        <v>49085.0</v>
      </c>
      <c r="N13171" s="2" t="s">
        <v>21</v>
      </c>
    </row>
    <row r="13172" ht="15.75" customHeight="1">
      <c r="A13172" s="2">
        <v>2020.0</v>
      </c>
      <c r="B13172" s="2" t="s">
        <v>52178</v>
      </c>
      <c r="C13172" s="2" t="s">
        <v>52179</v>
      </c>
      <c r="D13172" s="2" t="str">
        <f>"4803923570"</f>
        <v>4803923570</v>
      </c>
      <c r="E13172" s="2" t="s">
        <v>4224</v>
      </c>
      <c r="F13172" s="2" t="s">
        <v>15094</v>
      </c>
      <c r="G13172" s="2" t="str">
        <f>"SR-17560"</f>
        <v>SR-17560</v>
      </c>
      <c r="H13172" s="2" t="s">
        <v>15095</v>
      </c>
      <c r="I13172" s="2" t="s">
        <v>52180</v>
      </c>
      <c r="J13172" s="2" t="s">
        <v>52181</v>
      </c>
      <c r="K13172" s="2" t="s">
        <v>2841</v>
      </c>
      <c r="L13172" s="2" t="s">
        <v>422</v>
      </c>
      <c r="M13172" s="2">
        <v>85226.0</v>
      </c>
      <c r="N13172" s="2" t="s">
        <v>21</v>
      </c>
    </row>
    <row r="13173" ht="15.75" customHeight="1">
      <c r="A13173" s="2">
        <v>2020.0</v>
      </c>
      <c r="B13173" s="2" t="s">
        <v>52182</v>
      </c>
      <c r="C13173" s="2" t="s">
        <v>52182</v>
      </c>
      <c r="D13173" s="2" t="str">
        <f>"979-777-0813"</f>
        <v>979-777-0813</v>
      </c>
      <c r="E13173" s="2" t="s">
        <v>25847</v>
      </c>
      <c r="F13173" s="2" t="s">
        <v>52183</v>
      </c>
      <c r="G13173" s="2" t="str">
        <f>"SR-18633"</f>
        <v>SR-18633</v>
      </c>
      <c r="H13173" s="2" t="s">
        <v>52184</v>
      </c>
      <c r="I13173" s="2" t="s">
        <v>52185</v>
      </c>
      <c r="K13173" s="2" t="s">
        <v>2969</v>
      </c>
      <c r="L13173" s="2" t="s">
        <v>172</v>
      </c>
      <c r="M13173" s="2">
        <v>76504.0</v>
      </c>
      <c r="N13173" s="2" t="s">
        <v>21</v>
      </c>
    </row>
    <row r="13174" ht="15.75" customHeight="1">
      <c r="A13174" s="2">
        <v>2020.0</v>
      </c>
      <c r="B13174" s="2" t="s">
        <v>52182</v>
      </c>
      <c r="C13174" s="2" t="s">
        <v>52186</v>
      </c>
      <c r="D13174" s="2" t="str">
        <f>"979-220-5330"</f>
        <v>979-220-5330</v>
      </c>
      <c r="E13174" s="2" t="s">
        <v>39213</v>
      </c>
      <c r="F13174" s="2" t="s">
        <v>52183</v>
      </c>
      <c r="G13174" s="2" t="str">
        <f>"SR-18646"</f>
        <v>SR-18646</v>
      </c>
      <c r="H13174" s="2" t="s">
        <v>52187</v>
      </c>
      <c r="I13174" s="2" t="s">
        <v>52188</v>
      </c>
      <c r="K13174" s="2" t="s">
        <v>17339</v>
      </c>
      <c r="L13174" s="2" t="s">
        <v>172</v>
      </c>
      <c r="M13174" s="2">
        <v>76504.0</v>
      </c>
      <c r="N13174" s="2" t="s">
        <v>21</v>
      </c>
    </row>
    <row r="13175" ht="15.75" customHeight="1">
      <c r="A13175" s="2">
        <v>2020.0</v>
      </c>
      <c r="B13175" s="2" t="s">
        <v>52189</v>
      </c>
      <c r="C13175" s="2" t="s">
        <v>52189</v>
      </c>
      <c r="D13175" s="2" t="str">
        <f>"6627942239"</f>
        <v>6627942239</v>
      </c>
      <c r="E13175" s="2" t="s">
        <v>7875</v>
      </c>
      <c r="F13175" s="2" t="s">
        <v>18706</v>
      </c>
      <c r="G13175" s="2" t="str">
        <f>"SR-18647"</f>
        <v>SR-18647</v>
      </c>
      <c r="H13175" s="2" t="s">
        <v>52190</v>
      </c>
      <c r="I13175" s="2" t="s">
        <v>52191</v>
      </c>
      <c r="K13175" s="2" t="s">
        <v>444</v>
      </c>
      <c r="L13175" s="2" t="s">
        <v>1722</v>
      </c>
      <c r="M13175" s="2">
        <v>38851.0</v>
      </c>
      <c r="N13175" s="2" t="s">
        <v>21</v>
      </c>
    </row>
    <row r="13176" ht="15.75" customHeight="1">
      <c r="A13176" s="2">
        <v>2020.0</v>
      </c>
      <c r="B13176" s="2" t="s">
        <v>52192</v>
      </c>
      <c r="C13176" s="2" t="s">
        <v>52193</v>
      </c>
      <c r="D13176" s="2" t="str">
        <f>"719-306-5774"</f>
        <v>719-306-5774</v>
      </c>
      <c r="E13176" s="2" t="s">
        <v>4401</v>
      </c>
      <c r="F13176" s="2" t="s">
        <v>1243</v>
      </c>
      <c r="G13176" s="2" t="str">
        <f>"SR-18648"</f>
        <v>SR-18648</v>
      </c>
      <c r="H13176" s="2" t="s">
        <v>52194</v>
      </c>
      <c r="I13176" s="2" t="s">
        <v>52195</v>
      </c>
      <c r="K13176" s="2" t="s">
        <v>809</v>
      </c>
      <c r="L13176" s="2" t="s">
        <v>157</v>
      </c>
      <c r="M13176" s="2">
        <v>80917.0</v>
      </c>
      <c r="N13176" s="2" t="s">
        <v>21</v>
      </c>
    </row>
    <row r="13177" ht="15.75" customHeight="1">
      <c r="A13177" s="2">
        <v>2020.0</v>
      </c>
      <c r="B13177" s="2" t="s">
        <v>52196</v>
      </c>
      <c r="C13177" s="2" t="s">
        <v>52197</v>
      </c>
      <c r="D13177" s="2" t="str">
        <f>"6413517108"</f>
        <v>6413517108</v>
      </c>
      <c r="E13177" s="2" t="s">
        <v>1548</v>
      </c>
      <c r="F13177" s="2" t="s">
        <v>52198</v>
      </c>
      <c r="G13177" s="2" t="str">
        <f>"SR-18654"</f>
        <v>SR-18654</v>
      </c>
      <c r="H13177" s="2" t="s">
        <v>52199</v>
      </c>
      <c r="I13177" s="2" t="s">
        <v>52200</v>
      </c>
      <c r="K13177" s="2" t="s">
        <v>4358</v>
      </c>
      <c r="L13177" s="2" t="s">
        <v>560</v>
      </c>
      <c r="M13177" s="2">
        <v>50055.0</v>
      </c>
      <c r="N13177" s="2" t="s">
        <v>21</v>
      </c>
    </row>
    <row r="13178" ht="15.75" customHeight="1">
      <c r="A13178" s="2">
        <v>2020.0</v>
      </c>
      <c r="B13178" s="2" t="s">
        <v>52196</v>
      </c>
      <c r="C13178" s="2" t="s">
        <v>52201</v>
      </c>
      <c r="D13178" s="2" t="str">
        <f>"641-328-5340"</f>
        <v>641-328-5340</v>
      </c>
      <c r="E13178" s="2" t="s">
        <v>1263</v>
      </c>
      <c r="F13178" s="2" t="s">
        <v>52198</v>
      </c>
      <c r="G13178" s="2" t="str">
        <f>"SR-18655"</f>
        <v>SR-18655</v>
      </c>
      <c r="H13178" s="2" t="s">
        <v>52202</v>
      </c>
      <c r="I13178" s="2" t="s">
        <v>52203</v>
      </c>
      <c r="K13178" s="2" t="s">
        <v>4358</v>
      </c>
      <c r="L13178" s="2" t="s">
        <v>560</v>
      </c>
      <c r="M13178" s="2">
        <v>50055.0</v>
      </c>
      <c r="N13178" s="2" t="s">
        <v>21</v>
      </c>
    </row>
    <row r="13179" ht="15.75" customHeight="1">
      <c r="A13179" s="2">
        <v>2020.0</v>
      </c>
      <c r="B13179" s="2" t="s">
        <v>52204</v>
      </c>
      <c r="D13179" s="2" t="str">
        <f>""</f>
        <v/>
      </c>
      <c r="E13179" s="2" t="s">
        <v>13107</v>
      </c>
      <c r="F13179" s="2" t="s">
        <v>8555</v>
      </c>
      <c r="G13179" s="2" t="str">
        <f>"SR-16802"</f>
        <v>SR-16802</v>
      </c>
      <c r="H13179" s="2" t="s">
        <v>52205</v>
      </c>
    </row>
    <row r="13180" ht="15.75" customHeight="1">
      <c r="A13180" s="2">
        <v>2020.0</v>
      </c>
      <c r="B13180" s="2" t="s">
        <v>52206</v>
      </c>
      <c r="C13180" s="2" t="s">
        <v>52206</v>
      </c>
      <c r="D13180" s="2" t="str">
        <f>"7169692888"</f>
        <v>7169692888</v>
      </c>
      <c r="E13180" s="2" t="s">
        <v>167</v>
      </c>
      <c r="F13180" s="2" t="s">
        <v>17041</v>
      </c>
      <c r="G13180" s="2" t="str">
        <f>"SR-18399"</f>
        <v>SR-18399</v>
      </c>
      <c r="H13180" s="2" t="s">
        <v>37753</v>
      </c>
      <c r="I13180" s="2" t="s">
        <v>52207</v>
      </c>
      <c r="K13180" s="2" t="s">
        <v>9547</v>
      </c>
      <c r="L13180" s="2" t="s">
        <v>142</v>
      </c>
      <c r="M13180" s="2">
        <v>14781.0</v>
      </c>
      <c r="N13180" s="2" t="s">
        <v>21</v>
      </c>
    </row>
    <row r="13181" ht="15.75" customHeight="1">
      <c r="A13181" s="2">
        <v>2020.0</v>
      </c>
      <c r="B13181" s="2" t="s">
        <v>52208</v>
      </c>
      <c r="C13181" s="2" t="s">
        <v>37897</v>
      </c>
      <c r="D13181" s="2" t="str">
        <f>"(817) 897-3389"</f>
        <v>(817) 897-3389</v>
      </c>
      <c r="E13181" s="2" t="s">
        <v>51701</v>
      </c>
      <c r="F13181" s="2" t="s">
        <v>52209</v>
      </c>
      <c r="G13181" s="2" t="str">
        <f>"SR-18658"</f>
        <v>SR-18658</v>
      </c>
      <c r="H13181" s="2" t="s">
        <v>52210</v>
      </c>
      <c r="I13181" s="2" t="s">
        <v>37899</v>
      </c>
      <c r="K13181" s="2" t="s">
        <v>1260</v>
      </c>
      <c r="L13181" s="2" t="s">
        <v>172</v>
      </c>
      <c r="M13181" s="2">
        <v>76107.0</v>
      </c>
      <c r="N13181" s="2" t="s">
        <v>21</v>
      </c>
    </row>
    <row r="13182" ht="15.75" customHeight="1">
      <c r="A13182" s="2">
        <v>2020.0</v>
      </c>
      <c r="B13182" s="2" t="s">
        <v>52211</v>
      </c>
      <c r="C13182" s="2" t="s">
        <v>52212</v>
      </c>
      <c r="D13182" s="2" t="str">
        <f>"703-821-7627"</f>
        <v>703-821-7627</v>
      </c>
      <c r="E13182" s="2" t="s">
        <v>267</v>
      </c>
      <c r="F13182" s="2" t="s">
        <v>28444</v>
      </c>
      <c r="G13182" s="2" t="str">
        <f>"SR-18637"</f>
        <v>SR-18637</v>
      </c>
      <c r="H13182" s="2" t="s">
        <v>52213</v>
      </c>
      <c r="I13182" s="2" t="s">
        <v>52214</v>
      </c>
      <c r="K13182" s="2" t="s">
        <v>3656</v>
      </c>
      <c r="L13182" s="2" t="s">
        <v>165</v>
      </c>
      <c r="M13182" s="2">
        <v>22101.0</v>
      </c>
      <c r="N13182" s="2" t="s">
        <v>21</v>
      </c>
    </row>
    <row r="13183" ht="15.75" customHeight="1">
      <c r="A13183" s="2">
        <v>2020.0</v>
      </c>
      <c r="B13183" s="2" t="s">
        <v>52215</v>
      </c>
      <c r="C13183" s="2" t="s">
        <v>52216</v>
      </c>
      <c r="D13183" s="2" t="str">
        <f>"4349070331"</f>
        <v>4349070331</v>
      </c>
      <c r="E13183" s="2" t="s">
        <v>52217</v>
      </c>
      <c r="F13183" s="2" t="s">
        <v>52218</v>
      </c>
      <c r="G13183" s="2" t="str">
        <f>"SR-18661"</f>
        <v>SR-18661</v>
      </c>
      <c r="H13183" s="2" t="s">
        <v>52219</v>
      </c>
      <c r="I13183" s="2" t="s">
        <v>52220</v>
      </c>
      <c r="K13183" s="2" t="s">
        <v>323</v>
      </c>
      <c r="L13183" s="2" t="s">
        <v>165</v>
      </c>
      <c r="M13183" s="2">
        <v>24551.0</v>
      </c>
      <c r="N13183" s="2" t="s">
        <v>21</v>
      </c>
    </row>
    <row r="13184" ht="15.75" customHeight="1">
      <c r="A13184" s="2">
        <v>2020.0</v>
      </c>
      <c r="B13184" s="2" t="s">
        <v>48525</v>
      </c>
      <c r="C13184" s="2" t="s">
        <v>48525</v>
      </c>
      <c r="D13184" s="2" t="str">
        <f>"4175927279"</f>
        <v>4175927279</v>
      </c>
      <c r="E13184" s="2" t="s">
        <v>339</v>
      </c>
      <c r="F13184" s="2" t="s">
        <v>9856</v>
      </c>
      <c r="G13184" s="2" t="str">
        <f>"SR-18662"</f>
        <v>SR-18662</v>
      </c>
      <c r="H13184" s="2" t="s">
        <v>48526</v>
      </c>
      <c r="I13184" s="2" t="s">
        <v>48527</v>
      </c>
      <c r="K13184" s="2" t="s">
        <v>48528</v>
      </c>
      <c r="L13184" s="2" t="s">
        <v>214</v>
      </c>
      <c r="M13184" s="2">
        <v>64866.0</v>
      </c>
      <c r="N13184" s="2" t="s">
        <v>21</v>
      </c>
    </row>
    <row r="13185" ht="15.75" customHeight="1">
      <c r="A13185" s="2">
        <v>2020.0</v>
      </c>
      <c r="B13185" s="2" t="s">
        <v>52221</v>
      </c>
      <c r="C13185" s="2" t="s">
        <v>52222</v>
      </c>
      <c r="D13185" s="2" t="str">
        <f>"4259496694"</f>
        <v>4259496694</v>
      </c>
      <c r="E13185" s="2" t="s">
        <v>8386</v>
      </c>
      <c r="F13185" s="2" t="s">
        <v>52223</v>
      </c>
      <c r="G13185" s="2" t="str">
        <f>"SR-18665"</f>
        <v>SR-18665</v>
      </c>
      <c r="H13185" s="2" t="s">
        <v>52224</v>
      </c>
      <c r="I13185" s="2" t="s">
        <v>52225</v>
      </c>
      <c r="K13185" s="2" t="s">
        <v>24528</v>
      </c>
      <c r="L13185" s="2" t="s">
        <v>86</v>
      </c>
      <c r="M13185" s="2">
        <v>98034.0</v>
      </c>
      <c r="N13185" s="2" t="s">
        <v>21</v>
      </c>
    </row>
    <row r="13186" ht="15.75" customHeight="1">
      <c r="A13186" s="2">
        <v>2020.0</v>
      </c>
      <c r="B13186" s="2" t="s">
        <v>52226</v>
      </c>
      <c r="C13186" s="2" t="s">
        <v>52227</v>
      </c>
      <c r="D13186" s="2" t="str">
        <f>"7409713659"</f>
        <v>7409713659</v>
      </c>
      <c r="E13186" s="2" t="s">
        <v>4769</v>
      </c>
      <c r="F13186" s="2" t="s">
        <v>33030</v>
      </c>
      <c r="G13186" s="2" t="str">
        <f>"SR-18666"</f>
        <v>SR-18666</v>
      </c>
      <c r="H13186" s="2" t="s">
        <v>52228</v>
      </c>
      <c r="I13186" s="2" t="s">
        <v>52229</v>
      </c>
      <c r="K13186" s="2" t="s">
        <v>10756</v>
      </c>
      <c r="L13186" s="2" t="s">
        <v>344</v>
      </c>
      <c r="M13186" s="2">
        <v>43015.0</v>
      </c>
      <c r="N13186" s="2" t="s">
        <v>21</v>
      </c>
    </row>
    <row r="13187" ht="15.75" customHeight="1">
      <c r="A13187" s="2">
        <v>2020.0</v>
      </c>
      <c r="B13187" s="2" t="s">
        <v>52230</v>
      </c>
      <c r="C13187" s="2" t="s">
        <v>52231</v>
      </c>
      <c r="D13187" s="2" t="str">
        <f>"7409727208"</f>
        <v>7409727208</v>
      </c>
      <c r="E13187" s="2" t="s">
        <v>4300</v>
      </c>
      <c r="F13187" s="2" t="s">
        <v>33030</v>
      </c>
      <c r="G13187" s="2" t="str">
        <f>"SR-18667"</f>
        <v>SR-18667</v>
      </c>
      <c r="H13187" s="2" t="s">
        <v>33031</v>
      </c>
      <c r="I13187" s="2" t="s">
        <v>52232</v>
      </c>
      <c r="K13187" s="2" t="s">
        <v>10756</v>
      </c>
      <c r="L13187" s="2" t="s">
        <v>344</v>
      </c>
      <c r="M13187" s="2">
        <v>43015.0</v>
      </c>
      <c r="N13187" s="2" t="s">
        <v>21</v>
      </c>
    </row>
    <row r="13188" ht="15.75" customHeight="1">
      <c r="A13188" s="2">
        <v>2020.0</v>
      </c>
      <c r="B13188" s="2" t="s">
        <v>39773</v>
      </c>
      <c r="C13188" s="2" t="s">
        <v>52233</v>
      </c>
      <c r="D13188" s="2" t="str">
        <f>"(970)324-7478"</f>
        <v>(970)324-7478</v>
      </c>
      <c r="E13188" s="2" t="s">
        <v>644</v>
      </c>
      <c r="F13188" s="2" t="s">
        <v>39775</v>
      </c>
      <c r="G13188" s="2" t="str">
        <f>"SR-18668"</f>
        <v>SR-18668</v>
      </c>
      <c r="H13188" s="2" t="s">
        <v>52234</v>
      </c>
      <c r="I13188" s="2" t="s">
        <v>39777</v>
      </c>
      <c r="K13188" s="2" t="s">
        <v>1048</v>
      </c>
      <c r="L13188" s="2" t="s">
        <v>157</v>
      </c>
      <c r="M13188" s="2">
        <v>80538.0</v>
      </c>
      <c r="N13188" s="2" t="s">
        <v>21</v>
      </c>
    </row>
    <row r="13189" ht="15.75" customHeight="1">
      <c r="A13189" s="2">
        <v>2020.0</v>
      </c>
      <c r="B13189" s="2" t="s">
        <v>37651</v>
      </c>
      <c r="C13189" s="2" t="s">
        <v>52235</v>
      </c>
      <c r="D13189" s="2" t="str">
        <f>"423-544-1692"</f>
        <v>423-544-1692</v>
      </c>
      <c r="E13189" s="2" t="s">
        <v>1928</v>
      </c>
      <c r="F13189" s="2" t="s">
        <v>37653</v>
      </c>
      <c r="G13189" s="2" t="str">
        <f>"SR-17439"</f>
        <v>SR-17439</v>
      </c>
      <c r="H13189" s="2" t="s">
        <v>52236</v>
      </c>
      <c r="I13189" s="2" t="s">
        <v>52237</v>
      </c>
      <c r="K13189" s="2" t="s">
        <v>1408</v>
      </c>
      <c r="L13189" s="2" t="s">
        <v>279</v>
      </c>
      <c r="M13189" s="2">
        <v>37312.0</v>
      </c>
      <c r="N13189" s="2" t="s">
        <v>21</v>
      </c>
    </row>
    <row r="13190" ht="15.75" customHeight="1">
      <c r="A13190" s="2">
        <v>2020.0</v>
      </c>
      <c r="B13190" s="2" t="s">
        <v>38008</v>
      </c>
      <c r="C13190" s="2" t="s">
        <v>38008</v>
      </c>
      <c r="D13190" s="2" t="str">
        <f>"8324185915"</f>
        <v>8324185915</v>
      </c>
      <c r="E13190" s="2" t="s">
        <v>485</v>
      </c>
      <c r="F13190" s="2" t="s">
        <v>448</v>
      </c>
      <c r="G13190" s="2" t="str">
        <f>"SR-12935"</f>
        <v>SR-12935</v>
      </c>
      <c r="H13190" s="2" t="s">
        <v>38009</v>
      </c>
      <c r="I13190" s="2" t="s">
        <v>24148</v>
      </c>
      <c r="K13190" s="2" t="s">
        <v>5855</v>
      </c>
      <c r="L13190" s="2" t="s">
        <v>172</v>
      </c>
      <c r="M13190" s="2">
        <v>77379.0</v>
      </c>
      <c r="N13190" s="2" t="s">
        <v>21</v>
      </c>
    </row>
    <row r="13191" ht="15.75" customHeight="1">
      <c r="A13191" s="2">
        <v>2020.0</v>
      </c>
      <c r="B13191" s="2" t="s">
        <v>52238</v>
      </c>
      <c r="C13191" s="2" t="s">
        <v>52239</v>
      </c>
      <c r="D13191" s="2" t="str">
        <f>"6056703949"</f>
        <v>6056703949</v>
      </c>
      <c r="E13191" s="2" t="s">
        <v>52240</v>
      </c>
      <c r="F13191" s="2" t="s">
        <v>52241</v>
      </c>
      <c r="G13191" s="2" t="str">
        <f>"SR-18671"</f>
        <v>SR-18671</v>
      </c>
      <c r="H13191" s="2" t="s">
        <v>52242</v>
      </c>
      <c r="I13191" s="2" t="s">
        <v>52243</v>
      </c>
      <c r="K13191" s="2" t="s">
        <v>52244</v>
      </c>
      <c r="L13191" s="2" t="s">
        <v>920</v>
      </c>
      <c r="M13191" s="2">
        <v>57025.0</v>
      </c>
      <c r="N13191" s="2" t="s">
        <v>21</v>
      </c>
    </row>
    <row r="13192" ht="15.75" customHeight="1">
      <c r="A13192" s="2">
        <v>2020.0</v>
      </c>
      <c r="B13192" s="2" t="s">
        <v>52238</v>
      </c>
      <c r="C13192" s="2" t="s">
        <v>52245</v>
      </c>
      <c r="D13192" s="2" t="str">
        <f>"6056706065"</f>
        <v>6056706065</v>
      </c>
      <c r="E13192" s="2" t="s">
        <v>2452</v>
      </c>
      <c r="F13192" s="2" t="s">
        <v>52241</v>
      </c>
      <c r="G13192" s="2" t="str">
        <f>"SR-18672"</f>
        <v>SR-18672</v>
      </c>
      <c r="H13192" s="2" t="s">
        <v>52246</v>
      </c>
      <c r="I13192" s="2" t="s">
        <v>52243</v>
      </c>
      <c r="K13192" s="2" t="s">
        <v>52244</v>
      </c>
      <c r="L13192" s="2" t="s">
        <v>920</v>
      </c>
      <c r="M13192" s="2">
        <v>57025.0</v>
      </c>
      <c r="N13192" s="2" t="s">
        <v>21</v>
      </c>
    </row>
    <row r="13193" ht="15.75" customHeight="1">
      <c r="A13193" s="2">
        <v>2020.0</v>
      </c>
      <c r="B13193" s="2" t="s">
        <v>52247</v>
      </c>
      <c r="D13193" s="2" t="str">
        <f>""</f>
        <v/>
      </c>
      <c r="E13193" s="2" t="s">
        <v>31655</v>
      </c>
      <c r="F13193" s="2" t="s">
        <v>31968</v>
      </c>
      <c r="G13193" s="2" t="str">
        <f>"SR-18675"</f>
        <v>SR-18675</v>
      </c>
      <c r="H13193" s="2" t="s">
        <v>52248</v>
      </c>
    </row>
    <row r="13194" ht="15.75" customHeight="1">
      <c r="A13194" s="2">
        <v>2020.0</v>
      </c>
      <c r="B13194" s="2" t="s">
        <v>52249</v>
      </c>
      <c r="C13194" s="2" t="s">
        <v>52249</v>
      </c>
      <c r="D13194" s="2" t="str">
        <f>"5072103143"</f>
        <v>5072103143</v>
      </c>
      <c r="E13194" s="2" t="s">
        <v>705</v>
      </c>
      <c r="F13194" s="2" t="s">
        <v>52250</v>
      </c>
      <c r="G13194" s="2" t="str">
        <f>"SR-18638"</f>
        <v>SR-18638</v>
      </c>
      <c r="H13194" s="2" t="s">
        <v>52251</v>
      </c>
      <c r="I13194" s="2" t="s">
        <v>52252</v>
      </c>
      <c r="K13194" s="2" t="s">
        <v>52253</v>
      </c>
      <c r="L13194" s="2" t="s">
        <v>62</v>
      </c>
      <c r="M13194" s="2">
        <v>55053.0</v>
      </c>
      <c r="N13194" s="2" t="s">
        <v>21</v>
      </c>
    </row>
    <row r="13195" ht="15.75" customHeight="1">
      <c r="A13195" s="2">
        <v>2020.0</v>
      </c>
      <c r="B13195" s="2" t="s">
        <v>52249</v>
      </c>
      <c r="C13195" s="2" t="s">
        <v>52249</v>
      </c>
      <c r="D13195" s="2" t="str">
        <f>"5082103143"</f>
        <v>5082103143</v>
      </c>
      <c r="E13195" s="2" t="s">
        <v>261</v>
      </c>
      <c r="F13195" s="2" t="s">
        <v>52254</v>
      </c>
      <c r="G13195" s="2" t="str">
        <f>"SR-18639"</f>
        <v>SR-18639</v>
      </c>
      <c r="H13195" s="2" t="s">
        <v>52255</v>
      </c>
      <c r="I13195" s="2" t="s">
        <v>52252</v>
      </c>
      <c r="K13195" s="2" t="s">
        <v>52253</v>
      </c>
      <c r="L13195" s="2" t="s">
        <v>62</v>
      </c>
      <c r="M13195" s="2">
        <v>55053.0</v>
      </c>
      <c r="N13195" s="2" t="s">
        <v>21</v>
      </c>
    </row>
    <row r="13196" ht="15.75" customHeight="1">
      <c r="A13196" s="2">
        <v>2020.0</v>
      </c>
      <c r="B13196" s="2" t="s">
        <v>35106</v>
      </c>
      <c r="C13196" s="2" t="s">
        <v>52256</v>
      </c>
      <c r="D13196" s="2" t="str">
        <f>"719-999-5082"</f>
        <v>719-999-5082</v>
      </c>
      <c r="E13196" s="2" t="s">
        <v>217</v>
      </c>
      <c r="F13196" s="2" t="s">
        <v>35108</v>
      </c>
      <c r="G13196" s="2" t="str">
        <f>"SR-18673"</f>
        <v>SR-18673</v>
      </c>
      <c r="H13196" s="2" t="s">
        <v>52257</v>
      </c>
      <c r="I13196" s="2" t="s">
        <v>35110</v>
      </c>
      <c r="K13196" s="2" t="s">
        <v>507</v>
      </c>
      <c r="L13196" s="2" t="s">
        <v>157</v>
      </c>
      <c r="M13196" s="2">
        <v>80132.0</v>
      </c>
      <c r="N13196" s="2" t="s">
        <v>21</v>
      </c>
    </row>
    <row r="13197" ht="15.75" customHeight="1">
      <c r="A13197" s="2">
        <v>2020.0</v>
      </c>
      <c r="B13197" s="2" t="s">
        <v>52258</v>
      </c>
      <c r="C13197" s="2" t="s">
        <v>52259</v>
      </c>
      <c r="D13197" s="2" t="str">
        <f>"7039296209"</f>
        <v>7039296209</v>
      </c>
      <c r="E13197" s="2" t="s">
        <v>2632</v>
      </c>
      <c r="F13197" s="2" t="s">
        <v>89</v>
      </c>
      <c r="G13197" s="2" t="str">
        <f>"SR-15955"</f>
        <v>SR-15955</v>
      </c>
      <c r="H13197" s="2" t="s">
        <v>52260</v>
      </c>
      <c r="I13197" s="2" t="s">
        <v>52261</v>
      </c>
      <c r="K13197" s="2" t="s">
        <v>12516</v>
      </c>
      <c r="L13197" s="2" t="s">
        <v>165</v>
      </c>
      <c r="M13197" s="2">
        <v>20169.0</v>
      </c>
      <c r="N13197" s="2" t="s">
        <v>21</v>
      </c>
    </row>
    <row r="13198" ht="15.75" customHeight="1">
      <c r="A13198" s="2">
        <v>2020.0</v>
      </c>
      <c r="B13198" s="2" t="s">
        <v>52262</v>
      </c>
      <c r="C13198" s="2" t="s">
        <v>52263</v>
      </c>
      <c r="D13198" s="2" t="str">
        <f>"651-802-9802"</f>
        <v>651-802-9802</v>
      </c>
      <c r="E13198" s="2" t="s">
        <v>1015</v>
      </c>
      <c r="F13198" s="2" t="s">
        <v>13039</v>
      </c>
      <c r="G13198" s="2" t="str">
        <f>"SR-18678"</f>
        <v>SR-18678</v>
      </c>
      <c r="H13198" s="2" t="s">
        <v>52264</v>
      </c>
      <c r="I13198" s="2" t="s">
        <v>52265</v>
      </c>
      <c r="K13198" s="2" t="s">
        <v>7574</v>
      </c>
      <c r="L13198" s="2" t="s">
        <v>62</v>
      </c>
      <c r="M13198" s="2">
        <v>55449.0</v>
      </c>
      <c r="N13198" s="2" t="s">
        <v>21</v>
      </c>
    </row>
    <row r="13199" ht="15.75" customHeight="1">
      <c r="A13199" s="2">
        <v>2020.0</v>
      </c>
      <c r="B13199" s="2" t="s">
        <v>52266</v>
      </c>
      <c r="C13199" s="2" t="s">
        <v>52267</v>
      </c>
      <c r="D13199" s="2" t="str">
        <f>"2149733122"</f>
        <v>2149733122</v>
      </c>
      <c r="E13199" s="2" t="s">
        <v>373</v>
      </c>
      <c r="F13199" s="2" t="s">
        <v>22206</v>
      </c>
      <c r="G13199" s="2" t="str">
        <f>"SR-18679"</f>
        <v>SR-18679</v>
      </c>
      <c r="H13199" s="2" t="s">
        <v>52268</v>
      </c>
      <c r="I13199" s="2" t="s">
        <v>52269</v>
      </c>
      <c r="K13199" s="2" t="s">
        <v>19366</v>
      </c>
      <c r="L13199" s="2" t="s">
        <v>172</v>
      </c>
      <c r="M13199" s="2">
        <v>75032.0</v>
      </c>
      <c r="N13199" s="2" t="s">
        <v>21</v>
      </c>
    </row>
    <row r="13200" ht="15.75" customHeight="1">
      <c r="A13200" s="2">
        <v>2020.0</v>
      </c>
      <c r="B13200" s="2" t="s">
        <v>52270</v>
      </c>
      <c r="C13200" s="2" t="s">
        <v>52270</v>
      </c>
      <c r="D13200" s="2" t="str">
        <f>"6014107870"</f>
        <v>6014107870</v>
      </c>
      <c r="E13200" s="2" t="s">
        <v>503</v>
      </c>
      <c r="F13200" s="2" t="s">
        <v>52271</v>
      </c>
      <c r="G13200" s="2" t="str">
        <f>"SR-18621"</f>
        <v>SR-18621</v>
      </c>
      <c r="H13200" s="2" t="s">
        <v>52272</v>
      </c>
      <c r="I13200" s="2" t="s">
        <v>52273</v>
      </c>
      <c r="K13200" s="2" t="s">
        <v>23987</v>
      </c>
      <c r="L13200" s="2" t="s">
        <v>1722</v>
      </c>
      <c r="M13200" s="2">
        <v>39367.0</v>
      </c>
      <c r="N13200" s="2" t="s">
        <v>21</v>
      </c>
    </row>
    <row r="13201" ht="15.75" customHeight="1">
      <c r="A13201" s="2">
        <v>2020.0</v>
      </c>
      <c r="B13201" s="2" t="s">
        <v>52274</v>
      </c>
      <c r="C13201" s="2" t="s">
        <v>52274</v>
      </c>
      <c r="D13201" s="2" t="str">
        <f>"949-652-0527"</f>
        <v>949-652-0527</v>
      </c>
      <c r="E13201" s="2" t="s">
        <v>288</v>
      </c>
      <c r="F13201" s="2" t="s">
        <v>52275</v>
      </c>
      <c r="G13201" s="2" t="str">
        <f>"SR-18683"</f>
        <v>SR-18683</v>
      </c>
      <c r="H13201" s="2" t="s">
        <v>52276</v>
      </c>
      <c r="I13201" s="2" t="s">
        <v>52277</v>
      </c>
      <c r="J13201" s="2" t="s">
        <v>52278</v>
      </c>
      <c r="K13201" s="2" t="s">
        <v>3065</v>
      </c>
      <c r="L13201" s="2" t="s">
        <v>222</v>
      </c>
      <c r="M13201" s="2">
        <v>92688.0</v>
      </c>
      <c r="N13201" s="2" t="s">
        <v>21</v>
      </c>
    </row>
    <row r="13202" ht="15.75" customHeight="1">
      <c r="A13202" s="2">
        <v>2020.0</v>
      </c>
      <c r="B13202" s="2" t="s">
        <v>52279</v>
      </c>
      <c r="C13202" s="2" t="s">
        <v>52280</v>
      </c>
      <c r="D13202" s="2" t="str">
        <f>"3198210744"</f>
        <v>3198210744</v>
      </c>
      <c r="E13202" s="2" t="s">
        <v>373</v>
      </c>
      <c r="F13202" s="2" t="s">
        <v>52281</v>
      </c>
      <c r="G13202" s="2" t="str">
        <f>"SR-18669"</f>
        <v>SR-18669</v>
      </c>
      <c r="H13202" s="2" t="s">
        <v>52282</v>
      </c>
      <c r="I13202" s="2" t="s">
        <v>52283</v>
      </c>
      <c r="K13202" s="2" t="s">
        <v>13353</v>
      </c>
      <c r="L13202" s="2" t="s">
        <v>560</v>
      </c>
      <c r="M13202" s="2">
        <v>52761.0</v>
      </c>
      <c r="N13202" s="2" t="s">
        <v>21</v>
      </c>
    </row>
    <row r="13203" ht="15.75" customHeight="1">
      <c r="A13203" s="2">
        <v>2020.0</v>
      </c>
      <c r="B13203" s="2" t="s">
        <v>41586</v>
      </c>
      <c r="C13203" s="2" t="s">
        <v>52284</v>
      </c>
      <c r="D13203" s="2" t="str">
        <f>"6157388928"</f>
        <v>6157388928</v>
      </c>
      <c r="E13203" s="2" t="s">
        <v>1803</v>
      </c>
      <c r="F13203" s="2" t="s">
        <v>41588</v>
      </c>
      <c r="G13203" s="2" t="str">
        <f>"SR-18685"</f>
        <v>SR-18685</v>
      </c>
      <c r="H13203" s="2" t="s">
        <v>52285</v>
      </c>
      <c r="I13203" s="2" t="s">
        <v>41590</v>
      </c>
      <c r="K13203" s="2" t="s">
        <v>3286</v>
      </c>
      <c r="L13203" s="2" t="s">
        <v>279</v>
      </c>
      <c r="M13203" s="2">
        <v>37055.0</v>
      </c>
      <c r="N13203" s="2" t="s">
        <v>21</v>
      </c>
    </row>
    <row r="13204" ht="15.75" customHeight="1">
      <c r="A13204" s="2">
        <v>2020.0</v>
      </c>
      <c r="B13204" s="2" t="s">
        <v>52286</v>
      </c>
      <c r="C13204" s="2" t="s">
        <v>52287</v>
      </c>
      <c r="D13204" s="2" t="str">
        <f>"714-770-4964"</f>
        <v>714-770-4964</v>
      </c>
      <c r="E13204" s="2" t="s">
        <v>250</v>
      </c>
      <c r="F13204" s="2" t="s">
        <v>10571</v>
      </c>
      <c r="G13204" s="2" t="str">
        <f>"SR-18687"</f>
        <v>SR-18687</v>
      </c>
      <c r="H13204" s="2" t="s">
        <v>52288</v>
      </c>
      <c r="I13204" s="2" t="s">
        <v>52289</v>
      </c>
      <c r="K13204" s="2" t="s">
        <v>4026</v>
      </c>
      <c r="L13204" s="2" t="s">
        <v>222</v>
      </c>
      <c r="M13204" s="2">
        <v>92807.0</v>
      </c>
      <c r="N13204" s="2" t="s">
        <v>21</v>
      </c>
    </row>
    <row r="13205" ht="15.75" customHeight="1">
      <c r="A13205" s="2">
        <v>2020.0</v>
      </c>
      <c r="B13205" s="2" t="s">
        <v>52290</v>
      </c>
      <c r="C13205" s="2" t="s">
        <v>52291</v>
      </c>
      <c r="D13205" s="2" t="str">
        <f>"5629874923"</f>
        <v>5629874923</v>
      </c>
      <c r="E13205" s="2" t="s">
        <v>52292</v>
      </c>
      <c r="F13205" s="2" t="s">
        <v>6486</v>
      </c>
      <c r="G13205" s="2" t="str">
        <f>"SR-18681"</f>
        <v>SR-18681</v>
      </c>
      <c r="H13205" s="2" t="s">
        <v>52293</v>
      </c>
      <c r="I13205" s="2" t="s">
        <v>52294</v>
      </c>
      <c r="K13205" s="2" t="s">
        <v>3950</v>
      </c>
      <c r="L13205" s="2" t="s">
        <v>222</v>
      </c>
      <c r="M13205" s="2">
        <v>90814.0</v>
      </c>
      <c r="N13205" s="2" t="s">
        <v>21</v>
      </c>
    </row>
    <row r="13206" ht="15.75" customHeight="1">
      <c r="A13206" s="2">
        <v>2020.0</v>
      </c>
      <c r="B13206" s="2" t="s">
        <v>52295</v>
      </c>
      <c r="C13206" s="2" t="s">
        <v>52296</v>
      </c>
      <c r="D13206" s="2" t="str">
        <f>"5716608898"</f>
        <v>5716608898</v>
      </c>
      <c r="E13206" s="2" t="s">
        <v>239</v>
      </c>
      <c r="F13206" s="2" t="s">
        <v>52297</v>
      </c>
      <c r="G13206" s="2" t="str">
        <f>"SR-18688"</f>
        <v>SR-18688</v>
      </c>
      <c r="H13206" s="2" t="s">
        <v>52298</v>
      </c>
      <c r="I13206" s="2" t="s">
        <v>52299</v>
      </c>
      <c r="K13206" s="2" t="s">
        <v>10664</v>
      </c>
      <c r="L13206" s="2" t="s">
        <v>165</v>
      </c>
      <c r="M13206" s="2">
        <v>22192.0</v>
      </c>
      <c r="N13206" s="2" t="s">
        <v>21</v>
      </c>
    </row>
    <row r="13207" ht="15.75" customHeight="1">
      <c r="A13207" s="2">
        <v>2020.0</v>
      </c>
      <c r="B13207" s="2" t="s">
        <v>11364</v>
      </c>
      <c r="C13207" s="2" t="s">
        <v>52300</v>
      </c>
      <c r="D13207" s="2" t="str">
        <f>"6202293403"</f>
        <v>6202293403</v>
      </c>
      <c r="E13207" s="2" t="s">
        <v>2314</v>
      </c>
      <c r="F13207" s="2" t="s">
        <v>256</v>
      </c>
      <c r="G13207" s="2" t="str">
        <f>"SR-18623"</f>
        <v>SR-18623</v>
      </c>
      <c r="H13207" s="2" t="s">
        <v>52301</v>
      </c>
      <c r="I13207" s="2" t="s">
        <v>3681</v>
      </c>
      <c r="K13207" s="2" t="s">
        <v>3530</v>
      </c>
      <c r="L13207" s="2" t="s">
        <v>272</v>
      </c>
      <c r="M13207" s="2">
        <v>67156.0</v>
      </c>
      <c r="N13207" s="2" t="s">
        <v>21</v>
      </c>
    </row>
    <row r="13208" ht="15.75" customHeight="1">
      <c r="A13208" s="2">
        <v>2020.0</v>
      </c>
      <c r="B13208" s="2" t="s">
        <v>31502</v>
      </c>
      <c r="C13208" s="2" t="s">
        <v>52302</v>
      </c>
      <c r="D13208" s="2" t="str">
        <f>"8052521424"</f>
        <v>8052521424</v>
      </c>
      <c r="E13208" s="2" t="s">
        <v>1799</v>
      </c>
      <c r="F13208" s="2" t="s">
        <v>31504</v>
      </c>
      <c r="G13208" s="2" t="str">
        <f>"SR-18690"</f>
        <v>SR-18690</v>
      </c>
      <c r="H13208" s="2" t="s">
        <v>52303</v>
      </c>
      <c r="I13208" s="2" t="s">
        <v>31506</v>
      </c>
      <c r="K13208" s="2" t="s">
        <v>16679</v>
      </c>
      <c r="L13208" s="2" t="s">
        <v>222</v>
      </c>
      <c r="M13208" s="2">
        <v>93013.0</v>
      </c>
      <c r="N13208" s="2" t="s">
        <v>21</v>
      </c>
    </row>
    <row r="13209" ht="15.75" customHeight="1">
      <c r="A13209" s="2">
        <v>2020.0</v>
      </c>
      <c r="B13209" s="2" t="s">
        <v>52304</v>
      </c>
      <c r="C13209" s="2" t="s">
        <v>52305</v>
      </c>
      <c r="D13209" s="2" t="str">
        <f>"803-665-1414"</f>
        <v>803-665-1414</v>
      </c>
      <c r="E13209" s="2" t="s">
        <v>908</v>
      </c>
      <c r="F13209" s="2" t="s">
        <v>52306</v>
      </c>
      <c r="G13209" s="2" t="str">
        <f>"SR-18692"</f>
        <v>SR-18692</v>
      </c>
      <c r="H13209" s="2" t="s">
        <v>52307</v>
      </c>
      <c r="I13209" s="2" t="s">
        <v>52308</v>
      </c>
      <c r="K13209" s="2" t="s">
        <v>2750</v>
      </c>
      <c r="L13209" s="2" t="s">
        <v>55</v>
      </c>
      <c r="M13209" s="2">
        <v>29223.0</v>
      </c>
      <c r="N13209" s="2" t="s">
        <v>21</v>
      </c>
    </row>
    <row r="13210" ht="15.75" customHeight="1">
      <c r="A13210" s="2">
        <v>2020.0</v>
      </c>
      <c r="B13210" s="2" t="s">
        <v>52309</v>
      </c>
      <c r="D13210" s="2" t="str">
        <f t="shared" ref="D13210:D13212" si="221">""</f>
        <v/>
      </c>
      <c r="E13210" s="2" t="s">
        <v>52310</v>
      </c>
      <c r="F13210" s="2" t="s">
        <v>52311</v>
      </c>
      <c r="G13210" s="2" t="str">
        <f>"SR-18694"</f>
        <v>SR-18694</v>
      </c>
      <c r="H13210" s="2" t="s">
        <v>52312</v>
      </c>
    </row>
    <row r="13211" ht="15.75" customHeight="1">
      <c r="A13211" s="2">
        <v>2020.0</v>
      </c>
      <c r="B13211" s="2" t="s">
        <v>52313</v>
      </c>
      <c r="D13211" s="2" t="str">
        <f t="shared" si="221"/>
        <v/>
      </c>
      <c r="E13211" s="2" t="s">
        <v>20352</v>
      </c>
      <c r="F13211" s="2" t="s">
        <v>52314</v>
      </c>
      <c r="G13211" s="2" t="str">
        <f>"SR-18693"</f>
        <v>SR-18693</v>
      </c>
      <c r="H13211" s="2" t="s">
        <v>52315</v>
      </c>
      <c r="N13211" s="2" t="s">
        <v>21</v>
      </c>
    </row>
    <row r="13212" ht="15.75" customHeight="1">
      <c r="A13212" s="2">
        <v>2020.0</v>
      </c>
      <c r="B13212" s="2" t="s">
        <v>52309</v>
      </c>
      <c r="D13212" s="2" t="str">
        <f t="shared" si="221"/>
        <v/>
      </c>
      <c r="E13212" s="2" t="s">
        <v>7145</v>
      </c>
      <c r="F13212" s="2" t="s">
        <v>52316</v>
      </c>
      <c r="G13212" s="2" t="str">
        <f>"SR-18695"</f>
        <v>SR-18695</v>
      </c>
      <c r="H13212" s="2" t="s">
        <v>52317</v>
      </c>
      <c r="N13212" s="2" t="s">
        <v>21</v>
      </c>
    </row>
    <row r="13213" ht="15.75" customHeight="1">
      <c r="A13213" s="2">
        <v>2020.0</v>
      </c>
      <c r="B13213" s="2" t="s">
        <v>52318</v>
      </c>
      <c r="C13213" s="2" t="s">
        <v>52318</v>
      </c>
      <c r="D13213" s="2" t="str">
        <f>"(949)-510-2541"</f>
        <v>(949)-510-2541</v>
      </c>
      <c r="E13213" s="2" t="s">
        <v>288</v>
      </c>
      <c r="F13213" s="2" t="s">
        <v>52319</v>
      </c>
      <c r="G13213" s="2" t="str">
        <f>"SR-18686"</f>
        <v>SR-18686</v>
      </c>
      <c r="H13213" s="2" t="s">
        <v>52320</v>
      </c>
      <c r="I13213" s="2" t="s">
        <v>52321</v>
      </c>
      <c r="K13213" s="2" t="s">
        <v>35336</v>
      </c>
      <c r="L13213" s="2" t="s">
        <v>222</v>
      </c>
      <c r="M13213" s="2">
        <v>92656.0</v>
      </c>
      <c r="N13213" s="2" t="s">
        <v>21</v>
      </c>
    </row>
    <row r="13214" ht="15.75" customHeight="1">
      <c r="A13214" s="2">
        <v>2020.0</v>
      </c>
      <c r="B13214" s="2" t="s">
        <v>52322</v>
      </c>
      <c r="C13214" s="2" t="s">
        <v>52322</v>
      </c>
      <c r="D13214" s="2" t="str">
        <f>"402-336-7822"</f>
        <v>402-336-7822</v>
      </c>
      <c r="E13214" s="2" t="s">
        <v>3342</v>
      </c>
      <c r="F13214" s="2" t="s">
        <v>13666</v>
      </c>
      <c r="G13214" s="2" t="str">
        <f>"SR-18698"</f>
        <v>SR-18698</v>
      </c>
      <c r="H13214" s="2" t="s">
        <v>52323</v>
      </c>
      <c r="I13214" s="2" t="s">
        <v>52324</v>
      </c>
      <c r="K13214" s="2" t="s">
        <v>11586</v>
      </c>
      <c r="L13214" s="2" t="s">
        <v>757</v>
      </c>
      <c r="M13214" s="2">
        <v>68742.0</v>
      </c>
      <c r="N13214" s="2" t="s">
        <v>21</v>
      </c>
    </row>
    <row r="13215" ht="15.75" customHeight="1">
      <c r="A13215" s="2">
        <v>2020.0</v>
      </c>
      <c r="B13215" s="2" t="s">
        <v>52325</v>
      </c>
      <c r="C13215" s="2" t="s">
        <v>52326</v>
      </c>
      <c r="D13215" s="2" t="str">
        <f>"719-651-6064"</f>
        <v>719-651-6064</v>
      </c>
      <c r="E13215" s="2" t="s">
        <v>10825</v>
      </c>
      <c r="F13215" s="2" t="s">
        <v>52327</v>
      </c>
      <c r="G13215" s="2" t="str">
        <f>"SR-18701"</f>
        <v>SR-18701</v>
      </c>
      <c r="H13215" s="2" t="s">
        <v>52328</v>
      </c>
      <c r="I13215" s="2" t="s">
        <v>52329</v>
      </c>
      <c r="K13215" s="2" t="s">
        <v>507</v>
      </c>
      <c r="L13215" s="2" t="s">
        <v>157</v>
      </c>
      <c r="M13215" s="2">
        <v>80132.0</v>
      </c>
      <c r="N13215" s="2" t="s">
        <v>21</v>
      </c>
    </row>
    <row r="13216" ht="15.75" customHeight="1">
      <c r="A13216" s="2">
        <v>2020.0</v>
      </c>
      <c r="B13216" s="2" t="s">
        <v>52330</v>
      </c>
      <c r="C13216" s="2" t="s">
        <v>52331</v>
      </c>
      <c r="D13216" s="2" t="str">
        <f>"4178481885"</f>
        <v>4178481885</v>
      </c>
      <c r="E13216" s="2" t="s">
        <v>267</v>
      </c>
      <c r="F13216" s="2" t="s">
        <v>52332</v>
      </c>
      <c r="G13216" s="2" t="str">
        <f>"SR-18703"</f>
        <v>SR-18703</v>
      </c>
      <c r="H13216" s="2" t="s">
        <v>52333</v>
      </c>
      <c r="I13216" s="2" t="s">
        <v>52334</v>
      </c>
      <c r="K13216" s="2" t="s">
        <v>3239</v>
      </c>
      <c r="L13216" s="2" t="s">
        <v>214</v>
      </c>
      <c r="M13216" s="2">
        <v>65807.0</v>
      </c>
      <c r="N13216" s="2" t="s">
        <v>21</v>
      </c>
    </row>
    <row r="13217" ht="15.75" customHeight="1">
      <c r="A13217" s="2">
        <v>2020.0</v>
      </c>
      <c r="B13217" s="2" t="s">
        <v>52335</v>
      </c>
      <c r="C13217" s="2" t="s">
        <v>52335</v>
      </c>
      <c r="D13217" s="2" t="str">
        <f>"7199857210"</f>
        <v>7199857210</v>
      </c>
      <c r="E13217" s="2" t="s">
        <v>52336</v>
      </c>
      <c r="F13217" s="2" t="s">
        <v>283</v>
      </c>
      <c r="G13217" s="2" t="str">
        <f>"SR-18705"</f>
        <v>SR-18705</v>
      </c>
      <c r="H13217" s="2" t="s">
        <v>52337</v>
      </c>
      <c r="I13217" s="2" t="s">
        <v>52338</v>
      </c>
      <c r="K13217" s="2" t="s">
        <v>809</v>
      </c>
      <c r="L13217" s="2" t="s">
        <v>157</v>
      </c>
      <c r="M13217" s="2">
        <v>80920.0</v>
      </c>
      <c r="N13217" s="2" t="s">
        <v>21</v>
      </c>
    </row>
    <row r="13218" ht="15.75" customHeight="1">
      <c r="A13218" s="2">
        <v>2020.0</v>
      </c>
      <c r="B13218" s="2" t="s">
        <v>52339</v>
      </c>
      <c r="C13218" s="2" t="s">
        <v>52339</v>
      </c>
      <c r="D13218" s="2" t="str">
        <f>"9047082234"</f>
        <v>9047082234</v>
      </c>
      <c r="E13218" s="2" t="s">
        <v>52340</v>
      </c>
      <c r="F13218" s="2" t="s">
        <v>52341</v>
      </c>
      <c r="G13218" s="2" t="str">
        <f>"SR-18710"</f>
        <v>SR-18710</v>
      </c>
      <c r="H13218" s="2" t="s">
        <v>52342</v>
      </c>
      <c r="I13218" s="2" t="s">
        <v>52343</v>
      </c>
      <c r="K13218" s="2" t="s">
        <v>451</v>
      </c>
      <c r="L13218" s="2" t="s">
        <v>208</v>
      </c>
      <c r="M13218" s="2">
        <v>32256.0</v>
      </c>
      <c r="N13218" s="2" t="s">
        <v>21</v>
      </c>
    </row>
    <row r="13219" ht="15.75" customHeight="1">
      <c r="A13219" s="2">
        <v>2020.0</v>
      </c>
      <c r="B13219" s="2" t="s">
        <v>52344</v>
      </c>
      <c r="C13219" s="2" t="s">
        <v>52344</v>
      </c>
      <c r="D13219" s="2" t="str">
        <f>"9047088761"</f>
        <v>9047088761</v>
      </c>
      <c r="E13219" s="2" t="s">
        <v>239</v>
      </c>
      <c r="F13219" s="2" t="s">
        <v>52341</v>
      </c>
      <c r="G13219" s="2" t="str">
        <f>"SR-18711"</f>
        <v>SR-18711</v>
      </c>
      <c r="H13219" s="2" t="s">
        <v>52345</v>
      </c>
      <c r="I13219" s="2" t="s">
        <v>52343</v>
      </c>
      <c r="K13219" s="2" t="s">
        <v>451</v>
      </c>
      <c r="L13219" s="2" t="s">
        <v>208</v>
      </c>
      <c r="M13219" s="2">
        <v>32256.0</v>
      </c>
      <c r="N13219" s="2" t="s">
        <v>21</v>
      </c>
    </row>
    <row r="13220" ht="15.75" customHeight="1">
      <c r="A13220" s="2">
        <v>2020.0</v>
      </c>
      <c r="B13220" s="2" t="s">
        <v>52346</v>
      </c>
      <c r="D13220" s="2" t="str">
        <f>""</f>
        <v/>
      </c>
      <c r="E13220" s="2" t="s">
        <v>326</v>
      </c>
      <c r="F13220" s="2" t="s">
        <v>52347</v>
      </c>
      <c r="G13220" s="2" t="str">
        <f>"SR-18713"</f>
        <v>SR-18713</v>
      </c>
      <c r="H13220" s="2" t="s">
        <v>52348</v>
      </c>
    </row>
    <row r="13221" ht="15.75" customHeight="1">
      <c r="A13221" s="2">
        <v>2020.0</v>
      </c>
      <c r="B13221" s="2" t="s">
        <v>52349</v>
      </c>
      <c r="C13221" s="2" t="s">
        <v>52349</v>
      </c>
      <c r="D13221" s="2" t="str">
        <f>"5803020211"</f>
        <v>5803020211</v>
      </c>
      <c r="E13221" s="2" t="s">
        <v>580</v>
      </c>
      <c r="F13221" s="2" t="s">
        <v>39762</v>
      </c>
      <c r="G13221" s="2" t="str">
        <f>"SR-18715"</f>
        <v>SR-18715</v>
      </c>
      <c r="H13221" s="2" t="s">
        <v>52350</v>
      </c>
      <c r="I13221" s="2" t="s">
        <v>52351</v>
      </c>
      <c r="K13221" s="2" t="s">
        <v>52352</v>
      </c>
      <c r="L13221" s="2" t="s">
        <v>840</v>
      </c>
      <c r="M13221" s="2">
        <v>73048.0</v>
      </c>
      <c r="N13221" s="2" t="s">
        <v>21</v>
      </c>
    </row>
    <row r="13222" ht="15.75" customHeight="1">
      <c r="A13222" s="2">
        <v>2020.0</v>
      </c>
      <c r="B13222" s="2" t="s">
        <v>44814</v>
      </c>
      <c r="C13222" s="2" t="s">
        <v>44814</v>
      </c>
      <c r="D13222" s="2" t="str">
        <f>"4322501573"</f>
        <v>4322501573</v>
      </c>
      <c r="E13222" s="2" t="s">
        <v>7996</v>
      </c>
      <c r="F13222" s="2" t="s">
        <v>645</v>
      </c>
      <c r="G13222" s="2" t="str">
        <f>"SR-18696"</f>
        <v>SR-18696</v>
      </c>
      <c r="H13222" s="2" t="s">
        <v>44815</v>
      </c>
      <c r="I13222" s="2" t="s">
        <v>44816</v>
      </c>
      <c r="K13222" s="2" t="s">
        <v>286</v>
      </c>
      <c r="L13222" s="2" t="s">
        <v>172</v>
      </c>
      <c r="M13222" s="2">
        <v>79707.0</v>
      </c>
      <c r="N13222" s="2" t="s">
        <v>21</v>
      </c>
    </row>
    <row r="13223" ht="15.75" customHeight="1">
      <c r="A13223" s="2">
        <v>2020.0</v>
      </c>
      <c r="B13223" s="2" t="s">
        <v>52353</v>
      </c>
      <c r="C13223" s="2" t="s">
        <v>52354</v>
      </c>
      <c r="D13223" s="2" t="str">
        <f>"720-244-8951"</f>
        <v>720-244-8951</v>
      </c>
      <c r="E13223" s="2" t="s">
        <v>678</v>
      </c>
      <c r="F13223" s="2" t="s">
        <v>45728</v>
      </c>
      <c r="G13223" s="2" t="str">
        <f>"SR-17453"</f>
        <v>SR-17453</v>
      </c>
      <c r="H13223" s="2" t="s">
        <v>52355</v>
      </c>
      <c r="I13223" s="2" t="s">
        <v>52356</v>
      </c>
      <c r="K13223" s="2" t="s">
        <v>1889</v>
      </c>
      <c r="L13223" s="2" t="s">
        <v>157</v>
      </c>
      <c r="M13223" s="2">
        <v>80126.0</v>
      </c>
      <c r="N13223" s="2" t="s">
        <v>21</v>
      </c>
    </row>
    <row r="13224" ht="15.75" customHeight="1">
      <c r="A13224" s="2">
        <v>2020.0</v>
      </c>
      <c r="B13224" s="2" t="s">
        <v>52357</v>
      </c>
      <c r="C13224" s="2" t="s">
        <v>52357</v>
      </c>
      <c r="D13224" s="2" t="str">
        <f>"4047837242"</f>
        <v>4047837242</v>
      </c>
      <c r="E13224" s="2" t="s">
        <v>52358</v>
      </c>
      <c r="F13224" s="2" t="s">
        <v>2350</v>
      </c>
      <c r="G13224" s="2" t="str">
        <f>"SR-18709"</f>
        <v>SR-18709</v>
      </c>
      <c r="H13224" s="2" t="s">
        <v>52359</v>
      </c>
      <c r="I13224" s="2" t="s">
        <v>52360</v>
      </c>
      <c r="K13224" s="2" t="s">
        <v>8128</v>
      </c>
      <c r="L13224" s="2" t="s">
        <v>200</v>
      </c>
      <c r="M13224" s="2">
        <v>30022.0</v>
      </c>
      <c r="N13224" s="2" t="s">
        <v>21</v>
      </c>
    </row>
    <row r="13225" ht="15.75" customHeight="1">
      <c r="A13225" s="2">
        <v>2020.0</v>
      </c>
      <c r="B13225" s="2" t="s">
        <v>52361</v>
      </c>
      <c r="C13225" s="2" t="s">
        <v>52361</v>
      </c>
      <c r="D13225" s="2" t="str">
        <f>"785-342-8055"</f>
        <v>785-342-8055</v>
      </c>
      <c r="E13225" s="2" t="s">
        <v>167</v>
      </c>
      <c r="F13225" s="2" t="s">
        <v>52362</v>
      </c>
      <c r="G13225" s="2" t="str">
        <f>"SR-18721"</f>
        <v>SR-18721</v>
      </c>
      <c r="H13225" s="2" t="s">
        <v>52363</v>
      </c>
      <c r="I13225" s="2" t="s">
        <v>52364</v>
      </c>
      <c r="K13225" s="2" t="s">
        <v>31932</v>
      </c>
      <c r="L13225" s="2" t="s">
        <v>272</v>
      </c>
      <c r="M13225" s="2">
        <v>67401.0</v>
      </c>
      <c r="N13225" s="2" t="s">
        <v>21</v>
      </c>
    </row>
    <row r="13226" ht="15.75" customHeight="1">
      <c r="A13226" s="2">
        <v>2020.0</v>
      </c>
      <c r="B13226" s="2" t="s">
        <v>52365</v>
      </c>
      <c r="C13226" s="2" t="s">
        <v>52365</v>
      </c>
      <c r="D13226" s="2" t="str">
        <f>"8638012891"</f>
        <v>8638012891</v>
      </c>
      <c r="E13226" s="2" t="s">
        <v>10350</v>
      </c>
      <c r="F13226" s="2" t="s">
        <v>16714</v>
      </c>
      <c r="G13226" s="2" t="str">
        <f>"SR-18722"</f>
        <v>SR-18722</v>
      </c>
      <c r="H13226" s="2" t="s">
        <v>52366</v>
      </c>
      <c r="I13226" s="2">
        <v>506.0</v>
      </c>
      <c r="K13226" s="2" t="s">
        <v>16717</v>
      </c>
      <c r="L13226" s="2" t="s">
        <v>208</v>
      </c>
      <c r="M13226" s="2">
        <v>34974.0</v>
      </c>
      <c r="N13226" s="2" t="s">
        <v>21</v>
      </c>
    </row>
    <row r="13227" ht="15.75" customHeight="1">
      <c r="A13227" s="2">
        <v>2020.0</v>
      </c>
      <c r="B13227" s="2" t="s">
        <v>52367</v>
      </c>
      <c r="C13227" s="2" t="s">
        <v>52368</v>
      </c>
      <c r="D13227" s="2" t="str">
        <f>"7196874494"</f>
        <v>7196874494</v>
      </c>
      <c r="E13227" s="2" t="s">
        <v>1208</v>
      </c>
      <c r="F13227" s="2" t="s">
        <v>3212</v>
      </c>
      <c r="G13227" s="2" t="str">
        <f>"SR-18724"</f>
        <v>SR-18724</v>
      </c>
      <c r="H13227" s="2" t="s">
        <v>52369</v>
      </c>
      <c r="I13227" s="2" t="s">
        <v>52370</v>
      </c>
      <c r="K13227" s="2" t="s">
        <v>1127</v>
      </c>
      <c r="L13227" s="2" t="s">
        <v>157</v>
      </c>
      <c r="M13227" s="2">
        <v>80814.0</v>
      </c>
      <c r="N13227" s="2" t="s">
        <v>21</v>
      </c>
    </row>
    <row r="13228" ht="15.75" customHeight="1">
      <c r="A13228" s="2">
        <v>2020.0</v>
      </c>
      <c r="B13228" s="2" t="s">
        <v>52371</v>
      </c>
      <c r="C13228" s="2" t="s">
        <v>52372</v>
      </c>
      <c r="D13228" s="2" t="str">
        <f>"720-641-3415"</f>
        <v>720-641-3415</v>
      </c>
      <c r="E13228" s="2" t="s">
        <v>52373</v>
      </c>
      <c r="F13228" s="2" t="s">
        <v>52374</v>
      </c>
      <c r="G13228" s="2" t="str">
        <f>"SR-18720"</f>
        <v>SR-18720</v>
      </c>
      <c r="H13228" s="2" t="s">
        <v>52375</v>
      </c>
      <c r="I13228" s="2" t="s">
        <v>52376</v>
      </c>
      <c r="K13228" s="2" t="s">
        <v>992</v>
      </c>
      <c r="L13228" s="2" t="s">
        <v>157</v>
      </c>
      <c r="M13228" s="2">
        <v>80122.0</v>
      </c>
      <c r="N13228" s="2" t="s">
        <v>21</v>
      </c>
    </row>
    <row r="13229" ht="15.75" customHeight="1">
      <c r="A13229" s="2">
        <v>2020.0</v>
      </c>
      <c r="B13229" s="2" t="s">
        <v>52377</v>
      </c>
      <c r="C13229" s="2" t="s">
        <v>52378</v>
      </c>
      <c r="D13229" s="2" t="str">
        <f>"3037669063"</f>
        <v>3037669063</v>
      </c>
      <c r="E13229" s="2" t="s">
        <v>217</v>
      </c>
      <c r="F13229" s="2" t="s">
        <v>52379</v>
      </c>
      <c r="G13229" s="2" t="str">
        <f>"SR-18725"</f>
        <v>SR-18725</v>
      </c>
      <c r="H13229" s="2" t="s">
        <v>52380</v>
      </c>
      <c r="I13229" s="2" t="s">
        <v>52381</v>
      </c>
      <c r="K13229" s="2" t="s">
        <v>1520</v>
      </c>
      <c r="L13229" s="2" t="s">
        <v>157</v>
      </c>
      <c r="M13229" s="2">
        <v>80016.0</v>
      </c>
      <c r="N13229" s="2" t="s">
        <v>21</v>
      </c>
    </row>
    <row r="13230" ht="15.75" customHeight="1">
      <c r="A13230" s="2">
        <v>2020.0</v>
      </c>
      <c r="B13230" s="2" t="s">
        <v>52382</v>
      </c>
      <c r="C13230" s="2" t="s">
        <v>52382</v>
      </c>
      <c r="D13230" s="2" t="str">
        <f>"(956) 459-3992"</f>
        <v>(956) 459-3992</v>
      </c>
      <c r="E13230" s="2" t="s">
        <v>2243</v>
      </c>
      <c r="F13230" s="2" t="s">
        <v>52383</v>
      </c>
      <c r="G13230" s="2" t="str">
        <f>"SR-18726"</f>
        <v>SR-18726</v>
      </c>
      <c r="H13230" s="2" t="s">
        <v>52384</v>
      </c>
      <c r="I13230" s="2" t="s">
        <v>52385</v>
      </c>
      <c r="K13230" s="2" t="s">
        <v>46506</v>
      </c>
      <c r="L13230" s="2" t="s">
        <v>172</v>
      </c>
      <c r="M13230" s="2">
        <v>78520.0</v>
      </c>
      <c r="N13230" s="2" t="s">
        <v>21</v>
      </c>
    </row>
    <row r="13231" ht="15.75" customHeight="1">
      <c r="A13231" s="2">
        <v>2020.0</v>
      </c>
      <c r="B13231" s="2" t="s">
        <v>44959</v>
      </c>
      <c r="C13231" s="2" t="s">
        <v>44959</v>
      </c>
      <c r="D13231" s="2" t="str">
        <f>"4325598680"</f>
        <v>4325598680</v>
      </c>
      <c r="E13231" s="2" t="s">
        <v>2010</v>
      </c>
      <c r="F13231" s="2" t="s">
        <v>44960</v>
      </c>
      <c r="G13231" s="2" t="str">
        <f>"SR-15710"</f>
        <v>SR-15710</v>
      </c>
      <c r="H13231" s="2" t="s">
        <v>44961</v>
      </c>
      <c r="I13231" s="2" t="s">
        <v>44962</v>
      </c>
      <c r="K13231" s="2" t="s">
        <v>286</v>
      </c>
      <c r="L13231" s="2" t="s">
        <v>172</v>
      </c>
      <c r="M13231" s="2">
        <v>79707.0</v>
      </c>
      <c r="N13231" s="2" t="s">
        <v>21</v>
      </c>
    </row>
    <row r="13232" ht="15.75" customHeight="1">
      <c r="A13232" s="2">
        <v>2020.0</v>
      </c>
      <c r="B13232" s="2" t="s">
        <v>52386</v>
      </c>
      <c r="C13232" s="2" t="s">
        <v>52387</v>
      </c>
      <c r="D13232" s="2" t="str">
        <f>"719-470-3175"</f>
        <v>719-470-3175</v>
      </c>
      <c r="E13232" s="2" t="s">
        <v>585</v>
      </c>
      <c r="F13232" s="2" t="s">
        <v>457</v>
      </c>
      <c r="G13232" s="2" t="str">
        <f>"SR-18727"</f>
        <v>SR-18727</v>
      </c>
      <c r="H13232" s="2" t="s">
        <v>52388</v>
      </c>
      <c r="I13232" s="2" t="s">
        <v>52389</v>
      </c>
      <c r="K13232" s="2" t="s">
        <v>507</v>
      </c>
      <c r="L13232" s="2" t="s">
        <v>157</v>
      </c>
      <c r="M13232" s="2">
        <v>80132.0</v>
      </c>
      <c r="N13232" s="2" t="s">
        <v>21</v>
      </c>
    </row>
    <row r="13233" ht="15.75" customHeight="1">
      <c r="A13233" s="2">
        <v>2020.0</v>
      </c>
      <c r="B13233" s="2" t="s">
        <v>52390</v>
      </c>
      <c r="C13233" s="2" t="s">
        <v>52391</v>
      </c>
      <c r="D13233" s="2" t="str">
        <f>"2564452842"</f>
        <v>2564452842</v>
      </c>
      <c r="E13233" s="2" t="s">
        <v>4763</v>
      </c>
      <c r="F13233" s="2" t="s">
        <v>52392</v>
      </c>
      <c r="G13233" s="2" t="str">
        <f>"SR-18729"</f>
        <v>SR-18729</v>
      </c>
      <c r="H13233" s="2" t="s">
        <v>52393</v>
      </c>
      <c r="I13233" s="2" t="s">
        <v>52394</v>
      </c>
      <c r="K13233" s="2" t="s">
        <v>52395</v>
      </c>
      <c r="L13233" s="2" t="s">
        <v>539</v>
      </c>
      <c r="M13233" s="2">
        <v>35650.0</v>
      </c>
      <c r="N13233" s="2" t="s">
        <v>21</v>
      </c>
    </row>
    <row r="13234" ht="15.75" customHeight="1">
      <c r="A13234" s="2">
        <v>2020.0</v>
      </c>
      <c r="B13234" s="2" t="s">
        <v>52396</v>
      </c>
      <c r="C13234" s="2" t="s">
        <v>52397</v>
      </c>
      <c r="D13234" s="2" t="str">
        <f>"570-395-3352"</f>
        <v>570-395-3352</v>
      </c>
      <c r="E13234" s="2" t="s">
        <v>17177</v>
      </c>
      <c r="F13234" s="2" t="s">
        <v>52398</v>
      </c>
      <c r="G13234" s="2" t="str">
        <f>"SR-18691"</f>
        <v>SR-18691</v>
      </c>
      <c r="H13234" s="2" t="s">
        <v>52399</v>
      </c>
      <c r="I13234" s="2" t="s">
        <v>52400</v>
      </c>
      <c r="K13234" s="2" t="s">
        <v>40770</v>
      </c>
      <c r="L13234" s="2" t="s">
        <v>179</v>
      </c>
      <c r="M13234" s="2">
        <v>18851.0</v>
      </c>
      <c r="N13234" s="2" t="s">
        <v>21</v>
      </c>
    </row>
    <row r="13235" ht="15.75" customHeight="1">
      <c r="A13235" s="2">
        <v>2020.0</v>
      </c>
      <c r="B13235" s="2" t="s">
        <v>52401</v>
      </c>
      <c r="C13235" s="2" t="s">
        <v>52401</v>
      </c>
      <c r="D13235" s="2" t="str">
        <f>"571-438-1083"</f>
        <v>571-438-1083</v>
      </c>
      <c r="E13235" s="2" t="s">
        <v>1197</v>
      </c>
      <c r="F13235" s="2" t="s">
        <v>1190</v>
      </c>
      <c r="G13235" s="2" t="str">
        <f>"SR-18682"</f>
        <v>SR-18682</v>
      </c>
      <c r="H13235" s="2" t="s">
        <v>52402</v>
      </c>
      <c r="I13235" s="2" t="s">
        <v>52403</v>
      </c>
      <c r="K13235" s="2" t="s">
        <v>26355</v>
      </c>
      <c r="L13235" s="2" t="s">
        <v>165</v>
      </c>
      <c r="M13235" s="2">
        <v>22060.0</v>
      </c>
      <c r="N13235" s="2" t="s">
        <v>21</v>
      </c>
    </row>
    <row r="13236" ht="15.75" customHeight="1">
      <c r="A13236" s="2">
        <v>2020.0</v>
      </c>
      <c r="B13236" s="2" t="s">
        <v>52404</v>
      </c>
      <c r="C13236" s="2" t="s">
        <v>52405</v>
      </c>
      <c r="D13236" s="2" t="str">
        <f>"5734666216"</f>
        <v>5734666216</v>
      </c>
      <c r="E13236" s="2" t="s">
        <v>1278</v>
      </c>
      <c r="F13236" s="2" t="s">
        <v>8787</v>
      </c>
      <c r="G13236" s="2" t="str">
        <f>"SR-18730"</f>
        <v>SR-18730</v>
      </c>
      <c r="H13236" s="2" t="s">
        <v>52406</v>
      </c>
      <c r="I13236" s="2" t="s">
        <v>52407</v>
      </c>
      <c r="K13236" s="2" t="s">
        <v>22002</v>
      </c>
      <c r="L13236" s="2" t="s">
        <v>214</v>
      </c>
      <c r="M13236" s="2">
        <v>65401.0</v>
      </c>
      <c r="N13236" s="2" t="s">
        <v>21</v>
      </c>
    </row>
    <row r="13237" ht="15.75" customHeight="1">
      <c r="A13237" s="2">
        <v>2020.0</v>
      </c>
      <c r="B13237" s="2" t="s">
        <v>52408</v>
      </c>
      <c r="C13237" s="2" t="s">
        <v>52409</v>
      </c>
      <c r="D13237" s="2" t="str">
        <f>"7193529501"</f>
        <v>7193529501</v>
      </c>
      <c r="E13237" s="2" t="s">
        <v>1007</v>
      </c>
      <c r="F13237" s="2" t="s">
        <v>1726</v>
      </c>
      <c r="G13237" s="2" t="str">
        <f>"SR-18731"</f>
        <v>SR-18731</v>
      </c>
      <c r="H13237" s="2" t="s">
        <v>52410</v>
      </c>
      <c r="I13237" s="2" t="s">
        <v>52411</v>
      </c>
      <c r="K13237" s="2" t="s">
        <v>809</v>
      </c>
      <c r="L13237" s="2" t="s">
        <v>157</v>
      </c>
      <c r="M13237" s="2">
        <v>80911.0</v>
      </c>
      <c r="N13237" s="2" t="s">
        <v>21</v>
      </c>
    </row>
    <row r="13238" ht="15.75" customHeight="1">
      <c r="A13238" s="2">
        <v>2020.0</v>
      </c>
      <c r="B13238" s="2" t="s">
        <v>52412</v>
      </c>
      <c r="C13238" s="2" t="s">
        <v>52412</v>
      </c>
      <c r="D13238" s="2" t="str">
        <f>"5734654544"</f>
        <v>5734654544</v>
      </c>
      <c r="E13238" s="2" t="s">
        <v>2378</v>
      </c>
      <c r="F13238" s="2" t="s">
        <v>8787</v>
      </c>
      <c r="G13238" s="2" t="str">
        <f>"SR-18733"</f>
        <v>SR-18733</v>
      </c>
      <c r="H13238" s="2" t="s">
        <v>52413</v>
      </c>
      <c r="I13238" s="2" t="s">
        <v>52414</v>
      </c>
      <c r="K13238" s="2" t="s">
        <v>22002</v>
      </c>
      <c r="L13238" s="2" t="s">
        <v>214</v>
      </c>
      <c r="M13238" s="2">
        <v>65401.0</v>
      </c>
      <c r="N13238" s="2" t="s">
        <v>21</v>
      </c>
    </row>
    <row r="13239" ht="15.75" customHeight="1">
      <c r="A13239" s="2">
        <v>2020.0</v>
      </c>
      <c r="B13239" s="2" t="s">
        <v>52415</v>
      </c>
      <c r="C13239" s="2" t="s">
        <v>52415</v>
      </c>
      <c r="D13239" s="2" t="str">
        <f>"4326386840"</f>
        <v>4326386840</v>
      </c>
      <c r="E13239" s="2" t="s">
        <v>52416</v>
      </c>
      <c r="F13239" s="2" t="s">
        <v>278</v>
      </c>
      <c r="G13239" s="2" t="str">
        <f>"SR-18712"</f>
        <v>SR-18712</v>
      </c>
      <c r="H13239" s="2" t="s">
        <v>52417</v>
      </c>
      <c r="I13239" s="2" t="s">
        <v>52418</v>
      </c>
      <c r="K13239" s="2" t="s">
        <v>286</v>
      </c>
      <c r="L13239" s="2" t="s">
        <v>172</v>
      </c>
      <c r="M13239" s="2">
        <v>79705.0</v>
      </c>
      <c r="N13239" s="2" t="s">
        <v>21</v>
      </c>
    </row>
    <row r="13240" ht="15.75" customHeight="1">
      <c r="A13240" s="2">
        <v>2020.0</v>
      </c>
      <c r="B13240" s="2" t="s">
        <v>52419</v>
      </c>
      <c r="C13240" s="2" t="s">
        <v>52419</v>
      </c>
      <c r="D13240" s="2" t="str">
        <f>"419-750-4949"</f>
        <v>419-750-4949</v>
      </c>
      <c r="E13240" s="2" t="s">
        <v>52420</v>
      </c>
      <c r="F13240" s="2" t="s">
        <v>472</v>
      </c>
      <c r="G13240" s="2" t="str">
        <f>"SR-18732"</f>
        <v>SR-18732</v>
      </c>
      <c r="H13240" s="2" t="s">
        <v>52421</v>
      </c>
      <c r="I13240" s="2" t="s">
        <v>52422</v>
      </c>
      <c r="K13240" s="2" t="s">
        <v>1154</v>
      </c>
      <c r="L13240" s="2" t="s">
        <v>344</v>
      </c>
      <c r="M13240" s="2">
        <v>44805.0</v>
      </c>
      <c r="N13240" s="2" t="s">
        <v>21</v>
      </c>
    </row>
    <row r="13241" ht="15.75" customHeight="1">
      <c r="A13241" s="2">
        <v>2020.0</v>
      </c>
      <c r="B13241" s="2" t="s">
        <v>52423</v>
      </c>
      <c r="C13241" s="2" t="s">
        <v>52424</v>
      </c>
      <c r="D13241" s="2" t="str">
        <f>"3072541120"</f>
        <v>3072541120</v>
      </c>
      <c r="E13241" s="2" t="s">
        <v>282</v>
      </c>
      <c r="F13241" s="2" t="s">
        <v>12320</v>
      </c>
      <c r="G13241" s="2" t="str">
        <f>"SR-18734"</f>
        <v>SR-18734</v>
      </c>
      <c r="H13241" s="2" t="s">
        <v>52425</v>
      </c>
      <c r="I13241" s="2" t="s">
        <v>33986</v>
      </c>
      <c r="K13241" s="2" t="s">
        <v>2771</v>
      </c>
      <c r="L13241" s="2" t="s">
        <v>1540</v>
      </c>
      <c r="M13241" s="2">
        <v>82435.0</v>
      </c>
      <c r="N13241" s="2" t="s">
        <v>21</v>
      </c>
    </row>
    <row r="13242" ht="15.75" customHeight="1">
      <c r="A13242" s="2">
        <v>2020.0</v>
      </c>
      <c r="B13242" s="2" t="s">
        <v>52426</v>
      </c>
      <c r="C13242" s="2" t="s">
        <v>52427</v>
      </c>
      <c r="D13242" s="2" t="str">
        <f>"7197498200"</f>
        <v>7197498200</v>
      </c>
      <c r="E13242" s="2" t="s">
        <v>52428</v>
      </c>
      <c r="F13242" s="2" t="s">
        <v>10845</v>
      </c>
      <c r="G13242" s="2" t="str">
        <f>"SR-18735"</f>
        <v>SR-18735</v>
      </c>
      <c r="H13242" s="2" t="s">
        <v>52429</v>
      </c>
      <c r="I13242" s="2" t="s">
        <v>52430</v>
      </c>
      <c r="K13242" s="2" t="s">
        <v>1548</v>
      </c>
      <c r="L13242" s="2" t="s">
        <v>157</v>
      </c>
      <c r="M13242" s="2">
        <v>80107.0</v>
      </c>
      <c r="N13242" s="2" t="s">
        <v>21</v>
      </c>
    </row>
    <row r="13243" ht="15.75" customHeight="1">
      <c r="A13243" s="2">
        <v>2020.0</v>
      </c>
      <c r="B13243" s="2" t="s">
        <v>52431</v>
      </c>
      <c r="C13243" s="2" t="s">
        <v>52431</v>
      </c>
      <c r="D13243" s="2" t="str">
        <f>"3082248900"</f>
        <v>3082248900</v>
      </c>
      <c r="E13243" s="2" t="s">
        <v>51274</v>
      </c>
      <c r="F13243" s="2" t="s">
        <v>52432</v>
      </c>
      <c r="G13243" s="2" t="str">
        <f>"SR-18736"</f>
        <v>SR-18736</v>
      </c>
      <c r="H13243" s="2" t="s">
        <v>52433</v>
      </c>
      <c r="I13243" s="2" t="s">
        <v>52434</v>
      </c>
      <c r="K13243" s="2" t="s">
        <v>14870</v>
      </c>
      <c r="L13243" s="2" t="s">
        <v>757</v>
      </c>
      <c r="M13243" s="2">
        <v>68845.0</v>
      </c>
      <c r="N13243" s="2" t="s">
        <v>21</v>
      </c>
    </row>
    <row r="13244" ht="15.75" customHeight="1">
      <c r="A13244" s="2">
        <v>2020.0</v>
      </c>
      <c r="B13244" s="2" t="s">
        <v>51387</v>
      </c>
      <c r="C13244" s="2" t="s">
        <v>51387</v>
      </c>
      <c r="D13244" s="2" t="str">
        <f>"7145533474"</f>
        <v>7145533474</v>
      </c>
      <c r="E13244" s="2" t="s">
        <v>2243</v>
      </c>
      <c r="F13244" s="2" t="s">
        <v>10249</v>
      </c>
      <c r="G13244" s="2" t="str">
        <f>"SR-18738"</f>
        <v>SR-18738</v>
      </c>
      <c r="H13244" s="2" t="s">
        <v>51388</v>
      </c>
      <c r="I13244" s="2" t="s">
        <v>51389</v>
      </c>
      <c r="K13244" s="2" t="s">
        <v>24136</v>
      </c>
      <c r="L13244" s="2" t="s">
        <v>222</v>
      </c>
      <c r="M13244" s="2">
        <v>92620.0</v>
      </c>
      <c r="N13244" s="2" t="s">
        <v>21</v>
      </c>
    </row>
    <row r="13245" ht="15.75" customHeight="1">
      <c r="A13245" s="2">
        <v>2020.0</v>
      </c>
      <c r="B13245" s="2" t="s">
        <v>52435</v>
      </c>
      <c r="C13245" s="2" t="s">
        <v>52435</v>
      </c>
      <c r="D13245" s="2" t="str">
        <f>"(217) 450-7575"</f>
        <v>(217) 450-7575</v>
      </c>
      <c r="E13245" s="2" t="s">
        <v>1918</v>
      </c>
      <c r="F13245" s="2" t="s">
        <v>701</v>
      </c>
      <c r="G13245" s="2" t="str">
        <f>"SR-18737"</f>
        <v>SR-18737</v>
      </c>
      <c r="H13245" s="2" t="s">
        <v>52436</v>
      </c>
      <c r="I13245" s="2" t="s">
        <v>52437</v>
      </c>
      <c r="K13245" s="2" t="s">
        <v>52438</v>
      </c>
      <c r="L13245" s="2" t="s">
        <v>105</v>
      </c>
      <c r="M13245" s="2">
        <v>62550.0</v>
      </c>
      <c r="N13245" s="2" t="s">
        <v>21</v>
      </c>
    </row>
    <row r="13246" ht="15.75" customHeight="1">
      <c r="A13246" s="2">
        <v>2020.0</v>
      </c>
      <c r="B13246" s="2" t="s">
        <v>52439</v>
      </c>
      <c r="C13246" s="2" t="s">
        <v>52440</v>
      </c>
      <c r="D13246" s="2" t="str">
        <f>"4322693004"</f>
        <v>4322693004</v>
      </c>
      <c r="E13246" s="2" t="s">
        <v>659</v>
      </c>
      <c r="F13246" s="2" t="s">
        <v>4120</v>
      </c>
      <c r="G13246" s="2" t="str">
        <f>"SR-18739"</f>
        <v>SR-18739</v>
      </c>
      <c r="H13246" s="2" t="s">
        <v>52441</v>
      </c>
      <c r="I13246" s="2" t="s">
        <v>52442</v>
      </c>
      <c r="K13246" s="2" t="s">
        <v>286</v>
      </c>
      <c r="L13246" s="2" t="s">
        <v>172</v>
      </c>
      <c r="M13246" s="2">
        <v>79707.0</v>
      </c>
      <c r="N13246" s="2" t="s">
        <v>21</v>
      </c>
    </row>
    <row r="13247" ht="15.75" customHeight="1">
      <c r="A13247" s="2">
        <v>2020.0</v>
      </c>
      <c r="B13247" s="2" t="s">
        <v>52443</v>
      </c>
      <c r="C13247" s="2" t="s">
        <v>52443</v>
      </c>
      <c r="D13247" s="2" t="str">
        <f>"2814153997"</f>
        <v>2814153997</v>
      </c>
      <c r="E13247" s="2" t="s">
        <v>659</v>
      </c>
      <c r="F13247" s="2" t="s">
        <v>52444</v>
      </c>
      <c r="G13247" s="2" t="str">
        <f>"SR-18742"</f>
        <v>SR-18742</v>
      </c>
      <c r="H13247" s="2" t="s">
        <v>52445</v>
      </c>
      <c r="I13247" s="2" t="s">
        <v>52446</v>
      </c>
      <c r="K13247" s="2" t="s">
        <v>12522</v>
      </c>
      <c r="L13247" s="2" t="s">
        <v>172</v>
      </c>
      <c r="M13247" s="2">
        <v>77433.0</v>
      </c>
      <c r="N13247" s="2" t="s">
        <v>21</v>
      </c>
    </row>
    <row r="13248" ht="15.75" customHeight="1">
      <c r="A13248" s="2">
        <v>2020.0</v>
      </c>
      <c r="B13248" s="2" t="s">
        <v>52447</v>
      </c>
      <c r="C13248" s="2" t="s">
        <v>52448</v>
      </c>
      <c r="D13248" s="2" t="str">
        <f>"9792205426"</f>
        <v>9792205426</v>
      </c>
      <c r="E13248" s="2" t="s">
        <v>2632</v>
      </c>
      <c r="F13248" s="2" t="s">
        <v>8189</v>
      </c>
      <c r="G13248" s="2" t="str">
        <f>"SR-9232"</f>
        <v>SR-9232</v>
      </c>
      <c r="H13248" s="2" t="s">
        <v>52449</v>
      </c>
      <c r="I13248" s="2" t="s">
        <v>52450</v>
      </c>
      <c r="K13248" s="2" t="s">
        <v>2969</v>
      </c>
      <c r="L13248" s="2" t="s">
        <v>172</v>
      </c>
      <c r="M13248" s="2">
        <v>77845.0</v>
      </c>
      <c r="N13248" s="2" t="s">
        <v>21</v>
      </c>
    </row>
    <row r="13249" ht="15.75" customHeight="1">
      <c r="A13249" s="2">
        <v>2020.0</v>
      </c>
      <c r="B13249" s="2" t="s">
        <v>19486</v>
      </c>
      <c r="C13249" s="2" t="s">
        <v>41269</v>
      </c>
      <c r="D13249" s="2" t="str">
        <f>"346-310-0916"</f>
        <v>346-310-0916</v>
      </c>
      <c r="E13249" s="2" t="s">
        <v>339</v>
      </c>
      <c r="F13249" s="2" t="s">
        <v>3842</v>
      </c>
      <c r="G13249" s="2" t="str">
        <f>"SR-14154"</f>
        <v>SR-14154</v>
      </c>
      <c r="H13249" s="2" t="s">
        <v>41270</v>
      </c>
      <c r="I13249" s="2" t="s">
        <v>41271</v>
      </c>
      <c r="K13249" s="2" t="s">
        <v>6499</v>
      </c>
      <c r="L13249" s="2" t="s">
        <v>172</v>
      </c>
      <c r="M13249" s="2">
        <v>77493.0</v>
      </c>
      <c r="N13249" s="2" t="s">
        <v>21</v>
      </c>
    </row>
    <row r="13250" ht="15.75" customHeight="1">
      <c r="A13250" s="2">
        <v>2020.0</v>
      </c>
      <c r="B13250" s="2" t="s">
        <v>52451</v>
      </c>
      <c r="C13250" s="2" t="s">
        <v>52452</v>
      </c>
      <c r="D13250" s="2" t="str">
        <f>"5038944317"</f>
        <v>5038944317</v>
      </c>
      <c r="E13250" s="2" t="s">
        <v>5542</v>
      </c>
      <c r="F13250" s="2" t="s">
        <v>50860</v>
      </c>
      <c r="G13250" s="2" t="str">
        <f>"SR-18574"</f>
        <v>SR-18574</v>
      </c>
      <c r="H13250" s="2" t="s">
        <v>52453</v>
      </c>
      <c r="I13250" s="2" t="s">
        <v>52454</v>
      </c>
      <c r="K13250" s="2" t="s">
        <v>11515</v>
      </c>
      <c r="L13250" s="2" t="s">
        <v>2389</v>
      </c>
      <c r="M13250" s="2">
        <v>97381.0</v>
      </c>
      <c r="N13250" s="2" t="s">
        <v>21</v>
      </c>
    </row>
    <row r="13251" ht="15.75" customHeight="1">
      <c r="A13251" s="2">
        <v>2020.0</v>
      </c>
      <c r="B13251" s="2" t="s">
        <v>46375</v>
      </c>
      <c r="C13251" s="2" t="s">
        <v>52455</v>
      </c>
      <c r="D13251" s="2" t="str">
        <f>"832-846-0134"</f>
        <v>832-846-0134</v>
      </c>
      <c r="E13251" s="2" t="s">
        <v>339</v>
      </c>
      <c r="F13251" s="2" t="s">
        <v>1312</v>
      </c>
      <c r="G13251" s="2" t="str">
        <f>"SR-18062"</f>
        <v>SR-18062</v>
      </c>
      <c r="H13251" s="2" t="s">
        <v>52456</v>
      </c>
      <c r="I13251" s="2" t="s">
        <v>52457</v>
      </c>
      <c r="K13251" s="2" t="s">
        <v>23806</v>
      </c>
      <c r="L13251" s="2" t="s">
        <v>172</v>
      </c>
      <c r="M13251" s="2">
        <v>77441.0</v>
      </c>
      <c r="N13251" s="2" t="s">
        <v>21</v>
      </c>
    </row>
    <row r="13252" ht="15.75" customHeight="1">
      <c r="A13252" s="2">
        <v>2020.0</v>
      </c>
      <c r="B13252" s="2" t="s">
        <v>38817</v>
      </c>
      <c r="C13252" s="2" t="s">
        <v>38818</v>
      </c>
      <c r="D13252" s="2" t="str">
        <f>"6202873792"</f>
        <v>6202873792</v>
      </c>
      <c r="E13252" s="2" t="s">
        <v>1946</v>
      </c>
      <c r="F13252" s="2" t="s">
        <v>5351</v>
      </c>
      <c r="G13252" s="2" t="str">
        <f>"SR-13283"</f>
        <v>SR-13283</v>
      </c>
      <c r="H13252" s="2" t="s">
        <v>38819</v>
      </c>
      <c r="I13252" s="2" t="s">
        <v>38820</v>
      </c>
      <c r="K13252" s="2" t="s">
        <v>6198</v>
      </c>
      <c r="L13252" s="2" t="s">
        <v>272</v>
      </c>
      <c r="M13252" s="2">
        <v>67449.0</v>
      </c>
      <c r="N13252" s="2" t="s">
        <v>21</v>
      </c>
    </row>
    <row r="13253" ht="15.75" customHeight="1">
      <c r="A13253" s="2">
        <v>2020.0</v>
      </c>
      <c r="B13253" s="2" t="s">
        <v>52458</v>
      </c>
      <c r="C13253" s="2" t="s">
        <v>52458</v>
      </c>
      <c r="D13253" s="2" t="str">
        <f>"7127390283"</f>
        <v>7127390283</v>
      </c>
      <c r="E13253" s="2" t="s">
        <v>5127</v>
      </c>
      <c r="F13253" s="2" t="s">
        <v>52459</v>
      </c>
      <c r="G13253" s="2" t="str">
        <f>"SR-18723"</f>
        <v>SR-18723</v>
      </c>
      <c r="H13253" s="2" t="s">
        <v>52460</v>
      </c>
      <c r="I13253" s="2" t="s">
        <v>52461</v>
      </c>
      <c r="K13253" s="2" t="s">
        <v>1064</v>
      </c>
      <c r="L13253" s="2" t="s">
        <v>560</v>
      </c>
      <c r="M13253" s="2">
        <v>51239.0</v>
      </c>
      <c r="N13253" s="2" t="s">
        <v>21</v>
      </c>
    </row>
    <row r="13254" ht="15.75" customHeight="1">
      <c r="A13254" s="2">
        <v>2020.0</v>
      </c>
      <c r="B13254" s="2" t="s">
        <v>38369</v>
      </c>
      <c r="C13254" s="2" t="s">
        <v>38370</v>
      </c>
      <c r="D13254" s="2" t="str">
        <f t="shared" ref="D13254:D13255" si="222">"940-498-1595"</f>
        <v>940-498-1595</v>
      </c>
      <c r="E13254" s="2" t="s">
        <v>485</v>
      </c>
      <c r="F13254" s="2" t="s">
        <v>38371</v>
      </c>
      <c r="G13254" s="2" t="str">
        <f>"SR-13046"</f>
        <v>SR-13046</v>
      </c>
      <c r="H13254" s="2" t="s">
        <v>38372</v>
      </c>
      <c r="I13254" s="2" t="s">
        <v>38373</v>
      </c>
      <c r="K13254" s="2" t="s">
        <v>24245</v>
      </c>
      <c r="L13254" s="2" t="s">
        <v>172</v>
      </c>
      <c r="M13254" s="2">
        <v>76210.0</v>
      </c>
      <c r="N13254" s="2" t="s">
        <v>21</v>
      </c>
    </row>
    <row r="13255" ht="15.75" customHeight="1">
      <c r="A13255" s="2">
        <v>2020.0</v>
      </c>
      <c r="B13255" s="2" t="s">
        <v>38369</v>
      </c>
      <c r="C13255" s="2" t="s">
        <v>52462</v>
      </c>
      <c r="D13255" s="2" t="str">
        <f t="shared" si="222"/>
        <v>940-498-1595</v>
      </c>
      <c r="E13255" s="2" t="s">
        <v>301</v>
      </c>
      <c r="F13255" s="2" t="s">
        <v>38371</v>
      </c>
      <c r="G13255" s="2" t="str">
        <f>"SR-18753"</f>
        <v>SR-18753</v>
      </c>
      <c r="H13255" s="2" t="s">
        <v>52463</v>
      </c>
      <c r="I13255" s="2" t="s">
        <v>38373</v>
      </c>
      <c r="K13255" s="2" t="s">
        <v>24245</v>
      </c>
      <c r="L13255" s="2" t="s">
        <v>172</v>
      </c>
      <c r="M13255" s="2">
        <v>76210.0</v>
      </c>
      <c r="N13255" s="2" t="s">
        <v>21</v>
      </c>
    </row>
    <row r="13256" ht="15.75" customHeight="1">
      <c r="A13256" s="2">
        <v>2020.0</v>
      </c>
      <c r="B13256" s="2" t="s">
        <v>52464</v>
      </c>
      <c r="C13256" s="2" t="s">
        <v>52464</v>
      </c>
      <c r="D13256" s="2" t="str">
        <f>"2313308644"</f>
        <v>2313308644</v>
      </c>
      <c r="E13256" s="2" t="s">
        <v>678</v>
      </c>
      <c r="F13256" s="2" t="s">
        <v>962</v>
      </c>
      <c r="G13256" s="2" t="str">
        <f>"SR-18751"</f>
        <v>SR-18751</v>
      </c>
      <c r="H13256" s="2" t="s">
        <v>52465</v>
      </c>
      <c r="I13256" s="2" t="s">
        <v>52466</v>
      </c>
      <c r="K13256" s="2" t="s">
        <v>42511</v>
      </c>
      <c r="L13256" s="2" t="s">
        <v>422</v>
      </c>
      <c r="M13256" s="2">
        <v>86315.0</v>
      </c>
      <c r="N13256" s="2" t="s">
        <v>21</v>
      </c>
    </row>
    <row r="13257" ht="15.75" customHeight="1">
      <c r="A13257" s="2">
        <v>2020.0</v>
      </c>
      <c r="B13257" s="2" t="s">
        <v>52467</v>
      </c>
      <c r="C13257" s="2" t="s">
        <v>52467</v>
      </c>
      <c r="D13257" s="2" t="str">
        <f>"610-880-9526"</f>
        <v>610-880-9526</v>
      </c>
      <c r="E13257" s="2" t="s">
        <v>52468</v>
      </c>
      <c r="F13257" s="2" t="s">
        <v>645</v>
      </c>
      <c r="G13257" s="2" t="str">
        <f>"SR-18756"</f>
        <v>SR-18756</v>
      </c>
      <c r="H13257" s="2" t="s">
        <v>52469</v>
      </c>
      <c r="I13257" s="2" t="s">
        <v>52470</v>
      </c>
      <c r="K13257" s="2" t="s">
        <v>24227</v>
      </c>
      <c r="L13257" s="2" t="s">
        <v>179</v>
      </c>
      <c r="M13257" s="2">
        <v>19363.0</v>
      </c>
      <c r="N13257" s="2" t="s">
        <v>21</v>
      </c>
    </row>
    <row r="13258" ht="15.75" customHeight="1">
      <c r="A13258" s="2">
        <v>2020.0</v>
      </c>
      <c r="B13258" s="2" t="s">
        <v>52471</v>
      </c>
      <c r="C13258" s="2" t="s">
        <v>52472</v>
      </c>
      <c r="D13258" s="2" t="str">
        <f>"5628336546"</f>
        <v>5628336546</v>
      </c>
      <c r="E13258" s="2" t="s">
        <v>50</v>
      </c>
      <c r="F13258" s="2" t="s">
        <v>52473</v>
      </c>
      <c r="G13258" s="2" t="str">
        <f>"SR-18708"</f>
        <v>SR-18708</v>
      </c>
      <c r="H13258" s="2" t="s">
        <v>52474</v>
      </c>
      <c r="I13258" s="2" t="s">
        <v>52475</v>
      </c>
      <c r="K13258" s="2" t="s">
        <v>642</v>
      </c>
      <c r="L13258" s="2" t="s">
        <v>222</v>
      </c>
      <c r="M13258" s="2">
        <v>92869.0</v>
      </c>
      <c r="N13258" s="2" t="s">
        <v>21</v>
      </c>
    </row>
    <row r="13259" ht="15.75" customHeight="1">
      <c r="A13259" s="2">
        <v>2020.0</v>
      </c>
      <c r="B13259" s="2" t="s">
        <v>52476</v>
      </c>
      <c r="C13259" s="2" t="s">
        <v>52477</v>
      </c>
      <c r="D13259" s="2" t="str">
        <f>"260-318-3128"</f>
        <v>260-318-3128</v>
      </c>
      <c r="E13259" s="2" t="s">
        <v>261</v>
      </c>
      <c r="F13259" s="2" t="s">
        <v>18857</v>
      </c>
      <c r="G13259" s="2" t="str">
        <f>"SR-18757"</f>
        <v>SR-18757</v>
      </c>
      <c r="H13259" s="2" t="s">
        <v>52478</v>
      </c>
      <c r="I13259" s="2" t="s">
        <v>52479</v>
      </c>
      <c r="K13259" s="2" t="s">
        <v>18868</v>
      </c>
      <c r="L13259" s="2" t="s">
        <v>149</v>
      </c>
      <c r="M13259" s="2">
        <v>46755.0</v>
      </c>
      <c r="N13259" s="2" t="s">
        <v>21</v>
      </c>
    </row>
    <row r="13260" ht="15.75" customHeight="1">
      <c r="A13260" s="2">
        <v>2020.0</v>
      </c>
      <c r="B13260" s="2" t="s">
        <v>52480</v>
      </c>
      <c r="C13260" s="2" t="s">
        <v>52481</v>
      </c>
      <c r="D13260" s="2" t="str">
        <f>"3036427232"</f>
        <v>3036427232</v>
      </c>
      <c r="E13260" s="2" t="s">
        <v>15</v>
      </c>
      <c r="F13260" s="2" t="s">
        <v>52482</v>
      </c>
      <c r="G13260" s="2" t="str">
        <f>"SR-18760"</f>
        <v>SR-18760</v>
      </c>
      <c r="H13260" s="2" t="s">
        <v>52483</v>
      </c>
      <c r="I13260" s="2" t="s">
        <v>52484</v>
      </c>
      <c r="K13260" s="2" t="s">
        <v>26614</v>
      </c>
      <c r="L13260" s="2" t="s">
        <v>157</v>
      </c>
      <c r="M13260" s="2">
        <v>80403.0</v>
      </c>
      <c r="N13260" s="2" t="s">
        <v>21</v>
      </c>
    </row>
    <row r="13261" ht="15.75" customHeight="1">
      <c r="A13261" s="2">
        <v>2020.0</v>
      </c>
      <c r="B13261" s="2" t="s">
        <v>52485</v>
      </c>
      <c r="C13261" s="2" t="s">
        <v>52486</v>
      </c>
      <c r="D13261" s="2" t="str">
        <f>"3036423872"</f>
        <v>3036423872</v>
      </c>
      <c r="E13261" s="2" t="s">
        <v>14000</v>
      </c>
      <c r="F13261" s="2" t="s">
        <v>52482</v>
      </c>
      <c r="G13261" s="2" t="str">
        <f>"SR-18761"</f>
        <v>SR-18761</v>
      </c>
      <c r="H13261" s="2" t="s">
        <v>52487</v>
      </c>
      <c r="I13261" s="2" t="s">
        <v>52488</v>
      </c>
      <c r="K13261" s="2" t="s">
        <v>26614</v>
      </c>
      <c r="L13261" s="2" t="s">
        <v>157</v>
      </c>
      <c r="M13261" s="2">
        <v>80403.0</v>
      </c>
      <c r="N13261" s="2" t="s">
        <v>21</v>
      </c>
    </row>
    <row r="13262" ht="15.75" customHeight="1">
      <c r="A13262" s="2">
        <v>2020.0</v>
      </c>
      <c r="B13262" s="2" t="s">
        <v>52353</v>
      </c>
      <c r="C13262" s="2" t="s">
        <v>52489</v>
      </c>
      <c r="D13262" s="2" t="str">
        <f>"7202448651"</f>
        <v>7202448651</v>
      </c>
      <c r="E13262" s="2" t="s">
        <v>160</v>
      </c>
      <c r="F13262" s="2" t="s">
        <v>45728</v>
      </c>
      <c r="G13262" s="2" t="str">
        <f>"SR-17454"</f>
        <v>SR-17454</v>
      </c>
      <c r="H13262" s="2" t="s">
        <v>52490</v>
      </c>
      <c r="I13262" s="2" t="s">
        <v>52356</v>
      </c>
      <c r="K13262" s="2" t="s">
        <v>1889</v>
      </c>
      <c r="L13262" s="2" t="s">
        <v>157</v>
      </c>
      <c r="M13262" s="2">
        <v>80126.0</v>
      </c>
      <c r="N13262" s="2" t="s">
        <v>21</v>
      </c>
    </row>
    <row r="13263" ht="15.75" customHeight="1">
      <c r="A13263" s="2">
        <v>2020.0</v>
      </c>
      <c r="B13263" s="2" t="s">
        <v>52491</v>
      </c>
      <c r="C13263" s="2" t="s">
        <v>52491</v>
      </c>
      <c r="D13263" s="2" t="str">
        <f>"9729552920"</f>
        <v>9729552920</v>
      </c>
      <c r="E13263" s="2" t="s">
        <v>453</v>
      </c>
      <c r="F13263" s="2" t="s">
        <v>3561</v>
      </c>
      <c r="G13263" s="2" t="str">
        <f>"SR-18762"</f>
        <v>SR-18762</v>
      </c>
      <c r="H13263" s="2" t="s">
        <v>52492</v>
      </c>
      <c r="I13263" s="2" t="s">
        <v>52493</v>
      </c>
      <c r="K13263" s="2" t="s">
        <v>21935</v>
      </c>
      <c r="L13263" s="2" t="s">
        <v>172</v>
      </c>
      <c r="M13263" s="2">
        <v>75070.0</v>
      </c>
      <c r="N13263" s="2" t="s">
        <v>21</v>
      </c>
    </row>
    <row r="13264" ht="15.75" customHeight="1">
      <c r="A13264" s="2">
        <v>2020.0</v>
      </c>
      <c r="B13264" s="2" t="s">
        <v>52494</v>
      </c>
      <c r="C13264" s="2" t="s">
        <v>52494</v>
      </c>
      <c r="D13264" s="2" t="str">
        <f>"972-955-2920"</f>
        <v>972-955-2920</v>
      </c>
      <c r="E13264" s="2" t="s">
        <v>1483</v>
      </c>
      <c r="F13264" s="2" t="s">
        <v>3561</v>
      </c>
      <c r="G13264" s="2" t="str">
        <f>"SR-18763"</f>
        <v>SR-18763</v>
      </c>
      <c r="H13264" s="2" t="s">
        <v>52495</v>
      </c>
      <c r="I13264" s="2" t="s">
        <v>52496</v>
      </c>
      <c r="K13264" s="2" t="s">
        <v>21935</v>
      </c>
      <c r="L13264" s="2" t="s">
        <v>172</v>
      </c>
      <c r="M13264" s="2">
        <v>75070.0</v>
      </c>
      <c r="N13264" s="2" t="s">
        <v>21</v>
      </c>
    </row>
    <row r="13265" ht="15.75" customHeight="1">
      <c r="A13265" s="2">
        <v>2020.0</v>
      </c>
      <c r="B13265" s="2" t="s">
        <v>52497</v>
      </c>
      <c r="D13265" s="2" t="str">
        <f>""</f>
        <v/>
      </c>
      <c r="E13265" s="2" t="s">
        <v>52498</v>
      </c>
      <c r="F13265" s="2" t="s">
        <v>580</v>
      </c>
      <c r="G13265" s="2" t="str">
        <f>"SR-18759"</f>
        <v>SR-18759</v>
      </c>
      <c r="H13265" s="2" t="s">
        <v>52499</v>
      </c>
      <c r="N13265" s="2" t="s">
        <v>21</v>
      </c>
    </row>
    <row r="13266" ht="15.75" customHeight="1">
      <c r="A13266" s="2">
        <v>2020.0</v>
      </c>
      <c r="B13266" s="2" t="s">
        <v>52500</v>
      </c>
      <c r="C13266" s="2" t="s">
        <v>52501</v>
      </c>
      <c r="D13266" s="2" t="str">
        <f>"7077586554"</f>
        <v>7077586554</v>
      </c>
      <c r="E13266" s="2" t="s">
        <v>373</v>
      </c>
      <c r="F13266" s="2" t="s">
        <v>1130</v>
      </c>
      <c r="G13266" s="2" t="str">
        <f>"SR-18714"</f>
        <v>SR-18714</v>
      </c>
      <c r="H13266" s="2" t="s">
        <v>52502</v>
      </c>
      <c r="I13266" s="2" t="s">
        <v>52503</v>
      </c>
      <c r="K13266" s="2" t="s">
        <v>52504</v>
      </c>
      <c r="L13266" s="2" t="s">
        <v>222</v>
      </c>
      <c r="M13266" s="2">
        <v>94928.0</v>
      </c>
      <c r="N13266" s="2" t="s">
        <v>21</v>
      </c>
    </row>
    <row r="13267" ht="15.75" customHeight="1">
      <c r="A13267" s="2">
        <v>2020.0</v>
      </c>
      <c r="B13267" s="2" t="s">
        <v>52505</v>
      </c>
      <c r="C13267" s="2" t="s">
        <v>52505</v>
      </c>
      <c r="D13267" s="2" t="str">
        <f>"214-548-9448"</f>
        <v>214-548-9448</v>
      </c>
      <c r="E13267" s="2" t="s">
        <v>137</v>
      </c>
      <c r="F13267" s="2" t="s">
        <v>52506</v>
      </c>
      <c r="G13267" s="2" t="str">
        <f>"SR-18765"</f>
        <v>SR-18765</v>
      </c>
      <c r="H13267" s="2" t="s">
        <v>52507</v>
      </c>
      <c r="I13267" s="2" t="s">
        <v>52508</v>
      </c>
      <c r="K13267" s="2" t="s">
        <v>2514</v>
      </c>
      <c r="L13267" s="2" t="s">
        <v>172</v>
      </c>
      <c r="M13267" s="2">
        <v>75009.0</v>
      </c>
      <c r="N13267" s="2" t="s">
        <v>21</v>
      </c>
    </row>
    <row r="13268" ht="15.75" customHeight="1">
      <c r="A13268" s="2">
        <v>2020.0</v>
      </c>
      <c r="B13268" s="2" t="s">
        <v>52509</v>
      </c>
      <c r="C13268" s="2" t="s">
        <v>52509</v>
      </c>
      <c r="D13268" s="2" t="str">
        <f>"6087973455"</f>
        <v>6087973455</v>
      </c>
      <c r="E13268" s="2" t="s">
        <v>52510</v>
      </c>
      <c r="F13268" s="2" t="s">
        <v>16616</v>
      </c>
      <c r="G13268" s="2" t="str">
        <f>"SR-18767"</f>
        <v>SR-18767</v>
      </c>
      <c r="H13268" s="2" t="s">
        <v>52511</v>
      </c>
      <c r="I13268" s="2" t="s">
        <v>52512</v>
      </c>
      <c r="K13268" s="2" t="s">
        <v>52513</v>
      </c>
      <c r="L13268" s="2" t="s">
        <v>193</v>
      </c>
      <c r="M13268" s="2">
        <v>54650.0</v>
      </c>
      <c r="N13268" s="2" t="s">
        <v>21</v>
      </c>
    </row>
    <row r="13269" ht="15.75" customHeight="1">
      <c r="A13269" s="2">
        <v>2020.0</v>
      </c>
      <c r="B13269" s="2" t="s">
        <v>46727</v>
      </c>
      <c r="C13269" s="2" t="s">
        <v>42984</v>
      </c>
      <c r="D13269" s="2" t="str">
        <f>"+1 972 235-0940‚Ä¨"</f>
        <v>+1 972 235-0940‚Ä¨</v>
      </c>
      <c r="E13269" s="2" t="s">
        <v>485</v>
      </c>
      <c r="F13269" s="2" t="s">
        <v>42985</v>
      </c>
      <c r="G13269" s="2" t="str">
        <f>"SR-15182"</f>
        <v>SR-15182</v>
      </c>
      <c r="H13269" s="2" t="s">
        <v>42986</v>
      </c>
      <c r="I13269" s="2" t="s">
        <v>46728</v>
      </c>
      <c r="K13269" s="2" t="s">
        <v>3576</v>
      </c>
      <c r="L13269" s="2" t="s">
        <v>172</v>
      </c>
      <c r="M13269" s="2">
        <v>75081.0</v>
      </c>
      <c r="N13269" s="2" t="s">
        <v>21</v>
      </c>
    </row>
    <row r="13270" ht="15.75" customHeight="1">
      <c r="A13270" s="2">
        <v>2020.0</v>
      </c>
      <c r="B13270" s="2" t="s">
        <v>52514</v>
      </c>
      <c r="C13270" s="2" t="s">
        <v>52515</v>
      </c>
      <c r="D13270" s="2" t="str">
        <f t="shared" ref="D13270:D13271" si="223">"503-739-3670"</f>
        <v>503-739-3670</v>
      </c>
      <c r="E13270" s="2" t="s">
        <v>301</v>
      </c>
      <c r="F13270" s="2" t="s">
        <v>52516</v>
      </c>
      <c r="G13270" s="2" t="str">
        <f>"SR-18716"</f>
        <v>SR-18716</v>
      </c>
      <c r="H13270" s="2" t="s">
        <v>52517</v>
      </c>
      <c r="I13270" s="2" t="s">
        <v>2920</v>
      </c>
      <c r="K13270" s="2" t="s">
        <v>2921</v>
      </c>
      <c r="L13270" s="2" t="s">
        <v>2389</v>
      </c>
      <c r="M13270" s="2">
        <v>97116.0</v>
      </c>
      <c r="N13270" s="2" t="s">
        <v>21</v>
      </c>
    </row>
    <row r="13271" ht="15.75" customHeight="1">
      <c r="A13271" s="2">
        <v>2020.0</v>
      </c>
      <c r="B13271" s="2" t="s">
        <v>52514</v>
      </c>
      <c r="C13271" s="2" t="s">
        <v>52518</v>
      </c>
      <c r="D13271" s="2" t="str">
        <f t="shared" si="223"/>
        <v>503-739-3670</v>
      </c>
      <c r="E13271" s="2" t="s">
        <v>678</v>
      </c>
      <c r="F13271" s="2" t="s">
        <v>52516</v>
      </c>
      <c r="G13271" s="2" t="str">
        <f>"SR-18717"</f>
        <v>SR-18717</v>
      </c>
      <c r="H13271" s="2" t="s">
        <v>52519</v>
      </c>
      <c r="I13271" s="2" t="s">
        <v>52520</v>
      </c>
      <c r="K13271" s="2" t="s">
        <v>2921</v>
      </c>
      <c r="L13271" s="2" t="s">
        <v>2389</v>
      </c>
      <c r="M13271" s="2">
        <v>97116.0</v>
      </c>
      <c r="N13271" s="2" t="s">
        <v>21</v>
      </c>
    </row>
    <row r="13272" ht="15.75" customHeight="1">
      <c r="A13272" s="2">
        <v>2020.0</v>
      </c>
      <c r="B13272" s="2" t="s">
        <v>52521</v>
      </c>
      <c r="C13272" s="2" t="s">
        <v>52522</v>
      </c>
      <c r="D13272" s="2" t="str">
        <f>"803-403-7502"</f>
        <v>803-403-7502</v>
      </c>
      <c r="E13272" s="2" t="s">
        <v>386</v>
      </c>
      <c r="F13272" s="2" t="s">
        <v>43770</v>
      </c>
      <c r="G13272" s="2" t="str">
        <f>"SR-18773"</f>
        <v>SR-18773</v>
      </c>
      <c r="H13272" s="2" t="s">
        <v>52523</v>
      </c>
      <c r="I13272" s="2" t="s">
        <v>52524</v>
      </c>
      <c r="K13272" s="2" t="s">
        <v>2750</v>
      </c>
      <c r="L13272" s="2" t="s">
        <v>55</v>
      </c>
      <c r="M13272" s="2">
        <v>29229.0</v>
      </c>
      <c r="N13272" s="2" t="s">
        <v>21</v>
      </c>
    </row>
    <row r="13273" ht="15.75" customHeight="1">
      <c r="A13273" s="2">
        <v>2020.0</v>
      </c>
      <c r="B13273" s="2" t="s">
        <v>52525</v>
      </c>
      <c r="C13273" s="2" t="s">
        <v>52526</v>
      </c>
      <c r="D13273" s="2" t="str">
        <f>"7174615185"</f>
        <v>7174615185</v>
      </c>
      <c r="E13273" s="2" t="s">
        <v>1208</v>
      </c>
      <c r="F13273" s="2" t="s">
        <v>52527</v>
      </c>
      <c r="G13273" s="2" t="str">
        <f>"SR-18749"</f>
        <v>SR-18749</v>
      </c>
      <c r="H13273" s="2" t="s">
        <v>52528</v>
      </c>
      <c r="I13273" s="2" t="s">
        <v>52529</v>
      </c>
      <c r="K13273" s="2" t="s">
        <v>32115</v>
      </c>
      <c r="L13273" s="2" t="s">
        <v>179</v>
      </c>
      <c r="M13273" s="2">
        <v>17055.0</v>
      </c>
      <c r="N13273" s="2" t="s">
        <v>21</v>
      </c>
    </row>
    <row r="13274" ht="15.75" customHeight="1">
      <c r="A13274" s="2">
        <v>2020.0</v>
      </c>
      <c r="B13274" s="2" t="s">
        <v>52530</v>
      </c>
      <c r="C13274" s="2" t="s">
        <v>52530</v>
      </c>
      <c r="D13274" s="2" t="str">
        <f>"804-920-8426"</f>
        <v>804-920-8426</v>
      </c>
      <c r="E13274" s="2" t="s">
        <v>2598</v>
      </c>
      <c r="F13274" s="2" t="s">
        <v>1849</v>
      </c>
      <c r="G13274" s="2" t="str">
        <f>"SR-18775"</f>
        <v>SR-18775</v>
      </c>
      <c r="H13274" s="2" t="s">
        <v>52531</v>
      </c>
      <c r="I13274" s="2" t="s">
        <v>52532</v>
      </c>
      <c r="K13274" s="2" t="s">
        <v>11179</v>
      </c>
      <c r="L13274" s="2" t="s">
        <v>165</v>
      </c>
      <c r="M13274" s="2">
        <v>23112.0</v>
      </c>
      <c r="N13274" s="2" t="s">
        <v>21</v>
      </c>
    </row>
    <row r="13275" ht="15.75" customHeight="1">
      <c r="A13275" s="2">
        <v>2020.0</v>
      </c>
      <c r="B13275" s="2" t="s">
        <v>35397</v>
      </c>
      <c r="C13275" s="2" t="s">
        <v>52533</v>
      </c>
      <c r="D13275" s="2" t="str">
        <f>"6614441898"</f>
        <v>6614441898</v>
      </c>
      <c r="E13275" s="2" t="s">
        <v>167</v>
      </c>
      <c r="F13275" s="2" t="s">
        <v>26598</v>
      </c>
      <c r="G13275" s="2" t="str">
        <f>"SR-18776"</f>
        <v>SR-18776</v>
      </c>
      <c r="H13275" s="2" t="s">
        <v>52534</v>
      </c>
      <c r="I13275" s="2" t="s">
        <v>52535</v>
      </c>
      <c r="K13275" s="2" t="s">
        <v>11198</v>
      </c>
      <c r="L13275" s="2" t="s">
        <v>222</v>
      </c>
      <c r="M13275" s="2">
        <v>93308.0</v>
      </c>
      <c r="N13275" s="2" t="s">
        <v>21</v>
      </c>
    </row>
    <row r="13276" ht="15.75" customHeight="1">
      <c r="A13276" s="2">
        <v>2020.0</v>
      </c>
      <c r="B13276" s="2" t="s">
        <v>52536</v>
      </c>
      <c r="C13276" s="2" t="s">
        <v>52536</v>
      </c>
      <c r="D13276" s="2" t="str">
        <f>"7037406339"</f>
        <v>7037406339</v>
      </c>
      <c r="E13276" s="2" t="s">
        <v>503</v>
      </c>
      <c r="F13276" s="2" t="s">
        <v>1849</v>
      </c>
      <c r="G13276" s="2" t="str">
        <f>"SR-18777"</f>
        <v>SR-18777</v>
      </c>
      <c r="H13276" s="2" t="s">
        <v>52537</v>
      </c>
      <c r="I13276" s="2" t="s">
        <v>52538</v>
      </c>
      <c r="K13276" s="2" t="s">
        <v>39050</v>
      </c>
      <c r="L13276" s="2" t="s">
        <v>165</v>
      </c>
      <c r="M13276" s="2">
        <v>23112.0</v>
      </c>
      <c r="N13276" s="2" t="s">
        <v>21</v>
      </c>
    </row>
    <row r="13277" ht="15.75" customHeight="1">
      <c r="A13277" s="2">
        <v>2020.0</v>
      </c>
      <c r="B13277" s="2" t="s">
        <v>52539</v>
      </c>
      <c r="C13277" s="2" t="s">
        <v>52540</v>
      </c>
      <c r="D13277" s="2" t="str">
        <f>"719-728-9550"</f>
        <v>719-728-9550</v>
      </c>
      <c r="E13277" s="2" t="s">
        <v>3878</v>
      </c>
      <c r="F13277" s="2" t="s">
        <v>52541</v>
      </c>
      <c r="G13277" s="2" t="str">
        <f>"SR-18779"</f>
        <v>SR-18779</v>
      </c>
      <c r="H13277" s="2" t="s">
        <v>52542</v>
      </c>
      <c r="I13277" s="2" t="s">
        <v>52543</v>
      </c>
      <c r="K13277" s="2" t="s">
        <v>1127</v>
      </c>
      <c r="L13277" s="2" t="s">
        <v>157</v>
      </c>
      <c r="M13277" s="2">
        <v>80814.0</v>
      </c>
      <c r="N13277" s="2" t="s">
        <v>21</v>
      </c>
    </row>
    <row r="13278" ht="15.75" customHeight="1">
      <c r="A13278" s="2">
        <v>2020.0</v>
      </c>
      <c r="B13278" s="2" t="s">
        <v>52539</v>
      </c>
      <c r="C13278" s="2" t="s">
        <v>52544</v>
      </c>
      <c r="D13278" s="2" t="str">
        <f>"719-400-8568"</f>
        <v>719-400-8568</v>
      </c>
      <c r="E13278" s="2" t="s">
        <v>3305</v>
      </c>
      <c r="F13278" s="2" t="s">
        <v>52541</v>
      </c>
      <c r="G13278" s="2" t="str">
        <f>"SR-18780"</f>
        <v>SR-18780</v>
      </c>
      <c r="H13278" s="2" t="s">
        <v>52545</v>
      </c>
      <c r="I13278" s="2" t="s">
        <v>52543</v>
      </c>
      <c r="K13278" s="2" t="s">
        <v>1127</v>
      </c>
      <c r="L13278" s="2" t="s">
        <v>157</v>
      </c>
      <c r="M13278" s="2">
        <v>80814.0</v>
      </c>
      <c r="N13278" s="2" t="s">
        <v>21</v>
      </c>
    </row>
    <row r="13279" ht="15.75" customHeight="1">
      <c r="A13279" s="2">
        <v>2020.0</v>
      </c>
      <c r="B13279" s="2" t="s">
        <v>5800</v>
      </c>
      <c r="C13279" s="2" t="s">
        <v>52546</v>
      </c>
      <c r="D13279" s="2" t="str">
        <f>"303-898-5567"</f>
        <v>303-898-5567</v>
      </c>
      <c r="E13279" s="2" t="s">
        <v>2296</v>
      </c>
      <c r="F13279" s="2" t="s">
        <v>5802</v>
      </c>
      <c r="G13279" s="2" t="str">
        <f>"SR-17077"</f>
        <v>SR-17077</v>
      </c>
      <c r="H13279" s="2" t="s">
        <v>52547</v>
      </c>
      <c r="I13279" s="2" t="s">
        <v>5804</v>
      </c>
      <c r="K13279" s="2" t="s">
        <v>5805</v>
      </c>
      <c r="L13279" s="2" t="s">
        <v>157</v>
      </c>
      <c r="M13279" s="2">
        <v>80513.0</v>
      </c>
      <c r="N13279" s="2" t="s">
        <v>21</v>
      </c>
    </row>
    <row r="13280" ht="15.75" customHeight="1">
      <c r="A13280" s="2">
        <v>2020.0</v>
      </c>
      <c r="B13280" s="2" t="s">
        <v>52548</v>
      </c>
      <c r="C13280" s="2" t="s">
        <v>52548</v>
      </c>
      <c r="D13280" s="2" t="str">
        <f>"4065952827"</f>
        <v>4065952827</v>
      </c>
      <c r="E13280" s="2" t="s">
        <v>1946</v>
      </c>
      <c r="F13280" s="2" t="s">
        <v>1648</v>
      </c>
      <c r="G13280" s="2" t="str">
        <f>"SR-18750"</f>
        <v>SR-18750</v>
      </c>
      <c r="H13280" s="2" t="s">
        <v>52549</v>
      </c>
      <c r="I13280" s="2" t="s">
        <v>52550</v>
      </c>
      <c r="J13280" s="2" t="s">
        <v>52551</v>
      </c>
      <c r="K13280" s="2" t="s">
        <v>12644</v>
      </c>
      <c r="L13280" s="2" t="s">
        <v>2696</v>
      </c>
      <c r="M13280" s="2">
        <v>59715.0</v>
      </c>
      <c r="N13280" s="2" t="s">
        <v>21</v>
      </c>
    </row>
    <row r="13281" ht="15.75" customHeight="1">
      <c r="A13281" s="2">
        <v>2020.0</v>
      </c>
      <c r="B13281" s="2" t="s">
        <v>52552</v>
      </c>
      <c r="D13281" s="2" t="str">
        <f>""</f>
        <v/>
      </c>
      <c r="E13281" s="2" t="s">
        <v>1054</v>
      </c>
      <c r="F13281" s="2" t="s">
        <v>52553</v>
      </c>
      <c r="G13281" s="2" t="str">
        <f>"SR-18784"</f>
        <v>SR-18784</v>
      </c>
      <c r="H13281" s="2" t="s">
        <v>52554</v>
      </c>
      <c r="N13281" s="2" t="s">
        <v>21</v>
      </c>
    </row>
    <row r="13282" ht="15.75" customHeight="1">
      <c r="A13282" s="2">
        <v>2020.0</v>
      </c>
      <c r="B13282" s="2" t="s">
        <v>52555</v>
      </c>
      <c r="C13282" s="2" t="s">
        <v>52556</v>
      </c>
      <c r="D13282" s="2" t="str">
        <f>"714-326-6872"</f>
        <v>714-326-6872</v>
      </c>
      <c r="E13282" s="2" t="s">
        <v>580</v>
      </c>
      <c r="F13282" s="2" t="s">
        <v>52557</v>
      </c>
      <c r="G13282" s="2" t="str">
        <f>"SR-18752"</f>
        <v>SR-18752</v>
      </c>
      <c r="H13282" s="2" t="s">
        <v>52558</v>
      </c>
      <c r="I13282" s="2" t="s">
        <v>52559</v>
      </c>
      <c r="K13282" s="2" t="s">
        <v>52560</v>
      </c>
      <c r="L13282" s="2" t="s">
        <v>222</v>
      </c>
      <c r="M13282" s="2">
        <v>92704.0</v>
      </c>
      <c r="N13282" s="2" t="s">
        <v>21</v>
      </c>
    </row>
    <row r="13283" ht="15.75" customHeight="1">
      <c r="A13283" s="2">
        <v>2020.0</v>
      </c>
      <c r="B13283" s="2" t="s">
        <v>52548</v>
      </c>
      <c r="C13283" s="2" t="s">
        <v>52548</v>
      </c>
      <c r="D13283" s="2" t="str">
        <f>"4065952827"</f>
        <v>4065952827</v>
      </c>
      <c r="E13283" s="2" t="s">
        <v>1664</v>
      </c>
      <c r="F13283" s="2" t="s">
        <v>1648</v>
      </c>
      <c r="G13283" s="2" t="str">
        <f>"SR-18785"</f>
        <v>SR-18785</v>
      </c>
      <c r="H13283" s="2" t="s">
        <v>52561</v>
      </c>
      <c r="I13283" s="2" t="s">
        <v>52550</v>
      </c>
      <c r="J13283" s="2" t="s">
        <v>52551</v>
      </c>
      <c r="K13283" s="2" t="s">
        <v>12644</v>
      </c>
      <c r="L13283" s="2" t="s">
        <v>2696</v>
      </c>
      <c r="M13283" s="2">
        <v>59715.0</v>
      </c>
      <c r="N13283" s="2" t="s">
        <v>21</v>
      </c>
    </row>
    <row r="13284" ht="15.75" customHeight="1">
      <c r="A13284" s="2">
        <v>2020.0</v>
      </c>
      <c r="B13284" s="2" t="s">
        <v>52562</v>
      </c>
      <c r="C13284" s="2" t="s">
        <v>52562</v>
      </c>
      <c r="D13284" s="2" t="str">
        <f>"9107897870"</f>
        <v>9107897870</v>
      </c>
      <c r="E13284" s="2" t="s">
        <v>31435</v>
      </c>
      <c r="F13284" s="2" t="s">
        <v>1054</v>
      </c>
      <c r="G13284" s="2" t="str">
        <f>"SR-18772"</f>
        <v>SR-18772</v>
      </c>
      <c r="H13284" s="2" t="s">
        <v>52563</v>
      </c>
      <c r="I13284" s="2" t="s">
        <v>52564</v>
      </c>
      <c r="K13284" s="2" t="s">
        <v>52565</v>
      </c>
      <c r="L13284" s="2" t="s">
        <v>20</v>
      </c>
      <c r="M13284" s="2">
        <v>28451.0</v>
      </c>
      <c r="N13284" s="2" t="s">
        <v>21</v>
      </c>
    </row>
    <row r="13285" ht="15.75" customHeight="1">
      <c r="A13285" s="2">
        <v>2020.0</v>
      </c>
      <c r="B13285" s="2" t="s">
        <v>52566</v>
      </c>
      <c r="C13285" s="2" t="s">
        <v>52567</v>
      </c>
      <c r="D13285" s="2" t="str">
        <f t="shared" ref="D13285:D13286" si="224">"949-954-4383"</f>
        <v>949-954-4383</v>
      </c>
      <c r="E13285" s="2" t="s">
        <v>72</v>
      </c>
      <c r="F13285" s="2" t="s">
        <v>11406</v>
      </c>
      <c r="G13285" s="2" t="str">
        <f>"SR-18719"</f>
        <v>SR-18719</v>
      </c>
      <c r="H13285" s="2" t="s">
        <v>52568</v>
      </c>
      <c r="I13285" s="2" t="s">
        <v>52569</v>
      </c>
      <c r="K13285" s="2" t="s">
        <v>10926</v>
      </c>
      <c r="L13285" s="2" t="s">
        <v>222</v>
      </c>
      <c r="M13285" s="2">
        <v>92692.0</v>
      </c>
      <c r="N13285" s="2" t="s">
        <v>21</v>
      </c>
    </row>
    <row r="13286" ht="15.75" customHeight="1">
      <c r="A13286" s="2">
        <v>2020.0</v>
      </c>
      <c r="B13286" s="2" t="s">
        <v>52566</v>
      </c>
      <c r="C13286" s="2" t="s">
        <v>52570</v>
      </c>
      <c r="D13286" s="2" t="str">
        <f t="shared" si="224"/>
        <v>949-954-4383</v>
      </c>
      <c r="E13286" s="2" t="s">
        <v>596</v>
      </c>
      <c r="F13286" s="2" t="s">
        <v>11406</v>
      </c>
      <c r="G13286" s="2" t="str">
        <f>"SR-18786"</f>
        <v>SR-18786</v>
      </c>
      <c r="H13286" s="2" t="s">
        <v>52571</v>
      </c>
      <c r="I13286" s="2" t="s">
        <v>52569</v>
      </c>
      <c r="K13286" s="2" t="s">
        <v>10926</v>
      </c>
      <c r="L13286" s="2" t="s">
        <v>222</v>
      </c>
      <c r="M13286" s="2">
        <v>92692.0</v>
      </c>
      <c r="N13286" s="2" t="s">
        <v>21</v>
      </c>
    </row>
    <row r="13287" ht="15.75" customHeight="1">
      <c r="A13287" s="2">
        <v>2020.0</v>
      </c>
      <c r="B13287" s="2" t="s">
        <v>52572</v>
      </c>
      <c r="D13287" s="2" t="str">
        <f>""</f>
        <v/>
      </c>
      <c r="E13287" s="2" t="s">
        <v>11583</v>
      </c>
      <c r="F13287" s="2" t="s">
        <v>32931</v>
      </c>
      <c r="G13287" s="2" t="str">
        <f>"SR-18787"</f>
        <v>SR-18787</v>
      </c>
      <c r="H13287" s="2" t="s">
        <v>52573</v>
      </c>
      <c r="N13287" s="2" t="s">
        <v>21</v>
      </c>
    </row>
    <row r="13288" ht="15.75" customHeight="1">
      <c r="A13288" s="2">
        <v>2020.0</v>
      </c>
      <c r="B13288" s="2" t="s">
        <v>52574</v>
      </c>
      <c r="C13288" s="2" t="s">
        <v>52575</v>
      </c>
      <c r="D13288" s="2" t="str">
        <f>"9152083906"</f>
        <v>9152083906</v>
      </c>
      <c r="E13288" s="2" t="s">
        <v>4406</v>
      </c>
      <c r="F13288" s="2" t="s">
        <v>52576</v>
      </c>
      <c r="G13288" s="2" t="str">
        <f>"SR-18788"</f>
        <v>SR-18788</v>
      </c>
      <c r="H13288" s="2" t="s">
        <v>52577</v>
      </c>
      <c r="I13288" s="2" t="s">
        <v>52578</v>
      </c>
      <c r="K13288" s="2" t="s">
        <v>21247</v>
      </c>
      <c r="L13288" s="2" t="s">
        <v>172</v>
      </c>
      <c r="M13288" s="2">
        <v>79938.0</v>
      </c>
      <c r="N13288" s="2" t="s">
        <v>21</v>
      </c>
    </row>
    <row r="13289" ht="15.75" customHeight="1">
      <c r="A13289" s="2">
        <v>2020.0</v>
      </c>
      <c r="B13289" s="2" t="s">
        <v>52579</v>
      </c>
      <c r="C13289" s="2" t="s">
        <v>52579</v>
      </c>
      <c r="D13289" s="2" t="str">
        <f>"6142578250"</f>
        <v>6142578250</v>
      </c>
      <c r="E13289" s="2" t="s">
        <v>453</v>
      </c>
      <c r="F13289" s="2" t="s">
        <v>13877</v>
      </c>
      <c r="G13289" s="2" t="str">
        <f>"SR-18792"</f>
        <v>SR-18792</v>
      </c>
      <c r="H13289" s="2" t="s">
        <v>52580</v>
      </c>
      <c r="I13289" s="2" t="s">
        <v>52581</v>
      </c>
      <c r="K13289" s="2" t="s">
        <v>41353</v>
      </c>
      <c r="L13289" s="2" t="s">
        <v>344</v>
      </c>
      <c r="M13289" s="2">
        <v>43074.0</v>
      </c>
      <c r="N13289" s="2" t="s">
        <v>21</v>
      </c>
    </row>
    <row r="13290" ht="15.75" customHeight="1">
      <c r="A13290" s="2">
        <v>2020.0</v>
      </c>
      <c r="B13290" s="2" t="s">
        <v>52582</v>
      </c>
      <c r="C13290" s="2" t="s">
        <v>52582</v>
      </c>
      <c r="D13290" s="2" t="str">
        <f>"520-278-6204"</f>
        <v>520-278-6204</v>
      </c>
      <c r="E13290" s="2" t="s">
        <v>1088</v>
      </c>
      <c r="F13290" s="2" t="s">
        <v>52583</v>
      </c>
      <c r="G13290" s="2" t="str">
        <f>"SR-18586"</f>
        <v>SR-18586</v>
      </c>
      <c r="H13290" s="2" t="s">
        <v>52584</v>
      </c>
      <c r="I13290" s="2" t="s">
        <v>52585</v>
      </c>
      <c r="K13290" s="2" t="s">
        <v>5946</v>
      </c>
      <c r="L13290" s="2" t="s">
        <v>422</v>
      </c>
      <c r="M13290" s="2">
        <v>85746.0</v>
      </c>
      <c r="N13290" s="2" t="s">
        <v>21</v>
      </c>
    </row>
    <row r="13291" ht="15.75" customHeight="1">
      <c r="A13291" s="2">
        <v>2020.0</v>
      </c>
      <c r="B13291" s="2" t="s">
        <v>52586</v>
      </c>
      <c r="C13291" s="2" t="s">
        <v>52587</v>
      </c>
      <c r="D13291" s="2" t="str">
        <f>"856-305-5811"</f>
        <v>856-305-5811</v>
      </c>
      <c r="E13291" s="2" t="s">
        <v>261</v>
      </c>
      <c r="F13291" s="2" t="s">
        <v>6923</v>
      </c>
      <c r="G13291" s="2" t="str">
        <f>"SR-18795"</f>
        <v>SR-18795</v>
      </c>
      <c r="H13291" s="2" t="s">
        <v>52588</v>
      </c>
      <c r="I13291" s="2" t="s">
        <v>52589</v>
      </c>
      <c r="K13291" s="2" t="s">
        <v>52590</v>
      </c>
      <c r="L13291" s="2" t="s">
        <v>3618</v>
      </c>
      <c r="M13291" s="2">
        <v>8302.0</v>
      </c>
      <c r="N13291" s="2" t="s">
        <v>21</v>
      </c>
    </row>
    <row r="13292" ht="15.75" customHeight="1">
      <c r="A13292" s="2">
        <v>2020.0</v>
      </c>
      <c r="B13292" s="2" t="s">
        <v>52591</v>
      </c>
      <c r="C13292" s="2" t="s">
        <v>52591</v>
      </c>
      <c r="D13292" s="2" t="str">
        <f>"9077077225"</f>
        <v>9077077225</v>
      </c>
      <c r="E13292" s="2" t="s">
        <v>52592</v>
      </c>
      <c r="F13292" s="2" t="s">
        <v>52593</v>
      </c>
      <c r="G13292" s="2" t="str">
        <f>"SR-18796"</f>
        <v>SR-18796</v>
      </c>
      <c r="H13292" s="2" t="s">
        <v>52594</v>
      </c>
      <c r="I13292" s="2" t="s">
        <v>52595</v>
      </c>
      <c r="K13292" s="2" t="s">
        <v>24289</v>
      </c>
      <c r="L13292" s="2" t="s">
        <v>70</v>
      </c>
      <c r="M13292" s="2">
        <v>99645.0</v>
      </c>
      <c r="N13292" s="2" t="s">
        <v>21</v>
      </c>
    </row>
    <row r="13293" ht="15.75" customHeight="1">
      <c r="A13293" s="2">
        <v>2020.0</v>
      </c>
      <c r="B13293" s="2" t="s">
        <v>52596</v>
      </c>
      <c r="C13293" s="2" t="s">
        <v>52596</v>
      </c>
      <c r="D13293" s="2" t="str">
        <f>"251-888-0096"</f>
        <v>251-888-0096</v>
      </c>
      <c r="E13293" s="2" t="s">
        <v>282</v>
      </c>
      <c r="F13293" s="2" t="s">
        <v>3323</v>
      </c>
      <c r="G13293" s="2" t="str">
        <f>"SR-18766"</f>
        <v>SR-18766</v>
      </c>
      <c r="H13293" s="2" t="s">
        <v>52597</v>
      </c>
      <c r="I13293" s="2" t="s">
        <v>52598</v>
      </c>
      <c r="K13293" s="2" t="s">
        <v>5293</v>
      </c>
      <c r="L13293" s="2" t="s">
        <v>539</v>
      </c>
      <c r="M13293" s="2">
        <v>36695.0</v>
      </c>
      <c r="N13293" s="2" t="s">
        <v>21</v>
      </c>
    </row>
    <row r="13294" ht="15.75" customHeight="1">
      <c r="A13294" s="2">
        <v>2020.0</v>
      </c>
      <c r="B13294" s="2" t="s">
        <v>52599</v>
      </c>
      <c r="C13294" s="2" t="s">
        <v>52600</v>
      </c>
      <c r="D13294" s="2" t="str">
        <f>"540-282-1051"</f>
        <v>540-282-1051</v>
      </c>
      <c r="E13294" s="2" t="s">
        <v>20541</v>
      </c>
      <c r="F13294" s="2" t="s">
        <v>52601</v>
      </c>
      <c r="G13294" s="2" t="str">
        <f>"SR-18793"</f>
        <v>SR-18793</v>
      </c>
      <c r="H13294" s="2" t="s">
        <v>52602</v>
      </c>
      <c r="I13294" s="2" t="s">
        <v>52603</v>
      </c>
      <c r="K13294" s="2" t="s">
        <v>24488</v>
      </c>
      <c r="L13294" s="2" t="s">
        <v>165</v>
      </c>
      <c r="M13294" s="2">
        <v>22801.0</v>
      </c>
      <c r="N13294" s="2" t="s">
        <v>21</v>
      </c>
    </row>
    <row r="13295" ht="15.75" customHeight="1">
      <c r="A13295" s="2">
        <v>2020.0</v>
      </c>
      <c r="B13295" s="2" t="s">
        <v>52604</v>
      </c>
      <c r="C13295" s="2" t="s">
        <v>52605</v>
      </c>
      <c r="D13295" s="2" t="str">
        <f>"573-629-8606"</f>
        <v>573-629-8606</v>
      </c>
      <c r="E13295" s="2" t="s">
        <v>57</v>
      </c>
      <c r="F13295" s="2" t="s">
        <v>52606</v>
      </c>
      <c r="G13295" s="2" t="str">
        <f>"SR-18798"</f>
        <v>SR-18798</v>
      </c>
      <c r="H13295" s="2" t="s">
        <v>52607</v>
      </c>
      <c r="I13295" s="2" t="s">
        <v>52608</v>
      </c>
      <c r="K13295" s="2" t="s">
        <v>52609</v>
      </c>
      <c r="L13295" s="2" t="s">
        <v>214</v>
      </c>
      <c r="M13295" s="2">
        <v>63401.0</v>
      </c>
      <c r="N13295" s="2" t="s">
        <v>21</v>
      </c>
    </row>
    <row r="13296" ht="15.75" customHeight="1">
      <c r="A13296" s="2">
        <v>2020.0</v>
      </c>
      <c r="B13296" s="2" t="s">
        <v>52604</v>
      </c>
      <c r="C13296" s="2" t="s">
        <v>52610</v>
      </c>
      <c r="D13296" s="2" t="str">
        <f>"573-577-8206"</f>
        <v>573-577-8206</v>
      </c>
      <c r="E13296" s="2" t="s">
        <v>18465</v>
      </c>
      <c r="F13296" s="2" t="s">
        <v>52606</v>
      </c>
      <c r="G13296" s="2" t="str">
        <f>"SR-18799"</f>
        <v>SR-18799</v>
      </c>
      <c r="H13296" s="2" t="s">
        <v>52611</v>
      </c>
      <c r="I13296" s="2" t="s">
        <v>52608</v>
      </c>
      <c r="K13296" s="2" t="s">
        <v>52609</v>
      </c>
      <c r="L13296" s="2" t="s">
        <v>214</v>
      </c>
      <c r="M13296" s="2">
        <v>63401.0</v>
      </c>
      <c r="N13296" s="2" t="s">
        <v>21</v>
      </c>
    </row>
    <row r="13297" ht="15.75" customHeight="1">
      <c r="A13297" s="2">
        <v>2020.0</v>
      </c>
      <c r="B13297" s="2" t="s">
        <v>52604</v>
      </c>
      <c r="C13297" s="2" t="s">
        <v>52612</v>
      </c>
      <c r="D13297" s="2" t="str">
        <f>"573-795-7620"</f>
        <v>573-795-7620</v>
      </c>
      <c r="E13297" s="2" t="s">
        <v>52613</v>
      </c>
      <c r="F13297" s="2" t="s">
        <v>52606</v>
      </c>
      <c r="G13297" s="2" t="str">
        <f>"SR-18800"</f>
        <v>SR-18800</v>
      </c>
      <c r="H13297" s="2" t="s">
        <v>52614</v>
      </c>
      <c r="I13297" s="2" t="s">
        <v>52608</v>
      </c>
      <c r="K13297" s="2" t="s">
        <v>52609</v>
      </c>
      <c r="L13297" s="2" t="s">
        <v>214</v>
      </c>
      <c r="M13297" s="2">
        <v>63401.0</v>
      </c>
      <c r="N13297" s="2" t="s">
        <v>21</v>
      </c>
    </row>
    <row r="13298" ht="15.75" customHeight="1">
      <c r="A13298" s="2">
        <v>2020.0</v>
      </c>
      <c r="B13298" s="2" t="s">
        <v>12528</v>
      </c>
      <c r="C13298" s="2" t="s">
        <v>52615</v>
      </c>
      <c r="D13298" s="2" t="str">
        <f>"8507926624"</f>
        <v>8507926624</v>
      </c>
      <c r="E13298" s="2" t="s">
        <v>2243</v>
      </c>
      <c r="F13298" s="2" t="s">
        <v>9036</v>
      </c>
      <c r="G13298" s="2" t="str">
        <f>"SR-18803"</f>
        <v>SR-18803</v>
      </c>
      <c r="H13298" s="2" t="s">
        <v>52616</v>
      </c>
      <c r="I13298" s="2" t="s">
        <v>27926</v>
      </c>
      <c r="K13298" s="2" t="s">
        <v>2007</v>
      </c>
      <c r="L13298" s="2" t="s">
        <v>208</v>
      </c>
      <c r="M13298" s="2">
        <v>32309.0</v>
      </c>
      <c r="N13298" s="2" t="s">
        <v>21</v>
      </c>
    </row>
    <row r="13299" ht="15.75" customHeight="1">
      <c r="A13299" s="2">
        <v>2020.0</v>
      </c>
      <c r="B13299" s="2" t="s">
        <v>52617</v>
      </c>
      <c r="C13299" s="2" t="s">
        <v>52618</v>
      </c>
      <c r="D13299" s="2" t="str">
        <f>"757-271-1714"</f>
        <v>757-271-1714</v>
      </c>
      <c r="E13299" s="2" t="s">
        <v>2412</v>
      </c>
      <c r="F13299" s="2" t="s">
        <v>52619</v>
      </c>
      <c r="G13299" s="2" t="str">
        <f>"SR-18806"</f>
        <v>SR-18806</v>
      </c>
      <c r="H13299" s="2" t="s">
        <v>52620</v>
      </c>
      <c r="I13299" s="2" t="s">
        <v>52621</v>
      </c>
      <c r="K13299" s="2" t="s">
        <v>6988</v>
      </c>
      <c r="L13299" s="2" t="s">
        <v>165</v>
      </c>
      <c r="M13299" s="2">
        <v>23456.0</v>
      </c>
      <c r="N13299" s="2" t="s">
        <v>21</v>
      </c>
    </row>
    <row r="13300" ht="15.75" customHeight="1">
      <c r="A13300" s="2">
        <v>2020.0</v>
      </c>
      <c r="B13300" s="2" t="s">
        <v>43650</v>
      </c>
      <c r="C13300" s="2" t="s">
        <v>43651</v>
      </c>
      <c r="D13300" s="2" t="str">
        <f>"3303239442"</f>
        <v>3303239442</v>
      </c>
      <c r="E13300" s="2" t="s">
        <v>2760</v>
      </c>
      <c r="F13300" s="2" t="s">
        <v>11479</v>
      </c>
      <c r="G13300" s="2" t="str">
        <f>"SR-15355"</f>
        <v>SR-15355</v>
      </c>
      <c r="H13300" s="2" t="s">
        <v>43652</v>
      </c>
      <c r="I13300" s="2" t="s">
        <v>43653</v>
      </c>
      <c r="K13300" s="2" t="s">
        <v>42809</v>
      </c>
      <c r="L13300" s="2" t="s">
        <v>279</v>
      </c>
      <c r="M13300" s="2">
        <v>37886.0</v>
      </c>
      <c r="N13300" s="2" t="s">
        <v>21</v>
      </c>
    </row>
    <row r="13301" ht="15.75" customHeight="1">
      <c r="A13301" s="2">
        <v>2020.0</v>
      </c>
      <c r="B13301" s="2" t="s">
        <v>52622</v>
      </c>
      <c r="C13301" s="2" t="s">
        <v>52623</v>
      </c>
      <c r="D13301" s="2" t="str">
        <f>"662-587-7463"</f>
        <v>662-587-7463</v>
      </c>
      <c r="E13301" s="2" t="s">
        <v>1928</v>
      </c>
      <c r="F13301" s="2" t="s">
        <v>31450</v>
      </c>
      <c r="G13301" s="2" t="str">
        <f>"SR-18807"</f>
        <v>SR-18807</v>
      </c>
      <c r="H13301" s="2" t="s">
        <v>52624</v>
      </c>
      <c r="I13301" s="2" t="s">
        <v>52625</v>
      </c>
      <c r="K13301" s="2" t="s">
        <v>42207</v>
      </c>
      <c r="L13301" s="2" t="s">
        <v>1722</v>
      </c>
      <c r="M13301" s="2">
        <v>38663.0</v>
      </c>
      <c r="N13301" s="2" t="s">
        <v>21</v>
      </c>
    </row>
    <row r="13302" ht="15.75" customHeight="1">
      <c r="A13302" s="2">
        <v>2020.0</v>
      </c>
      <c r="B13302" s="2" t="s">
        <v>47954</v>
      </c>
      <c r="C13302" s="2" t="s">
        <v>47955</v>
      </c>
      <c r="D13302" s="2" t="str">
        <f>"740-417-1886"</f>
        <v>740-417-1886</v>
      </c>
      <c r="E13302" s="2" t="s">
        <v>100</v>
      </c>
      <c r="F13302" s="2" t="s">
        <v>47956</v>
      </c>
      <c r="G13302" s="2" t="str">
        <f>"SR-16680"</f>
        <v>SR-16680</v>
      </c>
      <c r="H13302" s="2" t="s">
        <v>47957</v>
      </c>
      <c r="I13302" s="2" t="s">
        <v>47958</v>
      </c>
      <c r="K13302" s="2" t="s">
        <v>10756</v>
      </c>
      <c r="L13302" s="2" t="s">
        <v>344</v>
      </c>
      <c r="M13302" s="2">
        <v>43015.0</v>
      </c>
      <c r="N13302" s="2" t="s">
        <v>21</v>
      </c>
    </row>
    <row r="13303" ht="15.75" customHeight="1">
      <c r="A13303" s="2">
        <v>2020.0</v>
      </c>
      <c r="B13303" s="2" t="s">
        <v>52626</v>
      </c>
      <c r="C13303" s="2" t="s">
        <v>52627</v>
      </c>
      <c r="D13303" s="2" t="str">
        <f>"5156813744"</f>
        <v>5156813744</v>
      </c>
      <c r="E13303" s="2" t="s">
        <v>2147</v>
      </c>
      <c r="F13303" s="2" t="s">
        <v>5105</v>
      </c>
      <c r="G13303" s="2" t="str">
        <f>"SR-18808"</f>
        <v>SR-18808</v>
      </c>
      <c r="H13303" s="2" t="s">
        <v>52628</v>
      </c>
      <c r="I13303" s="2" t="s">
        <v>52629</v>
      </c>
      <c r="K13303" s="2" t="s">
        <v>52630</v>
      </c>
      <c r="L13303" s="2" t="s">
        <v>560</v>
      </c>
      <c r="M13303" s="2">
        <v>50056.0</v>
      </c>
      <c r="N13303" s="2" t="s">
        <v>21</v>
      </c>
    </row>
    <row r="13304" ht="15.75" customHeight="1">
      <c r="A13304" s="2">
        <v>2020.0</v>
      </c>
      <c r="B13304" s="2" t="s">
        <v>52631</v>
      </c>
      <c r="C13304" s="2" t="s">
        <v>52631</v>
      </c>
      <c r="D13304" s="2" t="str">
        <f>"360-581-3027"</f>
        <v>360-581-3027</v>
      </c>
      <c r="E13304" s="2" t="s">
        <v>261</v>
      </c>
      <c r="F13304" s="2" t="s">
        <v>52632</v>
      </c>
      <c r="G13304" s="2" t="str">
        <f>"SR-17760"</f>
        <v>SR-17760</v>
      </c>
      <c r="H13304" s="2" t="s">
        <v>52633</v>
      </c>
      <c r="I13304" s="2" t="s">
        <v>52634</v>
      </c>
      <c r="K13304" s="2" t="s">
        <v>16552</v>
      </c>
      <c r="L13304" s="2" t="s">
        <v>86</v>
      </c>
      <c r="M13304" s="2">
        <v>98520.0</v>
      </c>
      <c r="N13304" s="2" t="s">
        <v>21</v>
      </c>
    </row>
    <row r="13305" ht="15.75" customHeight="1">
      <c r="A13305" s="2">
        <v>2020.0</v>
      </c>
      <c r="B13305" s="2" t="s">
        <v>43167</v>
      </c>
      <c r="C13305" s="2" t="s">
        <v>43167</v>
      </c>
      <c r="D13305" s="2" t="str">
        <f>"(540)830-1217"</f>
        <v>(540)830-1217</v>
      </c>
      <c r="E13305" s="2" t="s">
        <v>261</v>
      </c>
      <c r="F13305" s="2" t="s">
        <v>1859</v>
      </c>
      <c r="G13305" s="2" t="str">
        <f>"SR-18810"</f>
        <v>SR-18810</v>
      </c>
      <c r="H13305" s="2" t="s">
        <v>52635</v>
      </c>
      <c r="I13305" s="2" t="s">
        <v>43169</v>
      </c>
      <c r="K13305" s="2" t="s">
        <v>20658</v>
      </c>
      <c r="L13305" s="2" t="s">
        <v>165</v>
      </c>
      <c r="M13305" s="2">
        <v>24486.0</v>
      </c>
      <c r="N13305" s="2" t="s">
        <v>21</v>
      </c>
    </row>
    <row r="13306" ht="15.75" customHeight="1">
      <c r="A13306" s="2">
        <v>2020.0</v>
      </c>
      <c r="B13306" s="2" t="s">
        <v>52636</v>
      </c>
      <c r="C13306" s="2" t="s">
        <v>52637</v>
      </c>
      <c r="D13306" s="2" t="str">
        <f>"9419283493"</f>
        <v>9419283493</v>
      </c>
      <c r="E13306" s="2" t="s">
        <v>428</v>
      </c>
      <c r="F13306" s="2" t="s">
        <v>5128</v>
      </c>
      <c r="G13306" s="2" t="str">
        <f>"SR-18811"</f>
        <v>SR-18811</v>
      </c>
      <c r="H13306" s="2" t="s">
        <v>52638</v>
      </c>
      <c r="I13306" s="2" t="s">
        <v>52639</v>
      </c>
      <c r="K13306" s="2" t="s">
        <v>29636</v>
      </c>
      <c r="L13306" s="2" t="s">
        <v>165</v>
      </c>
      <c r="M13306" s="2">
        <v>20176.0</v>
      </c>
      <c r="N13306" s="2" t="s">
        <v>21</v>
      </c>
    </row>
    <row r="13307" ht="15.75" customHeight="1">
      <c r="A13307" s="2">
        <v>2020.0</v>
      </c>
      <c r="B13307" s="2" t="s">
        <v>52640</v>
      </c>
      <c r="C13307" s="2" t="s">
        <v>52641</v>
      </c>
      <c r="D13307" s="2" t="str">
        <f>"832-995-7455"</f>
        <v>832-995-7455</v>
      </c>
      <c r="E13307" s="2" t="s">
        <v>203</v>
      </c>
      <c r="F13307" s="2" t="s">
        <v>52642</v>
      </c>
      <c r="G13307" s="2" t="str">
        <f>"SR-15750"</f>
        <v>SR-15750</v>
      </c>
      <c r="H13307" s="2" t="s">
        <v>52643</v>
      </c>
      <c r="I13307" s="2" t="s">
        <v>52644</v>
      </c>
      <c r="K13307" s="2" t="s">
        <v>444</v>
      </c>
      <c r="L13307" s="2" t="s">
        <v>172</v>
      </c>
      <c r="M13307" s="2">
        <v>77014.0</v>
      </c>
      <c r="N13307" s="2" t="s">
        <v>21</v>
      </c>
    </row>
    <row r="13308" ht="15.75" customHeight="1">
      <c r="A13308" s="2">
        <v>2020.0</v>
      </c>
      <c r="B13308" s="2" t="s">
        <v>52645</v>
      </c>
      <c r="D13308" s="2" t="str">
        <f>""</f>
        <v/>
      </c>
      <c r="E13308" s="2" t="s">
        <v>1076</v>
      </c>
      <c r="F13308" s="2" t="s">
        <v>1533</v>
      </c>
      <c r="G13308" s="2" t="str">
        <f>"SR-18814"</f>
        <v>SR-18814</v>
      </c>
      <c r="H13308" s="2" t="s">
        <v>52646</v>
      </c>
      <c r="N13308" s="2" t="s">
        <v>21</v>
      </c>
    </row>
    <row r="13309" ht="15.75" customHeight="1">
      <c r="A13309" s="2">
        <v>2020.0</v>
      </c>
      <c r="B13309" s="2" t="s">
        <v>8728</v>
      </c>
      <c r="C13309" s="2" t="s">
        <v>39126</v>
      </c>
      <c r="D13309" s="2" t="str">
        <f>"4129994013"</f>
        <v>4129994013</v>
      </c>
      <c r="E13309" s="2" t="s">
        <v>39127</v>
      </c>
      <c r="F13309" s="2" t="s">
        <v>8730</v>
      </c>
      <c r="G13309" s="2" t="str">
        <f>"SR-13402"</f>
        <v>SR-13402</v>
      </c>
      <c r="H13309" s="2" t="s">
        <v>39128</v>
      </c>
      <c r="I13309" s="2" t="s">
        <v>8732</v>
      </c>
      <c r="K13309" s="2" t="s">
        <v>8733</v>
      </c>
      <c r="L13309" s="2" t="s">
        <v>179</v>
      </c>
      <c r="M13309" s="2">
        <v>15215.0</v>
      </c>
      <c r="N13309" s="2" t="s">
        <v>21</v>
      </c>
    </row>
    <row r="13310" ht="15.75" customHeight="1">
      <c r="A13310" s="2">
        <v>2020.0</v>
      </c>
      <c r="B13310" s="2" t="s">
        <v>12041</v>
      </c>
      <c r="C13310" s="2" t="s">
        <v>48465</v>
      </c>
      <c r="D13310" s="2" t="str">
        <f>"9154333257"</f>
        <v>9154333257</v>
      </c>
      <c r="E13310" s="2" t="s">
        <v>18027</v>
      </c>
      <c r="F13310" s="2" t="s">
        <v>35644</v>
      </c>
      <c r="G13310" s="2" t="str">
        <f>"SR-17029"</f>
        <v>SR-17029</v>
      </c>
      <c r="H13310" s="2" t="s">
        <v>48466</v>
      </c>
      <c r="I13310" s="2" t="s">
        <v>35646</v>
      </c>
      <c r="K13310" s="2" t="s">
        <v>12047</v>
      </c>
      <c r="L13310" s="2" t="s">
        <v>172</v>
      </c>
      <c r="M13310" s="2">
        <v>79838.0</v>
      </c>
      <c r="N13310" s="2" t="s">
        <v>21</v>
      </c>
    </row>
    <row r="13311" ht="15.75" customHeight="1">
      <c r="A13311" s="2">
        <v>2020.0</v>
      </c>
      <c r="B13311" s="2" t="s">
        <v>39905</v>
      </c>
      <c r="C13311" s="2" t="s">
        <v>52647</v>
      </c>
      <c r="D13311" s="2" t="str">
        <f>"6052235278"</f>
        <v>6052235278</v>
      </c>
      <c r="E13311" s="2" t="s">
        <v>2401</v>
      </c>
      <c r="F13311" s="2" t="s">
        <v>39907</v>
      </c>
      <c r="G13311" s="2" t="str">
        <f>"SR-18743"</f>
        <v>SR-18743</v>
      </c>
      <c r="H13311" s="2" t="s">
        <v>52648</v>
      </c>
      <c r="I13311" s="2" t="s">
        <v>52649</v>
      </c>
      <c r="K13311" s="2" t="s">
        <v>919</v>
      </c>
      <c r="L13311" s="2" t="s">
        <v>920</v>
      </c>
      <c r="M13311" s="2">
        <v>57107.0</v>
      </c>
      <c r="N13311" s="2" t="s">
        <v>21</v>
      </c>
    </row>
    <row r="13312" ht="15.75" customHeight="1">
      <c r="A13312" s="2">
        <v>2020.0</v>
      </c>
      <c r="B13312" s="2" t="s">
        <v>28918</v>
      </c>
      <c r="D13312" s="2" t="str">
        <f t="shared" ref="D13312:D13313" si="225">""</f>
        <v/>
      </c>
      <c r="E13312" s="2" t="s">
        <v>261</v>
      </c>
      <c r="F13312" s="2" t="s">
        <v>984</v>
      </c>
      <c r="G13312" s="2" t="str">
        <f>"SR-17164"</f>
        <v>SR-17164</v>
      </c>
      <c r="H13312" s="2" t="s">
        <v>49988</v>
      </c>
    </row>
    <row r="13313" ht="15.75" customHeight="1">
      <c r="A13313" s="2">
        <v>2020.0</v>
      </c>
      <c r="B13313" s="2" t="s">
        <v>41736</v>
      </c>
      <c r="D13313" s="2" t="str">
        <f t="shared" si="225"/>
        <v/>
      </c>
      <c r="E13313" s="2" t="s">
        <v>580</v>
      </c>
      <c r="F13313" s="2" t="s">
        <v>8612</v>
      </c>
      <c r="G13313" s="2" t="str">
        <f>"SR-13858"</f>
        <v>SR-13858</v>
      </c>
      <c r="H13313" s="2" t="s">
        <v>41737</v>
      </c>
    </row>
    <row r="13314" ht="15.75" customHeight="1">
      <c r="A13314" s="2">
        <v>2020.0</v>
      </c>
      <c r="B13314" s="2" t="s">
        <v>52650</v>
      </c>
      <c r="C13314" s="2" t="s">
        <v>52651</v>
      </c>
      <c r="D13314" s="2" t="str">
        <f>"217-864-8940"</f>
        <v>217-864-8940</v>
      </c>
      <c r="E13314" s="2" t="s">
        <v>843</v>
      </c>
      <c r="F13314" s="2" t="s">
        <v>124</v>
      </c>
      <c r="G13314" s="2" t="str">
        <f>"SR-18817"</f>
        <v>SR-18817</v>
      </c>
      <c r="H13314" s="2" t="s">
        <v>52652</v>
      </c>
      <c r="I13314" s="2" t="s">
        <v>52653</v>
      </c>
      <c r="K13314" s="2" t="s">
        <v>8231</v>
      </c>
      <c r="L13314" s="2" t="s">
        <v>105</v>
      </c>
      <c r="M13314" s="2">
        <v>62521.0</v>
      </c>
      <c r="N13314" s="2" t="s">
        <v>21</v>
      </c>
    </row>
    <row r="13315" ht="15.75" customHeight="1">
      <c r="A13315" s="2">
        <v>2020.0</v>
      </c>
      <c r="B13315" s="2" t="s">
        <v>52654</v>
      </c>
      <c r="C13315" s="2" t="s">
        <v>52654</v>
      </c>
      <c r="D13315" s="2" t="str">
        <f>"830-388-9720"</f>
        <v>830-388-9720</v>
      </c>
      <c r="E13315" s="2" t="s">
        <v>57</v>
      </c>
      <c r="F13315" s="2" t="s">
        <v>20407</v>
      </c>
      <c r="G13315" s="2" t="str">
        <f>"SR-18819"</f>
        <v>SR-18819</v>
      </c>
      <c r="H13315" s="2" t="s">
        <v>52655</v>
      </c>
      <c r="I13315" s="2" t="s">
        <v>52656</v>
      </c>
      <c r="K13315" s="2" t="s">
        <v>29864</v>
      </c>
      <c r="L13315" s="2" t="s">
        <v>172</v>
      </c>
      <c r="M13315" s="2">
        <v>78070.0</v>
      </c>
      <c r="N13315" s="2" t="s">
        <v>21</v>
      </c>
    </row>
    <row r="13316" ht="15.75" customHeight="1">
      <c r="A13316" s="2">
        <v>2020.0</v>
      </c>
      <c r="B13316" s="2" t="s">
        <v>52657</v>
      </c>
      <c r="C13316" s="2" t="s">
        <v>52657</v>
      </c>
      <c r="D13316" s="2" t="str">
        <f>"3168660527"</f>
        <v>3168660527</v>
      </c>
      <c r="E13316" s="2" t="s">
        <v>52658</v>
      </c>
      <c r="F13316" s="2" t="s">
        <v>30947</v>
      </c>
      <c r="G13316" s="2" t="str">
        <f>"SR-18821"</f>
        <v>SR-18821</v>
      </c>
      <c r="H13316" s="2" t="s">
        <v>52659</v>
      </c>
      <c r="I13316" s="2" t="s">
        <v>52660</v>
      </c>
      <c r="K13316" s="2" t="s">
        <v>606</v>
      </c>
      <c r="L13316" s="2" t="s">
        <v>272</v>
      </c>
      <c r="M13316" s="2">
        <v>67217.0</v>
      </c>
      <c r="N13316" s="2" t="s">
        <v>21</v>
      </c>
    </row>
    <row r="13317" ht="15.75" customHeight="1">
      <c r="A13317" s="2">
        <v>2020.0</v>
      </c>
      <c r="B13317" s="2" t="s">
        <v>52661</v>
      </c>
      <c r="C13317" s="2" t="s">
        <v>52661</v>
      </c>
      <c r="D13317" s="2" t="str">
        <f>"9319815737"</f>
        <v>9319815737</v>
      </c>
      <c r="E13317" s="2" t="s">
        <v>12166</v>
      </c>
      <c r="F13317" s="2" t="s">
        <v>24787</v>
      </c>
      <c r="G13317" s="2" t="str">
        <f>"SR-18746"</f>
        <v>SR-18746</v>
      </c>
      <c r="H13317" s="2" t="s">
        <v>52662</v>
      </c>
      <c r="I13317" s="2" t="s">
        <v>52663</v>
      </c>
      <c r="K13317" s="2" t="s">
        <v>24415</v>
      </c>
      <c r="L13317" s="2" t="s">
        <v>279</v>
      </c>
      <c r="M13317" s="2">
        <v>38451.0</v>
      </c>
      <c r="N13317" s="2" t="s">
        <v>21</v>
      </c>
    </row>
    <row r="13318" ht="15.75" customHeight="1">
      <c r="A13318" s="2">
        <v>2020.0</v>
      </c>
      <c r="B13318" s="2" t="s">
        <v>52664</v>
      </c>
      <c r="C13318" s="2" t="s">
        <v>52665</v>
      </c>
      <c r="D13318" s="2" t="str">
        <f>"5304090858"</f>
        <v>5304090858</v>
      </c>
      <c r="E13318" s="2" t="s">
        <v>2083</v>
      </c>
      <c r="F13318" s="2" t="s">
        <v>36486</v>
      </c>
      <c r="G13318" s="2" t="str">
        <f>"SR-18822"</f>
        <v>SR-18822</v>
      </c>
      <c r="H13318" s="2" t="s">
        <v>52666</v>
      </c>
      <c r="I13318" s="2" t="s">
        <v>52667</v>
      </c>
      <c r="K13318" s="2" t="s">
        <v>3787</v>
      </c>
      <c r="L13318" s="2" t="s">
        <v>222</v>
      </c>
      <c r="M13318" s="2">
        <v>95682.0</v>
      </c>
      <c r="N13318" s="2" t="s">
        <v>21</v>
      </c>
    </row>
    <row r="13319" ht="15.75" customHeight="1">
      <c r="A13319" s="2">
        <v>2020.0</v>
      </c>
      <c r="B13319" s="2" t="s">
        <v>52668</v>
      </c>
      <c r="C13319" s="2" t="s">
        <v>52669</v>
      </c>
      <c r="D13319" s="2" t="str">
        <f>"9095707430"</f>
        <v>9095707430</v>
      </c>
      <c r="E13319" s="2" t="s">
        <v>1483</v>
      </c>
      <c r="F13319" s="2" t="s">
        <v>22792</v>
      </c>
      <c r="G13319" s="2" t="str">
        <f>"SR-18815"</f>
        <v>SR-18815</v>
      </c>
      <c r="H13319" s="2" t="s">
        <v>52670</v>
      </c>
      <c r="I13319" s="2" t="s">
        <v>52671</v>
      </c>
      <c r="J13319" s="2" t="s">
        <v>40936</v>
      </c>
      <c r="K13319" s="2" t="s">
        <v>10557</v>
      </c>
      <c r="L13319" s="2" t="s">
        <v>222</v>
      </c>
      <c r="M13319" s="2">
        <v>91730.0</v>
      </c>
      <c r="N13319" s="2" t="s">
        <v>21</v>
      </c>
    </row>
    <row r="13320" ht="15.75" customHeight="1">
      <c r="A13320" s="2">
        <v>2020.0</v>
      </c>
      <c r="B13320" s="2" t="s">
        <v>52672</v>
      </c>
      <c r="C13320" s="2" t="s">
        <v>52673</v>
      </c>
      <c r="D13320" s="2" t="str">
        <f>"515-207-8408"</f>
        <v>515-207-8408</v>
      </c>
      <c r="E13320" s="2" t="s">
        <v>1054</v>
      </c>
      <c r="F13320" s="2" t="s">
        <v>417</v>
      </c>
      <c r="G13320" s="2" t="str">
        <f>"SR-18825"</f>
        <v>SR-18825</v>
      </c>
      <c r="H13320" s="2" t="s">
        <v>52674</v>
      </c>
      <c r="I13320" s="2" t="s">
        <v>52675</v>
      </c>
      <c r="K13320" s="2" t="s">
        <v>52676</v>
      </c>
      <c r="L13320" s="2" t="s">
        <v>560</v>
      </c>
      <c r="M13320" s="2">
        <v>50278.0</v>
      </c>
      <c r="N13320" s="2" t="s">
        <v>21</v>
      </c>
    </row>
    <row r="13321" ht="15.75" customHeight="1">
      <c r="A13321" s="2">
        <v>2020.0</v>
      </c>
      <c r="B13321" s="2" t="s">
        <v>52677</v>
      </c>
      <c r="C13321" s="2" t="s">
        <v>52678</v>
      </c>
      <c r="D13321" s="2" t="str">
        <f>"9315611452"</f>
        <v>9315611452</v>
      </c>
      <c r="E13321" s="2" t="s">
        <v>33592</v>
      </c>
      <c r="F13321" s="2" t="s">
        <v>17657</v>
      </c>
      <c r="G13321" s="2" t="str">
        <f>"SR-18828"</f>
        <v>SR-18828</v>
      </c>
      <c r="H13321" s="2" t="s">
        <v>52679</v>
      </c>
      <c r="I13321" s="2" t="s">
        <v>52680</v>
      </c>
      <c r="K13321" s="2" t="s">
        <v>1239</v>
      </c>
      <c r="L13321" s="2" t="s">
        <v>200</v>
      </c>
      <c r="M13321" s="2">
        <v>31405.0</v>
      </c>
      <c r="N13321" s="2" t="s">
        <v>21</v>
      </c>
    </row>
    <row r="13322" ht="15.75" customHeight="1">
      <c r="A13322" s="2">
        <v>2020.0</v>
      </c>
      <c r="B13322" s="2" t="s">
        <v>52677</v>
      </c>
      <c r="C13322" s="2" t="s">
        <v>52681</v>
      </c>
      <c r="D13322" s="2" t="str">
        <f>"9124387160"</f>
        <v>9124387160</v>
      </c>
      <c r="E13322" s="2" t="s">
        <v>137</v>
      </c>
      <c r="F13322" s="2" t="s">
        <v>3511</v>
      </c>
      <c r="G13322" s="2" t="str">
        <f>"SR-18827"</f>
        <v>SR-18827</v>
      </c>
      <c r="H13322" s="2" t="s">
        <v>52682</v>
      </c>
      <c r="I13322" s="2" t="s">
        <v>52683</v>
      </c>
      <c r="K13322" s="2" t="s">
        <v>22304</v>
      </c>
      <c r="L13322" s="2" t="s">
        <v>200</v>
      </c>
      <c r="M13322" s="2">
        <v>31302.0</v>
      </c>
      <c r="N13322" s="2" t="s">
        <v>21</v>
      </c>
    </row>
    <row r="13323" ht="15.75" customHeight="1">
      <c r="A13323" s="2">
        <v>2020.0</v>
      </c>
      <c r="B13323" s="2" t="s">
        <v>26108</v>
      </c>
      <c r="C13323" s="2" t="s">
        <v>52684</v>
      </c>
      <c r="D13323" s="2" t="str">
        <f>"423-826-6891"</f>
        <v>423-826-6891</v>
      </c>
      <c r="E13323" s="2" t="s">
        <v>1076</v>
      </c>
      <c r="F13323" s="2" t="s">
        <v>26109</v>
      </c>
      <c r="G13323" s="2" t="str">
        <f>"SR-18830"</f>
        <v>SR-18830</v>
      </c>
      <c r="H13323" s="2" t="s">
        <v>52685</v>
      </c>
      <c r="I13323" s="2" t="s">
        <v>42171</v>
      </c>
      <c r="K13323" s="2" t="s">
        <v>23449</v>
      </c>
      <c r="L13323" s="2" t="s">
        <v>279</v>
      </c>
      <c r="M13323" s="2">
        <v>37343.0</v>
      </c>
      <c r="N13323" s="2" t="s">
        <v>21</v>
      </c>
    </row>
    <row r="13324" ht="15.75" customHeight="1">
      <c r="A13324" s="2">
        <v>2020.0</v>
      </c>
      <c r="B13324" s="2" t="s">
        <v>52686</v>
      </c>
      <c r="C13324" s="2" t="s">
        <v>52687</v>
      </c>
      <c r="D13324" s="2" t="str">
        <f>"5013889449"</f>
        <v>5013889449</v>
      </c>
      <c r="E13324" s="2" t="s">
        <v>1015</v>
      </c>
      <c r="F13324" s="2" t="s">
        <v>1269</v>
      </c>
      <c r="G13324" s="2" t="str">
        <f>"SR-17882"</f>
        <v>SR-17882</v>
      </c>
      <c r="H13324" s="2" t="s">
        <v>52688</v>
      </c>
      <c r="I13324" s="2" t="s">
        <v>52689</v>
      </c>
      <c r="K13324" s="2" t="s">
        <v>17727</v>
      </c>
      <c r="L13324" s="2" t="s">
        <v>1012</v>
      </c>
      <c r="M13324" s="2">
        <v>72143.0</v>
      </c>
      <c r="N13324" s="2" t="s">
        <v>21</v>
      </c>
    </row>
    <row r="13325" ht="15.75" customHeight="1">
      <c r="A13325" s="2">
        <v>2020.0</v>
      </c>
      <c r="B13325" s="2" t="s">
        <v>52690</v>
      </c>
      <c r="C13325" s="2" t="s">
        <v>52690</v>
      </c>
      <c r="D13325" s="2" t="str">
        <f>"7855610939"</f>
        <v>7855610939</v>
      </c>
      <c r="E13325" s="2" t="s">
        <v>678</v>
      </c>
      <c r="F13325" s="2" t="s">
        <v>2333</v>
      </c>
      <c r="G13325" s="2" t="str">
        <f>"SR-18812"</f>
        <v>SR-18812</v>
      </c>
      <c r="H13325" s="2" t="s">
        <v>52691</v>
      </c>
      <c r="I13325" s="2" t="s">
        <v>52692</v>
      </c>
      <c r="K13325" s="2" t="s">
        <v>6149</v>
      </c>
      <c r="L13325" s="2" t="s">
        <v>272</v>
      </c>
      <c r="M13325" s="2">
        <v>66846.0</v>
      </c>
      <c r="N13325" s="2" t="s">
        <v>21</v>
      </c>
    </row>
    <row r="13326" ht="15.75" customHeight="1">
      <c r="A13326" s="2">
        <v>2020.0</v>
      </c>
      <c r="B13326" s="2" t="s">
        <v>52693</v>
      </c>
      <c r="C13326" s="2" t="s">
        <v>52694</v>
      </c>
      <c r="D13326" s="2" t="str">
        <f>"4195674054"</f>
        <v>4195674054</v>
      </c>
      <c r="E13326" s="2" t="s">
        <v>950</v>
      </c>
      <c r="F13326" s="2" t="s">
        <v>24297</v>
      </c>
      <c r="G13326" s="2" t="str">
        <f>"SR-18832"</f>
        <v>SR-18832</v>
      </c>
      <c r="H13326" s="2" t="s">
        <v>52695</v>
      </c>
      <c r="I13326" s="2" t="s">
        <v>24299</v>
      </c>
      <c r="K13326" s="2" t="s">
        <v>52696</v>
      </c>
      <c r="L13326" s="2" t="s">
        <v>344</v>
      </c>
      <c r="M13326" s="2">
        <v>45821.0</v>
      </c>
      <c r="N13326" s="2" t="s">
        <v>21</v>
      </c>
    </row>
    <row r="13327" ht="15.75" customHeight="1">
      <c r="A13327" s="2">
        <v>2020.0</v>
      </c>
      <c r="B13327" s="2" t="s">
        <v>40483</v>
      </c>
      <c r="C13327" s="2" t="s">
        <v>44029</v>
      </c>
      <c r="D13327" s="2" t="str">
        <f>"9493016106"</f>
        <v>9493016106</v>
      </c>
      <c r="E13327" s="2" t="s">
        <v>14745</v>
      </c>
      <c r="F13327" s="2" t="s">
        <v>25025</v>
      </c>
      <c r="G13327" s="2" t="str">
        <f>"SR-15503"</f>
        <v>SR-15503</v>
      </c>
      <c r="H13327" s="2" t="s">
        <v>44030</v>
      </c>
      <c r="I13327" s="2" t="s">
        <v>40485</v>
      </c>
      <c r="K13327" s="2" t="s">
        <v>3065</v>
      </c>
      <c r="L13327" s="2" t="s">
        <v>222</v>
      </c>
      <c r="M13327" s="2">
        <v>92688.0</v>
      </c>
      <c r="N13327" s="2" t="s">
        <v>21</v>
      </c>
    </row>
    <row r="13328" ht="15.75" customHeight="1">
      <c r="A13328" s="2">
        <v>2020.0</v>
      </c>
      <c r="B13328" s="2" t="s">
        <v>52697</v>
      </c>
      <c r="C13328" s="2" t="s">
        <v>52697</v>
      </c>
      <c r="D13328" s="2" t="str">
        <f>"9075217873"</f>
        <v>9075217873</v>
      </c>
      <c r="E13328" s="2" t="s">
        <v>1713</v>
      </c>
      <c r="F13328" s="2" t="s">
        <v>52593</v>
      </c>
      <c r="G13328" s="2" t="str">
        <f>"SR-18838"</f>
        <v>SR-18838</v>
      </c>
      <c r="H13328" s="2" t="s">
        <v>52698</v>
      </c>
      <c r="I13328" s="2" t="s">
        <v>52699</v>
      </c>
      <c r="K13328" s="2" t="s">
        <v>52700</v>
      </c>
      <c r="L13328" s="2" t="s">
        <v>70</v>
      </c>
      <c r="M13328" s="2">
        <v>99645.0</v>
      </c>
      <c r="N13328" s="2" t="s">
        <v>21</v>
      </c>
    </row>
    <row r="13329" ht="15.75" customHeight="1">
      <c r="A13329" s="2">
        <v>2020.0</v>
      </c>
      <c r="B13329" s="2" t="s">
        <v>52701</v>
      </c>
      <c r="C13329" s="2" t="s">
        <v>52701</v>
      </c>
      <c r="D13329" s="2" t="str">
        <f>"4027183101"</f>
        <v>4027183101</v>
      </c>
      <c r="E13329" s="2" t="s">
        <v>1208</v>
      </c>
      <c r="F13329" s="2" t="s">
        <v>52702</v>
      </c>
      <c r="G13329" s="2" t="str">
        <f>"SR-18839"</f>
        <v>SR-18839</v>
      </c>
      <c r="H13329" s="2" t="s">
        <v>52703</v>
      </c>
      <c r="I13329" s="2" t="s">
        <v>52704</v>
      </c>
      <c r="K13329" s="2" t="s">
        <v>1470</v>
      </c>
      <c r="L13329" s="2" t="s">
        <v>757</v>
      </c>
      <c r="M13329" s="2">
        <v>68130.0</v>
      </c>
      <c r="N13329" s="2" t="s">
        <v>21</v>
      </c>
    </row>
    <row r="13330" ht="15.75" customHeight="1">
      <c r="A13330" s="2">
        <v>2020.0</v>
      </c>
      <c r="B13330" s="2" t="s">
        <v>47626</v>
      </c>
      <c r="C13330" s="2" t="s">
        <v>47626</v>
      </c>
      <c r="D13330" s="2" t="str">
        <f>"5755125567"</f>
        <v>5755125567</v>
      </c>
      <c r="E13330" s="2" t="s">
        <v>16988</v>
      </c>
      <c r="F13330" s="2" t="s">
        <v>5351</v>
      </c>
      <c r="G13330" s="2" t="str">
        <f>"SR-16683"</f>
        <v>SR-16683</v>
      </c>
      <c r="H13330" s="2" t="s">
        <v>47627</v>
      </c>
      <c r="I13330" s="2" t="s">
        <v>47628</v>
      </c>
      <c r="K13330" s="2" t="s">
        <v>11181</v>
      </c>
      <c r="L13330" s="2" t="s">
        <v>208</v>
      </c>
      <c r="M13330" s="2">
        <v>32570.0</v>
      </c>
      <c r="N13330" s="2" t="s">
        <v>21</v>
      </c>
    </row>
    <row r="13331" ht="15.75" customHeight="1">
      <c r="A13331" s="2">
        <v>2020.0</v>
      </c>
      <c r="B13331" s="2" t="s">
        <v>52705</v>
      </c>
      <c r="C13331" s="2" t="s">
        <v>52705</v>
      </c>
      <c r="D13331" s="2" t="str">
        <f>"2534321799"</f>
        <v>2534321799</v>
      </c>
      <c r="E13331" s="2" t="s">
        <v>11043</v>
      </c>
      <c r="F13331" s="2" t="s">
        <v>5051</v>
      </c>
      <c r="G13331" s="2" t="str">
        <f>"SR-18837"</f>
        <v>SR-18837</v>
      </c>
      <c r="H13331" s="2" t="s">
        <v>52706</v>
      </c>
      <c r="I13331" s="2" t="s">
        <v>52707</v>
      </c>
      <c r="K13331" s="2" t="s">
        <v>5671</v>
      </c>
      <c r="L13331" s="2" t="s">
        <v>279</v>
      </c>
      <c r="M13331" s="2">
        <v>37377.0</v>
      </c>
      <c r="N13331" s="2" t="s">
        <v>21</v>
      </c>
    </row>
    <row r="13332" ht="15.75" customHeight="1">
      <c r="A13332" s="2">
        <v>2020.0</v>
      </c>
      <c r="B13332" s="2" t="s">
        <v>52708</v>
      </c>
      <c r="C13332" s="2" t="s">
        <v>52708</v>
      </c>
      <c r="D13332" s="2" t="str">
        <f>"9709803269"</f>
        <v>9709803269</v>
      </c>
      <c r="E13332" s="2" t="s">
        <v>6170</v>
      </c>
      <c r="F13332" s="2" t="s">
        <v>962</v>
      </c>
      <c r="G13332" s="2" t="str">
        <f>"SR-17208"</f>
        <v>SR-17208</v>
      </c>
      <c r="H13332" s="2" t="s">
        <v>43554</v>
      </c>
      <c r="I13332" s="2" t="s">
        <v>52709</v>
      </c>
      <c r="K13332" s="2" t="s">
        <v>1632</v>
      </c>
      <c r="L13332" s="2" t="s">
        <v>157</v>
      </c>
      <c r="M13332" s="2">
        <v>80528.0</v>
      </c>
      <c r="N13332" s="2" t="s">
        <v>21</v>
      </c>
    </row>
    <row r="13333" ht="15.75" customHeight="1">
      <c r="A13333" s="2">
        <v>2020.0</v>
      </c>
      <c r="B13333" s="2" t="s">
        <v>39407</v>
      </c>
      <c r="C13333" s="2" t="s">
        <v>52710</v>
      </c>
      <c r="D13333" s="2" t="str">
        <f>"9282453073"</f>
        <v>9282453073</v>
      </c>
      <c r="E13333" s="2" t="s">
        <v>690</v>
      </c>
      <c r="F13333" s="2" t="s">
        <v>5721</v>
      </c>
      <c r="G13333" s="2" t="str">
        <f>"SR-18843"</f>
        <v>SR-18843</v>
      </c>
      <c r="H13333" s="2" t="s">
        <v>52711</v>
      </c>
      <c r="I13333" s="2" t="s">
        <v>39410</v>
      </c>
      <c r="K13333" s="2" t="s">
        <v>4420</v>
      </c>
      <c r="L13333" s="2" t="s">
        <v>422</v>
      </c>
      <c r="M13333" s="2">
        <v>86503.0</v>
      </c>
      <c r="N13333" s="2" t="s">
        <v>21</v>
      </c>
    </row>
    <row r="13334" ht="15.75" customHeight="1">
      <c r="A13334" s="2">
        <v>2020.0</v>
      </c>
      <c r="B13334" s="2" t="s">
        <v>52712</v>
      </c>
      <c r="C13334" s="2" t="s">
        <v>52712</v>
      </c>
      <c r="D13334" s="2" t="str">
        <f>"4329247188"</f>
        <v>4329247188</v>
      </c>
      <c r="E13334" s="2" t="s">
        <v>261</v>
      </c>
      <c r="F13334" s="2" t="s">
        <v>28357</v>
      </c>
      <c r="G13334" s="2" t="str">
        <f>"SR-18834"</f>
        <v>SR-18834</v>
      </c>
      <c r="H13334" s="2" t="s">
        <v>52713</v>
      </c>
      <c r="I13334" s="2" t="s">
        <v>52714</v>
      </c>
      <c r="K13334" s="2" t="s">
        <v>286</v>
      </c>
      <c r="L13334" s="2" t="s">
        <v>172</v>
      </c>
      <c r="M13334" s="2">
        <v>79707.0</v>
      </c>
      <c r="N13334" s="2" t="s">
        <v>21</v>
      </c>
    </row>
    <row r="13335" ht="15.75" customHeight="1">
      <c r="A13335" s="2">
        <v>2020.0</v>
      </c>
      <c r="B13335" s="2" t="s">
        <v>52715</v>
      </c>
      <c r="C13335" s="2" t="s">
        <v>52716</v>
      </c>
      <c r="D13335" s="2" t="str">
        <f>"4325533468"</f>
        <v>4325533468</v>
      </c>
      <c r="E13335" s="2" t="s">
        <v>42380</v>
      </c>
      <c r="F13335" s="2" t="s">
        <v>4120</v>
      </c>
      <c r="G13335" s="2" t="str">
        <f>"SR-18560"</f>
        <v>SR-18560</v>
      </c>
      <c r="H13335" s="2" t="s">
        <v>52717</v>
      </c>
      <c r="I13335" s="2" t="s">
        <v>52718</v>
      </c>
      <c r="K13335" s="2" t="s">
        <v>286</v>
      </c>
      <c r="L13335" s="2" t="s">
        <v>172</v>
      </c>
      <c r="M13335" s="2">
        <v>79705.0</v>
      </c>
      <c r="N13335" s="2" t="s">
        <v>21</v>
      </c>
    </row>
    <row r="13336" ht="15.75" customHeight="1">
      <c r="A13336" s="2">
        <v>2020.0</v>
      </c>
      <c r="B13336" s="2" t="s">
        <v>52719</v>
      </c>
      <c r="C13336" s="2" t="s">
        <v>52719</v>
      </c>
      <c r="D13336" s="2" t="str">
        <f>"4325599788"</f>
        <v>4325599788</v>
      </c>
      <c r="E13336" s="2" t="s">
        <v>2361</v>
      </c>
      <c r="F13336" s="2" t="s">
        <v>3903</v>
      </c>
      <c r="G13336" s="2" t="str">
        <f>"SR-18835"</f>
        <v>SR-18835</v>
      </c>
      <c r="H13336" s="2" t="s">
        <v>52720</v>
      </c>
      <c r="I13336" s="2" t="s">
        <v>52721</v>
      </c>
      <c r="K13336" s="2" t="s">
        <v>286</v>
      </c>
      <c r="L13336" s="2" t="s">
        <v>172</v>
      </c>
      <c r="M13336" s="2">
        <v>79707.0</v>
      </c>
      <c r="N13336" s="2" t="s">
        <v>21</v>
      </c>
    </row>
    <row r="13337" ht="15.75" customHeight="1">
      <c r="A13337" s="2">
        <v>2020.0</v>
      </c>
      <c r="B13337" s="2" t="s">
        <v>52722</v>
      </c>
      <c r="C13337" s="2" t="s">
        <v>52723</v>
      </c>
      <c r="D13337" s="2" t="str">
        <f>"9155260031"</f>
        <v>9155260031</v>
      </c>
      <c r="E13337" s="2" t="s">
        <v>39190</v>
      </c>
      <c r="F13337" s="2" t="s">
        <v>52724</v>
      </c>
      <c r="G13337" s="2" t="str">
        <f>"SR-18634"</f>
        <v>SR-18634</v>
      </c>
      <c r="H13337" s="2" t="s">
        <v>52725</v>
      </c>
      <c r="I13337" s="2" t="s">
        <v>52726</v>
      </c>
      <c r="K13337" s="2" t="s">
        <v>52727</v>
      </c>
      <c r="L13337" s="2" t="s">
        <v>172</v>
      </c>
      <c r="M13337" s="2">
        <v>79936.0</v>
      </c>
      <c r="N13337" s="2" t="s">
        <v>21</v>
      </c>
    </row>
    <row r="13338" ht="15.75" customHeight="1">
      <c r="A13338" s="2">
        <v>2020.0</v>
      </c>
      <c r="B13338" s="2" t="s">
        <v>48020</v>
      </c>
      <c r="C13338" s="2" t="s">
        <v>48021</v>
      </c>
      <c r="D13338" s="2" t="str">
        <f>"4064513706"</f>
        <v>4064513706</v>
      </c>
      <c r="E13338" s="2" t="s">
        <v>2361</v>
      </c>
      <c r="F13338" s="2" t="s">
        <v>48022</v>
      </c>
      <c r="G13338" s="2" t="str">
        <f>"SR-16826"</f>
        <v>SR-16826</v>
      </c>
      <c r="H13338" s="2" t="s">
        <v>48023</v>
      </c>
      <c r="I13338" s="2" t="s">
        <v>48024</v>
      </c>
      <c r="K13338" s="2" t="s">
        <v>1807</v>
      </c>
      <c r="L13338" s="2" t="s">
        <v>2696</v>
      </c>
      <c r="M13338" s="2">
        <v>59741.0</v>
      </c>
      <c r="N13338" s="2" t="s">
        <v>21</v>
      </c>
    </row>
    <row r="13339" ht="15.75" customHeight="1">
      <c r="A13339" s="2">
        <v>2020.0</v>
      </c>
      <c r="B13339" s="2" t="s">
        <v>52728</v>
      </c>
      <c r="C13339" s="2" t="s">
        <v>52728</v>
      </c>
      <c r="D13339" s="2" t="str">
        <f>"4065513452"</f>
        <v>4065513452</v>
      </c>
      <c r="E13339" s="2" t="s">
        <v>8757</v>
      </c>
      <c r="F13339" s="2" t="s">
        <v>48022</v>
      </c>
      <c r="G13339" s="2" t="str">
        <f>"SR-18845"</f>
        <v>SR-18845</v>
      </c>
      <c r="H13339" s="2" t="s">
        <v>52729</v>
      </c>
      <c r="I13339" s="2" t="s">
        <v>48024</v>
      </c>
      <c r="K13339" s="2" t="s">
        <v>1807</v>
      </c>
      <c r="L13339" s="2" t="s">
        <v>2696</v>
      </c>
      <c r="M13339" s="2">
        <v>59741.0</v>
      </c>
      <c r="N13339" s="2" t="s">
        <v>21</v>
      </c>
    </row>
    <row r="13340" ht="15.75" customHeight="1">
      <c r="A13340" s="2">
        <v>2020.0</v>
      </c>
      <c r="B13340" s="2" t="s">
        <v>52730</v>
      </c>
      <c r="C13340" s="2" t="s">
        <v>52730</v>
      </c>
      <c r="D13340" s="2" t="str">
        <f>"239-571-8435"</f>
        <v>239-571-8435</v>
      </c>
      <c r="E13340" s="2" t="s">
        <v>1190</v>
      </c>
      <c r="F13340" s="2" t="s">
        <v>11248</v>
      </c>
      <c r="G13340" s="2" t="str">
        <f>"SR-18833"</f>
        <v>SR-18833</v>
      </c>
      <c r="H13340" s="2" t="s">
        <v>52731</v>
      </c>
      <c r="I13340" s="2" t="s">
        <v>52732</v>
      </c>
      <c r="K13340" s="2" t="s">
        <v>5046</v>
      </c>
      <c r="L13340" s="2" t="s">
        <v>208</v>
      </c>
      <c r="M13340" s="2">
        <v>34116.0</v>
      </c>
      <c r="N13340" s="2" t="s">
        <v>21</v>
      </c>
    </row>
    <row r="13341" ht="15.75" customHeight="1">
      <c r="A13341" s="2">
        <v>2020.0</v>
      </c>
      <c r="B13341" s="2" t="s">
        <v>39407</v>
      </c>
      <c r="C13341" s="2" t="s">
        <v>39408</v>
      </c>
      <c r="D13341" s="2" t="str">
        <f>"9282451424"</f>
        <v>9282451424</v>
      </c>
      <c r="E13341" s="2" t="s">
        <v>6121</v>
      </c>
      <c r="F13341" s="2" t="s">
        <v>5721</v>
      </c>
      <c r="G13341" s="2" t="str">
        <f>"SR-13447"</f>
        <v>SR-13447</v>
      </c>
      <c r="H13341" s="2" t="s">
        <v>39409</v>
      </c>
      <c r="I13341" s="2" t="s">
        <v>39410</v>
      </c>
      <c r="K13341" s="2" t="s">
        <v>4420</v>
      </c>
      <c r="L13341" s="2" t="s">
        <v>422</v>
      </c>
      <c r="M13341" s="2">
        <v>86503.0</v>
      </c>
      <c r="N13341" s="2" t="s">
        <v>21</v>
      </c>
    </row>
    <row r="13342" ht="15.75" customHeight="1">
      <c r="A13342" s="2">
        <v>2020.0</v>
      </c>
      <c r="B13342" s="2" t="s">
        <v>52733</v>
      </c>
      <c r="C13342" s="2" t="s">
        <v>52734</v>
      </c>
      <c r="D13342" s="2" t="str">
        <f>"7045494188"</f>
        <v>7045494188</v>
      </c>
      <c r="E13342" s="2" t="s">
        <v>1263</v>
      </c>
      <c r="F13342" s="2" t="s">
        <v>639</v>
      </c>
      <c r="G13342" s="2" t="str">
        <f>"SR-18816"</f>
        <v>SR-18816</v>
      </c>
      <c r="H13342" s="2" t="s">
        <v>52735</v>
      </c>
      <c r="I13342" s="2" t="s">
        <v>52736</v>
      </c>
      <c r="K13342" s="2" t="s">
        <v>19</v>
      </c>
      <c r="L13342" s="2" t="s">
        <v>20</v>
      </c>
      <c r="M13342" s="2">
        <v>28269.0</v>
      </c>
      <c r="N13342" s="2" t="s">
        <v>21</v>
      </c>
    </row>
    <row r="13343" ht="15.75" customHeight="1">
      <c r="A13343" s="2">
        <v>2020.0</v>
      </c>
      <c r="B13343" s="2" t="s">
        <v>52737</v>
      </c>
      <c r="C13343" s="2" t="s">
        <v>52737</v>
      </c>
      <c r="D13343" s="2" t="str">
        <f>"2104283001"</f>
        <v>2104283001</v>
      </c>
      <c r="E13343" s="2" t="s">
        <v>52738</v>
      </c>
      <c r="F13343" s="2" t="s">
        <v>52739</v>
      </c>
      <c r="G13343" s="2" t="str">
        <f>"SR-18706"</f>
        <v>SR-18706</v>
      </c>
      <c r="H13343" s="2" t="s">
        <v>52740</v>
      </c>
      <c r="I13343" s="2" t="s">
        <v>52741</v>
      </c>
      <c r="K13343" s="2" t="s">
        <v>632</v>
      </c>
      <c r="L13343" s="2" t="s">
        <v>172</v>
      </c>
      <c r="M13343" s="2">
        <v>78259.0</v>
      </c>
      <c r="N13343" s="2" t="s">
        <v>21</v>
      </c>
    </row>
    <row r="13344" ht="15.75" customHeight="1">
      <c r="A13344" s="2">
        <v>2020.0</v>
      </c>
      <c r="B13344" s="2" t="s">
        <v>52742</v>
      </c>
      <c r="C13344" s="2" t="s">
        <v>52743</v>
      </c>
      <c r="D13344" s="2" t="str">
        <f>"901-245-0280"</f>
        <v>901-245-0280</v>
      </c>
      <c r="E13344" s="2" t="s">
        <v>2259</v>
      </c>
      <c r="F13344" s="2" t="s">
        <v>5414</v>
      </c>
      <c r="G13344" s="2" t="str">
        <f>"SR-18841"</f>
        <v>SR-18841</v>
      </c>
      <c r="H13344" s="2" t="s">
        <v>52744</v>
      </c>
      <c r="I13344" s="2" t="s">
        <v>52745</v>
      </c>
      <c r="K13344" s="2" t="s">
        <v>22064</v>
      </c>
      <c r="L13344" s="2" t="s">
        <v>279</v>
      </c>
      <c r="M13344" s="2">
        <v>38016.0</v>
      </c>
      <c r="N13344" s="2" t="s">
        <v>21</v>
      </c>
    </row>
    <row r="13345" ht="15.75" customHeight="1">
      <c r="A13345" s="2">
        <v>2020.0</v>
      </c>
      <c r="B13345" s="2" t="s">
        <v>52746</v>
      </c>
      <c r="C13345" s="2" t="s">
        <v>52746</v>
      </c>
      <c r="D13345" s="2" t="str">
        <f>"6309455286"</f>
        <v>6309455286</v>
      </c>
      <c r="E13345" s="2" t="s">
        <v>1974</v>
      </c>
      <c r="F13345" s="2" t="s">
        <v>10173</v>
      </c>
      <c r="G13345" s="2" t="str">
        <f>"SR-18836"</f>
        <v>SR-18836</v>
      </c>
      <c r="H13345" s="2" t="s">
        <v>52747</v>
      </c>
      <c r="I13345" s="2" t="s">
        <v>52748</v>
      </c>
      <c r="K13345" s="2" t="s">
        <v>52749</v>
      </c>
      <c r="L13345" s="2" t="s">
        <v>208</v>
      </c>
      <c r="M13345" s="2">
        <v>32092.0</v>
      </c>
      <c r="N13345" s="2" t="s">
        <v>21</v>
      </c>
    </row>
    <row r="13346" ht="15.75" customHeight="1">
      <c r="A13346" s="2">
        <v>2020.0</v>
      </c>
      <c r="B13346" s="2" t="s">
        <v>52750</v>
      </c>
      <c r="C13346" s="2" t="s">
        <v>52751</v>
      </c>
      <c r="D13346" s="2" t="str">
        <f>"719-5518848"</f>
        <v>719-5518848</v>
      </c>
      <c r="E13346" s="2" t="s">
        <v>52752</v>
      </c>
      <c r="F13346" s="2" t="s">
        <v>52753</v>
      </c>
      <c r="G13346" s="2" t="str">
        <f>"SR-18847"</f>
        <v>SR-18847</v>
      </c>
      <c r="H13346" s="2" t="s">
        <v>52754</v>
      </c>
      <c r="I13346" s="2" t="s">
        <v>52755</v>
      </c>
      <c r="K13346" s="2" t="s">
        <v>3323</v>
      </c>
      <c r="L13346" s="2" t="s">
        <v>157</v>
      </c>
      <c r="M13346" s="2">
        <v>80817.0</v>
      </c>
      <c r="N13346" s="2" t="s">
        <v>21</v>
      </c>
    </row>
    <row r="13347" ht="15.75" customHeight="1">
      <c r="A13347" s="2">
        <v>2020.0</v>
      </c>
      <c r="B13347" s="2" t="s">
        <v>52756</v>
      </c>
      <c r="C13347" s="2" t="s">
        <v>52757</v>
      </c>
      <c r="D13347" s="2" t="str">
        <f>"5756954338"</f>
        <v>5756954338</v>
      </c>
      <c r="E13347" s="2" t="s">
        <v>52758</v>
      </c>
      <c r="F13347" s="2" t="s">
        <v>32920</v>
      </c>
      <c r="G13347" s="2" t="str">
        <f>"SR-18846"</f>
        <v>SR-18846</v>
      </c>
      <c r="H13347" s="2" t="s">
        <v>52759</v>
      </c>
      <c r="I13347" s="2" t="s">
        <v>52760</v>
      </c>
      <c r="K13347" s="2" t="s">
        <v>7900</v>
      </c>
      <c r="L13347" s="2" t="s">
        <v>789</v>
      </c>
      <c r="M13347" s="2">
        <v>88030.0</v>
      </c>
      <c r="N13347" s="2" t="s">
        <v>21</v>
      </c>
    </row>
    <row r="13348" ht="15.75" customHeight="1">
      <c r="A13348" s="2">
        <v>2020.0</v>
      </c>
      <c r="B13348" s="2" t="s">
        <v>52761</v>
      </c>
      <c r="C13348" s="2" t="s">
        <v>52761</v>
      </c>
      <c r="D13348" s="2" t="str">
        <f>"(719)637-4305"</f>
        <v>(719)637-4305</v>
      </c>
      <c r="E13348" s="2" t="s">
        <v>239</v>
      </c>
      <c r="F13348" s="2" t="s">
        <v>320</v>
      </c>
      <c r="G13348" s="2" t="str">
        <f>"SR-18801"</f>
        <v>SR-18801</v>
      </c>
      <c r="H13348" s="2" t="s">
        <v>52762</v>
      </c>
      <c r="I13348" s="2" t="s">
        <v>31524</v>
      </c>
      <c r="K13348" s="2" t="s">
        <v>809</v>
      </c>
      <c r="L13348" s="2" t="s">
        <v>157</v>
      </c>
      <c r="M13348" s="2">
        <v>80920.0</v>
      </c>
      <c r="N13348" s="2" t="s">
        <v>21</v>
      </c>
    </row>
    <row r="13349" ht="15.75" customHeight="1">
      <c r="A13349" s="2">
        <v>2020.0</v>
      </c>
      <c r="B13349" s="2" t="s">
        <v>52763</v>
      </c>
      <c r="C13349" s="2" t="s">
        <v>52763</v>
      </c>
      <c r="D13349" s="2" t="str">
        <f>"2542454751"</f>
        <v>2542454751</v>
      </c>
      <c r="E13349" s="2" t="s">
        <v>1664</v>
      </c>
      <c r="F13349" s="2" t="s">
        <v>52764</v>
      </c>
      <c r="G13349" s="2" t="str">
        <f>"SR-18849"</f>
        <v>SR-18849</v>
      </c>
      <c r="H13349" s="2" t="s">
        <v>52765</v>
      </c>
      <c r="I13349" s="2" t="s">
        <v>52766</v>
      </c>
      <c r="K13349" s="2" t="s">
        <v>594</v>
      </c>
      <c r="L13349" s="2" t="s">
        <v>165</v>
      </c>
      <c r="M13349" s="2">
        <v>22601.0</v>
      </c>
      <c r="N13349" s="2" t="s">
        <v>21</v>
      </c>
    </row>
    <row r="13350" ht="15.75" customHeight="1">
      <c r="A13350" s="2">
        <v>2020.0</v>
      </c>
      <c r="B13350" s="2" t="s">
        <v>31522</v>
      </c>
      <c r="C13350" s="2" t="s">
        <v>31522</v>
      </c>
      <c r="D13350" s="2" t="str">
        <f>"7193518993"</f>
        <v>7193518993</v>
      </c>
      <c r="E13350" s="2" t="s">
        <v>72</v>
      </c>
      <c r="F13350" s="2" t="s">
        <v>320</v>
      </c>
      <c r="G13350" s="2" t="str">
        <f>"SR-18813"</f>
        <v>SR-18813</v>
      </c>
      <c r="H13350" s="2" t="s">
        <v>31523</v>
      </c>
      <c r="I13350" s="2" t="s">
        <v>52767</v>
      </c>
      <c r="K13350" s="2" t="s">
        <v>809</v>
      </c>
      <c r="L13350" s="2" t="s">
        <v>157</v>
      </c>
      <c r="M13350" s="2">
        <v>80920.0</v>
      </c>
      <c r="N13350" s="2" t="s">
        <v>21</v>
      </c>
    </row>
    <row r="13351" ht="15.75" customHeight="1">
      <c r="A13351" s="2">
        <v>2020.0</v>
      </c>
      <c r="B13351" s="2" t="s">
        <v>22999</v>
      </c>
      <c r="C13351" s="2" t="s">
        <v>47845</v>
      </c>
      <c r="D13351" s="2" t="str">
        <f>"3607612514"</f>
        <v>3607612514</v>
      </c>
      <c r="E13351" s="2" t="s">
        <v>26082</v>
      </c>
      <c r="F13351" s="2" t="s">
        <v>23001</v>
      </c>
      <c r="G13351" s="2" t="str">
        <f>"SR-16153"</f>
        <v>SR-16153</v>
      </c>
      <c r="H13351" s="2" t="s">
        <v>47846</v>
      </c>
      <c r="I13351" s="2" t="s">
        <v>23003</v>
      </c>
      <c r="K13351" s="2" t="s">
        <v>23004</v>
      </c>
      <c r="L13351" s="2" t="s">
        <v>172</v>
      </c>
      <c r="M13351" s="2">
        <v>76935.0</v>
      </c>
      <c r="N13351" s="2" t="s">
        <v>21</v>
      </c>
    </row>
    <row r="13352" ht="15.75" customHeight="1">
      <c r="A13352" s="2">
        <v>2020.0</v>
      </c>
      <c r="B13352" s="2" t="s">
        <v>52768</v>
      </c>
      <c r="C13352" s="2" t="s">
        <v>52769</v>
      </c>
      <c r="D13352" s="2" t="str">
        <f>"617-388-3683"</f>
        <v>617-388-3683</v>
      </c>
      <c r="E13352" s="2" t="s">
        <v>22056</v>
      </c>
      <c r="F13352" s="2" t="s">
        <v>52770</v>
      </c>
      <c r="G13352" s="2" t="str">
        <f>"SR-18850"</f>
        <v>SR-18850</v>
      </c>
      <c r="H13352" s="2" t="s">
        <v>52771</v>
      </c>
      <c r="I13352" s="2" t="s">
        <v>52772</v>
      </c>
      <c r="K13352" s="2" t="s">
        <v>489</v>
      </c>
      <c r="L13352" s="2" t="s">
        <v>344</v>
      </c>
      <c r="M13352" s="2">
        <v>43082.0</v>
      </c>
      <c r="N13352" s="2" t="s">
        <v>21</v>
      </c>
    </row>
    <row r="13353" ht="15.75" customHeight="1">
      <c r="A13353" s="2">
        <v>2020.0</v>
      </c>
      <c r="B13353" s="2" t="s">
        <v>52773</v>
      </c>
      <c r="C13353" s="2" t="s">
        <v>52774</v>
      </c>
      <c r="D13353" s="2" t="str">
        <f>"4048165965"</f>
        <v>4048165965</v>
      </c>
      <c r="E13353" s="2" t="s">
        <v>52775</v>
      </c>
      <c r="F13353" s="2" t="s">
        <v>1151</v>
      </c>
      <c r="G13353" s="2" t="str">
        <f>"SR-18851"</f>
        <v>SR-18851</v>
      </c>
      <c r="H13353" s="2" t="s">
        <v>52776</v>
      </c>
      <c r="I13353" s="2">
        <v>2201.0</v>
      </c>
      <c r="J13353" s="2" t="s">
        <v>52777</v>
      </c>
      <c r="K13353" s="2" t="s">
        <v>10683</v>
      </c>
      <c r="L13353" s="2" t="s">
        <v>200</v>
      </c>
      <c r="M13353" s="2">
        <v>30345.0</v>
      </c>
      <c r="N13353" s="2" t="s">
        <v>21</v>
      </c>
    </row>
    <row r="13354" ht="15.75" customHeight="1">
      <c r="A13354" s="2">
        <v>2020.0</v>
      </c>
      <c r="B13354" s="2" t="s">
        <v>52778</v>
      </c>
      <c r="C13354" s="2" t="s">
        <v>52779</v>
      </c>
      <c r="D13354" s="2" t="str">
        <f>"978 575 8028"</f>
        <v>978 575 8028</v>
      </c>
      <c r="E13354" s="2" t="s">
        <v>137</v>
      </c>
      <c r="F13354" s="2" t="s">
        <v>14907</v>
      </c>
      <c r="G13354" s="2" t="str">
        <f>"SR-18764"</f>
        <v>SR-18764</v>
      </c>
      <c r="H13354" s="2" t="s">
        <v>52780</v>
      </c>
      <c r="I13354" s="2" t="s">
        <v>52781</v>
      </c>
      <c r="K13354" s="2" t="s">
        <v>52782</v>
      </c>
      <c r="L13354" s="2" t="s">
        <v>4108</v>
      </c>
      <c r="M13354" s="2">
        <v>1984.0</v>
      </c>
      <c r="N13354" s="2" t="s">
        <v>21</v>
      </c>
    </row>
    <row r="13355" ht="15.75" customHeight="1">
      <c r="A13355" s="2">
        <v>2020.0</v>
      </c>
      <c r="B13355" s="2" t="s">
        <v>52783</v>
      </c>
      <c r="C13355" s="2" t="s">
        <v>52783</v>
      </c>
      <c r="D13355" s="2" t="str">
        <f>"9707999672"</f>
        <v>9707999672</v>
      </c>
      <c r="E13355" s="2" t="s">
        <v>22906</v>
      </c>
      <c r="F13355" s="2" t="s">
        <v>1555</v>
      </c>
      <c r="G13355" s="2" t="str">
        <f>"SR-18093"</f>
        <v>SR-18093</v>
      </c>
      <c r="H13355" s="2" t="s">
        <v>52784</v>
      </c>
      <c r="I13355" s="2" t="s">
        <v>52785</v>
      </c>
      <c r="K13355" s="2" t="s">
        <v>52786</v>
      </c>
      <c r="L13355" s="2" t="s">
        <v>157</v>
      </c>
      <c r="M13355" s="2">
        <v>80634.0</v>
      </c>
      <c r="N13355" s="2" t="s">
        <v>21</v>
      </c>
    </row>
    <row r="13356" ht="15.75" customHeight="1">
      <c r="A13356" s="2">
        <v>2020.0</v>
      </c>
      <c r="B13356" s="2" t="s">
        <v>52787</v>
      </c>
      <c r="C13356" s="2" t="s">
        <v>52788</v>
      </c>
      <c r="D13356" s="2" t="str">
        <f>"812-877-9904"</f>
        <v>812-877-9904</v>
      </c>
      <c r="E13356" s="2" t="s">
        <v>52789</v>
      </c>
      <c r="F13356" s="2" t="s">
        <v>12211</v>
      </c>
      <c r="G13356" s="2" t="str">
        <f>"SR-18852"</f>
        <v>SR-18852</v>
      </c>
      <c r="H13356" s="2" t="s">
        <v>52790</v>
      </c>
      <c r="I13356" s="2" t="s">
        <v>52791</v>
      </c>
      <c r="K13356" s="2" t="s">
        <v>8684</v>
      </c>
      <c r="L13356" s="2" t="s">
        <v>149</v>
      </c>
      <c r="M13356" s="2">
        <v>47803.0</v>
      </c>
      <c r="N13356" s="2" t="s">
        <v>21</v>
      </c>
    </row>
    <row r="13357" ht="15.75" customHeight="1">
      <c r="A13357" s="2">
        <v>2020.0</v>
      </c>
      <c r="B13357" s="2" t="s">
        <v>52792</v>
      </c>
      <c r="D13357" s="2" t="str">
        <f>""</f>
        <v/>
      </c>
      <c r="E13357" s="2" t="s">
        <v>52793</v>
      </c>
      <c r="F13357" s="2" t="s">
        <v>52794</v>
      </c>
      <c r="G13357" s="2" t="str">
        <f>"SR-11487"</f>
        <v>SR-11487</v>
      </c>
      <c r="H13357" s="2" t="s">
        <v>52795</v>
      </c>
      <c r="N13357" s="2" t="s">
        <v>21</v>
      </c>
    </row>
    <row r="13358" ht="15.75" customHeight="1">
      <c r="A13358" s="2">
        <v>2020.0</v>
      </c>
      <c r="B13358" s="2" t="s">
        <v>52796</v>
      </c>
      <c r="C13358" s="2" t="s">
        <v>52796</v>
      </c>
      <c r="D13358" s="2" t="str">
        <f>"2104304807"</f>
        <v>2104304807</v>
      </c>
      <c r="E13358" s="2" t="s">
        <v>43</v>
      </c>
      <c r="F13358" s="2" t="s">
        <v>52797</v>
      </c>
      <c r="G13358" s="2" t="str">
        <f>"SR-18657"</f>
        <v>SR-18657</v>
      </c>
      <c r="H13358" s="2" t="s">
        <v>52798</v>
      </c>
      <c r="I13358" s="2" t="s">
        <v>52799</v>
      </c>
      <c r="J13358" s="2" t="s">
        <v>52800</v>
      </c>
      <c r="K13358" s="2" t="s">
        <v>52801</v>
      </c>
      <c r="L13358" s="2" t="s">
        <v>172</v>
      </c>
      <c r="M13358" s="2">
        <v>78101.0</v>
      </c>
      <c r="N13358" s="2" t="s">
        <v>21</v>
      </c>
    </row>
    <row r="13359" ht="15.75" customHeight="1">
      <c r="A13359" s="2">
        <v>2020.0</v>
      </c>
      <c r="B13359" s="2" t="s">
        <v>52792</v>
      </c>
      <c r="C13359" s="2" t="s">
        <v>52802</v>
      </c>
      <c r="D13359" s="2" t="str">
        <f>"6014215075"</f>
        <v>6014215075</v>
      </c>
      <c r="E13359" s="2" t="s">
        <v>52803</v>
      </c>
      <c r="F13359" s="2" t="s">
        <v>52804</v>
      </c>
      <c r="G13359" s="2" t="str">
        <f>"SR-18809"</f>
        <v>SR-18809</v>
      </c>
      <c r="H13359" s="2" t="s">
        <v>52805</v>
      </c>
      <c r="I13359" s="2" t="s">
        <v>52806</v>
      </c>
      <c r="J13359" s="2" t="s">
        <v>52807</v>
      </c>
      <c r="K13359" s="2" t="s">
        <v>36859</v>
      </c>
      <c r="L13359" s="2" t="s">
        <v>1722</v>
      </c>
      <c r="M13359" s="2">
        <v>39157.0</v>
      </c>
      <c r="N13359" s="2" t="s">
        <v>21</v>
      </c>
    </row>
    <row r="13360" ht="15.75" customHeight="1">
      <c r="A13360" s="2">
        <v>2020.0</v>
      </c>
      <c r="B13360" s="2" t="s">
        <v>46981</v>
      </c>
      <c r="C13360" s="2" t="s">
        <v>46981</v>
      </c>
      <c r="D13360" s="2" t="str">
        <f>"772-584-2606"</f>
        <v>772-584-2606</v>
      </c>
      <c r="E13360" s="2" t="s">
        <v>4665</v>
      </c>
      <c r="F13360" s="2" t="s">
        <v>6869</v>
      </c>
      <c r="G13360" s="2" t="str">
        <f>"SR-17386"</f>
        <v>SR-17386</v>
      </c>
      <c r="H13360" s="2" t="s">
        <v>46982</v>
      </c>
      <c r="I13360" s="2" t="s">
        <v>46983</v>
      </c>
      <c r="K13360" s="2" t="s">
        <v>11560</v>
      </c>
      <c r="L13360" s="2" t="s">
        <v>208</v>
      </c>
      <c r="M13360" s="2">
        <v>32960.0</v>
      </c>
      <c r="N13360" s="2" t="s">
        <v>21</v>
      </c>
    </row>
    <row r="13361" ht="15.75" customHeight="1">
      <c r="A13361" s="2">
        <v>2020.0</v>
      </c>
      <c r="B13361" s="2" t="s">
        <v>52808</v>
      </c>
      <c r="C13361" s="2" t="s">
        <v>52809</v>
      </c>
      <c r="D13361" s="2" t="str">
        <f>"9522289584"</f>
        <v>9522289584</v>
      </c>
      <c r="E13361" s="2" t="s">
        <v>3196</v>
      </c>
      <c r="F13361" s="2" t="s">
        <v>52810</v>
      </c>
      <c r="G13361" s="2" t="str">
        <f>"SR-18853"</f>
        <v>SR-18853</v>
      </c>
      <c r="H13361" s="2" t="s">
        <v>52811</v>
      </c>
      <c r="I13361" s="2" t="s">
        <v>52812</v>
      </c>
      <c r="K13361" s="2" t="s">
        <v>1490</v>
      </c>
      <c r="L13361" s="2" t="s">
        <v>62</v>
      </c>
      <c r="M13361" s="2">
        <v>55346.0</v>
      </c>
      <c r="N13361" s="2" t="s">
        <v>21</v>
      </c>
    </row>
    <row r="13362" ht="15.75" customHeight="1">
      <c r="A13362" s="2">
        <v>2020.0</v>
      </c>
      <c r="B13362" s="2" t="s">
        <v>9440</v>
      </c>
      <c r="C13362" s="2" t="s">
        <v>52813</v>
      </c>
      <c r="D13362" s="2" t="str">
        <f>"6026798647"</f>
        <v>6026798647</v>
      </c>
      <c r="E13362" s="2" t="s">
        <v>167</v>
      </c>
      <c r="F13362" s="2" t="s">
        <v>5205</v>
      </c>
      <c r="G13362" s="2" t="str">
        <f>"SR-18844"</f>
        <v>SR-18844</v>
      </c>
      <c r="H13362" s="2" t="s">
        <v>52814</v>
      </c>
      <c r="I13362" s="2" t="s">
        <v>9443</v>
      </c>
      <c r="K13362" s="2" t="s">
        <v>4675</v>
      </c>
      <c r="L13362" s="2" t="s">
        <v>422</v>
      </c>
      <c r="M13362" s="2">
        <v>85298.0</v>
      </c>
      <c r="N13362" s="2" t="s">
        <v>21</v>
      </c>
    </row>
    <row r="13363" ht="15.75" customHeight="1">
      <c r="A13363" s="2">
        <v>2020.0</v>
      </c>
      <c r="B13363" s="2" t="s">
        <v>52815</v>
      </c>
      <c r="C13363" s="2" t="s">
        <v>52816</v>
      </c>
      <c r="D13363" s="2" t="str">
        <f>"8657702160"</f>
        <v>8657702160</v>
      </c>
      <c r="E13363" s="2" t="s">
        <v>23106</v>
      </c>
      <c r="F13363" s="2" t="s">
        <v>24286</v>
      </c>
      <c r="G13363" s="2" t="str">
        <f>"SR-18855"</f>
        <v>SR-18855</v>
      </c>
      <c r="H13363" s="2" t="s">
        <v>52817</v>
      </c>
      <c r="I13363" s="2" t="s">
        <v>52818</v>
      </c>
      <c r="K13363" s="2" t="s">
        <v>6168</v>
      </c>
      <c r="L13363" s="2" t="s">
        <v>279</v>
      </c>
      <c r="M13363" s="2">
        <v>37934.0</v>
      </c>
      <c r="N13363" s="2" t="s">
        <v>21</v>
      </c>
    </row>
    <row r="13364" ht="15.75" customHeight="1">
      <c r="A13364" s="2">
        <v>2020.0</v>
      </c>
      <c r="B13364" s="2" t="s">
        <v>21425</v>
      </c>
      <c r="D13364" s="2" t="str">
        <f>""</f>
        <v/>
      </c>
      <c r="E13364" s="2" t="s">
        <v>922</v>
      </c>
      <c r="F13364" s="2" t="s">
        <v>4065</v>
      </c>
      <c r="G13364" s="2" t="str">
        <f>"SR-18856"</f>
        <v>SR-18856</v>
      </c>
      <c r="H13364" s="2" t="s">
        <v>52819</v>
      </c>
      <c r="N13364" s="2" t="s">
        <v>21</v>
      </c>
    </row>
    <row r="13365" ht="15.75" customHeight="1">
      <c r="A13365" s="2">
        <v>2020.0</v>
      </c>
      <c r="B13365" s="2" t="s">
        <v>52820</v>
      </c>
      <c r="C13365" s="2" t="s">
        <v>52821</v>
      </c>
      <c r="D13365" s="2" t="str">
        <f>"2816355203"</f>
        <v>2816355203</v>
      </c>
      <c r="E13365" s="2" t="s">
        <v>47263</v>
      </c>
      <c r="F13365" s="2" t="s">
        <v>9406</v>
      </c>
      <c r="G13365" s="2" t="str">
        <f>"SR-18630"</f>
        <v>SR-18630</v>
      </c>
      <c r="H13365" s="2" t="s">
        <v>52822</v>
      </c>
      <c r="I13365" s="2" t="s">
        <v>52823</v>
      </c>
      <c r="K13365" s="2" t="s">
        <v>5404</v>
      </c>
      <c r="L13365" s="2" t="s">
        <v>172</v>
      </c>
      <c r="M13365" s="2">
        <v>77354.0</v>
      </c>
      <c r="N13365" s="2" t="s">
        <v>21</v>
      </c>
    </row>
    <row r="13366" ht="15.75" customHeight="1">
      <c r="A13366" s="2">
        <v>2020.0</v>
      </c>
      <c r="B13366" s="2" t="s">
        <v>17948</v>
      </c>
      <c r="C13366" s="2" t="s">
        <v>52824</v>
      </c>
      <c r="D13366" s="2" t="str">
        <f>"980-313-9997"</f>
        <v>980-313-9997</v>
      </c>
      <c r="E13366" s="2" t="s">
        <v>52825</v>
      </c>
      <c r="F13366" s="2" t="s">
        <v>1609</v>
      </c>
      <c r="G13366" s="2" t="str">
        <f>"SR-18857"</f>
        <v>SR-18857</v>
      </c>
      <c r="H13366" s="2" t="s">
        <v>52826</v>
      </c>
      <c r="I13366" s="2" t="s">
        <v>52827</v>
      </c>
      <c r="K13366" s="2" t="s">
        <v>1612</v>
      </c>
      <c r="L13366" s="2" t="s">
        <v>20</v>
      </c>
      <c r="M13366" s="2">
        <v>28105.0</v>
      </c>
      <c r="N13366" s="2" t="s">
        <v>21</v>
      </c>
    </row>
    <row r="13367" ht="15.75" customHeight="1">
      <c r="A13367" s="2">
        <v>2020.0</v>
      </c>
      <c r="B13367" s="2" t="s">
        <v>42825</v>
      </c>
      <c r="C13367" s="2" t="s">
        <v>42825</v>
      </c>
      <c r="D13367" s="2" t="str">
        <f>"9498781182"</f>
        <v>9498781182</v>
      </c>
      <c r="E13367" s="2" t="s">
        <v>1999</v>
      </c>
      <c r="F13367" s="2" t="s">
        <v>42826</v>
      </c>
      <c r="G13367" s="2" t="str">
        <f>"SR-14726"</f>
        <v>SR-14726</v>
      </c>
      <c r="H13367" s="2" t="s">
        <v>42827</v>
      </c>
      <c r="I13367" s="2" t="s">
        <v>42828</v>
      </c>
      <c r="K13367" s="2" t="s">
        <v>10926</v>
      </c>
      <c r="L13367" s="2" t="s">
        <v>222</v>
      </c>
      <c r="M13367" s="2">
        <v>92691.0</v>
      </c>
      <c r="N13367" s="2" t="s">
        <v>21</v>
      </c>
    </row>
    <row r="13368" ht="15.75" customHeight="1">
      <c r="A13368" s="2">
        <v>2020.0</v>
      </c>
      <c r="B13368" s="2" t="s">
        <v>48915</v>
      </c>
      <c r="C13368" s="2" t="s">
        <v>48916</v>
      </c>
      <c r="D13368" s="2" t="str">
        <f>"3177946537"</f>
        <v>3177946537</v>
      </c>
      <c r="E13368" s="2" t="s">
        <v>22484</v>
      </c>
      <c r="F13368" s="2" t="s">
        <v>48917</v>
      </c>
      <c r="G13368" s="2" t="str">
        <f>"SR-17239"</f>
        <v>SR-17239</v>
      </c>
      <c r="H13368" s="2" t="s">
        <v>48918</v>
      </c>
      <c r="I13368" s="2" t="s">
        <v>48919</v>
      </c>
      <c r="K13368" s="2" t="s">
        <v>1188</v>
      </c>
      <c r="L13368" s="2" t="s">
        <v>149</v>
      </c>
      <c r="M13368" s="2">
        <v>46256.0</v>
      </c>
      <c r="N13368" s="2" t="s">
        <v>21</v>
      </c>
    </row>
    <row r="13369" ht="15.75" customHeight="1">
      <c r="A13369" s="2">
        <v>2020.0</v>
      </c>
      <c r="B13369" s="2" t="s">
        <v>48915</v>
      </c>
      <c r="C13369" s="2" t="s">
        <v>52828</v>
      </c>
      <c r="D13369" s="2" t="str">
        <f>"3177557404"</f>
        <v>3177557404</v>
      </c>
      <c r="E13369" s="2" t="s">
        <v>5766</v>
      </c>
      <c r="F13369" s="2" t="s">
        <v>48917</v>
      </c>
      <c r="G13369" s="2" t="str">
        <f>"SR-18858"</f>
        <v>SR-18858</v>
      </c>
      <c r="H13369" s="2" t="s">
        <v>52829</v>
      </c>
      <c r="I13369" s="2" t="s">
        <v>48919</v>
      </c>
      <c r="K13369" s="2" t="s">
        <v>1188</v>
      </c>
      <c r="L13369" s="2" t="s">
        <v>149</v>
      </c>
      <c r="M13369" s="2">
        <v>46256.0</v>
      </c>
      <c r="N13369" s="2" t="s">
        <v>21</v>
      </c>
    </row>
    <row r="13370" ht="15.75" customHeight="1">
      <c r="A13370" s="2">
        <v>2020.0</v>
      </c>
      <c r="B13370" s="2" t="s">
        <v>52830</v>
      </c>
      <c r="C13370" s="2" t="s">
        <v>52831</v>
      </c>
      <c r="D13370" s="2" t="str">
        <f>"9368243067"</f>
        <v>9368243067</v>
      </c>
      <c r="E13370" s="2" t="s">
        <v>955</v>
      </c>
      <c r="F13370" s="2" t="s">
        <v>52832</v>
      </c>
      <c r="G13370" s="2" t="str">
        <f>"SR-18783"</f>
        <v>SR-18783</v>
      </c>
      <c r="H13370" s="2" t="s">
        <v>52833</v>
      </c>
      <c r="I13370" s="2" t="s">
        <v>52834</v>
      </c>
      <c r="K13370" s="2" t="s">
        <v>7113</v>
      </c>
      <c r="L13370" s="2" t="s">
        <v>172</v>
      </c>
      <c r="M13370" s="2">
        <v>75901.0</v>
      </c>
      <c r="N13370" s="2" t="s">
        <v>21</v>
      </c>
    </row>
    <row r="13371" ht="15.75" customHeight="1">
      <c r="A13371" s="2">
        <v>2020.0</v>
      </c>
      <c r="B13371" s="2" t="s">
        <v>12104</v>
      </c>
      <c r="D13371" s="2" t="str">
        <f>"803-215-7456"</f>
        <v>803-215-7456</v>
      </c>
      <c r="E13371" s="2" t="s">
        <v>93</v>
      </c>
      <c r="F13371" s="2" t="s">
        <v>12105</v>
      </c>
      <c r="G13371" s="2" t="str">
        <f>"SR-18460"</f>
        <v>SR-18460</v>
      </c>
      <c r="H13371" s="2" t="s">
        <v>52835</v>
      </c>
      <c r="I13371" s="2" t="s">
        <v>52836</v>
      </c>
      <c r="K13371" s="2" t="s">
        <v>13414</v>
      </c>
      <c r="L13371" s="2" t="s">
        <v>200</v>
      </c>
      <c r="M13371" s="2">
        <v>30082.0</v>
      </c>
      <c r="N13371" s="2" t="s">
        <v>21</v>
      </c>
    </row>
    <row r="13372" ht="15.75" customHeight="1">
      <c r="A13372" s="2">
        <v>2020.0</v>
      </c>
      <c r="B13372" s="2" t="s">
        <v>52837</v>
      </c>
      <c r="C13372" s="2" t="s">
        <v>52838</v>
      </c>
      <c r="D13372" s="2" t="str">
        <f t="shared" ref="D13372:D13373" si="226">"7149951004"</f>
        <v>7149951004</v>
      </c>
      <c r="E13372" s="2" t="s">
        <v>17011</v>
      </c>
      <c r="F13372" s="2" t="s">
        <v>52839</v>
      </c>
      <c r="G13372" s="2" t="str">
        <f>"SR-17715"</f>
        <v>SR-17715</v>
      </c>
      <c r="H13372" s="2" t="s">
        <v>52840</v>
      </c>
      <c r="I13372" s="2" t="s">
        <v>52841</v>
      </c>
      <c r="K13372" s="2" t="s">
        <v>4026</v>
      </c>
      <c r="L13372" s="2" t="s">
        <v>222</v>
      </c>
      <c r="M13372" s="2">
        <v>92807.0</v>
      </c>
      <c r="N13372" s="2" t="s">
        <v>21</v>
      </c>
    </row>
    <row r="13373" ht="15.75" customHeight="1">
      <c r="A13373" s="2">
        <v>2020.0</v>
      </c>
      <c r="B13373" s="2" t="s">
        <v>52837</v>
      </c>
      <c r="C13373" s="2" t="s">
        <v>52842</v>
      </c>
      <c r="D13373" s="2" t="str">
        <f t="shared" si="226"/>
        <v>7149951004</v>
      </c>
      <c r="E13373" s="2" t="s">
        <v>39130</v>
      </c>
      <c r="F13373" s="2" t="s">
        <v>52839</v>
      </c>
      <c r="G13373" s="2" t="str">
        <f>"SR-18860"</f>
        <v>SR-18860</v>
      </c>
      <c r="H13373" s="2" t="s">
        <v>52843</v>
      </c>
      <c r="I13373" s="2" t="s">
        <v>52841</v>
      </c>
      <c r="K13373" s="2" t="s">
        <v>4026</v>
      </c>
      <c r="L13373" s="2" t="s">
        <v>222</v>
      </c>
      <c r="M13373" s="2">
        <v>92807.0</v>
      </c>
      <c r="N13373" s="2" t="s">
        <v>21</v>
      </c>
    </row>
    <row r="13374" ht="15.75" customHeight="1">
      <c r="A13374" s="2">
        <v>2020.0</v>
      </c>
      <c r="B13374" s="2" t="s">
        <v>52844</v>
      </c>
      <c r="C13374" s="2" t="s">
        <v>52845</v>
      </c>
      <c r="D13374" s="2" t="str">
        <f>"+1 (479) 866-4093"</f>
        <v>+1 (479) 866-4093</v>
      </c>
      <c r="E13374" s="2" t="s">
        <v>9605</v>
      </c>
      <c r="F13374" s="2" t="s">
        <v>11248</v>
      </c>
      <c r="G13374" s="2" t="str">
        <f>"SR-18861"</f>
        <v>SR-18861</v>
      </c>
      <c r="H13374" s="2" t="s">
        <v>52846</v>
      </c>
      <c r="I13374" s="2" t="s">
        <v>52847</v>
      </c>
      <c r="K13374" s="2" t="s">
        <v>14516</v>
      </c>
      <c r="L13374" s="2" t="s">
        <v>1012</v>
      </c>
      <c r="M13374" s="2">
        <v>72712.0</v>
      </c>
      <c r="N13374" s="2" t="s">
        <v>21</v>
      </c>
    </row>
    <row r="13375" ht="15.75" customHeight="1">
      <c r="A13375" s="2">
        <v>2020.0</v>
      </c>
      <c r="B13375" s="2" t="s">
        <v>52848</v>
      </c>
      <c r="C13375" s="2" t="s">
        <v>52849</v>
      </c>
      <c r="D13375" s="2" t="str">
        <f>"9709664724"</f>
        <v>9709664724</v>
      </c>
      <c r="E13375" s="2" t="s">
        <v>52850</v>
      </c>
      <c r="F13375" s="2" t="s">
        <v>15549</v>
      </c>
      <c r="G13375" s="2" t="str">
        <f>"SR-18864"</f>
        <v>SR-18864</v>
      </c>
      <c r="H13375" s="2" t="s">
        <v>52851</v>
      </c>
      <c r="I13375" s="2" t="s">
        <v>52852</v>
      </c>
      <c r="K13375" s="2" t="s">
        <v>1048</v>
      </c>
      <c r="L13375" s="2" t="s">
        <v>157</v>
      </c>
      <c r="M13375" s="2">
        <v>80538.0</v>
      </c>
      <c r="N13375" s="2" t="s">
        <v>21</v>
      </c>
    </row>
    <row r="13376" ht="15.75" customHeight="1">
      <c r="A13376" s="2">
        <v>2020.0</v>
      </c>
      <c r="B13376" s="2" t="s">
        <v>48790</v>
      </c>
      <c r="C13376" s="2" t="s">
        <v>48840</v>
      </c>
      <c r="D13376" s="2" t="str">
        <f>"9725330327"</f>
        <v>9725330327</v>
      </c>
      <c r="E13376" s="2" t="s">
        <v>288</v>
      </c>
      <c r="F13376" s="2" t="s">
        <v>24297</v>
      </c>
      <c r="G13376" s="2" t="str">
        <f>"SR-16217"</f>
        <v>SR-16217</v>
      </c>
      <c r="H13376" s="2" t="s">
        <v>48841</v>
      </c>
      <c r="I13376" s="2" t="s">
        <v>48793</v>
      </c>
      <c r="K13376" s="2" t="s">
        <v>1255</v>
      </c>
      <c r="L13376" s="2" t="s">
        <v>172</v>
      </c>
      <c r="M13376" s="2">
        <v>75243.0</v>
      </c>
      <c r="N13376" s="2" t="s">
        <v>21</v>
      </c>
    </row>
    <row r="13377" ht="15.75" customHeight="1">
      <c r="A13377" s="2">
        <v>2020.0</v>
      </c>
      <c r="B13377" s="2" t="s">
        <v>52853</v>
      </c>
      <c r="C13377" s="2" t="s">
        <v>52853</v>
      </c>
      <c r="D13377" s="2" t="str">
        <f>"(970)-799-4543"</f>
        <v>(970)-799-4543</v>
      </c>
      <c r="E13377" s="2" t="s">
        <v>2053</v>
      </c>
      <c r="F13377" s="2" t="s">
        <v>24438</v>
      </c>
      <c r="G13377" s="2" t="str">
        <f>"SR-18863"</f>
        <v>SR-18863</v>
      </c>
      <c r="H13377" s="2" t="s">
        <v>52854</v>
      </c>
      <c r="I13377" s="2" t="s">
        <v>52855</v>
      </c>
      <c r="K13377" s="2" t="s">
        <v>19520</v>
      </c>
      <c r="L13377" s="2" t="s">
        <v>789</v>
      </c>
      <c r="M13377" s="2">
        <v>87410.0</v>
      </c>
      <c r="N13377" s="2" t="s">
        <v>21</v>
      </c>
    </row>
    <row r="13378" ht="15.75" customHeight="1">
      <c r="A13378" s="2">
        <v>2020.0</v>
      </c>
      <c r="B13378" s="2" t="s">
        <v>52856</v>
      </c>
      <c r="D13378" s="2" t="str">
        <f>""</f>
        <v/>
      </c>
      <c r="E13378" s="2" t="s">
        <v>282</v>
      </c>
      <c r="F13378" s="2" t="s">
        <v>522</v>
      </c>
      <c r="G13378" s="2" t="str">
        <f>"SR-18865"</f>
        <v>SR-18865</v>
      </c>
      <c r="H13378" s="2" t="s">
        <v>52857</v>
      </c>
      <c r="N13378" s="2" t="s">
        <v>21</v>
      </c>
    </row>
    <row r="13379" ht="15.75" customHeight="1">
      <c r="A13379" s="2">
        <v>2020.0</v>
      </c>
      <c r="B13379" s="2" t="s">
        <v>52858</v>
      </c>
      <c r="C13379" s="2" t="s">
        <v>52859</v>
      </c>
      <c r="D13379" s="2" t="str">
        <f>"719-650-9662"</f>
        <v>719-650-9662</v>
      </c>
      <c r="E13379" s="2" t="s">
        <v>52860</v>
      </c>
      <c r="F13379" s="2" t="s">
        <v>52861</v>
      </c>
      <c r="G13379" s="2" t="str">
        <f>"SR-18867"</f>
        <v>SR-18867</v>
      </c>
      <c r="H13379" s="2" t="s">
        <v>52862</v>
      </c>
      <c r="I13379" s="2" t="s">
        <v>52863</v>
      </c>
      <c r="K13379" s="2" t="s">
        <v>507</v>
      </c>
      <c r="L13379" s="2" t="s">
        <v>157</v>
      </c>
      <c r="M13379" s="2">
        <v>80132.0</v>
      </c>
      <c r="N13379" s="2" t="s">
        <v>21</v>
      </c>
    </row>
    <row r="13380" ht="15.75" customHeight="1">
      <c r="A13380" s="2">
        <v>2020.0</v>
      </c>
      <c r="B13380" s="2" t="s">
        <v>30594</v>
      </c>
      <c r="C13380" s="2" t="s">
        <v>52864</v>
      </c>
      <c r="D13380" s="2" t="str">
        <f>"817-899-5030"</f>
        <v>817-899-5030</v>
      </c>
      <c r="E13380" s="2" t="s">
        <v>137</v>
      </c>
      <c r="F13380" s="2" t="s">
        <v>30596</v>
      </c>
      <c r="G13380" s="2" t="str">
        <f>"SR-18868"</f>
        <v>SR-18868</v>
      </c>
      <c r="H13380" s="2" t="s">
        <v>52865</v>
      </c>
      <c r="I13380" s="2" t="s">
        <v>30598</v>
      </c>
      <c r="K13380" s="2" t="s">
        <v>6245</v>
      </c>
      <c r="L13380" s="2" t="s">
        <v>172</v>
      </c>
      <c r="M13380" s="2">
        <v>76054.0</v>
      </c>
      <c r="N13380" s="2" t="s">
        <v>21</v>
      </c>
    </row>
    <row r="13381" ht="15.75" customHeight="1">
      <c r="A13381" s="2">
        <v>2020.0</v>
      </c>
      <c r="B13381" s="2" t="s">
        <v>52866</v>
      </c>
      <c r="C13381" s="2" t="s">
        <v>52866</v>
      </c>
      <c r="D13381" s="2" t="str">
        <f>"9716783283"</f>
        <v>9716783283</v>
      </c>
      <c r="E13381" s="2" t="s">
        <v>1263</v>
      </c>
      <c r="F13381" s="2" t="s">
        <v>4051</v>
      </c>
      <c r="G13381" s="2" t="str">
        <f>"SR-18869"</f>
        <v>SR-18869</v>
      </c>
      <c r="H13381" s="2" t="s">
        <v>52867</v>
      </c>
      <c r="I13381" s="2" t="s">
        <v>52868</v>
      </c>
      <c r="K13381" s="2" t="s">
        <v>4054</v>
      </c>
      <c r="L13381" s="2" t="s">
        <v>2389</v>
      </c>
      <c r="M13381" s="2">
        <v>97119.0</v>
      </c>
      <c r="N13381" s="2" t="s">
        <v>21</v>
      </c>
    </row>
    <row r="13382" ht="15.75" customHeight="1">
      <c r="A13382" s="2">
        <v>2020.0</v>
      </c>
      <c r="B13382" s="2" t="s">
        <v>35564</v>
      </c>
      <c r="C13382" s="2" t="s">
        <v>35565</v>
      </c>
      <c r="D13382" s="2" t="str">
        <f>"9033287898"</f>
        <v>9033287898</v>
      </c>
      <c r="E13382" s="2" t="s">
        <v>651</v>
      </c>
      <c r="F13382" s="2" t="s">
        <v>17378</v>
      </c>
      <c r="G13382" s="2" t="str">
        <f>"SR-11450"</f>
        <v>SR-11450</v>
      </c>
      <c r="H13382" s="2" t="s">
        <v>35566</v>
      </c>
      <c r="I13382" s="2" t="s">
        <v>35567</v>
      </c>
      <c r="K13382" s="2" t="s">
        <v>23544</v>
      </c>
      <c r="L13382" s="2" t="s">
        <v>172</v>
      </c>
      <c r="M13382" s="2">
        <v>75460.0</v>
      </c>
      <c r="N13382" s="2" t="s">
        <v>21</v>
      </c>
    </row>
    <row r="13383" ht="15.75" customHeight="1">
      <c r="A13383" s="2">
        <v>2020.0</v>
      </c>
      <c r="B13383" s="2" t="s">
        <v>5102</v>
      </c>
      <c r="C13383" s="2" t="s">
        <v>52869</v>
      </c>
      <c r="D13383" s="2" t="str">
        <f>"(423) 745-5661"</f>
        <v>(423) 745-5661</v>
      </c>
      <c r="E13383" s="2" t="s">
        <v>217</v>
      </c>
      <c r="F13383" s="2" t="s">
        <v>5105</v>
      </c>
      <c r="G13383" s="2" t="str">
        <f>"SR-10958"</f>
        <v>SR-10958</v>
      </c>
      <c r="H13383" s="2" t="s">
        <v>52870</v>
      </c>
      <c r="I13383" s="2" t="s">
        <v>52871</v>
      </c>
      <c r="K13383" s="2" t="s">
        <v>5108</v>
      </c>
      <c r="L13383" s="2" t="s">
        <v>279</v>
      </c>
      <c r="M13383" s="2">
        <v>37303.0</v>
      </c>
      <c r="N13383" s="2" t="s">
        <v>21</v>
      </c>
    </row>
    <row r="13384" ht="15.75" customHeight="1">
      <c r="A13384" s="2">
        <v>2020.0</v>
      </c>
      <c r="B13384" s="2" t="s">
        <v>5102</v>
      </c>
      <c r="C13384" s="2" t="s">
        <v>52872</v>
      </c>
      <c r="D13384" s="2" t="str">
        <f>"(423)745-5661"</f>
        <v>(423)745-5661</v>
      </c>
      <c r="E13384" s="2" t="s">
        <v>1015</v>
      </c>
      <c r="F13384" s="2" t="s">
        <v>5105</v>
      </c>
      <c r="G13384" s="2" t="str">
        <f>"SR-18873"</f>
        <v>SR-18873</v>
      </c>
      <c r="H13384" s="2" t="s">
        <v>52873</v>
      </c>
      <c r="I13384" s="2" t="s">
        <v>52871</v>
      </c>
      <c r="K13384" s="2" t="s">
        <v>5108</v>
      </c>
      <c r="L13384" s="2" t="s">
        <v>279</v>
      </c>
      <c r="M13384" s="2">
        <v>37303.0</v>
      </c>
      <c r="N13384" s="2" t="s">
        <v>21</v>
      </c>
    </row>
    <row r="13385" ht="15.75" customHeight="1">
      <c r="A13385" s="2">
        <v>2020.0</v>
      </c>
      <c r="B13385" s="2" t="s">
        <v>52874</v>
      </c>
      <c r="D13385" s="2" t="str">
        <f>""</f>
        <v/>
      </c>
      <c r="E13385" s="2" t="s">
        <v>1450</v>
      </c>
      <c r="F13385" s="2" t="s">
        <v>48219</v>
      </c>
      <c r="G13385" s="2" t="str">
        <f>"SR-18275"</f>
        <v>SR-18275</v>
      </c>
      <c r="H13385" s="2" t="s">
        <v>52875</v>
      </c>
    </row>
    <row r="13386" ht="15.75" customHeight="1">
      <c r="A13386" s="2">
        <v>2020.0</v>
      </c>
      <c r="B13386" s="2" t="s">
        <v>52874</v>
      </c>
      <c r="C13386" s="2" t="s">
        <v>52876</v>
      </c>
      <c r="D13386" s="2" t="str">
        <f>"4053150584"</f>
        <v>4053150584</v>
      </c>
      <c r="E13386" s="2" t="s">
        <v>2162</v>
      </c>
      <c r="F13386" s="2" t="s">
        <v>48219</v>
      </c>
      <c r="G13386" s="2" t="str">
        <f>"SR-18874"</f>
        <v>SR-18874</v>
      </c>
      <c r="H13386" s="2" t="s">
        <v>52877</v>
      </c>
      <c r="I13386" s="2" t="s">
        <v>52878</v>
      </c>
      <c r="K13386" s="2" t="s">
        <v>1546</v>
      </c>
      <c r="L13386" s="2" t="s">
        <v>840</v>
      </c>
      <c r="M13386" s="2">
        <v>73034.0</v>
      </c>
      <c r="N13386" s="2" t="s">
        <v>21</v>
      </c>
    </row>
    <row r="13387" ht="15.75" customHeight="1">
      <c r="A13387" s="2">
        <v>2020.0</v>
      </c>
      <c r="B13387" s="2" t="s">
        <v>52874</v>
      </c>
      <c r="C13387" s="2" t="s">
        <v>52879</v>
      </c>
      <c r="D13387" s="2" t="str">
        <f>"4055130758"</f>
        <v>4055130758</v>
      </c>
      <c r="E13387" s="2" t="s">
        <v>261</v>
      </c>
      <c r="F13387" s="2" t="s">
        <v>48219</v>
      </c>
      <c r="G13387" s="2" t="str">
        <f>"SR-18875"</f>
        <v>SR-18875</v>
      </c>
      <c r="H13387" s="2" t="s">
        <v>52880</v>
      </c>
      <c r="I13387" s="2" t="s">
        <v>52881</v>
      </c>
      <c r="K13387" s="2" t="s">
        <v>1546</v>
      </c>
      <c r="L13387" s="2" t="s">
        <v>840</v>
      </c>
      <c r="M13387" s="2">
        <v>73034.0</v>
      </c>
      <c r="N13387" s="2" t="s">
        <v>21</v>
      </c>
    </row>
    <row r="13388" ht="15.75" customHeight="1">
      <c r="A13388" s="2">
        <v>2020.0</v>
      </c>
      <c r="B13388" s="2" t="s">
        <v>45346</v>
      </c>
      <c r="C13388" s="2" t="s">
        <v>45347</v>
      </c>
      <c r="D13388" s="2" t="str">
        <f>"225-406-9830"</f>
        <v>225-406-9830</v>
      </c>
      <c r="E13388" s="2" t="s">
        <v>2243</v>
      </c>
      <c r="F13388" s="2" t="s">
        <v>45348</v>
      </c>
      <c r="G13388" s="2" t="str">
        <f>"SR-15944"</f>
        <v>SR-15944</v>
      </c>
      <c r="H13388" s="2" t="s">
        <v>45349</v>
      </c>
      <c r="I13388" s="2" t="s">
        <v>45350</v>
      </c>
      <c r="K13388" s="2" t="s">
        <v>45351</v>
      </c>
      <c r="L13388" s="2" t="s">
        <v>715</v>
      </c>
      <c r="M13388" s="2">
        <v>70726.0</v>
      </c>
      <c r="N13388" s="2" t="s">
        <v>21</v>
      </c>
    </row>
    <row r="13389" ht="15.75" customHeight="1">
      <c r="A13389" s="2">
        <v>2020.0</v>
      </c>
      <c r="B13389" s="2" t="s">
        <v>52882</v>
      </c>
      <c r="C13389" s="2" t="s">
        <v>52883</v>
      </c>
      <c r="D13389" s="2" t="str">
        <f>"6035468465"</f>
        <v>6035468465</v>
      </c>
      <c r="E13389" s="2" t="s">
        <v>57</v>
      </c>
      <c r="F13389" s="2" t="s">
        <v>52884</v>
      </c>
      <c r="G13389" s="2" t="str">
        <f>"SR-18877"</f>
        <v>SR-18877</v>
      </c>
      <c r="H13389" s="2" t="s">
        <v>52885</v>
      </c>
      <c r="I13389" s="2" t="s">
        <v>52886</v>
      </c>
      <c r="K13389" s="2" t="s">
        <v>23675</v>
      </c>
      <c r="L13389" s="2" t="s">
        <v>272</v>
      </c>
      <c r="M13389" s="2">
        <v>66048.0</v>
      </c>
      <c r="N13389" s="2" t="s">
        <v>21</v>
      </c>
    </row>
    <row r="13390" ht="15.75" customHeight="1">
      <c r="A13390" s="2">
        <v>2020.0</v>
      </c>
      <c r="B13390" s="2" t="s">
        <v>52887</v>
      </c>
      <c r="C13390" s="2" t="s">
        <v>52888</v>
      </c>
      <c r="D13390" s="2" t="str">
        <f>"5743837690"</f>
        <v>5743837690</v>
      </c>
      <c r="E13390" s="2" t="s">
        <v>5858</v>
      </c>
      <c r="F13390" s="2" t="s">
        <v>26445</v>
      </c>
      <c r="G13390" s="2" t="str">
        <f>"SR-18879"</f>
        <v>SR-18879</v>
      </c>
      <c r="H13390" s="2" t="s">
        <v>52889</v>
      </c>
      <c r="I13390" s="2" t="s">
        <v>52890</v>
      </c>
      <c r="K13390" s="2" t="s">
        <v>17947</v>
      </c>
      <c r="L13390" s="2" t="s">
        <v>20</v>
      </c>
      <c r="M13390" s="2">
        <v>28730.0</v>
      </c>
      <c r="N13390" s="2" t="s">
        <v>21</v>
      </c>
    </row>
    <row r="13391" ht="15.75" customHeight="1">
      <c r="A13391" s="2">
        <v>2020.0</v>
      </c>
      <c r="B13391" s="2" t="s">
        <v>40646</v>
      </c>
      <c r="C13391" s="2" t="s">
        <v>40647</v>
      </c>
      <c r="D13391" s="2" t="str">
        <f>"865 924 7639"</f>
        <v>865 924 7639</v>
      </c>
      <c r="E13391" s="2" t="s">
        <v>40648</v>
      </c>
      <c r="F13391" s="2" t="s">
        <v>40649</v>
      </c>
      <c r="G13391" s="2" t="str">
        <f>"SR-13905"</f>
        <v>SR-13905</v>
      </c>
      <c r="H13391" s="2" t="s">
        <v>40650</v>
      </c>
      <c r="I13391" s="2" t="s">
        <v>40651</v>
      </c>
      <c r="K13391" s="2" t="s">
        <v>40652</v>
      </c>
      <c r="L13391" s="2" t="s">
        <v>279</v>
      </c>
      <c r="M13391" s="2">
        <v>37840.0</v>
      </c>
      <c r="N13391" s="2" t="s">
        <v>21</v>
      </c>
    </row>
    <row r="13392" ht="15.75" customHeight="1">
      <c r="A13392" s="2">
        <v>2020.0</v>
      </c>
      <c r="B13392" s="2" t="s">
        <v>26822</v>
      </c>
      <c r="C13392" s="2" t="s">
        <v>52891</v>
      </c>
      <c r="D13392" s="2" t="str">
        <f>"7079515669"</f>
        <v>7079515669</v>
      </c>
      <c r="E13392" s="2" t="s">
        <v>1434</v>
      </c>
      <c r="F13392" s="2" t="s">
        <v>2598</v>
      </c>
      <c r="G13392" s="2" t="str">
        <f>"SR-16959"</f>
        <v>SR-16959</v>
      </c>
      <c r="H13392" s="2" t="s">
        <v>52892</v>
      </c>
      <c r="I13392" s="2" t="s">
        <v>52893</v>
      </c>
      <c r="K13392" s="2" t="s">
        <v>887</v>
      </c>
      <c r="L13392" s="2" t="s">
        <v>172</v>
      </c>
      <c r="M13392" s="2">
        <v>76063.0</v>
      </c>
      <c r="N13392" s="2" t="s">
        <v>21</v>
      </c>
    </row>
    <row r="13393" ht="15.75" customHeight="1">
      <c r="A13393" s="2">
        <v>2020.0</v>
      </c>
      <c r="B13393" s="2" t="s">
        <v>38466</v>
      </c>
      <c r="C13393" s="2" t="s">
        <v>48449</v>
      </c>
      <c r="D13393" s="2" t="str">
        <f>"9154334887"</f>
        <v>9154334887</v>
      </c>
      <c r="E13393" s="2" t="s">
        <v>48450</v>
      </c>
      <c r="F13393" s="2" t="s">
        <v>38467</v>
      </c>
      <c r="G13393" s="2" t="str">
        <f>"SR-17023"</f>
        <v>SR-17023</v>
      </c>
      <c r="H13393" s="2" t="s">
        <v>48451</v>
      </c>
      <c r="I13393" s="2" t="s">
        <v>48452</v>
      </c>
      <c r="K13393" s="2" t="s">
        <v>21247</v>
      </c>
      <c r="L13393" s="2" t="s">
        <v>172</v>
      </c>
      <c r="M13393" s="2">
        <v>79938.0</v>
      </c>
      <c r="N13393" s="2" t="s">
        <v>21</v>
      </c>
    </row>
    <row r="13394" ht="15.75" customHeight="1">
      <c r="A13394" s="2">
        <v>2020.0</v>
      </c>
      <c r="B13394" s="2" t="s">
        <v>52894</v>
      </c>
      <c r="C13394" s="2" t="s">
        <v>52895</v>
      </c>
      <c r="D13394" s="2" t="str">
        <f>"470-503-2249"</f>
        <v>470-503-2249</v>
      </c>
      <c r="E13394" s="2" t="s">
        <v>678</v>
      </c>
      <c r="F13394" s="2" t="s">
        <v>1461</v>
      </c>
      <c r="G13394" s="2" t="str">
        <f>"SR-18882"</f>
        <v>SR-18882</v>
      </c>
      <c r="H13394" s="2" t="s">
        <v>52896</v>
      </c>
      <c r="I13394" s="2" t="s">
        <v>52897</v>
      </c>
      <c r="K13394" s="2" t="s">
        <v>52898</v>
      </c>
      <c r="L13394" s="2" t="s">
        <v>200</v>
      </c>
      <c r="M13394" s="2">
        <v>30126.0</v>
      </c>
      <c r="N13394" s="2" t="s">
        <v>21</v>
      </c>
    </row>
    <row r="13395" ht="15.75" customHeight="1">
      <c r="A13395" s="2">
        <v>2020.0</v>
      </c>
      <c r="B13395" s="2" t="s">
        <v>52848</v>
      </c>
      <c r="C13395" s="2" t="s">
        <v>52899</v>
      </c>
      <c r="D13395" s="2" t="str">
        <f>"9703444484"</f>
        <v>9703444484</v>
      </c>
      <c r="E13395" s="2" t="s">
        <v>282</v>
      </c>
      <c r="F13395" s="2" t="s">
        <v>15549</v>
      </c>
      <c r="G13395" s="2" t="str">
        <f>"SR-18862"</f>
        <v>SR-18862</v>
      </c>
      <c r="H13395" s="2" t="s">
        <v>52900</v>
      </c>
      <c r="I13395" s="2" t="s">
        <v>52852</v>
      </c>
      <c r="K13395" s="2" t="s">
        <v>1048</v>
      </c>
      <c r="L13395" s="2" t="s">
        <v>157</v>
      </c>
      <c r="M13395" s="2">
        <v>80538.0</v>
      </c>
      <c r="N13395" s="2" t="s">
        <v>21</v>
      </c>
    </row>
    <row r="13396" ht="15.75" customHeight="1">
      <c r="A13396" s="2">
        <v>2020.0</v>
      </c>
      <c r="B13396" s="2" t="s">
        <v>49384</v>
      </c>
      <c r="C13396" s="2" t="s">
        <v>52901</v>
      </c>
      <c r="D13396" s="2" t="str">
        <f>"7652020757"</f>
        <v>7652020757</v>
      </c>
      <c r="E13396" s="2" t="s">
        <v>36</v>
      </c>
      <c r="F13396" s="2" t="s">
        <v>14493</v>
      </c>
      <c r="G13396" s="2" t="str">
        <f>"SR-18014"</f>
        <v>SR-18014</v>
      </c>
      <c r="H13396" s="2" t="s">
        <v>52902</v>
      </c>
      <c r="I13396" s="2" t="s">
        <v>52903</v>
      </c>
      <c r="K13396" s="2" t="s">
        <v>14496</v>
      </c>
      <c r="L13396" s="2" t="s">
        <v>149</v>
      </c>
      <c r="M13396" s="2">
        <v>47926.0</v>
      </c>
      <c r="N13396" s="2" t="s">
        <v>21</v>
      </c>
    </row>
    <row r="13397" ht="15.75" customHeight="1">
      <c r="A13397" s="2">
        <v>2020.0</v>
      </c>
      <c r="B13397" s="2" t="s">
        <v>52904</v>
      </c>
      <c r="D13397" s="2" t="str">
        <f>""</f>
        <v/>
      </c>
      <c r="E13397" s="2" t="s">
        <v>52905</v>
      </c>
      <c r="F13397" s="2" t="s">
        <v>29505</v>
      </c>
      <c r="G13397" s="2" t="str">
        <f>"SR-18888"</f>
        <v>SR-18888</v>
      </c>
      <c r="H13397" s="2" t="s">
        <v>52906</v>
      </c>
    </row>
    <row r="13398" ht="15.75" customHeight="1">
      <c r="A13398" s="2">
        <v>2020.0</v>
      </c>
      <c r="B13398" s="2" t="s">
        <v>52907</v>
      </c>
      <c r="C13398" s="2" t="s">
        <v>52907</v>
      </c>
      <c r="D13398" s="2" t="str">
        <f>"2604427623"</f>
        <v>2604427623</v>
      </c>
      <c r="E13398" s="2" t="s">
        <v>11423</v>
      </c>
      <c r="F13398" s="2" t="s">
        <v>22227</v>
      </c>
      <c r="G13398" s="2" t="str">
        <f>"SR-18889"</f>
        <v>SR-18889</v>
      </c>
      <c r="H13398" s="2" t="s">
        <v>52908</v>
      </c>
      <c r="I13398" s="2" t="s">
        <v>22229</v>
      </c>
      <c r="K13398" s="2" t="s">
        <v>4298</v>
      </c>
      <c r="L13398" s="2" t="s">
        <v>149</v>
      </c>
      <c r="M13398" s="2">
        <v>46804.0</v>
      </c>
      <c r="N13398" s="2" t="s">
        <v>21</v>
      </c>
    </row>
    <row r="13399" ht="15.75" customHeight="1">
      <c r="A13399" s="2">
        <v>2020.0</v>
      </c>
      <c r="B13399" s="2" t="s">
        <v>52907</v>
      </c>
      <c r="C13399" s="2" t="s">
        <v>52909</v>
      </c>
      <c r="D13399" s="2" t="str">
        <f>"2604187490"</f>
        <v>2604187490</v>
      </c>
      <c r="E13399" s="2" t="s">
        <v>301</v>
      </c>
      <c r="F13399" s="2" t="s">
        <v>52910</v>
      </c>
      <c r="G13399" s="2" t="str">
        <f>"SR-18892"</f>
        <v>SR-18892</v>
      </c>
      <c r="H13399" s="2" t="s">
        <v>52911</v>
      </c>
      <c r="I13399" s="2" t="s">
        <v>52912</v>
      </c>
      <c r="K13399" s="2" t="s">
        <v>4298</v>
      </c>
      <c r="L13399" s="2" t="s">
        <v>149</v>
      </c>
      <c r="M13399" s="2">
        <v>46804.0</v>
      </c>
      <c r="N13399" s="2" t="s">
        <v>21</v>
      </c>
    </row>
    <row r="13400" ht="15.75" customHeight="1">
      <c r="A13400" s="2">
        <v>2020.0</v>
      </c>
      <c r="B13400" s="2" t="s">
        <v>38466</v>
      </c>
      <c r="C13400" s="2" t="s">
        <v>38475</v>
      </c>
      <c r="D13400" s="2" t="str">
        <f>"9158577767"</f>
        <v>9158577767</v>
      </c>
      <c r="E13400" s="2" t="s">
        <v>6949</v>
      </c>
      <c r="F13400" s="2" t="s">
        <v>38467</v>
      </c>
      <c r="G13400" s="2" t="str">
        <f>"SR-13109"</f>
        <v>SR-13109</v>
      </c>
      <c r="H13400" s="2" t="s">
        <v>38476</v>
      </c>
      <c r="I13400" s="2" t="s">
        <v>38469</v>
      </c>
      <c r="K13400" s="2" t="s">
        <v>38470</v>
      </c>
      <c r="L13400" s="2" t="s">
        <v>172</v>
      </c>
      <c r="M13400" s="2">
        <v>79938.0</v>
      </c>
      <c r="N13400" s="2" t="s">
        <v>21</v>
      </c>
    </row>
    <row r="13401" ht="15.75" customHeight="1">
      <c r="A13401" s="2">
        <v>2020.0</v>
      </c>
      <c r="B13401" s="2" t="s">
        <v>52913</v>
      </c>
      <c r="C13401" s="2" t="s">
        <v>52914</v>
      </c>
      <c r="D13401" s="2" t="str">
        <f>"3019048080"</f>
        <v>3019048080</v>
      </c>
      <c r="E13401" s="2" t="s">
        <v>1032</v>
      </c>
      <c r="F13401" s="2" t="s">
        <v>1151</v>
      </c>
      <c r="G13401" s="2" t="str">
        <f>"SR-18895"</f>
        <v>SR-18895</v>
      </c>
      <c r="H13401" s="2" t="s">
        <v>52915</v>
      </c>
      <c r="I13401" s="2" t="s">
        <v>52916</v>
      </c>
      <c r="K13401" s="2" t="s">
        <v>7313</v>
      </c>
      <c r="L13401" s="2" t="s">
        <v>1868</v>
      </c>
      <c r="M13401" s="2">
        <v>20636.0</v>
      </c>
      <c r="N13401" s="2" t="s">
        <v>21</v>
      </c>
    </row>
    <row r="13402" ht="15.75" customHeight="1">
      <c r="A13402" s="2">
        <v>2020.0</v>
      </c>
      <c r="B13402" s="2" t="s">
        <v>52917</v>
      </c>
      <c r="C13402" s="2" t="s">
        <v>52918</v>
      </c>
      <c r="D13402" s="2" t="str">
        <f>"225-445-8181"</f>
        <v>225-445-8181</v>
      </c>
      <c r="E13402" s="2" t="s">
        <v>1548</v>
      </c>
      <c r="F13402" s="2" t="s">
        <v>9115</v>
      </c>
      <c r="G13402" s="2" t="str">
        <f>"SR-18896"</f>
        <v>SR-18896</v>
      </c>
      <c r="H13402" s="2" t="s">
        <v>52919</v>
      </c>
      <c r="I13402" s="2" t="s">
        <v>52920</v>
      </c>
      <c r="K13402" s="2" t="s">
        <v>3654</v>
      </c>
      <c r="L13402" s="2" t="s">
        <v>715</v>
      </c>
      <c r="M13402" s="2">
        <v>70817.0</v>
      </c>
      <c r="N13402" s="2" t="s">
        <v>21</v>
      </c>
    </row>
    <row r="13403" ht="15.75" customHeight="1">
      <c r="A13403" s="2">
        <v>2020.0</v>
      </c>
      <c r="B13403" s="2" t="s">
        <v>52921</v>
      </c>
      <c r="C13403" s="2" t="s">
        <v>52921</v>
      </c>
      <c r="D13403" s="2" t="str">
        <f>"8503542656"</f>
        <v>8503542656</v>
      </c>
      <c r="E13403" s="2" t="s">
        <v>15415</v>
      </c>
      <c r="F13403" s="2" t="s">
        <v>6884</v>
      </c>
      <c r="G13403" s="2" t="str">
        <f>"SR-18897"</f>
        <v>SR-18897</v>
      </c>
      <c r="H13403" s="2" t="s">
        <v>52922</v>
      </c>
      <c r="I13403" s="2" t="s">
        <v>52923</v>
      </c>
      <c r="K13403" s="2" t="s">
        <v>5373</v>
      </c>
      <c r="L13403" s="2" t="s">
        <v>208</v>
      </c>
      <c r="M13403" s="2">
        <v>32344.0</v>
      </c>
      <c r="N13403" s="2" t="s">
        <v>21</v>
      </c>
    </row>
    <row r="13404" ht="15.75" customHeight="1">
      <c r="A13404" s="2">
        <v>2020.0</v>
      </c>
      <c r="B13404" s="2" t="s">
        <v>52924</v>
      </c>
      <c r="C13404" s="2" t="s">
        <v>52925</v>
      </c>
      <c r="D13404" s="2" t="str">
        <f>"4053123048"</f>
        <v>4053123048</v>
      </c>
      <c r="E13404" s="2" t="s">
        <v>52926</v>
      </c>
      <c r="F13404" s="2" t="s">
        <v>28697</v>
      </c>
      <c r="G13404" s="2" t="str">
        <f>"SR-18823"</f>
        <v>SR-18823</v>
      </c>
      <c r="H13404" s="2" t="s">
        <v>52927</v>
      </c>
      <c r="I13404" s="2" t="s">
        <v>52928</v>
      </c>
      <c r="K13404" s="2" t="s">
        <v>24118</v>
      </c>
      <c r="L13404" s="2" t="s">
        <v>840</v>
      </c>
      <c r="M13404" s="2">
        <v>73099.0</v>
      </c>
      <c r="N13404" s="2" t="s">
        <v>21</v>
      </c>
    </row>
    <row r="13405" ht="15.75" customHeight="1">
      <c r="A13405" s="2">
        <v>2020.0</v>
      </c>
      <c r="B13405" s="2" t="s">
        <v>52929</v>
      </c>
      <c r="C13405" s="2" t="s">
        <v>52929</v>
      </c>
      <c r="D13405" s="2" t="str">
        <f>"7023321541"</f>
        <v>7023321541</v>
      </c>
      <c r="E13405" s="2" t="s">
        <v>890</v>
      </c>
      <c r="F13405" s="2" t="s">
        <v>52930</v>
      </c>
      <c r="G13405" s="2" t="str">
        <f>"SR-18891"</f>
        <v>SR-18891</v>
      </c>
      <c r="H13405" s="2" t="s">
        <v>52931</v>
      </c>
      <c r="I13405" s="2" t="s">
        <v>52932</v>
      </c>
      <c r="K13405" s="2" t="s">
        <v>3128</v>
      </c>
      <c r="L13405" s="2" t="s">
        <v>1419</v>
      </c>
      <c r="M13405" s="2">
        <v>89146.0</v>
      </c>
      <c r="N13405" s="2" t="s">
        <v>21</v>
      </c>
    </row>
    <row r="13406" ht="15.75" customHeight="1">
      <c r="A13406" s="2">
        <v>2020.0</v>
      </c>
      <c r="B13406" s="2" t="s">
        <v>52933</v>
      </c>
      <c r="C13406" s="2" t="s">
        <v>52933</v>
      </c>
      <c r="D13406" s="2" t="str">
        <f>"6507996016"</f>
        <v>6507996016</v>
      </c>
      <c r="E13406" s="2" t="s">
        <v>267</v>
      </c>
      <c r="F13406" s="2" t="s">
        <v>52934</v>
      </c>
      <c r="G13406" s="2" t="str">
        <f>"SR-18898"</f>
        <v>SR-18898</v>
      </c>
      <c r="H13406" s="2" t="s">
        <v>52935</v>
      </c>
      <c r="I13406" s="2" t="s">
        <v>52936</v>
      </c>
      <c r="K13406" s="2" t="s">
        <v>50828</v>
      </c>
      <c r="L13406" s="2" t="s">
        <v>222</v>
      </c>
      <c r="M13406" s="2">
        <v>95812.0</v>
      </c>
      <c r="N13406" s="2" t="s">
        <v>21</v>
      </c>
    </row>
    <row r="13407" ht="15.75" customHeight="1">
      <c r="A13407" s="2">
        <v>2020.0</v>
      </c>
      <c r="B13407" s="2" t="s">
        <v>52937</v>
      </c>
      <c r="C13407" s="2" t="s">
        <v>52938</v>
      </c>
      <c r="D13407" s="2" t="str">
        <f>"9197083880"</f>
        <v>9197083880</v>
      </c>
      <c r="E13407" s="2" t="s">
        <v>2800</v>
      </c>
      <c r="F13407" s="2" t="s">
        <v>52939</v>
      </c>
      <c r="G13407" s="2" t="str">
        <f>"SR-18740"</f>
        <v>SR-18740</v>
      </c>
      <c r="H13407" s="2" t="s">
        <v>52940</v>
      </c>
      <c r="I13407" s="2">
        <v>306.0</v>
      </c>
      <c r="J13407" s="2" t="s">
        <v>52941</v>
      </c>
      <c r="K13407" s="2" t="s">
        <v>1111</v>
      </c>
      <c r="L13407" s="2" t="s">
        <v>20</v>
      </c>
      <c r="M13407" s="2">
        <v>27713.0</v>
      </c>
      <c r="N13407" s="2" t="s">
        <v>21</v>
      </c>
    </row>
    <row r="13408" ht="15.75" customHeight="1">
      <c r="A13408" s="2">
        <v>2020.0</v>
      </c>
      <c r="B13408" s="2" t="s">
        <v>52942</v>
      </c>
      <c r="C13408" s="2" t="s">
        <v>52943</v>
      </c>
      <c r="D13408" s="2" t="str">
        <f>"941-587-9721"</f>
        <v>941-587-9721</v>
      </c>
      <c r="E13408" s="2" t="s">
        <v>7864</v>
      </c>
      <c r="F13408" s="2" t="s">
        <v>4935</v>
      </c>
      <c r="G13408" s="2" t="str">
        <f>"SR-18903"</f>
        <v>SR-18903</v>
      </c>
      <c r="H13408" s="2" t="s">
        <v>52944</v>
      </c>
      <c r="I13408" s="2" t="s">
        <v>52945</v>
      </c>
      <c r="K13408" s="2" t="s">
        <v>207</v>
      </c>
      <c r="L13408" s="2" t="s">
        <v>208</v>
      </c>
      <c r="M13408" s="2">
        <v>34232.0</v>
      </c>
      <c r="N13408" s="2" t="s">
        <v>21</v>
      </c>
    </row>
    <row r="13409" ht="15.75" customHeight="1">
      <c r="A13409" s="2">
        <v>2020.0</v>
      </c>
      <c r="B13409" s="2" t="s">
        <v>52946</v>
      </c>
      <c r="C13409" s="2" t="s">
        <v>52947</v>
      </c>
      <c r="D13409" s="2" t="str">
        <f>"719-761-4261"</f>
        <v>719-761-4261</v>
      </c>
      <c r="E13409" s="2" t="s">
        <v>124</v>
      </c>
      <c r="F13409" s="2" t="s">
        <v>52948</v>
      </c>
      <c r="G13409" s="2" t="str">
        <f>"SR-18805"</f>
        <v>SR-18805</v>
      </c>
      <c r="H13409" s="2" t="s">
        <v>52949</v>
      </c>
      <c r="I13409" s="2" t="s">
        <v>52950</v>
      </c>
      <c r="K13409" s="2" t="s">
        <v>809</v>
      </c>
      <c r="L13409" s="2" t="s">
        <v>157</v>
      </c>
      <c r="M13409" s="2">
        <v>80918.0</v>
      </c>
      <c r="N13409" s="2" t="s">
        <v>21</v>
      </c>
    </row>
    <row r="13410" ht="15.75" customHeight="1">
      <c r="A13410" s="2">
        <v>2020.0</v>
      </c>
      <c r="B13410" s="2" t="s">
        <v>52946</v>
      </c>
      <c r="C13410" s="2" t="s">
        <v>52951</v>
      </c>
      <c r="D13410" s="2" t="str">
        <f>"719-233-0349"</f>
        <v>719-233-0349</v>
      </c>
      <c r="E13410" s="2" t="s">
        <v>572</v>
      </c>
      <c r="F13410" s="2" t="s">
        <v>52948</v>
      </c>
      <c r="G13410" s="2" t="str">
        <f>"SR-18894"</f>
        <v>SR-18894</v>
      </c>
      <c r="H13410" s="2" t="s">
        <v>52952</v>
      </c>
      <c r="I13410" s="2" t="s">
        <v>52950</v>
      </c>
      <c r="K13410" s="2" t="s">
        <v>809</v>
      </c>
      <c r="L13410" s="2" t="s">
        <v>157</v>
      </c>
      <c r="M13410" s="2">
        <v>80918.0</v>
      </c>
      <c r="N13410" s="2" t="s">
        <v>21</v>
      </c>
    </row>
    <row r="13411" ht="15.75" customHeight="1">
      <c r="A13411" s="2">
        <v>2020.0</v>
      </c>
      <c r="B13411" s="2" t="s">
        <v>52953</v>
      </c>
      <c r="C13411" s="2" t="s">
        <v>52954</v>
      </c>
      <c r="D13411" s="2" t="str">
        <f>"253-303-1523"</f>
        <v>253-303-1523</v>
      </c>
      <c r="E13411" s="2" t="s">
        <v>534</v>
      </c>
      <c r="F13411" s="2" t="s">
        <v>52955</v>
      </c>
      <c r="G13411" s="2" t="str">
        <f>"SR-18908"</f>
        <v>SR-18908</v>
      </c>
      <c r="H13411" s="2" t="s">
        <v>52956</v>
      </c>
      <c r="I13411" s="2" t="s">
        <v>52957</v>
      </c>
      <c r="K13411" s="2" t="s">
        <v>14632</v>
      </c>
      <c r="L13411" s="2" t="s">
        <v>86</v>
      </c>
      <c r="M13411" s="2">
        <v>98466.0</v>
      </c>
      <c r="N13411" s="2" t="s">
        <v>21</v>
      </c>
    </row>
    <row r="13412" ht="15.75" customHeight="1">
      <c r="A13412" s="2">
        <v>2020.0</v>
      </c>
      <c r="B13412" s="2" t="s">
        <v>52958</v>
      </c>
      <c r="C13412" s="2" t="s">
        <v>52959</v>
      </c>
      <c r="D13412" s="2" t="str">
        <f>"7155620107"</f>
        <v>7155620107</v>
      </c>
      <c r="E13412" s="2" t="s">
        <v>52960</v>
      </c>
      <c r="F13412" s="2" t="s">
        <v>52961</v>
      </c>
      <c r="G13412" s="2" t="str">
        <f>"SR-18909"</f>
        <v>SR-18909</v>
      </c>
      <c r="H13412" s="2" t="s">
        <v>52962</v>
      </c>
      <c r="I13412" s="2" t="s">
        <v>52963</v>
      </c>
      <c r="K13412" s="2" t="s">
        <v>8920</v>
      </c>
      <c r="L13412" s="2" t="s">
        <v>193</v>
      </c>
      <c r="M13412" s="2">
        <v>54534.0</v>
      </c>
      <c r="N13412" s="2" t="s">
        <v>21</v>
      </c>
    </row>
    <row r="13413" ht="15.75" customHeight="1">
      <c r="A13413" s="2">
        <v>2020.0</v>
      </c>
      <c r="B13413" s="2" t="s">
        <v>52964</v>
      </c>
      <c r="C13413" s="2" t="s">
        <v>52964</v>
      </c>
      <c r="D13413" s="2" t="str">
        <f>"(316)730-1522"</f>
        <v>(316)730-1522</v>
      </c>
      <c r="E13413" s="2" t="s">
        <v>2644</v>
      </c>
      <c r="F13413" s="2" t="s">
        <v>457</v>
      </c>
      <c r="G13413" s="2" t="str">
        <f>"SR-18914"</f>
        <v>SR-18914</v>
      </c>
      <c r="H13413" s="2" t="s">
        <v>52965</v>
      </c>
      <c r="I13413" s="2" t="s">
        <v>52966</v>
      </c>
      <c r="K13413" s="2" t="s">
        <v>2870</v>
      </c>
      <c r="L13413" s="2" t="s">
        <v>840</v>
      </c>
      <c r="M13413" s="2">
        <v>73071.0</v>
      </c>
      <c r="N13413" s="2" t="s">
        <v>21</v>
      </c>
    </row>
    <row r="13414" ht="15.75" customHeight="1">
      <c r="A13414" s="2">
        <v>2020.0</v>
      </c>
      <c r="B13414" s="2" t="s">
        <v>52967</v>
      </c>
      <c r="D13414" s="2" t="str">
        <f>""</f>
        <v/>
      </c>
      <c r="E13414" s="2" t="s">
        <v>4763</v>
      </c>
      <c r="F13414" s="2" t="s">
        <v>52968</v>
      </c>
      <c r="G13414" s="2" t="str">
        <f>"SR-18919"</f>
        <v>SR-18919</v>
      </c>
      <c r="H13414" s="2" t="s">
        <v>52969</v>
      </c>
      <c r="N13414" s="2" t="s">
        <v>21</v>
      </c>
    </row>
    <row r="13415" ht="15.75" customHeight="1">
      <c r="A13415" s="2">
        <v>2020.0</v>
      </c>
      <c r="B13415" s="2" t="s">
        <v>52970</v>
      </c>
      <c r="C13415" s="2" t="s">
        <v>52970</v>
      </c>
      <c r="D13415" s="2" t="str">
        <f>"5704232499"</f>
        <v>5704232499</v>
      </c>
      <c r="E13415" s="2" t="s">
        <v>261</v>
      </c>
      <c r="F13415" s="2" t="s">
        <v>52971</v>
      </c>
      <c r="G13415" s="2" t="str">
        <f>"SR-18351"</f>
        <v>SR-18351</v>
      </c>
      <c r="H13415" s="2" t="s">
        <v>52972</v>
      </c>
      <c r="I13415" s="2" t="s">
        <v>52973</v>
      </c>
      <c r="K13415" s="2" t="s">
        <v>52974</v>
      </c>
      <c r="L13415" s="2" t="s">
        <v>179</v>
      </c>
      <c r="M13415" s="2">
        <v>18840.0</v>
      </c>
      <c r="N13415" s="2" t="s">
        <v>21</v>
      </c>
    </row>
    <row r="13416" ht="15.75" customHeight="1">
      <c r="A13416" s="2">
        <v>2020.0</v>
      </c>
      <c r="B13416" s="2" t="s">
        <v>52975</v>
      </c>
      <c r="C13416" s="2" t="s">
        <v>52975</v>
      </c>
      <c r="D13416" s="2" t="str">
        <f>"(570) 395-9380"</f>
        <v>(570) 395-9380</v>
      </c>
      <c r="E13416" s="2" t="s">
        <v>52976</v>
      </c>
      <c r="F13416" s="2" t="s">
        <v>19404</v>
      </c>
      <c r="G13416" s="2" t="str">
        <f>"SR-18350"</f>
        <v>SR-18350</v>
      </c>
      <c r="H13416" s="2" t="s">
        <v>52977</v>
      </c>
      <c r="I13416" s="2" t="s">
        <v>40769</v>
      </c>
      <c r="K13416" s="2" t="s">
        <v>40770</v>
      </c>
      <c r="L13416" s="2" t="s">
        <v>179</v>
      </c>
      <c r="M13416" s="2">
        <v>18851.0</v>
      </c>
      <c r="N13416" s="2" t="s">
        <v>21</v>
      </c>
    </row>
    <row r="13417" ht="15.75" customHeight="1">
      <c r="A13417" s="2">
        <v>2020.0</v>
      </c>
      <c r="B13417" s="2" t="s">
        <v>27573</v>
      </c>
      <c r="C13417" s="2" t="s">
        <v>52978</v>
      </c>
      <c r="D13417" s="2" t="str">
        <f>"3135502786"</f>
        <v>3135502786</v>
      </c>
      <c r="E13417" s="2" t="s">
        <v>100</v>
      </c>
      <c r="F13417" s="2" t="s">
        <v>718</v>
      </c>
      <c r="G13417" s="2" t="str">
        <f>"SR-18924"</f>
        <v>SR-18924</v>
      </c>
      <c r="H13417" s="2" t="s">
        <v>52979</v>
      </c>
      <c r="I13417" s="2" t="s">
        <v>52980</v>
      </c>
      <c r="K13417" s="2" t="s">
        <v>52981</v>
      </c>
      <c r="L13417" s="2" t="s">
        <v>29</v>
      </c>
      <c r="M13417" s="2">
        <v>48240.0</v>
      </c>
      <c r="N13417" s="2" t="s">
        <v>21</v>
      </c>
    </row>
    <row r="13418" ht="15.75" customHeight="1">
      <c r="A13418" s="2">
        <v>2020.0</v>
      </c>
      <c r="B13418" s="2" t="s">
        <v>52982</v>
      </c>
      <c r="C13418" s="2" t="s">
        <v>52982</v>
      </c>
      <c r="D13418" s="2" t="str">
        <f>"4235981843"</f>
        <v>4235981843</v>
      </c>
      <c r="E13418" s="2" t="s">
        <v>15415</v>
      </c>
      <c r="F13418" s="2" t="s">
        <v>12373</v>
      </c>
      <c r="G13418" s="2" t="str">
        <f>"SR-18926"</f>
        <v>SR-18926</v>
      </c>
      <c r="H13418" s="2" t="s">
        <v>52983</v>
      </c>
      <c r="I13418" s="2" t="s">
        <v>52984</v>
      </c>
      <c r="K13418" s="2" t="s">
        <v>23449</v>
      </c>
      <c r="L13418" s="2" t="s">
        <v>279</v>
      </c>
      <c r="M13418" s="2">
        <v>37343.0</v>
      </c>
      <c r="N13418" s="2" t="s">
        <v>21</v>
      </c>
    </row>
    <row r="13419" ht="15.75" customHeight="1">
      <c r="A13419" s="2">
        <v>2020.0</v>
      </c>
      <c r="B13419" s="2" t="s">
        <v>52985</v>
      </c>
      <c r="C13419" s="2" t="s">
        <v>52986</v>
      </c>
      <c r="D13419" s="2" t="str">
        <f>"7043081597"</f>
        <v>7043081597</v>
      </c>
      <c r="E13419" s="2" t="s">
        <v>6170</v>
      </c>
      <c r="F13419" s="2" t="s">
        <v>15674</v>
      </c>
      <c r="G13419" s="2" t="str">
        <f>"SR-18718"</f>
        <v>SR-18718</v>
      </c>
      <c r="H13419" s="2" t="s">
        <v>52987</v>
      </c>
      <c r="I13419" s="2" t="s">
        <v>52988</v>
      </c>
      <c r="K13419" s="2" t="s">
        <v>52989</v>
      </c>
      <c r="L13419" s="2" t="s">
        <v>20</v>
      </c>
      <c r="M13419" s="2">
        <v>28673.0</v>
      </c>
      <c r="N13419" s="2" t="s">
        <v>21</v>
      </c>
    </row>
    <row r="13420" ht="15.75" customHeight="1">
      <c r="A13420" s="2">
        <v>2020.0</v>
      </c>
      <c r="B13420" s="2" t="s">
        <v>52990</v>
      </c>
      <c r="C13420" s="2" t="s">
        <v>52991</v>
      </c>
      <c r="D13420" s="2" t="str">
        <f>"208-715-5189"</f>
        <v>208-715-5189</v>
      </c>
      <c r="E13420" s="2" t="s">
        <v>52992</v>
      </c>
      <c r="F13420" s="2" t="s">
        <v>52993</v>
      </c>
      <c r="G13420" s="2" t="str">
        <f>"SR-18929"</f>
        <v>SR-18929</v>
      </c>
      <c r="H13420" s="2" t="s">
        <v>52994</v>
      </c>
      <c r="I13420" s="2" t="s">
        <v>52995</v>
      </c>
      <c r="K13420" s="2" t="s">
        <v>15473</v>
      </c>
      <c r="L13420" s="2" t="s">
        <v>2613</v>
      </c>
      <c r="M13420" s="2">
        <v>83854.0</v>
      </c>
      <c r="N13420" s="2" t="s">
        <v>21</v>
      </c>
    </row>
    <row r="13421" ht="15.75" customHeight="1">
      <c r="A13421" s="2">
        <v>2020.0</v>
      </c>
      <c r="B13421" s="2" t="s">
        <v>41038</v>
      </c>
      <c r="D13421" s="2" t="str">
        <f>""</f>
        <v/>
      </c>
      <c r="E13421" s="2" t="s">
        <v>52996</v>
      </c>
      <c r="F13421" s="2" t="s">
        <v>41040</v>
      </c>
      <c r="G13421" s="2" t="str">
        <f>"SR-18790"</f>
        <v>SR-18790</v>
      </c>
      <c r="H13421" s="2" t="s">
        <v>52997</v>
      </c>
    </row>
    <row r="13422" ht="15.75" customHeight="1">
      <c r="A13422" s="2">
        <v>2020.0</v>
      </c>
      <c r="B13422" s="2" t="s">
        <v>29794</v>
      </c>
      <c r="C13422" s="2" t="s">
        <v>52998</v>
      </c>
      <c r="D13422" s="2" t="str">
        <f t="shared" ref="D13422:D13423" si="227">"8129178654"</f>
        <v>8129178654</v>
      </c>
      <c r="E13422" s="2" t="s">
        <v>3560</v>
      </c>
      <c r="F13422" s="2" t="s">
        <v>29796</v>
      </c>
      <c r="G13422" s="2" t="str">
        <f>"SR-18937"</f>
        <v>SR-18937</v>
      </c>
      <c r="H13422" s="2" t="s">
        <v>52999</v>
      </c>
      <c r="I13422" s="2" t="s">
        <v>53000</v>
      </c>
      <c r="K13422" s="2" t="s">
        <v>8684</v>
      </c>
      <c r="L13422" s="2" t="s">
        <v>149</v>
      </c>
      <c r="M13422" s="2">
        <v>47802.0</v>
      </c>
      <c r="N13422" s="2" t="s">
        <v>21</v>
      </c>
    </row>
    <row r="13423" ht="15.75" customHeight="1">
      <c r="A13423" s="2">
        <v>2020.0</v>
      </c>
      <c r="B13423" s="2" t="s">
        <v>29794</v>
      </c>
      <c r="C13423" s="2" t="s">
        <v>53001</v>
      </c>
      <c r="D13423" s="2" t="str">
        <f t="shared" si="227"/>
        <v>8129178654</v>
      </c>
      <c r="E13423" s="2" t="s">
        <v>651</v>
      </c>
      <c r="F13423" s="2" t="s">
        <v>29796</v>
      </c>
      <c r="G13423" s="2" t="str">
        <f>"SR-18938"</f>
        <v>SR-18938</v>
      </c>
      <c r="H13423" s="2" t="s">
        <v>53002</v>
      </c>
      <c r="I13423" s="2" t="s">
        <v>53000</v>
      </c>
      <c r="K13423" s="2" t="s">
        <v>8684</v>
      </c>
      <c r="L13423" s="2" t="s">
        <v>149</v>
      </c>
      <c r="M13423" s="2">
        <v>47802.0</v>
      </c>
      <c r="N13423" s="2" t="s">
        <v>21</v>
      </c>
    </row>
    <row r="13424" ht="15.75" customHeight="1">
      <c r="A13424" s="2">
        <v>2020.0</v>
      </c>
      <c r="B13424" s="2" t="s">
        <v>29794</v>
      </c>
      <c r="C13424" s="2" t="s">
        <v>53003</v>
      </c>
      <c r="D13424" s="2" t="str">
        <f>"812-917-8654"</f>
        <v>812-917-8654</v>
      </c>
      <c r="E13424" s="2" t="s">
        <v>1529</v>
      </c>
      <c r="F13424" s="2" t="s">
        <v>29796</v>
      </c>
      <c r="G13424" s="2" t="str">
        <f>"SR-18939"</f>
        <v>SR-18939</v>
      </c>
      <c r="H13424" s="2" t="s">
        <v>53004</v>
      </c>
      <c r="I13424" s="2" t="s">
        <v>53000</v>
      </c>
      <c r="K13424" s="2" t="s">
        <v>8684</v>
      </c>
      <c r="L13424" s="2" t="s">
        <v>149</v>
      </c>
      <c r="M13424" s="2">
        <v>47802.0</v>
      </c>
      <c r="N13424" s="2" t="s">
        <v>21</v>
      </c>
    </row>
    <row r="13425" ht="15.75" customHeight="1">
      <c r="A13425" s="2">
        <v>2020.0</v>
      </c>
      <c r="B13425" s="2" t="s">
        <v>53005</v>
      </c>
      <c r="C13425" s="2" t="s">
        <v>53006</v>
      </c>
      <c r="D13425" s="2" t="str">
        <f>"4693014680"</f>
        <v>4693014680</v>
      </c>
      <c r="E13425" s="2" t="s">
        <v>6121</v>
      </c>
      <c r="F13425" s="2" t="s">
        <v>53007</v>
      </c>
      <c r="G13425" s="2" t="str">
        <f>"SR-18942"</f>
        <v>SR-18942</v>
      </c>
      <c r="H13425" s="2" t="s">
        <v>53008</v>
      </c>
      <c r="I13425" s="2" t="s">
        <v>53009</v>
      </c>
      <c r="J13425" s="2" t="s">
        <v>53010</v>
      </c>
      <c r="K13425" s="2" t="s">
        <v>43477</v>
      </c>
      <c r="L13425" s="2" t="s">
        <v>172</v>
      </c>
      <c r="M13425" s="2">
        <v>76177.0</v>
      </c>
      <c r="N13425" s="2" t="s">
        <v>21</v>
      </c>
    </row>
    <row r="13426" ht="15.75" customHeight="1">
      <c r="A13426" s="2">
        <v>2020.0</v>
      </c>
      <c r="B13426" s="2" t="s">
        <v>53011</v>
      </c>
      <c r="C13426" s="2" t="s">
        <v>53011</v>
      </c>
      <c r="D13426" s="2" t="str">
        <f>"4695161341"</f>
        <v>4695161341</v>
      </c>
      <c r="E13426" s="2" t="s">
        <v>29734</v>
      </c>
      <c r="F13426" s="2" t="s">
        <v>53007</v>
      </c>
      <c r="G13426" s="2" t="str">
        <f>"SR-18945"</f>
        <v>SR-18945</v>
      </c>
      <c r="H13426" s="2" t="s">
        <v>53012</v>
      </c>
      <c r="I13426" s="2" t="s">
        <v>53009</v>
      </c>
      <c r="J13426" s="2" t="s">
        <v>53010</v>
      </c>
      <c r="K13426" s="2" t="s">
        <v>43477</v>
      </c>
      <c r="L13426" s="2" t="s">
        <v>172</v>
      </c>
      <c r="M13426" s="2">
        <v>76177.0</v>
      </c>
      <c r="N13426" s="2" t="s">
        <v>21</v>
      </c>
    </row>
    <row r="13427" ht="15.75" customHeight="1">
      <c r="A13427" s="2">
        <v>2020.0</v>
      </c>
      <c r="B13427" s="2" t="s">
        <v>53013</v>
      </c>
      <c r="C13427" s="2" t="s">
        <v>53014</v>
      </c>
      <c r="D13427" s="2" t="str">
        <f>"4697718275"</f>
        <v>4697718275</v>
      </c>
      <c r="E13427" s="2" t="s">
        <v>1718</v>
      </c>
      <c r="F13427" s="2" t="s">
        <v>53007</v>
      </c>
      <c r="G13427" s="2" t="str">
        <f>"SR-18948"</f>
        <v>SR-18948</v>
      </c>
      <c r="H13427" s="2" t="s">
        <v>53015</v>
      </c>
      <c r="I13427" s="2" t="s">
        <v>53009</v>
      </c>
      <c r="J13427" s="2" t="s">
        <v>53010</v>
      </c>
      <c r="K13427" s="2" t="s">
        <v>1260</v>
      </c>
      <c r="L13427" s="2" t="s">
        <v>172</v>
      </c>
      <c r="M13427" s="2">
        <v>76177.0</v>
      </c>
      <c r="N13427" s="2" t="s">
        <v>21</v>
      </c>
    </row>
    <row r="13428" ht="15.75" customHeight="1">
      <c r="A13428" s="2">
        <v>2020.0</v>
      </c>
      <c r="B13428" s="2" t="s">
        <v>36376</v>
      </c>
      <c r="C13428" s="2" t="s">
        <v>53016</v>
      </c>
      <c r="D13428" s="2" t="str">
        <f>"7055291900"</f>
        <v>7055291900</v>
      </c>
      <c r="E13428" s="2" t="s">
        <v>53017</v>
      </c>
      <c r="F13428" s="2" t="s">
        <v>36378</v>
      </c>
      <c r="G13428" s="2" t="str">
        <f>"SR-18949"</f>
        <v>SR-18949</v>
      </c>
      <c r="H13428" s="2" t="s">
        <v>53018</v>
      </c>
      <c r="I13428" s="2" t="s">
        <v>36380</v>
      </c>
      <c r="K13428" s="2" t="s">
        <v>286</v>
      </c>
      <c r="L13428" s="2" t="s">
        <v>2022</v>
      </c>
      <c r="M13428" s="2" t="s">
        <v>39202</v>
      </c>
      <c r="N13428" s="2" t="s">
        <v>1602</v>
      </c>
    </row>
    <row r="13429" ht="15.75" customHeight="1">
      <c r="A13429" s="2">
        <v>2020.0</v>
      </c>
      <c r="B13429" s="2" t="s">
        <v>53019</v>
      </c>
      <c r="C13429" s="2" t="s">
        <v>53019</v>
      </c>
      <c r="D13429" s="2" t="str">
        <f>"540-222-8151"</f>
        <v>540-222-8151</v>
      </c>
      <c r="E13429" s="2" t="s">
        <v>705</v>
      </c>
      <c r="F13429" s="2" t="s">
        <v>962</v>
      </c>
      <c r="G13429" s="2" t="str">
        <f>"SR-15078"</f>
        <v>SR-15078</v>
      </c>
      <c r="H13429" s="2" t="s">
        <v>53020</v>
      </c>
      <c r="I13429" s="2" t="s">
        <v>53021</v>
      </c>
      <c r="K13429" s="2" t="s">
        <v>1104</v>
      </c>
      <c r="L13429" s="2" t="s">
        <v>165</v>
      </c>
      <c r="M13429" s="2">
        <v>20186.0</v>
      </c>
      <c r="N13429" s="2" t="s">
        <v>21</v>
      </c>
    </row>
    <row r="13430" ht="15.75" customHeight="1">
      <c r="A13430" s="2">
        <v>2020.0</v>
      </c>
      <c r="B13430" s="2" t="s">
        <v>22881</v>
      </c>
      <c r="C13430" s="2" t="s">
        <v>22882</v>
      </c>
      <c r="D13430" s="2" t="str">
        <f>"705-606-6472"</f>
        <v>705-606-6472</v>
      </c>
      <c r="E13430" s="2" t="s">
        <v>584</v>
      </c>
      <c r="F13430" s="2" t="s">
        <v>22883</v>
      </c>
      <c r="G13430" s="2" t="str">
        <f>"SR-7025"</f>
        <v>SR-7025</v>
      </c>
      <c r="H13430" s="2" t="s">
        <v>22884</v>
      </c>
      <c r="I13430" s="2" t="s">
        <v>22885</v>
      </c>
      <c r="K13430" s="2" t="s">
        <v>2632</v>
      </c>
      <c r="L13430" s="2" t="s">
        <v>2015</v>
      </c>
      <c r="M13430" s="2" t="s">
        <v>22886</v>
      </c>
      <c r="N13430" s="2" t="s">
        <v>1602</v>
      </c>
    </row>
    <row r="13431" ht="15.75" customHeight="1">
      <c r="A13431" s="2">
        <v>2020.0</v>
      </c>
      <c r="B13431" s="2" t="s">
        <v>53022</v>
      </c>
      <c r="C13431" s="2" t="s">
        <v>53023</v>
      </c>
      <c r="D13431" s="2" t="str">
        <f>"6184028550"</f>
        <v>6184028550</v>
      </c>
      <c r="E13431" s="2" t="s">
        <v>217</v>
      </c>
      <c r="F13431" s="2" t="s">
        <v>31210</v>
      </c>
      <c r="G13431" s="2" t="str">
        <f>"SR-18954"</f>
        <v>SR-18954</v>
      </c>
      <c r="H13431" s="2" t="s">
        <v>53024</v>
      </c>
      <c r="I13431" s="2" t="s">
        <v>31212</v>
      </c>
      <c r="K13431" s="2" t="s">
        <v>28289</v>
      </c>
      <c r="L13431" s="2" t="s">
        <v>105</v>
      </c>
      <c r="M13431" s="2">
        <v>62221.0</v>
      </c>
      <c r="N13431" s="2" t="s">
        <v>21</v>
      </c>
    </row>
    <row r="13432" ht="15.75" customHeight="1">
      <c r="A13432" s="2">
        <v>2020.0</v>
      </c>
      <c r="B13432" s="2" t="s">
        <v>53025</v>
      </c>
      <c r="D13432" s="2" t="str">
        <f>""</f>
        <v/>
      </c>
      <c r="E13432" s="2" t="s">
        <v>53026</v>
      </c>
      <c r="F13432" s="2" t="s">
        <v>53027</v>
      </c>
      <c r="G13432" s="2" t="str">
        <f>"SR-18956"</f>
        <v>SR-18956</v>
      </c>
      <c r="H13432" s="2" t="s">
        <v>53028</v>
      </c>
      <c r="N13432" s="2" t="s">
        <v>21</v>
      </c>
    </row>
    <row r="13433" ht="15.75" customHeight="1">
      <c r="A13433" s="2">
        <v>2020.0</v>
      </c>
      <c r="B13433" s="2" t="s">
        <v>53029</v>
      </c>
      <c r="C13433" s="2" t="s">
        <v>53029</v>
      </c>
      <c r="D13433" s="2" t="str">
        <f>"2285475231"</f>
        <v>2285475231</v>
      </c>
      <c r="E13433" s="2" t="s">
        <v>1135</v>
      </c>
      <c r="F13433" s="2" t="s">
        <v>4358</v>
      </c>
      <c r="G13433" s="2" t="str">
        <f>"SR-18958"</f>
        <v>SR-18958</v>
      </c>
      <c r="H13433" s="2" t="s">
        <v>53030</v>
      </c>
      <c r="I13433" s="2" t="s">
        <v>53031</v>
      </c>
      <c r="K13433" s="2" t="s">
        <v>24918</v>
      </c>
      <c r="L13433" s="2" t="s">
        <v>105</v>
      </c>
      <c r="M13433" s="2">
        <v>62225.0</v>
      </c>
      <c r="N13433" s="2" t="s">
        <v>21</v>
      </c>
    </row>
    <row r="13434" ht="15.75" customHeight="1">
      <c r="A13434" s="2">
        <v>2020.0</v>
      </c>
      <c r="B13434" s="2" t="s">
        <v>53032</v>
      </c>
      <c r="D13434" s="2" t="str">
        <f>""</f>
        <v/>
      </c>
      <c r="E13434" s="2" t="s">
        <v>659</v>
      </c>
      <c r="F13434" s="2" t="s">
        <v>53033</v>
      </c>
      <c r="G13434" s="2" t="str">
        <f>"SR-18121"</f>
        <v>SR-18121</v>
      </c>
      <c r="H13434" s="2" t="s">
        <v>53034</v>
      </c>
      <c r="N13434" s="2" t="s">
        <v>21</v>
      </c>
    </row>
    <row r="13435" ht="15.75" customHeight="1">
      <c r="A13435" s="2">
        <v>2020.0</v>
      </c>
      <c r="B13435" s="2" t="s">
        <v>53035</v>
      </c>
      <c r="C13435" s="2" t="s">
        <v>53036</v>
      </c>
      <c r="D13435" s="2" t="str">
        <f>"2487872108"</f>
        <v>2487872108</v>
      </c>
      <c r="E13435" s="2" t="s">
        <v>3668</v>
      </c>
      <c r="F13435" s="2" t="s">
        <v>53037</v>
      </c>
      <c r="G13435" s="2" t="str">
        <f>"SR-18963"</f>
        <v>SR-18963</v>
      </c>
      <c r="H13435" s="2" t="s">
        <v>53038</v>
      </c>
      <c r="I13435" s="2" t="s">
        <v>53039</v>
      </c>
      <c r="K13435" s="2" t="s">
        <v>2909</v>
      </c>
      <c r="L13435" s="2" t="s">
        <v>29</v>
      </c>
      <c r="M13435" s="2">
        <v>48170.0</v>
      </c>
      <c r="N13435" s="2" t="s">
        <v>21</v>
      </c>
    </row>
    <row r="13436" ht="15.75" customHeight="1">
      <c r="A13436" s="2">
        <v>2020.0</v>
      </c>
      <c r="B13436" s="2" t="s">
        <v>53040</v>
      </c>
      <c r="C13436" s="2" t="s">
        <v>53041</v>
      </c>
      <c r="D13436" s="2" t="str">
        <f>"6143719989"</f>
        <v>6143719989</v>
      </c>
      <c r="E13436" s="2" t="s">
        <v>5872</v>
      </c>
      <c r="F13436" s="2" t="s">
        <v>53042</v>
      </c>
      <c r="G13436" s="2" t="str">
        <f>"SR-18964"</f>
        <v>SR-18964</v>
      </c>
      <c r="H13436" s="2" t="s">
        <v>53043</v>
      </c>
      <c r="I13436" s="2" t="s">
        <v>53044</v>
      </c>
      <c r="K13436" s="2" t="s">
        <v>9682</v>
      </c>
      <c r="L13436" s="2" t="s">
        <v>55</v>
      </c>
      <c r="M13436" s="2">
        <v>29526.0</v>
      </c>
      <c r="N13436" s="2" t="s">
        <v>21</v>
      </c>
    </row>
    <row r="13437" ht="15.75" customHeight="1">
      <c r="A13437" s="2">
        <v>2020.0</v>
      </c>
      <c r="B13437" s="2" t="s">
        <v>53045</v>
      </c>
      <c r="C13437" s="2" t="s">
        <v>53045</v>
      </c>
      <c r="D13437" s="2" t="str">
        <f>"3083409291"</f>
        <v>3083409291</v>
      </c>
      <c r="E13437" s="2" t="s">
        <v>7892</v>
      </c>
      <c r="F13437" s="2" t="s">
        <v>53046</v>
      </c>
      <c r="G13437" s="2" t="str">
        <f>"SR-18969"</f>
        <v>SR-18969</v>
      </c>
      <c r="H13437" s="2" t="s">
        <v>53047</v>
      </c>
      <c r="I13437" s="2" t="s">
        <v>53048</v>
      </c>
      <c r="K13437" s="2" t="s">
        <v>53049</v>
      </c>
      <c r="L13437" s="2" t="s">
        <v>757</v>
      </c>
      <c r="M13437" s="2">
        <v>69001.0</v>
      </c>
      <c r="N13437" s="2" t="s">
        <v>21</v>
      </c>
    </row>
    <row r="13438" ht="15.75" customHeight="1">
      <c r="A13438" s="2">
        <v>2020.0</v>
      </c>
      <c r="B13438" s="2" t="s">
        <v>33387</v>
      </c>
      <c r="C13438" s="2" t="s">
        <v>53050</v>
      </c>
      <c r="D13438" s="2" t="str">
        <f>"9194556177"</f>
        <v>9194556177</v>
      </c>
      <c r="E13438" s="2" t="s">
        <v>160</v>
      </c>
      <c r="F13438" s="2" t="s">
        <v>11287</v>
      </c>
      <c r="G13438" s="2" t="str">
        <f>"SR-18968"</f>
        <v>SR-18968</v>
      </c>
      <c r="H13438" s="2" t="s">
        <v>53051</v>
      </c>
      <c r="I13438" s="2" t="s">
        <v>33390</v>
      </c>
      <c r="K13438" s="2" t="s">
        <v>33391</v>
      </c>
      <c r="L13438" s="2" t="s">
        <v>20</v>
      </c>
      <c r="M13438" s="2">
        <v>27596.0</v>
      </c>
      <c r="N13438" s="2" t="s">
        <v>21</v>
      </c>
    </row>
    <row r="13439" ht="15.75" customHeight="1">
      <c r="A13439" s="2">
        <v>2020.0</v>
      </c>
      <c r="B13439" s="2" t="s">
        <v>53052</v>
      </c>
      <c r="C13439" s="2" t="s">
        <v>53052</v>
      </c>
      <c r="D13439" s="2" t="str">
        <f>"757-508-7930"</f>
        <v>757-508-7930</v>
      </c>
      <c r="E13439" s="2" t="s">
        <v>385</v>
      </c>
      <c r="F13439" s="2" t="s">
        <v>25821</v>
      </c>
      <c r="G13439" s="2" t="str">
        <f>"SR-18965"</f>
        <v>SR-18965</v>
      </c>
      <c r="H13439" s="2" t="s">
        <v>45051</v>
      </c>
      <c r="I13439" s="2" t="s">
        <v>53053</v>
      </c>
      <c r="K13439" s="2" t="s">
        <v>20327</v>
      </c>
      <c r="L13439" s="2" t="s">
        <v>165</v>
      </c>
      <c r="M13439" s="2">
        <v>20136.0</v>
      </c>
      <c r="N13439" s="2" t="s">
        <v>21</v>
      </c>
    </row>
    <row r="13440" ht="15.75" customHeight="1">
      <c r="A13440" s="2">
        <v>2020.0</v>
      </c>
      <c r="B13440" s="2" t="s">
        <v>53054</v>
      </c>
      <c r="C13440" s="2" t="s">
        <v>53055</v>
      </c>
      <c r="D13440" s="2" t="str">
        <f>"6504302741"</f>
        <v>6504302741</v>
      </c>
      <c r="E13440" s="2" t="s">
        <v>339</v>
      </c>
      <c r="F13440" s="2" t="s">
        <v>53056</v>
      </c>
      <c r="G13440" s="2" t="str">
        <f>"SR-18971"</f>
        <v>SR-18971</v>
      </c>
      <c r="H13440" s="2" t="s">
        <v>53057</v>
      </c>
      <c r="I13440" s="2" t="s">
        <v>53058</v>
      </c>
      <c r="K13440" s="2" t="s">
        <v>41239</v>
      </c>
      <c r="L13440" s="2" t="s">
        <v>222</v>
      </c>
      <c r="M13440" s="2">
        <v>94541.0</v>
      </c>
      <c r="N13440" s="2" t="s">
        <v>21</v>
      </c>
    </row>
    <row r="13441" ht="15.75" customHeight="1">
      <c r="A13441" s="2">
        <v>2020.0</v>
      </c>
      <c r="B13441" s="2" t="s">
        <v>47092</v>
      </c>
      <c r="C13441" s="2" t="s">
        <v>47093</v>
      </c>
      <c r="D13441" s="2" t="str">
        <f>"719-235-1218"</f>
        <v>719-235-1218</v>
      </c>
      <c r="E13441" s="2" t="s">
        <v>1233</v>
      </c>
      <c r="F13441" s="2" t="s">
        <v>15293</v>
      </c>
      <c r="G13441" s="2" t="str">
        <f>"SR-16505"</f>
        <v>SR-16505</v>
      </c>
      <c r="H13441" s="2" t="s">
        <v>47094</v>
      </c>
      <c r="I13441" s="2" t="s">
        <v>47095</v>
      </c>
      <c r="K13441" s="2" t="s">
        <v>507</v>
      </c>
      <c r="L13441" s="2" t="s">
        <v>157</v>
      </c>
      <c r="M13441" s="2">
        <v>80132.0</v>
      </c>
      <c r="N13441" s="2" t="s">
        <v>21</v>
      </c>
    </row>
    <row r="13442" ht="15.75" customHeight="1">
      <c r="A13442" s="2">
        <v>2020.0</v>
      </c>
      <c r="B13442" s="2" t="s">
        <v>53059</v>
      </c>
      <c r="C13442" s="2" t="s">
        <v>53059</v>
      </c>
      <c r="D13442" s="2" t="str">
        <f>"8632533647"</f>
        <v>8632533647</v>
      </c>
      <c r="E13442" s="2" t="s">
        <v>8887</v>
      </c>
      <c r="F13442" s="2" t="s">
        <v>53060</v>
      </c>
      <c r="G13442" s="2" t="str">
        <f>"SR-18601"</f>
        <v>SR-18601</v>
      </c>
      <c r="H13442" s="2" t="s">
        <v>53061</v>
      </c>
      <c r="I13442" s="2" t="s">
        <v>53062</v>
      </c>
      <c r="K13442" s="2" t="s">
        <v>26300</v>
      </c>
      <c r="L13442" s="2" t="s">
        <v>208</v>
      </c>
      <c r="M13442" s="2">
        <v>33852.0</v>
      </c>
      <c r="N13442" s="2" t="s">
        <v>21</v>
      </c>
    </row>
    <row r="13443" ht="15.75" customHeight="1">
      <c r="A13443" s="2">
        <v>2020.0</v>
      </c>
      <c r="B13443" s="2" t="s">
        <v>53063</v>
      </c>
      <c r="C13443" s="2" t="s">
        <v>53064</v>
      </c>
      <c r="D13443" s="2" t="str">
        <f>"7754008245"</f>
        <v>7754008245</v>
      </c>
      <c r="E13443" s="2" t="s">
        <v>465</v>
      </c>
      <c r="F13443" s="2" t="s">
        <v>1001</v>
      </c>
      <c r="G13443" s="2" t="str">
        <f>"SR-18959"</f>
        <v>SR-18959</v>
      </c>
      <c r="H13443" s="2" t="s">
        <v>53065</v>
      </c>
      <c r="I13443" s="2" t="s">
        <v>53066</v>
      </c>
      <c r="K13443" s="2" t="s">
        <v>43930</v>
      </c>
      <c r="L13443" s="2" t="s">
        <v>1419</v>
      </c>
      <c r="M13443" s="2">
        <v>89521.0</v>
      </c>
      <c r="N13443" s="2" t="s">
        <v>21</v>
      </c>
    </row>
    <row r="13444" ht="15.75" customHeight="1">
      <c r="A13444" s="2">
        <v>2020.0</v>
      </c>
      <c r="B13444" s="2" t="s">
        <v>53067</v>
      </c>
      <c r="C13444" s="2" t="s">
        <v>53067</v>
      </c>
      <c r="D13444" s="2" t="str">
        <f>"815-395-1017"</f>
        <v>815-395-1017</v>
      </c>
      <c r="E13444" s="2" t="s">
        <v>1324</v>
      </c>
      <c r="F13444" s="2" t="s">
        <v>53068</v>
      </c>
      <c r="G13444" s="2" t="str">
        <f>"SR-18974"</f>
        <v>SR-18974</v>
      </c>
      <c r="H13444" s="2" t="s">
        <v>53069</v>
      </c>
      <c r="I13444" s="2" t="s">
        <v>53070</v>
      </c>
      <c r="K13444" s="2" t="s">
        <v>382</v>
      </c>
      <c r="L13444" s="2" t="s">
        <v>105</v>
      </c>
      <c r="M13444" s="2">
        <v>61107.0</v>
      </c>
      <c r="N13444" s="2" t="s">
        <v>21</v>
      </c>
    </row>
    <row r="13445" ht="15.75" customHeight="1">
      <c r="A13445" s="2">
        <v>2020.0</v>
      </c>
      <c r="B13445" s="2" t="s">
        <v>40208</v>
      </c>
      <c r="C13445" s="2" t="s">
        <v>53071</v>
      </c>
      <c r="D13445" s="2" t="str">
        <f>"9108655192"</f>
        <v>9108655192</v>
      </c>
      <c r="E13445" s="2" t="s">
        <v>2752</v>
      </c>
      <c r="F13445" s="2" t="s">
        <v>53072</v>
      </c>
      <c r="G13445" s="2" t="str">
        <f>"SR-18975"</f>
        <v>SR-18975</v>
      </c>
      <c r="H13445" s="2" t="s">
        <v>53073</v>
      </c>
      <c r="I13445" s="2" t="s">
        <v>40212</v>
      </c>
      <c r="K13445" s="2" t="s">
        <v>53074</v>
      </c>
      <c r="L13445" s="2" t="s">
        <v>20</v>
      </c>
      <c r="M13445" s="2">
        <v>28384.0</v>
      </c>
      <c r="N13445" s="2" t="s">
        <v>21</v>
      </c>
    </row>
    <row r="13446" ht="15.75" customHeight="1">
      <c r="A13446" s="2">
        <v>2020.0</v>
      </c>
      <c r="B13446" s="2" t="s">
        <v>7341</v>
      </c>
      <c r="C13446" s="2" t="s">
        <v>53075</v>
      </c>
      <c r="D13446" s="2" t="str">
        <f>"5172602112"</f>
        <v>5172602112</v>
      </c>
      <c r="E13446" s="2" t="s">
        <v>7892</v>
      </c>
      <c r="F13446" s="2" t="s">
        <v>7343</v>
      </c>
      <c r="G13446" s="2" t="str">
        <f>"SR-18962"</f>
        <v>SR-18962</v>
      </c>
      <c r="H13446" s="2" t="s">
        <v>53076</v>
      </c>
      <c r="I13446" s="2" t="s">
        <v>53077</v>
      </c>
      <c r="K13446" s="2" t="s">
        <v>47</v>
      </c>
      <c r="L13446" s="2" t="s">
        <v>29</v>
      </c>
      <c r="M13446" s="2">
        <v>49221.0</v>
      </c>
      <c r="N13446" s="2" t="s">
        <v>21</v>
      </c>
    </row>
    <row r="13447" ht="15.75" customHeight="1">
      <c r="A13447" s="2">
        <v>2020.0</v>
      </c>
      <c r="B13447" s="2" t="s">
        <v>53078</v>
      </c>
      <c r="C13447" s="2" t="s">
        <v>53078</v>
      </c>
      <c r="D13447" s="2" t="str">
        <f>"262-288-0138"</f>
        <v>262-288-0138</v>
      </c>
      <c r="E13447" s="2" t="s">
        <v>137</v>
      </c>
      <c r="F13447" s="2" t="s">
        <v>53079</v>
      </c>
      <c r="G13447" s="2" t="str">
        <f>"SR-18979"</f>
        <v>SR-18979</v>
      </c>
      <c r="H13447" s="2" t="s">
        <v>53080</v>
      </c>
      <c r="I13447" s="2" t="s">
        <v>53081</v>
      </c>
      <c r="K13447" s="2" t="s">
        <v>2596</v>
      </c>
      <c r="L13447" s="2" t="s">
        <v>193</v>
      </c>
      <c r="M13447" s="2">
        <v>53140.0</v>
      </c>
      <c r="N13447" s="2" t="s">
        <v>21</v>
      </c>
    </row>
    <row r="13448" ht="15.75" customHeight="1">
      <c r="A13448" s="2">
        <v>2020.0</v>
      </c>
      <c r="B13448" s="2" t="s">
        <v>53082</v>
      </c>
      <c r="C13448" s="2" t="s">
        <v>53083</v>
      </c>
      <c r="D13448" s="2" t="str">
        <f>"7033043849"</f>
        <v>7033043849</v>
      </c>
      <c r="E13448" s="2" t="s">
        <v>843</v>
      </c>
      <c r="F13448" s="2" t="s">
        <v>53084</v>
      </c>
      <c r="G13448" s="2" t="str">
        <f>"SR-18981"</f>
        <v>SR-18981</v>
      </c>
      <c r="H13448" s="2" t="s">
        <v>53085</v>
      </c>
      <c r="I13448" s="2" t="s">
        <v>53086</v>
      </c>
      <c r="K13448" s="2" t="s">
        <v>53087</v>
      </c>
      <c r="L13448" s="2" t="s">
        <v>165</v>
      </c>
      <c r="M13448" s="2">
        <v>20171.0</v>
      </c>
      <c r="N13448" s="2" t="s">
        <v>21</v>
      </c>
    </row>
    <row r="13449" ht="15.75" customHeight="1">
      <c r="A13449" s="2">
        <v>2020.0</v>
      </c>
      <c r="B13449" s="2" t="s">
        <v>53088</v>
      </c>
      <c r="C13449" s="2" t="s">
        <v>53088</v>
      </c>
      <c r="D13449" s="2" t="str">
        <f>"404-955-4285"</f>
        <v>404-955-4285</v>
      </c>
      <c r="E13449" s="2" t="s">
        <v>11436</v>
      </c>
      <c r="F13449" s="2" t="s">
        <v>53089</v>
      </c>
      <c r="G13449" s="2" t="str">
        <f>"SR-18982"</f>
        <v>SR-18982</v>
      </c>
      <c r="H13449" s="2" t="s">
        <v>53090</v>
      </c>
      <c r="I13449" s="2" t="s">
        <v>53091</v>
      </c>
      <c r="K13449" s="2" t="s">
        <v>10683</v>
      </c>
      <c r="L13449" s="2" t="s">
        <v>200</v>
      </c>
      <c r="M13449" s="2">
        <v>30327.0</v>
      </c>
      <c r="N13449" s="2" t="s">
        <v>21</v>
      </c>
    </row>
    <row r="13450" ht="15.75" customHeight="1">
      <c r="A13450" s="2">
        <v>2020.0</v>
      </c>
      <c r="B13450" s="2" t="s">
        <v>53092</v>
      </c>
      <c r="C13450" s="2" t="s">
        <v>53092</v>
      </c>
      <c r="D13450" s="2" t="str">
        <f>"6016246268"</f>
        <v>6016246268</v>
      </c>
      <c r="E13450" s="2" t="s">
        <v>1263</v>
      </c>
      <c r="F13450" s="2" t="s">
        <v>53093</v>
      </c>
      <c r="G13450" s="2" t="str">
        <f>"SR-18983"</f>
        <v>SR-18983</v>
      </c>
      <c r="H13450" s="2" t="s">
        <v>53094</v>
      </c>
      <c r="I13450" s="2" t="s">
        <v>53095</v>
      </c>
      <c r="K13450" s="2" t="s">
        <v>731</v>
      </c>
      <c r="L13450" s="2" t="s">
        <v>279</v>
      </c>
      <c r="M13450" s="2">
        <v>37215.0</v>
      </c>
      <c r="N13450" s="2" t="s">
        <v>21</v>
      </c>
    </row>
    <row r="13451" ht="15.75" customHeight="1">
      <c r="A13451" s="2">
        <v>2020.0</v>
      </c>
      <c r="B13451" s="2" t="s">
        <v>53096</v>
      </c>
      <c r="C13451" s="2" t="s">
        <v>53097</v>
      </c>
      <c r="D13451" s="2" t="str">
        <f>"16159701745"</f>
        <v>16159701745</v>
      </c>
      <c r="E13451" s="2" t="s">
        <v>3668</v>
      </c>
      <c r="F13451" s="2" t="s">
        <v>53098</v>
      </c>
      <c r="G13451" s="2" t="str">
        <f>"SR-12097"</f>
        <v>SR-12097</v>
      </c>
      <c r="H13451" s="2" t="s">
        <v>53099</v>
      </c>
      <c r="I13451" s="2" t="s">
        <v>53100</v>
      </c>
      <c r="K13451" s="2" t="s">
        <v>9868</v>
      </c>
      <c r="L13451" s="2" t="s">
        <v>279</v>
      </c>
      <c r="M13451" s="2">
        <v>37027.0</v>
      </c>
      <c r="N13451" s="2" t="s">
        <v>21</v>
      </c>
    </row>
    <row r="13452" ht="15.75" customHeight="1">
      <c r="A13452" s="2">
        <v>2020.0</v>
      </c>
      <c r="B13452" s="2" t="s">
        <v>53101</v>
      </c>
      <c r="C13452" s="2" t="s">
        <v>53102</v>
      </c>
      <c r="D13452" s="2" t="str">
        <f>"4058500953"</f>
        <v>4058500953</v>
      </c>
      <c r="E13452" s="2" t="s">
        <v>46929</v>
      </c>
      <c r="F13452" s="2" t="s">
        <v>53103</v>
      </c>
      <c r="G13452" s="2" t="str">
        <f>"SR-18993"</f>
        <v>SR-18993</v>
      </c>
      <c r="H13452" s="2" t="s">
        <v>53104</v>
      </c>
      <c r="I13452" s="2" t="s">
        <v>53105</v>
      </c>
      <c r="K13452" s="2" t="s">
        <v>20686</v>
      </c>
      <c r="L13452" s="2" t="s">
        <v>840</v>
      </c>
      <c r="M13452" s="2">
        <v>73064.0</v>
      </c>
      <c r="N13452" s="2" t="s">
        <v>21</v>
      </c>
    </row>
    <row r="13453" ht="15.75" customHeight="1">
      <c r="A13453" s="2">
        <v>2020.0</v>
      </c>
      <c r="B13453" s="2" t="s">
        <v>53106</v>
      </c>
      <c r="C13453" s="2" t="s">
        <v>53107</v>
      </c>
      <c r="D13453" s="2" t="str">
        <f>"919-884-8829"</f>
        <v>919-884-8829</v>
      </c>
      <c r="E13453" s="2" t="s">
        <v>915</v>
      </c>
      <c r="F13453" s="2" t="s">
        <v>14140</v>
      </c>
      <c r="G13453" s="2" t="str">
        <f>"SR-19003"</f>
        <v>SR-19003</v>
      </c>
      <c r="H13453" s="2" t="s">
        <v>53108</v>
      </c>
      <c r="I13453" s="2" t="s">
        <v>53109</v>
      </c>
      <c r="K13453" s="2" t="s">
        <v>1285</v>
      </c>
      <c r="L13453" s="2" t="s">
        <v>20</v>
      </c>
      <c r="M13453" s="2">
        <v>27278.0</v>
      </c>
      <c r="N13453" s="2" t="s">
        <v>21</v>
      </c>
    </row>
    <row r="13454" ht="15.75" customHeight="1">
      <c r="A13454" s="2">
        <v>2020.0</v>
      </c>
      <c r="B13454" s="2" t="s">
        <v>53110</v>
      </c>
      <c r="C13454" s="2" t="s">
        <v>53110</v>
      </c>
      <c r="D13454" s="2" t="str">
        <f>"9197248916"</f>
        <v>9197248916</v>
      </c>
      <c r="E13454" s="2" t="s">
        <v>72</v>
      </c>
      <c r="F13454" s="2" t="s">
        <v>53111</v>
      </c>
      <c r="G13454" s="2" t="str">
        <f>"SR-19000"</f>
        <v>SR-19000</v>
      </c>
      <c r="H13454" s="2" t="s">
        <v>53112</v>
      </c>
      <c r="I13454" s="2" t="s">
        <v>53113</v>
      </c>
      <c r="K13454" s="2" t="s">
        <v>53114</v>
      </c>
      <c r="L13454" s="2" t="s">
        <v>20</v>
      </c>
      <c r="M13454" s="2">
        <v>27572.0</v>
      </c>
      <c r="N13454" s="2" t="s">
        <v>21</v>
      </c>
    </row>
    <row r="13455" ht="15.75" customHeight="1">
      <c r="A13455" s="2">
        <v>2020.0</v>
      </c>
      <c r="B13455" s="2" t="s">
        <v>53022</v>
      </c>
      <c r="D13455" s="2" t="str">
        <f>""</f>
        <v/>
      </c>
      <c r="E13455" s="2" t="s">
        <v>1263</v>
      </c>
      <c r="F13455" s="2" t="s">
        <v>31210</v>
      </c>
      <c r="G13455" s="2" t="str">
        <f>"SR-18955"</f>
        <v>SR-18955</v>
      </c>
      <c r="H13455" s="2" t="s">
        <v>53115</v>
      </c>
    </row>
    <row r="13456" ht="15.75" customHeight="1">
      <c r="A13456" s="2">
        <v>2020.0</v>
      </c>
      <c r="B13456" s="2" t="s">
        <v>53116</v>
      </c>
      <c r="C13456" s="2" t="s">
        <v>53117</v>
      </c>
      <c r="D13456" s="2" t="str">
        <f>"5635089718"</f>
        <v>5635089718</v>
      </c>
      <c r="E13456" s="2" t="s">
        <v>385</v>
      </c>
      <c r="F13456" s="2" t="s">
        <v>53118</v>
      </c>
      <c r="G13456" s="2" t="str">
        <f>"SR-19009"</f>
        <v>SR-19009</v>
      </c>
      <c r="H13456" s="2" t="s">
        <v>53119</v>
      </c>
      <c r="I13456" s="2" t="s">
        <v>53120</v>
      </c>
      <c r="K13456" s="2" t="s">
        <v>6039</v>
      </c>
      <c r="L13456" s="2" t="s">
        <v>560</v>
      </c>
      <c r="M13456" s="2">
        <v>52722.0</v>
      </c>
      <c r="N13456" s="2" t="s">
        <v>21</v>
      </c>
    </row>
    <row r="13457" ht="15.75" customHeight="1">
      <c r="A13457" s="2">
        <v>2020.0</v>
      </c>
      <c r="B13457" s="2" t="s">
        <v>53121</v>
      </c>
      <c r="C13457" s="2" t="s">
        <v>53121</v>
      </c>
      <c r="D13457" s="2" t="str">
        <f>"3378420814"</f>
        <v>3378420814</v>
      </c>
      <c r="E13457" s="2" t="s">
        <v>53122</v>
      </c>
      <c r="F13457" s="2" t="s">
        <v>1718</v>
      </c>
      <c r="G13457" s="2" t="str">
        <f>"SR-19010"</f>
        <v>SR-19010</v>
      </c>
      <c r="H13457" s="2" t="s">
        <v>53123</v>
      </c>
      <c r="I13457" s="2" t="s">
        <v>26396</v>
      </c>
      <c r="K13457" s="2" t="s">
        <v>26397</v>
      </c>
      <c r="L13457" s="2" t="s">
        <v>715</v>
      </c>
      <c r="M13457" s="2">
        <v>70654.0</v>
      </c>
      <c r="N13457" s="2" t="s">
        <v>21</v>
      </c>
    </row>
    <row r="13458" ht="15.75" customHeight="1">
      <c r="A13458" s="2">
        <v>2020.0</v>
      </c>
      <c r="B13458" s="2" t="s">
        <v>53124</v>
      </c>
      <c r="C13458" s="2" t="s">
        <v>53124</v>
      </c>
      <c r="D13458" s="2" t="str">
        <f>"7192352881"</f>
        <v>7192352881</v>
      </c>
      <c r="E13458" s="2" t="s">
        <v>53125</v>
      </c>
      <c r="F13458" s="2" t="s">
        <v>39735</v>
      </c>
      <c r="G13458" s="2" t="str">
        <f>"SR-19011"</f>
        <v>SR-19011</v>
      </c>
      <c r="H13458" s="2" t="s">
        <v>53126</v>
      </c>
      <c r="I13458" s="2" t="s">
        <v>53127</v>
      </c>
      <c r="K13458" s="2" t="s">
        <v>809</v>
      </c>
      <c r="L13458" s="2" t="s">
        <v>157</v>
      </c>
      <c r="M13458" s="2">
        <v>80919.0</v>
      </c>
      <c r="N13458" s="2" t="s">
        <v>21</v>
      </c>
    </row>
    <row r="13459" ht="15.75" customHeight="1">
      <c r="A13459" s="2">
        <v>2020.0</v>
      </c>
      <c r="B13459" s="2" t="s">
        <v>53128</v>
      </c>
      <c r="C13459" s="2" t="s">
        <v>53128</v>
      </c>
      <c r="D13459" s="2" t="str">
        <f>"(337)-349-1398"</f>
        <v>(337)-349-1398</v>
      </c>
      <c r="E13459" s="2" t="s">
        <v>37022</v>
      </c>
      <c r="F13459" s="2" t="s">
        <v>37798</v>
      </c>
      <c r="G13459" s="2" t="str">
        <f>"SR-19014"</f>
        <v>SR-19014</v>
      </c>
      <c r="H13459" s="2" t="s">
        <v>53129</v>
      </c>
      <c r="I13459" s="2" t="s">
        <v>40223</v>
      </c>
      <c r="K13459" s="2" t="s">
        <v>3037</v>
      </c>
      <c r="L13459" s="2" t="s">
        <v>715</v>
      </c>
      <c r="M13459" s="2">
        <v>70644.0</v>
      </c>
      <c r="N13459" s="2" t="s">
        <v>21</v>
      </c>
    </row>
    <row r="13460" ht="15.75" customHeight="1">
      <c r="A13460" s="2">
        <v>2020.0</v>
      </c>
      <c r="B13460" s="2" t="s">
        <v>53130</v>
      </c>
      <c r="D13460" s="2" t="str">
        <f>""</f>
        <v/>
      </c>
      <c r="E13460" s="2" t="s">
        <v>22628</v>
      </c>
      <c r="F13460" s="2" t="s">
        <v>39902</v>
      </c>
      <c r="G13460" s="2" t="str">
        <f>"SR-19021"</f>
        <v>SR-19021</v>
      </c>
      <c r="H13460" s="2" t="s">
        <v>53131</v>
      </c>
      <c r="N13460" s="2" t="s">
        <v>21</v>
      </c>
    </row>
    <row r="13461" ht="15.75" customHeight="1">
      <c r="A13461" s="2">
        <v>2020.0</v>
      </c>
      <c r="B13461" s="2" t="s">
        <v>53132</v>
      </c>
      <c r="C13461" s="2" t="s">
        <v>53132</v>
      </c>
      <c r="D13461" s="2" t="str">
        <f>"4702080132"</f>
        <v>4702080132</v>
      </c>
      <c r="E13461" s="2" t="s">
        <v>160</v>
      </c>
      <c r="F13461" s="2" t="s">
        <v>53133</v>
      </c>
      <c r="G13461" s="2" t="str">
        <f>"SR-19022"</f>
        <v>SR-19022</v>
      </c>
      <c r="H13461" s="2" t="s">
        <v>53134</v>
      </c>
      <c r="I13461" s="2" t="s">
        <v>53135</v>
      </c>
      <c r="K13461" s="2" t="s">
        <v>29899</v>
      </c>
      <c r="L13461" s="2" t="s">
        <v>200</v>
      </c>
      <c r="M13461" s="2">
        <v>30024.0</v>
      </c>
      <c r="N13461" s="2" t="s">
        <v>21</v>
      </c>
    </row>
    <row r="13462" ht="15.75" customHeight="1">
      <c r="A13462" s="2">
        <v>2020.0</v>
      </c>
      <c r="B13462" s="2" t="s">
        <v>53136</v>
      </c>
      <c r="C13462" s="2" t="s">
        <v>53136</v>
      </c>
      <c r="D13462" s="2" t="str">
        <f>"(970) 210-7417"</f>
        <v>(970) 210-7417</v>
      </c>
      <c r="E13462" s="2" t="s">
        <v>1810</v>
      </c>
      <c r="F13462" s="2" t="s">
        <v>26248</v>
      </c>
      <c r="G13462" s="2" t="str">
        <f>"SR-19019"</f>
        <v>SR-19019</v>
      </c>
      <c r="H13462" s="2" t="s">
        <v>53137</v>
      </c>
      <c r="I13462" s="2" t="s">
        <v>27597</v>
      </c>
      <c r="K13462" s="2" t="s">
        <v>8681</v>
      </c>
      <c r="L13462" s="2" t="s">
        <v>157</v>
      </c>
      <c r="M13462" s="2">
        <v>81418.0</v>
      </c>
      <c r="N13462" s="2" t="s">
        <v>21</v>
      </c>
    </row>
    <row r="13463" ht="15.75" customHeight="1">
      <c r="A13463" s="2">
        <v>2020.0</v>
      </c>
      <c r="B13463" s="2" t="s">
        <v>53138</v>
      </c>
      <c r="C13463" s="2" t="s">
        <v>53138</v>
      </c>
      <c r="D13463" s="2" t="str">
        <f>"4702080132"</f>
        <v>4702080132</v>
      </c>
      <c r="E13463" s="2" t="s">
        <v>2126</v>
      </c>
      <c r="F13463" s="2" t="s">
        <v>53133</v>
      </c>
      <c r="G13463" s="2" t="str">
        <f>"SR-19023"</f>
        <v>SR-19023</v>
      </c>
      <c r="H13463" s="2" t="s">
        <v>53139</v>
      </c>
      <c r="I13463" s="2" t="s">
        <v>53135</v>
      </c>
      <c r="K13463" s="2" t="s">
        <v>29899</v>
      </c>
      <c r="L13463" s="2" t="s">
        <v>200</v>
      </c>
      <c r="M13463" s="2">
        <v>30024.0</v>
      </c>
      <c r="N13463" s="2" t="s">
        <v>21</v>
      </c>
    </row>
    <row r="13464" ht="15.75" customHeight="1">
      <c r="A13464" s="2">
        <v>2020.0</v>
      </c>
      <c r="B13464" s="2" t="s">
        <v>53140</v>
      </c>
      <c r="C13464" s="2" t="s">
        <v>53140</v>
      </c>
      <c r="D13464" s="2" t="str">
        <f>"702 609 3970"</f>
        <v>702 609 3970</v>
      </c>
      <c r="E13464" s="2" t="s">
        <v>225</v>
      </c>
      <c r="F13464" s="2" t="s">
        <v>645</v>
      </c>
      <c r="G13464" s="2" t="str">
        <f>"SR-19024"</f>
        <v>SR-19024</v>
      </c>
      <c r="H13464" s="2" t="s">
        <v>53141</v>
      </c>
      <c r="I13464" s="2" t="s">
        <v>53142</v>
      </c>
      <c r="K13464" s="2" t="s">
        <v>53143</v>
      </c>
      <c r="L13464" s="2" t="s">
        <v>55</v>
      </c>
      <c r="M13464" s="2">
        <v>29466.0</v>
      </c>
      <c r="N13464" s="2" t="s">
        <v>21</v>
      </c>
    </row>
    <row r="13465" ht="15.75" customHeight="1">
      <c r="A13465" s="2">
        <v>2020.0</v>
      </c>
      <c r="B13465" s="2" t="s">
        <v>53144</v>
      </c>
      <c r="C13465" s="2" t="s">
        <v>53144</v>
      </c>
      <c r="D13465" s="2" t="str">
        <f>"616-550-1009"</f>
        <v>616-550-1009</v>
      </c>
      <c r="E13465" s="2" t="s">
        <v>282</v>
      </c>
      <c r="F13465" s="2" t="s">
        <v>53145</v>
      </c>
      <c r="G13465" s="2" t="str">
        <f>"SR-19030"</f>
        <v>SR-19030</v>
      </c>
      <c r="H13465" s="2" t="s">
        <v>53146</v>
      </c>
      <c r="I13465" s="2" t="s">
        <v>53147</v>
      </c>
      <c r="K13465" s="2" t="s">
        <v>49454</v>
      </c>
      <c r="L13465" s="2" t="s">
        <v>29</v>
      </c>
      <c r="M13465" s="2">
        <v>49417.0</v>
      </c>
      <c r="N13465" s="2" t="s">
        <v>21</v>
      </c>
    </row>
    <row r="13466" ht="15.75" customHeight="1">
      <c r="A13466" s="2">
        <v>2020.0</v>
      </c>
      <c r="B13466" s="2" t="s">
        <v>53148</v>
      </c>
      <c r="C13466" s="2" t="s">
        <v>53148</v>
      </c>
      <c r="D13466" s="2" t="str">
        <f>"3525685040"</f>
        <v>3525685040</v>
      </c>
      <c r="E13466" s="2" t="s">
        <v>16852</v>
      </c>
      <c r="F13466" s="2" t="s">
        <v>22883</v>
      </c>
      <c r="G13466" s="2" t="str">
        <f>"SR-19013"</f>
        <v>SR-19013</v>
      </c>
      <c r="H13466" s="2" t="s">
        <v>53149</v>
      </c>
      <c r="I13466" s="2" t="s">
        <v>53150</v>
      </c>
      <c r="K13466" s="2" t="s">
        <v>24227</v>
      </c>
      <c r="L13466" s="2" t="s">
        <v>208</v>
      </c>
      <c r="M13466" s="2">
        <v>34484.0</v>
      </c>
      <c r="N13466" s="2" t="s">
        <v>21</v>
      </c>
    </row>
    <row r="13467" ht="15.75" customHeight="1">
      <c r="A13467" s="2">
        <v>2020.0</v>
      </c>
      <c r="B13467" s="2" t="s">
        <v>1746</v>
      </c>
      <c r="C13467" s="2" t="s">
        <v>43680</v>
      </c>
      <c r="D13467" s="2" t="str">
        <f>"352-874-0965"</f>
        <v>352-874-0965</v>
      </c>
      <c r="E13467" s="2" t="s">
        <v>43681</v>
      </c>
      <c r="F13467" s="2" t="s">
        <v>984</v>
      </c>
      <c r="G13467" s="2" t="str">
        <f>"SR-15365"</f>
        <v>SR-15365</v>
      </c>
      <c r="H13467" s="2" t="s">
        <v>43682</v>
      </c>
      <c r="I13467" s="2" t="s">
        <v>43683</v>
      </c>
      <c r="K13467" s="2" t="s">
        <v>19345</v>
      </c>
      <c r="L13467" s="2" t="s">
        <v>208</v>
      </c>
      <c r="M13467" s="2">
        <v>34711.0</v>
      </c>
      <c r="N13467" s="2" t="s">
        <v>21</v>
      </c>
    </row>
    <row r="13468" ht="15.75" customHeight="1">
      <c r="A13468" s="2">
        <v>2020.0</v>
      </c>
      <c r="B13468" s="2" t="s">
        <v>53151</v>
      </c>
      <c r="C13468" s="2" t="s">
        <v>53152</v>
      </c>
      <c r="D13468" s="2" t="str">
        <f>"3373963668"</f>
        <v>3373963668</v>
      </c>
      <c r="E13468" s="2" t="s">
        <v>53153</v>
      </c>
      <c r="F13468" s="2" t="s">
        <v>4358</v>
      </c>
      <c r="G13468" s="2" t="str">
        <f>"SR-19027"</f>
        <v>SR-19027</v>
      </c>
      <c r="H13468" s="2" t="s">
        <v>53154</v>
      </c>
      <c r="I13468" s="2" t="s">
        <v>53155</v>
      </c>
      <c r="K13468" s="2" t="s">
        <v>35688</v>
      </c>
      <c r="L13468" s="2" t="s">
        <v>715</v>
      </c>
      <c r="M13468" s="2">
        <v>70662.0</v>
      </c>
      <c r="N13468" s="2" t="s">
        <v>21</v>
      </c>
    </row>
    <row r="13469" ht="15.75" customHeight="1">
      <c r="A13469" s="2">
        <v>2020.0</v>
      </c>
      <c r="B13469" s="2" t="s">
        <v>53156</v>
      </c>
      <c r="C13469" s="2" t="s">
        <v>53157</v>
      </c>
      <c r="D13469" s="2" t="str">
        <f>"9033126955"</f>
        <v>9033126955</v>
      </c>
      <c r="E13469" s="2" t="s">
        <v>3511</v>
      </c>
      <c r="F13469" s="2" t="s">
        <v>53158</v>
      </c>
      <c r="G13469" s="2" t="str">
        <f>"SR-19016"</f>
        <v>SR-19016</v>
      </c>
      <c r="H13469" s="2" t="s">
        <v>53159</v>
      </c>
      <c r="I13469" s="2" t="s">
        <v>53160</v>
      </c>
      <c r="K13469" s="2" t="s">
        <v>465</v>
      </c>
      <c r="L13469" s="2" t="s">
        <v>172</v>
      </c>
      <c r="M13469" s="2">
        <v>75703.0</v>
      </c>
      <c r="N13469" s="2" t="s">
        <v>21</v>
      </c>
    </row>
    <row r="13470" ht="15.75" customHeight="1">
      <c r="A13470" s="2">
        <v>2020.0</v>
      </c>
      <c r="B13470" s="2" t="s">
        <v>37814</v>
      </c>
      <c r="C13470" s="2" t="s">
        <v>53161</v>
      </c>
      <c r="D13470" s="2" t="str">
        <f>"9707590306"</f>
        <v>9707590306</v>
      </c>
      <c r="E13470" s="2" t="s">
        <v>2452</v>
      </c>
      <c r="F13470" s="2" t="s">
        <v>9115</v>
      </c>
      <c r="G13470" s="2" t="str">
        <f>"SR-18960"</f>
        <v>SR-18960</v>
      </c>
      <c r="H13470" s="2" t="s">
        <v>53162</v>
      </c>
      <c r="I13470" s="2" t="s">
        <v>53163</v>
      </c>
      <c r="K13470" s="2" t="s">
        <v>2527</v>
      </c>
      <c r="L13470" s="2" t="s">
        <v>157</v>
      </c>
      <c r="M13470" s="2">
        <v>80202.0</v>
      </c>
      <c r="N13470" s="2" t="s">
        <v>21</v>
      </c>
    </row>
    <row r="13471" ht="15.75" customHeight="1">
      <c r="A13471" s="2">
        <v>2020.0</v>
      </c>
      <c r="B13471" s="2" t="s">
        <v>53164</v>
      </c>
      <c r="C13471" s="2" t="s">
        <v>53165</v>
      </c>
      <c r="D13471" s="2" t="str">
        <f>"8658046066"</f>
        <v>8658046066</v>
      </c>
      <c r="E13471" s="2" t="s">
        <v>53166</v>
      </c>
      <c r="F13471" s="2" t="s">
        <v>50070</v>
      </c>
      <c r="G13471" s="2" t="str">
        <f>"SR-19034"</f>
        <v>SR-19034</v>
      </c>
      <c r="H13471" s="2" t="s">
        <v>53167</v>
      </c>
      <c r="I13471" s="2" t="s">
        <v>53168</v>
      </c>
      <c r="K13471" s="2" t="s">
        <v>5712</v>
      </c>
      <c r="L13471" s="2" t="s">
        <v>279</v>
      </c>
      <c r="M13471" s="2">
        <v>37725.0</v>
      </c>
      <c r="N13471" s="2" t="s">
        <v>21</v>
      </c>
    </row>
    <row r="13472" ht="15.75" customHeight="1">
      <c r="A13472" s="2">
        <v>2020.0</v>
      </c>
      <c r="B13472" s="2" t="s">
        <v>53169</v>
      </c>
      <c r="C13472" s="2" t="s">
        <v>53169</v>
      </c>
      <c r="D13472" s="2" t="str">
        <f>"814-258-2896"</f>
        <v>814-258-2896</v>
      </c>
      <c r="E13472" s="2" t="s">
        <v>40708</v>
      </c>
      <c r="F13472" s="2" t="s">
        <v>40709</v>
      </c>
      <c r="G13472" s="2" t="str">
        <f>"SR-19036"</f>
        <v>SR-19036</v>
      </c>
      <c r="H13472" s="2" t="s">
        <v>40710</v>
      </c>
      <c r="I13472" s="2" t="s">
        <v>40711</v>
      </c>
      <c r="K13472" s="2" t="s">
        <v>40712</v>
      </c>
      <c r="L13472" s="2" t="s">
        <v>179</v>
      </c>
      <c r="M13472" s="2">
        <v>18853.0</v>
      </c>
      <c r="N13472" s="2" t="s">
        <v>21</v>
      </c>
    </row>
    <row r="13473" ht="15.75" customHeight="1">
      <c r="A13473" s="2">
        <v>2020.0</v>
      </c>
      <c r="B13473" s="2" t="s">
        <v>53170</v>
      </c>
      <c r="C13473" s="2" t="s">
        <v>53170</v>
      </c>
      <c r="D13473" s="2" t="str">
        <f>"719-339-3378"</f>
        <v>719-339-3378</v>
      </c>
      <c r="E13473" s="2" t="s">
        <v>2572</v>
      </c>
      <c r="F13473" s="2" t="s">
        <v>53171</v>
      </c>
      <c r="G13473" s="2" t="str">
        <f>"SR-19025"</f>
        <v>SR-19025</v>
      </c>
      <c r="H13473" s="2" t="s">
        <v>53172</v>
      </c>
      <c r="I13473" s="2" t="s">
        <v>53173</v>
      </c>
      <c r="K13473" s="2" t="s">
        <v>809</v>
      </c>
      <c r="L13473" s="2" t="s">
        <v>157</v>
      </c>
      <c r="M13473" s="2">
        <v>80920.0</v>
      </c>
      <c r="N13473" s="2" t="s">
        <v>21</v>
      </c>
    </row>
    <row r="13474" ht="15.75" customHeight="1">
      <c r="A13474" s="2">
        <v>2020.0</v>
      </c>
      <c r="B13474" s="2" t="s">
        <v>53174</v>
      </c>
      <c r="C13474" s="2" t="s">
        <v>53174</v>
      </c>
      <c r="D13474" s="2" t="str">
        <f>"352-449-9540"</f>
        <v>352-449-9540</v>
      </c>
      <c r="E13474" s="2" t="s">
        <v>843</v>
      </c>
      <c r="F13474" s="2" t="s">
        <v>6779</v>
      </c>
      <c r="G13474" s="2" t="str">
        <f>"SR-19037"</f>
        <v>SR-19037</v>
      </c>
      <c r="H13474" s="2" t="s">
        <v>53175</v>
      </c>
      <c r="I13474" s="2" t="s">
        <v>53176</v>
      </c>
      <c r="K13474" s="2" t="s">
        <v>27518</v>
      </c>
      <c r="L13474" s="2" t="s">
        <v>208</v>
      </c>
      <c r="M13474" s="2">
        <v>34736.0</v>
      </c>
      <c r="N13474" s="2" t="s">
        <v>21</v>
      </c>
    </row>
    <row r="13475" ht="15.75" customHeight="1">
      <c r="A13475" s="2">
        <v>2020.0</v>
      </c>
      <c r="B13475" s="2" t="s">
        <v>26966</v>
      </c>
      <c r="C13475" s="2" t="s">
        <v>26967</v>
      </c>
      <c r="D13475" s="2" t="str">
        <f>"2183484056"</f>
        <v>2183484056</v>
      </c>
      <c r="E13475" s="2" t="s">
        <v>26968</v>
      </c>
      <c r="F13475" s="2" t="s">
        <v>26969</v>
      </c>
      <c r="G13475" s="2" t="str">
        <f>"SR-8388"</f>
        <v>SR-8388</v>
      </c>
      <c r="H13475" s="2" t="s">
        <v>26970</v>
      </c>
      <c r="I13475" s="2" t="s">
        <v>26971</v>
      </c>
      <c r="K13475" s="2" t="s">
        <v>26972</v>
      </c>
      <c r="L13475" s="2" t="s">
        <v>193</v>
      </c>
      <c r="M13475" s="2">
        <v>54873.0</v>
      </c>
      <c r="N13475" s="2" t="s">
        <v>21</v>
      </c>
    </row>
    <row r="13476" ht="15.75" customHeight="1">
      <c r="A13476" s="2">
        <v>2020.0</v>
      </c>
      <c r="B13476" s="2" t="s">
        <v>52617</v>
      </c>
      <c r="C13476" s="2" t="s">
        <v>53177</v>
      </c>
      <c r="D13476" s="2" t="str">
        <f>"757-708-3043"</f>
        <v>757-708-3043</v>
      </c>
      <c r="E13476" s="2" t="s">
        <v>718</v>
      </c>
      <c r="F13476" s="2" t="s">
        <v>962</v>
      </c>
      <c r="G13476" s="2" t="str">
        <f>"SR-18988"</f>
        <v>SR-18988</v>
      </c>
      <c r="H13476" s="2" t="s">
        <v>53178</v>
      </c>
      <c r="I13476" s="2" t="s">
        <v>52621</v>
      </c>
      <c r="K13476" s="2" t="s">
        <v>6988</v>
      </c>
      <c r="L13476" s="2" t="s">
        <v>165</v>
      </c>
      <c r="M13476" s="2">
        <v>23456.0</v>
      </c>
      <c r="N13476" s="2" t="s">
        <v>21</v>
      </c>
    </row>
    <row r="13477" ht="15.75" customHeight="1">
      <c r="A13477" s="2">
        <v>2020.0</v>
      </c>
      <c r="B13477" s="2" t="s">
        <v>53179</v>
      </c>
      <c r="C13477" s="2" t="s">
        <v>53180</v>
      </c>
      <c r="D13477" s="2" t="str">
        <f>"8592271302"</f>
        <v>8592271302</v>
      </c>
      <c r="E13477" s="2" t="s">
        <v>160</v>
      </c>
      <c r="F13477" s="2" t="s">
        <v>53181</v>
      </c>
      <c r="G13477" s="2" t="str">
        <f>"SR-18995"</f>
        <v>SR-18995</v>
      </c>
      <c r="H13477" s="2" t="s">
        <v>53182</v>
      </c>
      <c r="I13477" s="2" t="s">
        <v>53183</v>
      </c>
      <c r="K13477" s="2" t="s">
        <v>254</v>
      </c>
      <c r="L13477" s="2" t="s">
        <v>1236</v>
      </c>
      <c r="M13477" s="2">
        <v>40503.0</v>
      </c>
      <c r="N13477" s="2" t="s">
        <v>21</v>
      </c>
    </row>
    <row r="13478" ht="15.75" customHeight="1">
      <c r="A13478" s="2">
        <v>2020.0</v>
      </c>
      <c r="B13478" s="2" t="s">
        <v>53184</v>
      </c>
      <c r="C13478" s="2" t="s">
        <v>53185</v>
      </c>
      <c r="D13478" s="2" t="str">
        <f t="shared" ref="D13478:D13479" si="228">"7865432280"</f>
        <v>7865432280</v>
      </c>
      <c r="E13478" s="2" t="s">
        <v>16919</v>
      </c>
      <c r="F13478" s="2" t="s">
        <v>903</v>
      </c>
      <c r="G13478" s="2" t="str">
        <f>"SR-19047"</f>
        <v>SR-19047</v>
      </c>
      <c r="H13478" s="2" t="s">
        <v>53186</v>
      </c>
      <c r="I13478" s="2" t="s">
        <v>53187</v>
      </c>
      <c r="K13478" s="2" t="s">
        <v>2211</v>
      </c>
      <c r="L13478" s="2" t="s">
        <v>208</v>
      </c>
      <c r="M13478" s="2">
        <v>33156.0</v>
      </c>
      <c r="N13478" s="2" t="s">
        <v>21</v>
      </c>
    </row>
    <row r="13479" ht="15.75" customHeight="1">
      <c r="A13479" s="2">
        <v>2020.0</v>
      </c>
      <c r="B13479" s="2" t="s">
        <v>53184</v>
      </c>
      <c r="C13479" s="2" t="s">
        <v>53188</v>
      </c>
      <c r="D13479" s="2" t="str">
        <f t="shared" si="228"/>
        <v>7865432280</v>
      </c>
      <c r="E13479" s="2" t="s">
        <v>261</v>
      </c>
      <c r="F13479" s="2" t="s">
        <v>903</v>
      </c>
      <c r="G13479" s="2" t="str">
        <f>"SR-19048"</f>
        <v>SR-19048</v>
      </c>
      <c r="H13479" s="2" t="s">
        <v>53189</v>
      </c>
      <c r="I13479" s="2" t="s">
        <v>53187</v>
      </c>
      <c r="K13479" s="2" t="s">
        <v>2211</v>
      </c>
      <c r="L13479" s="2" t="s">
        <v>208</v>
      </c>
      <c r="M13479" s="2">
        <v>33156.0</v>
      </c>
      <c r="N13479" s="2" t="s">
        <v>21</v>
      </c>
    </row>
    <row r="13480" ht="15.75" customHeight="1">
      <c r="A13480" s="2">
        <v>2020.0</v>
      </c>
      <c r="B13480" s="2" t="s">
        <v>53190</v>
      </c>
      <c r="C13480" s="2" t="s">
        <v>53190</v>
      </c>
      <c r="D13480" s="2" t="str">
        <f>"7193303915"</f>
        <v>7193303915</v>
      </c>
      <c r="E13480" s="2" t="s">
        <v>52905</v>
      </c>
      <c r="F13480" s="2" t="s">
        <v>128</v>
      </c>
      <c r="G13480" s="2" t="str">
        <f>"SR-19052"</f>
        <v>SR-19052</v>
      </c>
      <c r="H13480" s="2" t="s">
        <v>53191</v>
      </c>
      <c r="I13480" s="2" t="s">
        <v>53192</v>
      </c>
      <c r="K13480" s="2" t="s">
        <v>809</v>
      </c>
      <c r="L13480" s="2" t="s">
        <v>157</v>
      </c>
      <c r="M13480" s="2">
        <v>80920.0</v>
      </c>
      <c r="N13480" s="2" t="s">
        <v>21</v>
      </c>
    </row>
    <row r="13481" ht="15.75" customHeight="1">
      <c r="A13481" s="2">
        <v>2020.0</v>
      </c>
      <c r="B13481" s="2" t="s">
        <v>53193</v>
      </c>
      <c r="C13481" s="2" t="s">
        <v>53194</v>
      </c>
      <c r="D13481" s="2" t="str">
        <f>"202-573-0607"</f>
        <v>202-573-0607</v>
      </c>
      <c r="E13481" s="2" t="s">
        <v>1434</v>
      </c>
      <c r="F13481" s="2" t="s">
        <v>53195</v>
      </c>
      <c r="G13481" s="2" t="str">
        <f>"SR-19057"</f>
        <v>SR-19057</v>
      </c>
      <c r="H13481" s="2" t="s">
        <v>53196</v>
      </c>
      <c r="I13481" s="2" t="s">
        <v>53197</v>
      </c>
      <c r="K13481" s="2" t="s">
        <v>12164</v>
      </c>
      <c r="L13481" s="2" t="s">
        <v>165</v>
      </c>
      <c r="M13481" s="2">
        <v>22408.0</v>
      </c>
      <c r="N13481" s="2" t="s">
        <v>21</v>
      </c>
    </row>
    <row r="13482" ht="15.75" customHeight="1">
      <c r="A13482" s="2">
        <v>2020.0</v>
      </c>
      <c r="B13482" s="2" t="s">
        <v>53198</v>
      </c>
      <c r="C13482" s="2" t="s">
        <v>53199</v>
      </c>
      <c r="D13482" s="2" t="str">
        <f>"9709750238"</f>
        <v>9709750238</v>
      </c>
      <c r="E13482" s="2" t="s">
        <v>47200</v>
      </c>
      <c r="F13482" s="2" t="s">
        <v>53200</v>
      </c>
      <c r="G13482" s="2" t="str">
        <f>"SR-19055"</f>
        <v>SR-19055</v>
      </c>
      <c r="H13482" s="2" t="s">
        <v>53201</v>
      </c>
      <c r="I13482" s="2" t="s">
        <v>53202</v>
      </c>
      <c r="K13482" s="2" t="s">
        <v>26496</v>
      </c>
      <c r="L13482" s="2" t="s">
        <v>157</v>
      </c>
      <c r="M13482" s="2">
        <v>81403.0</v>
      </c>
      <c r="N13482" s="2" t="s">
        <v>21</v>
      </c>
    </row>
    <row r="13483" ht="15.75" customHeight="1">
      <c r="A13483" s="2">
        <v>2020.0</v>
      </c>
      <c r="B13483" s="2" t="s">
        <v>53198</v>
      </c>
      <c r="C13483" s="2" t="s">
        <v>53203</v>
      </c>
      <c r="D13483" s="2" t="str">
        <f>"9709750270"</f>
        <v>9709750270</v>
      </c>
      <c r="E13483" s="2" t="s">
        <v>217</v>
      </c>
      <c r="F13483" s="2" t="s">
        <v>53200</v>
      </c>
      <c r="G13483" s="2" t="str">
        <f>"SR-19060"</f>
        <v>SR-19060</v>
      </c>
      <c r="H13483" s="2" t="s">
        <v>53204</v>
      </c>
      <c r="I13483" s="2" t="s">
        <v>53202</v>
      </c>
      <c r="K13483" s="2" t="s">
        <v>26496</v>
      </c>
      <c r="L13483" s="2" t="s">
        <v>157</v>
      </c>
      <c r="M13483" s="2">
        <v>81403.0</v>
      </c>
      <c r="N13483" s="2" t="s">
        <v>21</v>
      </c>
    </row>
    <row r="13484" ht="15.75" customHeight="1">
      <c r="A13484" s="2">
        <v>2020.0</v>
      </c>
      <c r="B13484" s="2" t="s">
        <v>53205</v>
      </c>
      <c r="C13484" s="2" t="s">
        <v>53206</v>
      </c>
      <c r="D13484" s="2" t="str">
        <f>"5126956646"</f>
        <v>5126956646</v>
      </c>
      <c r="E13484" s="2" t="s">
        <v>2361</v>
      </c>
      <c r="F13484" s="2" t="s">
        <v>46316</v>
      </c>
      <c r="G13484" s="2" t="str">
        <f>"SR-19062"</f>
        <v>SR-19062</v>
      </c>
      <c r="H13484" s="2" t="s">
        <v>53207</v>
      </c>
      <c r="I13484" s="2" t="s">
        <v>46318</v>
      </c>
      <c r="K13484" s="2" t="s">
        <v>1255</v>
      </c>
      <c r="L13484" s="2" t="s">
        <v>172</v>
      </c>
      <c r="M13484" s="2">
        <v>75229.0</v>
      </c>
      <c r="N13484" s="2" t="s">
        <v>21</v>
      </c>
    </row>
    <row r="13485" ht="15.75" customHeight="1">
      <c r="A13485" s="2">
        <v>2020.0</v>
      </c>
      <c r="B13485" s="2" t="s">
        <v>53208</v>
      </c>
      <c r="C13485" s="2" t="s">
        <v>53208</v>
      </c>
      <c r="D13485" s="2" t="str">
        <f>"5015817514"</f>
        <v>5015817514</v>
      </c>
      <c r="E13485" s="2" t="s">
        <v>9975</v>
      </c>
      <c r="F13485" s="2" t="s">
        <v>25763</v>
      </c>
      <c r="G13485" s="2" t="str">
        <f>"SR-19063"</f>
        <v>SR-19063</v>
      </c>
      <c r="H13485" s="2" t="s">
        <v>53209</v>
      </c>
      <c r="I13485" s="2" t="s">
        <v>53210</v>
      </c>
      <c r="K13485" s="2" t="s">
        <v>24872</v>
      </c>
      <c r="L13485" s="2" t="s">
        <v>1012</v>
      </c>
      <c r="M13485" s="2">
        <v>72058.0</v>
      </c>
      <c r="N13485" s="2" t="s">
        <v>21</v>
      </c>
    </row>
    <row r="13486" ht="15.75" customHeight="1">
      <c r="A13486" s="2">
        <v>2020.0</v>
      </c>
      <c r="B13486" s="2" t="s">
        <v>51165</v>
      </c>
      <c r="C13486" s="2" t="s">
        <v>53211</v>
      </c>
      <c r="D13486" s="2" t="str">
        <f>"4179834342"</f>
        <v>4179834342</v>
      </c>
      <c r="E13486" s="2" t="s">
        <v>651</v>
      </c>
      <c r="F13486" s="2" t="s">
        <v>51167</v>
      </c>
      <c r="G13486" s="2" t="str">
        <f>"SR-19058"</f>
        <v>SR-19058</v>
      </c>
      <c r="H13486" s="2" t="s">
        <v>53212</v>
      </c>
      <c r="I13486" s="2" t="s">
        <v>51169</v>
      </c>
      <c r="K13486" s="2" t="s">
        <v>28412</v>
      </c>
      <c r="L13486" s="2" t="s">
        <v>214</v>
      </c>
      <c r="M13486" s="2">
        <v>64068.0</v>
      </c>
      <c r="N13486" s="2" t="s">
        <v>21</v>
      </c>
    </row>
    <row r="13487" ht="15.75" customHeight="1">
      <c r="A13487" s="2">
        <v>2020.0</v>
      </c>
      <c r="B13487" s="2" t="s">
        <v>53213</v>
      </c>
      <c r="C13487" s="2" t="s">
        <v>53214</v>
      </c>
      <c r="D13487" s="2" t="str">
        <f>"8594218809"</f>
        <v>8594218809</v>
      </c>
      <c r="E13487" s="2" t="s">
        <v>2250</v>
      </c>
      <c r="F13487" s="2" t="s">
        <v>53215</v>
      </c>
      <c r="G13487" s="2" t="str">
        <f>"SR-15356"</f>
        <v>SR-15356</v>
      </c>
      <c r="H13487" s="2" t="s">
        <v>53216</v>
      </c>
      <c r="I13487" s="2" t="s">
        <v>53217</v>
      </c>
      <c r="K13487" s="2" t="s">
        <v>39216</v>
      </c>
      <c r="L13487" s="2" t="s">
        <v>1236</v>
      </c>
      <c r="M13487" s="2">
        <v>40356.0</v>
      </c>
      <c r="N13487" s="2" t="s">
        <v>21</v>
      </c>
    </row>
    <row r="13488" ht="15.75" customHeight="1">
      <c r="A13488" s="2">
        <v>2020.0</v>
      </c>
      <c r="B13488" s="2" t="s">
        <v>53218</v>
      </c>
      <c r="C13488" s="2" t="s">
        <v>53218</v>
      </c>
      <c r="D13488" s="2" t="str">
        <f>"712-635-9803"</f>
        <v>712-635-9803</v>
      </c>
      <c r="E13488" s="2" t="s">
        <v>53219</v>
      </c>
      <c r="F13488" s="2" t="s">
        <v>53220</v>
      </c>
      <c r="G13488" s="2" t="str">
        <f>"SR-19065"</f>
        <v>SR-19065</v>
      </c>
      <c r="H13488" s="2" t="s">
        <v>53221</v>
      </c>
      <c r="I13488" s="2" t="s">
        <v>53222</v>
      </c>
      <c r="K13488" s="2" t="s">
        <v>5732</v>
      </c>
      <c r="L13488" s="2" t="s">
        <v>757</v>
      </c>
      <c r="M13488" s="2">
        <v>68745.0</v>
      </c>
      <c r="N13488" s="2" t="s">
        <v>21</v>
      </c>
    </row>
    <row r="13489" ht="15.75" customHeight="1">
      <c r="A13489" s="2">
        <v>2020.0</v>
      </c>
      <c r="B13489" s="2" t="s">
        <v>53223</v>
      </c>
      <c r="C13489" s="2" t="s">
        <v>53223</v>
      </c>
      <c r="D13489" s="2" t="str">
        <f>"7658088507"</f>
        <v>7658088507</v>
      </c>
      <c r="E13489" s="2" t="s">
        <v>824</v>
      </c>
      <c r="F13489" s="2" t="s">
        <v>3320</v>
      </c>
      <c r="G13489" s="2" t="str">
        <f>"SR-19067"</f>
        <v>SR-19067</v>
      </c>
      <c r="H13489" s="2" t="s">
        <v>53224</v>
      </c>
      <c r="I13489" s="2" t="s">
        <v>53225</v>
      </c>
      <c r="K13489" s="2" t="s">
        <v>16434</v>
      </c>
      <c r="L13489" s="2" t="s">
        <v>149</v>
      </c>
      <c r="M13489" s="2">
        <v>47304.0</v>
      </c>
      <c r="N13489" s="2" t="s">
        <v>21</v>
      </c>
    </row>
    <row r="13490" ht="15.75" customHeight="1">
      <c r="A13490" s="2">
        <v>2020.0</v>
      </c>
      <c r="B13490" s="2" t="s">
        <v>53226</v>
      </c>
      <c r="C13490" s="2" t="s">
        <v>53227</v>
      </c>
      <c r="D13490" s="2" t="str">
        <f>"316-516-5289"</f>
        <v>316-516-5289</v>
      </c>
      <c r="E13490" s="2" t="s">
        <v>1529</v>
      </c>
      <c r="F13490" s="2" t="s">
        <v>53228</v>
      </c>
      <c r="G13490" s="2" t="str">
        <f>"SR-19074"</f>
        <v>SR-19074</v>
      </c>
      <c r="H13490" s="2" t="s">
        <v>53229</v>
      </c>
      <c r="I13490" s="2" t="s">
        <v>53230</v>
      </c>
      <c r="K13490" s="2" t="s">
        <v>606</v>
      </c>
      <c r="L13490" s="2" t="s">
        <v>272</v>
      </c>
      <c r="M13490" s="2">
        <v>67215.0</v>
      </c>
      <c r="N13490" s="2" t="s">
        <v>21</v>
      </c>
    </row>
    <row r="13491" ht="15.75" customHeight="1">
      <c r="A13491" s="2">
        <v>2020.0</v>
      </c>
      <c r="B13491" s="2" t="s">
        <v>48779</v>
      </c>
      <c r="C13491" s="2" t="s">
        <v>48779</v>
      </c>
      <c r="D13491" s="2" t="str">
        <f>"5023966319"</f>
        <v>5023966319</v>
      </c>
      <c r="E13491" s="2" t="s">
        <v>638</v>
      </c>
      <c r="F13491" s="2" t="s">
        <v>9036</v>
      </c>
      <c r="G13491" s="2" t="str">
        <f>"SR-19078"</f>
        <v>SR-19078</v>
      </c>
      <c r="H13491" s="2" t="s">
        <v>48780</v>
      </c>
      <c r="I13491" s="2" t="s">
        <v>53231</v>
      </c>
      <c r="K13491" s="2" t="s">
        <v>5288</v>
      </c>
      <c r="L13491" s="2" t="s">
        <v>1236</v>
      </c>
      <c r="M13491" s="2">
        <v>40222.0</v>
      </c>
      <c r="N13491" s="2" t="s">
        <v>21</v>
      </c>
    </row>
    <row r="13492" ht="15.75" customHeight="1">
      <c r="A13492" s="2">
        <v>2020.0</v>
      </c>
      <c r="B13492" s="2" t="s">
        <v>53232</v>
      </c>
      <c r="C13492" s="2" t="s">
        <v>53232</v>
      </c>
      <c r="D13492" s="2" t="str">
        <f>"906 630-1099"</f>
        <v>906 630-1099</v>
      </c>
      <c r="E13492" s="2" t="s">
        <v>7145</v>
      </c>
      <c r="F13492" s="2" t="s">
        <v>562</v>
      </c>
      <c r="G13492" s="2" t="str">
        <f>"SR-19080"</f>
        <v>SR-19080</v>
      </c>
      <c r="H13492" s="2" t="s">
        <v>53233</v>
      </c>
      <c r="I13492" s="2" t="s">
        <v>53234</v>
      </c>
      <c r="K13492" s="2" t="s">
        <v>45345</v>
      </c>
      <c r="L13492" s="2" t="s">
        <v>29</v>
      </c>
      <c r="M13492" s="2">
        <v>49770.0</v>
      </c>
      <c r="N13492" s="2" t="s">
        <v>21</v>
      </c>
    </row>
    <row r="13493" ht="15.75" customHeight="1">
      <c r="A13493" s="2">
        <v>2020.0</v>
      </c>
      <c r="B13493" s="2" t="s">
        <v>53235</v>
      </c>
      <c r="C13493" s="2" t="s">
        <v>53236</v>
      </c>
      <c r="D13493" s="2" t="str">
        <f>"7814604452"</f>
        <v>7814604452</v>
      </c>
      <c r="E13493" s="2" t="s">
        <v>12135</v>
      </c>
      <c r="F13493" s="2" t="s">
        <v>48717</v>
      </c>
      <c r="G13493" s="2" t="str">
        <f>"SR-19082"</f>
        <v>SR-19082</v>
      </c>
      <c r="H13493" s="2" t="s">
        <v>53237</v>
      </c>
      <c r="I13493" s="2" t="s">
        <v>53238</v>
      </c>
      <c r="K13493" s="2" t="s">
        <v>6075</v>
      </c>
      <c r="L13493" s="2" t="s">
        <v>4108</v>
      </c>
      <c r="M13493" s="2">
        <v>1803.0</v>
      </c>
      <c r="N13493" s="2" t="s">
        <v>21</v>
      </c>
    </row>
    <row r="13494" ht="15.75" customHeight="1">
      <c r="A13494" s="2">
        <v>2020.0</v>
      </c>
      <c r="B13494" s="2" t="s">
        <v>53235</v>
      </c>
      <c r="C13494" s="2" t="s">
        <v>53239</v>
      </c>
      <c r="D13494" s="2" t="str">
        <f>"7812726984"</f>
        <v>7812726984</v>
      </c>
      <c r="E13494" s="2" t="s">
        <v>34097</v>
      </c>
      <c r="F13494" s="2" t="s">
        <v>48717</v>
      </c>
      <c r="G13494" s="2" t="str">
        <f>"SR-18998"</f>
        <v>SR-18998</v>
      </c>
      <c r="H13494" s="2" t="s">
        <v>53240</v>
      </c>
      <c r="I13494" s="2" t="s">
        <v>53241</v>
      </c>
      <c r="K13494" s="2" t="s">
        <v>6075</v>
      </c>
      <c r="L13494" s="2" t="s">
        <v>4108</v>
      </c>
      <c r="M13494" s="2">
        <v>1803.0</v>
      </c>
      <c r="N13494" s="2" t="s">
        <v>21</v>
      </c>
    </row>
    <row r="13495" ht="15.75" customHeight="1">
      <c r="A13495" s="2">
        <v>2020.0</v>
      </c>
      <c r="B13495" s="2" t="s">
        <v>53242</v>
      </c>
      <c r="C13495" s="2" t="s">
        <v>53243</v>
      </c>
      <c r="D13495" s="2" t="str">
        <f>"610-942-7644"</f>
        <v>610-942-7644</v>
      </c>
      <c r="E13495" s="2" t="s">
        <v>2188</v>
      </c>
      <c r="F13495" s="2" t="s">
        <v>53244</v>
      </c>
      <c r="G13495" s="2" t="str">
        <f>"SR-19075"</f>
        <v>SR-19075</v>
      </c>
      <c r="H13495" s="2" t="s">
        <v>53245</v>
      </c>
      <c r="I13495" s="2" t="s">
        <v>53246</v>
      </c>
      <c r="K13495" s="2" t="s">
        <v>53247</v>
      </c>
      <c r="L13495" s="2" t="s">
        <v>179</v>
      </c>
      <c r="M13495" s="2">
        <v>19344.0</v>
      </c>
      <c r="N13495" s="2" t="s">
        <v>21</v>
      </c>
    </row>
    <row r="13496" ht="15.75" customHeight="1">
      <c r="A13496" s="2">
        <v>2020.0</v>
      </c>
      <c r="B13496" s="2" t="s">
        <v>53248</v>
      </c>
      <c r="C13496" s="2" t="s">
        <v>53248</v>
      </c>
      <c r="D13496" s="2" t="str">
        <f>"8083544558"</f>
        <v>8083544558</v>
      </c>
      <c r="E13496" s="2" t="s">
        <v>1263</v>
      </c>
      <c r="F13496" s="2" t="s">
        <v>5632</v>
      </c>
      <c r="G13496" s="2" t="str">
        <f>"SR-19083"</f>
        <v>SR-19083</v>
      </c>
      <c r="H13496" s="2" t="s">
        <v>53249</v>
      </c>
      <c r="I13496" s="2" t="s">
        <v>53250</v>
      </c>
      <c r="K13496" s="2" t="s">
        <v>27306</v>
      </c>
      <c r="L13496" s="2" t="s">
        <v>200</v>
      </c>
      <c r="M13496" s="2">
        <v>31779.0</v>
      </c>
      <c r="N13496" s="2" t="s">
        <v>21</v>
      </c>
    </row>
    <row r="13497" ht="15.75" customHeight="1">
      <c r="A13497" s="2">
        <v>2020.0</v>
      </c>
      <c r="B13497" s="2" t="s">
        <v>42036</v>
      </c>
      <c r="C13497" s="2" t="s">
        <v>42036</v>
      </c>
      <c r="D13497" s="2" t="str">
        <f>"7194882598"</f>
        <v>7194882598</v>
      </c>
      <c r="E13497" s="2" t="s">
        <v>534</v>
      </c>
      <c r="F13497" s="2" t="s">
        <v>42038</v>
      </c>
      <c r="G13497" s="2" t="str">
        <f>"SR-18940"</f>
        <v>SR-18940</v>
      </c>
      <c r="H13497" s="2" t="s">
        <v>53251</v>
      </c>
      <c r="I13497" s="2" t="s">
        <v>42040</v>
      </c>
      <c r="K13497" s="2" t="s">
        <v>507</v>
      </c>
      <c r="L13497" s="2" t="s">
        <v>157</v>
      </c>
      <c r="M13497" s="2">
        <v>80132.0</v>
      </c>
      <c r="N13497" s="2" t="s">
        <v>21</v>
      </c>
    </row>
    <row r="13498" ht="15.75" customHeight="1">
      <c r="A13498" s="2">
        <v>2020.0</v>
      </c>
      <c r="B13498" s="2" t="s">
        <v>53252</v>
      </c>
      <c r="C13498" s="2" t="s">
        <v>53253</v>
      </c>
      <c r="D13498" s="2" t="str">
        <f>"8644235185"</f>
        <v>8644235185</v>
      </c>
      <c r="E13498" s="2" t="s">
        <v>11583</v>
      </c>
      <c r="F13498" s="2" t="s">
        <v>17429</v>
      </c>
      <c r="G13498" s="2" t="str">
        <f>"SR-19072"</f>
        <v>SR-19072</v>
      </c>
      <c r="H13498" s="2" t="s">
        <v>53254</v>
      </c>
      <c r="I13498" s="2" t="s">
        <v>53255</v>
      </c>
      <c r="K13498" s="2" t="s">
        <v>29754</v>
      </c>
      <c r="L13498" s="2" t="s">
        <v>55</v>
      </c>
      <c r="M13498" s="2">
        <v>29732.0</v>
      </c>
      <c r="N13498" s="2" t="s">
        <v>21</v>
      </c>
    </row>
    <row r="13499" ht="15.75" customHeight="1">
      <c r="A13499" s="2">
        <v>2020.0</v>
      </c>
      <c r="B13499" s="2" t="s">
        <v>53256</v>
      </c>
      <c r="C13499" s="2" t="s">
        <v>53256</v>
      </c>
      <c r="D13499" s="2" t="str">
        <f>"4234436745"</f>
        <v>4234436745</v>
      </c>
      <c r="E13499" s="2" t="s">
        <v>53257</v>
      </c>
      <c r="F13499" s="2" t="s">
        <v>53258</v>
      </c>
      <c r="G13499" s="2" t="str">
        <f>"SR-19109"</f>
        <v>SR-19109</v>
      </c>
      <c r="H13499" s="2" t="s">
        <v>53259</v>
      </c>
      <c r="I13499" s="2" t="s">
        <v>53260</v>
      </c>
      <c r="K13499" s="2" t="s">
        <v>14247</v>
      </c>
      <c r="L13499" s="2" t="s">
        <v>279</v>
      </c>
      <c r="M13499" s="2">
        <v>37363.0</v>
      </c>
      <c r="N13499" s="2" t="s">
        <v>21</v>
      </c>
    </row>
    <row r="13500" ht="15.75" customHeight="1">
      <c r="A13500" s="2">
        <v>2020.0</v>
      </c>
      <c r="B13500" s="2" t="s">
        <v>53261</v>
      </c>
      <c r="C13500" s="2" t="s">
        <v>53261</v>
      </c>
      <c r="D13500" s="2" t="str">
        <f>"3184910150"</f>
        <v>3184910150</v>
      </c>
      <c r="E13500" s="2" t="s">
        <v>9010</v>
      </c>
      <c r="F13500" s="2" t="s">
        <v>53262</v>
      </c>
      <c r="G13500" s="2" t="str">
        <f>"SR-19101"</f>
        <v>SR-19101</v>
      </c>
      <c r="H13500" s="2" t="s">
        <v>53263</v>
      </c>
      <c r="I13500" s="2" t="s">
        <v>53264</v>
      </c>
      <c r="K13500" s="2" t="s">
        <v>3037</v>
      </c>
      <c r="L13500" s="2" t="s">
        <v>715</v>
      </c>
      <c r="M13500" s="2">
        <v>70644.0</v>
      </c>
      <c r="N13500" s="2" t="s">
        <v>21</v>
      </c>
    </row>
    <row r="13501" ht="15.75" customHeight="1">
      <c r="A13501" s="2">
        <v>2020.0</v>
      </c>
      <c r="B13501" s="2" t="s">
        <v>53265</v>
      </c>
      <c r="C13501" s="2" t="s">
        <v>53265</v>
      </c>
      <c r="D13501" s="2" t="str">
        <f>"6128394489"</f>
        <v>6128394489</v>
      </c>
      <c r="E13501" s="2" t="s">
        <v>124</v>
      </c>
      <c r="F13501" s="2" t="s">
        <v>53266</v>
      </c>
      <c r="G13501" s="2" t="str">
        <f>"SR-19106"</f>
        <v>SR-19106</v>
      </c>
      <c r="H13501" s="2" t="s">
        <v>53267</v>
      </c>
      <c r="I13501" s="2" t="s">
        <v>53268</v>
      </c>
      <c r="K13501" s="2" t="s">
        <v>3747</v>
      </c>
      <c r="L13501" s="2" t="s">
        <v>62</v>
      </c>
      <c r="M13501" s="2">
        <v>55317.0</v>
      </c>
      <c r="N13501" s="2" t="s">
        <v>21</v>
      </c>
    </row>
    <row r="13502" ht="15.75" customHeight="1">
      <c r="A13502" s="2">
        <v>2020.0</v>
      </c>
      <c r="B13502" s="2" t="s">
        <v>53269</v>
      </c>
      <c r="C13502" s="2" t="s">
        <v>53269</v>
      </c>
      <c r="D13502" s="2" t="str">
        <f>"6154105732"</f>
        <v>6154105732</v>
      </c>
      <c r="E13502" s="2" t="s">
        <v>534</v>
      </c>
      <c r="F13502" s="2" t="s">
        <v>386</v>
      </c>
      <c r="G13502" s="2" t="str">
        <f>"SR-19110"</f>
        <v>SR-19110</v>
      </c>
      <c r="H13502" s="2" t="s">
        <v>53270</v>
      </c>
      <c r="I13502" s="2" t="s">
        <v>53271</v>
      </c>
      <c r="K13502" s="2" t="s">
        <v>2750</v>
      </c>
      <c r="L13502" s="2" t="s">
        <v>279</v>
      </c>
      <c r="M13502" s="2">
        <v>38401.0</v>
      </c>
      <c r="N13502" s="2" t="s">
        <v>21</v>
      </c>
    </row>
    <row r="13503" ht="15.75" customHeight="1">
      <c r="A13503" s="2">
        <v>2020.0</v>
      </c>
      <c r="B13503" s="2" t="s">
        <v>53272</v>
      </c>
      <c r="C13503" s="2" t="s">
        <v>53272</v>
      </c>
      <c r="D13503" s="2" t="str">
        <f>"(734) 262-4085"</f>
        <v>(734) 262-4085</v>
      </c>
      <c r="E13503" s="2" t="s">
        <v>137</v>
      </c>
      <c r="F13503" s="2" t="s">
        <v>53273</v>
      </c>
      <c r="G13503" s="2" t="str">
        <f>"SR-19104"</f>
        <v>SR-19104</v>
      </c>
      <c r="H13503" s="2" t="s">
        <v>53274</v>
      </c>
      <c r="I13503" s="2" t="s">
        <v>53275</v>
      </c>
      <c r="K13503" s="2" t="s">
        <v>14210</v>
      </c>
      <c r="L13503" s="2" t="s">
        <v>29</v>
      </c>
      <c r="M13503" s="2">
        <v>49198.0</v>
      </c>
      <c r="N13503" s="2" t="s">
        <v>21</v>
      </c>
    </row>
    <row r="13504" ht="15.75" customHeight="1">
      <c r="A13504" s="2">
        <v>2020.0</v>
      </c>
      <c r="B13504" s="2" t="s">
        <v>53276</v>
      </c>
      <c r="C13504" s="2" t="s">
        <v>53277</v>
      </c>
      <c r="D13504" s="2" t="str">
        <f>"2182609458"</f>
        <v>2182609458</v>
      </c>
      <c r="E13504" s="2" t="s">
        <v>1263</v>
      </c>
      <c r="F13504" s="2" t="s">
        <v>3028</v>
      </c>
      <c r="G13504" s="2" t="str">
        <f>"SR-19117"</f>
        <v>SR-19117</v>
      </c>
      <c r="H13504" s="2" t="s">
        <v>53278</v>
      </c>
      <c r="I13504" s="2" t="s">
        <v>53279</v>
      </c>
      <c r="K13504" s="2" t="s">
        <v>36880</v>
      </c>
      <c r="L13504" s="2" t="s">
        <v>62</v>
      </c>
      <c r="M13504" s="2">
        <v>55811.0</v>
      </c>
      <c r="N13504" s="2" t="s">
        <v>21</v>
      </c>
    </row>
    <row r="13505" ht="15.75" customHeight="1">
      <c r="A13505" s="2">
        <v>2020.0</v>
      </c>
      <c r="B13505" s="2" t="s">
        <v>7341</v>
      </c>
      <c r="C13505" s="2" t="s">
        <v>53280</v>
      </c>
      <c r="D13505" s="2" t="str">
        <f>"517-759-9569"</f>
        <v>517-759-9569</v>
      </c>
      <c r="E13505" s="2" t="s">
        <v>6202</v>
      </c>
      <c r="F13505" s="2" t="s">
        <v>7343</v>
      </c>
      <c r="G13505" s="2" t="str">
        <f>"SR-19119"</f>
        <v>SR-19119</v>
      </c>
      <c r="H13505" s="2" t="s">
        <v>53281</v>
      </c>
      <c r="I13505" s="2" t="s">
        <v>53077</v>
      </c>
      <c r="K13505" s="2" t="s">
        <v>47</v>
      </c>
      <c r="L13505" s="2" t="s">
        <v>29</v>
      </c>
      <c r="M13505" s="2">
        <v>49221.0</v>
      </c>
      <c r="N13505" s="2" t="s">
        <v>21</v>
      </c>
    </row>
    <row r="13506" ht="15.75" customHeight="1">
      <c r="A13506" s="2">
        <v>2020.0</v>
      </c>
      <c r="B13506" s="2" t="s">
        <v>53282</v>
      </c>
      <c r="C13506" s="2" t="s">
        <v>53282</v>
      </c>
      <c r="D13506" s="2" t="str">
        <f>"403 651 8782"</f>
        <v>403 651 8782</v>
      </c>
      <c r="E13506" s="2" t="s">
        <v>37022</v>
      </c>
      <c r="F13506" s="2" t="s">
        <v>12973</v>
      </c>
      <c r="G13506" s="2" t="str">
        <f>"SR-19007"</f>
        <v>SR-19007</v>
      </c>
      <c r="H13506" s="2" t="s">
        <v>53283</v>
      </c>
      <c r="I13506" s="2" t="s">
        <v>53284</v>
      </c>
      <c r="J13506" s="2" t="s">
        <v>53285</v>
      </c>
      <c r="K13506" s="2" t="s">
        <v>6725</v>
      </c>
      <c r="N13506" s="2" t="s">
        <v>1602</v>
      </c>
    </row>
    <row r="13507" ht="15.75" customHeight="1">
      <c r="A13507" s="2">
        <v>2020.0</v>
      </c>
      <c r="B13507" s="2" t="s">
        <v>53286</v>
      </c>
      <c r="C13507" s="2" t="s">
        <v>53287</v>
      </c>
      <c r="D13507" s="2" t="str">
        <f>"719-464-6263"</f>
        <v>719-464-6263</v>
      </c>
      <c r="E13507" s="2" t="s">
        <v>6792</v>
      </c>
      <c r="F13507" s="2" t="s">
        <v>2350</v>
      </c>
      <c r="G13507" s="2" t="str">
        <f>"SR-18893"</f>
        <v>SR-18893</v>
      </c>
      <c r="H13507" s="2" t="s">
        <v>53288</v>
      </c>
      <c r="I13507" s="2" t="s">
        <v>53289</v>
      </c>
      <c r="K13507" s="2" t="s">
        <v>809</v>
      </c>
      <c r="L13507" s="2" t="s">
        <v>157</v>
      </c>
      <c r="M13507" s="2">
        <v>80920.0</v>
      </c>
      <c r="N13507" s="2" t="s">
        <v>21</v>
      </c>
    </row>
    <row r="13508" ht="15.75" customHeight="1">
      <c r="A13508" s="2">
        <v>2020.0</v>
      </c>
      <c r="B13508" s="2" t="s">
        <v>53290</v>
      </c>
      <c r="C13508" s="2" t="s">
        <v>53290</v>
      </c>
      <c r="D13508" s="2" t="str">
        <f>"5202891340"</f>
        <v>5202891340</v>
      </c>
      <c r="E13508" s="2" t="s">
        <v>3750</v>
      </c>
      <c r="F13508" s="2" t="s">
        <v>8941</v>
      </c>
      <c r="G13508" s="2" t="str">
        <f>"SR-19131"</f>
        <v>SR-19131</v>
      </c>
      <c r="H13508" s="2" t="s">
        <v>53291</v>
      </c>
      <c r="I13508" s="2" t="s">
        <v>53292</v>
      </c>
      <c r="K13508" s="2" t="s">
        <v>5946</v>
      </c>
      <c r="L13508" s="2" t="s">
        <v>422</v>
      </c>
      <c r="M13508" s="2">
        <v>85739.0</v>
      </c>
      <c r="N13508" s="2" t="s">
        <v>21</v>
      </c>
    </row>
    <row r="13509" ht="15.75" customHeight="1">
      <c r="A13509" s="2">
        <v>2020.0</v>
      </c>
      <c r="B13509" s="2" t="s">
        <v>53293</v>
      </c>
      <c r="C13509" s="2" t="s">
        <v>53294</v>
      </c>
      <c r="D13509" s="2" t="str">
        <f>"6158784002"</f>
        <v>6158784002</v>
      </c>
      <c r="E13509" s="2" t="s">
        <v>2439</v>
      </c>
      <c r="F13509" s="2" t="s">
        <v>3903</v>
      </c>
      <c r="G13509" s="2" t="str">
        <f>"SR-19095"</f>
        <v>SR-19095</v>
      </c>
      <c r="H13509" s="2" t="s">
        <v>53295</v>
      </c>
      <c r="I13509" s="2" t="s">
        <v>53296</v>
      </c>
      <c r="K13509" s="2" t="s">
        <v>14304</v>
      </c>
      <c r="L13509" s="2" t="s">
        <v>279</v>
      </c>
      <c r="M13509" s="2">
        <v>37135.0</v>
      </c>
      <c r="N13509" s="2" t="s">
        <v>21</v>
      </c>
    </row>
    <row r="13510" ht="15.75" customHeight="1">
      <c r="A13510" s="2">
        <v>2020.0</v>
      </c>
      <c r="B13510" s="2" t="s">
        <v>53293</v>
      </c>
      <c r="C13510" s="2" t="s">
        <v>53297</v>
      </c>
      <c r="D13510" s="2" t="str">
        <f>"615-878-5107"</f>
        <v>615-878-5107</v>
      </c>
      <c r="E13510" s="2" t="s">
        <v>53298</v>
      </c>
      <c r="F13510" s="2" t="s">
        <v>3903</v>
      </c>
      <c r="G13510" s="2" t="str">
        <f>"SR-19139"</f>
        <v>SR-19139</v>
      </c>
      <c r="H13510" s="2" t="s">
        <v>53299</v>
      </c>
      <c r="I13510" s="2" t="s">
        <v>53296</v>
      </c>
      <c r="K13510" s="2" t="s">
        <v>14304</v>
      </c>
      <c r="L13510" s="2" t="s">
        <v>279</v>
      </c>
      <c r="M13510" s="2">
        <v>37135.0</v>
      </c>
      <c r="N13510" s="2" t="s">
        <v>21</v>
      </c>
    </row>
    <row r="13511" ht="15.75" customHeight="1">
      <c r="A13511" s="2">
        <v>2020.0</v>
      </c>
      <c r="B13511" s="2" t="s">
        <v>53300</v>
      </c>
      <c r="C13511" s="2" t="s">
        <v>53301</v>
      </c>
      <c r="D13511" s="2" t="str">
        <f>"7207599200"</f>
        <v>7207599200</v>
      </c>
      <c r="E13511" s="2" t="s">
        <v>908</v>
      </c>
      <c r="F13511" s="2" t="s">
        <v>53302</v>
      </c>
      <c r="G13511" s="2" t="str">
        <f>"SR-18794"</f>
        <v>SR-18794</v>
      </c>
      <c r="H13511" s="2" t="s">
        <v>53303</v>
      </c>
      <c r="I13511" s="2" t="s">
        <v>53304</v>
      </c>
      <c r="K13511" s="2" t="s">
        <v>1520</v>
      </c>
      <c r="L13511" s="2" t="s">
        <v>157</v>
      </c>
      <c r="M13511" s="2">
        <v>80016.0</v>
      </c>
      <c r="N13511" s="2" t="s">
        <v>21</v>
      </c>
    </row>
    <row r="13512" ht="15.75" customHeight="1">
      <c r="A13512" s="2">
        <v>2020.0</v>
      </c>
      <c r="B13512" s="2" t="s">
        <v>53305</v>
      </c>
      <c r="C13512" s="2" t="s">
        <v>53306</v>
      </c>
      <c r="D13512" s="2" t="str">
        <f>"952-999-0106"</f>
        <v>952-999-0106</v>
      </c>
      <c r="E13512" s="2" t="s">
        <v>908</v>
      </c>
      <c r="F13512" s="2" t="s">
        <v>21022</v>
      </c>
      <c r="G13512" s="2" t="str">
        <f>"SR-19121"</f>
        <v>SR-19121</v>
      </c>
      <c r="H13512" s="2" t="s">
        <v>53307</v>
      </c>
      <c r="I13512" s="2" t="s">
        <v>53308</v>
      </c>
      <c r="K13512" s="2" t="s">
        <v>14590</v>
      </c>
      <c r="L13512" s="2" t="s">
        <v>62</v>
      </c>
      <c r="M13512" s="2">
        <v>55331.0</v>
      </c>
      <c r="N13512" s="2" t="s">
        <v>21</v>
      </c>
    </row>
    <row r="13513" ht="15.75" customHeight="1">
      <c r="A13513" s="2">
        <v>2020.0</v>
      </c>
      <c r="B13513" s="2" t="s">
        <v>53305</v>
      </c>
      <c r="C13513" s="2" t="s">
        <v>53309</v>
      </c>
      <c r="D13513" s="2" t="str">
        <f>"952-999-0156"</f>
        <v>952-999-0156</v>
      </c>
      <c r="E13513" s="2" t="s">
        <v>160</v>
      </c>
      <c r="F13513" s="2" t="s">
        <v>21022</v>
      </c>
      <c r="G13513" s="2" t="str">
        <f>"SR-19122"</f>
        <v>SR-19122</v>
      </c>
      <c r="H13513" s="2" t="s">
        <v>53310</v>
      </c>
      <c r="I13513" s="2" t="s">
        <v>53308</v>
      </c>
      <c r="K13513" s="2" t="s">
        <v>14590</v>
      </c>
      <c r="L13513" s="2" t="s">
        <v>62</v>
      </c>
      <c r="M13513" s="2">
        <v>55331.0</v>
      </c>
      <c r="N13513" s="2" t="s">
        <v>21</v>
      </c>
    </row>
    <row r="13514" ht="15.75" customHeight="1">
      <c r="A13514" s="2">
        <v>2020.0</v>
      </c>
      <c r="B13514" s="2" t="s">
        <v>53305</v>
      </c>
      <c r="C13514" s="2" t="s">
        <v>53311</v>
      </c>
      <c r="D13514" s="2" t="str">
        <f>"952-693-8529"</f>
        <v>952-693-8529</v>
      </c>
      <c r="E13514" s="2" t="s">
        <v>339</v>
      </c>
      <c r="F13514" s="2" t="s">
        <v>21022</v>
      </c>
      <c r="G13514" s="2" t="str">
        <f>"SR-19123"</f>
        <v>SR-19123</v>
      </c>
      <c r="H13514" s="2" t="s">
        <v>53312</v>
      </c>
      <c r="I13514" s="2" t="s">
        <v>53308</v>
      </c>
      <c r="K13514" s="2" t="s">
        <v>14590</v>
      </c>
      <c r="L13514" s="2" t="s">
        <v>62</v>
      </c>
      <c r="M13514" s="2">
        <v>55331.0</v>
      </c>
      <c r="N13514" s="2" t="s">
        <v>21</v>
      </c>
    </row>
    <row r="13515" ht="15.75" customHeight="1">
      <c r="A13515" s="2">
        <v>2020.0</v>
      </c>
      <c r="B13515" s="2" t="s">
        <v>53313</v>
      </c>
      <c r="C13515" s="2" t="s">
        <v>53313</v>
      </c>
      <c r="D13515" s="2" t="str">
        <f>"5027023070"</f>
        <v>5027023070</v>
      </c>
      <c r="E13515" s="2" t="s">
        <v>282</v>
      </c>
      <c r="F13515" s="2" t="s">
        <v>9036</v>
      </c>
      <c r="G13515" s="2" t="str">
        <f>"SR-19144"</f>
        <v>SR-19144</v>
      </c>
      <c r="H13515" s="2" t="s">
        <v>12530</v>
      </c>
      <c r="I13515" s="2" t="s">
        <v>53231</v>
      </c>
      <c r="K13515" s="2" t="s">
        <v>5288</v>
      </c>
      <c r="L13515" s="2" t="s">
        <v>1236</v>
      </c>
      <c r="M13515" s="2">
        <v>40222.0</v>
      </c>
      <c r="N13515" s="2" t="s">
        <v>21</v>
      </c>
    </row>
    <row r="13516" ht="15.75" customHeight="1">
      <c r="A13516" s="2">
        <v>2020.0</v>
      </c>
      <c r="B13516" s="2" t="s">
        <v>46457</v>
      </c>
      <c r="C13516" s="2" t="s">
        <v>53314</v>
      </c>
      <c r="D13516" s="2" t="str">
        <f>"916-728-8986"</f>
        <v>916-728-8986</v>
      </c>
      <c r="E13516" s="2" t="s">
        <v>696</v>
      </c>
      <c r="F13516" s="2" t="s">
        <v>39813</v>
      </c>
      <c r="G13516" s="2" t="str">
        <f>"SR-19145"</f>
        <v>SR-19145</v>
      </c>
      <c r="H13516" s="2" t="s">
        <v>53315</v>
      </c>
      <c r="I13516" s="2" t="s">
        <v>46461</v>
      </c>
      <c r="K13516" s="2" t="s">
        <v>35937</v>
      </c>
      <c r="L13516" s="2" t="s">
        <v>222</v>
      </c>
      <c r="M13516" s="2">
        <v>95662.0</v>
      </c>
      <c r="N13516" s="2" t="s">
        <v>21</v>
      </c>
    </row>
    <row r="13517" ht="15.75" customHeight="1">
      <c r="A13517" s="2">
        <v>2020.0</v>
      </c>
      <c r="B13517" s="2" t="s">
        <v>53316</v>
      </c>
      <c r="C13517" s="2" t="s">
        <v>53316</v>
      </c>
      <c r="D13517" s="2" t="str">
        <f>"3048977597"</f>
        <v>3048977597</v>
      </c>
      <c r="E13517" s="2" t="s">
        <v>13151</v>
      </c>
      <c r="F13517" s="2" t="s">
        <v>2333</v>
      </c>
      <c r="G13517" s="2" t="str">
        <f>"SR-19125"</f>
        <v>SR-19125</v>
      </c>
      <c r="H13517" s="2" t="s">
        <v>53317</v>
      </c>
      <c r="I13517" s="2" t="s">
        <v>53318</v>
      </c>
      <c r="K13517" s="2" t="s">
        <v>3283</v>
      </c>
      <c r="L13517" s="2" t="s">
        <v>6449</v>
      </c>
      <c r="M13517" s="2">
        <v>26801.0</v>
      </c>
      <c r="N13517" s="2" t="s">
        <v>21</v>
      </c>
    </row>
    <row r="13518" ht="15.75" customHeight="1">
      <c r="A13518" s="2">
        <v>2020.0</v>
      </c>
      <c r="B13518" s="2" t="s">
        <v>53319</v>
      </c>
      <c r="C13518" s="2" t="s">
        <v>53320</v>
      </c>
      <c r="D13518" s="2" t="str">
        <f>"7152077970"</f>
        <v>7152077970</v>
      </c>
      <c r="E13518" s="2" t="s">
        <v>10929</v>
      </c>
      <c r="F13518" s="2" t="s">
        <v>1870</v>
      </c>
      <c r="G13518" s="2" t="str">
        <f>"SR-19157"</f>
        <v>SR-19157</v>
      </c>
      <c r="H13518" s="2" t="s">
        <v>53321</v>
      </c>
      <c r="I13518" s="2" t="s">
        <v>53322</v>
      </c>
      <c r="K13518" s="2" t="s">
        <v>50301</v>
      </c>
      <c r="L13518" s="2" t="s">
        <v>62</v>
      </c>
      <c r="M13518" s="2">
        <v>55042.0</v>
      </c>
      <c r="N13518" s="2" t="s">
        <v>21</v>
      </c>
    </row>
    <row r="13519" ht="15.75" customHeight="1">
      <c r="A13519" s="2">
        <v>2020.0</v>
      </c>
      <c r="B13519" s="2" t="s">
        <v>53323</v>
      </c>
      <c r="C13519" s="2" t="s">
        <v>53323</v>
      </c>
      <c r="D13519" s="2" t="str">
        <f>"9107051212"</f>
        <v>9107051212</v>
      </c>
      <c r="E13519" s="2" t="s">
        <v>301</v>
      </c>
      <c r="F13519" s="2" t="s">
        <v>4941</v>
      </c>
      <c r="G13519" s="2" t="str">
        <f>"SR-19160"</f>
        <v>SR-19160</v>
      </c>
      <c r="H13519" s="2" t="s">
        <v>53324</v>
      </c>
      <c r="I13519" s="2" t="s">
        <v>53325</v>
      </c>
      <c r="K13519" s="2" t="s">
        <v>22900</v>
      </c>
      <c r="L13519" s="2" t="s">
        <v>20</v>
      </c>
      <c r="M13519" s="2">
        <v>28391.0</v>
      </c>
      <c r="N13519" s="2" t="s">
        <v>21</v>
      </c>
    </row>
    <row r="13520" ht="15.75" customHeight="1">
      <c r="A13520" s="2">
        <v>2020.0</v>
      </c>
      <c r="B13520" s="2" t="s">
        <v>53326</v>
      </c>
      <c r="C13520" s="2" t="s">
        <v>53326</v>
      </c>
      <c r="D13520" s="2" t="str">
        <f>"5628334705"</f>
        <v>5628334705</v>
      </c>
      <c r="E13520" s="2" t="s">
        <v>2800</v>
      </c>
      <c r="F13520" s="2" t="s">
        <v>10840</v>
      </c>
      <c r="G13520" s="2" t="str">
        <f>"SR-18957"</f>
        <v>SR-18957</v>
      </c>
      <c r="H13520" s="2" t="s">
        <v>53327</v>
      </c>
      <c r="I13520" s="2" t="s">
        <v>53328</v>
      </c>
      <c r="K13520" s="2" t="s">
        <v>28689</v>
      </c>
      <c r="L13520" s="2" t="s">
        <v>222</v>
      </c>
      <c r="M13520" s="2">
        <v>90706.0</v>
      </c>
      <c r="N13520" s="2" t="s">
        <v>21</v>
      </c>
    </row>
    <row r="13521" ht="15.75" customHeight="1">
      <c r="A13521" s="2">
        <v>2020.0</v>
      </c>
      <c r="B13521" s="2" t="s">
        <v>53329</v>
      </c>
      <c r="C13521" s="2" t="s">
        <v>53330</v>
      </c>
      <c r="D13521" s="2" t="str">
        <f>"3016761448"</f>
        <v>3016761448</v>
      </c>
      <c r="E13521" s="2" t="s">
        <v>53331</v>
      </c>
      <c r="F13521" s="2" t="s">
        <v>718</v>
      </c>
      <c r="G13521" s="2" t="str">
        <f>"SR-19163"</f>
        <v>SR-19163</v>
      </c>
      <c r="H13521" s="2" t="s">
        <v>53332</v>
      </c>
      <c r="I13521" s="2" t="s">
        <v>53333</v>
      </c>
      <c r="K13521" s="2" t="s">
        <v>53334</v>
      </c>
      <c r="L13521" s="2" t="s">
        <v>1868</v>
      </c>
      <c r="M13521" s="2">
        <v>21740.0</v>
      </c>
      <c r="N13521" s="2" t="s">
        <v>21</v>
      </c>
    </row>
    <row r="13522" ht="15.75" customHeight="1">
      <c r="A13522" s="2">
        <v>2020.0</v>
      </c>
      <c r="B13522" s="2" t="s">
        <v>53335</v>
      </c>
      <c r="C13522" s="2" t="s">
        <v>53335</v>
      </c>
      <c r="D13522" s="2" t="str">
        <f>"(717)731-6118"</f>
        <v>(717)731-6118</v>
      </c>
      <c r="E13522" s="2" t="s">
        <v>908</v>
      </c>
      <c r="F13522" s="2" t="s">
        <v>53336</v>
      </c>
      <c r="G13522" s="2" t="str">
        <f>"SR-17496"</f>
        <v>SR-17496</v>
      </c>
      <c r="H13522" s="2" t="s">
        <v>53337</v>
      </c>
      <c r="I13522" s="2" t="s">
        <v>53338</v>
      </c>
      <c r="K13522" s="2" t="s">
        <v>11184</v>
      </c>
      <c r="L13522" s="2" t="s">
        <v>179</v>
      </c>
      <c r="M13522" s="2">
        <v>17011.0</v>
      </c>
      <c r="N13522" s="2" t="s">
        <v>21</v>
      </c>
    </row>
    <row r="13523" ht="15.75" customHeight="1">
      <c r="A13523" s="2">
        <v>2020.0</v>
      </c>
      <c r="B13523" s="2" t="s">
        <v>53339</v>
      </c>
      <c r="C13523" s="2" t="s">
        <v>53340</v>
      </c>
      <c r="D13523" s="2" t="str">
        <f>"‚Ä≠(951) 970-3245‚Ä¨"</f>
        <v>‚Ä≠(951) 970-3245‚Ä¨</v>
      </c>
      <c r="E13523" s="2" t="s">
        <v>378</v>
      </c>
      <c r="F13523" s="2" t="s">
        <v>10935</v>
      </c>
      <c r="G13523" s="2" t="str">
        <f>"SR-14465"</f>
        <v>SR-14465</v>
      </c>
      <c r="H13523" s="2" t="s">
        <v>53341</v>
      </c>
      <c r="I13523" s="2" t="s">
        <v>53342</v>
      </c>
      <c r="K13523" s="2" t="s">
        <v>21097</v>
      </c>
      <c r="L13523" s="2" t="s">
        <v>222</v>
      </c>
      <c r="M13523" s="2">
        <v>92544.0</v>
      </c>
      <c r="N13523" s="2" t="s">
        <v>21</v>
      </c>
    </row>
    <row r="13524" ht="15.75" customHeight="1">
      <c r="A13524" s="2">
        <v>2020.0</v>
      </c>
      <c r="B13524" s="2" t="s">
        <v>53339</v>
      </c>
      <c r="C13524" s="2" t="s">
        <v>53343</v>
      </c>
      <c r="D13524" s="2" t="str">
        <f>"‚Ä≠(951) 970-6689‚Ä¨"</f>
        <v>‚Ä≠(951) 970-6689‚Ä¨</v>
      </c>
      <c r="E13524" s="2" t="s">
        <v>53344</v>
      </c>
      <c r="F13524" s="2" t="s">
        <v>10935</v>
      </c>
      <c r="G13524" s="2" t="str">
        <f>"SR-19171"</f>
        <v>SR-19171</v>
      </c>
      <c r="H13524" s="2" t="s">
        <v>53345</v>
      </c>
      <c r="I13524" s="2" t="s">
        <v>53342</v>
      </c>
      <c r="K13524" s="2" t="s">
        <v>21097</v>
      </c>
      <c r="L13524" s="2" t="s">
        <v>222</v>
      </c>
      <c r="M13524" s="2">
        <v>92544.0</v>
      </c>
      <c r="N13524" s="2" t="s">
        <v>21</v>
      </c>
    </row>
    <row r="13525" ht="15.75" customHeight="1">
      <c r="A13525" s="2">
        <v>2020.0</v>
      </c>
      <c r="B13525" s="2" t="s">
        <v>53346</v>
      </c>
      <c r="C13525" s="2" t="s">
        <v>53347</v>
      </c>
      <c r="D13525" s="2" t="str">
        <f>"2525035871"</f>
        <v>2525035871</v>
      </c>
      <c r="E13525" s="2" t="s">
        <v>17971</v>
      </c>
      <c r="F13525" s="2" t="s">
        <v>13707</v>
      </c>
      <c r="G13525" s="2" t="str">
        <f>"SR-19133"</f>
        <v>SR-19133</v>
      </c>
      <c r="H13525" s="2" t="s">
        <v>53348</v>
      </c>
      <c r="I13525" s="2" t="s">
        <v>53349</v>
      </c>
      <c r="K13525" s="2" t="s">
        <v>5763</v>
      </c>
      <c r="L13525" s="2" t="s">
        <v>344</v>
      </c>
      <c r="M13525" s="2">
        <v>43844.0</v>
      </c>
      <c r="N13525" s="2" t="s">
        <v>21</v>
      </c>
    </row>
    <row r="13526" ht="15.75" customHeight="1">
      <c r="A13526" s="2">
        <v>2020.0</v>
      </c>
      <c r="B13526" s="2" t="s">
        <v>53350</v>
      </c>
      <c r="C13526" s="2" t="s">
        <v>53351</v>
      </c>
      <c r="D13526" s="2" t="str">
        <f>"971-777-3898"</f>
        <v>971-777-3898</v>
      </c>
      <c r="E13526" s="2" t="s">
        <v>1141</v>
      </c>
      <c r="F13526" s="2" t="s">
        <v>43320</v>
      </c>
      <c r="G13526" s="2" t="str">
        <f>"SR-19085"</f>
        <v>SR-19085</v>
      </c>
      <c r="H13526" s="2" t="s">
        <v>53352</v>
      </c>
      <c r="I13526" s="2" t="s">
        <v>53353</v>
      </c>
      <c r="K13526" s="2" t="s">
        <v>22576</v>
      </c>
      <c r="L13526" s="2" t="s">
        <v>2389</v>
      </c>
      <c r="M13526" s="2">
        <v>97070.0</v>
      </c>
      <c r="N13526" s="2" t="s">
        <v>21</v>
      </c>
    </row>
    <row r="13527" ht="15.75" customHeight="1">
      <c r="A13527" s="2">
        <v>2020.0</v>
      </c>
      <c r="B13527" s="2" t="s">
        <v>53354</v>
      </c>
      <c r="C13527" s="2" t="s">
        <v>53354</v>
      </c>
      <c r="D13527" s="2" t="str">
        <f>"2533580285"</f>
        <v>2533580285</v>
      </c>
      <c r="E13527" s="2" t="s">
        <v>977</v>
      </c>
      <c r="F13527" s="2" t="s">
        <v>1151</v>
      </c>
      <c r="G13527" s="2" t="str">
        <f>"SR-19081"</f>
        <v>SR-19081</v>
      </c>
      <c r="H13527" s="2" t="s">
        <v>53355</v>
      </c>
      <c r="I13527" s="2" t="s">
        <v>53356</v>
      </c>
      <c r="K13527" s="2" t="s">
        <v>14632</v>
      </c>
      <c r="L13527" s="2" t="s">
        <v>86</v>
      </c>
      <c r="M13527" s="2">
        <v>98466.0</v>
      </c>
      <c r="N13527" s="2" t="s">
        <v>21</v>
      </c>
    </row>
    <row r="13528" ht="15.75" customHeight="1">
      <c r="A13528" s="2">
        <v>2020.0</v>
      </c>
      <c r="B13528" s="2" t="s">
        <v>53357</v>
      </c>
      <c r="C13528" s="2" t="s">
        <v>53358</v>
      </c>
      <c r="D13528" s="2" t="str">
        <f>"3166706442"</f>
        <v>3166706442</v>
      </c>
      <c r="E13528" s="2" t="s">
        <v>6966</v>
      </c>
      <c r="F13528" s="2" t="s">
        <v>53359</v>
      </c>
      <c r="G13528" s="2" t="str">
        <f>"SR-19162"</f>
        <v>SR-19162</v>
      </c>
      <c r="H13528" s="2" t="s">
        <v>53360</v>
      </c>
      <c r="I13528" s="2" t="s">
        <v>53361</v>
      </c>
      <c r="K13528" s="2" t="s">
        <v>53362</v>
      </c>
      <c r="L13528" s="2" t="s">
        <v>272</v>
      </c>
      <c r="M13528" s="2">
        <v>67060.0</v>
      </c>
      <c r="N13528" s="2" t="s">
        <v>21</v>
      </c>
    </row>
    <row r="13529" ht="15.75" customHeight="1">
      <c r="A13529" s="2">
        <v>2020.0</v>
      </c>
      <c r="B13529" s="2" t="s">
        <v>53363</v>
      </c>
      <c r="C13529" s="2" t="s">
        <v>53364</v>
      </c>
      <c r="D13529" s="2" t="str">
        <f>"540-695-0001"</f>
        <v>540-695-0001</v>
      </c>
      <c r="E13529" s="2" t="s">
        <v>44710</v>
      </c>
      <c r="F13529" s="2" t="s">
        <v>17860</v>
      </c>
      <c r="G13529" s="2" t="str">
        <f>"SR-19180"</f>
        <v>SR-19180</v>
      </c>
      <c r="H13529" s="2" t="s">
        <v>53365</v>
      </c>
      <c r="I13529" s="2" t="s">
        <v>53366</v>
      </c>
      <c r="K13529" s="2" t="s">
        <v>2084</v>
      </c>
      <c r="L13529" s="2" t="s">
        <v>165</v>
      </c>
      <c r="M13529" s="2">
        <v>24091.0</v>
      </c>
      <c r="N13529" s="2" t="s">
        <v>21</v>
      </c>
    </row>
    <row r="13530" ht="15.75" customHeight="1">
      <c r="A13530" s="2">
        <v>2020.0</v>
      </c>
      <c r="B13530" s="2" t="s">
        <v>53367</v>
      </c>
      <c r="C13530" s="2" t="s">
        <v>53368</v>
      </c>
      <c r="D13530" s="2" t="str">
        <f>"763-210-8213"</f>
        <v>763-210-8213</v>
      </c>
      <c r="E13530" s="2" t="s">
        <v>4401</v>
      </c>
      <c r="F13530" s="2" t="s">
        <v>11171</v>
      </c>
      <c r="G13530" s="2" t="str">
        <f>"SR-18978"</f>
        <v>SR-18978</v>
      </c>
      <c r="H13530" s="2" t="s">
        <v>53369</v>
      </c>
      <c r="I13530" s="2" t="s">
        <v>53370</v>
      </c>
      <c r="K13530" s="2" t="s">
        <v>37207</v>
      </c>
      <c r="L13530" s="2" t="s">
        <v>62</v>
      </c>
      <c r="M13530" s="2">
        <v>55318.0</v>
      </c>
      <c r="N13530" s="2" t="s">
        <v>21</v>
      </c>
    </row>
    <row r="13531" ht="15.75" customHeight="1">
      <c r="A13531" s="2">
        <v>2020.0</v>
      </c>
      <c r="B13531" s="2" t="s">
        <v>53371</v>
      </c>
      <c r="C13531" s="2" t="s">
        <v>53372</v>
      </c>
      <c r="D13531" s="2" t="str">
        <f>"3194315933"</f>
        <v>3194315933</v>
      </c>
      <c r="E13531" s="2" t="s">
        <v>9707</v>
      </c>
      <c r="F13531" s="2" t="s">
        <v>3995</v>
      </c>
      <c r="G13531" s="2" t="str">
        <f>"SR-19181"</f>
        <v>SR-19181</v>
      </c>
      <c r="H13531" s="2" t="s">
        <v>53373</v>
      </c>
      <c r="I13531" s="2" t="s">
        <v>53374</v>
      </c>
      <c r="K13531" s="2" t="s">
        <v>3493</v>
      </c>
      <c r="L13531" s="2" t="s">
        <v>560</v>
      </c>
      <c r="M13531" s="2">
        <v>52302.0</v>
      </c>
      <c r="N13531" s="2" t="s">
        <v>21</v>
      </c>
    </row>
    <row r="13532" ht="15.75" customHeight="1">
      <c r="A13532" s="2">
        <v>2020.0</v>
      </c>
      <c r="B13532" s="2" t="s">
        <v>53375</v>
      </c>
      <c r="C13532" s="2" t="s">
        <v>53375</v>
      </c>
      <c r="D13532" s="2" t="str">
        <f>"8039443390"</f>
        <v>8039443390</v>
      </c>
      <c r="E13532" s="2" t="s">
        <v>7046</v>
      </c>
      <c r="F13532" s="2" t="s">
        <v>1175</v>
      </c>
      <c r="G13532" s="2" t="str">
        <f>"SR-19183"</f>
        <v>SR-19183</v>
      </c>
      <c r="H13532" s="2" t="s">
        <v>53376</v>
      </c>
      <c r="I13532" s="2" t="s">
        <v>53377</v>
      </c>
      <c r="K13532" s="2" t="s">
        <v>53378</v>
      </c>
      <c r="L13532" s="2" t="s">
        <v>55</v>
      </c>
      <c r="M13532" s="2">
        <v>29138.0</v>
      </c>
      <c r="N13532" s="2" t="s">
        <v>21</v>
      </c>
    </row>
    <row r="13533" ht="15.75" customHeight="1">
      <c r="A13533" s="2">
        <v>2020.0</v>
      </c>
      <c r="B13533" s="2" t="s">
        <v>53379</v>
      </c>
      <c r="C13533" s="2" t="s">
        <v>53380</v>
      </c>
      <c r="D13533" s="2" t="str">
        <f>"2312600328"</f>
        <v>2312600328</v>
      </c>
      <c r="E13533" s="2" t="s">
        <v>53381</v>
      </c>
      <c r="F13533" s="2" t="s">
        <v>53382</v>
      </c>
      <c r="G13533" s="2" t="str">
        <f>"SR-19191"</f>
        <v>SR-19191</v>
      </c>
      <c r="H13533" s="2" t="s">
        <v>53383</v>
      </c>
      <c r="I13533" s="2">
        <v>6578.0</v>
      </c>
      <c r="J13533" s="2" t="s">
        <v>50387</v>
      </c>
      <c r="K13533" s="2" t="s">
        <v>36981</v>
      </c>
      <c r="L13533" s="2" t="s">
        <v>29</v>
      </c>
      <c r="M13533" s="2">
        <v>49436.0</v>
      </c>
      <c r="N13533" s="2" t="s">
        <v>21</v>
      </c>
    </row>
    <row r="13534" ht="15.75" customHeight="1">
      <c r="A13534" s="2">
        <v>2020.0</v>
      </c>
      <c r="B13534" s="2" t="s">
        <v>53384</v>
      </c>
      <c r="C13534" s="2" t="s">
        <v>53384</v>
      </c>
      <c r="D13534" s="2" t="str">
        <f>"616-238-1440"</f>
        <v>616-238-1440</v>
      </c>
      <c r="E13534" s="2" t="s">
        <v>53385</v>
      </c>
      <c r="F13534" s="2" t="s">
        <v>53386</v>
      </c>
      <c r="G13534" s="2" t="str">
        <f>"SR-19195"</f>
        <v>SR-19195</v>
      </c>
      <c r="H13534" s="2" t="s">
        <v>53387</v>
      </c>
      <c r="I13534" s="2" t="s">
        <v>53388</v>
      </c>
      <c r="K13534" s="2" t="s">
        <v>40</v>
      </c>
      <c r="L13534" s="2" t="s">
        <v>29</v>
      </c>
      <c r="M13534" s="2">
        <v>49506.0</v>
      </c>
      <c r="N13534" s="2" t="s">
        <v>21</v>
      </c>
    </row>
    <row r="13535" ht="15.75" customHeight="1">
      <c r="A13535" s="2">
        <v>2020.0</v>
      </c>
      <c r="B13535" s="2" t="s">
        <v>53389</v>
      </c>
      <c r="C13535" s="2" t="s">
        <v>53389</v>
      </c>
      <c r="D13535" s="2" t="str">
        <f>"9094359913"</f>
        <v>9094359913</v>
      </c>
      <c r="E13535" s="2" t="s">
        <v>5310</v>
      </c>
      <c r="F13535" s="2" t="s">
        <v>3978</v>
      </c>
      <c r="G13535" s="2" t="str">
        <f>"SR-19197"</f>
        <v>SR-19197</v>
      </c>
      <c r="H13535" s="2" t="s">
        <v>43783</v>
      </c>
      <c r="I13535" s="2" t="s">
        <v>53390</v>
      </c>
      <c r="K13535" s="2" t="s">
        <v>3770</v>
      </c>
      <c r="L13535" s="2" t="s">
        <v>222</v>
      </c>
      <c r="M13535" s="2">
        <v>92399.0</v>
      </c>
      <c r="N13535" s="2" t="s">
        <v>21</v>
      </c>
    </row>
    <row r="13536" ht="15.75" customHeight="1">
      <c r="A13536" s="2">
        <v>2020.0</v>
      </c>
      <c r="B13536" s="2" t="s">
        <v>53391</v>
      </c>
      <c r="C13536" s="2" t="s">
        <v>53392</v>
      </c>
      <c r="D13536" s="2" t="str">
        <f>"216-346-8370"</f>
        <v>216-346-8370</v>
      </c>
      <c r="E13536" s="2" t="s">
        <v>225</v>
      </c>
      <c r="F13536" s="2" t="s">
        <v>53393</v>
      </c>
      <c r="G13536" s="2" t="str">
        <f>"SR-19198"</f>
        <v>SR-19198</v>
      </c>
      <c r="H13536" s="2" t="s">
        <v>53394</v>
      </c>
      <c r="I13536" s="2" t="s">
        <v>53395</v>
      </c>
      <c r="K13536" s="2" t="s">
        <v>53396</v>
      </c>
      <c r="L13536" s="2" t="s">
        <v>344</v>
      </c>
      <c r="M13536" s="2">
        <v>44146.0</v>
      </c>
      <c r="N13536" s="2" t="s">
        <v>21</v>
      </c>
    </row>
    <row r="13537" ht="15.75" customHeight="1">
      <c r="A13537" s="2">
        <v>2020.0</v>
      </c>
      <c r="B13537" s="2" t="s">
        <v>53391</v>
      </c>
      <c r="C13537" s="2" t="s">
        <v>53397</v>
      </c>
      <c r="D13537" s="2" t="str">
        <f>"216-401-1258"</f>
        <v>216-401-1258</v>
      </c>
      <c r="E13537" s="2" t="s">
        <v>1803</v>
      </c>
      <c r="F13537" s="2" t="s">
        <v>53393</v>
      </c>
      <c r="G13537" s="2" t="str">
        <f>"SR-19199"</f>
        <v>SR-19199</v>
      </c>
      <c r="H13537" s="2" t="s">
        <v>53398</v>
      </c>
      <c r="I13537" s="2" t="s">
        <v>53395</v>
      </c>
      <c r="K13537" s="2" t="s">
        <v>53396</v>
      </c>
      <c r="L13537" s="2" t="s">
        <v>344</v>
      </c>
      <c r="M13537" s="2">
        <v>44146.0</v>
      </c>
      <c r="N13537" s="2" t="s">
        <v>21</v>
      </c>
    </row>
    <row r="13538" ht="15.75" customHeight="1">
      <c r="A13538" s="2">
        <v>2020.0</v>
      </c>
      <c r="B13538" s="2" t="s">
        <v>53399</v>
      </c>
      <c r="C13538" s="2" t="s">
        <v>53399</v>
      </c>
      <c r="D13538" s="2" t="str">
        <f>"8283025284"</f>
        <v>8283025284</v>
      </c>
      <c r="E13538" s="2" t="s">
        <v>37251</v>
      </c>
      <c r="F13538" s="2" t="s">
        <v>53400</v>
      </c>
      <c r="G13538" s="2" t="str">
        <f>"SR-19102"</f>
        <v>SR-19102</v>
      </c>
      <c r="H13538" s="2" t="s">
        <v>53401</v>
      </c>
      <c r="I13538" s="2" t="s">
        <v>53402</v>
      </c>
      <c r="K13538" s="2" t="s">
        <v>53403</v>
      </c>
      <c r="L13538" s="2" t="s">
        <v>208</v>
      </c>
      <c r="M13538" s="2">
        <v>33547.0</v>
      </c>
      <c r="N13538" s="2" t="s">
        <v>21</v>
      </c>
    </row>
    <row r="13539" ht="15.75" customHeight="1">
      <c r="A13539" s="2">
        <v>2020.0</v>
      </c>
      <c r="B13539" s="2" t="s">
        <v>53399</v>
      </c>
      <c r="C13539" s="2" t="s">
        <v>53404</v>
      </c>
      <c r="D13539" s="2" t="str">
        <f>"8474503502"</f>
        <v>8474503502</v>
      </c>
      <c r="E13539" s="2" t="s">
        <v>19233</v>
      </c>
      <c r="F13539" s="2" t="s">
        <v>53400</v>
      </c>
      <c r="G13539" s="2" t="str">
        <f>"SR-19204"</f>
        <v>SR-19204</v>
      </c>
      <c r="H13539" s="2" t="s">
        <v>53405</v>
      </c>
      <c r="I13539" s="2" t="s">
        <v>53402</v>
      </c>
      <c r="K13539" s="2" t="s">
        <v>53403</v>
      </c>
      <c r="L13539" s="2" t="s">
        <v>208</v>
      </c>
      <c r="M13539" s="2">
        <v>33547.0</v>
      </c>
      <c r="N13539" s="2" t="s">
        <v>21</v>
      </c>
    </row>
    <row r="13540" ht="15.75" customHeight="1">
      <c r="A13540" s="2">
        <v>2020.0</v>
      </c>
      <c r="B13540" s="2" t="s">
        <v>53399</v>
      </c>
      <c r="C13540" s="2" t="s">
        <v>53406</v>
      </c>
      <c r="D13540" s="2" t="str">
        <f>"8289620656"</f>
        <v>8289620656</v>
      </c>
      <c r="E13540" s="2" t="s">
        <v>25249</v>
      </c>
      <c r="F13540" s="2" t="s">
        <v>53400</v>
      </c>
      <c r="G13540" s="2" t="str">
        <f>"SR-19207"</f>
        <v>SR-19207</v>
      </c>
      <c r="H13540" s="2" t="s">
        <v>53407</v>
      </c>
      <c r="I13540" s="2" t="s">
        <v>53402</v>
      </c>
      <c r="K13540" s="2" t="s">
        <v>53403</v>
      </c>
      <c r="L13540" s="2" t="s">
        <v>208</v>
      </c>
      <c r="M13540" s="2">
        <v>33547.0</v>
      </c>
      <c r="N13540" s="2" t="s">
        <v>21</v>
      </c>
    </row>
    <row r="13541" ht="15.75" customHeight="1">
      <c r="A13541" s="2">
        <v>2020.0</v>
      </c>
      <c r="B13541" s="2" t="s">
        <v>53408</v>
      </c>
      <c r="C13541" s="2" t="s">
        <v>53409</v>
      </c>
      <c r="D13541" s="2" t="str">
        <f>"405-413-3172"</f>
        <v>405-413-3172</v>
      </c>
      <c r="E13541" s="2" t="s">
        <v>53410</v>
      </c>
      <c r="F13541" s="2" t="s">
        <v>1733</v>
      </c>
      <c r="G13541" s="2" t="str">
        <f>"SR-19209"</f>
        <v>SR-19209</v>
      </c>
      <c r="H13541" s="2" t="s">
        <v>53411</v>
      </c>
      <c r="I13541" s="2" t="s">
        <v>1735</v>
      </c>
      <c r="K13541" s="2" t="s">
        <v>1546</v>
      </c>
      <c r="L13541" s="2" t="s">
        <v>840</v>
      </c>
      <c r="M13541" s="2">
        <v>73013.0</v>
      </c>
      <c r="N13541" s="2" t="s">
        <v>21</v>
      </c>
    </row>
    <row r="13542" ht="15.75" customHeight="1">
      <c r="A13542" s="2">
        <v>2020.0</v>
      </c>
      <c r="B13542" s="2" t="s">
        <v>53408</v>
      </c>
      <c r="C13542" s="2" t="s">
        <v>53412</v>
      </c>
      <c r="D13542" s="2" t="str">
        <f>"4055326317"</f>
        <v>4055326317</v>
      </c>
      <c r="E13542" s="2" t="s">
        <v>8649</v>
      </c>
      <c r="F13542" s="2" t="s">
        <v>1733</v>
      </c>
      <c r="G13542" s="2" t="str">
        <f>"SR-19210"</f>
        <v>SR-19210</v>
      </c>
      <c r="H13542" s="2" t="s">
        <v>53413</v>
      </c>
      <c r="I13542" s="2" t="s">
        <v>1735</v>
      </c>
      <c r="K13542" s="2" t="s">
        <v>1546</v>
      </c>
      <c r="L13542" s="2" t="s">
        <v>840</v>
      </c>
      <c r="M13542" s="2">
        <v>73013.0</v>
      </c>
      <c r="N13542" s="2" t="s">
        <v>21</v>
      </c>
    </row>
    <row r="13543" ht="15.75" customHeight="1">
      <c r="A13543" s="2">
        <v>2020.0</v>
      </c>
      <c r="B13543" s="2" t="s">
        <v>53414</v>
      </c>
      <c r="C13543" s="2" t="s">
        <v>53414</v>
      </c>
      <c r="D13543" s="2" t="str">
        <f>"4026996813"</f>
        <v>4026996813</v>
      </c>
      <c r="E13543" s="2" t="s">
        <v>217</v>
      </c>
      <c r="F13543" s="2" t="s">
        <v>53415</v>
      </c>
      <c r="G13543" s="2" t="str">
        <f>"SR-19042"</f>
        <v>SR-19042</v>
      </c>
      <c r="H13543" s="2" t="s">
        <v>53416</v>
      </c>
      <c r="I13543" s="2" t="s">
        <v>53417</v>
      </c>
      <c r="K13543" s="2" t="s">
        <v>53418</v>
      </c>
      <c r="L13543" s="2" t="s">
        <v>560</v>
      </c>
      <c r="M13543" s="2">
        <v>51553.0</v>
      </c>
      <c r="N13543" s="2" t="s">
        <v>21</v>
      </c>
    </row>
    <row r="13544" ht="15.75" customHeight="1">
      <c r="A13544" s="2">
        <v>2020.0</v>
      </c>
      <c r="B13544" s="2" t="s">
        <v>53408</v>
      </c>
      <c r="C13544" s="2" t="s">
        <v>53419</v>
      </c>
      <c r="D13544" s="2" t="str">
        <f>"405 7196314"</f>
        <v>405 7196314</v>
      </c>
      <c r="E13544" s="2" t="s">
        <v>53420</v>
      </c>
      <c r="F13544" s="2" t="s">
        <v>1733</v>
      </c>
      <c r="G13544" s="2" t="str">
        <f>"SR-19211"</f>
        <v>SR-19211</v>
      </c>
      <c r="H13544" s="2" t="s">
        <v>53421</v>
      </c>
      <c r="I13544" s="2" t="s">
        <v>1735</v>
      </c>
      <c r="K13544" s="2" t="s">
        <v>1546</v>
      </c>
      <c r="L13544" s="2" t="s">
        <v>840</v>
      </c>
      <c r="M13544" s="2">
        <v>73013.0</v>
      </c>
      <c r="N13544" s="2" t="s">
        <v>21</v>
      </c>
    </row>
    <row r="13545" ht="15.75" customHeight="1">
      <c r="A13545" s="2">
        <v>2020.0</v>
      </c>
      <c r="B13545" s="2" t="s">
        <v>53422</v>
      </c>
      <c r="C13545" s="2" t="s">
        <v>53423</v>
      </c>
      <c r="D13545" s="2" t="str">
        <f>"3104659081"</f>
        <v>3104659081</v>
      </c>
      <c r="E13545" s="2" t="s">
        <v>2598</v>
      </c>
      <c r="F13545" s="2" t="s">
        <v>53424</v>
      </c>
      <c r="G13545" s="2" t="str">
        <f>"SR-19170"</f>
        <v>SR-19170</v>
      </c>
      <c r="H13545" s="2" t="s">
        <v>53425</v>
      </c>
      <c r="I13545" s="2" t="s">
        <v>53426</v>
      </c>
      <c r="K13545" s="2" t="s">
        <v>27372</v>
      </c>
      <c r="L13545" s="2" t="s">
        <v>222</v>
      </c>
      <c r="M13545" s="2">
        <v>90274.0</v>
      </c>
      <c r="N13545" s="2" t="s">
        <v>21</v>
      </c>
    </row>
    <row r="13546" ht="15.75" customHeight="1">
      <c r="A13546" s="2">
        <v>2020.0</v>
      </c>
      <c r="B13546" s="2" t="s">
        <v>53427</v>
      </c>
      <c r="D13546" s="2" t="str">
        <f t="shared" ref="D13546:D13547" si="229">""</f>
        <v/>
      </c>
      <c r="E13546" s="2" t="s">
        <v>45801</v>
      </c>
      <c r="F13546" s="2" t="s">
        <v>27693</v>
      </c>
      <c r="G13546" s="2" t="str">
        <f>"SR-19214"</f>
        <v>SR-19214</v>
      </c>
      <c r="H13546" s="2" t="s">
        <v>53428</v>
      </c>
      <c r="N13546" s="2" t="s">
        <v>21</v>
      </c>
    </row>
    <row r="13547" ht="15.75" customHeight="1">
      <c r="A13547" s="2">
        <v>2020.0</v>
      </c>
      <c r="B13547" s="2" t="s">
        <v>53429</v>
      </c>
      <c r="D13547" s="2" t="str">
        <f t="shared" si="229"/>
        <v/>
      </c>
      <c r="E13547" s="2" t="s">
        <v>5760</v>
      </c>
      <c r="F13547" s="2" t="s">
        <v>53430</v>
      </c>
      <c r="G13547" s="2" t="str">
        <f>"SR-12153"</f>
        <v>SR-12153</v>
      </c>
      <c r="H13547" s="2" t="s">
        <v>53431</v>
      </c>
      <c r="N13547" s="2" t="s">
        <v>21</v>
      </c>
    </row>
    <row r="13548" ht="15.75" customHeight="1">
      <c r="A13548" s="2">
        <v>2020.0</v>
      </c>
      <c r="B13548" s="2" t="s">
        <v>53432</v>
      </c>
      <c r="C13548" s="2" t="s">
        <v>53432</v>
      </c>
      <c r="D13548" s="2" t="str">
        <f>"3038451839"</f>
        <v>3038451839</v>
      </c>
      <c r="E13548" s="2" t="s">
        <v>3037</v>
      </c>
      <c r="F13548" s="2" t="s">
        <v>53433</v>
      </c>
      <c r="G13548" s="2" t="str">
        <f>"SR-19219"</f>
        <v>SR-19219</v>
      </c>
      <c r="H13548" s="2" t="s">
        <v>53434</v>
      </c>
      <c r="I13548" s="2" t="s">
        <v>53435</v>
      </c>
      <c r="K13548" s="2" t="s">
        <v>5805</v>
      </c>
      <c r="L13548" s="2" t="s">
        <v>157</v>
      </c>
      <c r="M13548" s="2">
        <v>80513.0</v>
      </c>
      <c r="N13548" s="2" t="s">
        <v>21</v>
      </c>
    </row>
    <row r="13549" ht="15.75" customHeight="1">
      <c r="A13549" s="2">
        <v>2020.0</v>
      </c>
      <c r="B13549" s="2" t="s">
        <v>53436</v>
      </c>
      <c r="C13549" s="2" t="s">
        <v>53436</v>
      </c>
      <c r="D13549" s="2" t="str">
        <f>"8565532278"</f>
        <v>8565532278</v>
      </c>
      <c r="E13549" s="2" t="s">
        <v>908</v>
      </c>
      <c r="F13549" s="2" t="s">
        <v>8132</v>
      </c>
      <c r="G13549" s="2" t="str">
        <f>"SR-19020"</f>
        <v>SR-19020</v>
      </c>
      <c r="H13549" s="2" t="s">
        <v>53437</v>
      </c>
      <c r="I13549" s="2" t="s">
        <v>53438</v>
      </c>
      <c r="K13549" s="2" t="s">
        <v>2378</v>
      </c>
      <c r="L13549" s="2" t="s">
        <v>3618</v>
      </c>
      <c r="M13549" s="2">
        <v>8312.0</v>
      </c>
      <c r="N13549" s="2" t="s">
        <v>21</v>
      </c>
    </row>
    <row r="13550" ht="15.75" customHeight="1">
      <c r="A13550" s="2">
        <v>2020.0</v>
      </c>
      <c r="B13550" s="2" t="s">
        <v>53439</v>
      </c>
      <c r="C13550" s="2" t="s">
        <v>53439</v>
      </c>
      <c r="D13550" s="2" t="str">
        <f>"612-219-5517"</f>
        <v>612-219-5517</v>
      </c>
      <c r="E13550" s="2" t="s">
        <v>28817</v>
      </c>
      <c r="F13550" s="2" t="s">
        <v>25821</v>
      </c>
      <c r="G13550" s="2" t="str">
        <f>"SR-19213"</f>
        <v>SR-19213</v>
      </c>
      <c r="H13550" s="2" t="s">
        <v>37398</v>
      </c>
      <c r="I13550" s="2" t="s">
        <v>37399</v>
      </c>
      <c r="K13550" s="2" t="s">
        <v>538</v>
      </c>
      <c r="L13550" s="2" t="s">
        <v>62</v>
      </c>
      <c r="M13550" s="2">
        <v>56069.0</v>
      </c>
      <c r="N13550" s="2" t="s">
        <v>21</v>
      </c>
    </row>
    <row r="13551" ht="15.75" customHeight="1">
      <c r="A13551" s="2">
        <v>2020.0</v>
      </c>
      <c r="B13551" s="2" t="s">
        <v>53440</v>
      </c>
      <c r="C13551" s="2" t="s">
        <v>53440</v>
      </c>
      <c r="D13551" s="2" t="str">
        <f>"770-883-1778"</f>
        <v>770-883-1778</v>
      </c>
      <c r="E13551" s="2" t="s">
        <v>53441</v>
      </c>
      <c r="F13551" s="2" t="s">
        <v>2083</v>
      </c>
      <c r="G13551" s="2" t="str">
        <f>"SR-19221"</f>
        <v>SR-19221</v>
      </c>
      <c r="H13551" s="2" t="s">
        <v>53442</v>
      </c>
      <c r="I13551" s="2" t="s">
        <v>53443</v>
      </c>
      <c r="K13551" s="2" t="s">
        <v>53444</v>
      </c>
      <c r="L13551" s="2" t="s">
        <v>200</v>
      </c>
      <c r="M13551" s="2">
        <v>30350.0</v>
      </c>
      <c r="N13551" s="2" t="s">
        <v>21</v>
      </c>
    </row>
    <row r="13552" ht="15.75" customHeight="1">
      <c r="A13552" s="2">
        <v>2020.0</v>
      </c>
      <c r="B13552" s="2" t="s">
        <v>53445</v>
      </c>
      <c r="C13552" s="2" t="s">
        <v>53445</v>
      </c>
      <c r="D13552" s="2" t="str">
        <f>"2567011454"</f>
        <v>2567011454</v>
      </c>
      <c r="E13552" s="2" t="s">
        <v>282</v>
      </c>
      <c r="F13552" s="2" t="s">
        <v>6301</v>
      </c>
      <c r="G13552" s="2" t="str">
        <f>"SR-19218"</f>
        <v>SR-19218</v>
      </c>
      <c r="H13552" s="2" t="s">
        <v>53446</v>
      </c>
      <c r="I13552" s="2" t="s">
        <v>53447</v>
      </c>
      <c r="K13552" s="2" t="s">
        <v>34432</v>
      </c>
      <c r="L13552" s="2" t="s">
        <v>539</v>
      </c>
      <c r="M13552" s="2">
        <v>35748.0</v>
      </c>
      <c r="N13552" s="2" t="s">
        <v>21</v>
      </c>
    </row>
    <row r="13553" ht="15.75" customHeight="1">
      <c r="A13553" s="2">
        <v>2020.0</v>
      </c>
      <c r="B13553" s="2" t="s">
        <v>53448</v>
      </c>
      <c r="C13553" s="2" t="s">
        <v>53449</v>
      </c>
      <c r="D13553" s="2" t="str">
        <f>"2693640997"</f>
        <v>2693640997</v>
      </c>
      <c r="E13553" s="2" t="s">
        <v>2010</v>
      </c>
      <c r="F13553" s="2" t="s">
        <v>1799</v>
      </c>
      <c r="G13553" s="2" t="str">
        <f>"SR-18778"</f>
        <v>SR-18778</v>
      </c>
      <c r="H13553" s="2" t="s">
        <v>53450</v>
      </c>
      <c r="I13553" s="2" t="s">
        <v>53451</v>
      </c>
      <c r="K13553" s="2" t="s">
        <v>53452</v>
      </c>
      <c r="L13553" s="2" t="s">
        <v>29</v>
      </c>
      <c r="M13553" s="2">
        <v>49071.0</v>
      </c>
      <c r="N13553" s="2" t="s">
        <v>21</v>
      </c>
    </row>
    <row r="13554" ht="15.75" customHeight="1">
      <c r="A13554" s="2">
        <v>2020.0</v>
      </c>
      <c r="B13554" s="2" t="s">
        <v>53453</v>
      </c>
      <c r="C13554" s="2" t="s">
        <v>53453</v>
      </c>
      <c r="D13554" s="2" t="str">
        <f>"8504475664"</f>
        <v>8504475664</v>
      </c>
      <c r="E13554" s="2" t="s">
        <v>24251</v>
      </c>
      <c r="F13554" s="2" t="s">
        <v>41553</v>
      </c>
      <c r="G13554" s="2" t="str">
        <f>"SR-19001"</f>
        <v>SR-19001</v>
      </c>
      <c r="H13554" s="2" t="s">
        <v>53454</v>
      </c>
      <c r="I13554" s="2" t="s">
        <v>53455</v>
      </c>
      <c r="K13554" s="2" t="s">
        <v>53456</v>
      </c>
      <c r="L13554" s="2" t="s">
        <v>208</v>
      </c>
      <c r="M13554" s="2">
        <v>32424.0</v>
      </c>
      <c r="N13554" s="2" t="s">
        <v>21</v>
      </c>
    </row>
    <row r="13555" ht="15.75" customHeight="1">
      <c r="A13555" s="2">
        <v>2020.0</v>
      </c>
      <c r="B13555" s="2" t="s">
        <v>20892</v>
      </c>
      <c r="C13555" s="2" t="s">
        <v>48944</v>
      </c>
      <c r="D13555" s="2" t="str">
        <f>"4694087274"</f>
        <v>4694087274</v>
      </c>
      <c r="E13555" s="2" t="s">
        <v>50</v>
      </c>
      <c r="F13555" s="2" t="s">
        <v>2378</v>
      </c>
      <c r="G13555" s="2" t="str">
        <f>"SR-17273"</f>
        <v>SR-17273</v>
      </c>
      <c r="H13555" s="2" t="s">
        <v>26845</v>
      </c>
      <c r="I13555" s="2" t="s">
        <v>20895</v>
      </c>
      <c r="K13555" s="2" t="s">
        <v>615</v>
      </c>
      <c r="L13555" s="2" t="s">
        <v>172</v>
      </c>
      <c r="M13555" s="2">
        <v>75071.0</v>
      </c>
      <c r="N13555" s="2" t="s">
        <v>21</v>
      </c>
    </row>
    <row r="13556" ht="15.75" customHeight="1">
      <c r="A13556" s="2">
        <v>2020.0</v>
      </c>
      <c r="B13556" s="2" t="s">
        <v>53457</v>
      </c>
      <c r="C13556" s="2" t="s">
        <v>53458</v>
      </c>
      <c r="D13556" s="2" t="str">
        <f>"6128108235"</f>
        <v>6128108235</v>
      </c>
      <c r="E13556" s="2" t="s">
        <v>21829</v>
      </c>
      <c r="F13556" s="2" t="s">
        <v>53459</v>
      </c>
      <c r="G13556" s="2" t="str">
        <f>"SR-19222"</f>
        <v>SR-19222</v>
      </c>
      <c r="H13556" s="2" t="s">
        <v>53460</v>
      </c>
      <c r="I13556" s="2" t="s">
        <v>53461</v>
      </c>
      <c r="K13556" s="2" t="s">
        <v>3109</v>
      </c>
      <c r="L13556" s="2" t="s">
        <v>62</v>
      </c>
      <c r="M13556" s="2">
        <v>55439.0</v>
      </c>
      <c r="N13556" s="2" t="s">
        <v>21</v>
      </c>
    </row>
    <row r="13557" ht="15.75" customHeight="1">
      <c r="A13557" s="2">
        <v>2020.0</v>
      </c>
      <c r="B13557" s="2" t="s">
        <v>53462</v>
      </c>
      <c r="C13557" s="2" t="s">
        <v>53462</v>
      </c>
      <c r="D13557" s="2" t="str">
        <f>"4059902236"</f>
        <v>4059902236</v>
      </c>
      <c r="E13557" s="2" t="s">
        <v>485</v>
      </c>
      <c r="F13557" s="2" t="s">
        <v>8787</v>
      </c>
      <c r="G13557" s="2" t="str">
        <f>"SR-19224"</f>
        <v>SR-19224</v>
      </c>
      <c r="H13557" s="2" t="s">
        <v>53463</v>
      </c>
      <c r="I13557" s="2" t="s">
        <v>53464</v>
      </c>
      <c r="K13557" s="2" t="s">
        <v>6622</v>
      </c>
      <c r="L13557" s="2" t="s">
        <v>840</v>
      </c>
      <c r="M13557" s="2">
        <v>73120.0</v>
      </c>
      <c r="N13557" s="2" t="s">
        <v>21</v>
      </c>
    </row>
    <row r="13558" ht="15.75" customHeight="1">
      <c r="A13558" s="2">
        <v>2020.0</v>
      </c>
      <c r="B13558" s="2" t="s">
        <v>53465</v>
      </c>
      <c r="D13558" s="2" t="str">
        <f>""</f>
        <v/>
      </c>
      <c r="E13558" s="2" t="s">
        <v>528</v>
      </c>
      <c r="F13558" s="2" t="s">
        <v>53466</v>
      </c>
      <c r="G13558" s="2" t="str">
        <f>"SR-18384"</f>
        <v>SR-18384</v>
      </c>
      <c r="H13558" s="2" t="s">
        <v>53467</v>
      </c>
    </row>
    <row r="13559" ht="15.75" customHeight="1">
      <c r="A13559" s="2">
        <v>2020.0</v>
      </c>
      <c r="B13559" s="2" t="s">
        <v>53468</v>
      </c>
      <c r="C13559" s="2" t="s">
        <v>53468</v>
      </c>
      <c r="D13559" s="2" t="str">
        <f>"270-227-2418"</f>
        <v>270-227-2418</v>
      </c>
      <c r="E13559" s="2" t="s">
        <v>843</v>
      </c>
      <c r="F13559" s="2" t="s">
        <v>1151</v>
      </c>
      <c r="G13559" s="2" t="str">
        <f>"SR-19215"</f>
        <v>SR-19215</v>
      </c>
      <c r="H13559" s="2" t="s">
        <v>53469</v>
      </c>
      <c r="I13559" s="2" t="s">
        <v>53470</v>
      </c>
      <c r="K13559" s="2" t="s">
        <v>809</v>
      </c>
      <c r="L13559" s="2" t="s">
        <v>157</v>
      </c>
      <c r="M13559" s="2">
        <v>80915.0</v>
      </c>
      <c r="N13559" s="2" t="s">
        <v>21</v>
      </c>
    </row>
    <row r="13560" ht="15.75" customHeight="1">
      <c r="A13560" s="2">
        <v>2020.0</v>
      </c>
      <c r="B13560" s="2" t="s">
        <v>53471</v>
      </c>
      <c r="C13560" s="2" t="s">
        <v>53472</v>
      </c>
      <c r="D13560" s="2" t="str">
        <f t="shared" ref="D13560:D13561" si="230">"7033809917"</f>
        <v>7033809917</v>
      </c>
      <c r="E13560" s="2" t="s">
        <v>2851</v>
      </c>
      <c r="F13560" s="2" t="s">
        <v>53473</v>
      </c>
      <c r="G13560" s="2" t="str">
        <f>"SR-19228"</f>
        <v>SR-19228</v>
      </c>
      <c r="H13560" s="2" t="s">
        <v>53474</v>
      </c>
      <c r="I13560" s="2" t="s">
        <v>53475</v>
      </c>
      <c r="K13560" s="2" t="s">
        <v>43996</v>
      </c>
      <c r="L13560" s="2" t="s">
        <v>165</v>
      </c>
      <c r="M13560" s="2">
        <v>22039.0</v>
      </c>
      <c r="N13560" s="2" t="s">
        <v>21</v>
      </c>
    </row>
    <row r="13561" ht="15.75" customHeight="1">
      <c r="A13561" s="2">
        <v>2020.0</v>
      </c>
      <c r="B13561" s="2" t="s">
        <v>53471</v>
      </c>
      <c r="C13561" s="2" t="s">
        <v>53476</v>
      </c>
      <c r="D13561" s="2" t="str">
        <f t="shared" si="230"/>
        <v>7033809917</v>
      </c>
      <c r="E13561" s="2" t="s">
        <v>301</v>
      </c>
      <c r="F13561" s="2" t="s">
        <v>53473</v>
      </c>
      <c r="G13561" s="2" t="str">
        <f>"SR-19099"</f>
        <v>SR-19099</v>
      </c>
      <c r="H13561" s="2" t="s">
        <v>53477</v>
      </c>
      <c r="I13561" s="2" t="s">
        <v>53475</v>
      </c>
      <c r="K13561" s="2" t="s">
        <v>43996</v>
      </c>
      <c r="L13561" s="2" t="s">
        <v>165</v>
      </c>
      <c r="M13561" s="2">
        <v>22039.0</v>
      </c>
      <c r="N13561" s="2" t="s">
        <v>21</v>
      </c>
    </row>
    <row r="13562" ht="15.75" customHeight="1">
      <c r="A13562" s="2">
        <v>2020.0</v>
      </c>
      <c r="B13562" s="2" t="s">
        <v>53478</v>
      </c>
      <c r="C13562" s="2" t="s">
        <v>53478</v>
      </c>
      <c r="D13562" s="2" t="str">
        <f>"3033493147"</f>
        <v>3033493147</v>
      </c>
      <c r="E13562" s="2" t="s">
        <v>7316</v>
      </c>
      <c r="F13562" s="2" t="s">
        <v>16497</v>
      </c>
      <c r="G13562" s="2" t="str">
        <f>"SR-19111"</f>
        <v>SR-19111</v>
      </c>
      <c r="H13562" s="2" t="s">
        <v>53479</v>
      </c>
      <c r="I13562" s="2" t="s">
        <v>53480</v>
      </c>
      <c r="K13562" s="2" t="s">
        <v>46564</v>
      </c>
      <c r="L13562" s="2" t="s">
        <v>142</v>
      </c>
      <c r="M13562" s="2">
        <v>10010.0</v>
      </c>
      <c r="N13562" s="2" t="s">
        <v>21</v>
      </c>
    </row>
    <row r="13563" ht="15.75" customHeight="1">
      <c r="A13563" s="2">
        <v>2020.0</v>
      </c>
      <c r="B13563" s="2" t="s">
        <v>53471</v>
      </c>
      <c r="C13563" s="2" t="s">
        <v>53481</v>
      </c>
      <c r="D13563" s="2" t="str">
        <f>"7033809917"</f>
        <v>7033809917</v>
      </c>
      <c r="E13563" s="2" t="s">
        <v>4224</v>
      </c>
      <c r="F13563" s="2" t="s">
        <v>53473</v>
      </c>
      <c r="G13563" s="2" t="str">
        <f>"SR-19227"</f>
        <v>SR-19227</v>
      </c>
      <c r="H13563" s="2" t="s">
        <v>53482</v>
      </c>
      <c r="I13563" s="2" t="s">
        <v>53475</v>
      </c>
      <c r="K13563" s="2" t="s">
        <v>43996</v>
      </c>
      <c r="L13563" s="2" t="s">
        <v>165</v>
      </c>
      <c r="M13563" s="2">
        <v>22039.0</v>
      </c>
      <c r="N13563" s="2" t="s">
        <v>21</v>
      </c>
    </row>
    <row r="13564" ht="15.75" customHeight="1">
      <c r="A13564" s="2">
        <v>2020.0</v>
      </c>
      <c r="B13564" s="2" t="s">
        <v>53483</v>
      </c>
      <c r="C13564" s="2" t="s">
        <v>53484</v>
      </c>
      <c r="D13564" s="2" t="str">
        <f>"2102543588"</f>
        <v>2102543588</v>
      </c>
      <c r="E13564" s="2" t="s">
        <v>167</v>
      </c>
      <c r="F13564" s="2" t="s">
        <v>53485</v>
      </c>
      <c r="G13564" s="2" t="str">
        <f>"SR-19229"</f>
        <v>SR-19229</v>
      </c>
      <c r="H13564" s="2" t="s">
        <v>53486</v>
      </c>
      <c r="I13564" s="2" t="s">
        <v>53487</v>
      </c>
      <c r="K13564" s="2" t="s">
        <v>16460</v>
      </c>
      <c r="L13564" s="2" t="s">
        <v>172</v>
      </c>
      <c r="M13564" s="2">
        <v>78023.0</v>
      </c>
      <c r="N13564" s="2" t="s">
        <v>21</v>
      </c>
    </row>
    <row r="13565" ht="15.75" customHeight="1">
      <c r="A13565" s="2">
        <v>2020.0</v>
      </c>
      <c r="B13565" s="2" t="s">
        <v>53488</v>
      </c>
      <c r="C13565" s="2" t="s">
        <v>53489</v>
      </c>
      <c r="D13565" s="2" t="str">
        <f>"772-584-7089"</f>
        <v>772-584-7089</v>
      </c>
      <c r="E13565" s="2" t="s">
        <v>301</v>
      </c>
      <c r="F13565" s="2" t="s">
        <v>4120</v>
      </c>
      <c r="G13565" s="2" t="str">
        <f>"SR-19231"</f>
        <v>SR-19231</v>
      </c>
      <c r="H13565" s="2" t="s">
        <v>53490</v>
      </c>
      <c r="I13565" s="2" t="s">
        <v>53491</v>
      </c>
      <c r="K13565" s="2" t="s">
        <v>11560</v>
      </c>
      <c r="L13565" s="2" t="s">
        <v>208</v>
      </c>
      <c r="M13565" s="2">
        <v>32960.0</v>
      </c>
      <c r="N13565" s="2" t="s">
        <v>21</v>
      </c>
    </row>
    <row r="13566" ht="15.75" customHeight="1">
      <c r="A13566" s="2">
        <v>2020.0</v>
      </c>
      <c r="B13566" s="2" t="s">
        <v>53492</v>
      </c>
      <c r="C13566" s="2" t="s">
        <v>53492</v>
      </c>
      <c r="D13566" s="2" t="str">
        <f>"(316)-640-6327"</f>
        <v>(316)-640-6327</v>
      </c>
      <c r="E13566" s="2" t="s">
        <v>3305</v>
      </c>
      <c r="F13566" s="2" t="s">
        <v>4098</v>
      </c>
      <c r="G13566" s="2" t="str">
        <f>"SR-18931"</f>
        <v>SR-18931</v>
      </c>
      <c r="H13566" s="2" t="s">
        <v>53493</v>
      </c>
      <c r="I13566" s="2" t="s">
        <v>53494</v>
      </c>
      <c r="K13566" s="2" t="s">
        <v>7767</v>
      </c>
      <c r="L13566" s="2" t="s">
        <v>272</v>
      </c>
      <c r="M13566" s="2">
        <v>67147.0</v>
      </c>
      <c r="N13566" s="2" t="s">
        <v>21</v>
      </c>
    </row>
    <row r="13567" ht="15.75" customHeight="1">
      <c r="A13567" s="2">
        <v>2020.0</v>
      </c>
      <c r="B13567" s="2" t="s">
        <v>53495</v>
      </c>
      <c r="C13567" s="2" t="s">
        <v>53495</v>
      </c>
      <c r="D13567" s="2" t="str">
        <f>"587-297-0234"</f>
        <v>587-297-0234</v>
      </c>
      <c r="E13567" s="2" t="s">
        <v>326</v>
      </c>
      <c r="F13567" s="2" t="s">
        <v>9650</v>
      </c>
      <c r="G13567" s="2" t="str">
        <f>"SR-18961"</f>
        <v>SR-18961</v>
      </c>
      <c r="H13567" s="2" t="s">
        <v>53496</v>
      </c>
      <c r="I13567" s="2" t="s">
        <v>53497</v>
      </c>
      <c r="K13567" s="2" t="s">
        <v>53498</v>
      </c>
      <c r="L13567" s="2" t="s">
        <v>6726</v>
      </c>
      <c r="M13567" s="2" t="s">
        <v>53499</v>
      </c>
      <c r="N13567" s="2" t="s">
        <v>1602</v>
      </c>
    </row>
    <row r="13568" ht="15.75" customHeight="1">
      <c r="A13568" s="2">
        <v>2020.0</v>
      </c>
      <c r="B13568" s="2" t="s">
        <v>53500</v>
      </c>
      <c r="C13568" s="2" t="s">
        <v>53501</v>
      </c>
      <c r="D13568" s="2" t="str">
        <f>"401-318-0793"</f>
        <v>401-318-0793</v>
      </c>
      <c r="E13568" s="2" t="s">
        <v>1076</v>
      </c>
      <c r="F13568" s="2" t="s">
        <v>53502</v>
      </c>
      <c r="G13568" s="2" t="str">
        <f>"SR-19244"</f>
        <v>SR-19244</v>
      </c>
      <c r="H13568" s="2" t="s">
        <v>53503</v>
      </c>
      <c r="I13568" s="2" t="s">
        <v>53504</v>
      </c>
      <c r="K13568" s="2" t="s">
        <v>54</v>
      </c>
      <c r="L13568" s="2" t="s">
        <v>26016</v>
      </c>
      <c r="M13568" s="2">
        <v>2828.0</v>
      </c>
      <c r="N13568" s="2" t="s">
        <v>21</v>
      </c>
    </row>
    <row r="13569" ht="15.75" customHeight="1">
      <c r="A13569" s="2">
        <v>2020.0</v>
      </c>
      <c r="B13569" s="2" t="s">
        <v>53505</v>
      </c>
      <c r="D13569" s="2" t="str">
        <f>""</f>
        <v/>
      </c>
      <c r="E13569" s="2" t="s">
        <v>53506</v>
      </c>
      <c r="F13569" s="2" t="s">
        <v>53507</v>
      </c>
      <c r="G13569" s="2" t="str">
        <f>"SR-15368"</f>
        <v>SR-15368</v>
      </c>
      <c r="H13569" s="2" t="s">
        <v>53508</v>
      </c>
      <c r="N13569" s="2" t="s">
        <v>21</v>
      </c>
    </row>
    <row r="13570" ht="15.75" customHeight="1">
      <c r="A13570" s="2">
        <v>2020.0</v>
      </c>
      <c r="B13570" s="2" t="s">
        <v>53509</v>
      </c>
      <c r="C13570" s="2" t="s">
        <v>53510</v>
      </c>
      <c r="D13570" s="2" t="str">
        <f>"319-249-8551"</f>
        <v>319-249-8551</v>
      </c>
      <c r="E13570" s="2" t="s">
        <v>651</v>
      </c>
      <c r="F13570" s="2" t="s">
        <v>9998</v>
      </c>
      <c r="G13570" s="2" t="str">
        <f>"SR-19245"</f>
        <v>SR-19245</v>
      </c>
      <c r="H13570" s="2" t="s">
        <v>53511</v>
      </c>
      <c r="I13570" s="2" t="s">
        <v>53512</v>
      </c>
      <c r="K13570" s="2" t="s">
        <v>3273</v>
      </c>
      <c r="L13570" s="2" t="s">
        <v>560</v>
      </c>
      <c r="M13570" s="2">
        <v>52402.0</v>
      </c>
      <c r="N13570" s="2" t="s">
        <v>21</v>
      </c>
    </row>
    <row r="13571" ht="15.75" customHeight="1">
      <c r="A13571" s="2">
        <v>2020.0</v>
      </c>
      <c r="B13571" s="2" t="s">
        <v>53513</v>
      </c>
      <c r="C13571" s="2" t="s">
        <v>53513</v>
      </c>
      <c r="D13571" s="2" t="str">
        <f>"3176954395"</f>
        <v>3176954395</v>
      </c>
      <c r="E13571" s="2" t="s">
        <v>1000</v>
      </c>
      <c r="F13571" s="2" t="s">
        <v>53514</v>
      </c>
      <c r="G13571" s="2" t="str">
        <f>"SR-19248"</f>
        <v>SR-19248</v>
      </c>
      <c r="H13571" s="2" t="s">
        <v>53515</v>
      </c>
      <c r="I13571" s="2" t="s">
        <v>53516</v>
      </c>
      <c r="K13571" s="2" t="s">
        <v>1188</v>
      </c>
      <c r="L13571" s="2" t="s">
        <v>149</v>
      </c>
      <c r="M13571" s="2">
        <v>46228.0</v>
      </c>
      <c r="N13571" s="2" t="s">
        <v>21</v>
      </c>
    </row>
    <row r="13572" ht="15.75" customHeight="1">
      <c r="A13572" s="2">
        <v>2020.0</v>
      </c>
      <c r="B13572" s="2" t="s">
        <v>53517</v>
      </c>
      <c r="C13572" s="2" t="s">
        <v>53517</v>
      </c>
      <c r="D13572" s="2" t="str">
        <f>"253-238-6416"</f>
        <v>253-238-6416</v>
      </c>
      <c r="E13572" s="2" t="s">
        <v>1263</v>
      </c>
      <c r="F13572" s="2" t="s">
        <v>53518</v>
      </c>
      <c r="G13572" s="2" t="str">
        <f>"SR-19247"</f>
        <v>SR-19247</v>
      </c>
      <c r="H13572" s="2" t="s">
        <v>53519</v>
      </c>
      <c r="I13572" s="2" t="s">
        <v>53520</v>
      </c>
      <c r="K13572" s="2" t="s">
        <v>26389</v>
      </c>
      <c r="N13572" s="2" t="s">
        <v>7784</v>
      </c>
    </row>
    <row r="13573" ht="15.75" customHeight="1">
      <c r="A13573" s="2">
        <v>2020.0</v>
      </c>
      <c r="B13573" s="2" t="s">
        <v>53521</v>
      </c>
      <c r="C13573" s="2" t="s">
        <v>53521</v>
      </c>
      <c r="D13573" s="2" t="str">
        <f>"4068605940"</f>
        <v>4068605940</v>
      </c>
      <c r="E13573" s="2" t="s">
        <v>29808</v>
      </c>
      <c r="F13573" s="2" t="s">
        <v>1175</v>
      </c>
      <c r="G13573" s="2" t="str">
        <f>"SR-19249"</f>
        <v>SR-19249</v>
      </c>
      <c r="H13573" s="2" t="s">
        <v>53522</v>
      </c>
      <c r="I13573" s="2" t="s">
        <v>53523</v>
      </c>
      <c r="K13573" s="2" t="s">
        <v>5732</v>
      </c>
      <c r="L13573" s="2" t="s">
        <v>2696</v>
      </c>
      <c r="M13573" s="2">
        <v>59044.0</v>
      </c>
      <c r="N13573" s="2" t="s">
        <v>21</v>
      </c>
    </row>
    <row r="13574" ht="15.75" customHeight="1">
      <c r="A13574" s="2">
        <v>2020.0</v>
      </c>
      <c r="B13574" s="2" t="s">
        <v>53524</v>
      </c>
      <c r="C13574" s="2" t="s">
        <v>53524</v>
      </c>
      <c r="D13574" s="2" t="str">
        <f>"775-325-4782"</f>
        <v>775-325-4782</v>
      </c>
      <c r="E13574" s="2" t="s">
        <v>332</v>
      </c>
      <c r="F13574" s="2" t="s">
        <v>44701</v>
      </c>
      <c r="G13574" s="2" t="str">
        <f>"SR-19217"</f>
        <v>SR-19217</v>
      </c>
      <c r="H13574" s="2" t="s">
        <v>53525</v>
      </c>
      <c r="I13574" s="2" t="s">
        <v>53526</v>
      </c>
      <c r="K13574" s="2" t="s">
        <v>43930</v>
      </c>
      <c r="L13574" s="2" t="s">
        <v>1419</v>
      </c>
      <c r="M13574" s="2">
        <v>89521.0</v>
      </c>
      <c r="N13574" s="2" t="s">
        <v>21</v>
      </c>
    </row>
    <row r="13575" ht="15.75" customHeight="1">
      <c r="A13575" s="2">
        <v>2020.0</v>
      </c>
      <c r="B13575" s="2" t="s">
        <v>53527</v>
      </c>
      <c r="C13575" s="2" t="s">
        <v>53528</v>
      </c>
      <c r="D13575" s="2" t="str">
        <f>"719-502-9414"</f>
        <v>719-502-9414</v>
      </c>
      <c r="E13575" s="2" t="s">
        <v>261</v>
      </c>
      <c r="F13575" s="2" t="s">
        <v>53529</v>
      </c>
      <c r="G13575" s="2" t="str">
        <f>"SR-4750"</f>
        <v>SR-4750</v>
      </c>
      <c r="H13575" s="2" t="s">
        <v>53530</v>
      </c>
      <c r="I13575" s="2" t="s">
        <v>53531</v>
      </c>
      <c r="K13575" s="2" t="s">
        <v>809</v>
      </c>
      <c r="L13575" s="2" t="s">
        <v>157</v>
      </c>
      <c r="M13575" s="2">
        <v>80918.0</v>
      </c>
      <c r="N13575" s="2" t="s">
        <v>21</v>
      </c>
    </row>
    <row r="13576" ht="15.75" customHeight="1">
      <c r="A13576" s="2">
        <v>2020.0</v>
      </c>
      <c r="B13576" s="2" t="s">
        <v>53532</v>
      </c>
      <c r="C13576" s="2" t="s">
        <v>53533</v>
      </c>
      <c r="D13576" s="2" t="str">
        <f>"952-300-5847"</f>
        <v>952-300-5847</v>
      </c>
      <c r="E13576" s="2" t="s">
        <v>5335</v>
      </c>
      <c r="F13576" s="2" t="s">
        <v>3598</v>
      </c>
      <c r="G13576" s="2" t="str">
        <f>"SR-19254"</f>
        <v>SR-19254</v>
      </c>
      <c r="H13576" s="2" t="s">
        <v>53534</v>
      </c>
      <c r="I13576" s="2" t="s">
        <v>53535</v>
      </c>
      <c r="K13576" s="2" t="s">
        <v>5356</v>
      </c>
      <c r="L13576" s="2" t="s">
        <v>62</v>
      </c>
      <c r="M13576" s="2">
        <v>56071.0</v>
      </c>
      <c r="N13576" s="2" t="s">
        <v>21</v>
      </c>
    </row>
    <row r="13577" ht="15.75" customHeight="1">
      <c r="A13577" s="2">
        <v>2020.0</v>
      </c>
      <c r="B13577" s="2" t="s">
        <v>53536</v>
      </c>
      <c r="C13577" s="2" t="s">
        <v>53537</v>
      </c>
      <c r="D13577" s="2" t="str">
        <f>"5712756676"</f>
        <v>5712756676</v>
      </c>
      <c r="E13577" s="2" t="s">
        <v>53538</v>
      </c>
      <c r="F13577" s="2" t="s">
        <v>53539</v>
      </c>
      <c r="G13577" s="2" t="str">
        <f>"SR-19148"</f>
        <v>SR-19148</v>
      </c>
      <c r="H13577" s="2" t="s">
        <v>53540</v>
      </c>
      <c r="I13577" s="2" t="s">
        <v>53541</v>
      </c>
      <c r="K13577" s="2" t="s">
        <v>53542</v>
      </c>
      <c r="L13577" s="2" t="s">
        <v>165</v>
      </c>
      <c r="M13577" s="2">
        <v>20180.0</v>
      </c>
      <c r="N13577" s="2" t="s">
        <v>21</v>
      </c>
    </row>
    <row r="13578" ht="15.75" customHeight="1">
      <c r="A13578" s="2">
        <v>2020.0</v>
      </c>
      <c r="B13578" s="2" t="s">
        <v>53543</v>
      </c>
      <c r="C13578" s="2" t="s">
        <v>53544</v>
      </c>
      <c r="D13578" s="2" t="str">
        <f>"7037272250"</f>
        <v>7037272250</v>
      </c>
      <c r="E13578" s="2" t="s">
        <v>1022</v>
      </c>
      <c r="F13578" s="2" t="s">
        <v>6824</v>
      </c>
      <c r="G13578" s="2" t="str">
        <f>"SR-19118"</f>
        <v>SR-19118</v>
      </c>
      <c r="H13578" s="2" t="s">
        <v>53545</v>
      </c>
      <c r="I13578" s="2" t="s">
        <v>53546</v>
      </c>
      <c r="K13578" s="2" t="s">
        <v>20843</v>
      </c>
      <c r="L13578" s="2" t="s">
        <v>165</v>
      </c>
      <c r="M13578" s="2">
        <v>20148.0</v>
      </c>
      <c r="N13578" s="2" t="s">
        <v>21</v>
      </c>
    </row>
    <row r="13579" ht="15.75" customHeight="1">
      <c r="A13579" s="2">
        <v>2020.0</v>
      </c>
      <c r="B13579" s="2" t="s">
        <v>53547</v>
      </c>
      <c r="C13579" s="2" t="s">
        <v>53548</v>
      </c>
      <c r="D13579" s="2" t="str">
        <f>"2025507288"</f>
        <v>2025507288</v>
      </c>
      <c r="E13579" s="2" t="s">
        <v>26526</v>
      </c>
      <c r="F13579" s="2" t="s">
        <v>53549</v>
      </c>
      <c r="G13579" s="2" t="str">
        <f>"SR-19263"</f>
        <v>SR-19263</v>
      </c>
      <c r="H13579" s="2" t="s">
        <v>53550</v>
      </c>
      <c r="I13579" s="2" t="s">
        <v>53551</v>
      </c>
      <c r="K13579" s="2" t="s">
        <v>53552</v>
      </c>
      <c r="L13579" s="2" t="s">
        <v>53553</v>
      </c>
      <c r="M13579" s="2">
        <v>34004.0</v>
      </c>
      <c r="N13579" s="2" t="s">
        <v>21</v>
      </c>
    </row>
    <row r="13580" ht="15.75" customHeight="1">
      <c r="A13580" s="2">
        <v>2020.0</v>
      </c>
      <c r="B13580" s="2" t="s">
        <v>53554</v>
      </c>
      <c r="C13580" s="2" t="s">
        <v>53555</v>
      </c>
      <c r="D13580" s="2" t="str">
        <f>"620-245-1740"</f>
        <v>620-245-1740</v>
      </c>
      <c r="E13580" s="2" t="s">
        <v>4224</v>
      </c>
      <c r="F13580" s="2" t="s">
        <v>13275</v>
      </c>
      <c r="G13580" s="2" t="str">
        <f>"SR-19268"</f>
        <v>SR-19268</v>
      </c>
      <c r="H13580" s="2" t="s">
        <v>53556</v>
      </c>
      <c r="I13580" s="2" t="s">
        <v>53557</v>
      </c>
      <c r="K13580" s="2" t="s">
        <v>11586</v>
      </c>
      <c r="L13580" s="2" t="s">
        <v>272</v>
      </c>
      <c r="M13580" s="2">
        <v>67546.0</v>
      </c>
      <c r="N13580" s="2" t="s">
        <v>21</v>
      </c>
    </row>
    <row r="13581" ht="15.75" customHeight="1">
      <c r="A13581" s="2">
        <v>2020.0</v>
      </c>
      <c r="B13581" s="2" t="s">
        <v>53558</v>
      </c>
      <c r="C13581" s="2" t="s">
        <v>53558</v>
      </c>
      <c r="D13581" s="2" t="str">
        <f>"425-577-3490"</f>
        <v>425-577-3490</v>
      </c>
      <c r="E13581" s="2" t="s">
        <v>13107</v>
      </c>
      <c r="F13581" s="2" t="s">
        <v>53559</v>
      </c>
      <c r="G13581" s="2" t="str">
        <f>"SR-19270"</f>
        <v>SR-19270</v>
      </c>
      <c r="H13581" s="2" t="s">
        <v>53560</v>
      </c>
      <c r="I13581" s="2" t="s">
        <v>53561</v>
      </c>
      <c r="K13581" s="2" t="s">
        <v>24528</v>
      </c>
      <c r="L13581" s="2" t="s">
        <v>86</v>
      </c>
      <c r="M13581" s="2">
        <v>98033.0</v>
      </c>
      <c r="N13581" s="2" t="s">
        <v>21</v>
      </c>
    </row>
    <row r="13582" ht="15.75" customHeight="1">
      <c r="A13582" s="2">
        <v>2020.0</v>
      </c>
      <c r="B13582" s="2" t="s">
        <v>47850</v>
      </c>
      <c r="C13582" s="2" t="s">
        <v>53562</v>
      </c>
      <c r="D13582" s="2" t="str">
        <f>"2707917216"</f>
        <v>2707917216</v>
      </c>
      <c r="E13582" s="2" t="s">
        <v>456</v>
      </c>
      <c r="F13582" s="2" t="s">
        <v>25361</v>
      </c>
      <c r="G13582" s="2" t="str">
        <f>"SR-16771"</f>
        <v>SR-16771</v>
      </c>
      <c r="H13582" s="2" t="s">
        <v>53563</v>
      </c>
      <c r="I13582" s="2" t="s">
        <v>53564</v>
      </c>
      <c r="K13582" s="2" t="s">
        <v>22040</v>
      </c>
      <c r="L13582" s="2" t="s">
        <v>1236</v>
      </c>
      <c r="M13582" s="2">
        <v>42159.0</v>
      </c>
      <c r="N13582" s="2" t="s">
        <v>21</v>
      </c>
    </row>
    <row r="13583" ht="15.75" customHeight="1">
      <c r="A13583" s="2">
        <v>2020.0</v>
      </c>
      <c r="B13583" s="2" t="s">
        <v>53565</v>
      </c>
      <c r="C13583" s="2" t="s">
        <v>53565</v>
      </c>
      <c r="D13583" s="2" t="str">
        <f>"9703728398"</f>
        <v>9703728398</v>
      </c>
      <c r="E13583" s="2" t="s">
        <v>1054</v>
      </c>
      <c r="F13583" s="2" t="s">
        <v>13350</v>
      </c>
      <c r="G13583" s="2" t="str">
        <f>"SR-19271"</f>
        <v>SR-19271</v>
      </c>
      <c r="H13583" s="2" t="s">
        <v>53566</v>
      </c>
      <c r="I13583" s="2" t="s">
        <v>53567</v>
      </c>
      <c r="K13583" s="2" t="s">
        <v>656</v>
      </c>
      <c r="L13583" s="2" t="s">
        <v>157</v>
      </c>
      <c r="M13583" s="2">
        <v>80521.0</v>
      </c>
      <c r="N13583" s="2" t="s">
        <v>21</v>
      </c>
    </row>
    <row r="13584" ht="15.75" customHeight="1">
      <c r="A13584" s="2">
        <v>2020.0</v>
      </c>
      <c r="B13584" s="2" t="s">
        <v>53568</v>
      </c>
      <c r="C13584" s="2" t="s">
        <v>53569</v>
      </c>
      <c r="D13584" s="2" t="str">
        <f>"2392337129"</f>
        <v>2392337129</v>
      </c>
      <c r="E13584" s="2" t="s">
        <v>22942</v>
      </c>
      <c r="F13584" s="2" t="s">
        <v>53570</v>
      </c>
      <c r="G13584" s="2" t="str">
        <f>"SR-19273"</f>
        <v>SR-19273</v>
      </c>
      <c r="H13584" s="2" t="s">
        <v>53571</v>
      </c>
      <c r="I13584" s="2" t="s">
        <v>53572</v>
      </c>
      <c r="K13584" s="2" t="s">
        <v>53573</v>
      </c>
      <c r="L13584" s="2" t="s">
        <v>208</v>
      </c>
      <c r="M13584" s="2">
        <v>33957.0</v>
      </c>
      <c r="N13584" s="2" t="s">
        <v>21</v>
      </c>
    </row>
    <row r="13585" ht="15.75" customHeight="1">
      <c r="A13585" s="2">
        <v>2020.0</v>
      </c>
      <c r="B13585" s="2" t="s">
        <v>53574</v>
      </c>
      <c r="C13585" s="2" t="s">
        <v>53575</v>
      </c>
      <c r="D13585" s="2" t="str">
        <f>"515-451-5171‚Ä¨"</f>
        <v>515-451-5171‚Ä¨</v>
      </c>
      <c r="E13585" s="2" t="s">
        <v>4224</v>
      </c>
      <c r="F13585" s="2" t="s">
        <v>53576</v>
      </c>
      <c r="G13585" s="2" t="str">
        <f>"SR-19279"</f>
        <v>SR-19279</v>
      </c>
      <c r="H13585" s="2" t="s">
        <v>53577</v>
      </c>
      <c r="I13585" s="2" t="s">
        <v>53578</v>
      </c>
      <c r="K13585" s="2" t="s">
        <v>6354</v>
      </c>
      <c r="L13585" s="2" t="s">
        <v>560</v>
      </c>
      <c r="M13585" s="2">
        <v>50014.0</v>
      </c>
      <c r="N13585" s="2" t="s">
        <v>21</v>
      </c>
    </row>
    <row r="13586" ht="15.75" customHeight="1">
      <c r="A13586" s="2">
        <v>2020.0</v>
      </c>
      <c r="B13586" s="2" t="s">
        <v>53574</v>
      </c>
      <c r="C13586" s="2" t="s">
        <v>53579</v>
      </c>
      <c r="D13586" s="2" t="str">
        <f>"(515) 451-6068‚Ä¨"</f>
        <v>(515) 451-6068‚Ä¨</v>
      </c>
      <c r="E13586" s="2" t="s">
        <v>14150</v>
      </c>
      <c r="F13586" s="2" t="s">
        <v>53576</v>
      </c>
      <c r="G13586" s="2" t="str">
        <f>"SR-19280"</f>
        <v>SR-19280</v>
      </c>
      <c r="H13586" s="2" t="s">
        <v>53580</v>
      </c>
      <c r="I13586" s="2" t="s">
        <v>53578</v>
      </c>
      <c r="K13586" s="2" t="s">
        <v>6354</v>
      </c>
      <c r="L13586" s="2" t="s">
        <v>560</v>
      </c>
      <c r="M13586" s="2">
        <v>50014.0</v>
      </c>
      <c r="N13586" s="2" t="s">
        <v>21</v>
      </c>
    </row>
    <row r="13587" ht="15.75" customHeight="1">
      <c r="A13587" s="2">
        <v>2020.0</v>
      </c>
      <c r="B13587" s="2" t="s">
        <v>53581</v>
      </c>
      <c r="C13587" s="2" t="s">
        <v>53581</v>
      </c>
      <c r="D13587" s="2" t="str">
        <f>"717-649-0993"</f>
        <v>717-649-0993</v>
      </c>
      <c r="E13587" s="2" t="s">
        <v>288</v>
      </c>
      <c r="F13587" s="2" t="s">
        <v>53582</v>
      </c>
      <c r="G13587" s="2" t="str">
        <f>"SR-19286"</f>
        <v>SR-19286</v>
      </c>
      <c r="H13587" s="2" t="s">
        <v>53583</v>
      </c>
      <c r="I13587" s="2" t="s">
        <v>53584</v>
      </c>
      <c r="K13587" s="2" t="s">
        <v>11184</v>
      </c>
      <c r="L13587" s="2" t="s">
        <v>179</v>
      </c>
      <c r="M13587" s="2">
        <v>17011.0</v>
      </c>
      <c r="N13587" s="2" t="s">
        <v>21</v>
      </c>
    </row>
    <row r="13588" ht="15.75" customHeight="1">
      <c r="A13588" s="2">
        <v>2020.0</v>
      </c>
      <c r="B13588" s="2" t="s">
        <v>47905</v>
      </c>
      <c r="C13588" s="2" t="s">
        <v>47905</v>
      </c>
      <c r="D13588" s="2" t="str">
        <f>"903-787-2962"</f>
        <v>903-787-2962</v>
      </c>
      <c r="E13588" s="2" t="s">
        <v>453</v>
      </c>
      <c r="F13588" s="2" t="s">
        <v>9139</v>
      </c>
      <c r="G13588" s="2" t="str">
        <f>"SR-19292"</f>
        <v>SR-19292</v>
      </c>
      <c r="H13588" s="2" t="s">
        <v>47906</v>
      </c>
      <c r="I13588" s="2" t="s">
        <v>47907</v>
      </c>
      <c r="K13588" s="2" t="s">
        <v>465</v>
      </c>
      <c r="L13588" s="2" t="s">
        <v>172</v>
      </c>
      <c r="M13588" s="2">
        <v>75707.0</v>
      </c>
      <c r="N13588" s="2" t="s">
        <v>21</v>
      </c>
    </row>
    <row r="13589" ht="15.75" customHeight="1">
      <c r="A13589" s="2">
        <v>2020.0</v>
      </c>
      <c r="B13589" s="2" t="s">
        <v>53585</v>
      </c>
      <c r="C13589" s="2" t="s">
        <v>53585</v>
      </c>
      <c r="D13589" s="2" t="str">
        <f>"97367351"</f>
        <v>97367351</v>
      </c>
      <c r="E13589" s="2" t="s">
        <v>53586</v>
      </c>
      <c r="F13589" s="2" t="s">
        <v>2753</v>
      </c>
      <c r="G13589" s="2" t="str">
        <f>"SR-19294"</f>
        <v>SR-19294</v>
      </c>
      <c r="H13589" s="2" t="s">
        <v>53587</v>
      </c>
      <c r="I13589" s="2" t="s">
        <v>53588</v>
      </c>
      <c r="K13589" s="2" t="s">
        <v>8433</v>
      </c>
      <c r="M13589" s="2">
        <v>805972.0</v>
      </c>
      <c r="N13589" s="2" t="s">
        <v>8433</v>
      </c>
    </row>
    <row r="13590" ht="15.75" customHeight="1">
      <c r="A13590" s="2">
        <v>2020.0</v>
      </c>
      <c r="B13590" s="2" t="s">
        <v>53589</v>
      </c>
      <c r="C13590" s="2" t="s">
        <v>53589</v>
      </c>
      <c r="D13590" s="2" t="str">
        <f>"+65 91390392"</f>
        <v>+65 91390392</v>
      </c>
      <c r="E13590" s="2" t="s">
        <v>53590</v>
      </c>
      <c r="F13590" s="2" t="s">
        <v>2753</v>
      </c>
      <c r="G13590" s="2" t="str">
        <f>"SR-19295"</f>
        <v>SR-19295</v>
      </c>
      <c r="H13590" s="2" t="s">
        <v>53591</v>
      </c>
      <c r="I13590" s="2" t="s">
        <v>53588</v>
      </c>
      <c r="K13590" s="2" t="s">
        <v>8433</v>
      </c>
      <c r="L13590" s="2" t="s">
        <v>8433</v>
      </c>
      <c r="M13590" s="2">
        <v>805972.0</v>
      </c>
      <c r="N13590" s="2" t="s">
        <v>8433</v>
      </c>
    </row>
    <row r="13591" ht="15.75" customHeight="1">
      <c r="A13591" s="2">
        <v>2020.0</v>
      </c>
      <c r="B13591" s="2" t="s">
        <v>53592</v>
      </c>
      <c r="C13591" s="2" t="s">
        <v>53592</v>
      </c>
      <c r="D13591" s="2" t="str">
        <f>"2818816784"</f>
        <v>2818816784</v>
      </c>
      <c r="E13591" s="2" t="s">
        <v>53593</v>
      </c>
      <c r="F13591" s="2" t="s">
        <v>53594</v>
      </c>
      <c r="G13591" s="2" t="str">
        <f>"SR-19296"</f>
        <v>SR-19296</v>
      </c>
      <c r="H13591" s="2" t="s">
        <v>53595</v>
      </c>
      <c r="I13591" s="2" t="s">
        <v>53596</v>
      </c>
      <c r="K13591" s="2" t="s">
        <v>2182</v>
      </c>
      <c r="L13591" s="2" t="s">
        <v>172</v>
      </c>
      <c r="M13591" s="2">
        <v>77479.0</v>
      </c>
      <c r="N13591" s="2" t="s">
        <v>21</v>
      </c>
    </row>
    <row r="13592" ht="15.75" customHeight="1">
      <c r="A13592" s="2">
        <v>2020.0</v>
      </c>
      <c r="B13592" s="2" t="s">
        <v>53597</v>
      </c>
      <c r="C13592" s="2" t="s">
        <v>53598</v>
      </c>
      <c r="D13592" s="2" t="str">
        <f>"7196512819"</f>
        <v>7196512819</v>
      </c>
      <c r="E13592" s="2" t="s">
        <v>6244</v>
      </c>
      <c r="F13592" s="2" t="s">
        <v>275</v>
      </c>
      <c r="G13592" s="2" t="str">
        <f>"SR-19293"</f>
        <v>SR-19293</v>
      </c>
      <c r="H13592" s="2" t="s">
        <v>53599</v>
      </c>
      <c r="I13592" s="2" t="s">
        <v>53600</v>
      </c>
      <c r="K13592" s="2" t="s">
        <v>12346</v>
      </c>
      <c r="L13592" s="2" t="s">
        <v>172</v>
      </c>
      <c r="M13592" s="2">
        <v>76932.0</v>
      </c>
      <c r="N13592" s="2" t="s">
        <v>21</v>
      </c>
    </row>
    <row r="13593" ht="15.75" customHeight="1">
      <c r="A13593" s="2">
        <v>2020.0</v>
      </c>
      <c r="B13593" s="2" t="s">
        <v>53601</v>
      </c>
      <c r="C13593" s="2" t="s">
        <v>53601</v>
      </c>
      <c r="D13593" s="2" t="str">
        <f>"2566510711"</f>
        <v>2566510711</v>
      </c>
      <c r="E13593" s="2" t="s">
        <v>203</v>
      </c>
      <c r="F13593" s="2" t="s">
        <v>428</v>
      </c>
      <c r="G13593" s="2" t="str">
        <f>"SR-19266"</f>
        <v>SR-19266</v>
      </c>
      <c r="H13593" s="2" t="s">
        <v>53602</v>
      </c>
      <c r="I13593" s="2" t="s">
        <v>53603</v>
      </c>
      <c r="K13593" s="2" t="s">
        <v>659</v>
      </c>
      <c r="L13593" s="2" t="s">
        <v>539</v>
      </c>
      <c r="M13593" s="2">
        <v>35758.0</v>
      </c>
      <c r="N13593" s="2" t="s">
        <v>21</v>
      </c>
    </row>
    <row r="13594" ht="15.75" customHeight="1">
      <c r="A13594" s="2">
        <v>2020.0</v>
      </c>
      <c r="B13594" s="2" t="s">
        <v>53408</v>
      </c>
      <c r="C13594" s="2" t="s">
        <v>53604</v>
      </c>
      <c r="D13594" s="2" t="str">
        <f>"405-301-9720"</f>
        <v>405-301-9720</v>
      </c>
      <c r="E13594" s="2" t="s">
        <v>1810</v>
      </c>
      <c r="F13594" s="2" t="s">
        <v>8787</v>
      </c>
      <c r="G13594" s="2" t="str">
        <f>"SR-19300"</f>
        <v>SR-19300</v>
      </c>
      <c r="H13594" s="2" t="s">
        <v>53605</v>
      </c>
      <c r="I13594" s="2" t="s">
        <v>53606</v>
      </c>
      <c r="K13594" s="2" t="s">
        <v>6622</v>
      </c>
      <c r="L13594" s="2" t="s">
        <v>840</v>
      </c>
      <c r="M13594" s="2">
        <v>73120.0</v>
      </c>
      <c r="N13594" s="2" t="s">
        <v>21</v>
      </c>
    </row>
    <row r="13595" ht="15.75" customHeight="1">
      <c r="A13595" s="2">
        <v>2020.0</v>
      </c>
      <c r="B13595" s="2" t="s">
        <v>53607</v>
      </c>
      <c r="C13595" s="2" t="s">
        <v>53608</v>
      </c>
      <c r="D13595" s="2" t="str">
        <f>"8133752790"</f>
        <v>8133752790</v>
      </c>
      <c r="E13595" s="2" t="s">
        <v>453</v>
      </c>
      <c r="F13595" s="2" t="s">
        <v>24530</v>
      </c>
      <c r="G13595" s="2" t="str">
        <f>"SR-19302"</f>
        <v>SR-19302</v>
      </c>
      <c r="H13595" s="2" t="s">
        <v>53609</v>
      </c>
      <c r="I13595" s="2" t="s">
        <v>24532</v>
      </c>
      <c r="K13595" s="2" t="s">
        <v>10437</v>
      </c>
      <c r="L13595" s="2" t="s">
        <v>208</v>
      </c>
      <c r="M13595" s="2">
        <v>33584.0</v>
      </c>
      <c r="N13595" s="2" t="s">
        <v>21</v>
      </c>
    </row>
    <row r="13596" ht="15.75" customHeight="1">
      <c r="A13596" s="2">
        <v>2020.0</v>
      </c>
      <c r="B13596" s="2" t="s">
        <v>30081</v>
      </c>
      <c r="C13596" s="2" t="s">
        <v>33171</v>
      </c>
      <c r="D13596" s="2" t="str">
        <f>"936-219-4787"</f>
        <v>936-219-4787</v>
      </c>
      <c r="E13596" s="2" t="s">
        <v>33172</v>
      </c>
      <c r="F13596" s="2" t="s">
        <v>30083</v>
      </c>
      <c r="G13596" s="2" t="str">
        <f>"SR-10707"</f>
        <v>SR-10707</v>
      </c>
      <c r="H13596" s="2" t="s">
        <v>33173</v>
      </c>
      <c r="I13596" s="2" t="s">
        <v>30085</v>
      </c>
      <c r="K13596" s="2" t="s">
        <v>7113</v>
      </c>
      <c r="L13596" s="2" t="s">
        <v>172</v>
      </c>
      <c r="M13596" s="2">
        <v>75904.0</v>
      </c>
      <c r="N13596" s="2" t="s">
        <v>21</v>
      </c>
    </row>
    <row r="13597" ht="15.75" customHeight="1">
      <c r="A13597" s="2">
        <v>2020.0</v>
      </c>
      <c r="B13597" s="2" t="s">
        <v>29557</v>
      </c>
      <c r="C13597" s="2" t="s">
        <v>53610</v>
      </c>
      <c r="D13597" s="2" t="str">
        <f>"669-204-8903"</f>
        <v>669-204-8903</v>
      </c>
      <c r="E13597" s="2" t="s">
        <v>7145</v>
      </c>
      <c r="F13597" s="2" t="s">
        <v>29559</v>
      </c>
      <c r="G13597" s="2" t="str">
        <f>"SR-19304"</f>
        <v>SR-19304</v>
      </c>
      <c r="H13597" s="2" t="s">
        <v>53611</v>
      </c>
      <c r="I13597" s="2" t="s">
        <v>53612</v>
      </c>
      <c r="K13597" s="2" t="s">
        <v>5826</v>
      </c>
      <c r="L13597" s="2" t="s">
        <v>222</v>
      </c>
      <c r="M13597" s="2">
        <v>95129.0</v>
      </c>
      <c r="N13597" s="2" t="s">
        <v>21</v>
      </c>
    </row>
    <row r="13598" ht="15.75" customHeight="1">
      <c r="A13598" s="2">
        <v>2020.0</v>
      </c>
      <c r="B13598" s="2" t="s">
        <v>53613</v>
      </c>
      <c r="C13598" s="2" t="s">
        <v>53614</v>
      </c>
      <c r="D13598" s="2" t="str">
        <f>"9016876406"</f>
        <v>9016876406</v>
      </c>
      <c r="E13598" s="2" t="s">
        <v>7996</v>
      </c>
      <c r="F13598" s="2" t="s">
        <v>52801</v>
      </c>
      <c r="G13598" s="2" t="str">
        <f>"SR-19306"</f>
        <v>SR-19306</v>
      </c>
      <c r="H13598" s="2" t="s">
        <v>53615</v>
      </c>
      <c r="I13598" s="2" t="s">
        <v>53616</v>
      </c>
      <c r="K13598" s="2" t="s">
        <v>26748</v>
      </c>
      <c r="L13598" s="2" t="s">
        <v>279</v>
      </c>
      <c r="M13598" s="2">
        <v>38053.0</v>
      </c>
      <c r="N13598" s="2" t="s">
        <v>21</v>
      </c>
    </row>
    <row r="13599" ht="15.75" customHeight="1">
      <c r="A13599" s="2">
        <v>2020.0</v>
      </c>
      <c r="B13599" s="2" t="s">
        <v>53617</v>
      </c>
      <c r="C13599" s="2" t="s">
        <v>53618</v>
      </c>
      <c r="D13599" s="2" t="str">
        <f>"951 595-5416"</f>
        <v>951 595-5416</v>
      </c>
      <c r="E13599" s="2" t="s">
        <v>6937</v>
      </c>
      <c r="F13599" s="2" t="s">
        <v>53619</v>
      </c>
      <c r="G13599" s="2" t="str">
        <f>"SR-18652"</f>
        <v>SR-18652</v>
      </c>
      <c r="H13599" s="2" t="s">
        <v>53620</v>
      </c>
      <c r="I13599" s="2" t="s">
        <v>53621</v>
      </c>
      <c r="K13599" s="2" t="s">
        <v>13793</v>
      </c>
      <c r="L13599" s="2" t="s">
        <v>222</v>
      </c>
      <c r="M13599" s="2">
        <v>92562.0</v>
      </c>
      <c r="N13599" s="2" t="s">
        <v>21</v>
      </c>
    </row>
    <row r="13600" ht="15.75" customHeight="1">
      <c r="A13600" s="2">
        <v>2020.0</v>
      </c>
      <c r="B13600" s="2" t="s">
        <v>53622</v>
      </c>
      <c r="C13600" s="2" t="s">
        <v>53622</v>
      </c>
      <c r="D13600" s="2" t="str">
        <f>"952-393-9537"</f>
        <v>952-393-9537</v>
      </c>
      <c r="E13600" s="2" t="s">
        <v>9513</v>
      </c>
      <c r="F13600" s="2" t="s">
        <v>8134</v>
      </c>
      <c r="G13600" s="2" t="str">
        <f>"SR-19301"</f>
        <v>SR-19301</v>
      </c>
      <c r="H13600" s="2" t="s">
        <v>53623</v>
      </c>
      <c r="I13600" s="2" t="s">
        <v>53624</v>
      </c>
      <c r="K13600" s="2" t="s">
        <v>834</v>
      </c>
      <c r="L13600" s="2" t="s">
        <v>62</v>
      </c>
      <c r="M13600" s="2">
        <v>55024.0</v>
      </c>
      <c r="N13600" s="2" t="s">
        <v>21</v>
      </c>
    </row>
    <row r="13601" ht="15.75" customHeight="1">
      <c r="A13601" s="2">
        <v>2020.0</v>
      </c>
      <c r="B13601" s="2" t="s">
        <v>53625</v>
      </c>
      <c r="C13601" s="2" t="s">
        <v>53626</v>
      </c>
      <c r="D13601" s="2" t="str">
        <f>"2083918641"</f>
        <v>2083918641</v>
      </c>
      <c r="E13601" s="2" t="s">
        <v>4322</v>
      </c>
      <c r="F13601" s="2" t="s">
        <v>3440</v>
      </c>
      <c r="G13601" s="2" t="str">
        <f>"SR-17871"</f>
        <v>SR-17871</v>
      </c>
      <c r="H13601" s="2" t="s">
        <v>53627</v>
      </c>
      <c r="I13601" s="2" t="s">
        <v>53628</v>
      </c>
      <c r="K13601" s="2" t="s">
        <v>809</v>
      </c>
      <c r="L13601" s="2" t="s">
        <v>157</v>
      </c>
      <c r="M13601" s="2">
        <v>80918.0</v>
      </c>
      <c r="N13601" s="2" t="s">
        <v>21</v>
      </c>
    </row>
    <row r="13602" ht="15.75" customHeight="1">
      <c r="A13602" s="2">
        <v>2020.0</v>
      </c>
      <c r="B13602" s="2" t="s">
        <v>53629</v>
      </c>
      <c r="C13602" s="2" t="s">
        <v>53629</v>
      </c>
      <c r="D13602" s="2" t="str">
        <f>"4102279041"</f>
        <v>4102279041</v>
      </c>
      <c r="E13602" s="2" t="s">
        <v>23106</v>
      </c>
      <c r="F13602" s="2" t="s">
        <v>2753</v>
      </c>
      <c r="G13602" s="2" t="str">
        <f>"SR-19315"</f>
        <v>SR-19315</v>
      </c>
      <c r="H13602" s="2" t="s">
        <v>53630</v>
      </c>
      <c r="I13602" s="2" t="s">
        <v>53631</v>
      </c>
      <c r="K13602" s="2" t="s">
        <v>53632</v>
      </c>
      <c r="L13602" s="2" t="s">
        <v>1868</v>
      </c>
      <c r="M13602" s="2">
        <v>21104.0</v>
      </c>
      <c r="N13602" s="2" t="s">
        <v>21</v>
      </c>
    </row>
    <row r="13603" ht="15.75" customHeight="1">
      <c r="A13603" s="2">
        <v>2020.0</v>
      </c>
      <c r="B13603" s="2" t="s">
        <v>52768</v>
      </c>
      <c r="C13603" s="2" t="s">
        <v>53633</v>
      </c>
      <c r="D13603" s="2" t="str">
        <f>"6173883683"</f>
        <v>6173883683</v>
      </c>
      <c r="E13603" s="2" t="s">
        <v>2243</v>
      </c>
      <c r="F13603" s="2" t="s">
        <v>52770</v>
      </c>
      <c r="G13603" s="2" t="str">
        <f>"SR-18866"</f>
        <v>SR-18866</v>
      </c>
      <c r="H13603" s="2" t="s">
        <v>53634</v>
      </c>
      <c r="I13603" s="2" t="s">
        <v>53635</v>
      </c>
      <c r="K13603" s="2" t="s">
        <v>489</v>
      </c>
      <c r="L13603" s="2" t="s">
        <v>344</v>
      </c>
      <c r="M13603" s="2">
        <v>43082.0</v>
      </c>
      <c r="N13603" s="2" t="s">
        <v>21</v>
      </c>
    </row>
    <row r="13604" ht="15.75" customHeight="1">
      <c r="A13604" s="2">
        <v>2020.0</v>
      </c>
      <c r="B13604" s="2" t="s">
        <v>53505</v>
      </c>
      <c r="C13604" s="2" t="s">
        <v>53505</v>
      </c>
      <c r="D13604" s="2" t="str">
        <f>"6102038499"</f>
        <v>6102038499</v>
      </c>
      <c r="E13604" s="2" t="s">
        <v>53636</v>
      </c>
      <c r="F13604" s="2" t="s">
        <v>53507</v>
      </c>
      <c r="G13604" s="2" t="str">
        <f>"SR-15369"</f>
        <v>SR-15369</v>
      </c>
      <c r="H13604" s="2" t="s">
        <v>53637</v>
      </c>
      <c r="I13604" s="2" t="s">
        <v>53638</v>
      </c>
      <c r="K13604" s="2" t="s">
        <v>48104</v>
      </c>
      <c r="L13604" s="2" t="s">
        <v>179</v>
      </c>
      <c r="M13604" s="2">
        <v>19008.0</v>
      </c>
      <c r="N13604" s="2" t="s">
        <v>21</v>
      </c>
    </row>
    <row r="13605" ht="15.75" customHeight="1">
      <c r="A13605" s="2">
        <v>2020.0</v>
      </c>
      <c r="B13605" s="2" t="s">
        <v>53639</v>
      </c>
      <c r="C13605" s="2" t="s">
        <v>53640</v>
      </c>
      <c r="D13605" s="2" t="str">
        <f>"+65 96862482"</f>
        <v>+65 96862482</v>
      </c>
      <c r="E13605" s="2" t="s">
        <v>41940</v>
      </c>
      <c r="F13605" s="2" t="s">
        <v>31564</v>
      </c>
      <c r="G13605" s="2" t="str">
        <f>"SR-19317"</f>
        <v>SR-19317</v>
      </c>
      <c r="H13605" s="2" t="s">
        <v>53641</v>
      </c>
      <c r="I13605" s="2" t="s">
        <v>36699</v>
      </c>
      <c r="K13605" s="2" t="s">
        <v>8433</v>
      </c>
      <c r="N13605" s="2" t="s">
        <v>8433</v>
      </c>
    </row>
    <row r="13606" ht="15.75" customHeight="1">
      <c r="A13606" s="2">
        <v>2020.0</v>
      </c>
      <c r="B13606" s="2" t="s">
        <v>41808</v>
      </c>
      <c r="C13606" s="2" t="s">
        <v>53642</v>
      </c>
      <c r="D13606" s="2" t="str">
        <f>"1 (608) 931-6227"</f>
        <v>1 (608) 931-6227</v>
      </c>
      <c r="E13606" s="2" t="s">
        <v>53643</v>
      </c>
      <c r="F13606" s="2" t="s">
        <v>41809</v>
      </c>
      <c r="G13606" s="2" t="str">
        <f>"SR-19039"</f>
        <v>SR-19039</v>
      </c>
      <c r="H13606" s="2" t="s">
        <v>53644</v>
      </c>
      <c r="I13606" s="2" t="s">
        <v>53645</v>
      </c>
      <c r="K13606" s="2" t="s">
        <v>53646</v>
      </c>
      <c r="L13606" s="2" t="s">
        <v>193</v>
      </c>
      <c r="M13606" s="2">
        <v>53511.0</v>
      </c>
      <c r="N13606" s="2" t="s">
        <v>21</v>
      </c>
    </row>
    <row r="13607" ht="15.75" customHeight="1">
      <c r="A13607" s="2">
        <v>2020.0</v>
      </c>
      <c r="B13607" s="2" t="s">
        <v>53647</v>
      </c>
      <c r="C13607" s="2" t="s">
        <v>53647</v>
      </c>
      <c r="D13607" s="2" t="str">
        <f>"998856041"</f>
        <v>998856041</v>
      </c>
      <c r="E13607" s="2" t="s">
        <v>53648</v>
      </c>
      <c r="F13607" s="2" t="s">
        <v>25507</v>
      </c>
      <c r="G13607" s="2" t="str">
        <f>"SR-19328"</f>
        <v>SR-19328</v>
      </c>
      <c r="H13607" s="2" t="s">
        <v>53649</v>
      </c>
      <c r="I13607" s="2" t="s">
        <v>53650</v>
      </c>
      <c r="K13607" s="2" t="s">
        <v>12179</v>
      </c>
      <c r="L13607" s="2" t="s">
        <v>53651</v>
      </c>
      <c r="M13607" s="2" t="s">
        <v>53652</v>
      </c>
      <c r="N13607" s="2" t="s">
        <v>53653</v>
      </c>
    </row>
    <row r="13608" ht="15.75" customHeight="1">
      <c r="A13608" s="2">
        <v>2020.0</v>
      </c>
      <c r="B13608" s="2" t="s">
        <v>53654</v>
      </c>
      <c r="D13608" s="2" t="str">
        <f>""</f>
        <v/>
      </c>
      <c r="E13608" s="2" t="s">
        <v>705</v>
      </c>
      <c r="F13608" s="2" t="s">
        <v>17190</v>
      </c>
      <c r="G13608" s="2" t="str">
        <f>"SR-19265"</f>
        <v>SR-19265</v>
      </c>
      <c r="H13608" s="2" t="s">
        <v>53655</v>
      </c>
    </row>
    <row r="13609" ht="15.75" customHeight="1">
      <c r="A13609" s="2">
        <v>2020.0</v>
      </c>
      <c r="B13609" s="2" t="s">
        <v>53656</v>
      </c>
      <c r="C13609" s="2" t="s">
        <v>53657</v>
      </c>
      <c r="D13609" s="2" t="str">
        <f>"6315423439"</f>
        <v>6315423439</v>
      </c>
      <c r="E13609" s="2" t="s">
        <v>53658</v>
      </c>
      <c r="F13609" s="2" t="s">
        <v>53659</v>
      </c>
      <c r="G13609" s="2" t="str">
        <f>"SR-19330"</f>
        <v>SR-19330</v>
      </c>
      <c r="H13609" s="2" t="s">
        <v>53660</v>
      </c>
      <c r="I13609" s="2" t="s">
        <v>53661</v>
      </c>
      <c r="K13609" s="2" t="s">
        <v>53662</v>
      </c>
      <c r="L13609" s="2" t="s">
        <v>142</v>
      </c>
      <c r="M13609" s="2">
        <v>11710.0</v>
      </c>
      <c r="N13609" s="2" t="s">
        <v>21</v>
      </c>
    </row>
    <row r="13610" ht="15.75" customHeight="1">
      <c r="A13610" s="2">
        <v>2020.0</v>
      </c>
      <c r="B13610" s="2" t="s">
        <v>38872</v>
      </c>
      <c r="C13610" s="2" t="s">
        <v>53663</v>
      </c>
      <c r="D13610" s="2" t="str">
        <f>"5168042949"</f>
        <v>5168042949</v>
      </c>
      <c r="E13610" s="2" t="s">
        <v>14038</v>
      </c>
      <c r="F13610" s="2" t="s">
        <v>38875</v>
      </c>
      <c r="G13610" s="2" t="str">
        <f>"SR-17793"</f>
        <v>SR-17793</v>
      </c>
      <c r="H13610" s="2" t="s">
        <v>53664</v>
      </c>
      <c r="I13610" s="2" t="s">
        <v>53665</v>
      </c>
      <c r="K13610" s="2" t="s">
        <v>34379</v>
      </c>
      <c r="L13610" s="2" t="s">
        <v>142</v>
      </c>
      <c r="M13610" s="2">
        <v>11783.0</v>
      </c>
      <c r="N13610" s="2" t="s">
        <v>21</v>
      </c>
    </row>
    <row r="13611" ht="15.75" customHeight="1">
      <c r="A13611" s="2">
        <v>2020.0</v>
      </c>
      <c r="B13611" s="2" t="s">
        <v>53666</v>
      </c>
      <c r="C13611" s="2" t="s">
        <v>53666</v>
      </c>
      <c r="D13611" s="2" t="str">
        <f>"9179630875"</f>
        <v>9179630875</v>
      </c>
      <c r="E13611" s="2" t="s">
        <v>203</v>
      </c>
      <c r="F13611" s="2" t="s">
        <v>53667</v>
      </c>
      <c r="G13611" s="2" t="str">
        <f>"SR-19331"</f>
        <v>SR-19331</v>
      </c>
      <c r="H13611" s="2" t="s">
        <v>53668</v>
      </c>
      <c r="I13611" s="2" t="s">
        <v>53669</v>
      </c>
      <c r="K13611" s="2" t="s">
        <v>53670</v>
      </c>
      <c r="L13611" s="2" t="s">
        <v>142</v>
      </c>
      <c r="M13611" s="2">
        <v>11355.0</v>
      </c>
      <c r="N13611" s="2" t="s">
        <v>21</v>
      </c>
    </row>
    <row r="13612" ht="15.75" customHeight="1">
      <c r="A13612" s="2">
        <v>2020.0</v>
      </c>
      <c r="B13612" s="2" t="s">
        <v>53671</v>
      </c>
      <c r="C13612" s="2" t="s">
        <v>53672</v>
      </c>
      <c r="D13612" s="2" t="str">
        <f>"8077384710"</f>
        <v>8077384710</v>
      </c>
      <c r="E13612" s="2" t="s">
        <v>1180</v>
      </c>
      <c r="F13612" s="2" t="s">
        <v>53673</v>
      </c>
      <c r="G13612" s="2" t="str">
        <f>"SR-19343"</f>
        <v>SR-19343</v>
      </c>
      <c r="H13612" s="2" t="s">
        <v>53674</v>
      </c>
      <c r="I13612" s="2" t="s">
        <v>53675</v>
      </c>
      <c r="K13612" s="2" t="s">
        <v>53676</v>
      </c>
      <c r="L13612" s="2" t="s">
        <v>2015</v>
      </c>
      <c r="N13612" s="2" t="s">
        <v>1602</v>
      </c>
    </row>
    <row r="13613" ht="15.75" customHeight="1">
      <c r="A13613" s="2">
        <v>2020.0</v>
      </c>
      <c r="B13613" s="2" t="s">
        <v>53677</v>
      </c>
      <c r="C13613" s="2" t="s">
        <v>53678</v>
      </c>
      <c r="D13613" s="2" t="str">
        <f>"2037221222"</f>
        <v>2037221222</v>
      </c>
      <c r="E13613" s="2" t="s">
        <v>1810</v>
      </c>
      <c r="F13613" s="2" t="s">
        <v>6760</v>
      </c>
      <c r="G13613" s="2" t="str">
        <f>"SR-19344"</f>
        <v>SR-19344</v>
      </c>
      <c r="H13613" s="2" t="s">
        <v>53679</v>
      </c>
      <c r="I13613" s="2" t="s">
        <v>53680</v>
      </c>
      <c r="K13613" s="2" t="s">
        <v>53681</v>
      </c>
      <c r="L13613" s="2" t="s">
        <v>4836</v>
      </c>
      <c r="M13613" s="2">
        <v>6897.0</v>
      </c>
      <c r="N13613" s="2" t="s">
        <v>21</v>
      </c>
    </row>
    <row r="13614" ht="15.75" customHeight="1">
      <c r="A13614" s="2">
        <v>2020.0</v>
      </c>
      <c r="B13614" s="2" t="s">
        <v>53682</v>
      </c>
      <c r="C13614" s="2" t="s">
        <v>53682</v>
      </c>
      <c r="D13614" s="2" t="str">
        <f>"2075737477"</f>
        <v>2075737477</v>
      </c>
      <c r="E13614" s="2" t="s">
        <v>144</v>
      </c>
      <c r="F13614" s="2" t="s">
        <v>645</v>
      </c>
      <c r="G13614" s="2" t="str">
        <f>"SR-19351"</f>
        <v>SR-19351</v>
      </c>
      <c r="H13614" s="2" t="s">
        <v>7099</v>
      </c>
      <c r="I13614" s="2" t="s">
        <v>53683</v>
      </c>
      <c r="K13614" s="2" t="s">
        <v>7116</v>
      </c>
      <c r="L13614" s="2" t="s">
        <v>3737</v>
      </c>
      <c r="M13614" s="2">
        <v>4428.0</v>
      </c>
      <c r="N13614" s="2" t="s">
        <v>21</v>
      </c>
    </row>
    <row r="13615" ht="15.75" customHeight="1">
      <c r="A13615" s="2">
        <v>2020.0</v>
      </c>
      <c r="B13615" s="2" t="s">
        <v>53684</v>
      </c>
      <c r="C13615" s="2" t="s">
        <v>53684</v>
      </c>
      <c r="D13615" s="2" t="str">
        <f>"2393149737"</f>
        <v>2393149737</v>
      </c>
      <c r="E13615" s="2" t="s">
        <v>53685</v>
      </c>
      <c r="F13615" s="2" t="s">
        <v>562</v>
      </c>
      <c r="G13615" s="2" t="str">
        <f>"SR-19178"</f>
        <v>SR-19178</v>
      </c>
      <c r="H13615" s="2" t="s">
        <v>53686</v>
      </c>
      <c r="I13615" s="2" t="s">
        <v>53687</v>
      </c>
      <c r="K13615" s="2" t="s">
        <v>20285</v>
      </c>
      <c r="L13615" s="2" t="s">
        <v>208</v>
      </c>
      <c r="M13615" s="2">
        <v>33919.0</v>
      </c>
      <c r="N13615" s="2" t="s">
        <v>21</v>
      </c>
    </row>
    <row r="13616" ht="15.75" customHeight="1">
      <c r="A13616" s="2">
        <v>2020.0</v>
      </c>
      <c r="B13616" s="2" t="s">
        <v>53688</v>
      </c>
      <c r="C13616" s="2" t="s">
        <v>53689</v>
      </c>
      <c r="D13616" s="2" t="str">
        <f>"7342289507"</f>
        <v>7342289507</v>
      </c>
      <c r="E13616" s="2" t="s">
        <v>6170</v>
      </c>
      <c r="F13616" s="2" t="s">
        <v>53690</v>
      </c>
      <c r="G13616" s="2" t="str">
        <f>"SR-19353"</f>
        <v>SR-19353</v>
      </c>
      <c r="H13616" s="2" t="s">
        <v>53691</v>
      </c>
      <c r="I13616" s="2" t="s">
        <v>53692</v>
      </c>
      <c r="K13616" s="2" t="s">
        <v>11963</v>
      </c>
      <c r="L13616" s="2" t="s">
        <v>29</v>
      </c>
      <c r="M13616" s="2">
        <v>48187.0</v>
      </c>
      <c r="N13616" s="2" t="s">
        <v>21</v>
      </c>
    </row>
    <row r="13617" ht="15.75" customHeight="1">
      <c r="A13617" s="2">
        <v>2020.0</v>
      </c>
      <c r="B13617" s="2" t="s">
        <v>53693</v>
      </c>
      <c r="C13617" s="2" t="s">
        <v>53694</v>
      </c>
      <c r="D13617" s="2" t="str">
        <f>"5027859653"</f>
        <v>5027859653</v>
      </c>
      <c r="E13617" s="2" t="s">
        <v>843</v>
      </c>
      <c r="F13617" s="2" t="s">
        <v>23729</v>
      </c>
      <c r="G13617" s="2" t="str">
        <f>"SR-19354"</f>
        <v>SR-19354</v>
      </c>
      <c r="H13617" s="2" t="s">
        <v>53695</v>
      </c>
      <c r="I13617" s="2" t="s">
        <v>53696</v>
      </c>
      <c r="K13617" s="2" t="s">
        <v>9185</v>
      </c>
      <c r="L13617" s="2" t="s">
        <v>1236</v>
      </c>
      <c r="M13617" s="2">
        <v>40031.0</v>
      </c>
      <c r="N13617" s="2" t="s">
        <v>21</v>
      </c>
    </row>
    <row r="13618" ht="15.75" customHeight="1">
      <c r="A13618" s="2">
        <v>2020.0</v>
      </c>
      <c r="B13618" s="2" t="s">
        <v>53697</v>
      </c>
      <c r="C13618" s="2" t="s">
        <v>53697</v>
      </c>
      <c r="D13618" s="2" t="str">
        <f>"6055937518"</f>
        <v>6055937518</v>
      </c>
      <c r="E13618" s="2" t="s">
        <v>1015</v>
      </c>
      <c r="F13618" s="2" t="s">
        <v>53698</v>
      </c>
      <c r="G13618" s="2" t="str">
        <f>"SR-19333"</f>
        <v>SR-19333</v>
      </c>
      <c r="H13618" s="2" t="s">
        <v>53699</v>
      </c>
      <c r="I13618" s="2" t="s">
        <v>53700</v>
      </c>
      <c r="K13618" s="2" t="s">
        <v>53701</v>
      </c>
      <c r="L13618" s="2" t="s">
        <v>920</v>
      </c>
      <c r="M13618" s="2">
        <v>57761.0</v>
      </c>
      <c r="N13618" s="2" t="s">
        <v>21</v>
      </c>
    </row>
    <row r="13619" ht="15.75" customHeight="1">
      <c r="A13619" s="2">
        <v>2020.0</v>
      </c>
      <c r="B13619" s="2" t="s">
        <v>53702</v>
      </c>
      <c r="C13619" s="2" t="s">
        <v>53702</v>
      </c>
      <c r="D13619" s="2" t="str">
        <f>"8504597818"</f>
        <v>8504597818</v>
      </c>
      <c r="E13619" s="2" t="s">
        <v>843</v>
      </c>
      <c r="F13619" s="2" t="s">
        <v>53703</v>
      </c>
      <c r="G13619" s="2" t="str">
        <f>"SR-19359"</f>
        <v>SR-19359</v>
      </c>
      <c r="H13619" s="2" t="s">
        <v>53704</v>
      </c>
      <c r="I13619" s="2" t="s">
        <v>53705</v>
      </c>
      <c r="K13619" s="2" t="s">
        <v>2007</v>
      </c>
      <c r="L13619" s="2" t="s">
        <v>208</v>
      </c>
      <c r="M13619" s="2">
        <v>32309.0</v>
      </c>
      <c r="N13619" s="2" t="s">
        <v>21</v>
      </c>
    </row>
    <row r="13620" ht="15.75" customHeight="1">
      <c r="A13620" s="2">
        <v>2020.0</v>
      </c>
      <c r="B13620" s="2" t="s">
        <v>53706</v>
      </c>
      <c r="D13620" s="2" t="str">
        <f>""</f>
        <v/>
      </c>
      <c r="E13620" s="2" t="s">
        <v>167</v>
      </c>
      <c r="F13620" s="2" t="s">
        <v>53703</v>
      </c>
      <c r="G13620" s="2" t="str">
        <f>"SR-19360"</f>
        <v>SR-19360</v>
      </c>
      <c r="H13620" s="2" t="s">
        <v>53707</v>
      </c>
      <c r="N13620" s="2" t="s">
        <v>21</v>
      </c>
    </row>
    <row r="13621" ht="15.75" customHeight="1">
      <c r="A13621" s="2">
        <v>2020.0</v>
      </c>
      <c r="B13621" s="2" t="s">
        <v>53708</v>
      </c>
      <c r="C13621" s="2" t="s">
        <v>53708</v>
      </c>
      <c r="D13621" s="2" t="str">
        <f>"904-422-8791"</f>
        <v>904-422-8791</v>
      </c>
      <c r="E13621" s="2" t="s">
        <v>678</v>
      </c>
      <c r="F13621" s="2" t="s">
        <v>51</v>
      </c>
      <c r="G13621" s="2" t="str">
        <f>"SR-19361"</f>
        <v>SR-19361</v>
      </c>
      <c r="H13621" s="2" t="s">
        <v>53709</v>
      </c>
      <c r="I13621" s="2" t="s">
        <v>53710</v>
      </c>
      <c r="K13621" s="2" t="s">
        <v>451</v>
      </c>
      <c r="L13621" s="2" t="s">
        <v>208</v>
      </c>
      <c r="M13621" s="2">
        <v>32225.0</v>
      </c>
      <c r="N13621" s="2" t="s">
        <v>21</v>
      </c>
    </row>
    <row r="13622" ht="15.75" customHeight="1">
      <c r="A13622" s="2">
        <v>2020.0</v>
      </c>
      <c r="B13622" s="2" t="s">
        <v>53711</v>
      </c>
      <c r="C13622" s="2" t="s">
        <v>53711</v>
      </c>
      <c r="D13622" s="2" t="str">
        <f t="shared" ref="D13622:D13623" si="231">"8436943144"</f>
        <v>8436943144</v>
      </c>
      <c r="E13622" s="2" t="s">
        <v>17908</v>
      </c>
      <c r="F13622" s="2" t="s">
        <v>53712</v>
      </c>
      <c r="G13622" s="2" t="str">
        <f>"SR-19362"</f>
        <v>SR-19362</v>
      </c>
      <c r="H13622" s="2" t="s">
        <v>53713</v>
      </c>
      <c r="I13622" s="2" t="s">
        <v>53714</v>
      </c>
      <c r="K13622" s="2" t="s">
        <v>8284</v>
      </c>
      <c r="L13622" s="2" t="s">
        <v>55</v>
      </c>
      <c r="M13622" s="2">
        <v>29940.0</v>
      </c>
      <c r="N13622" s="2" t="s">
        <v>21</v>
      </c>
    </row>
    <row r="13623" ht="15.75" customHeight="1">
      <c r="A13623" s="2">
        <v>2020.0</v>
      </c>
      <c r="B13623" s="2" t="s">
        <v>53715</v>
      </c>
      <c r="C13623" s="2" t="s">
        <v>53716</v>
      </c>
      <c r="D13623" s="2" t="str">
        <f t="shared" si="231"/>
        <v>8436943144</v>
      </c>
      <c r="E13623" s="2" t="s">
        <v>53717</v>
      </c>
      <c r="F13623" s="2" t="s">
        <v>53712</v>
      </c>
      <c r="G13623" s="2" t="str">
        <f>"SR-19363"</f>
        <v>SR-19363</v>
      </c>
      <c r="H13623" s="2" t="s">
        <v>53718</v>
      </c>
      <c r="I13623" s="2" t="s">
        <v>53714</v>
      </c>
      <c r="K13623" s="2" t="s">
        <v>8284</v>
      </c>
      <c r="L13623" s="2" t="s">
        <v>55</v>
      </c>
      <c r="M13623" s="2">
        <v>29940.0</v>
      </c>
      <c r="N13623" s="2" t="s">
        <v>21</v>
      </c>
    </row>
    <row r="13624" ht="15.75" customHeight="1">
      <c r="A13624" s="2">
        <v>2020.0</v>
      </c>
      <c r="B13624" s="2" t="s">
        <v>53719</v>
      </c>
      <c r="C13624" s="2" t="s">
        <v>53719</v>
      </c>
      <c r="D13624" s="2" t="str">
        <f>"920-323-8205"</f>
        <v>920-323-8205</v>
      </c>
      <c r="E13624" s="2" t="s">
        <v>57</v>
      </c>
      <c r="F13624" s="2" t="s">
        <v>33827</v>
      </c>
      <c r="G13624" s="2" t="str">
        <f>"SR-19364"</f>
        <v>SR-19364</v>
      </c>
      <c r="H13624" s="2" t="s">
        <v>53720</v>
      </c>
      <c r="I13624" s="2" t="s">
        <v>53721</v>
      </c>
      <c r="K13624" s="2" t="s">
        <v>52135</v>
      </c>
      <c r="L13624" s="2" t="s">
        <v>193</v>
      </c>
      <c r="M13624" s="2">
        <v>54220.0</v>
      </c>
      <c r="N13624" s="2" t="s">
        <v>21</v>
      </c>
    </row>
    <row r="13625" ht="15.75" customHeight="1">
      <c r="A13625" s="2">
        <v>2020.0</v>
      </c>
      <c r="B13625" s="2" t="s">
        <v>53722</v>
      </c>
      <c r="C13625" s="2" t="s">
        <v>53723</v>
      </c>
      <c r="D13625" s="2" t="str">
        <f>"8328730164"</f>
        <v>8328730164</v>
      </c>
      <c r="E13625" s="2" t="s">
        <v>53724</v>
      </c>
      <c r="F13625" s="2" t="s">
        <v>24763</v>
      </c>
      <c r="G13625" s="2" t="str">
        <f>"SR-19366"</f>
        <v>SR-19366</v>
      </c>
      <c r="H13625" s="2" t="s">
        <v>53725</v>
      </c>
      <c r="I13625" s="2" t="s">
        <v>53726</v>
      </c>
      <c r="K13625" s="2" t="s">
        <v>12522</v>
      </c>
      <c r="L13625" s="2" t="s">
        <v>172</v>
      </c>
      <c r="M13625" s="2">
        <v>77429.0</v>
      </c>
      <c r="N13625" s="2" t="s">
        <v>21</v>
      </c>
    </row>
    <row r="13626" ht="15.75" customHeight="1">
      <c r="A13626" s="2">
        <v>2020.0</v>
      </c>
      <c r="B13626" s="2" t="s">
        <v>53727</v>
      </c>
      <c r="C13626" s="2" t="s">
        <v>53727</v>
      </c>
      <c r="D13626" s="2" t="str">
        <f>"6162295730"</f>
        <v>6162295730</v>
      </c>
      <c r="E13626" s="2" t="s">
        <v>2053</v>
      </c>
      <c r="F13626" s="2" t="s">
        <v>23987</v>
      </c>
      <c r="G13626" s="2" t="str">
        <f>"SR-19355"</f>
        <v>SR-19355</v>
      </c>
      <c r="H13626" s="2" t="s">
        <v>53728</v>
      </c>
      <c r="I13626" s="2" t="s">
        <v>53729</v>
      </c>
      <c r="K13626" s="2" t="s">
        <v>16428</v>
      </c>
      <c r="L13626" s="2" t="s">
        <v>29</v>
      </c>
      <c r="M13626" s="2">
        <v>49426.0</v>
      </c>
      <c r="N13626" s="2" t="s">
        <v>21</v>
      </c>
    </row>
    <row r="13627" ht="15.75" customHeight="1">
      <c r="A13627" s="2">
        <v>2020.0</v>
      </c>
      <c r="B13627" s="2" t="s">
        <v>53501</v>
      </c>
      <c r="C13627" s="2" t="s">
        <v>53501</v>
      </c>
      <c r="D13627" s="2" t="str">
        <f>"401-318-0793"</f>
        <v>401-318-0793</v>
      </c>
      <c r="E13627" s="2" t="s">
        <v>1076</v>
      </c>
      <c r="F13627" s="2" t="s">
        <v>53502</v>
      </c>
      <c r="G13627" s="2" t="str">
        <f>"SR-19220"</f>
        <v>SR-19220</v>
      </c>
      <c r="H13627" s="2" t="s">
        <v>53503</v>
      </c>
      <c r="I13627" s="2" t="s">
        <v>53730</v>
      </c>
      <c r="K13627" s="2" t="s">
        <v>54</v>
      </c>
      <c r="L13627" s="2" t="s">
        <v>26016</v>
      </c>
      <c r="M13627" s="2">
        <v>2828.0</v>
      </c>
      <c r="N13627" s="2" t="s">
        <v>21</v>
      </c>
    </row>
    <row r="13628" ht="15.75" customHeight="1">
      <c r="A13628" s="2">
        <v>2020.0</v>
      </c>
      <c r="B13628" s="2" t="s">
        <v>53731</v>
      </c>
      <c r="C13628" s="2" t="s">
        <v>53732</v>
      </c>
      <c r="D13628" s="2" t="str">
        <f>"713-820-1989"</f>
        <v>713-820-1989</v>
      </c>
      <c r="E13628" s="2" t="s">
        <v>36</v>
      </c>
      <c r="F13628" s="2" t="s">
        <v>53733</v>
      </c>
      <c r="G13628" s="2" t="str">
        <f>"SR-19371"</f>
        <v>SR-19371</v>
      </c>
      <c r="H13628" s="2" t="s">
        <v>53734</v>
      </c>
      <c r="I13628" s="2" t="s">
        <v>53735</v>
      </c>
      <c r="K13628" s="2" t="s">
        <v>444</v>
      </c>
      <c r="L13628" s="2" t="s">
        <v>172</v>
      </c>
      <c r="M13628" s="2">
        <v>77024.0</v>
      </c>
      <c r="N13628" s="2" t="s">
        <v>21</v>
      </c>
    </row>
    <row r="13629" ht="15.75" customHeight="1">
      <c r="A13629" s="2">
        <v>2020.0</v>
      </c>
      <c r="B13629" s="2" t="s">
        <v>47804</v>
      </c>
      <c r="C13629" s="2" t="s">
        <v>47805</v>
      </c>
      <c r="D13629" s="2" t="str">
        <f>"7725595467"</f>
        <v>7725595467</v>
      </c>
      <c r="E13629" s="2" t="s">
        <v>485</v>
      </c>
      <c r="F13629" s="2" t="s">
        <v>22201</v>
      </c>
      <c r="G13629" s="2" t="str">
        <f>"SR-16539"</f>
        <v>SR-16539</v>
      </c>
      <c r="H13629" s="2" t="s">
        <v>47806</v>
      </c>
      <c r="I13629" s="2" t="s">
        <v>47807</v>
      </c>
      <c r="K13629" s="2" t="s">
        <v>11560</v>
      </c>
      <c r="L13629" s="2" t="s">
        <v>208</v>
      </c>
      <c r="M13629" s="2">
        <v>32968.0</v>
      </c>
      <c r="N13629" s="2" t="s">
        <v>21</v>
      </c>
    </row>
    <row r="13630" ht="15.75" customHeight="1">
      <c r="A13630" s="2">
        <v>2020.0</v>
      </c>
      <c r="B13630" s="2" t="s">
        <v>53736</v>
      </c>
      <c r="C13630" s="2" t="s">
        <v>53737</v>
      </c>
      <c r="D13630" s="2" t="str">
        <f>"402 984 8393"</f>
        <v>402 984 8393</v>
      </c>
      <c r="E13630" s="2" t="s">
        <v>2361</v>
      </c>
      <c r="F13630" s="2" t="s">
        <v>984</v>
      </c>
      <c r="G13630" s="2" t="str">
        <f>"SR-19378"</f>
        <v>SR-19378</v>
      </c>
      <c r="H13630" s="2" t="s">
        <v>45203</v>
      </c>
      <c r="I13630" s="2" t="s">
        <v>53738</v>
      </c>
      <c r="K13630" s="2" t="s">
        <v>53739</v>
      </c>
      <c r="L13630" s="2" t="s">
        <v>757</v>
      </c>
      <c r="M13630" s="2">
        <v>68925.0</v>
      </c>
      <c r="N13630" s="2" t="s">
        <v>21</v>
      </c>
    </row>
    <row r="13631" ht="15.75" customHeight="1">
      <c r="A13631" s="2">
        <v>2020.0</v>
      </c>
      <c r="B13631" s="2" t="s">
        <v>53740</v>
      </c>
      <c r="C13631" s="2" t="s">
        <v>53741</v>
      </c>
      <c r="D13631" s="2" t="str">
        <f>"6825531961"</f>
        <v>6825531961</v>
      </c>
      <c r="E13631" s="2" t="s">
        <v>53742</v>
      </c>
      <c r="F13631" s="2" t="s">
        <v>53743</v>
      </c>
      <c r="G13631" s="2" t="str">
        <f>"SR-19380"</f>
        <v>SR-19380</v>
      </c>
      <c r="H13631" s="2" t="s">
        <v>53744</v>
      </c>
      <c r="I13631" s="2" t="s">
        <v>53745</v>
      </c>
      <c r="K13631" s="2" t="s">
        <v>4174</v>
      </c>
      <c r="L13631" s="2" t="s">
        <v>172</v>
      </c>
      <c r="M13631" s="2">
        <v>75067.0</v>
      </c>
      <c r="N13631" s="2" t="s">
        <v>21</v>
      </c>
    </row>
    <row r="13632" ht="15.75" customHeight="1">
      <c r="A13632" s="2">
        <v>2020.0</v>
      </c>
      <c r="B13632" s="2" t="s">
        <v>53746</v>
      </c>
      <c r="C13632" s="2" t="s">
        <v>53746</v>
      </c>
      <c r="D13632" s="2" t="str">
        <f>"615-557-4967"</f>
        <v>615-557-4967</v>
      </c>
      <c r="E13632" s="2" t="s">
        <v>1164</v>
      </c>
      <c r="F13632" s="2" t="s">
        <v>2084</v>
      </c>
      <c r="G13632" s="2" t="str">
        <f>"SR-19381"</f>
        <v>SR-19381</v>
      </c>
      <c r="H13632" s="2" t="s">
        <v>53747</v>
      </c>
      <c r="I13632" s="2" t="s">
        <v>53748</v>
      </c>
      <c r="K13632" s="2" t="s">
        <v>24330</v>
      </c>
      <c r="L13632" s="2" t="s">
        <v>279</v>
      </c>
      <c r="M13632" s="2">
        <v>37046.0</v>
      </c>
      <c r="N13632" s="2" t="s">
        <v>21</v>
      </c>
    </row>
    <row r="13633" ht="15.75" customHeight="1">
      <c r="A13633" s="2">
        <v>2020.0</v>
      </c>
      <c r="B13633" s="2" t="s">
        <v>53749</v>
      </c>
      <c r="C13633" s="2" t="s">
        <v>53749</v>
      </c>
      <c r="D13633" s="2" t="str">
        <f>"9494908216"</f>
        <v>9494908216</v>
      </c>
      <c r="E13633" s="2" t="s">
        <v>9470</v>
      </c>
      <c r="F13633" s="2" t="s">
        <v>962</v>
      </c>
      <c r="G13633" s="2" t="str">
        <f>"SR-19382"</f>
        <v>SR-19382</v>
      </c>
      <c r="H13633" s="2" t="s">
        <v>53750</v>
      </c>
      <c r="I13633" s="2" t="s">
        <v>53751</v>
      </c>
      <c r="K13633" s="2" t="s">
        <v>1260</v>
      </c>
      <c r="L13633" s="2" t="s">
        <v>172</v>
      </c>
      <c r="M13633" s="2">
        <v>76104.0</v>
      </c>
      <c r="N13633" s="2" t="s">
        <v>21</v>
      </c>
    </row>
    <row r="13634" ht="15.75" customHeight="1">
      <c r="A13634" s="2">
        <v>2020.0</v>
      </c>
      <c r="B13634" s="2" t="s">
        <v>53752</v>
      </c>
      <c r="C13634" s="2" t="s">
        <v>53753</v>
      </c>
      <c r="D13634" s="2" t="str">
        <f>"8564481999"</f>
        <v>8564481999</v>
      </c>
      <c r="E13634" s="2" t="s">
        <v>678</v>
      </c>
      <c r="F13634" s="2" t="s">
        <v>53754</v>
      </c>
      <c r="G13634" s="2" t="str">
        <f>"SR-19387"</f>
        <v>SR-19387</v>
      </c>
      <c r="H13634" s="2" t="s">
        <v>53755</v>
      </c>
      <c r="I13634" s="2" t="s">
        <v>53756</v>
      </c>
      <c r="K13634" s="2" t="s">
        <v>53681</v>
      </c>
      <c r="L13634" s="2" t="s">
        <v>4836</v>
      </c>
      <c r="M13634" s="2">
        <v>6897.0</v>
      </c>
      <c r="N13634" s="2" t="s">
        <v>21</v>
      </c>
    </row>
    <row r="13635" ht="15.75" customHeight="1">
      <c r="A13635" s="2">
        <v>2020.0</v>
      </c>
      <c r="B13635" s="2" t="s">
        <v>46065</v>
      </c>
      <c r="C13635" s="2" t="s">
        <v>46066</v>
      </c>
      <c r="D13635" s="2" t="str">
        <f>"5403145381"</f>
        <v>5403145381</v>
      </c>
      <c r="E13635" s="2" t="s">
        <v>13609</v>
      </c>
      <c r="F13635" s="2" t="s">
        <v>46067</v>
      </c>
      <c r="G13635" s="2" t="str">
        <f>"SR-16140"</f>
        <v>SR-16140</v>
      </c>
      <c r="H13635" s="2" t="s">
        <v>46068</v>
      </c>
      <c r="I13635" s="2" t="s">
        <v>46069</v>
      </c>
      <c r="K13635" s="2" t="s">
        <v>46070</v>
      </c>
      <c r="L13635" s="2" t="s">
        <v>165</v>
      </c>
      <c r="M13635" s="2">
        <v>24179.0</v>
      </c>
      <c r="N13635" s="2" t="s">
        <v>21</v>
      </c>
    </row>
    <row r="13636" ht="15.75" customHeight="1">
      <c r="A13636" s="2">
        <v>2020.0</v>
      </c>
      <c r="B13636" s="2" t="s">
        <v>53757</v>
      </c>
      <c r="C13636" s="2" t="s">
        <v>53757</v>
      </c>
      <c r="D13636" s="2" t="str">
        <f>"618-978-6045"</f>
        <v>618-978-6045</v>
      </c>
      <c r="E13636" s="2" t="s">
        <v>651</v>
      </c>
      <c r="F13636" s="2" t="s">
        <v>53758</v>
      </c>
      <c r="G13636" s="2" t="str">
        <f>"SR-19147"</f>
        <v>SR-19147</v>
      </c>
      <c r="H13636" s="2" t="s">
        <v>53759</v>
      </c>
      <c r="I13636" s="2" t="s">
        <v>53760</v>
      </c>
      <c r="K13636" s="2" t="s">
        <v>41706</v>
      </c>
      <c r="L13636" s="2" t="s">
        <v>105</v>
      </c>
      <c r="M13636" s="2">
        <v>62243.0</v>
      </c>
      <c r="N13636" s="2" t="s">
        <v>21</v>
      </c>
    </row>
    <row r="13637" ht="15.75" customHeight="1">
      <c r="A13637" s="2">
        <v>2020.0</v>
      </c>
      <c r="B13637" s="2" t="s">
        <v>53757</v>
      </c>
      <c r="C13637" s="2" t="s">
        <v>53757</v>
      </c>
      <c r="D13637" s="2" t="str">
        <f t="shared" ref="D13637:D13639" si="232">"6189786045"</f>
        <v>6189786045</v>
      </c>
      <c r="E13637" s="2" t="s">
        <v>705</v>
      </c>
      <c r="F13637" s="2" t="s">
        <v>53758</v>
      </c>
      <c r="G13637" s="2" t="str">
        <f>"SR-19390"</f>
        <v>SR-19390</v>
      </c>
      <c r="H13637" s="2" t="s">
        <v>53761</v>
      </c>
      <c r="I13637" s="2" t="s">
        <v>53760</v>
      </c>
      <c r="K13637" s="2" t="s">
        <v>41706</v>
      </c>
      <c r="L13637" s="2" t="s">
        <v>105</v>
      </c>
      <c r="M13637" s="2">
        <v>62243.0</v>
      </c>
      <c r="N13637" s="2" t="s">
        <v>21</v>
      </c>
    </row>
    <row r="13638" ht="15.75" customHeight="1">
      <c r="A13638" s="2">
        <v>2020.0</v>
      </c>
      <c r="B13638" s="2" t="s">
        <v>53757</v>
      </c>
      <c r="C13638" s="2" t="s">
        <v>53757</v>
      </c>
      <c r="D13638" s="2" t="str">
        <f t="shared" si="232"/>
        <v>6189786045</v>
      </c>
      <c r="E13638" s="2" t="s">
        <v>261</v>
      </c>
      <c r="F13638" s="2" t="s">
        <v>53758</v>
      </c>
      <c r="G13638" s="2" t="str">
        <f>"SR-19392"</f>
        <v>SR-19392</v>
      </c>
      <c r="H13638" s="2" t="s">
        <v>53762</v>
      </c>
      <c r="I13638" s="2" t="s">
        <v>53760</v>
      </c>
      <c r="K13638" s="2" t="s">
        <v>41706</v>
      </c>
      <c r="L13638" s="2" t="s">
        <v>105</v>
      </c>
      <c r="M13638" s="2">
        <v>62243.0</v>
      </c>
      <c r="N13638" s="2" t="s">
        <v>21</v>
      </c>
    </row>
    <row r="13639" ht="15.75" customHeight="1">
      <c r="A13639" s="2">
        <v>2020.0</v>
      </c>
      <c r="B13639" s="2" t="s">
        <v>53757</v>
      </c>
      <c r="C13639" s="2" t="s">
        <v>53757</v>
      </c>
      <c r="D13639" s="2" t="str">
        <f t="shared" si="232"/>
        <v>6189786045</v>
      </c>
      <c r="E13639" s="2" t="s">
        <v>4111</v>
      </c>
      <c r="F13639" s="2" t="s">
        <v>53758</v>
      </c>
      <c r="G13639" s="2" t="str">
        <f>"SR-19393"</f>
        <v>SR-19393</v>
      </c>
      <c r="H13639" s="2" t="s">
        <v>53763</v>
      </c>
      <c r="I13639" s="2" t="s">
        <v>53760</v>
      </c>
      <c r="K13639" s="2" t="s">
        <v>41706</v>
      </c>
      <c r="L13639" s="2" t="s">
        <v>105</v>
      </c>
      <c r="M13639" s="2">
        <v>62243.0</v>
      </c>
      <c r="N13639" s="2" t="s">
        <v>21</v>
      </c>
    </row>
    <row r="13640" ht="15.75" customHeight="1">
      <c r="A13640" s="2">
        <v>2020.0</v>
      </c>
      <c r="B13640" s="2" t="s">
        <v>38342</v>
      </c>
      <c r="C13640" s="2" t="s">
        <v>38343</v>
      </c>
      <c r="D13640" s="2" t="str">
        <f>"8645518554"</f>
        <v>8645518554</v>
      </c>
      <c r="E13640" s="2" t="s">
        <v>4300</v>
      </c>
      <c r="F13640" s="2" t="s">
        <v>850</v>
      </c>
      <c r="G13640" s="2" t="str">
        <f>"SR-10931"</f>
        <v>SR-10931</v>
      </c>
      <c r="H13640" s="2" t="s">
        <v>38344</v>
      </c>
      <c r="I13640" s="2" t="s">
        <v>38345</v>
      </c>
      <c r="K13640" s="2" t="s">
        <v>15151</v>
      </c>
      <c r="L13640" s="2" t="s">
        <v>55</v>
      </c>
      <c r="M13640" s="2">
        <v>29687.0</v>
      </c>
      <c r="N13640" s="2" t="s">
        <v>21</v>
      </c>
    </row>
    <row r="13641" ht="15.75" customHeight="1">
      <c r="A13641" s="2">
        <v>2020.0</v>
      </c>
      <c r="B13641" s="2" t="s">
        <v>53764</v>
      </c>
      <c r="C13641" s="2" t="s">
        <v>53764</v>
      </c>
      <c r="D13641" s="2" t="str">
        <f>"2394705308"</f>
        <v>2394705308</v>
      </c>
      <c r="E13641" s="2" t="s">
        <v>6266</v>
      </c>
      <c r="F13641" s="2" t="s">
        <v>53765</v>
      </c>
      <c r="G13641" s="2" t="str">
        <f>"SR-19377"</f>
        <v>SR-19377</v>
      </c>
      <c r="H13641" s="2" t="s">
        <v>53766</v>
      </c>
      <c r="I13641" s="2" t="s">
        <v>53767</v>
      </c>
      <c r="K13641" s="2" t="s">
        <v>53573</v>
      </c>
      <c r="L13641" s="2" t="s">
        <v>208</v>
      </c>
      <c r="M13641" s="2">
        <v>33957.0</v>
      </c>
      <c r="N13641" s="2" t="s">
        <v>21</v>
      </c>
    </row>
    <row r="13642" ht="15.75" customHeight="1">
      <c r="A13642" s="2">
        <v>2020.0</v>
      </c>
      <c r="B13642" s="2" t="s">
        <v>53768</v>
      </c>
      <c r="C13642" s="2" t="s">
        <v>53768</v>
      </c>
      <c r="D13642" s="2" t="str">
        <f>"(907) 320-0511"</f>
        <v>(907) 320-0511</v>
      </c>
      <c r="E13642" s="2" t="s">
        <v>453</v>
      </c>
      <c r="F13642" s="2" t="s">
        <v>8787</v>
      </c>
      <c r="G13642" s="2" t="str">
        <f>"SR-19397"</f>
        <v>SR-19397</v>
      </c>
      <c r="H13642" s="2" t="s">
        <v>53769</v>
      </c>
      <c r="I13642" s="2" t="s">
        <v>53770</v>
      </c>
      <c r="K13642" s="2" t="s">
        <v>53771</v>
      </c>
      <c r="L13642" s="2" t="s">
        <v>70</v>
      </c>
      <c r="M13642" s="2">
        <v>99588.0</v>
      </c>
      <c r="N13642" s="2" t="s">
        <v>21</v>
      </c>
    </row>
    <row r="13643" ht="15.75" customHeight="1">
      <c r="A13643" s="2">
        <v>2020.0</v>
      </c>
      <c r="B13643" s="2" t="s">
        <v>53772</v>
      </c>
      <c r="C13643" s="2" t="s">
        <v>53772</v>
      </c>
      <c r="D13643" s="2" t="str">
        <f>"9012998125"</f>
        <v>9012998125</v>
      </c>
      <c r="E13643" s="2" t="s">
        <v>53773</v>
      </c>
      <c r="F13643" s="2" t="s">
        <v>53774</v>
      </c>
      <c r="G13643" s="2" t="str">
        <f>"SR-19320"</f>
        <v>SR-19320</v>
      </c>
      <c r="H13643" s="2" t="s">
        <v>53775</v>
      </c>
      <c r="I13643" s="2" t="s">
        <v>53776</v>
      </c>
      <c r="K13643" s="2" t="s">
        <v>53777</v>
      </c>
      <c r="L13643" s="2" t="s">
        <v>3618</v>
      </c>
      <c r="M13643" s="2">
        <v>7930.0</v>
      </c>
      <c r="N13643" s="2" t="s">
        <v>21</v>
      </c>
    </row>
    <row r="13644" ht="15.75" customHeight="1">
      <c r="A13644" s="2">
        <v>2020.0</v>
      </c>
      <c r="B13644" s="2" t="s">
        <v>53778</v>
      </c>
      <c r="C13644" s="2" t="s">
        <v>53779</v>
      </c>
      <c r="D13644" s="2" t="str">
        <f>"6597765336"</f>
        <v>6597765336</v>
      </c>
      <c r="E13644" s="2" t="s">
        <v>705</v>
      </c>
      <c r="F13644" s="2" t="s">
        <v>53780</v>
      </c>
      <c r="G13644" s="2" t="str">
        <f>"SR-18923"</f>
        <v>SR-18923</v>
      </c>
      <c r="H13644" s="2" t="s">
        <v>53781</v>
      </c>
      <c r="I13644" s="2" t="s">
        <v>53782</v>
      </c>
      <c r="J13644" s="2" t="s">
        <v>53783</v>
      </c>
      <c r="K13644" s="2" t="s">
        <v>8433</v>
      </c>
      <c r="M13644" s="2">
        <v>523491.0</v>
      </c>
      <c r="N13644" s="2" t="s">
        <v>8433</v>
      </c>
    </row>
    <row r="13645" ht="15.75" customHeight="1">
      <c r="A13645" s="2">
        <v>2020.0</v>
      </c>
      <c r="B13645" s="2" t="s">
        <v>53784</v>
      </c>
      <c r="C13645" s="2" t="s">
        <v>53784</v>
      </c>
      <c r="D13645" s="2" t="str">
        <f>"2405871673"</f>
        <v>2405871673</v>
      </c>
      <c r="E13645" s="2" t="s">
        <v>3977</v>
      </c>
      <c r="F13645" s="2" t="s">
        <v>53785</v>
      </c>
      <c r="G13645" s="2" t="str">
        <f>"SR-19401"</f>
        <v>SR-19401</v>
      </c>
      <c r="H13645" s="2" t="s">
        <v>53786</v>
      </c>
      <c r="I13645" s="2" t="s">
        <v>53787</v>
      </c>
      <c r="K13645" s="2" t="s">
        <v>53788</v>
      </c>
      <c r="L13645" s="2" t="s">
        <v>1868</v>
      </c>
      <c r="M13645" s="2">
        <v>20619.0</v>
      </c>
      <c r="N13645" s="2" t="s">
        <v>21</v>
      </c>
    </row>
    <row r="13646" ht="15.75" customHeight="1">
      <c r="A13646" s="2">
        <v>2020.0</v>
      </c>
      <c r="B13646" s="2" t="s">
        <v>53789</v>
      </c>
      <c r="C13646" s="2" t="s">
        <v>53790</v>
      </c>
      <c r="D13646" s="2" t="str">
        <f>"7656027293"</f>
        <v>7656027293</v>
      </c>
      <c r="E13646" s="2" t="s">
        <v>678</v>
      </c>
      <c r="F13646" s="2" t="s">
        <v>3161</v>
      </c>
      <c r="G13646" s="2" t="str">
        <f>"SR-19400"</f>
        <v>SR-19400</v>
      </c>
      <c r="H13646" s="2" t="s">
        <v>53791</v>
      </c>
      <c r="I13646" s="2" t="s">
        <v>53792</v>
      </c>
      <c r="K13646" s="2" t="s">
        <v>15786</v>
      </c>
      <c r="L13646" s="2" t="s">
        <v>149</v>
      </c>
      <c r="M13646" s="2">
        <v>46064.0</v>
      </c>
      <c r="N13646" s="2" t="s">
        <v>21</v>
      </c>
    </row>
    <row r="13647" ht="15.75" customHeight="1">
      <c r="A13647" s="2">
        <v>2020.0</v>
      </c>
      <c r="B13647" s="2" t="s">
        <v>53793</v>
      </c>
      <c r="C13647" s="2" t="s">
        <v>53793</v>
      </c>
      <c r="D13647" s="2" t="str">
        <f>"937-418-1038"</f>
        <v>937-418-1038</v>
      </c>
      <c r="E13647" s="2" t="s">
        <v>1523</v>
      </c>
      <c r="F13647" s="2" t="s">
        <v>53794</v>
      </c>
      <c r="G13647" s="2" t="str">
        <f>"SR-19383"</f>
        <v>SR-19383</v>
      </c>
      <c r="H13647" s="2" t="s">
        <v>53795</v>
      </c>
      <c r="I13647" s="2" t="s">
        <v>53796</v>
      </c>
      <c r="K13647" s="2" t="s">
        <v>12416</v>
      </c>
      <c r="L13647" s="2" t="s">
        <v>344</v>
      </c>
      <c r="M13647" s="2">
        <v>45356.0</v>
      </c>
      <c r="N13647" s="2" t="s">
        <v>21</v>
      </c>
    </row>
    <row r="13648" ht="15.75" customHeight="1">
      <c r="A13648" s="2">
        <v>2020.0</v>
      </c>
      <c r="B13648" s="2" t="s">
        <v>53797</v>
      </c>
      <c r="C13648" s="2" t="s">
        <v>53798</v>
      </c>
      <c r="D13648" s="2" t="str">
        <f>"919-440-2014"</f>
        <v>919-440-2014</v>
      </c>
      <c r="E13648" s="2" t="s">
        <v>53799</v>
      </c>
      <c r="F13648" s="2" t="s">
        <v>1054</v>
      </c>
      <c r="G13648" s="2" t="str">
        <f>"SR-19403"</f>
        <v>SR-19403</v>
      </c>
      <c r="H13648" s="2" t="s">
        <v>53800</v>
      </c>
      <c r="I13648" s="2" t="s">
        <v>53801</v>
      </c>
      <c r="J13648" s="2" t="s">
        <v>53802</v>
      </c>
      <c r="K13648" s="2" t="s">
        <v>10856</v>
      </c>
      <c r="L13648" s="2" t="s">
        <v>20</v>
      </c>
      <c r="M13648" s="2">
        <v>28607.0</v>
      </c>
      <c r="N13648" s="2" t="s">
        <v>21</v>
      </c>
    </row>
    <row r="13649" ht="15.75" customHeight="1">
      <c r="A13649" s="2">
        <v>2020.0</v>
      </c>
      <c r="B13649" s="2" t="s">
        <v>53803</v>
      </c>
      <c r="D13649" s="2" t="str">
        <f>""</f>
        <v/>
      </c>
      <c r="E13649" s="2" t="s">
        <v>339</v>
      </c>
      <c r="F13649" s="2" t="s">
        <v>53804</v>
      </c>
      <c r="G13649" s="2" t="str">
        <f>"SR-19267"</f>
        <v>SR-19267</v>
      </c>
      <c r="H13649" s="2" t="s">
        <v>53805</v>
      </c>
    </row>
    <row r="13650" ht="15.75" customHeight="1">
      <c r="A13650" s="2">
        <v>2020.0</v>
      </c>
      <c r="B13650" s="2" t="s">
        <v>53803</v>
      </c>
      <c r="C13650" s="2" t="s">
        <v>53806</v>
      </c>
      <c r="D13650" s="2" t="str">
        <f>"7194598683"</f>
        <v>7194598683</v>
      </c>
      <c r="E13650" s="2" t="s">
        <v>282</v>
      </c>
      <c r="F13650" s="2" t="s">
        <v>53804</v>
      </c>
      <c r="G13650" s="2" t="str">
        <f>"SR-19405"</f>
        <v>SR-19405</v>
      </c>
      <c r="H13650" s="2" t="s">
        <v>53807</v>
      </c>
      <c r="I13650" s="2" t="s">
        <v>53808</v>
      </c>
      <c r="K13650" s="2" t="s">
        <v>809</v>
      </c>
      <c r="L13650" s="2" t="s">
        <v>157</v>
      </c>
      <c r="M13650" s="2">
        <v>80921.0</v>
      </c>
      <c r="N13650" s="2" t="s">
        <v>21</v>
      </c>
    </row>
    <row r="13651" ht="15.75" customHeight="1">
      <c r="A13651" s="2">
        <v>2020.0</v>
      </c>
      <c r="B13651" s="2" t="s">
        <v>53809</v>
      </c>
      <c r="C13651" s="2" t="s">
        <v>53810</v>
      </c>
      <c r="D13651" s="2" t="str">
        <f>"707-448-4865"</f>
        <v>707-448-4865</v>
      </c>
      <c r="E13651" s="2" t="s">
        <v>124</v>
      </c>
      <c r="F13651" s="2" t="s">
        <v>53811</v>
      </c>
      <c r="G13651" s="2" t="str">
        <f>"SR-19407"</f>
        <v>SR-19407</v>
      </c>
      <c r="H13651" s="2" t="s">
        <v>53812</v>
      </c>
      <c r="I13651" s="2" t="s">
        <v>53813</v>
      </c>
      <c r="K13651" s="2" t="s">
        <v>51803</v>
      </c>
      <c r="L13651" s="2" t="s">
        <v>222</v>
      </c>
      <c r="M13651" s="2">
        <v>95688.0</v>
      </c>
      <c r="N13651" s="2" t="s">
        <v>21</v>
      </c>
    </row>
    <row r="13652" ht="15.75" customHeight="1">
      <c r="A13652" s="2">
        <v>2020.0</v>
      </c>
      <c r="B13652" s="2" t="s">
        <v>53814</v>
      </c>
      <c r="C13652" s="2" t="s">
        <v>53815</v>
      </c>
      <c r="D13652" s="2" t="str">
        <f>"4054395282"</f>
        <v>4054395282</v>
      </c>
      <c r="E13652" s="2" t="s">
        <v>53816</v>
      </c>
      <c r="F13652" s="2" t="s">
        <v>3037</v>
      </c>
      <c r="G13652" s="2" t="str">
        <f>"SR-19409"</f>
        <v>SR-19409</v>
      </c>
      <c r="H13652" s="2" t="s">
        <v>53817</v>
      </c>
      <c r="I13652" s="2" t="s">
        <v>53818</v>
      </c>
      <c r="K13652" s="2" t="s">
        <v>53819</v>
      </c>
      <c r="L13652" s="2" t="s">
        <v>840</v>
      </c>
      <c r="M13652" s="2">
        <v>73010.0</v>
      </c>
      <c r="N13652" s="2" t="s">
        <v>21</v>
      </c>
    </row>
    <row r="13653" ht="15.75" customHeight="1">
      <c r="A13653" s="2">
        <v>2020.0</v>
      </c>
      <c r="B13653" s="2" t="s">
        <v>53820</v>
      </c>
      <c r="C13653" s="2" t="s">
        <v>53820</v>
      </c>
      <c r="D13653" s="2" t="str">
        <f>"7405410708"</f>
        <v>7405410708</v>
      </c>
      <c r="E13653" s="2" t="s">
        <v>53821</v>
      </c>
      <c r="F13653" s="2" t="s">
        <v>7372</v>
      </c>
      <c r="G13653" s="2" t="str">
        <f>"SR-19406"</f>
        <v>SR-19406</v>
      </c>
      <c r="H13653" s="2" t="s">
        <v>53822</v>
      </c>
      <c r="I13653" s="2" t="s">
        <v>53823</v>
      </c>
      <c r="K13653" s="2" t="s">
        <v>5108</v>
      </c>
      <c r="L13653" s="2" t="s">
        <v>344</v>
      </c>
      <c r="M13653" s="2">
        <v>45701.0</v>
      </c>
      <c r="N13653" s="2" t="s">
        <v>21</v>
      </c>
    </row>
    <row r="13654" ht="15.75" customHeight="1">
      <c r="A13654" s="2">
        <v>2020.0</v>
      </c>
      <c r="B13654" s="2" t="s">
        <v>53814</v>
      </c>
      <c r="C13654" s="2" t="s">
        <v>53824</v>
      </c>
      <c r="D13654" s="2" t="str">
        <f>"405-771-4138"</f>
        <v>405-771-4138</v>
      </c>
      <c r="E13654" s="2" t="s">
        <v>25433</v>
      </c>
      <c r="F13654" s="2" t="s">
        <v>3037</v>
      </c>
      <c r="G13654" s="2" t="str">
        <f>"SR-19410"</f>
        <v>SR-19410</v>
      </c>
      <c r="H13654" s="2" t="s">
        <v>53825</v>
      </c>
      <c r="I13654" s="2" t="s">
        <v>53818</v>
      </c>
      <c r="K13654" s="2" t="s">
        <v>53819</v>
      </c>
      <c r="L13654" s="2" t="s">
        <v>840</v>
      </c>
      <c r="M13654" s="2">
        <v>73010.0</v>
      </c>
      <c r="N13654" s="2" t="s">
        <v>21</v>
      </c>
    </row>
    <row r="13655" ht="15.75" customHeight="1">
      <c r="A13655" s="2">
        <v>2020.0</v>
      </c>
      <c r="B13655" s="2" t="s">
        <v>53826</v>
      </c>
      <c r="C13655" s="2" t="s">
        <v>53827</v>
      </c>
      <c r="D13655" s="2" t="str">
        <f>"814-462-7665"</f>
        <v>814-462-7665</v>
      </c>
      <c r="E13655" s="2" t="s">
        <v>1054</v>
      </c>
      <c r="F13655" s="2" t="s">
        <v>2852</v>
      </c>
      <c r="G13655" s="2" t="str">
        <f>"SR-19413"</f>
        <v>SR-19413</v>
      </c>
      <c r="H13655" s="2" t="s">
        <v>53828</v>
      </c>
      <c r="I13655" s="2" t="s">
        <v>53829</v>
      </c>
      <c r="K13655" s="2" t="s">
        <v>10749</v>
      </c>
      <c r="L13655" s="2" t="s">
        <v>179</v>
      </c>
      <c r="M13655" s="2">
        <v>16407.0</v>
      </c>
      <c r="N13655" s="2" t="s">
        <v>21</v>
      </c>
    </row>
    <row r="13656" ht="15.75" customHeight="1">
      <c r="A13656" s="2">
        <v>2020.0</v>
      </c>
      <c r="B13656" s="2" t="s">
        <v>53830</v>
      </c>
      <c r="C13656" s="2" t="s">
        <v>53831</v>
      </c>
      <c r="D13656" s="2" t="str">
        <f>"251-404-1845"</f>
        <v>251-404-1845</v>
      </c>
      <c r="E13656" s="2" t="s">
        <v>43</v>
      </c>
      <c r="F13656" s="2" t="s">
        <v>53832</v>
      </c>
      <c r="G13656" s="2" t="str">
        <f>"SR-9892"</f>
        <v>SR-9892</v>
      </c>
      <c r="H13656" s="2" t="s">
        <v>53833</v>
      </c>
      <c r="I13656" s="2" t="s">
        <v>53834</v>
      </c>
      <c r="K13656" s="2" t="s">
        <v>53835</v>
      </c>
      <c r="L13656" s="2" t="s">
        <v>539</v>
      </c>
      <c r="M13656" s="2">
        <v>36571.0</v>
      </c>
      <c r="N13656" s="2" t="s">
        <v>21</v>
      </c>
    </row>
    <row r="13657" ht="15.75" customHeight="1">
      <c r="A13657" s="2">
        <v>2020.0</v>
      </c>
      <c r="B13657" s="2" t="s">
        <v>53836</v>
      </c>
      <c r="C13657" s="2" t="s">
        <v>53837</v>
      </c>
      <c r="D13657" s="2" t="str">
        <f>"5152309821"</f>
        <v>5152309821</v>
      </c>
      <c r="E13657" s="2" t="s">
        <v>9010</v>
      </c>
      <c r="F13657" s="2" t="s">
        <v>53838</v>
      </c>
      <c r="G13657" s="2" t="str">
        <f>"SR-19412"</f>
        <v>SR-19412</v>
      </c>
      <c r="H13657" s="2" t="s">
        <v>53839</v>
      </c>
      <c r="I13657" s="2" t="s">
        <v>53840</v>
      </c>
      <c r="K13657" s="2" t="s">
        <v>1496</v>
      </c>
      <c r="L13657" s="2" t="s">
        <v>560</v>
      </c>
      <c r="M13657" s="2">
        <v>50220.0</v>
      </c>
      <c r="N13657" s="2" t="s">
        <v>21</v>
      </c>
    </row>
    <row r="13658" ht="15.75" customHeight="1">
      <c r="A13658" s="2">
        <v>2020.0</v>
      </c>
      <c r="B13658" s="2" t="s">
        <v>53841</v>
      </c>
      <c r="C13658" s="2" t="s">
        <v>53842</v>
      </c>
      <c r="D13658" s="2" t="str">
        <f>"2039195620"</f>
        <v>2039195620</v>
      </c>
      <c r="E13658" s="2" t="s">
        <v>53843</v>
      </c>
      <c r="F13658" s="2" t="s">
        <v>53844</v>
      </c>
      <c r="G13658" s="2" t="str">
        <f>"SR-19402"</f>
        <v>SR-19402</v>
      </c>
      <c r="H13658" s="2" t="s">
        <v>53845</v>
      </c>
      <c r="I13658" s="2" t="s">
        <v>53846</v>
      </c>
      <c r="K13658" s="2" t="s">
        <v>35724</v>
      </c>
      <c r="L13658" s="2" t="s">
        <v>4836</v>
      </c>
      <c r="M13658" s="2">
        <v>6484.0</v>
      </c>
      <c r="N13658" s="2" t="s">
        <v>21</v>
      </c>
    </row>
    <row r="13659" ht="15.75" customHeight="1">
      <c r="A13659" s="2">
        <v>2020.0</v>
      </c>
      <c r="B13659" s="2" t="s">
        <v>48836</v>
      </c>
      <c r="C13659" s="2" t="s">
        <v>48837</v>
      </c>
      <c r="D13659" s="2" t="str">
        <f>"8583535719"</f>
        <v>8583535719</v>
      </c>
      <c r="E13659" s="2" t="s">
        <v>3067</v>
      </c>
      <c r="F13659" s="2" t="s">
        <v>28459</v>
      </c>
      <c r="G13659" s="2" t="str">
        <f>"SR-17198"</f>
        <v>SR-17198</v>
      </c>
      <c r="H13659" s="2" t="s">
        <v>48838</v>
      </c>
      <c r="I13659" s="2" t="s">
        <v>48839</v>
      </c>
      <c r="K13659" s="2" t="s">
        <v>8250</v>
      </c>
      <c r="L13659" s="2" t="s">
        <v>222</v>
      </c>
      <c r="M13659" s="2">
        <v>92130.0</v>
      </c>
      <c r="N13659" s="2" t="s">
        <v>21</v>
      </c>
    </row>
    <row r="13660" ht="15.75" customHeight="1">
      <c r="A13660" s="2">
        <v>2020.0</v>
      </c>
      <c r="B13660" s="2" t="s">
        <v>53847</v>
      </c>
      <c r="C13660" s="2" t="s">
        <v>53848</v>
      </c>
      <c r="D13660" s="2" t="str">
        <f>"484-473-4042"</f>
        <v>484-473-4042</v>
      </c>
      <c r="E13660" s="2" t="s">
        <v>3743</v>
      </c>
      <c r="F13660" s="2" t="s">
        <v>31</v>
      </c>
      <c r="G13660" s="2" t="str">
        <f>"SR-19415"</f>
        <v>SR-19415</v>
      </c>
      <c r="H13660" s="2" t="s">
        <v>53849</v>
      </c>
      <c r="I13660" s="2" t="s">
        <v>53850</v>
      </c>
      <c r="K13660" s="2" t="s">
        <v>47625</v>
      </c>
      <c r="L13660" s="2" t="s">
        <v>179</v>
      </c>
      <c r="M13660" s="2">
        <v>19330.0</v>
      </c>
      <c r="N13660" s="2" t="s">
        <v>21</v>
      </c>
    </row>
    <row r="13661" ht="15.75" customHeight="1">
      <c r="A13661" s="2">
        <v>2020.0</v>
      </c>
      <c r="B13661" s="2" t="s">
        <v>53851</v>
      </c>
      <c r="C13661" s="2" t="s">
        <v>53852</v>
      </c>
      <c r="D13661" s="2" t="str">
        <f>"9712327287"</f>
        <v>9712327287</v>
      </c>
      <c r="E13661" s="2" t="s">
        <v>53853</v>
      </c>
      <c r="F13661" s="2" t="s">
        <v>53854</v>
      </c>
      <c r="G13661" s="2" t="str">
        <f>"SR-19414"</f>
        <v>SR-19414</v>
      </c>
      <c r="H13661" s="2" t="s">
        <v>53855</v>
      </c>
      <c r="I13661" s="2" t="s">
        <v>53856</v>
      </c>
      <c r="K13661" s="2" t="s">
        <v>1677</v>
      </c>
      <c r="L13661" s="2" t="s">
        <v>86</v>
      </c>
      <c r="M13661" s="2">
        <v>98021.0</v>
      </c>
      <c r="N13661" s="2" t="s">
        <v>21</v>
      </c>
    </row>
    <row r="13662" ht="15.75" customHeight="1">
      <c r="A13662" s="2">
        <v>2020.0</v>
      </c>
      <c r="B13662" s="2" t="s">
        <v>53857</v>
      </c>
      <c r="C13662" s="2" t="s">
        <v>53857</v>
      </c>
      <c r="D13662" s="2" t="str">
        <f>"(304) 210-5931"</f>
        <v>(304) 210-5931</v>
      </c>
      <c r="E13662" s="2" t="s">
        <v>843</v>
      </c>
      <c r="F13662" s="2" t="s">
        <v>950</v>
      </c>
      <c r="G13662" s="2" t="str">
        <f>"SR-19416"</f>
        <v>SR-19416</v>
      </c>
      <c r="H13662" s="2" t="s">
        <v>53858</v>
      </c>
      <c r="I13662" s="2" t="s">
        <v>53859</v>
      </c>
      <c r="K13662" s="2" t="s">
        <v>53860</v>
      </c>
      <c r="L13662" s="2" t="s">
        <v>6449</v>
      </c>
      <c r="M13662" s="2">
        <v>26170.0</v>
      </c>
      <c r="N13662" s="2" t="s">
        <v>21</v>
      </c>
    </row>
    <row r="13663" ht="15.75" customHeight="1">
      <c r="A13663" s="2">
        <v>2020.0</v>
      </c>
      <c r="B13663" s="2" t="s">
        <v>53861</v>
      </c>
      <c r="C13663" s="2" t="s">
        <v>53861</v>
      </c>
      <c r="D13663" s="2" t="str">
        <f>"975601270"</f>
        <v>975601270</v>
      </c>
      <c r="E13663" s="2" t="s">
        <v>53862</v>
      </c>
      <c r="F13663" s="2" t="s">
        <v>24321</v>
      </c>
      <c r="G13663" s="2" t="str">
        <f>"SR-19408"</f>
        <v>SR-19408</v>
      </c>
      <c r="H13663" s="2" t="s">
        <v>53863</v>
      </c>
      <c r="I13663" s="2" t="s">
        <v>53864</v>
      </c>
      <c r="K13663" s="2" t="s">
        <v>12179</v>
      </c>
      <c r="L13663" s="2" t="s">
        <v>12179</v>
      </c>
      <c r="N13663" s="2" t="s">
        <v>53653</v>
      </c>
    </row>
    <row r="13664" ht="15.75" customHeight="1">
      <c r="A13664" s="2">
        <v>2020.0</v>
      </c>
      <c r="B13664" s="2" t="s">
        <v>53865</v>
      </c>
      <c r="C13664" s="2" t="s">
        <v>53865</v>
      </c>
      <c r="D13664" s="2" t="str">
        <f>"8172390788"</f>
        <v>8172390788</v>
      </c>
      <c r="E13664" s="2" t="s">
        <v>4604</v>
      </c>
      <c r="F13664" s="2" t="s">
        <v>19933</v>
      </c>
      <c r="G13664" s="2" t="str">
        <f>"SR-19418"</f>
        <v>SR-19418</v>
      </c>
      <c r="H13664" s="2" t="s">
        <v>53866</v>
      </c>
      <c r="I13664" s="2" t="s">
        <v>53867</v>
      </c>
      <c r="K13664" s="2" t="s">
        <v>882</v>
      </c>
      <c r="L13664" s="2" t="s">
        <v>172</v>
      </c>
      <c r="M13664" s="2">
        <v>76016.0</v>
      </c>
      <c r="N13664" s="2" t="s">
        <v>21</v>
      </c>
    </row>
    <row r="13665" ht="15.75" customHeight="1">
      <c r="A13665" s="2">
        <v>2020.0</v>
      </c>
      <c r="B13665" s="2" t="s">
        <v>6560</v>
      </c>
      <c r="C13665" s="2" t="s">
        <v>53868</v>
      </c>
      <c r="D13665" s="2" t="str">
        <f t="shared" ref="D13665:D13666" si="233">"2054718752"</f>
        <v>2054718752</v>
      </c>
      <c r="E13665" s="2" t="s">
        <v>2306</v>
      </c>
      <c r="F13665" s="2" t="s">
        <v>6562</v>
      </c>
      <c r="G13665" s="2" t="str">
        <f>"SR-19395"</f>
        <v>SR-19395</v>
      </c>
      <c r="H13665" s="2" t="s">
        <v>53869</v>
      </c>
      <c r="I13665" s="2" t="s">
        <v>53870</v>
      </c>
      <c r="K13665" s="2" t="s">
        <v>1915</v>
      </c>
      <c r="L13665" s="2" t="s">
        <v>539</v>
      </c>
      <c r="M13665" s="2">
        <v>35504.0</v>
      </c>
      <c r="N13665" s="2" t="s">
        <v>21</v>
      </c>
    </row>
    <row r="13666" ht="15.75" customHeight="1">
      <c r="A13666" s="2">
        <v>2020.0</v>
      </c>
      <c r="B13666" s="2" t="s">
        <v>6560</v>
      </c>
      <c r="C13666" s="2" t="s">
        <v>53871</v>
      </c>
      <c r="D13666" s="2" t="str">
        <f t="shared" si="233"/>
        <v>2054718752</v>
      </c>
      <c r="E13666" s="2" t="s">
        <v>2572</v>
      </c>
      <c r="F13666" s="2" t="s">
        <v>6562</v>
      </c>
      <c r="G13666" s="2" t="str">
        <f>"SR-19396"</f>
        <v>SR-19396</v>
      </c>
      <c r="H13666" s="2" t="s">
        <v>53872</v>
      </c>
      <c r="I13666" s="2" t="s">
        <v>53870</v>
      </c>
      <c r="K13666" s="2" t="s">
        <v>1915</v>
      </c>
      <c r="L13666" s="2" t="s">
        <v>539</v>
      </c>
      <c r="M13666" s="2">
        <v>35504.0</v>
      </c>
      <c r="N13666" s="2" t="s">
        <v>21</v>
      </c>
    </row>
    <row r="13667" ht="15.75" customHeight="1">
      <c r="A13667" s="2">
        <v>2020.0</v>
      </c>
      <c r="B13667" s="2" t="s">
        <v>53873</v>
      </c>
      <c r="C13667" s="2" t="s">
        <v>53873</v>
      </c>
      <c r="D13667" s="2" t="str">
        <f>"4406004320"</f>
        <v>4406004320</v>
      </c>
      <c r="E13667" s="2" t="s">
        <v>34744</v>
      </c>
      <c r="F13667" s="2" t="s">
        <v>53874</v>
      </c>
      <c r="G13667" s="2" t="str">
        <f>"SR-19421"</f>
        <v>SR-19421</v>
      </c>
      <c r="H13667" s="2" t="s">
        <v>53875</v>
      </c>
      <c r="I13667" s="2" t="s">
        <v>53876</v>
      </c>
      <c r="K13667" s="2" t="s">
        <v>8799</v>
      </c>
      <c r="L13667" s="2" t="s">
        <v>344</v>
      </c>
      <c r="M13667" s="2">
        <v>44139.0</v>
      </c>
      <c r="N13667" s="2" t="s">
        <v>21</v>
      </c>
    </row>
    <row r="13668" ht="15.75" customHeight="1">
      <c r="A13668" s="2">
        <v>2020.0</v>
      </c>
      <c r="B13668" s="2" t="s">
        <v>53877</v>
      </c>
      <c r="C13668" s="2" t="s">
        <v>53877</v>
      </c>
      <c r="D13668" s="2" t="str">
        <f>"5745493094"</f>
        <v>5745493094</v>
      </c>
      <c r="E13668" s="2" t="s">
        <v>53878</v>
      </c>
      <c r="F13668" s="2" t="s">
        <v>2863</v>
      </c>
      <c r="G13668" s="2" t="str">
        <f>"SR-19291"</f>
        <v>SR-19291</v>
      </c>
      <c r="H13668" s="2" t="s">
        <v>53879</v>
      </c>
      <c r="I13668" s="2" t="s">
        <v>53880</v>
      </c>
      <c r="K13668" s="2" t="s">
        <v>5763</v>
      </c>
      <c r="L13668" s="2" t="s">
        <v>149</v>
      </c>
      <c r="M13668" s="2">
        <v>46580.0</v>
      </c>
      <c r="N13668" s="2" t="s">
        <v>21</v>
      </c>
    </row>
    <row r="13669" ht="15.75" customHeight="1">
      <c r="A13669" s="2">
        <v>2020.0</v>
      </c>
      <c r="B13669" s="2" t="s">
        <v>35097</v>
      </c>
      <c r="C13669" s="2" t="s">
        <v>53881</v>
      </c>
      <c r="D13669" s="2" t="str">
        <f>"5013981593"</f>
        <v>5013981593</v>
      </c>
      <c r="E13669" s="2" t="s">
        <v>1094</v>
      </c>
      <c r="F13669" s="2" t="s">
        <v>35099</v>
      </c>
      <c r="G13669" s="2" t="str">
        <f>"SR-19373"</f>
        <v>SR-19373</v>
      </c>
      <c r="H13669" s="2" t="s">
        <v>53882</v>
      </c>
      <c r="I13669" s="2" t="s">
        <v>35113</v>
      </c>
      <c r="K13669" s="2" t="s">
        <v>1759</v>
      </c>
      <c r="L13669" s="2" t="s">
        <v>1012</v>
      </c>
      <c r="M13669" s="2">
        <v>72206.0</v>
      </c>
      <c r="N13669" s="2" t="s">
        <v>21</v>
      </c>
    </row>
    <row r="13670" ht="15.75" customHeight="1">
      <c r="A13670" s="2">
        <v>2020.0</v>
      </c>
      <c r="B13670" s="2" t="s">
        <v>35097</v>
      </c>
      <c r="C13670" s="2" t="s">
        <v>53883</v>
      </c>
      <c r="D13670" s="2" t="str">
        <f>"501.288.4047"</f>
        <v>501.288.4047</v>
      </c>
      <c r="E13670" s="2" t="s">
        <v>53884</v>
      </c>
      <c r="F13670" s="2" t="s">
        <v>35099</v>
      </c>
      <c r="G13670" s="2" t="str">
        <f>"SR-19374"</f>
        <v>SR-19374</v>
      </c>
      <c r="H13670" s="2" t="s">
        <v>53885</v>
      </c>
      <c r="I13670" s="2">
        <v>10717.0</v>
      </c>
      <c r="J13670" s="2" t="s">
        <v>53886</v>
      </c>
      <c r="K13670" s="2" t="s">
        <v>1759</v>
      </c>
      <c r="L13670" s="2" t="s">
        <v>1012</v>
      </c>
      <c r="M13670" s="2">
        <v>72206.0</v>
      </c>
      <c r="N13670" s="2" t="s">
        <v>21</v>
      </c>
    </row>
    <row r="13671" ht="15.75" customHeight="1">
      <c r="A13671" s="2">
        <v>2020.0</v>
      </c>
      <c r="B13671" s="2" t="s">
        <v>48421</v>
      </c>
      <c r="C13671" s="2" t="s">
        <v>48422</v>
      </c>
      <c r="D13671" s="2" t="str">
        <f>"405-385-4783"</f>
        <v>405-385-4783</v>
      </c>
      <c r="E13671" s="2" t="s">
        <v>1257</v>
      </c>
      <c r="F13671" s="2" t="s">
        <v>48423</v>
      </c>
      <c r="G13671" s="2" t="str">
        <f>"SR-17016"</f>
        <v>SR-17016</v>
      </c>
      <c r="H13671" s="2" t="s">
        <v>48424</v>
      </c>
      <c r="I13671" s="2" t="s">
        <v>48425</v>
      </c>
      <c r="K13671" s="2" t="s">
        <v>11711</v>
      </c>
      <c r="L13671" s="2" t="s">
        <v>840</v>
      </c>
      <c r="M13671" s="2">
        <v>74074.0</v>
      </c>
      <c r="N13671" s="2" t="s">
        <v>21</v>
      </c>
    </row>
    <row r="13672" ht="15.75" customHeight="1">
      <c r="A13672" s="2">
        <v>2020.0</v>
      </c>
      <c r="B13672" s="2" t="s">
        <v>48421</v>
      </c>
      <c r="C13672" s="2" t="s">
        <v>53887</v>
      </c>
      <c r="D13672" s="2" t="str">
        <f>"918-399-7456"</f>
        <v>918-399-7456</v>
      </c>
      <c r="E13672" s="2" t="s">
        <v>1263</v>
      </c>
      <c r="F13672" s="2" t="s">
        <v>48423</v>
      </c>
      <c r="G13672" s="2" t="str">
        <f>"SR-19424"</f>
        <v>SR-19424</v>
      </c>
      <c r="H13672" s="2" t="s">
        <v>53888</v>
      </c>
      <c r="I13672" s="2" t="s">
        <v>48425</v>
      </c>
      <c r="K13672" s="2" t="s">
        <v>11711</v>
      </c>
      <c r="L13672" s="2" t="s">
        <v>840</v>
      </c>
      <c r="M13672" s="2">
        <v>74074.0</v>
      </c>
      <c r="N13672" s="2" t="s">
        <v>21</v>
      </c>
    </row>
    <row r="13673" ht="15.75" customHeight="1">
      <c r="A13673" s="2">
        <v>2020.0</v>
      </c>
      <c r="B13673" s="2" t="s">
        <v>53889</v>
      </c>
      <c r="C13673" s="2" t="s">
        <v>53890</v>
      </c>
      <c r="D13673" s="2" t="str">
        <f>"4192151681"</f>
        <v>4192151681</v>
      </c>
      <c r="E13673" s="2" t="s">
        <v>4665</v>
      </c>
      <c r="F13673" s="2" t="s">
        <v>2063</v>
      </c>
      <c r="G13673" s="2" t="str">
        <f>"SR-19426"</f>
        <v>SR-19426</v>
      </c>
      <c r="H13673" s="2" t="s">
        <v>53891</v>
      </c>
      <c r="I13673" s="2" t="s">
        <v>53892</v>
      </c>
      <c r="K13673" s="2" t="s">
        <v>32091</v>
      </c>
      <c r="L13673" s="2" t="s">
        <v>344</v>
      </c>
      <c r="M13673" s="2">
        <v>43566.0</v>
      </c>
      <c r="N13673" s="2" t="s">
        <v>21</v>
      </c>
    </row>
    <row r="13674" ht="15.75" customHeight="1">
      <c r="A13674" s="2">
        <v>2020.0</v>
      </c>
      <c r="B13674" s="2" t="s">
        <v>53893</v>
      </c>
      <c r="C13674" s="2" t="s">
        <v>53894</v>
      </c>
      <c r="D13674" s="2" t="str">
        <f>"209 770-7900"</f>
        <v>209 770-7900</v>
      </c>
      <c r="E13674" s="2" t="s">
        <v>751</v>
      </c>
      <c r="F13674" s="2" t="s">
        <v>53895</v>
      </c>
      <c r="G13674" s="2" t="str">
        <f>"SR-19444"</f>
        <v>SR-19444</v>
      </c>
      <c r="H13674" s="2" t="s">
        <v>53896</v>
      </c>
      <c r="I13674" s="2" t="s">
        <v>53897</v>
      </c>
      <c r="K13674" s="2" t="s">
        <v>20568</v>
      </c>
      <c r="L13674" s="2" t="s">
        <v>222</v>
      </c>
      <c r="M13674" s="2">
        <v>95383.0</v>
      </c>
      <c r="N13674" s="2" t="s">
        <v>21</v>
      </c>
    </row>
    <row r="13675" ht="15.75" customHeight="1">
      <c r="A13675" s="2">
        <v>2020.0</v>
      </c>
      <c r="B13675" s="2" t="s">
        <v>42512</v>
      </c>
      <c r="C13675" s="2" t="s">
        <v>42512</v>
      </c>
      <c r="D13675" s="2" t="str">
        <f>"9518091417"</f>
        <v>9518091417</v>
      </c>
      <c r="E13675" s="2" t="s">
        <v>261</v>
      </c>
      <c r="F13675" s="2" t="s">
        <v>42514</v>
      </c>
      <c r="G13675" s="2" t="str">
        <f>"SR-17684"</f>
        <v>SR-17684</v>
      </c>
      <c r="H13675" s="2" t="s">
        <v>53898</v>
      </c>
      <c r="I13675" s="2" t="s">
        <v>42516</v>
      </c>
      <c r="J13675" s="2" t="s">
        <v>42517</v>
      </c>
      <c r="K13675" s="2" t="s">
        <v>9348</v>
      </c>
      <c r="L13675" s="2" t="s">
        <v>222</v>
      </c>
      <c r="M13675" s="2">
        <v>92507.0</v>
      </c>
      <c r="N13675" s="2" t="s">
        <v>21</v>
      </c>
    </row>
    <row r="13676" ht="15.75" customHeight="1">
      <c r="A13676" s="2">
        <v>2020.0</v>
      </c>
      <c r="B13676" s="2" t="s">
        <v>53899</v>
      </c>
      <c r="C13676" s="2" t="s">
        <v>53899</v>
      </c>
      <c r="D13676" s="2" t="str">
        <f>"3167377710"</f>
        <v>3167377710</v>
      </c>
      <c r="E13676" s="2" t="s">
        <v>955</v>
      </c>
      <c r="F13676" s="2" t="s">
        <v>4935</v>
      </c>
      <c r="G13676" s="2" t="str">
        <f>"SR-19335"</f>
        <v>SR-19335</v>
      </c>
      <c r="H13676" s="2" t="s">
        <v>53900</v>
      </c>
      <c r="I13676" s="2" t="s">
        <v>53901</v>
      </c>
      <c r="K13676" s="2" t="s">
        <v>53902</v>
      </c>
      <c r="L13676" s="2" t="s">
        <v>272</v>
      </c>
      <c r="M13676" s="2">
        <v>67114.0</v>
      </c>
      <c r="N13676" s="2" t="s">
        <v>21</v>
      </c>
    </row>
    <row r="13677" ht="15.75" customHeight="1">
      <c r="A13677" s="2">
        <v>2020.0</v>
      </c>
      <c r="B13677" s="2" t="s">
        <v>53399</v>
      </c>
      <c r="C13677" s="2" t="s">
        <v>53903</v>
      </c>
      <c r="D13677" s="2" t="str">
        <f>"8134042577"</f>
        <v>8134042577</v>
      </c>
      <c r="E13677" s="2" t="s">
        <v>53904</v>
      </c>
      <c r="F13677" s="2" t="s">
        <v>53400</v>
      </c>
      <c r="G13677" s="2" t="str">
        <f>"SR-19206"</f>
        <v>SR-19206</v>
      </c>
      <c r="H13677" s="2" t="s">
        <v>53905</v>
      </c>
      <c r="I13677" s="2" t="s">
        <v>53402</v>
      </c>
      <c r="K13677" s="2" t="s">
        <v>53403</v>
      </c>
      <c r="L13677" s="2" t="s">
        <v>208</v>
      </c>
      <c r="M13677" s="2">
        <v>33547.0</v>
      </c>
      <c r="N13677" s="2" t="s">
        <v>21</v>
      </c>
    </row>
    <row r="13678" ht="15.75" customHeight="1">
      <c r="A13678" s="2">
        <v>2020.0</v>
      </c>
      <c r="B13678" s="2" t="s">
        <v>32859</v>
      </c>
      <c r="C13678" s="2" t="s">
        <v>32859</v>
      </c>
      <c r="D13678" s="2" t="str">
        <f>"3174407155"</f>
        <v>3174407155</v>
      </c>
      <c r="E13678" s="2" t="s">
        <v>590</v>
      </c>
      <c r="F13678" s="2" t="s">
        <v>32860</v>
      </c>
      <c r="G13678" s="2" t="str">
        <f>"SR-19092"</f>
        <v>SR-19092</v>
      </c>
      <c r="H13678" s="2" t="s">
        <v>32861</v>
      </c>
      <c r="I13678" s="2" t="s">
        <v>53906</v>
      </c>
      <c r="K13678" s="2" t="s">
        <v>20753</v>
      </c>
      <c r="L13678" s="2" t="s">
        <v>222</v>
      </c>
      <c r="M13678" s="2">
        <v>95367.0</v>
      </c>
      <c r="N13678" s="2" t="s">
        <v>21</v>
      </c>
    </row>
    <row r="13679" ht="15.75" customHeight="1">
      <c r="A13679" s="2">
        <v>2020.0</v>
      </c>
      <c r="B13679" s="2" t="s">
        <v>53907</v>
      </c>
      <c r="C13679" s="2" t="s">
        <v>53907</v>
      </c>
      <c r="D13679" s="2" t="str">
        <f>"955609155"</f>
        <v>955609155</v>
      </c>
      <c r="E13679" s="2" t="s">
        <v>580</v>
      </c>
      <c r="F13679" s="2" t="s">
        <v>25507</v>
      </c>
      <c r="G13679" s="2" t="str">
        <f>"SR-19399"</f>
        <v>SR-19399</v>
      </c>
      <c r="H13679" s="2" t="s">
        <v>53908</v>
      </c>
      <c r="I13679" s="2" t="s">
        <v>53909</v>
      </c>
      <c r="K13679" s="2" t="s">
        <v>12179</v>
      </c>
      <c r="L13679" s="2" t="s">
        <v>12179</v>
      </c>
      <c r="M13679" s="2">
        <v>1515037.0</v>
      </c>
      <c r="N13679" s="2" t="s">
        <v>53653</v>
      </c>
    </row>
    <row r="13680" ht="15.75" customHeight="1">
      <c r="A13680" s="2">
        <v>2020.0</v>
      </c>
      <c r="B13680" s="2" t="s">
        <v>34532</v>
      </c>
      <c r="C13680" s="2" t="s">
        <v>53910</v>
      </c>
      <c r="D13680" s="2" t="str">
        <f>"3166836671"</f>
        <v>3166836671</v>
      </c>
      <c r="E13680" s="2" t="s">
        <v>288</v>
      </c>
      <c r="F13680" s="2" t="s">
        <v>34534</v>
      </c>
      <c r="G13680" s="2" t="str">
        <f>"SR-19452"</f>
        <v>SR-19452</v>
      </c>
      <c r="H13680" s="2" t="s">
        <v>53911</v>
      </c>
      <c r="I13680" s="2" t="s">
        <v>53912</v>
      </c>
      <c r="K13680" s="2" t="s">
        <v>606</v>
      </c>
      <c r="L13680" s="2" t="s">
        <v>272</v>
      </c>
      <c r="M13680" s="2">
        <v>67220.0</v>
      </c>
      <c r="N13680" s="2" t="s">
        <v>21</v>
      </c>
    </row>
    <row r="13681" ht="15.75" customHeight="1">
      <c r="A13681" s="2">
        <v>2020.0</v>
      </c>
      <c r="B13681" s="2" t="s">
        <v>53625</v>
      </c>
      <c r="C13681" s="2" t="s">
        <v>53913</v>
      </c>
      <c r="D13681" s="2" t="str">
        <f>"208-391-8641"</f>
        <v>208-391-8641</v>
      </c>
      <c r="E13681" s="2" t="s">
        <v>11583</v>
      </c>
      <c r="F13681" s="2" t="s">
        <v>3440</v>
      </c>
      <c r="G13681" s="2" t="str">
        <f>"SR-19312"</f>
        <v>SR-19312</v>
      </c>
      <c r="H13681" s="2" t="s">
        <v>53914</v>
      </c>
      <c r="I13681" s="2" t="s">
        <v>53628</v>
      </c>
      <c r="K13681" s="2" t="s">
        <v>809</v>
      </c>
      <c r="L13681" s="2" t="s">
        <v>157</v>
      </c>
      <c r="M13681" s="2">
        <v>80918.0</v>
      </c>
      <c r="N13681" s="2" t="s">
        <v>21</v>
      </c>
    </row>
    <row r="13682" ht="15.75" customHeight="1">
      <c r="A13682" s="2">
        <v>2020.0</v>
      </c>
      <c r="B13682" s="2" t="s">
        <v>53915</v>
      </c>
      <c r="C13682" s="2" t="s">
        <v>53915</v>
      </c>
      <c r="D13682" s="2" t="str">
        <f>"6207652730"</f>
        <v>6207652730</v>
      </c>
      <c r="E13682" s="2" t="s">
        <v>2053</v>
      </c>
      <c r="F13682" s="2" t="s">
        <v>53916</v>
      </c>
      <c r="G13682" s="2" t="str">
        <f>"SR-19454"</f>
        <v>SR-19454</v>
      </c>
      <c r="H13682" s="2" t="s">
        <v>53917</v>
      </c>
      <c r="I13682" s="2" t="s">
        <v>53918</v>
      </c>
      <c r="K13682" s="2" t="s">
        <v>1583</v>
      </c>
      <c r="L13682" s="2" t="s">
        <v>272</v>
      </c>
      <c r="M13682" s="2">
        <v>67846.0</v>
      </c>
      <c r="N13682" s="2" t="s">
        <v>21</v>
      </c>
    </row>
    <row r="13683" ht="15.75" customHeight="1">
      <c r="A13683" s="2">
        <v>2020.0</v>
      </c>
      <c r="B13683" s="2" t="s">
        <v>53919</v>
      </c>
      <c r="C13683" s="2" t="s">
        <v>53919</v>
      </c>
      <c r="D13683" s="2" t="str">
        <f>"6145469162"</f>
        <v>6145469162</v>
      </c>
      <c r="E13683" s="2" t="s">
        <v>975</v>
      </c>
      <c r="F13683" s="2" t="s">
        <v>29698</v>
      </c>
      <c r="G13683" s="2" t="str">
        <f>"SR-19456"</f>
        <v>SR-19456</v>
      </c>
      <c r="H13683" s="2" t="s">
        <v>53920</v>
      </c>
      <c r="I13683" s="2" t="s">
        <v>53921</v>
      </c>
      <c r="K13683" s="2" t="s">
        <v>6977</v>
      </c>
      <c r="L13683" s="2" t="s">
        <v>344</v>
      </c>
      <c r="M13683" s="2">
        <v>43085.0</v>
      </c>
      <c r="N13683" s="2" t="s">
        <v>21</v>
      </c>
    </row>
    <row r="13684" ht="15.75" customHeight="1">
      <c r="A13684" s="2">
        <v>2020.0</v>
      </c>
      <c r="B13684" s="2" t="s">
        <v>53757</v>
      </c>
      <c r="C13684" s="2" t="s">
        <v>53757</v>
      </c>
      <c r="D13684" s="2" t="str">
        <f>"6189786045"</f>
        <v>6189786045</v>
      </c>
      <c r="E13684" s="2" t="s">
        <v>3778</v>
      </c>
      <c r="F13684" s="2" t="s">
        <v>53758</v>
      </c>
      <c r="G13684" s="2" t="str">
        <f>"SR-19391"</f>
        <v>SR-19391</v>
      </c>
      <c r="H13684" s="2" t="s">
        <v>53922</v>
      </c>
      <c r="I13684" s="2" t="s">
        <v>53760</v>
      </c>
      <c r="K13684" s="2" t="s">
        <v>41706</v>
      </c>
      <c r="L13684" s="2" t="s">
        <v>105</v>
      </c>
      <c r="M13684" s="2">
        <v>62243.0</v>
      </c>
      <c r="N13684" s="2" t="s">
        <v>21</v>
      </c>
    </row>
    <row r="13685" ht="15.75" customHeight="1">
      <c r="A13685" s="2">
        <v>2020.0</v>
      </c>
      <c r="B13685" s="2" t="s">
        <v>53923</v>
      </c>
      <c r="C13685" s="2" t="s">
        <v>53924</v>
      </c>
      <c r="D13685" s="2" t="str">
        <f>"2608200595"</f>
        <v>2608200595</v>
      </c>
      <c r="E13685" s="2" t="s">
        <v>373</v>
      </c>
      <c r="F13685" s="2" t="s">
        <v>1988</v>
      </c>
      <c r="G13685" s="2" t="str">
        <f>"SR-19451"</f>
        <v>SR-19451</v>
      </c>
      <c r="H13685" s="2" t="s">
        <v>53925</v>
      </c>
      <c r="I13685" s="2" t="s">
        <v>53926</v>
      </c>
      <c r="K13685" s="2" t="s">
        <v>4552</v>
      </c>
      <c r="L13685" s="2" t="s">
        <v>149</v>
      </c>
      <c r="M13685" s="2">
        <v>46714.0</v>
      </c>
      <c r="N13685" s="2" t="s">
        <v>21</v>
      </c>
    </row>
    <row r="13686" ht="15.75" customHeight="1">
      <c r="A13686" s="2">
        <v>2020.0</v>
      </c>
      <c r="B13686" s="2" t="s">
        <v>53927</v>
      </c>
      <c r="C13686" s="2" t="s">
        <v>53928</v>
      </c>
      <c r="D13686" s="2" t="str">
        <f>"9073859668"</f>
        <v>9073859668</v>
      </c>
      <c r="E13686" s="2" t="s">
        <v>4865</v>
      </c>
      <c r="F13686" s="2" t="s">
        <v>1151</v>
      </c>
      <c r="G13686" s="2" t="str">
        <f>"SR-19458"</f>
        <v>SR-19458</v>
      </c>
      <c r="H13686" s="2" t="s">
        <v>53929</v>
      </c>
      <c r="I13686" s="2" t="s">
        <v>53930</v>
      </c>
      <c r="K13686" s="2" t="s">
        <v>53931</v>
      </c>
      <c r="L13686" s="2" t="s">
        <v>70</v>
      </c>
      <c r="M13686" s="2">
        <v>99705.0</v>
      </c>
      <c r="N13686" s="2" t="s">
        <v>21</v>
      </c>
    </row>
    <row r="13687" ht="15.75" customHeight="1">
      <c r="A13687" s="2">
        <v>2020.0</v>
      </c>
      <c r="B13687" s="2" t="s">
        <v>53932</v>
      </c>
      <c r="C13687" s="2" t="s">
        <v>53933</v>
      </c>
      <c r="D13687" s="2" t="str">
        <f>"251.302.9930"</f>
        <v>251.302.9930</v>
      </c>
      <c r="E13687" s="2" t="s">
        <v>1682</v>
      </c>
      <c r="F13687" s="2" t="s">
        <v>13635</v>
      </c>
      <c r="G13687" s="2" t="str">
        <f>"SR-19461"</f>
        <v>SR-19461</v>
      </c>
      <c r="H13687" s="2" t="s">
        <v>53934</v>
      </c>
      <c r="I13687" s="2" t="s">
        <v>53935</v>
      </c>
      <c r="K13687" s="2" t="s">
        <v>53936</v>
      </c>
      <c r="L13687" s="2" t="s">
        <v>539</v>
      </c>
      <c r="M13687" s="2">
        <v>36460.0</v>
      </c>
      <c r="N13687" s="2" t="s">
        <v>21</v>
      </c>
    </row>
    <row r="13688" ht="15.75" customHeight="1">
      <c r="A13688" s="2">
        <v>2020.0</v>
      </c>
      <c r="B13688" s="2" t="s">
        <v>53937</v>
      </c>
      <c r="C13688" s="2" t="s">
        <v>53938</v>
      </c>
      <c r="D13688" s="2" t="str">
        <f>"2533106333"</f>
        <v>2533106333</v>
      </c>
      <c r="E13688" s="2" t="s">
        <v>9010</v>
      </c>
      <c r="F13688" s="2" t="s">
        <v>53939</v>
      </c>
      <c r="G13688" s="2" t="str">
        <f>"SR-18160"</f>
        <v>SR-18160</v>
      </c>
      <c r="H13688" s="2" t="s">
        <v>53940</v>
      </c>
      <c r="I13688" s="2" t="s">
        <v>53941</v>
      </c>
      <c r="K13688" s="2" t="s">
        <v>22513</v>
      </c>
      <c r="L13688" s="2" t="s">
        <v>86</v>
      </c>
      <c r="M13688" s="2">
        <v>98405.0</v>
      </c>
      <c r="N13688" s="2" t="s">
        <v>21</v>
      </c>
    </row>
    <row r="13689" ht="15.75" customHeight="1">
      <c r="A13689" s="2">
        <v>2020.0</v>
      </c>
      <c r="B13689" s="2" t="s">
        <v>53942</v>
      </c>
      <c r="C13689" s="2" t="s">
        <v>53943</v>
      </c>
      <c r="D13689" s="2" t="str">
        <f>"9517727278"</f>
        <v>9517727278</v>
      </c>
      <c r="E13689" s="2" t="s">
        <v>705</v>
      </c>
      <c r="F13689" s="2" t="s">
        <v>53944</v>
      </c>
      <c r="G13689" s="2" t="str">
        <f>"SR-19464"</f>
        <v>SR-19464</v>
      </c>
      <c r="H13689" s="2" t="s">
        <v>53945</v>
      </c>
      <c r="I13689" s="2" t="s">
        <v>53946</v>
      </c>
      <c r="K13689" s="2" t="s">
        <v>9348</v>
      </c>
      <c r="L13689" s="2" t="s">
        <v>222</v>
      </c>
      <c r="M13689" s="2">
        <v>92514.0</v>
      </c>
      <c r="N13689" s="2" t="s">
        <v>21</v>
      </c>
    </row>
    <row r="13690" ht="15.75" customHeight="1">
      <c r="A13690" s="2">
        <v>2020.0</v>
      </c>
      <c r="B13690" s="2" t="s">
        <v>53947</v>
      </c>
      <c r="C13690" s="2" t="s">
        <v>53948</v>
      </c>
      <c r="D13690" s="2" t="str">
        <f>"9712392959"</f>
        <v>9712392959</v>
      </c>
      <c r="E13690" s="2" t="s">
        <v>15112</v>
      </c>
      <c r="F13690" s="2" t="s">
        <v>53949</v>
      </c>
      <c r="G13690" s="2" t="str">
        <f>"SR-19467"</f>
        <v>SR-19467</v>
      </c>
      <c r="H13690" s="2" t="s">
        <v>53950</v>
      </c>
      <c r="I13690" s="2" t="s">
        <v>53951</v>
      </c>
      <c r="K13690" s="2" t="s">
        <v>5131</v>
      </c>
      <c r="L13690" s="2" t="s">
        <v>2389</v>
      </c>
      <c r="M13690" s="2">
        <v>97317.0</v>
      </c>
      <c r="N13690" s="2" t="s">
        <v>21</v>
      </c>
    </row>
    <row r="13691" ht="15.75" customHeight="1">
      <c r="A13691" s="2">
        <v>2020.0</v>
      </c>
      <c r="B13691" s="2" t="s">
        <v>53952</v>
      </c>
      <c r="C13691" s="2" t="s">
        <v>53952</v>
      </c>
      <c r="D13691" s="2" t="str">
        <f>"(920) - 583 - 5264"</f>
        <v>(920) - 583 - 5264</v>
      </c>
      <c r="E13691" s="2" t="s">
        <v>1422</v>
      </c>
      <c r="F13691" s="2" t="s">
        <v>53953</v>
      </c>
      <c r="G13691" s="2" t="str">
        <f>"SR-19473"</f>
        <v>SR-19473</v>
      </c>
      <c r="H13691" s="2" t="s">
        <v>53954</v>
      </c>
      <c r="I13691" s="2" t="s">
        <v>53955</v>
      </c>
      <c r="K13691" s="2" t="s">
        <v>1776</v>
      </c>
      <c r="L13691" s="2" t="s">
        <v>193</v>
      </c>
      <c r="M13691" s="2">
        <v>53963.0</v>
      </c>
      <c r="N13691" s="2" t="s">
        <v>21</v>
      </c>
    </row>
    <row r="13692" ht="15.75" customHeight="1">
      <c r="A13692" s="2">
        <v>2020.0</v>
      </c>
      <c r="B13692" s="2" t="s">
        <v>53956</v>
      </c>
      <c r="C13692" s="2" t="s">
        <v>53957</v>
      </c>
      <c r="D13692" s="2" t="str">
        <f>"(706) 809-3481"</f>
        <v>(706) 809-3481</v>
      </c>
      <c r="E13692" s="2" t="s">
        <v>705</v>
      </c>
      <c r="F13692" s="2" t="s">
        <v>645</v>
      </c>
      <c r="G13692" s="2" t="str">
        <f>"SR-19356"</f>
        <v>SR-19356</v>
      </c>
      <c r="H13692" s="2" t="s">
        <v>53958</v>
      </c>
      <c r="I13692" s="2" t="s">
        <v>53959</v>
      </c>
      <c r="K13692" s="2" t="s">
        <v>1408</v>
      </c>
      <c r="L13692" s="2" t="s">
        <v>200</v>
      </c>
      <c r="M13692" s="2">
        <v>30528.0</v>
      </c>
      <c r="N13692" s="2" t="s">
        <v>21</v>
      </c>
    </row>
    <row r="13693" ht="15.75" customHeight="1">
      <c r="A13693" s="2">
        <v>2020.0</v>
      </c>
      <c r="B13693" s="2" t="s">
        <v>53960</v>
      </c>
      <c r="C13693" s="2" t="s">
        <v>53961</v>
      </c>
      <c r="D13693" s="2" t="str">
        <f>"9044010025"</f>
        <v>9044010025</v>
      </c>
      <c r="E13693" s="2" t="s">
        <v>9010</v>
      </c>
      <c r="F13693" s="2" t="s">
        <v>53962</v>
      </c>
      <c r="G13693" s="2" t="str">
        <f>"SR-19481"</f>
        <v>SR-19481</v>
      </c>
      <c r="H13693" s="2" t="s">
        <v>53963</v>
      </c>
      <c r="I13693" s="2" t="s">
        <v>53964</v>
      </c>
      <c r="K13693" s="2" t="s">
        <v>53965</v>
      </c>
      <c r="L13693" s="2" t="s">
        <v>208</v>
      </c>
      <c r="M13693" s="2">
        <v>32217.0</v>
      </c>
      <c r="N13693" s="2" t="s">
        <v>21</v>
      </c>
    </row>
    <row r="13694" ht="15.75" customHeight="1">
      <c r="A13694" s="2">
        <v>2020.0</v>
      </c>
      <c r="B13694" s="2" t="s">
        <v>53966</v>
      </c>
      <c r="C13694" s="2" t="s">
        <v>53966</v>
      </c>
      <c r="D13694" s="2" t="str">
        <f>"9257840713"</f>
        <v>9257840713</v>
      </c>
      <c r="E13694" s="2" t="s">
        <v>10372</v>
      </c>
      <c r="F13694" s="2" t="s">
        <v>53967</v>
      </c>
      <c r="G13694" s="2" t="str">
        <f>"SR-19485"</f>
        <v>SR-19485</v>
      </c>
      <c r="H13694" s="2" t="s">
        <v>53968</v>
      </c>
      <c r="I13694" s="2" t="s">
        <v>53969</v>
      </c>
      <c r="K13694" s="2" t="s">
        <v>9721</v>
      </c>
      <c r="L13694" s="2" t="s">
        <v>222</v>
      </c>
      <c r="M13694" s="2">
        <v>94550.0</v>
      </c>
      <c r="N13694" s="2" t="s">
        <v>21</v>
      </c>
    </row>
    <row r="13695" ht="15.75" customHeight="1">
      <c r="A13695" s="2">
        <v>2020.0</v>
      </c>
      <c r="B13695" s="2" t="s">
        <v>53970</v>
      </c>
      <c r="C13695" s="2" t="s">
        <v>53970</v>
      </c>
      <c r="D13695" s="2" t="str">
        <f>"7873492707"</f>
        <v>7873492707</v>
      </c>
      <c r="E13695" s="2" t="s">
        <v>3191</v>
      </c>
      <c r="F13695" s="2" t="s">
        <v>53971</v>
      </c>
      <c r="G13695" s="2" t="str">
        <f>"SR-19486"</f>
        <v>SR-19486</v>
      </c>
      <c r="H13695" s="2" t="s">
        <v>53972</v>
      </c>
      <c r="I13695" s="2" t="s">
        <v>53973</v>
      </c>
      <c r="K13695" s="2" t="s">
        <v>53974</v>
      </c>
      <c r="L13695" s="2" t="s">
        <v>31606</v>
      </c>
      <c r="M13695" s="2">
        <v>727.0</v>
      </c>
      <c r="N13695" s="2" t="s">
        <v>31541</v>
      </c>
    </row>
    <row r="13696" ht="15.75" customHeight="1">
      <c r="A13696" s="2">
        <v>2020.0</v>
      </c>
      <c r="B13696" s="2" t="s">
        <v>53975</v>
      </c>
      <c r="C13696" s="2" t="s">
        <v>53975</v>
      </c>
      <c r="D13696" s="2" t="str">
        <f>"(787)-920-4049"</f>
        <v>(787)-920-4049</v>
      </c>
      <c r="E13696" s="2" t="s">
        <v>38766</v>
      </c>
      <c r="F13696" s="2" t="s">
        <v>53976</v>
      </c>
      <c r="G13696" s="2" t="str">
        <f>"SR-19487"</f>
        <v>SR-19487</v>
      </c>
      <c r="H13696" s="2" t="s">
        <v>53977</v>
      </c>
      <c r="I13696" s="2" t="s">
        <v>53978</v>
      </c>
      <c r="K13696" s="2" t="s">
        <v>53979</v>
      </c>
      <c r="N13696" s="2" t="s">
        <v>31541</v>
      </c>
    </row>
    <row r="13697" ht="15.75" customHeight="1">
      <c r="A13697" s="2">
        <v>2020.0</v>
      </c>
      <c r="B13697" s="2" t="s">
        <v>53980</v>
      </c>
      <c r="C13697" s="2" t="s">
        <v>53980</v>
      </c>
      <c r="D13697" s="2" t="str">
        <f>"2368802276"</f>
        <v>2368802276</v>
      </c>
      <c r="E13697" s="2" t="s">
        <v>12156</v>
      </c>
      <c r="F13697" s="2" t="s">
        <v>53981</v>
      </c>
      <c r="G13697" s="2" t="str">
        <f>"SR-19411"</f>
        <v>SR-19411</v>
      </c>
      <c r="H13697" s="2" t="s">
        <v>53982</v>
      </c>
      <c r="I13697" s="2" t="s">
        <v>53983</v>
      </c>
      <c r="K13697" s="2" t="s">
        <v>53984</v>
      </c>
      <c r="L13697" s="2" t="s">
        <v>53985</v>
      </c>
      <c r="M13697" s="2" t="s">
        <v>53986</v>
      </c>
      <c r="N13697" s="2" t="s">
        <v>1602</v>
      </c>
    </row>
    <row r="13698" ht="15.75" customHeight="1">
      <c r="A13698" s="2">
        <v>2020.0</v>
      </c>
      <c r="B13698" s="2" t="s">
        <v>53987</v>
      </c>
      <c r="C13698" s="2" t="s">
        <v>53987</v>
      </c>
      <c r="D13698" s="2" t="str">
        <f>"932628720"</f>
        <v>932628720</v>
      </c>
      <c r="E13698" s="2" t="s">
        <v>2786</v>
      </c>
      <c r="F13698" s="2" t="s">
        <v>53988</v>
      </c>
      <c r="G13698" s="2" t="str">
        <f>"SR-19336"</f>
        <v>SR-19336</v>
      </c>
      <c r="H13698" s="2" t="s">
        <v>53989</v>
      </c>
      <c r="I13698" s="2" t="s">
        <v>53990</v>
      </c>
      <c r="K13698" s="2" t="s">
        <v>12179</v>
      </c>
      <c r="L13698" s="2" t="s">
        <v>12179</v>
      </c>
      <c r="M13698" s="2" t="s">
        <v>53991</v>
      </c>
      <c r="N13698" s="2" t="s">
        <v>53653</v>
      </c>
    </row>
    <row r="13699" ht="15.75" customHeight="1">
      <c r="A13699" s="2">
        <v>2020.0</v>
      </c>
      <c r="B13699" s="2" t="s">
        <v>53992</v>
      </c>
      <c r="C13699" s="2" t="s">
        <v>53993</v>
      </c>
      <c r="D13699" s="2" t="str">
        <f>"7074506446"</f>
        <v>7074506446</v>
      </c>
      <c r="E13699" s="2" t="s">
        <v>1000</v>
      </c>
      <c r="F13699" s="2" t="s">
        <v>199</v>
      </c>
      <c r="G13699" s="2" t="str">
        <f>"SR-19469"</f>
        <v>SR-19469</v>
      </c>
      <c r="H13699" s="2" t="s">
        <v>53994</v>
      </c>
      <c r="I13699" s="2" t="s">
        <v>53995</v>
      </c>
      <c r="K13699" s="2" t="s">
        <v>51803</v>
      </c>
      <c r="L13699" s="2" t="s">
        <v>222</v>
      </c>
      <c r="M13699" s="2">
        <v>95688.0</v>
      </c>
      <c r="N13699" s="2" t="s">
        <v>21</v>
      </c>
    </row>
    <row r="13700" ht="15.75" customHeight="1">
      <c r="A13700" s="2">
        <v>2020.0</v>
      </c>
      <c r="B13700" s="2" t="s">
        <v>53996</v>
      </c>
      <c r="C13700" s="2" t="s">
        <v>53997</v>
      </c>
      <c r="D13700" s="2" t="str">
        <f>"760-889-3231"</f>
        <v>760-889-3231</v>
      </c>
      <c r="E13700" s="2" t="s">
        <v>16192</v>
      </c>
      <c r="F13700" s="2" t="s">
        <v>15631</v>
      </c>
      <c r="G13700" s="2" t="str">
        <f>"SR-19483"</f>
        <v>SR-19483</v>
      </c>
      <c r="H13700" s="2" t="s">
        <v>53998</v>
      </c>
      <c r="I13700" s="2" t="s">
        <v>53999</v>
      </c>
      <c r="K13700" s="2" t="s">
        <v>4189</v>
      </c>
      <c r="L13700" s="2" t="s">
        <v>344</v>
      </c>
      <c r="M13700" s="2">
        <v>45044.0</v>
      </c>
      <c r="N13700" s="2" t="s">
        <v>21</v>
      </c>
    </row>
    <row r="13701" ht="15.75" customHeight="1">
      <c r="A13701" s="2">
        <v>2020.0</v>
      </c>
      <c r="B13701" s="2" t="s">
        <v>54000</v>
      </c>
      <c r="C13701" s="2" t="s">
        <v>54001</v>
      </c>
      <c r="D13701" s="2" t="str">
        <f>"9492328946"</f>
        <v>9492328946</v>
      </c>
      <c r="E13701" s="2" t="s">
        <v>453</v>
      </c>
      <c r="F13701" s="2" t="s">
        <v>5335</v>
      </c>
      <c r="G13701" s="2" t="str">
        <f>"SR-19493"</f>
        <v>SR-19493</v>
      </c>
      <c r="H13701" s="2" t="s">
        <v>54002</v>
      </c>
      <c r="I13701" s="2" t="s">
        <v>54003</v>
      </c>
      <c r="K13701" s="2" t="s">
        <v>24136</v>
      </c>
      <c r="L13701" s="2" t="s">
        <v>222</v>
      </c>
      <c r="M13701" s="2">
        <v>92602.0</v>
      </c>
      <c r="N13701" s="2" t="s">
        <v>21</v>
      </c>
    </row>
    <row r="13702" ht="15.75" customHeight="1">
      <c r="A13702" s="2">
        <v>2020.0</v>
      </c>
      <c r="B13702" s="2" t="s">
        <v>54004</v>
      </c>
      <c r="C13702" s="2" t="s">
        <v>54005</v>
      </c>
      <c r="D13702" s="2" t="str">
        <f>"9799219094"</f>
        <v>9799219094</v>
      </c>
      <c r="E13702" s="2" t="s">
        <v>1015</v>
      </c>
      <c r="F13702" s="2" t="s">
        <v>25318</v>
      </c>
      <c r="G13702" s="2" t="str">
        <f>"SR-19498"</f>
        <v>SR-19498</v>
      </c>
      <c r="H13702" s="2" t="s">
        <v>54006</v>
      </c>
      <c r="I13702" s="2" t="s">
        <v>54007</v>
      </c>
      <c r="K13702" s="2" t="s">
        <v>4405</v>
      </c>
      <c r="L13702" s="2" t="s">
        <v>172</v>
      </c>
      <c r="M13702" s="2">
        <v>77445.0</v>
      </c>
      <c r="N13702" s="2" t="s">
        <v>21</v>
      </c>
    </row>
    <row r="13703" ht="15.75" customHeight="1">
      <c r="A13703" s="2">
        <v>2020.0</v>
      </c>
      <c r="B13703" s="2" t="s">
        <v>54008</v>
      </c>
      <c r="C13703" s="2" t="s">
        <v>54009</v>
      </c>
      <c r="D13703" s="2" t="str">
        <f>"5129706299"</f>
        <v>5129706299</v>
      </c>
      <c r="E13703" s="2" t="s">
        <v>1001</v>
      </c>
      <c r="F13703" s="2" t="s">
        <v>1859</v>
      </c>
      <c r="G13703" s="2" t="str">
        <f>"SR-19500"</f>
        <v>SR-19500</v>
      </c>
      <c r="H13703" s="2" t="s">
        <v>54010</v>
      </c>
      <c r="I13703" s="2" t="s">
        <v>54011</v>
      </c>
      <c r="K13703" s="2" t="s">
        <v>1141</v>
      </c>
      <c r="L13703" s="2" t="s">
        <v>172</v>
      </c>
      <c r="M13703" s="2">
        <v>78746.0</v>
      </c>
      <c r="N13703" s="2" t="s">
        <v>21</v>
      </c>
    </row>
    <row r="13704" ht="15.75" customHeight="1">
      <c r="A13704" s="2">
        <v>2020.0</v>
      </c>
      <c r="B13704" s="2" t="s">
        <v>54012</v>
      </c>
      <c r="C13704" s="2" t="s">
        <v>54013</v>
      </c>
      <c r="D13704" s="2" t="str">
        <f>"850-624-3632"</f>
        <v>850-624-3632</v>
      </c>
      <c r="E13704" s="2" t="s">
        <v>1529</v>
      </c>
      <c r="F13704" s="2" t="s">
        <v>54014</v>
      </c>
      <c r="G13704" s="2" t="str">
        <f>"SR-19503"</f>
        <v>SR-19503</v>
      </c>
      <c r="H13704" s="2" t="s">
        <v>54015</v>
      </c>
      <c r="I13704" s="2" t="s">
        <v>54016</v>
      </c>
      <c r="K13704" s="2" t="s">
        <v>5205</v>
      </c>
      <c r="L13704" s="2" t="s">
        <v>165</v>
      </c>
      <c r="M13704" s="2">
        <v>22015.0</v>
      </c>
      <c r="N13704" s="2" t="s">
        <v>21</v>
      </c>
    </row>
    <row r="13705" ht="15.75" customHeight="1">
      <c r="A13705" s="2">
        <v>2020.0</v>
      </c>
      <c r="B13705" s="2" t="s">
        <v>54017</v>
      </c>
      <c r="C13705" s="2" t="s">
        <v>54017</v>
      </c>
      <c r="D13705" s="2" t="str">
        <f>"3399274740"</f>
        <v>3399274740</v>
      </c>
      <c r="E13705" s="2" t="s">
        <v>54018</v>
      </c>
      <c r="F13705" s="2" t="s">
        <v>54019</v>
      </c>
      <c r="G13705" s="2" t="str">
        <f>"SR-19477"</f>
        <v>SR-19477</v>
      </c>
      <c r="H13705" s="2" t="s">
        <v>54020</v>
      </c>
      <c r="I13705" s="2" t="s">
        <v>54021</v>
      </c>
      <c r="K13705" s="2" t="s">
        <v>6075</v>
      </c>
      <c r="L13705" s="2" t="s">
        <v>4108</v>
      </c>
      <c r="M13705" s="2">
        <v>1803.0</v>
      </c>
      <c r="N13705" s="2" t="s">
        <v>21</v>
      </c>
    </row>
    <row r="13706" ht="15.75" customHeight="1">
      <c r="A13706" s="2">
        <v>2020.0</v>
      </c>
      <c r="B13706" s="2" t="s">
        <v>54022</v>
      </c>
      <c r="C13706" s="2" t="s">
        <v>54023</v>
      </c>
      <c r="D13706" s="2" t="str">
        <f>"9376381258"</f>
        <v>9376381258</v>
      </c>
      <c r="E13706" s="2" t="s">
        <v>11981</v>
      </c>
      <c r="F13706" s="2" t="s">
        <v>53794</v>
      </c>
      <c r="G13706" s="2" t="str">
        <f>"SR-19457"</f>
        <v>SR-19457</v>
      </c>
      <c r="H13706" s="2" t="s">
        <v>54024</v>
      </c>
      <c r="I13706" s="2" t="s">
        <v>54025</v>
      </c>
      <c r="K13706" s="2" t="s">
        <v>12416</v>
      </c>
      <c r="L13706" s="2" t="s">
        <v>344</v>
      </c>
      <c r="M13706" s="2">
        <v>45356.0</v>
      </c>
      <c r="N13706" s="2" t="s">
        <v>21</v>
      </c>
    </row>
    <row r="13707" ht="15.75" customHeight="1">
      <c r="A13707" s="2">
        <v>2020.0</v>
      </c>
      <c r="B13707" s="2" t="s">
        <v>54026</v>
      </c>
      <c r="C13707" s="2" t="s">
        <v>54026</v>
      </c>
      <c r="D13707" s="2" t="str">
        <f>"2566318682"</f>
        <v>2566318682</v>
      </c>
      <c r="E13707" s="2" t="s">
        <v>132</v>
      </c>
      <c r="F13707" s="2" t="s">
        <v>428</v>
      </c>
      <c r="G13707" s="2" t="str">
        <f>"SR-19511"</f>
        <v>SR-19511</v>
      </c>
      <c r="H13707" s="2" t="s">
        <v>54027</v>
      </c>
      <c r="I13707" s="2" t="s">
        <v>54028</v>
      </c>
      <c r="K13707" s="2" t="s">
        <v>659</v>
      </c>
      <c r="L13707" s="2" t="s">
        <v>539</v>
      </c>
      <c r="M13707" s="2">
        <v>35758.0</v>
      </c>
      <c r="N13707" s="2" t="s">
        <v>21</v>
      </c>
    </row>
    <row r="13708" ht="15.75" customHeight="1">
      <c r="A13708" s="2">
        <v>2020.0</v>
      </c>
      <c r="B13708" s="2" t="s">
        <v>48954</v>
      </c>
      <c r="C13708" s="2" t="s">
        <v>54029</v>
      </c>
      <c r="D13708" s="2" t="str">
        <f>"6309993015"</f>
        <v>6309993015</v>
      </c>
      <c r="E13708" s="2" t="s">
        <v>6937</v>
      </c>
      <c r="F13708" s="2" t="s">
        <v>48956</v>
      </c>
      <c r="G13708" s="2" t="str">
        <f>"SR-19508"</f>
        <v>SR-19508</v>
      </c>
      <c r="H13708" s="2" t="s">
        <v>54030</v>
      </c>
      <c r="I13708" s="2" t="s">
        <v>48958</v>
      </c>
      <c r="K13708" s="2" t="s">
        <v>9128</v>
      </c>
      <c r="L13708" s="2" t="s">
        <v>105</v>
      </c>
      <c r="M13708" s="2">
        <v>60540.0</v>
      </c>
      <c r="N13708" s="2" t="s">
        <v>21</v>
      </c>
    </row>
    <row r="13709" ht="15.75" customHeight="1">
      <c r="A13709" s="2">
        <v>2020.0</v>
      </c>
      <c r="B13709" s="2" t="s">
        <v>48954</v>
      </c>
      <c r="C13709" s="2" t="s">
        <v>54031</v>
      </c>
      <c r="D13709" s="2" t="str">
        <f>"+1 (630) 518-5103"</f>
        <v>+1 (630) 518-5103</v>
      </c>
      <c r="E13709" s="2" t="s">
        <v>54032</v>
      </c>
      <c r="F13709" s="2" t="s">
        <v>48956</v>
      </c>
      <c r="G13709" s="2" t="str">
        <f>"SR-19512"</f>
        <v>SR-19512</v>
      </c>
      <c r="H13709" s="2" t="s">
        <v>54033</v>
      </c>
      <c r="I13709" s="2" t="s">
        <v>48958</v>
      </c>
      <c r="K13709" s="2" t="s">
        <v>9128</v>
      </c>
      <c r="L13709" s="2" t="s">
        <v>105</v>
      </c>
      <c r="M13709" s="2">
        <v>60540.0</v>
      </c>
      <c r="N13709" s="2" t="s">
        <v>21</v>
      </c>
    </row>
    <row r="13710" ht="15.75" customHeight="1">
      <c r="A13710" s="2">
        <v>2020.0</v>
      </c>
      <c r="B13710" s="2" t="s">
        <v>54034</v>
      </c>
      <c r="C13710" s="2" t="s">
        <v>54034</v>
      </c>
      <c r="D13710" s="2" t="str">
        <f>"787 718 1109"</f>
        <v>787 718 1109</v>
      </c>
      <c r="E13710" s="2" t="s">
        <v>25668</v>
      </c>
      <c r="F13710" s="2" t="s">
        <v>128</v>
      </c>
      <c r="G13710" s="2" t="str">
        <f>"SR-19038"</f>
        <v>SR-19038</v>
      </c>
      <c r="H13710" s="2" t="s">
        <v>54035</v>
      </c>
      <c r="I13710" s="2" t="s">
        <v>54036</v>
      </c>
      <c r="K13710" s="2" t="s">
        <v>54037</v>
      </c>
      <c r="L13710" s="2" t="s">
        <v>31709</v>
      </c>
      <c r="M13710" s="2">
        <v>927.0</v>
      </c>
      <c r="N13710" s="2" t="s">
        <v>31541</v>
      </c>
    </row>
    <row r="13711" ht="15.75" customHeight="1">
      <c r="A13711" s="2">
        <v>2020.0</v>
      </c>
      <c r="B13711" s="2" t="s">
        <v>54038</v>
      </c>
      <c r="C13711" s="2" t="s">
        <v>54039</v>
      </c>
      <c r="D13711" s="2" t="str">
        <f>"805-297-1577"</f>
        <v>805-297-1577</v>
      </c>
      <c r="E13711" s="2" t="s">
        <v>5248</v>
      </c>
      <c r="F13711" s="2" t="s">
        <v>615</v>
      </c>
      <c r="G13711" s="2" t="str">
        <f>"SR-19517"</f>
        <v>SR-19517</v>
      </c>
      <c r="H13711" s="2" t="s">
        <v>54040</v>
      </c>
      <c r="I13711" s="2" t="s">
        <v>54041</v>
      </c>
      <c r="K13711" s="2" t="s">
        <v>13793</v>
      </c>
      <c r="L13711" s="2" t="s">
        <v>222</v>
      </c>
      <c r="M13711" s="2">
        <v>92562.0</v>
      </c>
      <c r="N13711" s="2" t="s">
        <v>21</v>
      </c>
    </row>
    <row r="13712" ht="15.75" customHeight="1">
      <c r="A13712" s="2">
        <v>2020.0</v>
      </c>
      <c r="B13712" s="2" t="s">
        <v>54042</v>
      </c>
      <c r="C13712" s="2" t="s">
        <v>54043</v>
      </c>
      <c r="D13712" s="2" t="str">
        <f>"952-237-3658"</f>
        <v>952-237-3658</v>
      </c>
      <c r="E13712" s="2" t="s">
        <v>1197</v>
      </c>
      <c r="F13712" s="2" t="s">
        <v>54044</v>
      </c>
      <c r="G13712" s="2" t="str">
        <f>"SR-19520"</f>
        <v>SR-19520</v>
      </c>
      <c r="H13712" s="2" t="s">
        <v>54045</v>
      </c>
      <c r="I13712" s="2" t="s">
        <v>54046</v>
      </c>
      <c r="K13712" s="2" t="s">
        <v>20500</v>
      </c>
      <c r="L13712" s="2" t="s">
        <v>29</v>
      </c>
      <c r="M13712" s="2">
        <v>49242.0</v>
      </c>
      <c r="N13712" s="2" t="s">
        <v>21</v>
      </c>
    </row>
    <row r="13713" ht="15.75" customHeight="1">
      <c r="A13713" s="2">
        <v>2020.0</v>
      </c>
      <c r="B13713" s="2" t="s">
        <v>54047</v>
      </c>
      <c r="C13713" s="2" t="s">
        <v>54047</v>
      </c>
      <c r="D13713" s="2" t="str">
        <f>"8063493123"</f>
        <v>8063493123</v>
      </c>
      <c r="E13713" s="2" t="s">
        <v>34529</v>
      </c>
      <c r="F13713" s="2" t="s">
        <v>54048</v>
      </c>
      <c r="G13713" s="2" t="str">
        <f>"SR-19515"</f>
        <v>SR-19515</v>
      </c>
      <c r="H13713" s="2" t="s">
        <v>54049</v>
      </c>
      <c r="I13713" s="2" t="s">
        <v>54050</v>
      </c>
      <c r="K13713" s="2" t="s">
        <v>47338</v>
      </c>
      <c r="L13713" s="2" t="s">
        <v>172</v>
      </c>
      <c r="M13713" s="2">
        <v>79015.0</v>
      </c>
      <c r="N13713" s="2" t="s">
        <v>21</v>
      </c>
    </row>
    <row r="13714" ht="15.75" customHeight="1">
      <c r="A13714" s="2">
        <v>2020.0</v>
      </c>
      <c r="B13714" s="2" t="s">
        <v>54051</v>
      </c>
      <c r="C13714" s="2" t="s">
        <v>54051</v>
      </c>
      <c r="D13714" s="2" t="str">
        <f>"7069498010"</f>
        <v>7069498010</v>
      </c>
      <c r="E13714" s="2" t="s">
        <v>6266</v>
      </c>
      <c r="F13714" s="2" t="s">
        <v>5281</v>
      </c>
      <c r="G13714" s="2" t="str">
        <f>"SR-19527"</f>
        <v>SR-19527</v>
      </c>
      <c r="H13714" s="2" t="s">
        <v>54052</v>
      </c>
      <c r="I13714" s="2" t="s">
        <v>54053</v>
      </c>
      <c r="K13714" s="2" t="s">
        <v>46139</v>
      </c>
      <c r="L13714" s="2" t="s">
        <v>200</v>
      </c>
      <c r="M13714" s="2">
        <v>30523.0</v>
      </c>
      <c r="N13714" s="2" t="s">
        <v>21</v>
      </c>
    </row>
    <row r="13715" ht="15.75" customHeight="1">
      <c r="A13715" s="2">
        <v>2020.0</v>
      </c>
      <c r="B13715" s="2" t="s">
        <v>54054</v>
      </c>
      <c r="C13715" s="2" t="s">
        <v>54054</v>
      </c>
      <c r="D13715" s="2" t="str">
        <f>"9492809262"</f>
        <v>9492809262</v>
      </c>
      <c r="E13715" s="2" t="s">
        <v>453</v>
      </c>
      <c r="F13715" s="2" t="s">
        <v>3903</v>
      </c>
      <c r="G13715" s="2" t="str">
        <f>"SR-19529"</f>
        <v>SR-19529</v>
      </c>
      <c r="H13715" s="2" t="s">
        <v>54055</v>
      </c>
      <c r="I13715" s="2" t="s">
        <v>54056</v>
      </c>
      <c r="K13715" s="2" t="s">
        <v>35198</v>
      </c>
      <c r="L13715" s="2" t="s">
        <v>222</v>
      </c>
      <c r="M13715" s="2">
        <v>92592.0</v>
      </c>
      <c r="N13715" s="2" t="s">
        <v>21</v>
      </c>
    </row>
    <row r="13716" ht="15.75" customHeight="1">
      <c r="A13716" s="2">
        <v>2020.0</v>
      </c>
      <c r="B13716" s="2" t="s">
        <v>54057</v>
      </c>
      <c r="C13716" s="2" t="s">
        <v>54057</v>
      </c>
      <c r="D13716" s="2" t="str">
        <f>"4199666121"</f>
        <v>4199666121</v>
      </c>
      <c r="E13716" s="2" t="s">
        <v>6312</v>
      </c>
      <c r="F13716" s="2" t="s">
        <v>4800</v>
      </c>
      <c r="G13716" s="2" t="str">
        <f>"SR-19530"</f>
        <v>SR-19530</v>
      </c>
      <c r="H13716" s="2" t="s">
        <v>54058</v>
      </c>
      <c r="I13716" s="2" t="s">
        <v>54059</v>
      </c>
      <c r="K13716" s="2" t="s">
        <v>54060</v>
      </c>
      <c r="L13716" s="2" t="s">
        <v>344</v>
      </c>
      <c r="M13716" s="2">
        <v>43502.0</v>
      </c>
      <c r="N13716" s="2" t="s">
        <v>21</v>
      </c>
    </row>
    <row r="13717" ht="15.75" customHeight="1">
      <c r="A13717" s="2">
        <v>2020.0</v>
      </c>
      <c r="B13717" s="2" t="s">
        <v>54061</v>
      </c>
      <c r="C13717" s="2" t="s">
        <v>54061</v>
      </c>
      <c r="D13717" s="2" t="str">
        <f>"303-396-5222"</f>
        <v>303-396-5222</v>
      </c>
      <c r="E13717" s="2" t="s">
        <v>6606</v>
      </c>
      <c r="F13717" s="2" t="s">
        <v>4605</v>
      </c>
      <c r="G13717" s="2" t="str">
        <f>"SR-19533"</f>
        <v>SR-19533</v>
      </c>
      <c r="H13717" s="2" t="s">
        <v>54062</v>
      </c>
      <c r="I13717" s="2" t="s">
        <v>54063</v>
      </c>
      <c r="K13717" s="2" t="s">
        <v>682</v>
      </c>
      <c r="L13717" s="2" t="s">
        <v>157</v>
      </c>
      <c r="M13717" s="2">
        <v>80126.0</v>
      </c>
      <c r="N13717" s="2" t="s">
        <v>21</v>
      </c>
    </row>
    <row r="13718" ht="15.75" customHeight="1">
      <c r="A13718" s="2">
        <v>2020.0</v>
      </c>
      <c r="B13718" s="2" t="s">
        <v>54064</v>
      </c>
      <c r="C13718" s="2" t="s">
        <v>54065</v>
      </c>
      <c r="D13718" s="2" t="str">
        <f>"6064818595"</f>
        <v>6064818595</v>
      </c>
      <c r="E13718" s="2" t="s">
        <v>6202</v>
      </c>
      <c r="F13718" s="2" t="s">
        <v>3674</v>
      </c>
      <c r="G13718" s="2" t="str">
        <f>"SR-19534"</f>
        <v>SR-19534</v>
      </c>
      <c r="H13718" s="2" t="s">
        <v>54066</v>
      </c>
      <c r="I13718" s="2" t="s">
        <v>54067</v>
      </c>
      <c r="K13718" s="2" t="s">
        <v>3542</v>
      </c>
      <c r="L13718" s="2" t="s">
        <v>157</v>
      </c>
      <c r="M13718" s="2">
        <v>81623.0</v>
      </c>
      <c r="N13718" s="2" t="s">
        <v>21</v>
      </c>
    </row>
    <row r="13719" ht="15.75" customHeight="1">
      <c r="A13719" s="2">
        <v>2020.0</v>
      </c>
      <c r="B13719" s="2" t="s">
        <v>54068</v>
      </c>
      <c r="C13719" s="2" t="s">
        <v>54068</v>
      </c>
      <c r="D13719" s="2" t="str">
        <f>"9288305358"</f>
        <v>9288305358</v>
      </c>
      <c r="E13719" s="2" t="s">
        <v>1022</v>
      </c>
      <c r="F13719" s="2" t="s">
        <v>54069</v>
      </c>
      <c r="G13719" s="2" t="str">
        <f>"SR-19542"</f>
        <v>SR-19542</v>
      </c>
      <c r="H13719" s="2" t="s">
        <v>54070</v>
      </c>
      <c r="I13719" s="2" t="s">
        <v>54071</v>
      </c>
      <c r="K13719" s="2" t="s">
        <v>1520</v>
      </c>
      <c r="L13719" s="2" t="s">
        <v>157</v>
      </c>
      <c r="M13719" s="2">
        <v>80016.0</v>
      </c>
      <c r="N13719" s="2" t="s">
        <v>21</v>
      </c>
    </row>
    <row r="13720" ht="15.75" customHeight="1">
      <c r="A13720" s="2">
        <v>2020.0</v>
      </c>
      <c r="B13720" s="2" t="s">
        <v>54072</v>
      </c>
      <c r="C13720" s="2" t="s">
        <v>54073</v>
      </c>
      <c r="D13720" s="2" t="str">
        <f>"616-322-3589"</f>
        <v>616-322-3589</v>
      </c>
      <c r="E13720" s="2" t="s">
        <v>54074</v>
      </c>
      <c r="F13720" s="2" t="s">
        <v>54075</v>
      </c>
      <c r="G13720" s="2" t="str">
        <f>"SR-19443"</f>
        <v>SR-19443</v>
      </c>
      <c r="H13720" s="2" t="s">
        <v>54076</v>
      </c>
      <c r="I13720" s="2" t="s">
        <v>54077</v>
      </c>
      <c r="K13720" s="2" t="s">
        <v>40</v>
      </c>
      <c r="L13720" s="2" t="s">
        <v>29</v>
      </c>
      <c r="M13720" s="2">
        <v>49508.0</v>
      </c>
      <c r="N13720" s="2" t="s">
        <v>21</v>
      </c>
    </row>
    <row r="13721" ht="15.75" customHeight="1">
      <c r="A13721" s="2">
        <v>2020.0</v>
      </c>
      <c r="B13721" s="2" t="s">
        <v>26252</v>
      </c>
      <c r="C13721" s="2" t="s">
        <v>54078</v>
      </c>
      <c r="D13721" s="2" t="str">
        <f>"864-706-9547"</f>
        <v>864-706-9547</v>
      </c>
      <c r="E13721" s="2" t="s">
        <v>2162</v>
      </c>
      <c r="F13721" s="2" t="s">
        <v>26254</v>
      </c>
      <c r="G13721" s="2" t="str">
        <f>"SR-19550"</f>
        <v>SR-19550</v>
      </c>
      <c r="H13721" s="2" t="s">
        <v>54079</v>
      </c>
      <c r="I13721" s="2" t="s">
        <v>26256</v>
      </c>
      <c r="K13721" s="2" t="s">
        <v>13339</v>
      </c>
      <c r="L13721" s="2" t="s">
        <v>55</v>
      </c>
      <c r="M13721" s="2">
        <v>29316.0</v>
      </c>
      <c r="N13721" s="2" t="s">
        <v>21</v>
      </c>
    </row>
    <row r="13722" ht="15.75" customHeight="1">
      <c r="A13722" s="2">
        <v>2020.0</v>
      </c>
      <c r="B13722" s="2" t="s">
        <v>54080</v>
      </c>
      <c r="C13722" s="2" t="s">
        <v>54081</v>
      </c>
      <c r="D13722" s="2" t="str">
        <f>"8326715345"</f>
        <v>8326715345</v>
      </c>
      <c r="E13722" s="2" t="s">
        <v>1263</v>
      </c>
      <c r="F13722" s="2" t="s">
        <v>27693</v>
      </c>
      <c r="G13722" s="2" t="str">
        <f>"SR-19553"</f>
        <v>SR-19553</v>
      </c>
      <c r="H13722" s="2" t="s">
        <v>54082</v>
      </c>
      <c r="I13722" s="2" t="s">
        <v>54083</v>
      </c>
      <c r="K13722" s="2" t="s">
        <v>444</v>
      </c>
      <c r="L13722" s="2" t="s">
        <v>172</v>
      </c>
      <c r="M13722" s="2">
        <v>77024.0</v>
      </c>
      <c r="N13722" s="2" t="s">
        <v>21</v>
      </c>
    </row>
    <row r="13723" ht="15.75" customHeight="1">
      <c r="A13723" s="2">
        <v>2020.0</v>
      </c>
      <c r="B13723" s="2" t="s">
        <v>54084</v>
      </c>
      <c r="C13723" s="2" t="s">
        <v>54084</v>
      </c>
      <c r="D13723" s="2" t="str">
        <f>"3215449218"</f>
        <v>3215449218</v>
      </c>
      <c r="E13723" s="2" t="s">
        <v>873</v>
      </c>
      <c r="F13723" s="2" t="s">
        <v>3366</v>
      </c>
      <c r="G13723" s="2" t="str">
        <f>"SR-19554"</f>
        <v>SR-19554</v>
      </c>
      <c r="H13723" s="2" t="s">
        <v>54085</v>
      </c>
      <c r="I13723" s="2" t="s">
        <v>54086</v>
      </c>
      <c r="K13723" s="2" t="s">
        <v>21087</v>
      </c>
      <c r="L13723" s="2" t="s">
        <v>208</v>
      </c>
      <c r="M13723" s="2">
        <v>32953.0</v>
      </c>
      <c r="N13723" s="2" t="s">
        <v>21</v>
      </c>
    </row>
    <row r="13724" ht="15.75" customHeight="1">
      <c r="A13724" s="2">
        <v>2020.0</v>
      </c>
      <c r="B13724" s="2" t="s">
        <v>54087</v>
      </c>
      <c r="C13724" s="2" t="s">
        <v>54088</v>
      </c>
      <c r="D13724" s="2" t="str">
        <f>"512-903-8481"</f>
        <v>512-903-8481</v>
      </c>
      <c r="E13724" s="2" t="s">
        <v>261</v>
      </c>
      <c r="F13724" s="2" t="s">
        <v>54089</v>
      </c>
      <c r="G13724" s="2" t="str">
        <f>"SR-19556"</f>
        <v>SR-19556</v>
      </c>
      <c r="H13724" s="2" t="s">
        <v>54090</v>
      </c>
      <c r="I13724" s="2" t="s">
        <v>54091</v>
      </c>
      <c r="K13724" s="2" t="s">
        <v>781</v>
      </c>
      <c r="L13724" s="2" t="s">
        <v>172</v>
      </c>
      <c r="M13724" s="2">
        <v>79606.0</v>
      </c>
      <c r="N13724" s="2" t="s">
        <v>21</v>
      </c>
    </row>
    <row r="13725" ht="15.75" customHeight="1">
      <c r="A13725" s="2">
        <v>2020.0</v>
      </c>
      <c r="B13725" s="2" t="s">
        <v>54092</v>
      </c>
      <c r="C13725" s="2" t="s">
        <v>54092</v>
      </c>
      <c r="D13725" s="2" t="str">
        <f>"8144285833"</f>
        <v>8144285833</v>
      </c>
      <c r="E13725" s="2" t="s">
        <v>301</v>
      </c>
      <c r="F13725" s="2" t="s">
        <v>54093</v>
      </c>
      <c r="G13725" s="2" t="str">
        <f>"SR-19563"</f>
        <v>SR-19563</v>
      </c>
      <c r="H13725" s="2" t="s">
        <v>54094</v>
      </c>
      <c r="I13725" s="2" t="s">
        <v>54095</v>
      </c>
      <c r="K13725" s="2" t="s">
        <v>278</v>
      </c>
      <c r="L13725" s="2" t="s">
        <v>179</v>
      </c>
      <c r="M13725" s="2">
        <v>16323.0</v>
      </c>
      <c r="N13725" s="2" t="s">
        <v>21</v>
      </c>
    </row>
    <row r="13726" ht="15.75" customHeight="1">
      <c r="A13726" s="2">
        <v>2020.0</v>
      </c>
      <c r="B13726" s="2" t="s">
        <v>53574</v>
      </c>
      <c r="C13726" s="2" t="s">
        <v>54096</v>
      </c>
      <c r="D13726" s="2" t="str">
        <f>"402-525-4998"</f>
        <v>402-525-4998</v>
      </c>
      <c r="E13726" s="2" t="s">
        <v>3305</v>
      </c>
      <c r="F13726" s="2" t="s">
        <v>53576</v>
      </c>
      <c r="G13726" s="2" t="str">
        <f>"SR-19281"</f>
        <v>SR-19281</v>
      </c>
      <c r="H13726" s="2" t="s">
        <v>54097</v>
      </c>
      <c r="I13726" s="2" t="s">
        <v>53578</v>
      </c>
      <c r="K13726" s="2" t="s">
        <v>6354</v>
      </c>
      <c r="L13726" s="2" t="s">
        <v>560</v>
      </c>
      <c r="M13726" s="2">
        <v>50014.0</v>
      </c>
      <c r="N13726" s="2" t="s">
        <v>21</v>
      </c>
    </row>
    <row r="13727" ht="15.75" customHeight="1">
      <c r="A13727" s="2">
        <v>2020.0</v>
      </c>
      <c r="B13727" s="2" t="s">
        <v>54098</v>
      </c>
      <c r="C13727" s="2" t="s">
        <v>54098</v>
      </c>
      <c r="D13727" s="2" t="str">
        <f>"9253211676"</f>
        <v>9253211676</v>
      </c>
      <c r="E13727" s="2" t="s">
        <v>4501</v>
      </c>
      <c r="F13727" s="2" t="s">
        <v>7940</v>
      </c>
      <c r="G13727" s="2" t="str">
        <f>"SR-19566"</f>
        <v>SR-19566</v>
      </c>
      <c r="H13727" s="2" t="s">
        <v>54099</v>
      </c>
      <c r="I13727" s="2" t="s">
        <v>54100</v>
      </c>
      <c r="K13727" s="2" t="s">
        <v>682</v>
      </c>
      <c r="L13727" s="2" t="s">
        <v>157</v>
      </c>
      <c r="M13727" s="2">
        <v>80129.0</v>
      </c>
      <c r="N13727" s="2" t="s">
        <v>21</v>
      </c>
    </row>
    <row r="13728" ht="15.75" customHeight="1">
      <c r="A13728" s="2">
        <v>2020.0</v>
      </c>
      <c r="B13728" s="2" t="s">
        <v>54101</v>
      </c>
      <c r="C13728" s="2" t="s">
        <v>54101</v>
      </c>
      <c r="D13728" s="2" t="str">
        <f>"(843) 214-4031"</f>
        <v>(843) 214-4031</v>
      </c>
      <c r="E13728" s="2" t="s">
        <v>4501</v>
      </c>
      <c r="F13728" s="2" t="s">
        <v>54102</v>
      </c>
      <c r="G13728" s="2" t="str">
        <f>"SR-19569"</f>
        <v>SR-19569</v>
      </c>
      <c r="H13728" s="2" t="s">
        <v>54103</v>
      </c>
      <c r="I13728" s="2" t="s">
        <v>54104</v>
      </c>
      <c r="K13728" s="2" t="s">
        <v>9175</v>
      </c>
      <c r="L13728" s="2" t="s">
        <v>55</v>
      </c>
      <c r="M13728" s="2">
        <v>29464.0</v>
      </c>
      <c r="N13728" s="2" t="s">
        <v>21</v>
      </c>
    </row>
    <row r="13729" ht="15.75" customHeight="1">
      <c r="A13729" s="2">
        <v>2020.0</v>
      </c>
      <c r="B13729" s="2" t="s">
        <v>54105</v>
      </c>
      <c r="C13729" s="2" t="s">
        <v>54106</v>
      </c>
      <c r="D13729" s="2" t="str">
        <f>"99750797"</f>
        <v>99750797</v>
      </c>
      <c r="E13729" s="2" t="s">
        <v>47</v>
      </c>
      <c r="F13729" s="2" t="s">
        <v>28686</v>
      </c>
      <c r="G13729" s="2" t="str">
        <f>"SR-19516"</f>
        <v>SR-19516</v>
      </c>
      <c r="H13729" s="2" t="s">
        <v>54107</v>
      </c>
      <c r="I13729" s="2" t="s">
        <v>54108</v>
      </c>
      <c r="K13729" s="2" t="s">
        <v>12179</v>
      </c>
      <c r="L13729" s="2" t="s">
        <v>12179</v>
      </c>
      <c r="M13729" s="2" t="s">
        <v>54109</v>
      </c>
      <c r="N13729" s="2" t="s">
        <v>53653</v>
      </c>
    </row>
    <row r="13730" ht="15.75" customHeight="1">
      <c r="A13730" s="2">
        <v>2020.0</v>
      </c>
      <c r="B13730" s="2" t="s">
        <v>54110</v>
      </c>
      <c r="C13730" s="2" t="s">
        <v>54110</v>
      </c>
      <c r="D13730" s="2" t="str">
        <f>"8323143480"</f>
        <v>8323143480</v>
      </c>
      <c r="E13730" s="2" t="s">
        <v>54111</v>
      </c>
      <c r="F13730" s="2" t="s">
        <v>54112</v>
      </c>
      <c r="G13730" s="2" t="str">
        <f>"SR-19576"</f>
        <v>SR-19576</v>
      </c>
      <c r="H13730" s="2" t="s">
        <v>54113</v>
      </c>
      <c r="I13730" s="2" t="s">
        <v>54114</v>
      </c>
      <c r="K13730" s="2" t="s">
        <v>30942</v>
      </c>
      <c r="L13730" s="2" t="s">
        <v>172</v>
      </c>
      <c r="M13730" s="2">
        <v>77573.0</v>
      </c>
      <c r="N13730" s="2" t="s">
        <v>21</v>
      </c>
    </row>
    <row r="13731" ht="15.75" customHeight="1">
      <c r="A13731" s="2">
        <v>2020.0</v>
      </c>
      <c r="B13731" s="2" t="s">
        <v>54115</v>
      </c>
      <c r="C13731" s="2" t="s">
        <v>54116</v>
      </c>
      <c r="D13731" s="2" t="str">
        <f>"6015401106"</f>
        <v>6015401106</v>
      </c>
      <c r="E13731" s="2" t="s">
        <v>385</v>
      </c>
      <c r="F13731" s="2" t="s">
        <v>5962</v>
      </c>
      <c r="G13731" s="2" t="str">
        <f>"SR-19575"</f>
        <v>SR-19575</v>
      </c>
      <c r="H13731" s="2" t="s">
        <v>54117</v>
      </c>
      <c r="I13731" s="2" t="s">
        <v>54118</v>
      </c>
      <c r="J13731" s="2" t="s">
        <v>54119</v>
      </c>
      <c r="K13731" s="2" t="s">
        <v>2147</v>
      </c>
      <c r="L13731" s="2" t="s">
        <v>1722</v>
      </c>
      <c r="M13731" s="2">
        <v>39047.0</v>
      </c>
      <c r="N13731" s="2" t="s">
        <v>21</v>
      </c>
    </row>
    <row r="13732" ht="15.75" customHeight="1">
      <c r="A13732" s="2">
        <v>2020.0</v>
      </c>
      <c r="B13732" s="2" t="s">
        <v>54120</v>
      </c>
      <c r="C13732" s="2" t="s">
        <v>54121</v>
      </c>
      <c r="D13732" s="2" t="str">
        <f>"4199661217"</f>
        <v>4199661217</v>
      </c>
      <c r="E13732" s="2" t="s">
        <v>8930</v>
      </c>
      <c r="F13732" s="2" t="s">
        <v>54122</v>
      </c>
      <c r="G13732" s="2" t="str">
        <f>"SR-19558"</f>
        <v>SR-19558</v>
      </c>
      <c r="H13732" s="2" t="s">
        <v>54123</v>
      </c>
      <c r="I13732" s="2" t="s">
        <v>54124</v>
      </c>
      <c r="K13732" s="2" t="s">
        <v>54060</v>
      </c>
      <c r="L13732" s="2" t="s">
        <v>344</v>
      </c>
      <c r="M13732" s="2">
        <v>43502.0</v>
      </c>
      <c r="N13732" s="2" t="s">
        <v>21</v>
      </c>
    </row>
    <row r="13733" ht="15.75" customHeight="1">
      <c r="A13733" s="2">
        <v>2020.0</v>
      </c>
      <c r="B13733" s="2" t="s">
        <v>54125</v>
      </c>
      <c r="C13733" s="2" t="s">
        <v>54125</v>
      </c>
      <c r="D13733" s="2" t="str">
        <f>"7193151383"</f>
        <v>7193151383</v>
      </c>
      <c r="E13733" s="2" t="s">
        <v>1032</v>
      </c>
      <c r="F13733" s="2" t="s">
        <v>54126</v>
      </c>
      <c r="G13733" s="2" t="str">
        <f>"SR-19577"</f>
        <v>SR-19577</v>
      </c>
      <c r="H13733" s="2" t="s">
        <v>54127</v>
      </c>
      <c r="I13733" s="2" t="s">
        <v>54128</v>
      </c>
      <c r="K13733" s="2" t="s">
        <v>7473</v>
      </c>
      <c r="L13733" s="2" t="s">
        <v>157</v>
      </c>
      <c r="M13733" s="2">
        <v>81007.0</v>
      </c>
      <c r="N13733" s="2" t="s">
        <v>21</v>
      </c>
    </row>
    <row r="13734" ht="15.75" customHeight="1">
      <c r="A13734" s="2">
        <v>2020.0</v>
      </c>
      <c r="B13734" s="2" t="s">
        <v>54129</v>
      </c>
      <c r="C13734" s="2" t="s">
        <v>54130</v>
      </c>
      <c r="D13734" s="2" t="str">
        <f>"4077380605"</f>
        <v>4077380605</v>
      </c>
      <c r="E13734" s="2" t="s">
        <v>4300</v>
      </c>
      <c r="F13734" s="2" t="s">
        <v>14417</v>
      </c>
      <c r="G13734" s="2" t="str">
        <f>"SR-19578"</f>
        <v>SR-19578</v>
      </c>
      <c r="H13734" s="2" t="s">
        <v>54131</v>
      </c>
      <c r="I13734" s="2" t="s">
        <v>54132</v>
      </c>
      <c r="K13734" s="2" t="s">
        <v>12702</v>
      </c>
      <c r="L13734" s="2" t="s">
        <v>208</v>
      </c>
      <c r="M13734" s="2">
        <v>32765.0</v>
      </c>
      <c r="N13734" s="2" t="s">
        <v>21</v>
      </c>
    </row>
    <row r="13735" ht="15.75" customHeight="1">
      <c r="A13735" s="2">
        <v>2020.0</v>
      </c>
      <c r="B13735" s="2" t="s">
        <v>54133</v>
      </c>
      <c r="C13735" s="2" t="s">
        <v>54134</v>
      </c>
      <c r="D13735" s="2" t="str">
        <f>"352-978-7789"</f>
        <v>352-978-7789</v>
      </c>
      <c r="E13735" s="2" t="s">
        <v>4318</v>
      </c>
      <c r="F13735" s="2" t="s">
        <v>18891</v>
      </c>
      <c r="G13735" s="2" t="str">
        <f>"SR-19580"</f>
        <v>SR-19580</v>
      </c>
      <c r="H13735" s="2" t="s">
        <v>54135</v>
      </c>
      <c r="I13735" s="2" t="s">
        <v>54136</v>
      </c>
      <c r="K13735" s="2" t="s">
        <v>19345</v>
      </c>
      <c r="L13735" s="2" t="s">
        <v>208</v>
      </c>
      <c r="M13735" s="2">
        <v>35711.0</v>
      </c>
      <c r="N13735" s="2" t="s">
        <v>21</v>
      </c>
    </row>
    <row r="13736" ht="15.75" customHeight="1">
      <c r="A13736" s="2">
        <v>2020.0</v>
      </c>
      <c r="B13736" s="2" t="s">
        <v>54137</v>
      </c>
      <c r="D13736" s="2" t="str">
        <f>""</f>
        <v/>
      </c>
      <c r="E13736" s="2" t="s">
        <v>167</v>
      </c>
      <c r="F13736" s="2" t="s">
        <v>14629</v>
      </c>
      <c r="G13736" s="2" t="str">
        <f>"SR-18859"</f>
        <v>SR-18859</v>
      </c>
      <c r="H13736" s="2" t="s">
        <v>54138</v>
      </c>
    </row>
    <row r="13737" ht="15.75" customHeight="1">
      <c r="A13737" s="2">
        <v>2020.0</v>
      </c>
      <c r="B13737" s="2" t="s">
        <v>27201</v>
      </c>
      <c r="C13737" s="2" t="s">
        <v>54139</v>
      </c>
      <c r="D13737" s="2" t="str">
        <f>"6155002163"</f>
        <v>6155002163</v>
      </c>
      <c r="E13737" s="2" t="s">
        <v>54140</v>
      </c>
      <c r="F13737" s="2" t="s">
        <v>27203</v>
      </c>
      <c r="G13737" s="2" t="str">
        <f>"SR-19582"</f>
        <v>SR-19582</v>
      </c>
      <c r="H13737" s="2" t="s">
        <v>54141</v>
      </c>
      <c r="I13737" s="2" t="s">
        <v>54142</v>
      </c>
      <c r="K13737" s="2" t="s">
        <v>5683</v>
      </c>
      <c r="L13737" s="2" t="s">
        <v>208</v>
      </c>
      <c r="M13737" s="2">
        <v>33596.0</v>
      </c>
      <c r="N13737" s="2" t="s">
        <v>21</v>
      </c>
    </row>
    <row r="13738" ht="15.75" customHeight="1">
      <c r="A13738" s="2">
        <v>2020.0</v>
      </c>
      <c r="B13738" s="2" t="s">
        <v>54143</v>
      </c>
      <c r="C13738" s="2" t="s">
        <v>54144</v>
      </c>
      <c r="D13738" s="2" t="str">
        <f>"6018671167"</f>
        <v>6018671167</v>
      </c>
      <c r="E13738" s="2" t="s">
        <v>144</v>
      </c>
      <c r="F13738" s="2" t="s">
        <v>54145</v>
      </c>
      <c r="G13738" s="2" t="str">
        <f>"SR-19584"</f>
        <v>SR-19584</v>
      </c>
      <c r="H13738" s="2" t="s">
        <v>54146</v>
      </c>
      <c r="I13738" s="2" t="s">
        <v>54147</v>
      </c>
      <c r="K13738" s="2" t="s">
        <v>809</v>
      </c>
      <c r="L13738" s="2" t="s">
        <v>157</v>
      </c>
      <c r="M13738" s="2">
        <v>80919.0</v>
      </c>
      <c r="N13738" s="2" t="s">
        <v>21</v>
      </c>
    </row>
    <row r="13739" ht="15.75" customHeight="1">
      <c r="A13739" s="2">
        <v>2020.0</v>
      </c>
      <c r="B13739" s="2" t="s">
        <v>54148</v>
      </c>
      <c r="C13739" s="2" t="s">
        <v>54149</v>
      </c>
      <c r="D13739" s="2" t="str">
        <f>"2564793020"</f>
        <v>2564793020</v>
      </c>
      <c r="E13739" s="2" t="s">
        <v>54150</v>
      </c>
      <c r="F13739" s="2" t="s">
        <v>54151</v>
      </c>
      <c r="G13739" s="2" t="str">
        <f>"SR-19589"</f>
        <v>SR-19589</v>
      </c>
      <c r="H13739" s="2" t="s">
        <v>54152</v>
      </c>
      <c r="I13739" s="2" t="s">
        <v>54153</v>
      </c>
      <c r="K13739" s="2" t="s">
        <v>54154</v>
      </c>
      <c r="L13739" s="2" t="s">
        <v>539</v>
      </c>
      <c r="M13739" s="2">
        <v>35756.0</v>
      </c>
      <c r="N13739" s="2" t="s">
        <v>21</v>
      </c>
    </row>
    <row r="13740" ht="15.75" customHeight="1">
      <c r="A13740" s="2">
        <v>2020.0</v>
      </c>
      <c r="B13740" s="2" t="s">
        <v>54155</v>
      </c>
      <c r="C13740" s="2" t="s">
        <v>54155</v>
      </c>
      <c r="D13740" s="2" t="str">
        <f>"6187952525"</f>
        <v>6187952525</v>
      </c>
      <c r="E13740" s="2" t="s">
        <v>13585</v>
      </c>
      <c r="F13740" s="2" t="s">
        <v>54156</v>
      </c>
      <c r="G13740" s="2" t="str">
        <f>"SR-19591"</f>
        <v>SR-19591</v>
      </c>
      <c r="H13740" s="2" t="s">
        <v>54157</v>
      </c>
      <c r="I13740" s="2" t="s">
        <v>54158</v>
      </c>
      <c r="K13740" s="2" t="s">
        <v>1593</v>
      </c>
      <c r="L13740" s="2" t="s">
        <v>422</v>
      </c>
      <c r="M13740" s="2">
        <v>85255.0</v>
      </c>
      <c r="N13740" s="2" t="s">
        <v>21</v>
      </c>
    </row>
    <row r="13741" ht="15.75" customHeight="1">
      <c r="A13741" s="2">
        <v>2020.0</v>
      </c>
      <c r="B13741" s="2" t="s">
        <v>54159</v>
      </c>
      <c r="C13741" s="2" t="s">
        <v>54160</v>
      </c>
      <c r="D13741" s="2" t="str">
        <f>"803-508-1968"</f>
        <v>803-508-1968</v>
      </c>
      <c r="E13741" s="2" t="s">
        <v>1782</v>
      </c>
      <c r="F13741" s="2" t="s">
        <v>3319</v>
      </c>
      <c r="G13741" s="2" t="str">
        <f>"SR-11486"</f>
        <v>SR-11486</v>
      </c>
      <c r="H13741" s="2" t="s">
        <v>54161</v>
      </c>
      <c r="I13741" s="2" t="s">
        <v>54162</v>
      </c>
      <c r="K13741" s="2" t="s">
        <v>29425</v>
      </c>
      <c r="L13741" s="2" t="s">
        <v>55</v>
      </c>
      <c r="M13741" s="2">
        <v>29860.0</v>
      </c>
      <c r="N13741" s="2" t="s">
        <v>21</v>
      </c>
    </row>
    <row r="13742" ht="15.75" customHeight="1">
      <c r="A13742" s="2">
        <v>2020.0</v>
      </c>
      <c r="B13742" s="2" t="s">
        <v>54163</v>
      </c>
      <c r="C13742" s="2" t="s">
        <v>54164</v>
      </c>
      <c r="D13742" s="2" t="str">
        <f t="shared" ref="D13742:D13743" si="234">"513-755-5683"</f>
        <v>513-755-5683</v>
      </c>
      <c r="E13742" s="2" t="s">
        <v>54165</v>
      </c>
      <c r="F13742" s="2" t="s">
        <v>9847</v>
      </c>
      <c r="G13742" s="2" t="str">
        <f>"SR-19471"</f>
        <v>SR-19471</v>
      </c>
      <c r="H13742" s="2" t="s">
        <v>54166</v>
      </c>
      <c r="I13742" s="2" t="s">
        <v>54167</v>
      </c>
      <c r="K13742" s="2" t="s">
        <v>14929</v>
      </c>
      <c r="L13742" s="2" t="s">
        <v>344</v>
      </c>
      <c r="M13742" s="2">
        <v>45069.0</v>
      </c>
      <c r="N13742" s="2" t="s">
        <v>21</v>
      </c>
    </row>
    <row r="13743" ht="15.75" customHeight="1">
      <c r="A13743" s="2">
        <v>2020.0</v>
      </c>
      <c r="B13743" s="2" t="s">
        <v>54163</v>
      </c>
      <c r="C13743" s="2" t="s">
        <v>54168</v>
      </c>
      <c r="D13743" s="2" t="str">
        <f t="shared" si="234"/>
        <v>513-755-5683</v>
      </c>
      <c r="E13743" s="2" t="s">
        <v>54169</v>
      </c>
      <c r="F13743" s="2" t="s">
        <v>9847</v>
      </c>
      <c r="G13743" s="2" t="str">
        <f>"SR-19598"</f>
        <v>SR-19598</v>
      </c>
      <c r="H13743" s="2" t="s">
        <v>54170</v>
      </c>
      <c r="I13743" s="2" t="s">
        <v>54167</v>
      </c>
      <c r="K13743" s="2" t="s">
        <v>14929</v>
      </c>
      <c r="L13743" s="2" t="s">
        <v>344</v>
      </c>
      <c r="M13743" s="2">
        <v>45069.0</v>
      </c>
      <c r="N13743" s="2" t="s">
        <v>21</v>
      </c>
    </row>
    <row r="13744" ht="15.75" customHeight="1">
      <c r="A13744" s="2">
        <v>2020.0</v>
      </c>
      <c r="B13744" s="2" t="s">
        <v>54171</v>
      </c>
      <c r="C13744" s="2" t="s">
        <v>54171</v>
      </c>
      <c r="D13744" s="2" t="str">
        <f>"8328021930"</f>
        <v>8328021930</v>
      </c>
      <c r="E13744" s="2" t="s">
        <v>326</v>
      </c>
      <c r="F13744" s="2" t="s">
        <v>54172</v>
      </c>
      <c r="G13744" s="2" t="str">
        <f>"SR-19597"</f>
        <v>SR-19597</v>
      </c>
      <c r="H13744" s="2" t="s">
        <v>54173</v>
      </c>
      <c r="I13744" s="2" t="s">
        <v>54174</v>
      </c>
      <c r="K13744" s="2" t="s">
        <v>27733</v>
      </c>
      <c r="L13744" s="2" t="s">
        <v>172</v>
      </c>
      <c r="M13744" s="2">
        <v>77459.0</v>
      </c>
      <c r="N13744" s="2" t="s">
        <v>21</v>
      </c>
    </row>
    <row r="13745" ht="15.75" customHeight="1">
      <c r="A13745" s="2">
        <v>2020.0</v>
      </c>
      <c r="B13745" s="2" t="s">
        <v>54175</v>
      </c>
      <c r="C13745" s="2" t="s">
        <v>54176</v>
      </c>
      <c r="D13745" s="2" t="str">
        <f>"2564900819"</f>
        <v>2564900819</v>
      </c>
      <c r="E13745" s="2" t="s">
        <v>1548</v>
      </c>
      <c r="F13745" s="2" t="s">
        <v>5414</v>
      </c>
      <c r="G13745" s="2" t="str">
        <f>"SR-19608"</f>
        <v>SR-19608</v>
      </c>
      <c r="H13745" s="2" t="s">
        <v>24825</v>
      </c>
      <c r="I13745" s="2" t="s">
        <v>54177</v>
      </c>
      <c r="K13745" s="2" t="s">
        <v>7861</v>
      </c>
      <c r="L13745" s="2" t="s">
        <v>539</v>
      </c>
      <c r="M13745" s="2">
        <v>35903.0</v>
      </c>
      <c r="N13745" s="2" t="s">
        <v>21</v>
      </c>
    </row>
    <row r="13746" ht="15.75" customHeight="1">
      <c r="A13746" s="2">
        <v>2020.0</v>
      </c>
      <c r="B13746" s="2" t="s">
        <v>54178</v>
      </c>
      <c r="C13746" s="2" t="s">
        <v>54178</v>
      </c>
      <c r="D13746" s="2" t="str">
        <f>"3038035036"</f>
        <v>3038035036</v>
      </c>
      <c r="E13746" s="2" t="s">
        <v>752</v>
      </c>
      <c r="F13746" s="2" t="s">
        <v>54179</v>
      </c>
      <c r="G13746" s="2" t="str">
        <f>"SR-19573"</f>
        <v>SR-19573</v>
      </c>
      <c r="H13746" s="2" t="s">
        <v>54180</v>
      </c>
      <c r="I13746" s="2" t="s">
        <v>54181</v>
      </c>
      <c r="K13746" s="2" t="s">
        <v>1502</v>
      </c>
      <c r="L13746" s="2" t="s">
        <v>157</v>
      </c>
      <c r="M13746" s="2">
        <v>80007.0</v>
      </c>
      <c r="N13746" s="2" t="s">
        <v>21</v>
      </c>
    </row>
    <row r="13747" ht="15.75" customHeight="1">
      <c r="A13747" s="2">
        <v>2020.0</v>
      </c>
      <c r="B13747" s="2" t="s">
        <v>54182</v>
      </c>
      <c r="C13747" s="2" t="s">
        <v>54183</v>
      </c>
      <c r="D13747" s="2" t="str">
        <f>"5124849570"</f>
        <v>5124849570</v>
      </c>
      <c r="E13747" s="2" t="s">
        <v>72</v>
      </c>
      <c r="F13747" s="2" t="s">
        <v>54184</v>
      </c>
      <c r="G13747" s="2" t="str">
        <f>"SR-19610"</f>
        <v>SR-19610</v>
      </c>
      <c r="H13747" s="2" t="s">
        <v>54185</v>
      </c>
      <c r="I13747" s="2" t="s">
        <v>54186</v>
      </c>
      <c r="K13747" s="2" t="s">
        <v>1249</v>
      </c>
      <c r="L13747" s="2" t="s">
        <v>172</v>
      </c>
      <c r="M13747" s="2">
        <v>78613.0</v>
      </c>
      <c r="N13747" s="2" t="s">
        <v>21</v>
      </c>
    </row>
    <row r="13748" ht="15.75" customHeight="1">
      <c r="A13748" s="2">
        <v>2020.0</v>
      </c>
      <c r="B13748" s="2" t="s">
        <v>53996</v>
      </c>
      <c r="C13748" s="2" t="s">
        <v>54187</v>
      </c>
      <c r="D13748" s="2" t="str">
        <f>"760-889-3231"</f>
        <v>760-889-3231</v>
      </c>
      <c r="E13748" s="2" t="s">
        <v>1803</v>
      </c>
      <c r="F13748" s="2" t="s">
        <v>15631</v>
      </c>
      <c r="G13748" s="2" t="str">
        <f>"SR-19611"</f>
        <v>SR-19611</v>
      </c>
      <c r="H13748" s="2" t="s">
        <v>54188</v>
      </c>
      <c r="I13748" s="2" t="s">
        <v>53999</v>
      </c>
      <c r="K13748" s="2" t="s">
        <v>4189</v>
      </c>
      <c r="L13748" s="2" t="s">
        <v>222</v>
      </c>
      <c r="M13748" s="2">
        <v>45044.0</v>
      </c>
      <c r="N13748" s="2" t="s">
        <v>21</v>
      </c>
    </row>
    <row r="13749" ht="15.75" customHeight="1">
      <c r="A13749" s="2">
        <v>2020.0</v>
      </c>
      <c r="B13749" s="2" t="s">
        <v>54189</v>
      </c>
      <c r="C13749" s="2" t="s">
        <v>54190</v>
      </c>
      <c r="D13749" s="2" t="str">
        <f>"4258920504"</f>
        <v>4258920504</v>
      </c>
      <c r="E13749" s="2" t="s">
        <v>6244</v>
      </c>
      <c r="F13749" s="2" t="s">
        <v>54191</v>
      </c>
      <c r="G13749" s="2" t="str">
        <f>"SR-19613"</f>
        <v>SR-19613</v>
      </c>
      <c r="H13749" s="2" t="s">
        <v>54192</v>
      </c>
      <c r="I13749" s="2" t="s">
        <v>54193</v>
      </c>
      <c r="K13749" s="2" t="s">
        <v>45437</v>
      </c>
      <c r="L13749" s="2" t="s">
        <v>86</v>
      </c>
      <c r="M13749" s="2">
        <v>98036.0</v>
      </c>
      <c r="N13749" s="2" t="s">
        <v>21</v>
      </c>
    </row>
    <row r="13750" ht="15.75" customHeight="1">
      <c r="A13750" s="2">
        <v>2020.0</v>
      </c>
      <c r="B13750" s="2" t="s">
        <v>54194</v>
      </c>
      <c r="C13750" s="2" t="s">
        <v>54195</v>
      </c>
      <c r="D13750" s="2" t="str">
        <f>"217-827-2779"</f>
        <v>217-827-2779</v>
      </c>
      <c r="E13750" s="2" t="s">
        <v>580</v>
      </c>
      <c r="F13750" s="2" t="s">
        <v>54196</v>
      </c>
      <c r="G13750" s="2" t="str">
        <f>"SR-19615"</f>
        <v>SR-19615</v>
      </c>
      <c r="H13750" s="2" t="s">
        <v>54197</v>
      </c>
      <c r="I13750" s="2" t="s">
        <v>33701</v>
      </c>
      <c r="J13750" s="2" t="s">
        <v>54198</v>
      </c>
      <c r="K13750" s="2" t="s">
        <v>28015</v>
      </c>
      <c r="L13750" s="2" t="s">
        <v>105</v>
      </c>
      <c r="M13750" s="2">
        <v>62083.0</v>
      </c>
      <c r="N13750" s="2" t="s">
        <v>21</v>
      </c>
    </row>
    <row r="13751" ht="15.75" customHeight="1">
      <c r="A13751" s="2">
        <v>2020.0</v>
      </c>
      <c r="B13751" s="2" t="s">
        <v>54199</v>
      </c>
      <c r="C13751" s="2" t="s">
        <v>54199</v>
      </c>
      <c r="D13751" s="2" t="str">
        <f>"3183064287"</f>
        <v>3183064287</v>
      </c>
      <c r="E13751" s="2" t="s">
        <v>659</v>
      </c>
      <c r="F13751" s="2" t="s">
        <v>53262</v>
      </c>
      <c r="G13751" s="2" t="str">
        <f>"SR-19173"</f>
        <v>SR-19173</v>
      </c>
      <c r="H13751" s="2" t="s">
        <v>54200</v>
      </c>
      <c r="I13751" s="2" t="s">
        <v>54201</v>
      </c>
      <c r="K13751" s="2" t="s">
        <v>3037</v>
      </c>
      <c r="L13751" s="2" t="s">
        <v>715</v>
      </c>
      <c r="M13751" s="2">
        <v>70644.0</v>
      </c>
      <c r="N13751" s="2" t="s">
        <v>21</v>
      </c>
    </row>
    <row r="13752" ht="15.75" customHeight="1">
      <c r="A13752" s="2">
        <v>2020.0</v>
      </c>
      <c r="B13752" s="2" t="s">
        <v>54202</v>
      </c>
      <c r="C13752" s="2" t="s">
        <v>54203</v>
      </c>
      <c r="D13752" s="2" t="str">
        <f>"309-838-6617"</f>
        <v>309-838-6617</v>
      </c>
      <c r="E13752" s="2" t="s">
        <v>14532</v>
      </c>
      <c r="F13752" s="2" t="s">
        <v>33523</v>
      </c>
      <c r="G13752" s="2" t="str">
        <f>"SR-19632"</f>
        <v>SR-19632</v>
      </c>
      <c r="H13752" s="2" t="s">
        <v>54204</v>
      </c>
      <c r="I13752" s="2" t="s">
        <v>54205</v>
      </c>
      <c r="K13752" s="2" t="s">
        <v>14381</v>
      </c>
      <c r="L13752" s="2" t="s">
        <v>105</v>
      </c>
      <c r="M13752" s="2">
        <v>61761.0</v>
      </c>
      <c r="N13752" s="2" t="s">
        <v>21</v>
      </c>
    </row>
    <row r="13753" ht="15.75" customHeight="1">
      <c r="A13753" s="2">
        <v>2020.0</v>
      </c>
      <c r="B13753" s="2" t="s">
        <v>54012</v>
      </c>
      <c r="C13753" s="2" t="s">
        <v>54206</v>
      </c>
      <c r="D13753" s="2" t="str">
        <f>"850-730-0984"</f>
        <v>850-730-0984</v>
      </c>
      <c r="E13753" s="2" t="s">
        <v>54207</v>
      </c>
      <c r="F13753" s="2" t="s">
        <v>54014</v>
      </c>
      <c r="G13753" s="2" t="str">
        <f>"SR-19505"</f>
        <v>SR-19505</v>
      </c>
      <c r="H13753" s="2" t="s">
        <v>54208</v>
      </c>
      <c r="I13753" s="2" t="s">
        <v>54016</v>
      </c>
      <c r="K13753" s="2" t="s">
        <v>5205</v>
      </c>
      <c r="L13753" s="2" t="s">
        <v>165</v>
      </c>
      <c r="M13753" s="2">
        <v>22015.0</v>
      </c>
      <c r="N13753" s="2" t="s">
        <v>21</v>
      </c>
    </row>
    <row r="13754" ht="15.75" customHeight="1">
      <c r="A13754" s="2">
        <v>2020.0</v>
      </c>
      <c r="B13754" s="2" t="s">
        <v>42814</v>
      </c>
      <c r="C13754" s="2" t="s">
        <v>54209</v>
      </c>
      <c r="D13754" s="2" t="str">
        <f>"908-790-9540"</f>
        <v>908-790-9540</v>
      </c>
      <c r="E13754" s="2" t="s">
        <v>862</v>
      </c>
      <c r="F13754" s="2" t="s">
        <v>42816</v>
      </c>
      <c r="G13754" s="2" t="str">
        <f>"SR-19459"</f>
        <v>SR-19459</v>
      </c>
      <c r="H13754" s="2" t="s">
        <v>54210</v>
      </c>
      <c r="I13754" s="2" t="s">
        <v>42818</v>
      </c>
      <c r="K13754" s="2" t="s">
        <v>42819</v>
      </c>
      <c r="L13754" s="2" t="s">
        <v>3618</v>
      </c>
      <c r="M13754" s="2">
        <v>7920.0</v>
      </c>
      <c r="N13754" s="2" t="s">
        <v>21</v>
      </c>
    </row>
    <row r="13755" ht="15.75" customHeight="1">
      <c r="A13755" s="2">
        <v>2020.0</v>
      </c>
      <c r="B13755" s="2" t="s">
        <v>54211</v>
      </c>
      <c r="D13755" s="2" t="str">
        <f>""</f>
        <v/>
      </c>
      <c r="E13755" s="2" t="s">
        <v>15048</v>
      </c>
      <c r="F13755" s="2" t="s">
        <v>41666</v>
      </c>
      <c r="G13755" s="2" t="str">
        <f>"SR-19342"</f>
        <v>SR-19342</v>
      </c>
      <c r="H13755" s="2" t="s">
        <v>54212</v>
      </c>
      <c r="N13755" s="2" t="s">
        <v>21</v>
      </c>
    </row>
    <row r="13756" ht="15.75" customHeight="1">
      <c r="A13756" s="2">
        <v>2020.0</v>
      </c>
      <c r="B13756" s="2" t="s">
        <v>54213</v>
      </c>
      <c r="C13756" s="2" t="s">
        <v>54213</v>
      </c>
      <c r="D13756" s="2" t="str">
        <f>"9706230927"</f>
        <v>9706230927</v>
      </c>
      <c r="E13756" s="2" t="s">
        <v>50429</v>
      </c>
      <c r="F13756" s="2" t="s">
        <v>54214</v>
      </c>
      <c r="G13756" s="2" t="str">
        <f>"SR-19645"</f>
        <v>SR-19645</v>
      </c>
      <c r="H13756" s="2" t="s">
        <v>54215</v>
      </c>
      <c r="I13756" s="2" t="s">
        <v>54216</v>
      </c>
      <c r="K13756" s="2" t="s">
        <v>11440</v>
      </c>
      <c r="L13756" s="2" t="s">
        <v>157</v>
      </c>
      <c r="M13756" s="2">
        <v>81506.0</v>
      </c>
      <c r="N13756" s="2" t="s">
        <v>21</v>
      </c>
    </row>
    <row r="13757" ht="15.75" customHeight="1">
      <c r="A13757" s="2">
        <v>2020.0</v>
      </c>
      <c r="B13757" s="2" t="s">
        <v>54217</v>
      </c>
      <c r="C13757" s="2" t="s">
        <v>54218</v>
      </c>
      <c r="D13757" s="2" t="str">
        <f>"3462345001"</f>
        <v>3462345001</v>
      </c>
      <c r="E13757" s="2" t="s">
        <v>6170</v>
      </c>
      <c r="F13757" s="2" t="s">
        <v>54219</v>
      </c>
      <c r="G13757" s="2" t="str">
        <f>"SR-19640"</f>
        <v>SR-19640</v>
      </c>
      <c r="H13757" s="2" t="s">
        <v>54220</v>
      </c>
      <c r="I13757" s="2" t="s">
        <v>54221</v>
      </c>
      <c r="K13757" s="2" t="s">
        <v>444</v>
      </c>
      <c r="L13757" s="2" t="s">
        <v>172</v>
      </c>
      <c r="M13757" s="2">
        <v>77089.0</v>
      </c>
      <c r="N13757" s="2" t="s">
        <v>21</v>
      </c>
    </row>
    <row r="13758" ht="15.75" customHeight="1">
      <c r="A13758" s="2">
        <v>2020.0</v>
      </c>
      <c r="B13758" s="2" t="s">
        <v>54222</v>
      </c>
      <c r="C13758" s="2" t="s">
        <v>54222</v>
      </c>
      <c r="D13758" s="2" t="str">
        <f>"6468048917"</f>
        <v>6468048917</v>
      </c>
      <c r="E13758" s="2" t="s">
        <v>3196</v>
      </c>
      <c r="F13758" s="2" t="s">
        <v>40670</v>
      </c>
      <c r="G13758" s="2" t="str">
        <f>"SR-19583"</f>
        <v>SR-19583</v>
      </c>
      <c r="H13758" s="2" t="s">
        <v>54223</v>
      </c>
      <c r="I13758" s="2" t="s">
        <v>54224</v>
      </c>
      <c r="K13758" s="2" t="s">
        <v>18981</v>
      </c>
      <c r="L13758" s="2" t="s">
        <v>142</v>
      </c>
      <c r="M13758" s="2">
        <v>10468.0</v>
      </c>
      <c r="N13758" s="2" t="s">
        <v>21</v>
      </c>
    </row>
    <row r="13759" ht="15.75" customHeight="1">
      <c r="A13759" s="2">
        <v>2020.0</v>
      </c>
      <c r="B13759" s="2" t="s">
        <v>54225</v>
      </c>
      <c r="C13759" s="2" t="s">
        <v>54225</v>
      </c>
      <c r="D13759" s="2" t="str">
        <f>"6169147777"</f>
        <v>6169147777</v>
      </c>
      <c r="E13759" s="2" t="s">
        <v>9924</v>
      </c>
      <c r="F13759" s="2" t="s">
        <v>1040</v>
      </c>
      <c r="G13759" s="2" t="str">
        <f>"SR-18932"</f>
        <v>SR-18932</v>
      </c>
      <c r="H13759" s="2" t="s">
        <v>54226</v>
      </c>
      <c r="I13759" s="2" t="s">
        <v>54227</v>
      </c>
      <c r="K13759" s="2" t="s">
        <v>54228</v>
      </c>
      <c r="L13759" s="2" t="s">
        <v>29</v>
      </c>
      <c r="M13759" s="2">
        <v>49319.0</v>
      </c>
      <c r="N13759" s="2" t="s">
        <v>21</v>
      </c>
    </row>
    <row r="13760" ht="15.75" customHeight="1">
      <c r="A13760" s="2">
        <v>2020.0</v>
      </c>
      <c r="B13760" s="2" t="s">
        <v>54229</v>
      </c>
      <c r="C13760" s="2" t="s">
        <v>54229</v>
      </c>
      <c r="D13760" s="2" t="str">
        <f>"5803807889"</f>
        <v>5803807889</v>
      </c>
      <c r="E13760" s="2" t="s">
        <v>2314</v>
      </c>
      <c r="F13760" s="2" t="s">
        <v>12309</v>
      </c>
      <c r="G13760" s="2" t="str">
        <f>"SR-19656"</f>
        <v>SR-19656</v>
      </c>
      <c r="H13760" s="2" t="s">
        <v>54230</v>
      </c>
      <c r="I13760" s="2" t="s">
        <v>54231</v>
      </c>
      <c r="K13760" s="2" t="s">
        <v>54232</v>
      </c>
      <c r="L13760" s="2" t="s">
        <v>840</v>
      </c>
      <c r="M13760" s="2">
        <v>74701.0</v>
      </c>
      <c r="N13760" s="2" t="s">
        <v>21</v>
      </c>
    </row>
    <row r="13761" ht="15.75" customHeight="1">
      <c r="A13761" s="2">
        <v>2020.0</v>
      </c>
      <c r="B13761" s="2" t="s">
        <v>54233</v>
      </c>
      <c r="C13761" s="2" t="s">
        <v>54233</v>
      </c>
      <c r="D13761" s="2" t="str">
        <f>"9857882277"</f>
        <v>9857882277</v>
      </c>
      <c r="E13761" s="2" t="s">
        <v>54234</v>
      </c>
      <c r="F13761" s="2" t="s">
        <v>10439</v>
      </c>
      <c r="G13761" s="2" t="str">
        <f>"SR-19665"</f>
        <v>SR-19665</v>
      </c>
      <c r="H13761" s="2" t="s">
        <v>54235</v>
      </c>
      <c r="I13761" s="2" t="s">
        <v>54236</v>
      </c>
      <c r="K13761" s="2" t="s">
        <v>5351</v>
      </c>
      <c r="L13761" s="2" t="s">
        <v>272</v>
      </c>
      <c r="M13761" s="2">
        <v>67501.0</v>
      </c>
      <c r="N13761" s="2" t="s">
        <v>21</v>
      </c>
    </row>
    <row r="13762" ht="15.75" customHeight="1">
      <c r="A13762" s="2">
        <v>2020.0</v>
      </c>
      <c r="B13762" s="2" t="s">
        <v>54237</v>
      </c>
      <c r="C13762" s="2" t="s">
        <v>54237</v>
      </c>
      <c r="D13762" s="2" t="str">
        <f>"7855020387"</f>
        <v>7855020387</v>
      </c>
      <c r="E13762" s="2" t="s">
        <v>1585</v>
      </c>
      <c r="F13762" s="2" t="s">
        <v>54238</v>
      </c>
      <c r="G13762" s="2" t="str">
        <f>"SR-19539"</f>
        <v>SR-19539</v>
      </c>
      <c r="H13762" s="2" t="s">
        <v>54239</v>
      </c>
      <c r="I13762" s="2" t="s">
        <v>54240</v>
      </c>
      <c r="K13762" s="2" t="s">
        <v>31932</v>
      </c>
      <c r="L13762" s="2" t="s">
        <v>272</v>
      </c>
      <c r="M13762" s="2">
        <v>67401.0</v>
      </c>
      <c r="N13762" s="2" t="s">
        <v>21</v>
      </c>
    </row>
    <row r="13763" ht="15.75" customHeight="1">
      <c r="A13763" s="2">
        <v>2020.0</v>
      </c>
      <c r="B13763" s="2" t="s">
        <v>54241</v>
      </c>
      <c r="C13763" s="2" t="s">
        <v>54242</v>
      </c>
      <c r="D13763" s="2" t="str">
        <f>"3126100819"</f>
        <v>3126100819</v>
      </c>
      <c r="E13763" s="2" t="s">
        <v>54243</v>
      </c>
      <c r="F13763" s="2" t="s">
        <v>17006</v>
      </c>
      <c r="G13763" s="2" t="str">
        <f>"SR-19670"</f>
        <v>SR-19670</v>
      </c>
      <c r="H13763" s="2" t="s">
        <v>54244</v>
      </c>
      <c r="I13763" s="2" t="s">
        <v>54245</v>
      </c>
      <c r="K13763" s="2" t="s">
        <v>54246</v>
      </c>
      <c r="L13763" s="2" t="s">
        <v>20</v>
      </c>
      <c r="M13763" s="2">
        <v>28512.0</v>
      </c>
      <c r="N13763" s="2" t="s">
        <v>21</v>
      </c>
    </row>
    <row r="13764" ht="15.75" customHeight="1">
      <c r="A13764" s="2">
        <v>2020.0</v>
      </c>
      <c r="B13764" s="2" t="s">
        <v>54247</v>
      </c>
      <c r="C13764" s="2" t="s">
        <v>54248</v>
      </c>
      <c r="D13764" s="2" t="str">
        <f>"906-275-9526"</f>
        <v>906-275-9526</v>
      </c>
      <c r="E13764" s="2" t="s">
        <v>54249</v>
      </c>
      <c r="F13764" s="2" t="s">
        <v>5490</v>
      </c>
      <c r="G13764" s="2" t="str">
        <f>"SR-19674"</f>
        <v>SR-19674</v>
      </c>
      <c r="H13764" s="2" t="s">
        <v>54250</v>
      </c>
      <c r="I13764" s="2" t="s">
        <v>54251</v>
      </c>
      <c r="K13764" s="2" t="s">
        <v>10066</v>
      </c>
      <c r="L13764" s="2" t="s">
        <v>29</v>
      </c>
      <c r="M13764" s="2">
        <v>49931.0</v>
      </c>
      <c r="N13764" s="2" t="s">
        <v>21</v>
      </c>
    </row>
    <row r="13765" ht="15.75" customHeight="1">
      <c r="A13765" s="2">
        <v>2020.0</v>
      </c>
      <c r="B13765" s="2" t="s">
        <v>54252</v>
      </c>
      <c r="C13765" s="2" t="s">
        <v>54252</v>
      </c>
      <c r="D13765" s="2" t="str">
        <f>"3609600202"</f>
        <v>3609600202</v>
      </c>
      <c r="E13765" s="2" t="s">
        <v>2243</v>
      </c>
      <c r="F13765" s="2" t="s">
        <v>711</v>
      </c>
      <c r="G13765" s="2" t="str">
        <f>"SR-19677"</f>
        <v>SR-19677</v>
      </c>
      <c r="H13765" s="2" t="s">
        <v>18913</v>
      </c>
      <c r="I13765" s="2" t="s">
        <v>54253</v>
      </c>
      <c r="K13765" s="2" t="s">
        <v>22626</v>
      </c>
      <c r="L13765" s="2" t="s">
        <v>86</v>
      </c>
      <c r="M13765" s="2">
        <v>98502.0</v>
      </c>
      <c r="N13765" s="2" t="s">
        <v>21</v>
      </c>
    </row>
    <row r="13766" ht="15.75" customHeight="1">
      <c r="A13766" s="2">
        <v>2020.0</v>
      </c>
      <c r="B13766" s="2" t="s">
        <v>54254</v>
      </c>
      <c r="C13766" s="2" t="s">
        <v>54254</v>
      </c>
      <c r="D13766" s="2" t="str">
        <f>"(317)-861-8401"</f>
        <v>(317)-861-8401</v>
      </c>
      <c r="E13766" s="2" t="s">
        <v>428</v>
      </c>
      <c r="F13766" s="2" t="s">
        <v>54255</v>
      </c>
      <c r="G13766" s="2" t="str">
        <f>"SR-19678"</f>
        <v>SR-19678</v>
      </c>
      <c r="H13766" s="2" t="s">
        <v>54256</v>
      </c>
      <c r="I13766" s="2" t="s">
        <v>54257</v>
      </c>
      <c r="K13766" s="2" t="s">
        <v>7591</v>
      </c>
      <c r="L13766" s="2" t="s">
        <v>149</v>
      </c>
      <c r="M13766" s="2">
        <v>46163.0</v>
      </c>
      <c r="N13766" s="2" t="s">
        <v>21</v>
      </c>
    </row>
    <row r="13767" ht="15.75" customHeight="1">
      <c r="A13767" s="2">
        <v>2020.0</v>
      </c>
      <c r="B13767" s="2" t="s">
        <v>54258</v>
      </c>
      <c r="D13767" s="2" t="str">
        <f>""</f>
        <v/>
      </c>
      <c r="E13767" s="2" t="s">
        <v>54259</v>
      </c>
      <c r="F13767" s="2" t="s">
        <v>54260</v>
      </c>
      <c r="G13767" s="2" t="str">
        <f>"SR-19679"</f>
        <v>SR-19679</v>
      </c>
      <c r="H13767" s="2" t="s">
        <v>54261</v>
      </c>
      <c r="N13767" s="2" t="s">
        <v>21</v>
      </c>
    </row>
    <row r="13768" ht="15.75" customHeight="1">
      <c r="A13768" s="2">
        <v>2020.0</v>
      </c>
      <c r="B13768" s="2" t="s">
        <v>54262</v>
      </c>
      <c r="C13768" s="2" t="s">
        <v>54263</v>
      </c>
      <c r="D13768" s="2" t="str">
        <f>"5855108592"</f>
        <v>5855108592</v>
      </c>
      <c r="E13768" s="2" t="s">
        <v>3434</v>
      </c>
      <c r="F13768" s="2" t="s">
        <v>3144</v>
      </c>
      <c r="G13768" s="2" t="str">
        <f>"SR-19680"</f>
        <v>SR-19680</v>
      </c>
      <c r="H13768" s="2" t="s">
        <v>54264</v>
      </c>
      <c r="I13768" s="2" t="s">
        <v>54265</v>
      </c>
      <c r="K13768" s="2" t="s">
        <v>9257</v>
      </c>
      <c r="L13768" s="2" t="s">
        <v>1868</v>
      </c>
      <c r="M13768" s="2">
        <v>20876.0</v>
      </c>
      <c r="N13768" s="2" t="s">
        <v>21</v>
      </c>
    </row>
    <row r="13769" ht="15.75" customHeight="1">
      <c r="A13769" s="2">
        <v>2020.0</v>
      </c>
      <c r="B13769" s="2" t="s">
        <v>54266</v>
      </c>
      <c r="C13769" s="2" t="s">
        <v>54267</v>
      </c>
      <c r="D13769" s="2" t="str">
        <f>"6517853872"</f>
        <v>6517853872</v>
      </c>
      <c r="E13769" s="2" t="s">
        <v>339</v>
      </c>
      <c r="F13769" s="2" t="s">
        <v>21173</v>
      </c>
      <c r="G13769" s="2" t="str">
        <f>"SR-19675"</f>
        <v>SR-19675</v>
      </c>
      <c r="H13769" s="2" t="s">
        <v>54268</v>
      </c>
      <c r="I13769" s="2" t="s">
        <v>54269</v>
      </c>
      <c r="K13769" s="2" t="s">
        <v>51103</v>
      </c>
      <c r="L13769" s="2" t="s">
        <v>62</v>
      </c>
      <c r="M13769" s="2">
        <v>55038.0</v>
      </c>
      <c r="N13769" s="2" t="s">
        <v>21</v>
      </c>
    </row>
    <row r="13770" ht="15.75" customHeight="1">
      <c r="A13770" s="2">
        <v>2020.0</v>
      </c>
      <c r="B13770" s="2" t="s">
        <v>54270</v>
      </c>
      <c r="C13770" s="2" t="s">
        <v>54271</v>
      </c>
      <c r="D13770" s="2" t="str">
        <f>"817-682-2639"</f>
        <v>817-682-2639</v>
      </c>
      <c r="E13770" s="2" t="s">
        <v>908</v>
      </c>
      <c r="F13770" s="2" t="s">
        <v>54272</v>
      </c>
      <c r="G13770" s="2" t="str">
        <f>"SR-19683"</f>
        <v>SR-19683</v>
      </c>
      <c r="H13770" s="2" t="s">
        <v>54273</v>
      </c>
      <c r="I13770" s="2" t="s">
        <v>54274</v>
      </c>
      <c r="K13770" s="2" t="s">
        <v>1260</v>
      </c>
      <c r="L13770" s="2" t="s">
        <v>172</v>
      </c>
      <c r="M13770" s="2">
        <v>76109.0</v>
      </c>
      <c r="N13770" s="2" t="s">
        <v>21</v>
      </c>
    </row>
    <row r="13771" ht="15.75" customHeight="1">
      <c r="A13771" s="2">
        <v>2020.0</v>
      </c>
      <c r="B13771" s="2" t="s">
        <v>54275</v>
      </c>
      <c r="C13771" s="2" t="s">
        <v>54275</v>
      </c>
      <c r="D13771" s="2" t="str">
        <f>"317-861-8401"</f>
        <v>317-861-8401</v>
      </c>
      <c r="E13771" s="2" t="s">
        <v>282</v>
      </c>
      <c r="F13771" s="2" t="s">
        <v>54255</v>
      </c>
      <c r="G13771" s="2" t="str">
        <f>"SR-19688"</f>
        <v>SR-19688</v>
      </c>
      <c r="H13771" s="2" t="s">
        <v>54276</v>
      </c>
      <c r="I13771" s="2" t="s">
        <v>54257</v>
      </c>
      <c r="K13771" s="2" t="s">
        <v>7591</v>
      </c>
      <c r="L13771" s="2" t="s">
        <v>149</v>
      </c>
      <c r="M13771" s="2">
        <v>46163.0</v>
      </c>
      <c r="N13771" s="2" t="s">
        <v>21</v>
      </c>
    </row>
    <row r="13772" ht="15.75" customHeight="1">
      <c r="A13772" s="2">
        <v>2020.0</v>
      </c>
      <c r="B13772" s="2" t="s">
        <v>54277</v>
      </c>
      <c r="C13772" s="2" t="s">
        <v>54277</v>
      </c>
      <c r="D13772" s="2" t="str">
        <f>"5092175065"</f>
        <v>5092175065</v>
      </c>
      <c r="E13772" s="2" t="s">
        <v>678</v>
      </c>
      <c r="F13772" s="2" t="s">
        <v>24563</v>
      </c>
      <c r="G13772" s="2" t="str">
        <f>"SR-19691"</f>
        <v>SR-19691</v>
      </c>
      <c r="H13772" s="2" t="s">
        <v>54278</v>
      </c>
      <c r="I13772" s="2" t="s">
        <v>54279</v>
      </c>
      <c r="K13772" s="2" t="s">
        <v>54280</v>
      </c>
      <c r="L13772" s="2" t="s">
        <v>86</v>
      </c>
      <c r="M13772" s="2">
        <v>99005.0</v>
      </c>
      <c r="N13772" s="2" t="s">
        <v>21</v>
      </c>
    </row>
    <row r="13773" ht="15.75" customHeight="1">
      <c r="A13773" s="2">
        <v>2020.0</v>
      </c>
      <c r="B13773" s="2" t="s">
        <v>54281</v>
      </c>
      <c r="C13773" s="2" t="s">
        <v>54282</v>
      </c>
      <c r="D13773" s="2" t="str">
        <f>"(816) 518-5860"</f>
        <v>(816) 518-5860</v>
      </c>
      <c r="E13773" s="2" t="s">
        <v>225</v>
      </c>
      <c r="F13773" s="2" t="s">
        <v>54283</v>
      </c>
      <c r="G13773" s="2" t="str">
        <f>"SR-19510"</f>
        <v>SR-19510</v>
      </c>
      <c r="H13773" s="2" t="s">
        <v>54284</v>
      </c>
      <c r="I13773" s="2" t="s">
        <v>54285</v>
      </c>
      <c r="K13773" s="2" t="s">
        <v>13646</v>
      </c>
      <c r="L13773" s="2" t="s">
        <v>214</v>
      </c>
      <c r="M13773" s="2">
        <v>64081.0</v>
      </c>
      <c r="N13773" s="2" t="s">
        <v>21</v>
      </c>
    </row>
    <row r="13774" ht="15.75" customHeight="1">
      <c r="A13774" s="2">
        <v>2020.0</v>
      </c>
      <c r="B13774" s="2" t="s">
        <v>54286</v>
      </c>
      <c r="C13774" s="2" t="s">
        <v>54287</v>
      </c>
      <c r="D13774" s="2" t="str">
        <f>"816-328-5138"</f>
        <v>816-328-5138</v>
      </c>
      <c r="E13774" s="2" t="s">
        <v>938</v>
      </c>
      <c r="F13774" s="2" t="s">
        <v>54288</v>
      </c>
      <c r="G13774" s="2" t="str">
        <f>"SR-19700"</f>
        <v>SR-19700</v>
      </c>
      <c r="H13774" s="2" t="s">
        <v>54289</v>
      </c>
      <c r="I13774" s="2" t="s">
        <v>54290</v>
      </c>
      <c r="K13774" s="2" t="s">
        <v>1814</v>
      </c>
      <c r="L13774" s="2" t="s">
        <v>214</v>
      </c>
      <c r="M13774" s="2">
        <v>64149.0</v>
      </c>
      <c r="N13774" s="2" t="s">
        <v>21</v>
      </c>
    </row>
    <row r="13775" ht="15.75" customHeight="1">
      <c r="A13775" s="2">
        <v>2020.0</v>
      </c>
      <c r="B13775" s="2" t="s">
        <v>54291</v>
      </c>
      <c r="C13775" s="2" t="s">
        <v>54291</v>
      </c>
      <c r="D13775" s="2" t="str">
        <f>"2154293418"</f>
        <v>2154293418</v>
      </c>
      <c r="E13775" s="2" t="s">
        <v>3196</v>
      </c>
      <c r="F13775" s="2" t="s">
        <v>54292</v>
      </c>
      <c r="G13775" s="2" t="str">
        <f>"SR-19269"</f>
        <v>SR-19269</v>
      </c>
      <c r="H13775" s="2" t="s">
        <v>54293</v>
      </c>
      <c r="I13775" s="2" t="s">
        <v>54294</v>
      </c>
      <c r="K13775" s="2" t="s">
        <v>54295</v>
      </c>
      <c r="L13775" s="2" t="s">
        <v>179</v>
      </c>
      <c r="M13775" s="2">
        <v>19454.0</v>
      </c>
      <c r="N13775" s="2" t="s">
        <v>21</v>
      </c>
    </row>
    <row r="13776" ht="15.75" customHeight="1">
      <c r="A13776" s="2">
        <v>2020.0</v>
      </c>
      <c r="B13776" s="2" t="s">
        <v>30631</v>
      </c>
      <c r="C13776" s="2" t="s">
        <v>30631</v>
      </c>
      <c r="D13776" s="2" t="str">
        <f>"7196459060"</f>
        <v>7196459060</v>
      </c>
      <c r="E13776" s="2" t="s">
        <v>11583</v>
      </c>
      <c r="F13776" s="2" t="s">
        <v>22348</v>
      </c>
      <c r="G13776" s="2" t="str">
        <f>"SR-19713"</f>
        <v>SR-19713</v>
      </c>
      <c r="H13776" s="2" t="s">
        <v>54296</v>
      </c>
      <c r="I13776" s="2" t="s">
        <v>54297</v>
      </c>
      <c r="K13776" s="2" t="s">
        <v>809</v>
      </c>
      <c r="L13776" s="2" t="s">
        <v>157</v>
      </c>
      <c r="M13776" s="2">
        <v>80905.0</v>
      </c>
      <c r="N13776" s="2" t="s">
        <v>21</v>
      </c>
    </row>
    <row r="13777" ht="15.75" customHeight="1">
      <c r="A13777" s="2">
        <v>2020.0</v>
      </c>
      <c r="B13777" s="2" t="s">
        <v>54298</v>
      </c>
      <c r="C13777" s="2" t="s">
        <v>54298</v>
      </c>
      <c r="D13777" s="2" t="str">
        <f>"9018328024"</f>
        <v>9018328024</v>
      </c>
      <c r="E13777" s="2" t="s">
        <v>2857</v>
      </c>
      <c r="F13777" s="2" t="s">
        <v>28739</v>
      </c>
      <c r="G13777" s="2" t="str">
        <f>"SR-19272"</f>
        <v>SR-19272</v>
      </c>
      <c r="H13777" s="2" t="s">
        <v>54299</v>
      </c>
      <c r="I13777" s="2" t="s">
        <v>54300</v>
      </c>
      <c r="K13777" s="2" t="s">
        <v>54301</v>
      </c>
      <c r="L13777" s="2" t="s">
        <v>3618</v>
      </c>
      <c r="M13777" s="2">
        <v>7930.0</v>
      </c>
      <c r="N13777" s="2" t="s">
        <v>21</v>
      </c>
    </row>
    <row r="13778" ht="15.75" customHeight="1">
      <c r="A13778" s="2">
        <v>2020.0</v>
      </c>
      <c r="B13778" s="2" t="s">
        <v>54302</v>
      </c>
      <c r="C13778" s="2" t="s">
        <v>54303</v>
      </c>
      <c r="D13778" s="2" t="str">
        <f t="shared" ref="D13778:D13779" si="235">"404-259-6904"</f>
        <v>404-259-6904</v>
      </c>
      <c r="E13778" s="2" t="s">
        <v>10825</v>
      </c>
      <c r="F13778" s="2" t="s">
        <v>54304</v>
      </c>
      <c r="G13778" s="2" t="str">
        <f>"SR-19722"</f>
        <v>SR-19722</v>
      </c>
      <c r="H13778" s="2" t="s">
        <v>54305</v>
      </c>
      <c r="I13778" s="2" t="s">
        <v>54306</v>
      </c>
      <c r="K13778" s="2" t="s">
        <v>10683</v>
      </c>
      <c r="L13778" s="2" t="s">
        <v>200</v>
      </c>
      <c r="M13778" s="2">
        <v>30360.0</v>
      </c>
      <c r="N13778" s="2" t="s">
        <v>21</v>
      </c>
    </row>
    <row r="13779" ht="15.75" customHeight="1">
      <c r="A13779" s="2">
        <v>2020.0</v>
      </c>
      <c r="B13779" s="2" t="s">
        <v>54302</v>
      </c>
      <c r="C13779" s="2" t="s">
        <v>54307</v>
      </c>
      <c r="D13779" s="2" t="str">
        <f t="shared" si="235"/>
        <v>404-259-6904</v>
      </c>
      <c r="E13779" s="2" t="s">
        <v>225</v>
      </c>
      <c r="F13779" s="2" t="s">
        <v>54304</v>
      </c>
      <c r="G13779" s="2" t="str">
        <f>"SR-19723"</f>
        <v>SR-19723</v>
      </c>
      <c r="H13779" s="2" t="s">
        <v>54308</v>
      </c>
      <c r="I13779" s="2" t="s">
        <v>54306</v>
      </c>
      <c r="K13779" s="2" t="s">
        <v>10683</v>
      </c>
      <c r="L13779" s="2" t="s">
        <v>200</v>
      </c>
      <c r="M13779" s="2">
        <v>30360.0</v>
      </c>
      <c r="N13779" s="2" t="s">
        <v>21</v>
      </c>
    </row>
    <row r="13780" ht="15.75" customHeight="1">
      <c r="A13780" s="2">
        <v>2020.0</v>
      </c>
      <c r="B13780" s="2" t="s">
        <v>54309</v>
      </c>
      <c r="C13780" s="2" t="s">
        <v>54310</v>
      </c>
      <c r="D13780" s="2" t="str">
        <f>"8644903010"</f>
        <v>8644903010</v>
      </c>
      <c r="E13780" s="2" t="s">
        <v>261</v>
      </c>
      <c r="F13780" s="2" t="s">
        <v>54311</v>
      </c>
      <c r="G13780" s="2" t="str">
        <f>"SR-19725"</f>
        <v>SR-19725</v>
      </c>
      <c r="H13780" s="2" t="s">
        <v>54312</v>
      </c>
      <c r="I13780" s="2" t="s">
        <v>54313</v>
      </c>
      <c r="K13780" s="2" t="s">
        <v>54314</v>
      </c>
      <c r="L13780" s="2" t="s">
        <v>55</v>
      </c>
      <c r="M13780" s="2">
        <v>29307.0</v>
      </c>
      <c r="N13780" s="2" t="s">
        <v>21</v>
      </c>
    </row>
    <row r="13781" ht="15.75" customHeight="1">
      <c r="A13781" s="2">
        <v>2020.0</v>
      </c>
      <c r="B13781" s="2" t="s">
        <v>46549</v>
      </c>
      <c r="C13781" s="2" t="s">
        <v>54315</v>
      </c>
      <c r="D13781" s="2" t="str">
        <f>"6618096583"</f>
        <v>6618096583</v>
      </c>
      <c r="E13781" s="2" t="s">
        <v>2807</v>
      </c>
      <c r="F13781" s="2" t="s">
        <v>46550</v>
      </c>
      <c r="G13781" s="2" t="str">
        <f>"SR-19727"</f>
        <v>SR-19727</v>
      </c>
      <c r="H13781" s="2" t="s">
        <v>54316</v>
      </c>
      <c r="I13781" s="2" t="s">
        <v>54317</v>
      </c>
      <c r="K13781" s="2" t="s">
        <v>11198</v>
      </c>
      <c r="L13781" s="2" t="s">
        <v>222</v>
      </c>
      <c r="M13781" s="2">
        <v>93311.0</v>
      </c>
      <c r="N13781" s="2" t="s">
        <v>21</v>
      </c>
    </row>
    <row r="13782" ht="15.75" customHeight="1">
      <c r="A13782" s="2">
        <v>2020.0</v>
      </c>
      <c r="B13782" s="2" t="s">
        <v>54318</v>
      </c>
      <c r="C13782" s="2" t="s">
        <v>54318</v>
      </c>
      <c r="D13782" s="2" t="str">
        <f>"3347071228"</f>
        <v>3347071228</v>
      </c>
      <c r="E13782" s="2" t="s">
        <v>596</v>
      </c>
      <c r="F13782" s="2" t="s">
        <v>6793</v>
      </c>
      <c r="G13782" s="2" t="str">
        <f>"SR-19726"</f>
        <v>SR-19726</v>
      </c>
      <c r="H13782" s="2" t="s">
        <v>54319</v>
      </c>
      <c r="I13782" s="2" t="s">
        <v>54320</v>
      </c>
      <c r="K13782" s="2" t="s">
        <v>6312</v>
      </c>
      <c r="L13782" s="2" t="s">
        <v>539</v>
      </c>
      <c r="M13782" s="2">
        <v>36830.0</v>
      </c>
      <c r="N13782" s="2" t="s">
        <v>21</v>
      </c>
    </row>
    <row r="13783" ht="15.75" customHeight="1">
      <c r="A13783" s="2">
        <v>2020.0</v>
      </c>
      <c r="B13783" s="2" t="s">
        <v>54321</v>
      </c>
      <c r="C13783" s="2" t="s">
        <v>54322</v>
      </c>
      <c r="D13783" s="2" t="str">
        <f>"928-606-2342"</f>
        <v>928-606-2342</v>
      </c>
      <c r="E13783" s="2" t="s">
        <v>54323</v>
      </c>
      <c r="F13783" s="2" t="s">
        <v>13828</v>
      </c>
      <c r="G13783" s="2" t="str">
        <f>"SR-18902"</f>
        <v>SR-18902</v>
      </c>
      <c r="H13783" s="2" t="s">
        <v>54324</v>
      </c>
      <c r="I13783" s="2" t="s">
        <v>54325</v>
      </c>
      <c r="K13783" s="2" t="s">
        <v>9128</v>
      </c>
      <c r="L13783" s="2" t="s">
        <v>105</v>
      </c>
      <c r="M13783" s="2">
        <v>60563.0</v>
      </c>
      <c r="N13783" s="2" t="s">
        <v>21</v>
      </c>
    </row>
    <row r="13784" ht="15.75" customHeight="1">
      <c r="A13784" s="2">
        <v>2020.0</v>
      </c>
      <c r="B13784" s="2" t="s">
        <v>54326</v>
      </c>
      <c r="C13784" s="2" t="s">
        <v>54327</v>
      </c>
      <c r="D13784" s="2" t="str">
        <f>"7879004602"</f>
        <v>7879004602</v>
      </c>
      <c r="E13784" s="2" t="s">
        <v>39111</v>
      </c>
      <c r="F13784" s="2" t="s">
        <v>42798</v>
      </c>
      <c r="G13784" s="2" t="str">
        <f>"SR-19750"</f>
        <v>SR-19750</v>
      </c>
      <c r="H13784" s="2" t="s">
        <v>54328</v>
      </c>
      <c r="I13784" s="2" t="s">
        <v>54329</v>
      </c>
      <c r="K13784" s="2" t="s">
        <v>54330</v>
      </c>
      <c r="L13784" s="2" t="s">
        <v>31541</v>
      </c>
      <c r="M13784" s="2">
        <v>926.0</v>
      </c>
      <c r="N13784" s="2" t="s">
        <v>31541</v>
      </c>
    </row>
    <row r="13785" ht="15.75" customHeight="1">
      <c r="A13785" s="2">
        <v>2020.0</v>
      </c>
      <c r="B13785" s="2" t="s">
        <v>54331</v>
      </c>
      <c r="C13785" s="2" t="s">
        <v>54332</v>
      </c>
      <c r="D13785" s="2" t="str">
        <f>"5055734038"</f>
        <v>5055734038</v>
      </c>
      <c r="E13785" s="2" t="s">
        <v>465</v>
      </c>
      <c r="F13785" s="2" t="s">
        <v>54333</v>
      </c>
      <c r="G13785" s="2" t="str">
        <f>"SR-13721"</f>
        <v>SR-13721</v>
      </c>
      <c r="H13785" s="2" t="s">
        <v>54334</v>
      </c>
      <c r="I13785" s="2" t="s">
        <v>54335</v>
      </c>
      <c r="K13785" s="2" t="s">
        <v>3705</v>
      </c>
      <c r="L13785" s="2" t="s">
        <v>789</v>
      </c>
      <c r="M13785" s="2">
        <v>87105.0</v>
      </c>
      <c r="N13785" s="2" t="s">
        <v>21</v>
      </c>
    </row>
    <row r="13786" ht="15.75" customHeight="1">
      <c r="A13786" s="2">
        <v>2020.0</v>
      </c>
      <c r="B13786" s="2" t="s">
        <v>54336</v>
      </c>
      <c r="C13786" s="2" t="s">
        <v>54336</v>
      </c>
      <c r="D13786" s="2" t="str">
        <f>"503-358-7242"</f>
        <v>503-358-7242</v>
      </c>
      <c r="E13786" s="2" t="s">
        <v>792</v>
      </c>
      <c r="F13786" s="2" t="s">
        <v>275</v>
      </c>
      <c r="G13786" s="2" t="str">
        <f>"SR-19705"</f>
        <v>SR-19705</v>
      </c>
      <c r="H13786" s="2" t="s">
        <v>54337</v>
      </c>
      <c r="I13786" s="2" t="s">
        <v>54338</v>
      </c>
      <c r="K13786" s="2" t="s">
        <v>22576</v>
      </c>
      <c r="L13786" s="2" t="s">
        <v>2389</v>
      </c>
      <c r="M13786" s="2">
        <v>97070.0</v>
      </c>
      <c r="N13786" s="2" t="s">
        <v>21</v>
      </c>
    </row>
    <row r="13787" ht="15.75" customHeight="1">
      <c r="A13787" s="2">
        <v>2020.0</v>
      </c>
      <c r="B13787" s="2" t="s">
        <v>54339</v>
      </c>
      <c r="C13787" s="2" t="s">
        <v>54340</v>
      </c>
      <c r="D13787" s="2" t="str">
        <f>"5138324704"</f>
        <v>5138324704</v>
      </c>
      <c r="E13787" s="2" t="s">
        <v>1263</v>
      </c>
      <c r="F13787" s="2" t="s">
        <v>54341</v>
      </c>
      <c r="G13787" s="2" t="str">
        <f>"SR-19755"</f>
        <v>SR-19755</v>
      </c>
      <c r="H13787" s="2" t="s">
        <v>54342</v>
      </c>
      <c r="I13787" s="2" t="s">
        <v>54343</v>
      </c>
      <c r="K13787" s="2" t="s">
        <v>48600</v>
      </c>
      <c r="L13787" s="2" t="s">
        <v>344</v>
      </c>
      <c r="M13787" s="2">
        <v>45039.0</v>
      </c>
      <c r="N13787" s="2" t="s">
        <v>21</v>
      </c>
    </row>
    <row r="13788" ht="15.75" customHeight="1">
      <c r="A13788" s="2">
        <v>2020.0</v>
      </c>
      <c r="B13788" s="2" t="s">
        <v>54344</v>
      </c>
      <c r="C13788" s="2" t="s">
        <v>54344</v>
      </c>
      <c r="D13788" s="2" t="str">
        <f>"9179465112"</f>
        <v>9179465112</v>
      </c>
      <c r="E13788" s="2" t="s">
        <v>11657</v>
      </c>
      <c r="F13788" s="2" t="s">
        <v>24438</v>
      </c>
      <c r="G13788" s="2" t="str">
        <f>"SR-19682"</f>
        <v>SR-19682</v>
      </c>
      <c r="H13788" s="2" t="s">
        <v>54345</v>
      </c>
      <c r="I13788" s="2" t="s">
        <v>54346</v>
      </c>
      <c r="K13788" s="2" t="s">
        <v>18981</v>
      </c>
      <c r="L13788" s="2" t="s">
        <v>142</v>
      </c>
      <c r="M13788" s="2">
        <v>10453.0</v>
      </c>
      <c r="N13788" s="2" t="s">
        <v>21</v>
      </c>
    </row>
    <row r="13789" ht="15.75" customHeight="1">
      <c r="A13789" s="2">
        <v>2020.0</v>
      </c>
      <c r="B13789" s="2" t="s">
        <v>54347</v>
      </c>
      <c r="C13789" s="2" t="s">
        <v>54347</v>
      </c>
      <c r="D13789" s="2" t="str">
        <f>"512-203-3040"</f>
        <v>512-203-3040</v>
      </c>
      <c r="E13789" s="2" t="s">
        <v>54348</v>
      </c>
      <c r="F13789" s="2" t="s">
        <v>6597</v>
      </c>
      <c r="G13789" s="2" t="str">
        <f>"SR-19759"</f>
        <v>SR-19759</v>
      </c>
      <c r="H13789" s="2" t="s">
        <v>54349</v>
      </c>
      <c r="I13789" s="2" t="s">
        <v>40941</v>
      </c>
      <c r="K13789" s="2" t="s">
        <v>1141</v>
      </c>
      <c r="L13789" s="2" t="s">
        <v>172</v>
      </c>
      <c r="M13789" s="2">
        <v>78749.0</v>
      </c>
      <c r="N13789" s="2" t="s">
        <v>21</v>
      </c>
    </row>
    <row r="13790" ht="15.75" customHeight="1">
      <c r="A13790" s="2">
        <v>2020.0</v>
      </c>
      <c r="B13790" s="2" t="s">
        <v>54350</v>
      </c>
      <c r="C13790" s="2" t="s">
        <v>54350</v>
      </c>
      <c r="D13790" s="2" t="str">
        <f>"6615137099"</f>
        <v>6615137099</v>
      </c>
      <c r="E13790" s="2" t="s">
        <v>54351</v>
      </c>
      <c r="F13790" s="2" t="s">
        <v>54352</v>
      </c>
      <c r="G13790" s="2" t="str">
        <f>"SR-19724"</f>
        <v>SR-19724</v>
      </c>
      <c r="H13790" s="2" t="s">
        <v>54353</v>
      </c>
      <c r="I13790" s="2" t="s">
        <v>54354</v>
      </c>
      <c r="K13790" s="2" t="s">
        <v>5692</v>
      </c>
      <c r="L13790" s="2" t="s">
        <v>222</v>
      </c>
      <c r="M13790" s="2">
        <v>91321.0</v>
      </c>
      <c r="N13790" s="2" t="s">
        <v>21</v>
      </c>
    </row>
    <row r="13791" ht="15.75" customHeight="1">
      <c r="A13791" s="2">
        <v>2020.0</v>
      </c>
      <c r="B13791" s="2" t="s">
        <v>54355</v>
      </c>
      <c r="C13791" s="2" t="s">
        <v>54355</v>
      </c>
      <c r="D13791" s="2" t="str">
        <f>"5413737485"</f>
        <v>5413737485</v>
      </c>
      <c r="E13791" s="2" t="s">
        <v>44272</v>
      </c>
      <c r="F13791" s="2" t="s">
        <v>54356</v>
      </c>
      <c r="G13791" s="2" t="str">
        <f>"SR-19769"</f>
        <v>SR-19769</v>
      </c>
      <c r="H13791" s="2" t="s">
        <v>54357</v>
      </c>
      <c r="I13791" s="2" t="s">
        <v>54358</v>
      </c>
      <c r="J13791" s="2" t="s">
        <v>54359</v>
      </c>
      <c r="K13791" s="2" t="s">
        <v>54360</v>
      </c>
      <c r="L13791" s="2" t="s">
        <v>2389</v>
      </c>
      <c r="M13791" s="2">
        <v>97444.0</v>
      </c>
      <c r="N13791" s="2" t="s">
        <v>21</v>
      </c>
    </row>
    <row r="13792" ht="15.75" customHeight="1">
      <c r="A13792" s="2">
        <v>2020.0</v>
      </c>
      <c r="B13792" s="2" t="s">
        <v>54361</v>
      </c>
      <c r="C13792" s="2" t="s">
        <v>54362</v>
      </c>
      <c r="D13792" s="2" t="str">
        <f>"+65 87798297"</f>
        <v>+65 87798297</v>
      </c>
      <c r="E13792" s="2" t="s">
        <v>1150</v>
      </c>
      <c r="F13792" s="2" t="s">
        <v>54363</v>
      </c>
      <c r="G13792" s="2" t="str">
        <f>"SR-18927"</f>
        <v>SR-18927</v>
      </c>
      <c r="H13792" s="2" t="s">
        <v>54364</v>
      </c>
      <c r="I13792" s="2" t="s">
        <v>54365</v>
      </c>
      <c r="K13792" s="2" t="s">
        <v>8433</v>
      </c>
      <c r="L13792" s="2" t="s">
        <v>8433</v>
      </c>
      <c r="M13792" s="2">
        <v>599555.0</v>
      </c>
      <c r="N13792" s="2" t="s">
        <v>8433</v>
      </c>
    </row>
    <row r="13793" ht="15.75" customHeight="1">
      <c r="A13793" s="2">
        <v>2020.0</v>
      </c>
      <c r="B13793" s="2" t="s">
        <v>54366</v>
      </c>
      <c r="D13793" s="2" t="str">
        <f>""</f>
        <v/>
      </c>
      <c r="E13793" s="2" t="s">
        <v>12838</v>
      </c>
      <c r="F13793" s="2" t="s">
        <v>49267</v>
      </c>
      <c r="G13793" s="2" t="str">
        <f>"SR-19747"</f>
        <v>SR-19747</v>
      </c>
      <c r="H13793" s="2" t="s">
        <v>54367</v>
      </c>
      <c r="N13793" s="2" t="s">
        <v>21</v>
      </c>
    </row>
    <row r="13794" ht="15.75" customHeight="1">
      <c r="A13794" s="2">
        <v>2020.0</v>
      </c>
      <c r="B13794" s="2" t="s">
        <v>54368</v>
      </c>
      <c r="C13794" s="2" t="s">
        <v>54369</v>
      </c>
      <c r="D13794" s="2" t="str">
        <f>"513-550-0670"</f>
        <v>513-550-0670</v>
      </c>
      <c r="E13794" s="2" t="s">
        <v>50</v>
      </c>
      <c r="F13794" s="2" t="s">
        <v>54370</v>
      </c>
      <c r="G13794" s="2" t="str">
        <f>"SR-19778"</f>
        <v>SR-19778</v>
      </c>
      <c r="H13794" s="2" t="s">
        <v>54371</v>
      </c>
      <c r="I13794" s="2" t="s">
        <v>54372</v>
      </c>
      <c r="K13794" s="2" t="s">
        <v>48600</v>
      </c>
      <c r="L13794" s="2" t="s">
        <v>344</v>
      </c>
      <c r="M13794" s="2">
        <v>45039.0</v>
      </c>
      <c r="N13794" s="2" t="s">
        <v>21</v>
      </c>
    </row>
    <row r="13795" ht="15.75" customHeight="1">
      <c r="A13795" s="2">
        <v>2020.0</v>
      </c>
      <c r="B13795" s="2" t="s">
        <v>54373</v>
      </c>
      <c r="C13795" s="2" t="s">
        <v>54373</v>
      </c>
      <c r="D13795" s="2" t="str">
        <f>"7209885878"</f>
        <v>7209885878</v>
      </c>
      <c r="E13795" s="2" t="s">
        <v>1263</v>
      </c>
      <c r="F13795" s="2" t="s">
        <v>54374</v>
      </c>
      <c r="G13795" s="2" t="str">
        <f>"SR-19784"</f>
        <v>SR-19784</v>
      </c>
      <c r="H13795" s="2" t="s">
        <v>54375</v>
      </c>
      <c r="I13795" s="2" t="s">
        <v>54376</v>
      </c>
      <c r="K13795" s="2" t="s">
        <v>5288</v>
      </c>
      <c r="L13795" s="2" t="s">
        <v>157</v>
      </c>
      <c r="M13795" s="2">
        <v>80027.0</v>
      </c>
      <c r="N13795" s="2" t="s">
        <v>21</v>
      </c>
    </row>
    <row r="13796" ht="15.75" customHeight="1">
      <c r="A13796" s="2">
        <v>2020.0</v>
      </c>
      <c r="B13796" s="2" t="s">
        <v>54377</v>
      </c>
      <c r="C13796" s="2" t="s">
        <v>54378</v>
      </c>
      <c r="D13796" s="2" t="str">
        <f>"9802514277"</f>
        <v>9802514277</v>
      </c>
      <c r="E13796" s="2" t="s">
        <v>54379</v>
      </c>
      <c r="F13796" s="2" t="s">
        <v>54380</v>
      </c>
      <c r="G13796" s="2" t="str">
        <f>"SR-19786"</f>
        <v>SR-19786</v>
      </c>
      <c r="H13796" s="2" t="s">
        <v>54381</v>
      </c>
      <c r="I13796" s="2" t="s">
        <v>54382</v>
      </c>
      <c r="J13796" s="2" t="s">
        <v>54383</v>
      </c>
      <c r="K13796" s="2" t="s">
        <v>38856</v>
      </c>
      <c r="L13796" s="2" t="s">
        <v>20</v>
      </c>
      <c r="M13796" s="2">
        <v>28052.0</v>
      </c>
      <c r="N13796" s="2" t="s">
        <v>21</v>
      </c>
    </row>
    <row r="13797" ht="15.75" customHeight="1">
      <c r="A13797" s="2">
        <v>2020.0</v>
      </c>
      <c r="B13797" s="2" t="s">
        <v>54384</v>
      </c>
      <c r="C13797" s="2" t="s">
        <v>54385</v>
      </c>
      <c r="D13797" s="2" t="str">
        <f>"9037301235"</f>
        <v>9037301235</v>
      </c>
      <c r="E13797" s="2" t="s">
        <v>528</v>
      </c>
      <c r="F13797" s="2" t="s">
        <v>9569</v>
      </c>
      <c r="G13797" s="2" t="str">
        <f>"SR-19787"</f>
        <v>SR-19787</v>
      </c>
      <c r="H13797" s="2" t="s">
        <v>54386</v>
      </c>
      <c r="I13797" s="2" t="s">
        <v>54387</v>
      </c>
      <c r="K13797" s="2" t="s">
        <v>2841</v>
      </c>
      <c r="L13797" s="2" t="s">
        <v>172</v>
      </c>
      <c r="M13797" s="2">
        <v>75758.0</v>
      </c>
      <c r="N13797" s="2" t="s">
        <v>21</v>
      </c>
    </row>
    <row r="13798" ht="15.75" customHeight="1">
      <c r="A13798" s="2">
        <v>2020.0</v>
      </c>
      <c r="B13798" s="2" t="s">
        <v>54384</v>
      </c>
      <c r="D13798" s="2" t="str">
        <f>""</f>
        <v/>
      </c>
      <c r="E13798" s="2" t="s">
        <v>2861</v>
      </c>
      <c r="F13798" s="2" t="s">
        <v>9569</v>
      </c>
      <c r="G13798" s="2" t="str">
        <f>"SR-19790"</f>
        <v>SR-19790</v>
      </c>
      <c r="H13798" s="2" t="s">
        <v>54388</v>
      </c>
      <c r="N13798" s="2" t="s">
        <v>21</v>
      </c>
    </row>
    <row r="13799" ht="15.75" customHeight="1">
      <c r="A13799" s="2">
        <v>2020.0</v>
      </c>
      <c r="B13799" s="2" t="s">
        <v>54389</v>
      </c>
      <c r="C13799" s="2" t="s">
        <v>54390</v>
      </c>
      <c r="D13799" s="2" t="str">
        <f>"513-260-2184"</f>
        <v>513-260-2184</v>
      </c>
      <c r="E13799" s="2" t="s">
        <v>6170</v>
      </c>
      <c r="F13799" s="2" t="s">
        <v>54391</v>
      </c>
      <c r="G13799" s="2" t="str">
        <f>"SR-19710"</f>
        <v>SR-19710</v>
      </c>
      <c r="H13799" s="2" t="s">
        <v>54392</v>
      </c>
      <c r="I13799" s="2" t="s">
        <v>54393</v>
      </c>
      <c r="K13799" s="2" t="s">
        <v>29519</v>
      </c>
      <c r="L13799" s="2" t="s">
        <v>344</v>
      </c>
      <c r="M13799" s="2">
        <v>45044.0</v>
      </c>
      <c r="N13799" s="2" t="s">
        <v>21</v>
      </c>
    </row>
    <row r="13800" ht="15.75" customHeight="1">
      <c r="A13800" s="2">
        <v>2020.0</v>
      </c>
      <c r="B13800" s="2" t="s">
        <v>54394</v>
      </c>
      <c r="C13800" s="2" t="s">
        <v>54395</v>
      </c>
      <c r="D13800" s="2" t="str">
        <f>"9132279775"</f>
        <v>9132279775</v>
      </c>
      <c r="E13800" s="2" t="s">
        <v>6244</v>
      </c>
      <c r="F13800" s="2" t="s">
        <v>30314</v>
      </c>
      <c r="G13800" s="2" t="str">
        <f>"SR-19647"</f>
        <v>SR-19647</v>
      </c>
      <c r="H13800" s="2" t="s">
        <v>54396</v>
      </c>
      <c r="I13800" s="2" t="s">
        <v>54397</v>
      </c>
      <c r="K13800" s="2" t="s">
        <v>1067</v>
      </c>
      <c r="L13800" s="2" t="s">
        <v>272</v>
      </c>
      <c r="M13800" s="2">
        <v>66061.0</v>
      </c>
      <c r="N13800" s="2" t="s">
        <v>21</v>
      </c>
    </row>
    <row r="13801" ht="15.75" customHeight="1">
      <c r="A13801" s="2">
        <v>2020.0</v>
      </c>
      <c r="B13801" s="2" t="s">
        <v>54398</v>
      </c>
      <c r="C13801" s="2" t="s">
        <v>54399</v>
      </c>
      <c r="D13801" s="2" t="str">
        <f>"6045332223"</f>
        <v>6045332223</v>
      </c>
      <c r="E13801" s="2" t="s">
        <v>2162</v>
      </c>
      <c r="F13801" s="2" t="s">
        <v>42553</v>
      </c>
      <c r="G13801" s="2" t="str">
        <f>"SR-19663"</f>
        <v>SR-19663</v>
      </c>
      <c r="H13801" s="2" t="s">
        <v>54400</v>
      </c>
      <c r="I13801" s="2" t="s">
        <v>54401</v>
      </c>
      <c r="K13801" s="2" t="s">
        <v>2214</v>
      </c>
      <c r="L13801" s="2" t="s">
        <v>35237</v>
      </c>
      <c r="M13801" s="2" t="s">
        <v>54402</v>
      </c>
      <c r="N13801" s="2" t="s">
        <v>1602</v>
      </c>
    </row>
    <row r="13802" ht="15.75" customHeight="1">
      <c r="A13802" s="2">
        <v>2020.0</v>
      </c>
      <c r="B13802" s="2" t="s">
        <v>52978</v>
      </c>
      <c r="D13802" s="2" t="str">
        <f>""</f>
        <v/>
      </c>
      <c r="E13802" s="2" t="s">
        <v>100</v>
      </c>
      <c r="F13802" s="2" t="s">
        <v>718</v>
      </c>
      <c r="G13802" s="2" t="str">
        <f>"SR-19264"</f>
        <v>SR-19264</v>
      </c>
      <c r="H13802" s="2" t="s">
        <v>52979</v>
      </c>
      <c r="N13802" s="2" t="s">
        <v>21</v>
      </c>
    </row>
    <row r="13803" ht="15.75" customHeight="1">
      <c r="A13803" s="2">
        <v>2020.0</v>
      </c>
      <c r="B13803" s="2" t="s">
        <v>54403</v>
      </c>
      <c r="C13803" s="2" t="s">
        <v>54404</v>
      </c>
      <c r="D13803" s="2" t="str">
        <f>"916-505-9589"</f>
        <v>916-505-9589</v>
      </c>
      <c r="E13803" s="2" t="s">
        <v>1347</v>
      </c>
      <c r="F13803" s="2" t="s">
        <v>54405</v>
      </c>
      <c r="G13803" s="2" t="str">
        <f>"SR-19338"</f>
        <v>SR-19338</v>
      </c>
      <c r="H13803" s="2" t="s">
        <v>54406</v>
      </c>
      <c r="I13803" s="2" t="s">
        <v>54407</v>
      </c>
      <c r="K13803" s="2" t="s">
        <v>54408</v>
      </c>
      <c r="L13803" s="2" t="s">
        <v>222</v>
      </c>
      <c r="M13803" s="2">
        <v>95626.0</v>
      </c>
      <c r="N13803" s="2" t="s">
        <v>21</v>
      </c>
    </row>
    <row r="13804" ht="15.75" customHeight="1">
      <c r="A13804" s="2">
        <v>2020.0</v>
      </c>
      <c r="B13804" s="2" t="s">
        <v>54409</v>
      </c>
      <c r="C13804" s="2" t="s">
        <v>54409</v>
      </c>
      <c r="D13804" s="2" t="str">
        <f>"704-578-5387"</f>
        <v>704-578-5387</v>
      </c>
      <c r="E13804" s="2" t="s">
        <v>3640</v>
      </c>
      <c r="F13804" s="2" t="s">
        <v>54410</v>
      </c>
      <c r="G13804" s="2" t="str">
        <f>"SR-19802"</f>
        <v>SR-19802</v>
      </c>
      <c r="H13804" s="2" t="s">
        <v>54411</v>
      </c>
      <c r="I13804" s="2" t="s">
        <v>54412</v>
      </c>
      <c r="K13804" s="2" t="s">
        <v>10856</v>
      </c>
      <c r="L13804" s="2" t="s">
        <v>20</v>
      </c>
      <c r="M13804" s="2">
        <v>28607.0</v>
      </c>
      <c r="N13804" s="2" t="s">
        <v>21</v>
      </c>
    </row>
    <row r="13805" ht="15.75" customHeight="1">
      <c r="A13805" s="2">
        <v>2020.0</v>
      </c>
      <c r="B13805" s="2" t="s">
        <v>54413</v>
      </c>
      <c r="C13805" s="2" t="s">
        <v>54414</v>
      </c>
      <c r="D13805" s="2" t="str">
        <f>"8593397062"</f>
        <v>8593397062</v>
      </c>
      <c r="E13805" s="2" t="s">
        <v>6170</v>
      </c>
      <c r="F13805" s="2" t="s">
        <v>54415</v>
      </c>
      <c r="G13805" s="2" t="str">
        <f>"SR-19803"</f>
        <v>SR-19803</v>
      </c>
      <c r="H13805" s="2" t="s">
        <v>54416</v>
      </c>
      <c r="I13805" s="2" t="s">
        <v>54417</v>
      </c>
      <c r="K13805" s="2" t="s">
        <v>2449</v>
      </c>
      <c r="L13805" s="2" t="s">
        <v>1236</v>
      </c>
      <c r="M13805" s="2">
        <v>40444.0</v>
      </c>
      <c r="N13805" s="2" t="s">
        <v>21</v>
      </c>
    </row>
    <row r="13806" ht="15.75" customHeight="1">
      <c r="A13806" s="2">
        <v>2020.0</v>
      </c>
      <c r="B13806" s="2" t="s">
        <v>54418</v>
      </c>
      <c r="C13806" s="2" t="s">
        <v>54418</v>
      </c>
      <c r="D13806" s="2" t="str">
        <f>"312-402-9787"</f>
        <v>312-402-9787</v>
      </c>
      <c r="E13806" s="2" t="s">
        <v>14661</v>
      </c>
      <c r="F13806" s="2" t="s">
        <v>54419</v>
      </c>
      <c r="G13806" s="2" t="str">
        <f>"SR-19644"</f>
        <v>SR-19644</v>
      </c>
      <c r="H13806" s="2" t="s">
        <v>54420</v>
      </c>
      <c r="I13806" s="2" t="s">
        <v>54421</v>
      </c>
      <c r="K13806" s="2" t="s">
        <v>54422</v>
      </c>
      <c r="L13806" s="2" t="s">
        <v>105</v>
      </c>
      <c r="M13806" s="2">
        <v>60712.0</v>
      </c>
      <c r="N13806" s="2" t="s">
        <v>21</v>
      </c>
    </row>
    <row r="13807" ht="15.75" customHeight="1">
      <c r="A13807" s="2">
        <v>2020.0</v>
      </c>
      <c r="B13807" s="2" t="s">
        <v>54423</v>
      </c>
      <c r="C13807" s="2" t="s">
        <v>54424</v>
      </c>
      <c r="D13807" s="2" t="str">
        <f>"2183162065"</f>
        <v>2183162065</v>
      </c>
      <c r="E13807" s="2" t="s">
        <v>20541</v>
      </c>
      <c r="F13807" s="2" t="s">
        <v>16482</v>
      </c>
      <c r="G13807" s="2" t="str">
        <f>"SR-19806"</f>
        <v>SR-19806</v>
      </c>
      <c r="H13807" s="2" t="s">
        <v>54425</v>
      </c>
      <c r="I13807" s="2" t="s">
        <v>54426</v>
      </c>
      <c r="K13807" s="2" t="s">
        <v>21180</v>
      </c>
      <c r="L13807" s="2" t="s">
        <v>62</v>
      </c>
      <c r="M13807" s="2">
        <v>56601.0</v>
      </c>
      <c r="N13807" s="2" t="s">
        <v>21</v>
      </c>
    </row>
    <row r="13808" ht="15.75" customHeight="1">
      <c r="A13808" s="2">
        <v>2020.0</v>
      </c>
      <c r="B13808" s="2" t="s">
        <v>54427</v>
      </c>
      <c r="C13808" s="2" t="s">
        <v>54428</v>
      </c>
      <c r="D13808" s="2" t="str">
        <f>"2183161265"</f>
        <v>2183161265</v>
      </c>
      <c r="E13808" s="2" t="s">
        <v>160</v>
      </c>
      <c r="F13808" s="2" t="s">
        <v>16482</v>
      </c>
      <c r="G13808" s="2" t="str">
        <f>"SR-19808"</f>
        <v>SR-19808</v>
      </c>
      <c r="H13808" s="2" t="s">
        <v>27704</v>
      </c>
      <c r="I13808" s="2" t="s">
        <v>54429</v>
      </c>
      <c r="K13808" s="2" t="s">
        <v>21180</v>
      </c>
      <c r="L13808" s="2" t="s">
        <v>62</v>
      </c>
      <c r="M13808" s="2">
        <v>56601.0</v>
      </c>
      <c r="N13808" s="2" t="s">
        <v>21</v>
      </c>
    </row>
    <row r="13809" ht="15.75" customHeight="1">
      <c r="A13809" s="2">
        <v>2020.0</v>
      </c>
      <c r="B13809" s="2" t="s">
        <v>54430</v>
      </c>
      <c r="C13809" s="2" t="s">
        <v>54431</v>
      </c>
      <c r="D13809" s="2" t="str">
        <f>"7852160781"</f>
        <v>7852160781</v>
      </c>
      <c r="E13809" s="2" t="s">
        <v>34533</v>
      </c>
      <c r="F13809" s="2" t="s">
        <v>54432</v>
      </c>
      <c r="G13809" s="2" t="str">
        <f>"SR-19812"</f>
        <v>SR-19812</v>
      </c>
      <c r="H13809" s="2" t="s">
        <v>54433</v>
      </c>
      <c r="I13809" s="2" t="s">
        <v>54434</v>
      </c>
      <c r="K13809" s="2" t="s">
        <v>54435</v>
      </c>
      <c r="L13809" s="2" t="s">
        <v>142</v>
      </c>
      <c r="M13809" s="2">
        <v>67642.0</v>
      </c>
      <c r="N13809" s="2" t="s">
        <v>21</v>
      </c>
    </row>
    <row r="13810" ht="15.75" customHeight="1">
      <c r="A13810" s="2">
        <v>2020.0</v>
      </c>
      <c r="B13810" s="2" t="s">
        <v>54436</v>
      </c>
      <c r="C13810" s="2" t="s">
        <v>54437</v>
      </c>
      <c r="D13810" s="2" t="str">
        <f>"3606200081"</f>
        <v>3606200081</v>
      </c>
      <c r="E13810" s="2" t="s">
        <v>7145</v>
      </c>
      <c r="F13810" s="2" t="s">
        <v>54438</v>
      </c>
      <c r="G13810" s="2" t="str">
        <f>"SR-19830"</f>
        <v>SR-19830</v>
      </c>
      <c r="H13810" s="2" t="s">
        <v>54439</v>
      </c>
      <c r="I13810" s="2" t="s">
        <v>54440</v>
      </c>
      <c r="K13810" s="2" t="s">
        <v>54441</v>
      </c>
      <c r="L13810" s="2" t="s">
        <v>86</v>
      </c>
      <c r="M13810" s="2">
        <v>98383.0</v>
      </c>
      <c r="N13810" s="2" t="s">
        <v>21</v>
      </c>
    </row>
    <row r="13811" ht="15.75" customHeight="1">
      <c r="A13811" s="2">
        <v>2020.0</v>
      </c>
      <c r="B13811" s="2" t="s">
        <v>54442</v>
      </c>
      <c r="C13811" s="2" t="s">
        <v>54443</v>
      </c>
      <c r="D13811" s="2" t="str">
        <f>"8177097464"</f>
        <v>8177097464</v>
      </c>
      <c r="E13811" s="2" t="s">
        <v>478</v>
      </c>
      <c r="F13811" s="2" t="s">
        <v>54444</v>
      </c>
      <c r="G13811" s="2" t="str">
        <f>"SR-18614"</f>
        <v>SR-18614</v>
      </c>
      <c r="H13811" s="2" t="s">
        <v>54445</v>
      </c>
      <c r="I13811" s="2" t="s">
        <v>54446</v>
      </c>
      <c r="K13811" s="2" t="s">
        <v>1260</v>
      </c>
      <c r="L13811" s="2" t="s">
        <v>172</v>
      </c>
      <c r="M13811" s="2">
        <v>76126.0</v>
      </c>
      <c r="N13811" s="2" t="s">
        <v>21</v>
      </c>
    </row>
    <row r="13812" ht="15.75" customHeight="1">
      <c r="A13812" s="2">
        <v>2020.0</v>
      </c>
      <c r="B13812" s="2" t="s">
        <v>54447</v>
      </c>
      <c r="C13812" s="2" t="s">
        <v>54447</v>
      </c>
      <c r="D13812" s="2" t="str">
        <f>"8645297356"</f>
        <v>8645297356</v>
      </c>
      <c r="E13812" s="2" t="s">
        <v>282</v>
      </c>
      <c r="F13812" s="2" t="s">
        <v>6562</v>
      </c>
      <c r="G13812" s="2" t="str">
        <f>"SR-19638"</f>
        <v>SR-19638</v>
      </c>
      <c r="H13812" s="2" t="s">
        <v>54448</v>
      </c>
      <c r="I13812" s="2" t="s">
        <v>54449</v>
      </c>
      <c r="K13812" s="2" t="s">
        <v>19801</v>
      </c>
      <c r="L13812" s="2" t="s">
        <v>55</v>
      </c>
      <c r="M13812" s="2">
        <v>29640.0</v>
      </c>
      <c r="N13812" s="2" t="s">
        <v>21</v>
      </c>
    </row>
    <row r="13813" ht="15.75" customHeight="1">
      <c r="A13813" s="2">
        <v>2020.0</v>
      </c>
      <c r="B13813" s="2" t="s">
        <v>54450</v>
      </c>
      <c r="C13813" s="2" t="s">
        <v>54451</v>
      </c>
      <c r="D13813" s="2" t="str">
        <f>"2605826371"</f>
        <v>2605826371</v>
      </c>
      <c r="E13813" s="2" t="s">
        <v>5914</v>
      </c>
      <c r="F13813" s="2" t="s">
        <v>25611</v>
      </c>
      <c r="G13813" s="2" t="str">
        <f>"SR-19796"</f>
        <v>SR-19796</v>
      </c>
      <c r="H13813" s="2" t="s">
        <v>54452</v>
      </c>
      <c r="I13813" s="2" t="s">
        <v>54453</v>
      </c>
      <c r="K13813" s="2" t="s">
        <v>18855</v>
      </c>
      <c r="L13813" s="2" t="s">
        <v>149</v>
      </c>
      <c r="M13813" s="2">
        <v>46730.0</v>
      </c>
      <c r="N13813" s="2" t="s">
        <v>21</v>
      </c>
    </row>
    <row r="13814" ht="15.75" customHeight="1">
      <c r="A13814" s="2">
        <v>2020.0</v>
      </c>
      <c r="B13814" s="2" t="s">
        <v>54450</v>
      </c>
      <c r="C13814" s="2" t="s">
        <v>54454</v>
      </c>
      <c r="D13814" s="2" t="str">
        <f>"2605829797"</f>
        <v>2605829797</v>
      </c>
      <c r="E13814" s="2" t="s">
        <v>25330</v>
      </c>
      <c r="F13814" s="2" t="s">
        <v>25611</v>
      </c>
      <c r="G13814" s="2" t="str">
        <f>"SR-19795"</f>
        <v>SR-19795</v>
      </c>
      <c r="H13814" s="2" t="s">
        <v>54455</v>
      </c>
      <c r="I13814" s="2" t="s">
        <v>54453</v>
      </c>
      <c r="K13814" s="2" t="s">
        <v>18855</v>
      </c>
      <c r="L13814" s="2" t="s">
        <v>149</v>
      </c>
      <c r="M13814" s="2">
        <v>46730.0</v>
      </c>
      <c r="N13814" s="2" t="s">
        <v>21</v>
      </c>
    </row>
    <row r="13815" ht="15.75" customHeight="1">
      <c r="A13815" s="2">
        <v>2020.0</v>
      </c>
      <c r="B13815" s="2" t="s">
        <v>54456</v>
      </c>
      <c r="C13815" s="2" t="s">
        <v>54456</v>
      </c>
      <c r="D13815" s="2" t="str">
        <f>"7193237801"</f>
        <v>7193237801</v>
      </c>
      <c r="E13815" s="2" t="s">
        <v>54457</v>
      </c>
      <c r="F13815" s="2" t="s">
        <v>17018</v>
      </c>
      <c r="G13815" s="2" t="str">
        <f>"SR-19571"</f>
        <v>SR-19571</v>
      </c>
      <c r="H13815" s="2" t="s">
        <v>54458</v>
      </c>
      <c r="I13815" s="2" t="s">
        <v>54459</v>
      </c>
      <c r="K13815" s="2" t="s">
        <v>3323</v>
      </c>
      <c r="L13815" s="2" t="s">
        <v>157</v>
      </c>
      <c r="M13815" s="2">
        <v>80817.0</v>
      </c>
      <c r="N13815" s="2" t="s">
        <v>21</v>
      </c>
    </row>
    <row r="13816" ht="15.75" customHeight="1">
      <c r="A13816" s="2">
        <v>2020.0</v>
      </c>
      <c r="B13816" s="2" t="s">
        <v>54460</v>
      </c>
      <c r="C13816" s="2" t="s">
        <v>54461</v>
      </c>
      <c r="D13816" s="2" t="str">
        <f>"8164371530"</f>
        <v>8164371530</v>
      </c>
      <c r="E13816" s="2" t="s">
        <v>12392</v>
      </c>
      <c r="F13816" s="2" t="s">
        <v>15797</v>
      </c>
      <c r="G13816" s="2" t="str">
        <f>"SR-19843"</f>
        <v>SR-19843</v>
      </c>
      <c r="H13816" s="2" t="s">
        <v>54462</v>
      </c>
      <c r="I13816" s="2" t="s">
        <v>54463</v>
      </c>
      <c r="K13816" s="2" t="s">
        <v>1814</v>
      </c>
      <c r="L13816" s="2" t="s">
        <v>214</v>
      </c>
      <c r="M13816" s="2">
        <v>64118.0</v>
      </c>
      <c r="N13816" s="2" t="s">
        <v>21</v>
      </c>
    </row>
    <row r="13817" ht="15.75" customHeight="1">
      <c r="A13817" s="2">
        <v>2020.0</v>
      </c>
      <c r="B13817" s="2" t="s">
        <v>54464</v>
      </c>
      <c r="C13817" s="2" t="s">
        <v>54465</v>
      </c>
      <c r="D13817" s="2" t="str">
        <f>"805-409-6223"</f>
        <v>805-409-6223</v>
      </c>
      <c r="E13817" s="2" t="s">
        <v>12830</v>
      </c>
      <c r="F13817" s="2" t="s">
        <v>54466</v>
      </c>
      <c r="G13817" s="2" t="str">
        <f>"SR-19704"</f>
        <v>SR-19704</v>
      </c>
      <c r="H13817" s="2" t="s">
        <v>54467</v>
      </c>
      <c r="I13817" s="2" t="s">
        <v>54468</v>
      </c>
      <c r="K13817" s="2" t="s">
        <v>5168</v>
      </c>
      <c r="L13817" s="2" t="s">
        <v>222</v>
      </c>
      <c r="M13817" s="2">
        <v>91360.0</v>
      </c>
      <c r="N13817" s="2" t="s">
        <v>21</v>
      </c>
    </row>
    <row r="13818" ht="15.75" customHeight="1">
      <c r="A13818" s="2">
        <v>2020.0</v>
      </c>
      <c r="B13818" s="2" t="s">
        <v>54469</v>
      </c>
      <c r="C13818" s="2" t="s">
        <v>54469</v>
      </c>
      <c r="D13818" s="2" t="str">
        <f>"5053669553"</f>
        <v>5053669553</v>
      </c>
      <c r="E13818" s="2" t="s">
        <v>8887</v>
      </c>
      <c r="F13818" s="2" t="s">
        <v>54470</v>
      </c>
      <c r="G13818" s="2" t="str">
        <f>"SR-19717"</f>
        <v>SR-19717</v>
      </c>
      <c r="H13818" s="2" t="s">
        <v>54471</v>
      </c>
      <c r="I13818" s="2" t="s">
        <v>54472</v>
      </c>
      <c r="K13818" s="2" t="s">
        <v>3705</v>
      </c>
      <c r="L13818" s="2" t="s">
        <v>789</v>
      </c>
      <c r="M13818" s="2">
        <v>87114.0</v>
      </c>
      <c r="N13818" s="2" t="s">
        <v>21</v>
      </c>
    </row>
    <row r="13819" ht="15.75" customHeight="1">
      <c r="A13819" s="2">
        <v>2020.0</v>
      </c>
      <c r="B13819" s="2" t="s">
        <v>54473</v>
      </c>
      <c r="C13819" s="2" t="s">
        <v>54473</v>
      </c>
      <c r="D13819" s="2" t="str">
        <f>"9188849672"</f>
        <v>9188849672</v>
      </c>
      <c r="E13819" s="2" t="s">
        <v>678</v>
      </c>
      <c r="F13819" s="2" t="s">
        <v>6527</v>
      </c>
      <c r="G13819" s="2" t="str">
        <f>"SR-19855"</f>
        <v>SR-19855</v>
      </c>
      <c r="H13819" s="2" t="s">
        <v>54474</v>
      </c>
      <c r="I13819" s="2" t="s">
        <v>54475</v>
      </c>
      <c r="K13819" s="2" t="s">
        <v>54476</v>
      </c>
      <c r="L13819" s="2" t="s">
        <v>840</v>
      </c>
      <c r="M13819" s="2">
        <v>74447.0</v>
      </c>
      <c r="N13819" s="2" t="s">
        <v>21</v>
      </c>
    </row>
    <row r="13820" ht="15.75" customHeight="1">
      <c r="A13820" s="2">
        <v>2020.0</v>
      </c>
      <c r="B13820" s="2" t="s">
        <v>54477</v>
      </c>
      <c r="C13820" s="2" t="s">
        <v>54477</v>
      </c>
      <c r="D13820" s="2" t="str">
        <f>"574-518-1783"</f>
        <v>574-518-1783</v>
      </c>
      <c r="E13820" s="2" t="s">
        <v>167</v>
      </c>
      <c r="F13820" s="2" t="s">
        <v>54478</v>
      </c>
      <c r="G13820" s="2" t="str">
        <f>"SR-19857"</f>
        <v>SR-19857</v>
      </c>
      <c r="H13820" s="2" t="s">
        <v>54479</v>
      </c>
      <c r="I13820" s="2" t="s">
        <v>54480</v>
      </c>
      <c r="K13820" s="2" t="s">
        <v>5763</v>
      </c>
      <c r="L13820" s="2" t="s">
        <v>149</v>
      </c>
      <c r="M13820" s="2">
        <v>46582.0</v>
      </c>
      <c r="N13820" s="2" t="s">
        <v>21</v>
      </c>
    </row>
    <row r="13821" ht="15.75" customHeight="1">
      <c r="A13821" s="2">
        <v>2020.0</v>
      </c>
      <c r="B13821" s="2" t="s">
        <v>54481</v>
      </c>
      <c r="C13821" s="2" t="s">
        <v>54482</v>
      </c>
      <c r="D13821" s="2" t="str">
        <f>"4102183743"</f>
        <v>4102183743</v>
      </c>
      <c r="E13821" s="2" t="s">
        <v>29076</v>
      </c>
      <c r="F13821" s="2" t="s">
        <v>1799</v>
      </c>
      <c r="G13821" s="2" t="str">
        <f>"SR-19858"</f>
        <v>SR-19858</v>
      </c>
      <c r="H13821" s="2" t="s">
        <v>54483</v>
      </c>
      <c r="I13821" s="2" t="s">
        <v>54484</v>
      </c>
      <c r="K13821" s="2" t="s">
        <v>54485</v>
      </c>
      <c r="L13821" s="2" t="s">
        <v>1868</v>
      </c>
      <c r="M13821" s="2">
        <v>21204.0</v>
      </c>
      <c r="N13821" s="2" t="s">
        <v>21</v>
      </c>
    </row>
    <row r="13822" ht="15.75" customHeight="1">
      <c r="A13822" s="2">
        <v>2020.0</v>
      </c>
      <c r="B13822" s="2" t="s">
        <v>54486</v>
      </c>
      <c r="C13822" s="2" t="s">
        <v>54487</v>
      </c>
      <c r="D13822" s="2" t="str">
        <f>"8064385850"</f>
        <v>8064385850</v>
      </c>
      <c r="E13822" s="2" t="s">
        <v>12075</v>
      </c>
      <c r="F13822" s="2" t="s">
        <v>54488</v>
      </c>
      <c r="G13822" s="2" t="str">
        <f>"SR-19848"</f>
        <v>SR-19848</v>
      </c>
      <c r="H13822" s="2" t="s">
        <v>54489</v>
      </c>
      <c r="I13822" s="2" t="s">
        <v>54490</v>
      </c>
      <c r="K13822" s="2" t="s">
        <v>21503</v>
      </c>
      <c r="L13822" s="2" t="s">
        <v>1236</v>
      </c>
      <c r="M13822" s="2">
        <v>40390.0</v>
      </c>
      <c r="N13822" s="2" t="s">
        <v>21</v>
      </c>
    </row>
    <row r="13823" ht="15.75" customHeight="1">
      <c r="A13823" s="2">
        <v>2020.0</v>
      </c>
      <c r="B13823" s="2" t="s">
        <v>54491</v>
      </c>
      <c r="C13823" s="2" t="s">
        <v>54492</v>
      </c>
      <c r="D13823" s="2" t="str">
        <f>"8593336415"</f>
        <v>8593336415</v>
      </c>
      <c r="E13823" s="2" t="s">
        <v>34353</v>
      </c>
      <c r="F13823" s="2" t="s">
        <v>45728</v>
      </c>
      <c r="G13823" s="2" t="str">
        <f>"SR-19868"</f>
        <v>SR-19868</v>
      </c>
      <c r="H13823" s="2" t="s">
        <v>54493</v>
      </c>
      <c r="I13823" s="2" t="s">
        <v>54494</v>
      </c>
      <c r="K13823" s="2" t="s">
        <v>41132</v>
      </c>
      <c r="L13823" s="2" t="s">
        <v>1236</v>
      </c>
      <c r="M13823" s="2">
        <v>40383.0</v>
      </c>
      <c r="N13823" s="2" t="s">
        <v>21</v>
      </c>
    </row>
    <row r="13824" ht="15.75" customHeight="1">
      <c r="A13824" s="2">
        <v>2020.0</v>
      </c>
      <c r="B13824" s="2" t="s">
        <v>54495</v>
      </c>
      <c r="C13824" s="2" t="s">
        <v>54496</v>
      </c>
      <c r="D13824" s="2" t="str">
        <f>"9292153015"</f>
        <v>9292153015</v>
      </c>
      <c r="E13824" s="2" t="s">
        <v>54497</v>
      </c>
      <c r="F13824" s="2" t="s">
        <v>54498</v>
      </c>
      <c r="G13824" s="2" t="str">
        <f>"SR-19654"</f>
        <v>SR-19654</v>
      </c>
      <c r="H13824" s="2" t="s">
        <v>54499</v>
      </c>
      <c r="I13824" s="2" t="s">
        <v>54500</v>
      </c>
      <c r="K13824" s="2" t="s">
        <v>46564</v>
      </c>
      <c r="L13824" s="2" t="s">
        <v>142</v>
      </c>
      <c r="M13824" s="2">
        <v>10034.0</v>
      </c>
      <c r="N13824" s="2" t="s">
        <v>21</v>
      </c>
    </row>
    <row r="13825" ht="15.75" customHeight="1">
      <c r="A13825" s="2">
        <v>2020.0</v>
      </c>
      <c r="B13825" s="2" t="s">
        <v>54501</v>
      </c>
      <c r="C13825" s="2" t="s">
        <v>54502</v>
      </c>
      <c r="D13825" s="2" t="str">
        <f>"3309078133"</f>
        <v>3309078133</v>
      </c>
      <c r="E13825" s="2" t="s">
        <v>167</v>
      </c>
      <c r="F13825" s="2" t="s">
        <v>54503</v>
      </c>
      <c r="G13825" s="2" t="str">
        <f>"SR-19881"</f>
        <v>SR-19881</v>
      </c>
      <c r="H13825" s="2" t="s">
        <v>54504</v>
      </c>
      <c r="I13825" s="2" t="s">
        <v>54505</v>
      </c>
      <c r="K13825" s="2" t="s">
        <v>54506</v>
      </c>
      <c r="L13825" s="2" t="s">
        <v>344</v>
      </c>
      <c r="M13825" s="2">
        <v>44262.0</v>
      </c>
      <c r="N13825" s="2" t="s">
        <v>21</v>
      </c>
    </row>
    <row r="13826" ht="15.75" customHeight="1">
      <c r="A13826" s="2">
        <v>2020.0</v>
      </c>
      <c r="B13826" s="2" t="s">
        <v>54507</v>
      </c>
      <c r="C13826" s="2" t="s">
        <v>54507</v>
      </c>
      <c r="D13826" s="2" t="str">
        <f>"2147262056"</f>
        <v>2147262056</v>
      </c>
      <c r="E13826" s="2" t="s">
        <v>651</v>
      </c>
      <c r="F13826" s="2" t="s">
        <v>54508</v>
      </c>
      <c r="G13826" s="2" t="str">
        <f>"SR-19883"</f>
        <v>SR-19883</v>
      </c>
      <c r="H13826" s="2" t="s">
        <v>54509</v>
      </c>
      <c r="I13826" s="2" t="s">
        <v>54510</v>
      </c>
      <c r="K13826" s="2" t="s">
        <v>615</v>
      </c>
      <c r="L13826" s="2" t="s">
        <v>172</v>
      </c>
      <c r="M13826" s="2">
        <v>75070.0</v>
      </c>
      <c r="N13826" s="2" t="s">
        <v>21</v>
      </c>
    </row>
    <row r="13827" ht="15.75" customHeight="1">
      <c r="A13827" s="2">
        <v>2020.0</v>
      </c>
      <c r="B13827" s="2" t="s">
        <v>54511</v>
      </c>
      <c r="C13827" s="2" t="s">
        <v>54512</v>
      </c>
      <c r="D13827" s="2" t="str">
        <f>"916-837-5765"</f>
        <v>916-837-5765</v>
      </c>
      <c r="E13827" s="2" t="s">
        <v>862</v>
      </c>
      <c r="F13827" s="2" t="s">
        <v>54513</v>
      </c>
      <c r="G13827" s="2" t="str">
        <f>"SR-19885"</f>
        <v>SR-19885</v>
      </c>
      <c r="H13827" s="2" t="s">
        <v>54514</v>
      </c>
      <c r="I13827" s="2" t="s">
        <v>54515</v>
      </c>
      <c r="K13827" s="2" t="s">
        <v>54516</v>
      </c>
      <c r="L13827" s="2" t="s">
        <v>222</v>
      </c>
      <c r="M13827" s="2">
        <v>95672.0</v>
      </c>
      <c r="N13827" s="2" t="s">
        <v>21</v>
      </c>
    </row>
    <row r="13828" ht="15.75" customHeight="1">
      <c r="A13828" s="2">
        <v>2020.0</v>
      </c>
      <c r="B13828" s="2" t="s">
        <v>54517</v>
      </c>
      <c r="D13828" s="2" t="str">
        <f>""</f>
        <v/>
      </c>
      <c r="E13828" s="2" t="s">
        <v>4300</v>
      </c>
      <c r="F13828" s="2" t="s">
        <v>54518</v>
      </c>
      <c r="G13828" s="2" t="str">
        <f>"SR-19886"</f>
        <v>SR-19886</v>
      </c>
      <c r="H13828" s="2" t="s">
        <v>54519</v>
      </c>
      <c r="N13828" s="2" t="s">
        <v>21</v>
      </c>
    </row>
    <row r="13829" ht="15.75" customHeight="1">
      <c r="A13829" s="2">
        <v>2020.0</v>
      </c>
      <c r="B13829" s="2" t="s">
        <v>54520</v>
      </c>
      <c r="C13829" s="2" t="s">
        <v>54521</v>
      </c>
      <c r="D13829" s="2" t="str">
        <f>"4254080205"</f>
        <v>4254080205</v>
      </c>
      <c r="E13829" s="2" t="s">
        <v>282</v>
      </c>
      <c r="F13829" s="2" t="s">
        <v>1636</v>
      </c>
      <c r="G13829" s="2" t="str">
        <f>"SR-19811"</f>
        <v>SR-19811</v>
      </c>
      <c r="H13829" s="2" t="s">
        <v>54522</v>
      </c>
      <c r="I13829" s="2" t="s">
        <v>54523</v>
      </c>
      <c r="K13829" s="2" t="s">
        <v>1564</v>
      </c>
      <c r="L13829" s="2" t="s">
        <v>86</v>
      </c>
      <c r="M13829" s="2">
        <v>98052.0</v>
      </c>
      <c r="N13829" s="2" t="s">
        <v>21</v>
      </c>
    </row>
    <row r="13830" ht="15.75" customHeight="1">
      <c r="A13830" s="2">
        <v>2020.0</v>
      </c>
      <c r="B13830" s="2" t="s">
        <v>54524</v>
      </c>
      <c r="C13830" s="2" t="s">
        <v>54525</v>
      </c>
      <c r="D13830" s="2" t="str">
        <f>"6028291565"</f>
        <v>6028291565</v>
      </c>
      <c r="E13830" s="2" t="s">
        <v>11423</v>
      </c>
      <c r="F13830" s="2" t="s">
        <v>3903</v>
      </c>
      <c r="G13830" s="2" t="str">
        <f>"SR-19902"</f>
        <v>SR-19902</v>
      </c>
      <c r="H13830" s="2" t="s">
        <v>54526</v>
      </c>
      <c r="I13830" s="2" t="s">
        <v>54527</v>
      </c>
      <c r="K13830" s="2" t="s">
        <v>19950</v>
      </c>
      <c r="L13830" s="2" t="s">
        <v>422</v>
      </c>
      <c r="M13830" s="2">
        <v>85379.0</v>
      </c>
      <c r="N13830" s="2" t="s">
        <v>21</v>
      </c>
    </row>
    <row r="13831" ht="15.75" customHeight="1">
      <c r="A13831" s="2">
        <v>2020.0</v>
      </c>
      <c r="B13831" s="2" t="s">
        <v>54528</v>
      </c>
      <c r="C13831" s="2" t="s">
        <v>54528</v>
      </c>
      <c r="D13831" s="2" t="str">
        <f>"509-439-8952"</f>
        <v>509-439-8952</v>
      </c>
      <c r="E13831" s="2" t="s">
        <v>24</v>
      </c>
      <c r="F13831" s="2" t="s">
        <v>54529</v>
      </c>
      <c r="G13831" s="2" t="str">
        <f>"SR-19906"</f>
        <v>SR-19906</v>
      </c>
      <c r="H13831" s="2" t="s">
        <v>54530</v>
      </c>
      <c r="I13831" s="2" t="s">
        <v>54531</v>
      </c>
      <c r="K13831" s="2" t="s">
        <v>13774</v>
      </c>
      <c r="L13831" s="2" t="s">
        <v>86</v>
      </c>
      <c r="M13831" s="2">
        <v>98930.0</v>
      </c>
      <c r="N13831" s="2" t="s">
        <v>21</v>
      </c>
    </row>
    <row r="13832" ht="15.75" customHeight="1">
      <c r="A13832" s="2">
        <v>2020.0</v>
      </c>
      <c r="B13832" s="2" t="s">
        <v>54532</v>
      </c>
      <c r="C13832" s="2" t="s">
        <v>54532</v>
      </c>
      <c r="D13832" s="2" t="str">
        <f>"5108295005"</f>
        <v>5108295005</v>
      </c>
      <c r="E13832" s="2" t="s">
        <v>6718</v>
      </c>
      <c r="F13832" s="2" t="s">
        <v>54533</v>
      </c>
      <c r="G13832" s="2" t="str">
        <f>"SR-19903"</f>
        <v>SR-19903</v>
      </c>
      <c r="H13832" s="2" t="s">
        <v>54534</v>
      </c>
      <c r="I13832" s="2" t="s">
        <v>54535</v>
      </c>
      <c r="K13832" s="2" t="s">
        <v>25661</v>
      </c>
      <c r="L13832" s="2" t="s">
        <v>222</v>
      </c>
      <c r="M13832" s="2">
        <v>94708.0</v>
      </c>
      <c r="N13832" s="2" t="s">
        <v>21</v>
      </c>
    </row>
    <row r="13833" ht="15.75" customHeight="1">
      <c r="A13833" s="2">
        <v>2020.0</v>
      </c>
      <c r="B13833" s="2" t="s">
        <v>40208</v>
      </c>
      <c r="C13833" s="2" t="s">
        <v>40209</v>
      </c>
      <c r="D13833" s="2" t="str">
        <f>"910-734-2789"</f>
        <v>910-734-2789</v>
      </c>
      <c r="E13833" s="2" t="s">
        <v>167</v>
      </c>
      <c r="F13833" s="2" t="s">
        <v>40210</v>
      </c>
      <c r="G13833" s="2" t="str">
        <f>"SR-13820"</f>
        <v>SR-13820</v>
      </c>
      <c r="H13833" s="2" t="s">
        <v>40211</v>
      </c>
      <c r="I13833" s="2" t="s">
        <v>40212</v>
      </c>
      <c r="K13833" s="2" t="s">
        <v>40213</v>
      </c>
      <c r="L13833" s="2" t="s">
        <v>20</v>
      </c>
      <c r="M13833" s="2">
        <v>28384.0</v>
      </c>
      <c r="N13833" s="2" t="s">
        <v>21</v>
      </c>
    </row>
    <row r="13834" ht="15.75" customHeight="1">
      <c r="A13834" s="2">
        <v>2020.0</v>
      </c>
      <c r="B13834" s="2" t="s">
        <v>54536</v>
      </c>
      <c r="C13834" s="2" t="s">
        <v>54536</v>
      </c>
      <c r="D13834" s="2" t="str">
        <f>"717-738-6028"</f>
        <v>717-738-6028</v>
      </c>
      <c r="E13834" s="2" t="s">
        <v>54537</v>
      </c>
      <c r="F13834" s="2" t="s">
        <v>54538</v>
      </c>
      <c r="G13834" s="2" t="str">
        <f>"SR-19447"</f>
        <v>SR-19447</v>
      </c>
      <c r="H13834" s="2" t="s">
        <v>54539</v>
      </c>
      <c r="I13834" s="2" t="s">
        <v>54540</v>
      </c>
      <c r="K13834" s="2" t="s">
        <v>18173</v>
      </c>
      <c r="L13834" s="2" t="s">
        <v>179</v>
      </c>
      <c r="M13834" s="2">
        <v>17522.0</v>
      </c>
      <c r="N13834" s="2" t="s">
        <v>21</v>
      </c>
    </row>
    <row r="13835" ht="15.75" customHeight="1">
      <c r="A13835" s="2">
        <v>2020.0</v>
      </c>
      <c r="B13835" s="2" t="s">
        <v>54541</v>
      </c>
      <c r="C13835" s="2" t="s">
        <v>54541</v>
      </c>
      <c r="D13835" s="2" t="str">
        <f>"5625073639"</f>
        <v>5625073639</v>
      </c>
      <c r="E13835" s="2" t="s">
        <v>7042</v>
      </c>
      <c r="F13835" s="2" t="s">
        <v>54542</v>
      </c>
      <c r="G13835" s="2" t="str">
        <f>"SR-19754"</f>
        <v>SR-19754</v>
      </c>
      <c r="H13835" s="2" t="s">
        <v>54543</v>
      </c>
      <c r="I13835" s="2" t="s">
        <v>54544</v>
      </c>
      <c r="K13835" s="2" t="s">
        <v>30117</v>
      </c>
      <c r="L13835" s="2" t="s">
        <v>149</v>
      </c>
      <c r="M13835" s="2">
        <v>47130.0</v>
      </c>
      <c r="N13835" s="2" t="s">
        <v>21</v>
      </c>
    </row>
    <row r="13836" ht="15.75" customHeight="1">
      <c r="A13836" s="2">
        <v>2020.0</v>
      </c>
      <c r="B13836" s="2" t="s">
        <v>54545</v>
      </c>
      <c r="C13836" s="2" t="s">
        <v>54546</v>
      </c>
      <c r="D13836" s="2" t="str">
        <f>"8322874173"</f>
        <v>8322874173</v>
      </c>
      <c r="E13836" s="2" t="s">
        <v>7864</v>
      </c>
      <c r="F13836" s="2" t="s">
        <v>1054</v>
      </c>
      <c r="G13836" s="2" t="str">
        <f>"SR-19970"</f>
        <v>SR-19970</v>
      </c>
      <c r="H13836" s="2" t="s">
        <v>54547</v>
      </c>
      <c r="I13836" s="2" t="s">
        <v>54548</v>
      </c>
      <c r="K13836" s="2" t="s">
        <v>5855</v>
      </c>
      <c r="L13836" s="2" t="s">
        <v>172</v>
      </c>
      <c r="M13836" s="2">
        <v>77388.0</v>
      </c>
      <c r="N13836" s="2" t="s">
        <v>21</v>
      </c>
    </row>
    <row r="13837" ht="15.75" customHeight="1">
      <c r="A13837" s="2">
        <v>2020.0</v>
      </c>
      <c r="B13837" s="2" t="s">
        <v>54549</v>
      </c>
      <c r="C13837" s="2" t="s">
        <v>54549</v>
      </c>
      <c r="D13837" s="2" t="str">
        <f>"6035068023"</f>
        <v>6035068023</v>
      </c>
      <c r="E13837" s="2" t="s">
        <v>843</v>
      </c>
      <c r="F13837" s="2" t="s">
        <v>54550</v>
      </c>
      <c r="G13837" s="2" t="str">
        <f>"SR-19981"</f>
        <v>SR-19981</v>
      </c>
      <c r="H13837" s="2" t="s">
        <v>54551</v>
      </c>
      <c r="I13837" s="2" t="s">
        <v>54552</v>
      </c>
      <c r="K13837" s="2" t="s">
        <v>5399</v>
      </c>
      <c r="L13837" s="2" t="s">
        <v>19930</v>
      </c>
      <c r="M13837" s="2">
        <v>3110.0</v>
      </c>
      <c r="N13837" s="2" t="s">
        <v>21</v>
      </c>
    </row>
    <row r="13838" ht="15.75" customHeight="1">
      <c r="A13838" s="2">
        <v>2020.0</v>
      </c>
      <c r="B13838" s="2" t="s">
        <v>54553</v>
      </c>
      <c r="C13838" s="2" t="s">
        <v>54553</v>
      </c>
      <c r="D13838" s="2" t="str">
        <f>"4028405237"</f>
        <v>4028405237</v>
      </c>
      <c r="E13838" s="2" t="s">
        <v>1362</v>
      </c>
      <c r="F13838" s="2" t="s">
        <v>4941</v>
      </c>
      <c r="G13838" s="2" t="str">
        <f>"SR-19655"</f>
        <v>SR-19655</v>
      </c>
      <c r="H13838" s="2" t="s">
        <v>54554</v>
      </c>
      <c r="I13838" s="2" t="s">
        <v>54555</v>
      </c>
      <c r="K13838" s="2" t="s">
        <v>572</v>
      </c>
      <c r="L13838" s="2" t="s">
        <v>757</v>
      </c>
      <c r="M13838" s="2">
        <v>68523.0</v>
      </c>
      <c r="N13838" s="2" t="s">
        <v>21</v>
      </c>
    </row>
    <row r="13839" ht="15.75" customHeight="1">
      <c r="A13839" s="2">
        <v>2020.0</v>
      </c>
      <c r="B13839" s="2" t="s">
        <v>54556</v>
      </c>
      <c r="C13839" s="2" t="s">
        <v>54557</v>
      </c>
      <c r="D13839" s="2" t="str">
        <f>"6154794232"</f>
        <v>6154794232</v>
      </c>
      <c r="E13839" s="2" t="s">
        <v>8378</v>
      </c>
      <c r="F13839" s="2" t="s">
        <v>54558</v>
      </c>
      <c r="G13839" s="2" t="str">
        <f>"SR-19983"</f>
        <v>SR-19983</v>
      </c>
      <c r="H13839" s="2" t="s">
        <v>54559</v>
      </c>
      <c r="I13839" s="2" t="s">
        <v>54560</v>
      </c>
      <c r="K13839" s="2" t="s">
        <v>278</v>
      </c>
      <c r="L13839" s="2" t="s">
        <v>279</v>
      </c>
      <c r="M13839" s="2">
        <v>37064.0</v>
      </c>
      <c r="N13839" s="2" t="s">
        <v>21</v>
      </c>
    </row>
    <row r="13840" ht="15.75" customHeight="1">
      <c r="A13840" s="2">
        <v>2020.0</v>
      </c>
      <c r="B13840" s="2" t="s">
        <v>54561</v>
      </c>
      <c r="C13840" s="2" t="s">
        <v>54562</v>
      </c>
      <c r="D13840" s="2" t="str">
        <f>"7406462502"</f>
        <v>7406462502</v>
      </c>
      <c r="E13840" s="2" t="s">
        <v>651</v>
      </c>
      <c r="F13840" s="2" t="s">
        <v>4422</v>
      </c>
      <c r="G13840" s="2" t="str">
        <f>"SR-19985"</f>
        <v>SR-19985</v>
      </c>
      <c r="H13840" s="2" t="s">
        <v>54563</v>
      </c>
      <c r="I13840" s="2" t="s">
        <v>54564</v>
      </c>
      <c r="K13840" s="2" t="s">
        <v>54565</v>
      </c>
      <c r="L13840" s="2" t="s">
        <v>344</v>
      </c>
      <c r="M13840" s="2">
        <v>45680.0</v>
      </c>
      <c r="N13840" s="2" t="s">
        <v>21</v>
      </c>
    </row>
    <row r="13841" ht="15.75" customHeight="1">
      <c r="A13841" s="2">
        <v>2020.0</v>
      </c>
      <c r="B13841" s="2" t="s">
        <v>54566</v>
      </c>
      <c r="C13841" s="2" t="s">
        <v>54567</v>
      </c>
      <c r="D13841" s="2" t="str">
        <f>"4434515061"</f>
        <v>4434515061</v>
      </c>
      <c r="E13841" s="2" t="s">
        <v>3693</v>
      </c>
      <c r="F13841" s="2" t="s">
        <v>6527</v>
      </c>
      <c r="G13841" s="2" t="str">
        <f>"SR-19994"</f>
        <v>SR-19994</v>
      </c>
      <c r="H13841" s="2" t="s">
        <v>54568</v>
      </c>
      <c r="I13841" s="2" t="s">
        <v>54569</v>
      </c>
      <c r="K13841" s="2" t="s">
        <v>4216</v>
      </c>
      <c r="L13841" s="2" t="s">
        <v>1236</v>
      </c>
      <c r="M13841" s="2">
        <v>40475.0</v>
      </c>
      <c r="N13841" s="2" t="s">
        <v>21</v>
      </c>
    </row>
    <row r="13842" ht="15.75" customHeight="1">
      <c r="A13842" s="2">
        <v>2020.0</v>
      </c>
      <c r="B13842" s="2" t="s">
        <v>54570</v>
      </c>
      <c r="C13842" s="2" t="s">
        <v>54571</v>
      </c>
      <c r="D13842" s="2" t="str">
        <f>"3307034677"</f>
        <v>3307034677</v>
      </c>
      <c r="E13842" s="2" t="s">
        <v>1007</v>
      </c>
      <c r="F13842" s="2" t="s">
        <v>54572</v>
      </c>
      <c r="G13842" s="2" t="str">
        <f>"SR-20013"</f>
        <v>SR-20013</v>
      </c>
      <c r="H13842" s="2" t="s">
        <v>54573</v>
      </c>
      <c r="I13842" s="2" t="s">
        <v>54574</v>
      </c>
      <c r="K13842" s="2" t="s">
        <v>54506</v>
      </c>
      <c r="L13842" s="2" t="s">
        <v>344</v>
      </c>
      <c r="M13842" s="2">
        <v>44262.0</v>
      </c>
      <c r="N13842" s="2" t="s">
        <v>21</v>
      </c>
    </row>
    <row r="13843" ht="15.75" customHeight="1">
      <c r="A13843" s="2">
        <v>2020.0</v>
      </c>
      <c r="B13843" s="2" t="s">
        <v>54575</v>
      </c>
      <c r="C13843" s="2" t="s">
        <v>54576</v>
      </c>
      <c r="D13843" s="2" t="str">
        <f>"720-335-1847"</f>
        <v>720-335-1847</v>
      </c>
      <c r="E13843" s="2" t="s">
        <v>301</v>
      </c>
      <c r="F13843" s="2" t="s">
        <v>54577</v>
      </c>
      <c r="G13843" s="2" t="str">
        <f>"SR-19909"</f>
        <v>SR-19909</v>
      </c>
      <c r="H13843" s="2" t="s">
        <v>54578</v>
      </c>
      <c r="I13843" s="2" t="s">
        <v>54579</v>
      </c>
      <c r="K13843" s="2" t="s">
        <v>1054</v>
      </c>
      <c r="L13843" s="2" t="s">
        <v>157</v>
      </c>
      <c r="M13843" s="2">
        <v>80134.0</v>
      </c>
      <c r="N13843" s="2" t="s">
        <v>21</v>
      </c>
    </row>
    <row r="13844" ht="15.75" customHeight="1">
      <c r="A13844" s="2">
        <v>2020.0</v>
      </c>
      <c r="B13844" s="2" t="s">
        <v>54580</v>
      </c>
      <c r="C13844" s="2" t="s">
        <v>54580</v>
      </c>
      <c r="D13844" s="2" t="str">
        <f>"6106981119"</f>
        <v>6106981119</v>
      </c>
      <c r="E13844" s="2" t="s">
        <v>13756</v>
      </c>
      <c r="F13844" s="2" t="s">
        <v>52801</v>
      </c>
      <c r="G13844" s="2" t="str">
        <f>"SR-20028"</f>
        <v>SR-20028</v>
      </c>
      <c r="H13844" s="2" t="s">
        <v>54581</v>
      </c>
      <c r="I13844" s="2" t="s">
        <v>54582</v>
      </c>
      <c r="K13844" s="2" t="s">
        <v>41651</v>
      </c>
      <c r="L13844" s="2" t="s">
        <v>179</v>
      </c>
      <c r="M13844" s="2">
        <v>19543.0</v>
      </c>
      <c r="N13844" s="2" t="s">
        <v>21</v>
      </c>
    </row>
    <row r="13845" ht="15.75" customHeight="1">
      <c r="A13845" s="2">
        <v>2020.0</v>
      </c>
      <c r="B13845" s="2" t="s">
        <v>54583</v>
      </c>
      <c r="C13845" s="2" t="s">
        <v>54583</v>
      </c>
      <c r="D13845" s="2" t="str">
        <f>"8596841523"</f>
        <v>8596841523</v>
      </c>
      <c r="E13845" s="2" t="s">
        <v>1548</v>
      </c>
      <c r="F13845" s="2" t="s">
        <v>1859</v>
      </c>
      <c r="G13845" s="2" t="str">
        <f>"SR-20052"</f>
        <v>SR-20052</v>
      </c>
      <c r="H13845" s="2" t="s">
        <v>46668</v>
      </c>
      <c r="I13845" s="2" t="s">
        <v>54584</v>
      </c>
      <c r="K13845" s="2" t="s">
        <v>254</v>
      </c>
      <c r="L13845" s="2" t="s">
        <v>1236</v>
      </c>
      <c r="M13845" s="2">
        <v>40502.0</v>
      </c>
      <c r="N13845" s="2" t="s">
        <v>21</v>
      </c>
    </row>
    <row r="13846" ht="15.75" customHeight="1">
      <c r="A13846" s="2">
        <v>2020.0</v>
      </c>
      <c r="B13846" s="2" t="s">
        <v>54585</v>
      </c>
      <c r="C13846" s="2" t="s">
        <v>54586</v>
      </c>
      <c r="D13846" s="2" t="str">
        <f>"336-923-9816"</f>
        <v>336-923-9816</v>
      </c>
      <c r="E13846" s="2" t="s">
        <v>4224</v>
      </c>
      <c r="F13846" s="2" t="s">
        <v>22485</v>
      </c>
      <c r="G13846" s="2" t="str">
        <f>"SR-20061"</f>
        <v>SR-20061</v>
      </c>
      <c r="H13846" s="2" t="s">
        <v>54587</v>
      </c>
      <c r="I13846" s="2">
        <v>4949.0</v>
      </c>
      <c r="J13846" s="2" t="s">
        <v>54588</v>
      </c>
      <c r="K13846" s="2" t="s">
        <v>7630</v>
      </c>
      <c r="L13846" s="2" t="s">
        <v>20</v>
      </c>
      <c r="M13846" s="2">
        <v>27106.0</v>
      </c>
      <c r="N13846" s="2" t="s">
        <v>21</v>
      </c>
    </row>
    <row r="13847" ht="15.75" customHeight="1">
      <c r="A13847" s="2">
        <v>2020.0</v>
      </c>
      <c r="B13847" s="2" t="s">
        <v>54589</v>
      </c>
      <c r="D13847" s="2" t="str">
        <f>""</f>
        <v/>
      </c>
      <c r="E13847" s="2" t="s">
        <v>54590</v>
      </c>
      <c r="F13847" s="2" t="s">
        <v>256</v>
      </c>
      <c r="G13847" s="2" t="str">
        <f>"SR-20069"</f>
        <v>SR-20069</v>
      </c>
      <c r="H13847" s="2" t="s">
        <v>54591</v>
      </c>
      <c r="N13847" s="2" t="s">
        <v>21</v>
      </c>
    </row>
    <row r="13848" ht="15.75" customHeight="1">
      <c r="A13848" s="2">
        <v>2020.0</v>
      </c>
      <c r="B13848" s="2" t="s">
        <v>54592</v>
      </c>
      <c r="C13848" s="2" t="s">
        <v>54592</v>
      </c>
      <c r="D13848" s="2" t="str">
        <f>"6167958464"</f>
        <v>6167958464</v>
      </c>
      <c r="E13848" s="2" t="s">
        <v>1400</v>
      </c>
      <c r="F13848" s="2" t="s">
        <v>54593</v>
      </c>
      <c r="G13848" s="2" t="str">
        <f>"SR-20075"</f>
        <v>SR-20075</v>
      </c>
      <c r="H13848" s="2" t="s">
        <v>54594</v>
      </c>
      <c r="I13848" s="2" t="s">
        <v>54595</v>
      </c>
      <c r="K13848" s="2" t="s">
        <v>2985</v>
      </c>
      <c r="L13848" s="2" t="s">
        <v>29</v>
      </c>
      <c r="M13848" s="2">
        <v>49424.0</v>
      </c>
      <c r="N13848" s="2" t="s">
        <v>21</v>
      </c>
    </row>
    <row r="13849" ht="15.75" customHeight="1">
      <c r="A13849" s="2">
        <v>2020.0</v>
      </c>
      <c r="B13849" s="2" t="s">
        <v>54596</v>
      </c>
      <c r="C13849" s="2" t="s">
        <v>54596</v>
      </c>
      <c r="D13849" s="2" t="str">
        <f>"9175647615"</f>
        <v>9175647615</v>
      </c>
      <c r="E13849" s="2" t="s">
        <v>54597</v>
      </c>
      <c r="F13849" s="2" t="s">
        <v>54598</v>
      </c>
      <c r="G13849" s="2" t="str">
        <f>"SR-20100"</f>
        <v>SR-20100</v>
      </c>
      <c r="H13849" s="2" t="s">
        <v>54599</v>
      </c>
      <c r="I13849" s="2" t="s">
        <v>54600</v>
      </c>
      <c r="J13849" s="2" t="s">
        <v>54601</v>
      </c>
      <c r="K13849" s="2" t="s">
        <v>18981</v>
      </c>
      <c r="L13849" s="2" t="s">
        <v>142</v>
      </c>
      <c r="M13849" s="2">
        <v>10468.0</v>
      </c>
      <c r="N13849" s="2" t="s">
        <v>21</v>
      </c>
    </row>
    <row r="13850" ht="15.75" customHeight="1">
      <c r="A13850" s="2">
        <v>2020.0</v>
      </c>
      <c r="B13850" s="2" t="s">
        <v>54602</v>
      </c>
      <c r="C13850" s="2" t="s">
        <v>54603</v>
      </c>
      <c r="D13850" s="2" t="str">
        <f>"6465496336"</f>
        <v>6465496336</v>
      </c>
      <c r="E13850" s="2" t="s">
        <v>27109</v>
      </c>
      <c r="F13850" s="2" t="s">
        <v>54604</v>
      </c>
      <c r="G13850" s="2" t="str">
        <f>"SR-19958"</f>
        <v>SR-19958</v>
      </c>
      <c r="H13850" s="2" t="s">
        <v>54605</v>
      </c>
      <c r="I13850" s="2" t="s">
        <v>54606</v>
      </c>
      <c r="K13850" s="2" t="s">
        <v>54607</v>
      </c>
      <c r="L13850" s="2" t="s">
        <v>142</v>
      </c>
      <c r="M13850" s="2">
        <v>11355.0</v>
      </c>
      <c r="N13850" s="2" t="s">
        <v>21</v>
      </c>
    </row>
    <row r="13851" ht="15.75" customHeight="1">
      <c r="A13851" s="2">
        <v>2020.0</v>
      </c>
      <c r="B13851" s="2" t="s">
        <v>54608</v>
      </c>
      <c r="C13851" s="2" t="s">
        <v>54608</v>
      </c>
      <c r="D13851" s="2" t="str">
        <f>"970102279"</f>
        <v>970102279</v>
      </c>
      <c r="E13851" s="2" t="s">
        <v>81</v>
      </c>
      <c r="F13851" s="2" t="s">
        <v>17832</v>
      </c>
      <c r="G13851" s="2" t="str">
        <f>"SR-19841"</f>
        <v>SR-19841</v>
      </c>
      <c r="H13851" s="2" t="s">
        <v>54609</v>
      </c>
      <c r="I13851" s="2" t="s">
        <v>54610</v>
      </c>
      <c r="K13851" s="2" t="s">
        <v>12179</v>
      </c>
      <c r="L13851" s="2" t="s">
        <v>12179</v>
      </c>
      <c r="M13851" s="2">
        <v>15023.0</v>
      </c>
      <c r="N13851" s="2" t="s">
        <v>53653</v>
      </c>
    </row>
    <row r="13852" ht="15.75" customHeight="1">
      <c r="A13852" s="2">
        <v>2020.0</v>
      </c>
      <c r="B13852" s="2" t="s">
        <v>54611</v>
      </c>
      <c r="C13852" s="2" t="s">
        <v>54611</v>
      </c>
      <c r="D13852" s="2" t="str">
        <f>"(336) 354-5371"</f>
        <v>(336) 354-5371</v>
      </c>
      <c r="E13852" s="2" t="s">
        <v>1257</v>
      </c>
      <c r="F13852" s="2" t="s">
        <v>18231</v>
      </c>
      <c r="G13852" s="2" t="str">
        <f>"SR-20112"</f>
        <v>SR-20112</v>
      </c>
      <c r="H13852" s="2" t="s">
        <v>54612</v>
      </c>
      <c r="I13852" s="2" t="s">
        <v>54613</v>
      </c>
      <c r="K13852" s="2" t="s">
        <v>7630</v>
      </c>
      <c r="L13852" s="2" t="s">
        <v>20</v>
      </c>
      <c r="M13852" s="2">
        <v>27023.0</v>
      </c>
      <c r="N13852" s="2" t="s">
        <v>21</v>
      </c>
    </row>
    <row r="13853" ht="15.75" customHeight="1">
      <c r="A13853" s="2">
        <v>2020.0</v>
      </c>
      <c r="B13853" s="2" t="s">
        <v>54614</v>
      </c>
      <c r="C13853" s="2" t="s">
        <v>54615</v>
      </c>
      <c r="D13853" s="2" t="str">
        <f>"7195886395"</f>
        <v>7195886395</v>
      </c>
      <c r="E13853" s="2" t="s">
        <v>37022</v>
      </c>
      <c r="F13853" s="2" t="s">
        <v>6486</v>
      </c>
      <c r="G13853" s="2" t="str">
        <f>"SR-20117"</f>
        <v>SR-20117</v>
      </c>
      <c r="H13853" s="2" t="s">
        <v>54616</v>
      </c>
      <c r="I13853" s="2" t="s">
        <v>54617</v>
      </c>
      <c r="K13853" s="2" t="s">
        <v>54618</v>
      </c>
      <c r="L13853" s="2" t="s">
        <v>157</v>
      </c>
      <c r="M13853" s="2">
        <v>81101.0</v>
      </c>
      <c r="N13853" s="2" t="s">
        <v>21</v>
      </c>
    </row>
    <row r="13854" ht="15.75" customHeight="1">
      <c r="A13854" s="2">
        <v>2020.0</v>
      </c>
      <c r="B13854" s="2" t="s">
        <v>54619</v>
      </c>
      <c r="C13854" s="2" t="s">
        <v>54619</v>
      </c>
      <c r="D13854" s="2" t="str">
        <f>"3176526543"</f>
        <v>3176526543</v>
      </c>
      <c r="E13854" s="2" t="s">
        <v>6032</v>
      </c>
      <c r="F13854" s="2" t="s">
        <v>2906</v>
      </c>
      <c r="G13854" s="2" t="str">
        <f>"SR-20121"</f>
        <v>SR-20121</v>
      </c>
      <c r="H13854" s="2" t="s">
        <v>54620</v>
      </c>
      <c r="I13854" s="2" t="s">
        <v>54621</v>
      </c>
      <c r="K13854" s="2" t="s">
        <v>7591</v>
      </c>
      <c r="L13854" s="2" t="s">
        <v>149</v>
      </c>
      <c r="M13854" s="2">
        <v>46163.0</v>
      </c>
      <c r="N13854" s="2" t="s">
        <v>21</v>
      </c>
    </row>
    <row r="13855" ht="15.75" customHeight="1">
      <c r="A13855" s="2">
        <v>2020.0</v>
      </c>
      <c r="B13855" s="2" t="s">
        <v>54622</v>
      </c>
      <c r="C13855" s="2" t="s">
        <v>54622</v>
      </c>
      <c r="D13855" s="2" t="str">
        <f>"2392733030"</f>
        <v>2392733030</v>
      </c>
      <c r="E13855" s="2" t="s">
        <v>705</v>
      </c>
      <c r="F13855" s="2" t="s">
        <v>1151</v>
      </c>
      <c r="G13855" s="2" t="str">
        <f>"SR-20122"</f>
        <v>SR-20122</v>
      </c>
      <c r="H13855" s="2" t="s">
        <v>51518</v>
      </c>
      <c r="I13855" s="2" t="s">
        <v>54623</v>
      </c>
      <c r="K13855" s="2" t="s">
        <v>1889</v>
      </c>
      <c r="L13855" s="2" t="s">
        <v>157</v>
      </c>
      <c r="M13855" s="2">
        <v>80127.0</v>
      </c>
      <c r="N13855" s="2" t="s">
        <v>21</v>
      </c>
    </row>
    <row r="13856" ht="15.75" customHeight="1">
      <c r="A13856" s="2">
        <v>2020.0</v>
      </c>
      <c r="B13856" s="2" t="s">
        <v>54624</v>
      </c>
      <c r="C13856" s="2" t="s">
        <v>54624</v>
      </c>
      <c r="D13856" s="2" t="str">
        <f>"970-903-8468"</f>
        <v>970-903-8468</v>
      </c>
      <c r="E13856" s="2" t="s">
        <v>15719</v>
      </c>
      <c r="F13856" s="2" t="s">
        <v>645</v>
      </c>
      <c r="G13856" s="2" t="str">
        <f>"SR-20146"</f>
        <v>SR-20146</v>
      </c>
      <c r="H13856" s="2" t="s">
        <v>54625</v>
      </c>
      <c r="I13856" s="2" t="s">
        <v>54626</v>
      </c>
      <c r="K13856" s="2" t="s">
        <v>54627</v>
      </c>
      <c r="L13856" s="2" t="s">
        <v>157</v>
      </c>
      <c r="M13856" s="2">
        <v>81122.0</v>
      </c>
      <c r="N13856" s="2" t="s">
        <v>21</v>
      </c>
    </row>
    <row r="13857" ht="15.75" customHeight="1">
      <c r="A13857" s="2">
        <v>2020.0</v>
      </c>
      <c r="B13857" s="2" t="s">
        <v>54628</v>
      </c>
      <c r="C13857" s="2" t="s">
        <v>54629</v>
      </c>
      <c r="D13857" s="2" t="str">
        <f>"3204447037"</f>
        <v>3204447037</v>
      </c>
      <c r="E13857" s="2" t="s">
        <v>250</v>
      </c>
      <c r="F13857" s="2" t="s">
        <v>543</v>
      </c>
      <c r="G13857" s="2" t="str">
        <f>"SR-20151"</f>
        <v>SR-20151</v>
      </c>
      <c r="H13857" s="2" t="s">
        <v>54630</v>
      </c>
      <c r="I13857" s="2" t="s">
        <v>54631</v>
      </c>
      <c r="K13857" s="2" t="s">
        <v>54632</v>
      </c>
      <c r="L13857" s="2" t="s">
        <v>62</v>
      </c>
      <c r="M13857" s="2">
        <v>56279.0</v>
      </c>
      <c r="N13857" s="2" t="s">
        <v>21</v>
      </c>
    </row>
    <row r="13858" ht="15.75" customHeight="1">
      <c r="A13858" s="2">
        <v>2020.0</v>
      </c>
      <c r="B13858" s="2" t="s">
        <v>54633</v>
      </c>
      <c r="C13858" s="2" t="s">
        <v>54634</v>
      </c>
      <c r="D13858" s="2" t="str">
        <f>"7657638405"</f>
        <v>7657638405</v>
      </c>
      <c r="E13858" s="2" t="s">
        <v>160</v>
      </c>
      <c r="F13858" s="2" t="s">
        <v>54635</v>
      </c>
      <c r="G13858" s="2" t="str">
        <f>"SR-19919"</f>
        <v>SR-19919</v>
      </c>
      <c r="H13858" s="2" t="s">
        <v>54636</v>
      </c>
      <c r="I13858" s="2" t="s">
        <v>54637</v>
      </c>
      <c r="K13858" s="2" t="s">
        <v>882</v>
      </c>
      <c r="L13858" s="2" t="s">
        <v>149</v>
      </c>
      <c r="M13858" s="2">
        <v>46104.0</v>
      </c>
      <c r="N13858" s="2" t="s">
        <v>21</v>
      </c>
    </row>
    <row r="13859" ht="15.75" customHeight="1">
      <c r="A13859" s="2">
        <v>2020.0</v>
      </c>
      <c r="B13859" s="2" t="s">
        <v>40501</v>
      </c>
      <c r="C13859" s="2" t="s">
        <v>40502</v>
      </c>
      <c r="D13859" s="2" t="str">
        <f>"7144230777"</f>
        <v>7144230777</v>
      </c>
      <c r="E13859" s="2" t="s">
        <v>3977</v>
      </c>
      <c r="F13859" s="2" t="s">
        <v>40503</v>
      </c>
      <c r="G13859" s="2" t="str">
        <f>"SR-13876"</f>
        <v>SR-13876</v>
      </c>
      <c r="H13859" s="2" t="s">
        <v>40504</v>
      </c>
      <c r="I13859" s="2" t="s">
        <v>40505</v>
      </c>
      <c r="K13859" s="2" t="s">
        <v>12334</v>
      </c>
      <c r="L13859" s="2" t="s">
        <v>222</v>
      </c>
      <c r="M13859" s="2">
        <v>92886.0</v>
      </c>
      <c r="N13859" s="2" t="s">
        <v>21</v>
      </c>
    </row>
    <row r="13860" ht="15.75" customHeight="1">
      <c r="A13860" s="2">
        <v>2020.0</v>
      </c>
      <c r="B13860" s="2" t="s">
        <v>54638</v>
      </c>
      <c r="C13860" s="2" t="s">
        <v>54639</v>
      </c>
      <c r="D13860" s="2" t="str">
        <f>"2489045065"</f>
        <v>2489045065</v>
      </c>
      <c r="E13860" s="2" t="s">
        <v>1585</v>
      </c>
      <c r="F13860" s="2" t="s">
        <v>2972</v>
      </c>
      <c r="G13860" s="2" t="str">
        <f>"SR-19720"</f>
        <v>SR-19720</v>
      </c>
      <c r="H13860" s="2" t="s">
        <v>54640</v>
      </c>
      <c r="I13860" s="2" t="s">
        <v>54641</v>
      </c>
      <c r="K13860" s="2" t="s">
        <v>4272</v>
      </c>
      <c r="L13860" s="2" t="s">
        <v>29</v>
      </c>
      <c r="M13860" s="2">
        <v>48323.0</v>
      </c>
      <c r="N13860" s="2" t="s">
        <v>21</v>
      </c>
    </row>
    <row r="13861" ht="15.75" customHeight="1">
      <c r="A13861" s="2">
        <v>2020.0</v>
      </c>
      <c r="B13861" s="2" t="s">
        <v>54642</v>
      </c>
      <c r="C13861" s="2" t="s">
        <v>54642</v>
      </c>
      <c r="D13861" s="2" t="str">
        <f>"561-762-1008"</f>
        <v>561-762-1008</v>
      </c>
      <c r="E13861" s="2" t="s">
        <v>54643</v>
      </c>
      <c r="F13861" s="2" t="s">
        <v>28906</v>
      </c>
      <c r="G13861" s="2" t="str">
        <f>"SR-20206"</f>
        <v>SR-20206</v>
      </c>
      <c r="H13861" s="2" t="s">
        <v>54644</v>
      </c>
      <c r="I13861" s="2" t="s">
        <v>54645</v>
      </c>
      <c r="K13861" s="2" t="s">
        <v>54646</v>
      </c>
      <c r="L13861" s="2" t="s">
        <v>208</v>
      </c>
      <c r="M13861" s="2">
        <v>33411.0</v>
      </c>
      <c r="N13861" s="2" t="s">
        <v>21</v>
      </c>
    </row>
    <row r="13862" ht="15.75" customHeight="1">
      <c r="A13862" s="2">
        <v>2020.0</v>
      </c>
      <c r="B13862" s="2" t="s">
        <v>54647</v>
      </c>
      <c r="C13862" s="2" t="s">
        <v>54647</v>
      </c>
      <c r="D13862" s="2" t="str">
        <f>"2607973004"</f>
        <v>2607973004</v>
      </c>
      <c r="E13862" s="2" t="s">
        <v>1311</v>
      </c>
      <c r="F13862" s="2" t="s">
        <v>638</v>
      </c>
      <c r="G13862" s="2" t="str">
        <f>"SR-20227"</f>
        <v>SR-20227</v>
      </c>
      <c r="H13862" s="2" t="s">
        <v>54648</v>
      </c>
      <c r="I13862" s="2" t="s">
        <v>54649</v>
      </c>
      <c r="K13862" s="2" t="s">
        <v>2226</v>
      </c>
      <c r="L13862" s="2" t="s">
        <v>149</v>
      </c>
      <c r="M13862" s="2">
        <v>46750.0</v>
      </c>
      <c r="N13862" s="2" t="s">
        <v>21</v>
      </c>
    </row>
    <row r="13863" ht="15.75" customHeight="1">
      <c r="A13863" s="2">
        <v>2020.0</v>
      </c>
      <c r="B13863" s="2" t="s">
        <v>54650</v>
      </c>
      <c r="C13863" s="2" t="s">
        <v>54650</v>
      </c>
      <c r="D13863" s="2" t="str">
        <f>"304-763-8397"</f>
        <v>304-763-8397</v>
      </c>
      <c r="E13863" s="2" t="s">
        <v>1799</v>
      </c>
      <c r="F13863" s="2" t="s">
        <v>6527</v>
      </c>
      <c r="G13863" s="2" t="str">
        <f>"SR-20230"</f>
        <v>SR-20230</v>
      </c>
      <c r="H13863" s="2" t="s">
        <v>54651</v>
      </c>
      <c r="I13863" s="2" t="s">
        <v>54652</v>
      </c>
      <c r="K13863" s="2" t="s">
        <v>7603</v>
      </c>
      <c r="L13863" s="2" t="s">
        <v>20</v>
      </c>
      <c r="M13863" s="2">
        <v>27006.0</v>
      </c>
      <c r="N13863" s="2" t="s">
        <v>21</v>
      </c>
    </row>
    <row r="13864" ht="15.75" customHeight="1">
      <c r="A13864" s="2">
        <v>2020.0</v>
      </c>
      <c r="B13864" s="2" t="s">
        <v>54653</v>
      </c>
      <c r="C13864" s="2" t="s">
        <v>54653</v>
      </c>
      <c r="D13864" s="2" t="str">
        <f>"2606276828"</f>
        <v>2606276828</v>
      </c>
      <c r="E13864" s="2" t="s">
        <v>862</v>
      </c>
      <c r="F13864" s="2" t="s">
        <v>54654</v>
      </c>
      <c r="G13864" s="2" t="str">
        <f>"SR-20229"</f>
        <v>SR-20229</v>
      </c>
      <c r="H13864" s="2" t="s">
        <v>54655</v>
      </c>
      <c r="I13864" s="2" t="s">
        <v>54656</v>
      </c>
      <c r="K13864" s="2" t="s">
        <v>54657</v>
      </c>
      <c r="L13864" s="2" t="s">
        <v>149</v>
      </c>
      <c r="M13864" s="2">
        <v>46788.0</v>
      </c>
      <c r="N13864" s="2" t="s">
        <v>21</v>
      </c>
    </row>
    <row r="13865" ht="15.75" customHeight="1">
      <c r="A13865" s="2">
        <v>2020.0</v>
      </c>
      <c r="B13865" s="2" t="s">
        <v>54658</v>
      </c>
      <c r="C13865" s="2" t="s">
        <v>54658</v>
      </c>
      <c r="D13865" s="2" t="str">
        <f>"540-219-1881"</f>
        <v>540-219-1881</v>
      </c>
      <c r="E13865" s="2" t="s">
        <v>1803</v>
      </c>
      <c r="F13865" s="2" t="s">
        <v>962</v>
      </c>
      <c r="G13865" s="2" t="str">
        <f>"SR-20101"</f>
        <v>SR-20101</v>
      </c>
      <c r="H13865" s="2" t="s">
        <v>54659</v>
      </c>
      <c r="I13865" s="2" t="s">
        <v>54660</v>
      </c>
      <c r="K13865" s="2" t="s">
        <v>30021</v>
      </c>
      <c r="L13865" s="2" t="s">
        <v>165</v>
      </c>
      <c r="M13865" s="2">
        <v>22701.0</v>
      </c>
      <c r="N13865" s="2" t="s">
        <v>21</v>
      </c>
    </row>
    <row r="13866" ht="15.75" customHeight="1">
      <c r="A13866" s="2">
        <v>2020.0</v>
      </c>
      <c r="B13866" s="2" t="s">
        <v>54661</v>
      </c>
      <c r="C13866" s="2" t="s">
        <v>54662</v>
      </c>
      <c r="D13866" s="2" t="str">
        <f t="shared" ref="D13866:D13867" si="236">"480-832-8082"</f>
        <v>480-832-8082</v>
      </c>
      <c r="E13866" s="2" t="s">
        <v>453</v>
      </c>
      <c r="F13866" s="2" t="s">
        <v>54663</v>
      </c>
      <c r="G13866" s="2" t="str">
        <f>"SR-20266"</f>
        <v>SR-20266</v>
      </c>
      <c r="H13866" s="2" t="s">
        <v>54664</v>
      </c>
      <c r="I13866" s="2" t="s">
        <v>54665</v>
      </c>
      <c r="K13866" s="2" t="s">
        <v>5531</v>
      </c>
      <c r="L13866" s="2" t="s">
        <v>422</v>
      </c>
      <c r="M13866" s="2">
        <v>85206.0</v>
      </c>
      <c r="N13866" s="2" t="s">
        <v>21</v>
      </c>
    </row>
    <row r="13867" ht="15.75" customHeight="1">
      <c r="A13867" s="2">
        <v>2020.0</v>
      </c>
      <c r="B13867" s="2" t="s">
        <v>54661</v>
      </c>
      <c r="C13867" s="2" t="s">
        <v>54666</v>
      </c>
      <c r="D13867" s="2" t="str">
        <f t="shared" si="236"/>
        <v>480-832-8082</v>
      </c>
      <c r="E13867" s="2" t="s">
        <v>36</v>
      </c>
      <c r="F13867" s="2" t="s">
        <v>54663</v>
      </c>
      <c r="G13867" s="2" t="str">
        <f>"SR-20267"</f>
        <v>SR-20267</v>
      </c>
      <c r="H13867" s="2" t="s">
        <v>54667</v>
      </c>
      <c r="I13867" s="2" t="s">
        <v>54665</v>
      </c>
      <c r="K13867" s="2" t="s">
        <v>5531</v>
      </c>
      <c r="L13867" s="2" t="s">
        <v>422</v>
      </c>
      <c r="M13867" s="2">
        <v>85206.0</v>
      </c>
      <c r="N13867" s="2" t="s">
        <v>21</v>
      </c>
    </row>
    <row r="13868" ht="15.75" customHeight="1">
      <c r="A13868" s="2">
        <v>2020.0</v>
      </c>
      <c r="B13868" s="2" t="s">
        <v>54668</v>
      </c>
      <c r="C13868" s="2" t="s">
        <v>54668</v>
      </c>
      <c r="D13868" s="2" t="str">
        <f>"336-403-1687"</f>
        <v>336-403-1687</v>
      </c>
      <c r="E13868" s="2" t="s">
        <v>54669</v>
      </c>
      <c r="F13868" s="2" t="s">
        <v>54670</v>
      </c>
      <c r="G13868" s="2" t="str">
        <f>"SR-20274"</f>
        <v>SR-20274</v>
      </c>
      <c r="H13868" s="2" t="s">
        <v>54671</v>
      </c>
      <c r="I13868" s="2" t="s">
        <v>54672</v>
      </c>
      <c r="K13868" s="2" t="s">
        <v>7630</v>
      </c>
      <c r="L13868" s="2" t="s">
        <v>20</v>
      </c>
      <c r="M13868" s="2">
        <v>27106.0</v>
      </c>
      <c r="N13868" s="2" t="s">
        <v>21</v>
      </c>
    </row>
    <row r="13869" ht="15.75" customHeight="1">
      <c r="A13869" s="2">
        <v>2020.0</v>
      </c>
      <c r="B13869" s="2" t="s">
        <v>54673</v>
      </c>
      <c r="C13869" s="2" t="s">
        <v>54674</v>
      </c>
      <c r="D13869" s="2" t="str">
        <f>"9546839630"</f>
        <v>9546839630</v>
      </c>
      <c r="E13869" s="2" t="s">
        <v>1974</v>
      </c>
      <c r="F13869" s="2" t="s">
        <v>54675</v>
      </c>
      <c r="G13869" s="2" t="str">
        <f>"SR-20089"</f>
        <v>SR-20089</v>
      </c>
      <c r="H13869" s="2" t="s">
        <v>54676</v>
      </c>
      <c r="I13869" s="2" t="s">
        <v>54677</v>
      </c>
      <c r="K13869" s="2" t="s">
        <v>1206</v>
      </c>
      <c r="L13869" s="2" t="s">
        <v>208</v>
      </c>
      <c r="M13869" s="2">
        <v>33069.0</v>
      </c>
      <c r="N13869" s="2" t="s">
        <v>21</v>
      </c>
    </row>
    <row r="13870" ht="15.75" customHeight="1">
      <c r="A13870" s="2">
        <v>2020.0</v>
      </c>
      <c r="B13870" s="2" t="s">
        <v>54673</v>
      </c>
      <c r="C13870" s="2" t="s">
        <v>54678</v>
      </c>
      <c r="D13870" s="2" t="str">
        <f>"9546126361"</f>
        <v>9546126361</v>
      </c>
      <c r="E13870" s="2" t="s">
        <v>11423</v>
      </c>
      <c r="F13870" s="2" t="s">
        <v>54675</v>
      </c>
      <c r="G13870" s="2" t="str">
        <f>"SR-20116"</f>
        <v>SR-20116</v>
      </c>
      <c r="H13870" s="2" t="s">
        <v>54679</v>
      </c>
      <c r="I13870" s="2" t="s">
        <v>54677</v>
      </c>
      <c r="K13870" s="2" t="s">
        <v>54680</v>
      </c>
      <c r="L13870" s="2" t="s">
        <v>208</v>
      </c>
      <c r="M13870" s="2">
        <v>33069.0</v>
      </c>
      <c r="N13870" s="2" t="s">
        <v>21</v>
      </c>
    </row>
    <row r="13871" ht="15.75" customHeight="1">
      <c r="A13871" s="2">
        <v>2020.0</v>
      </c>
      <c r="B13871" s="2" t="s">
        <v>54681</v>
      </c>
      <c r="C13871" s="2" t="s">
        <v>54682</v>
      </c>
      <c r="D13871" s="2" t="str">
        <f>"765 316 1593"</f>
        <v>765 316 1593</v>
      </c>
      <c r="E13871" s="2" t="s">
        <v>385</v>
      </c>
      <c r="F13871" s="2" t="s">
        <v>690</v>
      </c>
      <c r="G13871" s="2" t="str">
        <f>"SR-20283"</f>
        <v>SR-20283</v>
      </c>
      <c r="H13871" s="2" t="s">
        <v>54683</v>
      </c>
      <c r="I13871" s="2" t="s">
        <v>54684</v>
      </c>
      <c r="K13871" s="2" t="s">
        <v>3397</v>
      </c>
      <c r="L13871" s="2" t="s">
        <v>149</v>
      </c>
      <c r="M13871" s="2">
        <v>46161.0</v>
      </c>
      <c r="N13871" s="2" t="s">
        <v>21</v>
      </c>
    </row>
    <row r="13872" ht="15.75" customHeight="1">
      <c r="A13872" s="2">
        <v>2020.0</v>
      </c>
      <c r="B13872" s="2" t="s">
        <v>52722</v>
      </c>
      <c r="C13872" s="2" t="s">
        <v>54685</v>
      </c>
      <c r="D13872" s="2" t="str">
        <f>"915 5389168"</f>
        <v>915 5389168</v>
      </c>
      <c r="E13872" s="2" t="s">
        <v>54686</v>
      </c>
      <c r="F13872" s="2" t="s">
        <v>52724</v>
      </c>
      <c r="G13872" s="2" t="str">
        <f>"SR-19757"</f>
        <v>SR-19757</v>
      </c>
      <c r="H13872" s="2" t="s">
        <v>54687</v>
      </c>
      <c r="I13872" s="2" t="s">
        <v>52726</v>
      </c>
      <c r="K13872" s="2" t="s">
        <v>21247</v>
      </c>
      <c r="L13872" s="2" t="s">
        <v>172</v>
      </c>
      <c r="M13872" s="2">
        <v>79936.0</v>
      </c>
      <c r="N13872" s="2" t="s">
        <v>21</v>
      </c>
    </row>
    <row r="13873" ht="15.75" customHeight="1">
      <c r="A13873" s="2">
        <v>2020.0</v>
      </c>
      <c r="B13873" s="2" t="s">
        <v>54688</v>
      </c>
      <c r="C13873" s="2" t="s">
        <v>54688</v>
      </c>
      <c r="D13873" s="2" t="str">
        <f>"9155398243"</f>
        <v>9155398243</v>
      </c>
      <c r="E13873" s="2" t="s">
        <v>57</v>
      </c>
      <c r="F13873" s="2" t="s">
        <v>54689</v>
      </c>
      <c r="G13873" s="2" t="str">
        <f>"SR-19756"</f>
        <v>SR-19756</v>
      </c>
      <c r="H13873" s="2" t="s">
        <v>54690</v>
      </c>
      <c r="I13873" s="2" t="s">
        <v>54691</v>
      </c>
      <c r="K13873" s="2" t="s">
        <v>21247</v>
      </c>
      <c r="L13873" s="2" t="s">
        <v>172</v>
      </c>
      <c r="M13873" s="2">
        <v>79925.0</v>
      </c>
      <c r="N13873" s="2" t="s">
        <v>21</v>
      </c>
    </row>
    <row r="13874" ht="15.75" customHeight="1">
      <c r="A13874" s="2">
        <v>2020.0</v>
      </c>
      <c r="B13874" s="2" t="s">
        <v>54692</v>
      </c>
      <c r="C13874" s="2" t="s">
        <v>54693</v>
      </c>
      <c r="D13874" s="2" t="str">
        <f>"9154331714"</f>
        <v>9154331714</v>
      </c>
      <c r="E13874" s="2" t="s">
        <v>29319</v>
      </c>
      <c r="F13874" s="2" t="s">
        <v>54694</v>
      </c>
      <c r="G13874" s="2" t="str">
        <f>"SR-19872"</f>
        <v>SR-19872</v>
      </c>
      <c r="H13874" s="2" t="s">
        <v>54695</v>
      </c>
      <c r="I13874" s="2" t="s">
        <v>54696</v>
      </c>
      <c r="J13874" s="2" t="s">
        <v>54697</v>
      </c>
      <c r="K13874" s="2" t="s">
        <v>21247</v>
      </c>
      <c r="L13874" s="2" t="s">
        <v>172</v>
      </c>
      <c r="M13874" s="2">
        <v>79912.0</v>
      </c>
      <c r="N13874" s="2" t="s">
        <v>21</v>
      </c>
    </row>
    <row r="13875" ht="15.75" customHeight="1">
      <c r="A13875" s="2">
        <v>2020.0</v>
      </c>
      <c r="B13875" s="2" t="s">
        <v>54698</v>
      </c>
      <c r="C13875" s="2" t="s">
        <v>54699</v>
      </c>
      <c r="D13875" s="2" t="str">
        <f>"9155389476"</f>
        <v>9155389476</v>
      </c>
      <c r="E13875" s="2" t="s">
        <v>54700</v>
      </c>
      <c r="F13875" s="2" t="s">
        <v>54701</v>
      </c>
      <c r="G13875" s="2" t="str">
        <f>"SR-19871"</f>
        <v>SR-19871</v>
      </c>
      <c r="H13875" s="2" t="s">
        <v>54702</v>
      </c>
      <c r="I13875" s="2" t="s">
        <v>54696</v>
      </c>
      <c r="J13875" s="2" t="s">
        <v>54697</v>
      </c>
      <c r="K13875" s="2" t="s">
        <v>21247</v>
      </c>
      <c r="L13875" s="2" t="s">
        <v>172</v>
      </c>
      <c r="M13875" s="2">
        <v>79912.0</v>
      </c>
      <c r="N13875" s="2" t="s">
        <v>21</v>
      </c>
    </row>
    <row r="13876" ht="15.75" customHeight="1">
      <c r="A13876" s="2">
        <v>2020.0</v>
      </c>
      <c r="B13876" s="2" t="s">
        <v>54703</v>
      </c>
      <c r="C13876" s="2" t="s">
        <v>54704</v>
      </c>
      <c r="D13876" s="2" t="str">
        <f>"9155038739"</f>
        <v>9155038739</v>
      </c>
      <c r="E13876" s="2" t="s">
        <v>27574</v>
      </c>
      <c r="F13876" s="2" t="s">
        <v>128</v>
      </c>
      <c r="G13876" s="2" t="str">
        <f>"SR-20285"</f>
        <v>SR-20285</v>
      </c>
      <c r="H13876" s="2" t="s">
        <v>54705</v>
      </c>
      <c r="I13876" s="2" t="s">
        <v>54706</v>
      </c>
      <c r="K13876" s="2" t="s">
        <v>54707</v>
      </c>
      <c r="L13876" s="2" t="s">
        <v>172</v>
      </c>
      <c r="M13876" s="2">
        <v>79928.0</v>
      </c>
      <c r="N13876" s="2" t="s">
        <v>21</v>
      </c>
    </row>
    <row r="13877" ht="15.75" customHeight="1">
      <c r="A13877" s="2">
        <v>2020.0</v>
      </c>
      <c r="B13877" s="2" t="s">
        <v>54708</v>
      </c>
      <c r="D13877" s="2" t="str">
        <f>""</f>
        <v/>
      </c>
      <c r="E13877" s="2" t="s">
        <v>1803</v>
      </c>
      <c r="F13877" s="2" t="s">
        <v>54709</v>
      </c>
      <c r="G13877" s="2" t="str">
        <f>"SR-18653"</f>
        <v>SR-18653</v>
      </c>
      <c r="H13877" s="2" t="s">
        <v>54710</v>
      </c>
      <c r="N13877" s="2" t="s">
        <v>21</v>
      </c>
    </row>
    <row r="13878" ht="15.75" customHeight="1">
      <c r="A13878" s="2">
        <v>2020.0</v>
      </c>
      <c r="B13878" s="2" t="s">
        <v>54711</v>
      </c>
      <c r="C13878" s="2" t="s">
        <v>54712</v>
      </c>
      <c r="D13878" s="2" t="str">
        <f>"316-640-0858"</f>
        <v>316-640-0858</v>
      </c>
      <c r="E13878" s="2" t="s">
        <v>14392</v>
      </c>
      <c r="F13878" s="2" t="s">
        <v>522</v>
      </c>
      <c r="G13878" s="2" t="str">
        <f>"SR-20304"</f>
        <v>SR-20304</v>
      </c>
      <c r="H13878" s="2" t="s">
        <v>54713</v>
      </c>
      <c r="I13878" s="2" t="s">
        <v>54714</v>
      </c>
      <c r="K13878" s="2" t="s">
        <v>19451</v>
      </c>
      <c r="L13878" s="2" t="s">
        <v>272</v>
      </c>
      <c r="M13878" s="2">
        <v>67056.0</v>
      </c>
      <c r="N13878" s="2" t="s">
        <v>21</v>
      </c>
    </row>
    <row r="13879" ht="15.75" customHeight="1">
      <c r="A13879" s="2">
        <v>2020.0</v>
      </c>
      <c r="B13879" s="2" t="s">
        <v>54715</v>
      </c>
      <c r="C13879" s="2" t="s">
        <v>54716</v>
      </c>
      <c r="D13879" s="2" t="str">
        <f>"5127674863"</f>
        <v>5127674863</v>
      </c>
      <c r="E13879" s="2" t="s">
        <v>225</v>
      </c>
      <c r="F13879" s="2" t="s">
        <v>22579</v>
      </c>
      <c r="G13879" s="2" t="str">
        <f>"SR-20312"</f>
        <v>SR-20312</v>
      </c>
      <c r="H13879" s="2" t="s">
        <v>54717</v>
      </c>
      <c r="I13879" s="2" t="s">
        <v>54718</v>
      </c>
      <c r="K13879" s="2" t="s">
        <v>13097</v>
      </c>
      <c r="L13879" s="2" t="s">
        <v>172</v>
      </c>
      <c r="M13879" s="2">
        <v>78660.0</v>
      </c>
      <c r="N13879" s="2" t="s">
        <v>21</v>
      </c>
    </row>
    <row r="13880" ht="15.75" customHeight="1">
      <c r="A13880" s="2">
        <v>2020.0</v>
      </c>
      <c r="B13880" s="2" t="s">
        <v>54719</v>
      </c>
      <c r="C13880" s="2" t="s">
        <v>54720</v>
      </c>
      <c r="D13880" s="2" t="str">
        <f>"5035086300"</f>
        <v>5035086300</v>
      </c>
      <c r="E13880" s="2" t="s">
        <v>1529</v>
      </c>
      <c r="F13880" s="2" t="s">
        <v>54721</v>
      </c>
      <c r="G13880" s="2" t="str">
        <f>"SR-20317"</f>
        <v>SR-20317</v>
      </c>
      <c r="H13880" s="2" t="s">
        <v>54722</v>
      </c>
      <c r="I13880" s="2" t="s">
        <v>54723</v>
      </c>
      <c r="K13880" s="2" t="s">
        <v>965</v>
      </c>
      <c r="L13880" s="2" t="s">
        <v>86</v>
      </c>
      <c r="M13880" s="2">
        <v>98036.0</v>
      </c>
      <c r="N13880" s="2" t="s">
        <v>21</v>
      </c>
    </row>
    <row r="13881" ht="15.75" customHeight="1">
      <c r="A13881" s="2">
        <v>2020.0</v>
      </c>
      <c r="B13881" s="2" t="s">
        <v>54724</v>
      </c>
      <c r="C13881" s="2" t="s">
        <v>54725</v>
      </c>
      <c r="D13881" s="2" t="str">
        <f>"15412541977"</f>
        <v>15412541977</v>
      </c>
      <c r="E13881" s="2" t="s">
        <v>1135</v>
      </c>
      <c r="F13881" s="2" t="s">
        <v>15797</v>
      </c>
      <c r="G13881" s="2" t="str">
        <f>"SR-20327"</f>
        <v>SR-20327</v>
      </c>
      <c r="H13881" s="2" t="s">
        <v>54726</v>
      </c>
      <c r="I13881" s="2" t="s">
        <v>54727</v>
      </c>
      <c r="K13881" s="2" t="s">
        <v>54728</v>
      </c>
      <c r="L13881" s="2" t="s">
        <v>2389</v>
      </c>
      <c r="M13881" s="2">
        <v>97415.0</v>
      </c>
      <c r="N13881" s="2" t="s">
        <v>21</v>
      </c>
    </row>
    <row r="13882" ht="15.75" customHeight="1">
      <c r="A13882" s="2">
        <v>2020.0</v>
      </c>
      <c r="B13882" s="2" t="s">
        <v>54729</v>
      </c>
      <c r="C13882" s="2" t="s">
        <v>54729</v>
      </c>
      <c r="D13882" s="2" t="str">
        <f>"8599401129"</f>
        <v>8599401129</v>
      </c>
      <c r="E13882" s="2" t="s">
        <v>4968</v>
      </c>
      <c r="F13882" s="2" t="s">
        <v>2336</v>
      </c>
      <c r="G13882" s="2" t="str">
        <f>"SR-20332"</f>
        <v>SR-20332</v>
      </c>
      <c r="H13882" s="2" t="s">
        <v>54730</v>
      </c>
      <c r="I13882" s="2" t="s">
        <v>54731</v>
      </c>
      <c r="K13882" s="2" t="s">
        <v>254</v>
      </c>
      <c r="L13882" s="2" t="s">
        <v>1236</v>
      </c>
      <c r="M13882" s="2">
        <v>40514.0</v>
      </c>
      <c r="N13882" s="2" t="s">
        <v>21</v>
      </c>
    </row>
    <row r="13883" ht="15.75" customHeight="1">
      <c r="A13883" s="2">
        <v>2020.0</v>
      </c>
      <c r="B13883" s="2" t="s">
        <v>54732</v>
      </c>
      <c r="C13883" s="2" t="s">
        <v>54732</v>
      </c>
      <c r="D13883" s="2" t="str">
        <f>"406-223-9156"</f>
        <v>406-223-9156</v>
      </c>
      <c r="E13883" s="2" t="s">
        <v>3196</v>
      </c>
      <c r="F13883" s="2" t="s">
        <v>54733</v>
      </c>
      <c r="G13883" s="2" t="str">
        <f>"SR-20299"</f>
        <v>SR-20299</v>
      </c>
      <c r="H13883" s="2" t="s">
        <v>54734</v>
      </c>
      <c r="I13883" s="2" t="s">
        <v>54735</v>
      </c>
      <c r="K13883" s="2" t="s">
        <v>34604</v>
      </c>
      <c r="L13883" s="2" t="s">
        <v>222</v>
      </c>
      <c r="M13883" s="2">
        <v>92069.0</v>
      </c>
      <c r="N13883" s="2" t="s">
        <v>21</v>
      </c>
    </row>
    <row r="13884" ht="15.75" customHeight="1">
      <c r="A13884" s="2">
        <v>2020.0</v>
      </c>
      <c r="B13884" s="2" t="s">
        <v>54736</v>
      </c>
      <c r="C13884" s="2" t="s">
        <v>54737</v>
      </c>
      <c r="D13884" s="2" t="str">
        <f>"8303024179"</f>
        <v>8303024179</v>
      </c>
      <c r="E13884" s="2" t="s">
        <v>2243</v>
      </c>
      <c r="F13884" s="2" t="s">
        <v>54738</v>
      </c>
      <c r="G13884" s="2" t="str">
        <f>"SR-20216"</f>
        <v>SR-20216</v>
      </c>
      <c r="H13884" s="2" t="s">
        <v>54739</v>
      </c>
      <c r="I13884" s="2" t="s">
        <v>54740</v>
      </c>
      <c r="K13884" s="2" t="s">
        <v>15363</v>
      </c>
      <c r="L13884" s="2" t="s">
        <v>172</v>
      </c>
      <c r="M13884" s="2">
        <v>78606.0</v>
      </c>
      <c r="N13884" s="2" t="s">
        <v>21</v>
      </c>
    </row>
    <row r="13885" ht="15.75" customHeight="1">
      <c r="A13885" s="2">
        <v>2020.0</v>
      </c>
      <c r="B13885" s="2" t="s">
        <v>54741</v>
      </c>
      <c r="C13885" s="2" t="s">
        <v>54741</v>
      </c>
      <c r="D13885" s="2" t="str">
        <f>"7194691050"</f>
        <v>7194691050</v>
      </c>
      <c r="E13885" s="2" t="s">
        <v>843</v>
      </c>
      <c r="F13885" s="2" t="s">
        <v>44036</v>
      </c>
      <c r="G13885" s="2" t="str">
        <f>"SR-17688"</f>
        <v>SR-17688</v>
      </c>
      <c r="H13885" s="2" t="s">
        <v>54742</v>
      </c>
      <c r="I13885" s="2" t="s">
        <v>54743</v>
      </c>
      <c r="K13885" s="2" t="s">
        <v>507</v>
      </c>
      <c r="L13885" s="2" t="s">
        <v>157</v>
      </c>
      <c r="M13885" s="2">
        <v>80132.0</v>
      </c>
      <c r="N13885" s="2" t="s">
        <v>21</v>
      </c>
    </row>
    <row r="13886" ht="15.75" customHeight="1">
      <c r="A13886" s="2">
        <v>2020.0</v>
      </c>
      <c r="B13886" s="2" t="s">
        <v>54744</v>
      </c>
      <c r="C13886" s="2" t="s">
        <v>54744</v>
      </c>
      <c r="D13886" s="2" t="str">
        <f>"3135563722"</f>
        <v>3135563722</v>
      </c>
      <c r="E13886" s="2" t="s">
        <v>2314</v>
      </c>
      <c r="F13886" s="2" t="s">
        <v>21785</v>
      </c>
      <c r="G13886" s="2" t="str">
        <f>"SR-20343"</f>
        <v>SR-20343</v>
      </c>
      <c r="H13886" s="2" t="s">
        <v>54745</v>
      </c>
      <c r="I13886" s="2" t="s">
        <v>54746</v>
      </c>
      <c r="K13886" s="2" t="s">
        <v>2598</v>
      </c>
      <c r="L13886" s="2" t="s">
        <v>29</v>
      </c>
      <c r="M13886" s="2">
        <v>48180.0</v>
      </c>
      <c r="N13886" s="2" t="s">
        <v>21</v>
      </c>
    </row>
    <row r="13887" ht="15.75" customHeight="1">
      <c r="A13887" s="2">
        <v>2020.0</v>
      </c>
      <c r="B13887" s="2" t="s">
        <v>54747</v>
      </c>
      <c r="C13887" s="2" t="s">
        <v>54748</v>
      </c>
      <c r="D13887" s="2" t="str">
        <f>"6612368169"</f>
        <v>6612368169</v>
      </c>
      <c r="E13887" s="2" t="s">
        <v>1094</v>
      </c>
      <c r="F13887" s="2" t="s">
        <v>24289</v>
      </c>
      <c r="G13887" s="2" t="str">
        <f>"SR-20345"</f>
        <v>SR-20345</v>
      </c>
      <c r="H13887" s="2" t="s">
        <v>54749</v>
      </c>
      <c r="I13887" s="2" t="s">
        <v>54750</v>
      </c>
      <c r="K13887" s="2" t="s">
        <v>243</v>
      </c>
      <c r="L13887" s="2" t="s">
        <v>222</v>
      </c>
      <c r="M13887" s="2">
        <v>93551.0</v>
      </c>
      <c r="N13887" s="2" t="s">
        <v>21</v>
      </c>
    </row>
    <row r="13888" ht="15.75" customHeight="1">
      <c r="A13888" s="2">
        <v>2020.0</v>
      </c>
      <c r="B13888" s="2" t="s">
        <v>54747</v>
      </c>
      <c r="C13888" s="2" t="s">
        <v>54751</v>
      </c>
      <c r="D13888" s="2" t="str">
        <f>"661-236-7804"</f>
        <v>661-236-7804</v>
      </c>
      <c r="E13888" s="2" t="s">
        <v>217</v>
      </c>
      <c r="F13888" s="2" t="s">
        <v>24289</v>
      </c>
      <c r="G13888" s="2" t="str">
        <f>"SR-20346"</f>
        <v>SR-20346</v>
      </c>
      <c r="H13888" s="2" t="s">
        <v>54752</v>
      </c>
      <c r="I13888" s="2" t="s">
        <v>54750</v>
      </c>
      <c r="K13888" s="2" t="s">
        <v>243</v>
      </c>
      <c r="L13888" s="2" t="s">
        <v>222</v>
      </c>
      <c r="M13888" s="2">
        <v>93551.0</v>
      </c>
      <c r="N13888" s="2" t="s">
        <v>21</v>
      </c>
    </row>
    <row r="13889" ht="15.75" customHeight="1">
      <c r="A13889" s="2">
        <v>2020.0</v>
      </c>
      <c r="B13889" s="2" t="s">
        <v>54753</v>
      </c>
      <c r="C13889" s="2" t="s">
        <v>54754</v>
      </c>
      <c r="D13889" s="2" t="str">
        <f>"608-515-1566"</f>
        <v>608-515-1566</v>
      </c>
      <c r="E13889" s="2" t="s">
        <v>282</v>
      </c>
      <c r="F13889" s="2" t="s">
        <v>10492</v>
      </c>
      <c r="G13889" s="2" t="str">
        <f>"SR-20348"</f>
        <v>SR-20348</v>
      </c>
      <c r="H13889" s="2" t="s">
        <v>54755</v>
      </c>
      <c r="I13889" s="2" t="s">
        <v>54756</v>
      </c>
      <c r="K13889" s="2" t="s">
        <v>54757</v>
      </c>
      <c r="L13889" s="2" t="s">
        <v>193</v>
      </c>
      <c r="M13889" s="2">
        <v>53593.0</v>
      </c>
      <c r="N13889" s="2" t="s">
        <v>21</v>
      </c>
    </row>
    <row r="13890" ht="15.75" customHeight="1">
      <c r="A13890" s="2">
        <v>2020.0</v>
      </c>
      <c r="B13890" s="2" t="s">
        <v>54758</v>
      </c>
      <c r="C13890" s="2" t="s">
        <v>54759</v>
      </c>
      <c r="D13890" s="2" t="str">
        <f>"9079031376"</f>
        <v>9079031376</v>
      </c>
      <c r="E13890" s="2" t="s">
        <v>54760</v>
      </c>
      <c r="F13890" s="2" t="s">
        <v>8623</v>
      </c>
      <c r="G13890" s="2" t="str">
        <f>"SR-20349"</f>
        <v>SR-20349</v>
      </c>
      <c r="H13890" s="2" t="s">
        <v>54761</v>
      </c>
      <c r="I13890" s="2" t="s">
        <v>54762</v>
      </c>
      <c r="K13890" s="2" t="s">
        <v>8658</v>
      </c>
      <c r="L13890" s="2" t="s">
        <v>789</v>
      </c>
      <c r="M13890" s="2">
        <v>88312.0</v>
      </c>
      <c r="N13890" s="2" t="s">
        <v>21</v>
      </c>
    </row>
    <row r="13891" ht="15.75" customHeight="1">
      <c r="A13891" s="2">
        <v>2020.0</v>
      </c>
      <c r="B13891" s="2" t="s">
        <v>54763</v>
      </c>
      <c r="D13891" s="2" t="str">
        <f>""</f>
        <v/>
      </c>
      <c r="E13891" s="2" t="s">
        <v>1239</v>
      </c>
      <c r="F13891" s="2" t="s">
        <v>54764</v>
      </c>
      <c r="G13891" s="2" t="str">
        <f>"SR-20353"</f>
        <v>SR-20353</v>
      </c>
      <c r="H13891" s="2" t="s">
        <v>54765</v>
      </c>
      <c r="N13891" s="2" t="s">
        <v>21</v>
      </c>
    </row>
    <row r="13892" ht="15.75" customHeight="1">
      <c r="A13892" s="2">
        <v>2020.0</v>
      </c>
      <c r="B13892" s="2" t="s">
        <v>54766</v>
      </c>
      <c r="C13892" s="2" t="s">
        <v>54767</v>
      </c>
      <c r="D13892" s="2" t="str">
        <f>"4155955034"</f>
        <v>4155955034</v>
      </c>
      <c r="E13892" s="2" t="s">
        <v>1987</v>
      </c>
      <c r="F13892" s="2" t="s">
        <v>54768</v>
      </c>
      <c r="G13892" s="2" t="str">
        <f>"SR-19807"</f>
        <v>SR-19807</v>
      </c>
      <c r="H13892" s="2" t="s">
        <v>54769</v>
      </c>
      <c r="I13892" s="2" t="s">
        <v>54770</v>
      </c>
      <c r="K13892" s="2" t="s">
        <v>14899</v>
      </c>
      <c r="L13892" s="2" t="s">
        <v>222</v>
      </c>
      <c r="M13892" s="2">
        <v>94116.0</v>
      </c>
      <c r="N13892" s="2" t="s">
        <v>21</v>
      </c>
    </row>
    <row r="13893" ht="15.75" customHeight="1">
      <c r="A13893" s="2">
        <v>2020.0</v>
      </c>
      <c r="B13893" s="2" t="s">
        <v>54771</v>
      </c>
      <c r="C13893" s="2" t="s">
        <v>54772</v>
      </c>
      <c r="D13893" s="2" t="str">
        <f>"7199223485"</f>
        <v>7199223485</v>
      </c>
      <c r="E13893" s="2" t="s">
        <v>6170</v>
      </c>
      <c r="F13893" s="2" t="s">
        <v>2063</v>
      </c>
      <c r="G13893" s="2" t="str">
        <f>"SR-20358"</f>
        <v>SR-20358</v>
      </c>
      <c r="H13893" s="2" t="s">
        <v>54773</v>
      </c>
      <c r="I13893" s="2" t="s">
        <v>54774</v>
      </c>
      <c r="J13893" s="2" t="s">
        <v>54775</v>
      </c>
      <c r="K13893" s="2" t="s">
        <v>2098</v>
      </c>
      <c r="L13893" s="2" t="s">
        <v>157</v>
      </c>
      <c r="M13893" s="2">
        <v>80841.0</v>
      </c>
      <c r="N13893" s="2" t="s">
        <v>21</v>
      </c>
    </row>
    <row r="13894" ht="15.75" customHeight="1">
      <c r="A13894" s="2">
        <v>2020.0</v>
      </c>
      <c r="B13894" s="2" t="s">
        <v>54776</v>
      </c>
      <c r="C13894" s="2" t="s">
        <v>54776</v>
      </c>
      <c r="D13894" s="2" t="str">
        <f>"+923244848312"</f>
        <v>+923244848312</v>
      </c>
      <c r="E13894" s="2" t="s">
        <v>54777</v>
      </c>
      <c r="F13894" s="2" t="s">
        <v>651</v>
      </c>
      <c r="G13894" s="2" t="str">
        <f>"SR-19398"</f>
        <v>SR-19398</v>
      </c>
      <c r="H13894" s="2" t="s">
        <v>54778</v>
      </c>
      <c r="I13894" s="2" t="s">
        <v>54779</v>
      </c>
      <c r="J13894" s="2" t="s">
        <v>54780</v>
      </c>
      <c r="K13894" s="2" t="s">
        <v>54781</v>
      </c>
      <c r="L13894" s="2" t="s">
        <v>54782</v>
      </c>
      <c r="M13894" s="2">
        <v>54000.0</v>
      </c>
      <c r="N13894" s="2" t="s">
        <v>54783</v>
      </c>
    </row>
    <row r="13895" ht="15.75" customHeight="1">
      <c r="A13895" s="2">
        <v>2020.0</v>
      </c>
      <c r="B13895" s="2" t="s">
        <v>54784</v>
      </c>
      <c r="C13895" s="2" t="s">
        <v>54784</v>
      </c>
      <c r="D13895" s="2" t="str">
        <f>"513-941-0876"</f>
        <v>513-941-0876</v>
      </c>
      <c r="E13895" s="2" t="s">
        <v>217</v>
      </c>
      <c r="F13895" s="2" t="s">
        <v>54785</v>
      </c>
      <c r="G13895" s="2" t="str">
        <f>"SR-20360"</f>
        <v>SR-20360</v>
      </c>
      <c r="H13895" s="2" t="s">
        <v>54786</v>
      </c>
      <c r="I13895" s="2" t="s">
        <v>54787</v>
      </c>
      <c r="K13895" s="2" t="s">
        <v>10119</v>
      </c>
      <c r="L13895" s="2" t="s">
        <v>344</v>
      </c>
      <c r="M13895" s="2">
        <v>45248.0</v>
      </c>
      <c r="N13895" s="2" t="s">
        <v>21</v>
      </c>
    </row>
    <row r="13896" ht="15.75" customHeight="1">
      <c r="A13896" s="2">
        <v>2020.0</v>
      </c>
      <c r="B13896" s="2" t="s">
        <v>54788</v>
      </c>
      <c r="C13896" s="2" t="s">
        <v>54788</v>
      </c>
      <c r="D13896" s="2" t="str">
        <f>"13607229835"</f>
        <v>13607229835</v>
      </c>
      <c r="E13896" s="2" t="s">
        <v>54789</v>
      </c>
      <c r="F13896" s="2" t="s">
        <v>16538</v>
      </c>
      <c r="G13896" s="2" t="str">
        <f>"SR-20363"</f>
        <v>SR-20363</v>
      </c>
      <c r="H13896" s="2" t="s">
        <v>54790</v>
      </c>
      <c r="I13896" s="2" t="s">
        <v>54791</v>
      </c>
      <c r="K13896" s="2" t="s">
        <v>4519</v>
      </c>
      <c r="L13896" s="2" t="s">
        <v>86</v>
      </c>
      <c r="M13896" s="2">
        <v>98272.0</v>
      </c>
      <c r="N13896" s="2" t="s">
        <v>21</v>
      </c>
    </row>
    <row r="13897" ht="15.75" customHeight="1">
      <c r="A13897" s="2">
        <v>2020.0</v>
      </c>
      <c r="B13897" s="2" t="s">
        <v>54792</v>
      </c>
      <c r="D13897" s="2" t="str">
        <f>""</f>
        <v/>
      </c>
      <c r="E13897" s="2" t="s">
        <v>9390</v>
      </c>
      <c r="F13897" s="2" t="s">
        <v>20629</v>
      </c>
      <c r="G13897" s="2" t="str">
        <f>"SR-20366"</f>
        <v>SR-20366</v>
      </c>
      <c r="H13897" s="2" t="s">
        <v>54793</v>
      </c>
    </row>
    <row r="13898" ht="15.75" customHeight="1">
      <c r="A13898" s="2">
        <v>2020.0</v>
      </c>
      <c r="B13898" s="2" t="s">
        <v>54794</v>
      </c>
      <c r="C13898" s="2" t="s">
        <v>54794</v>
      </c>
      <c r="D13898" s="2" t="str">
        <f>"4028900860"</f>
        <v>4028900860</v>
      </c>
      <c r="E13898" s="2" t="s">
        <v>492</v>
      </c>
      <c r="F13898" s="2" t="s">
        <v>54795</v>
      </c>
      <c r="G13898" s="2" t="str">
        <f>"SR-20373"</f>
        <v>SR-20373</v>
      </c>
      <c r="H13898" s="2" t="s">
        <v>54796</v>
      </c>
      <c r="I13898" s="2" t="s">
        <v>54797</v>
      </c>
      <c r="K13898" s="2" t="s">
        <v>36347</v>
      </c>
      <c r="L13898" s="2" t="s">
        <v>757</v>
      </c>
      <c r="M13898" s="2">
        <v>68419.0</v>
      </c>
      <c r="N13898" s="2" t="s">
        <v>21</v>
      </c>
    </row>
    <row r="13899" ht="15.75" customHeight="1">
      <c r="A13899" s="2">
        <v>2020.0</v>
      </c>
      <c r="B13899" s="2" t="s">
        <v>54798</v>
      </c>
      <c r="C13899" s="2" t="s">
        <v>54799</v>
      </c>
      <c r="D13899" s="2" t="str">
        <f>"5093784594"</f>
        <v>5093784594</v>
      </c>
      <c r="E13899" s="2" t="s">
        <v>2800</v>
      </c>
      <c r="F13899" s="2" t="s">
        <v>256</v>
      </c>
      <c r="G13899" s="2" t="str">
        <f>"SR-20374"</f>
        <v>SR-20374</v>
      </c>
      <c r="H13899" s="2" t="s">
        <v>54800</v>
      </c>
      <c r="I13899" s="2" t="s">
        <v>54801</v>
      </c>
      <c r="K13899" s="2" t="s">
        <v>24628</v>
      </c>
      <c r="L13899" s="2" t="s">
        <v>86</v>
      </c>
      <c r="M13899" s="2">
        <v>99336.0</v>
      </c>
      <c r="N13899" s="2" t="s">
        <v>21</v>
      </c>
    </row>
    <row r="13900" ht="15.75" customHeight="1">
      <c r="A13900" s="2">
        <v>2020.0</v>
      </c>
      <c r="B13900" s="2" t="s">
        <v>54802</v>
      </c>
      <c r="C13900" s="2" t="s">
        <v>54802</v>
      </c>
      <c r="D13900" s="2" t="str">
        <f>"9364431878"</f>
        <v>9364431878</v>
      </c>
      <c r="E13900" s="2" t="s">
        <v>23106</v>
      </c>
      <c r="F13900" s="2" t="s">
        <v>3236</v>
      </c>
      <c r="G13900" s="2" t="str">
        <f>"SR-20375"</f>
        <v>SR-20375</v>
      </c>
      <c r="H13900" s="2" t="s">
        <v>54803</v>
      </c>
      <c r="I13900" s="2" t="s">
        <v>54804</v>
      </c>
      <c r="K13900" s="2" t="s">
        <v>538</v>
      </c>
      <c r="L13900" s="2" t="s">
        <v>172</v>
      </c>
      <c r="M13900" s="2">
        <v>77356.0</v>
      </c>
      <c r="N13900" s="2" t="s">
        <v>21</v>
      </c>
    </row>
    <row r="13901" ht="15.75" customHeight="1">
      <c r="A13901" s="2">
        <v>2020.0</v>
      </c>
      <c r="B13901" s="2" t="s">
        <v>54805</v>
      </c>
      <c r="C13901" s="2" t="s">
        <v>54806</v>
      </c>
      <c r="D13901" s="2" t="str">
        <f>"405-780-3153"</f>
        <v>405-780-3153</v>
      </c>
      <c r="E13901" s="2" t="s">
        <v>3878</v>
      </c>
      <c r="F13901" s="2" t="s">
        <v>54807</v>
      </c>
      <c r="G13901" s="2" t="str">
        <f>"SR-17713"</f>
        <v>SR-17713</v>
      </c>
      <c r="H13901" s="2" t="s">
        <v>54808</v>
      </c>
      <c r="I13901" s="2" t="s">
        <v>54809</v>
      </c>
      <c r="K13901" s="2" t="s">
        <v>11711</v>
      </c>
      <c r="L13901" s="2" t="s">
        <v>840</v>
      </c>
      <c r="M13901" s="2">
        <v>74074.0</v>
      </c>
      <c r="N13901" s="2" t="s">
        <v>21</v>
      </c>
    </row>
    <row r="13902" ht="15.75" customHeight="1">
      <c r="A13902" s="2">
        <v>2020.0</v>
      </c>
      <c r="B13902" s="2" t="s">
        <v>54810</v>
      </c>
      <c r="C13902" s="2" t="s">
        <v>54810</v>
      </c>
      <c r="D13902" s="2" t="str">
        <f>"719-640-1872"</f>
        <v>719-640-1872</v>
      </c>
      <c r="E13902" s="2" t="s">
        <v>1810</v>
      </c>
      <c r="F13902" s="2" t="s">
        <v>54811</v>
      </c>
      <c r="G13902" s="2" t="str">
        <f>"SR-20379"</f>
        <v>SR-20379</v>
      </c>
      <c r="H13902" s="2" t="s">
        <v>54812</v>
      </c>
      <c r="I13902" s="2" t="s">
        <v>54813</v>
      </c>
      <c r="K13902" s="2" t="s">
        <v>4803</v>
      </c>
      <c r="L13902" s="2" t="s">
        <v>344</v>
      </c>
      <c r="M13902" s="2">
        <v>44286.0</v>
      </c>
      <c r="N13902" s="2" t="s">
        <v>21</v>
      </c>
    </row>
    <row r="13903" ht="15.75" customHeight="1">
      <c r="A13903" s="2">
        <v>2020.0</v>
      </c>
      <c r="B13903" s="2" t="s">
        <v>54814</v>
      </c>
      <c r="C13903" s="2" t="s">
        <v>54814</v>
      </c>
      <c r="D13903" s="2" t="str">
        <f>"9803492425"</f>
        <v>9803492425</v>
      </c>
      <c r="E13903" s="2" t="s">
        <v>1088</v>
      </c>
      <c r="F13903" s="2" t="s">
        <v>54815</v>
      </c>
      <c r="G13903" s="2" t="str">
        <f>"SR-20384"</f>
        <v>SR-20384</v>
      </c>
      <c r="H13903" s="2" t="s">
        <v>54816</v>
      </c>
      <c r="I13903" s="2" t="s">
        <v>54817</v>
      </c>
      <c r="K13903" s="2" t="s">
        <v>29754</v>
      </c>
      <c r="L13903" s="2" t="s">
        <v>55</v>
      </c>
      <c r="M13903" s="2">
        <v>29732.0</v>
      </c>
      <c r="N13903" s="2" t="s">
        <v>21</v>
      </c>
    </row>
    <row r="13904" ht="15.75" customHeight="1">
      <c r="A13904" s="2">
        <v>2020.0</v>
      </c>
      <c r="B13904" s="2" t="s">
        <v>54818</v>
      </c>
      <c r="C13904" s="2" t="s">
        <v>54819</v>
      </c>
      <c r="D13904" s="2" t="str">
        <f>"3095029510"</f>
        <v>3095029510</v>
      </c>
      <c r="E13904" s="2" t="s">
        <v>705</v>
      </c>
      <c r="F13904" s="2" t="s">
        <v>39902</v>
      </c>
      <c r="G13904" s="2" t="str">
        <f>"SR-20386"</f>
        <v>SR-20386</v>
      </c>
      <c r="H13904" s="2" t="s">
        <v>54820</v>
      </c>
      <c r="I13904" s="2" t="s">
        <v>54821</v>
      </c>
      <c r="K13904" s="2" t="s">
        <v>13224</v>
      </c>
      <c r="L13904" s="2" t="s">
        <v>105</v>
      </c>
      <c r="M13904" s="2">
        <v>61254.0</v>
      </c>
      <c r="N13904" s="2" t="s">
        <v>21</v>
      </c>
    </row>
    <row r="13905" ht="15.75" customHeight="1">
      <c r="A13905" s="2">
        <v>2020.0</v>
      </c>
      <c r="B13905" s="2" t="s">
        <v>54822</v>
      </c>
      <c r="C13905" s="2" t="s">
        <v>54823</v>
      </c>
      <c r="D13905" s="2" t="str">
        <f>"6512316298"</f>
        <v>6512316298</v>
      </c>
      <c r="E13905" s="2" t="s">
        <v>4968</v>
      </c>
      <c r="F13905" s="2" t="s">
        <v>54824</v>
      </c>
      <c r="G13905" s="2" t="str">
        <f>"SR-20387"</f>
        <v>SR-20387</v>
      </c>
      <c r="H13905" s="2" t="s">
        <v>54825</v>
      </c>
      <c r="I13905" s="2" t="s">
        <v>54826</v>
      </c>
      <c r="K13905" s="2" t="s">
        <v>54827</v>
      </c>
      <c r="L13905" s="2" t="s">
        <v>19930</v>
      </c>
      <c r="M13905" s="2">
        <v>3878.0</v>
      </c>
      <c r="N13905" s="2" t="s">
        <v>21</v>
      </c>
    </row>
    <row r="13906" ht="15.75" customHeight="1">
      <c r="A13906" s="2">
        <v>2020.0</v>
      </c>
      <c r="B13906" s="2" t="s">
        <v>54828</v>
      </c>
      <c r="C13906" s="2" t="s">
        <v>54828</v>
      </c>
      <c r="D13906" s="2" t="str">
        <f>"(336) 456-5028"</f>
        <v>(336) 456-5028</v>
      </c>
      <c r="E13906" s="2" t="s">
        <v>54829</v>
      </c>
      <c r="F13906" s="2" t="s">
        <v>16086</v>
      </c>
      <c r="G13906" s="2" t="str">
        <f>"SR-20394"</f>
        <v>SR-20394</v>
      </c>
      <c r="H13906" s="2" t="s">
        <v>54830</v>
      </c>
      <c r="I13906" s="2" t="s">
        <v>54831</v>
      </c>
      <c r="K13906" s="2" t="s">
        <v>7630</v>
      </c>
      <c r="L13906" s="2" t="s">
        <v>20</v>
      </c>
      <c r="M13906" s="2">
        <v>27103.0</v>
      </c>
      <c r="N13906" s="2" t="s">
        <v>54832</v>
      </c>
    </row>
    <row r="13907" ht="15.75" customHeight="1">
      <c r="A13907" s="2">
        <v>2020.0</v>
      </c>
      <c r="B13907" s="2" t="s">
        <v>54754</v>
      </c>
      <c r="C13907" s="2" t="s">
        <v>54754</v>
      </c>
      <c r="D13907" s="2" t="str">
        <f>"(608)-515-1566"</f>
        <v>(608)-515-1566</v>
      </c>
      <c r="E13907" s="2" t="s">
        <v>282</v>
      </c>
      <c r="F13907" s="2" t="s">
        <v>10492</v>
      </c>
      <c r="G13907" s="2" t="str">
        <f>"SR-20359"</f>
        <v>SR-20359</v>
      </c>
      <c r="H13907" s="2" t="s">
        <v>54755</v>
      </c>
      <c r="I13907" s="2" t="s">
        <v>54756</v>
      </c>
      <c r="K13907" s="2" t="s">
        <v>54757</v>
      </c>
      <c r="L13907" s="2" t="s">
        <v>193</v>
      </c>
      <c r="M13907" s="2">
        <v>53593.0</v>
      </c>
      <c r="N13907" s="2" t="s">
        <v>21</v>
      </c>
    </row>
    <row r="13908" ht="15.75" customHeight="1">
      <c r="A13908" s="2">
        <v>2020.0</v>
      </c>
      <c r="B13908" s="2" t="s">
        <v>54833</v>
      </c>
      <c r="C13908" s="2" t="s">
        <v>54834</v>
      </c>
      <c r="D13908" s="2" t="str">
        <f>"4133648274"</f>
        <v>4133648274</v>
      </c>
      <c r="E13908" s="2" t="s">
        <v>3597</v>
      </c>
      <c r="F13908" s="2" t="s">
        <v>54835</v>
      </c>
      <c r="G13908" s="2" t="str">
        <f>"SR-20398"</f>
        <v>SR-20398</v>
      </c>
      <c r="H13908" s="2" t="s">
        <v>54836</v>
      </c>
      <c r="I13908" s="2" t="s">
        <v>54837</v>
      </c>
      <c r="K13908" s="2" t="s">
        <v>3239</v>
      </c>
      <c r="L13908" s="2" t="s">
        <v>4108</v>
      </c>
      <c r="M13908" s="2">
        <v>1109.0</v>
      </c>
      <c r="N13908" s="2" t="s">
        <v>21</v>
      </c>
    </row>
    <row r="13909" ht="15.75" customHeight="1">
      <c r="A13909" s="2">
        <v>2020.0</v>
      </c>
      <c r="B13909" s="2" t="s">
        <v>54838</v>
      </c>
      <c r="C13909" s="2" t="s">
        <v>54839</v>
      </c>
      <c r="D13909" s="2" t="str">
        <f>"6309736033"</f>
        <v>6309736033</v>
      </c>
      <c r="E13909" s="2" t="s">
        <v>144</v>
      </c>
      <c r="F13909" s="2" t="s">
        <v>9139</v>
      </c>
      <c r="G13909" s="2" t="str">
        <f>"SR-20172"</f>
        <v>SR-20172</v>
      </c>
      <c r="H13909" s="2" t="s">
        <v>54840</v>
      </c>
      <c r="I13909" s="2" t="s">
        <v>54841</v>
      </c>
      <c r="K13909" s="2" t="s">
        <v>54842</v>
      </c>
      <c r="L13909" s="2" t="s">
        <v>172</v>
      </c>
      <c r="M13909" s="2">
        <v>78163.0</v>
      </c>
      <c r="N13909" s="2" t="s">
        <v>21</v>
      </c>
    </row>
    <row r="13910" ht="15.75" customHeight="1">
      <c r="A13910" s="2">
        <v>2020.0</v>
      </c>
      <c r="B13910" s="2" t="s">
        <v>54843</v>
      </c>
      <c r="C13910" s="2" t="s">
        <v>54843</v>
      </c>
      <c r="D13910" s="2" t="str">
        <f>"2532733367"</f>
        <v>2532733367</v>
      </c>
      <c r="E13910" s="2" t="s">
        <v>54844</v>
      </c>
      <c r="F13910" s="2" t="s">
        <v>10566</v>
      </c>
      <c r="G13910" s="2" t="str">
        <f>"SR-20403"</f>
        <v>SR-20403</v>
      </c>
      <c r="H13910" s="2" t="s">
        <v>54845</v>
      </c>
      <c r="I13910" s="2" t="s">
        <v>54846</v>
      </c>
      <c r="K13910" s="2" t="s">
        <v>21251</v>
      </c>
      <c r="L13910" s="2" t="s">
        <v>86</v>
      </c>
      <c r="M13910" s="2">
        <v>98390.0</v>
      </c>
      <c r="N13910" s="2" t="s">
        <v>21</v>
      </c>
    </row>
    <row r="13911" ht="15.75" customHeight="1">
      <c r="A13911" s="2">
        <v>2020.0</v>
      </c>
      <c r="B13911" s="2" t="s">
        <v>54847</v>
      </c>
      <c r="C13911" s="2" t="s">
        <v>54847</v>
      </c>
      <c r="D13911" s="2" t="str">
        <f>"423-585-7096"</f>
        <v>423-585-7096</v>
      </c>
      <c r="E13911" s="2" t="s">
        <v>385</v>
      </c>
      <c r="F13911" s="2" t="s">
        <v>4516</v>
      </c>
      <c r="G13911" s="2" t="str">
        <f>"SR-20405"</f>
        <v>SR-20405</v>
      </c>
      <c r="H13911" s="2" t="s">
        <v>54848</v>
      </c>
      <c r="I13911" s="2" t="s">
        <v>54849</v>
      </c>
      <c r="K13911" s="2" t="s">
        <v>54850</v>
      </c>
      <c r="L13911" s="2" t="s">
        <v>165</v>
      </c>
      <c r="M13911" s="2">
        <v>37713.0</v>
      </c>
      <c r="N13911" s="2" t="s">
        <v>21</v>
      </c>
    </row>
    <row r="13912" ht="15.75" customHeight="1">
      <c r="A13912" s="2">
        <v>2020.0</v>
      </c>
      <c r="B13912" s="2" t="s">
        <v>54851</v>
      </c>
      <c r="C13912" s="2" t="s">
        <v>54852</v>
      </c>
      <c r="D13912" s="2" t="str">
        <f>"7855513604"</f>
        <v>7855513604</v>
      </c>
      <c r="E13912" s="2" t="s">
        <v>2162</v>
      </c>
      <c r="F13912" s="2" t="s">
        <v>20196</v>
      </c>
      <c r="G13912" s="2" t="str">
        <f>"SR-20415"</f>
        <v>SR-20415</v>
      </c>
      <c r="H13912" s="2" t="s">
        <v>54853</v>
      </c>
      <c r="I13912" s="2" t="s">
        <v>54854</v>
      </c>
      <c r="K13912" s="2" t="s">
        <v>2725</v>
      </c>
      <c r="L13912" s="2" t="s">
        <v>272</v>
      </c>
      <c r="M13912" s="2">
        <v>66046.0</v>
      </c>
      <c r="N13912" s="2" t="s">
        <v>21</v>
      </c>
    </row>
    <row r="13913" ht="15.75" customHeight="1">
      <c r="A13913" s="2">
        <v>2020.0</v>
      </c>
      <c r="B13913" s="2" t="s">
        <v>54855</v>
      </c>
      <c r="C13913" s="2" t="s">
        <v>54856</v>
      </c>
      <c r="D13913" s="2" t="str">
        <f>"7064996401"</f>
        <v>7064996401</v>
      </c>
      <c r="E13913" s="2" t="s">
        <v>6202</v>
      </c>
      <c r="F13913" s="2" t="s">
        <v>54857</v>
      </c>
      <c r="G13913" s="2" t="str">
        <f>"SR-20401"</f>
        <v>SR-20401</v>
      </c>
      <c r="H13913" s="2" t="s">
        <v>54858</v>
      </c>
      <c r="I13913" s="2" t="s">
        <v>54859</v>
      </c>
      <c r="K13913" s="2" t="s">
        <v>11763</v>
      </c>
      <c r="L13913" s="2" t="s">
        <v>172</v>
      </c>
      <c r="M13913" s="2">
        <v>75160.0</v>
      </c>
      <c r="N13913" s="2" t="s">
        <v>21</v>
      </c>
    </row>
    <row r="13914" ht="15.75" customHeight="1">
      <c r="A13914" s="2">
        <v>2020.0</v>
      </c>
      <c r="B13914" s="2" t="s">
        <v>54860</v>
      </c>
      <c r="C13914" s="2" t="s">
        <v>54860</v>
      </c>
      <c r="D13914" s="2" t="str">
        <f>"8179174923"</f>
        <v>8179174923</v>
      </c>
      <c r="E13914" s="2" t="s">
        <v>5985</v>
      </c>
      <c r="F13914" s="2" t="s">
        <v>784</v>
      </c>
      <c r="G13914" s="2" t="str">
        <f>"SR-20421"</f>
        <v>SR-20421</v>
      </c>
      <c r="H13914" s="2" t="s">
        <v>54861</v>
      </c>
      <c r="I13914" s="2" t="s">
        <v>54862</v>
      </c>
      <c r="K13914" s="2" t="s">
        <v>15291</v>
      </c>
      <c r="L13914" s="2" t="s">
        <v>172</v>
      </c>
      <c r="M13914" s="2">
        <v>76040.0</v>
      </c>
      <c r="N13914" s="2" t="s">
        <v>21</v>
      </c>
    </row>
    <row r="13915" ht="15.75" customHeight="1">
      <c r="A13915" s="2">
        <v>2020.0</v>
      </c>
      <c r="B13915" s="2" t="s">
        <v>54863</v>
      </c>
      <c r="C13915" s="2" t="s">
        <v>54864</v>
      </c>
      <c r="D13915" s="2" t="str">
        <f>"5072545656"</f>
        <v>5072545656</v>
      </c>
      <c r="E13915" s="2" t="s">
        <v>705</v>
      </c>
      <c r="F13915" s="2" t="s">
        <v>54865</v>
      </c>
      <c r="G13915" s="2" t="str">
        <f>"SR-20425"</f>
        <v>SR-20425</v>
      </c>
      <c r="H13915" s="2" t="s">
        <v>54866</v>
      </c>
      <c r="I13915" s="2" t="s">
        <v>54867</v>
      </c>
      <c r="K13915" s="2" t="s">
        <v>2804</v>
      </c>
      <c r="L13915" s="2" t="s">
        <v>62</v>
      </c>
      <c r="M13915" s="2">
        <v>55901.0</v>
      </c>
      <c r="N13915" s="2" t="s">
        <v>21</v>
      </c>
    </row>
    <row r="13916" ht="15.75" customHeight="1">
      <c r="A13916" s="2">
        <v>2020.0</v>
      </c>
      <c r="B13916" s="2" t="s">
        <v>54868</v>
      </c>
      <c r="C13916" s="2" t="s">
        <v>54869</v>
      </c>
      <c r="D13916" s="2" t="str">
        <f>"3162534436"</f>
        <v>3162534436</v>
      </c>
      <c r="E13916" s="2" t="s">
        <v>217</v>
      </c>
      <c r="F13916" s="2" t="s">
        <v>54870</v>
      </c>
      <c r="G13916" s="2" t="str">
        <f>"SR-20354"</f>
        <v>SR-20354</v>
      </c>
      <c r="H13916" s="2" t="s">
        <v>54871</v>
      </c>
      <c r="I13916" s="2" t="s">
        <v>54872</v>
      </c>
      <c r="K13916" s="2" t="s">
        <v>54873</v>
      </c>
      <c r="L13916" s="2" t="s">
        <v>272</v>
      </c>
      <c r="M13916" s="2">
        <v>67123.0</v>
      </c>
      <c r="N13916" s="2" t="s">
        <v>21</v>
      </c>
    </row>
    <row r="13917" ht="15.75" customHeight="1">
      <c r="A13917" s="2">
        <v>2020.0</v>
      </c>
      <c r="B13917" s="2" t="s">
        <v>54874</v>
      </c>
      <c r="C13917" s="2" t="s">
        <v>54874</v>
      </c>
      <c r="D13917" s="2" t="str">
        <f>"7204922166"</f>
        <v>7204922166</v>
      </c>
      <c r="E13917" s="2" t="s">
        <v>49092</v>
      </c>
      <c r="F13917" s="2" t="s">
        <v>54875</v>
      </c>
      <c r="G13917" s="2" t="str">
        <f>"SR-19182"</f>
        <v>SR-19182</v>
      </c>
      <c r="H13917" s="2" t="s">
        <v>54876</v>
      </c>
      <c r="I13917" s="2" t="s">
        <v>54877</v>
      </c>
      <c r="K13917" s="2" t="s">
        <v>1520</v>
      </c>
      <c r="L13917" s="2" t="s">
        <v>157</v>
      </c>
      <c r="M13917" s="2">
        <v>80013.0</v>
      </c>
      <c r="N13917" s="2" t="s">
        <v>21</v>
      </c>
    </row>
    <row r="13918" ht="15.75" customHeight="1">
      <c r="A13918" s="2">
        <v>2020.0</v>
      </c>
      <c r="B13918" s="2" t="s">
        <v>54878</v>
      </c>
      <c r="C13918" s="2" t="s">
        <v>54878</v>
      </c>
      <c r="D13918" s="2" t="str">
        <f>"7203579997"</f>
        <v>7203579997</v>
      </c>
      <c r="E13918" s="2" t="s">
        <v>9558</v>
      </c>
      <c r="F13918" s="2" t="s">
        <v>54879</v>
      </c>
      <c r="G13918" s="2" t="str">
        <f>"SR-20389"</f>
        <v>SR-20389</v>
      </c>
      <c r="H13918" s="2" t="s">
        <v>54880</v>
      </c>
      <c r="I13918" s="2" t="s">
        <v>54881</v>
      </c>
      <c r="K13918" s="2" t="s">
        <v>17147</v>
      </c>
      <c r="L13918" s="2" t="s">
        <v>157</v>
      </c>
      <c r="M13918" s="2">
        <v>80603.0</v>
      </c>
      <c r="N13918" s="2" t="s">
        <v>21</v>
      </c>
    </row>
    <row r="13919" ht="15.75" customHeight="1">
      <c r="A13919" s="2">
        <v>2020.0</v>
      </c>
      <c r="B13919" s="2" t="s">
        <v>54882</v>
      </c>
      <c r="C13919" s="2" t="s">
        <v>54882</v>
      </c>
      <c r="D13919" s="2" t="str">
        <f>"5875787175"</f>
        <v>5875787175</v>
      </c>
      <c r="E13919" s="2" t="s">
        <v>7145</v>
      </c>
      <c r="F13919" s="2" t="s">
        <v>950</v>
      </c>
      <c r="G13919" s="2" t="str">
        <f>"SR-20419"</f>
        <v>SR-20419</v>
      </c>
      <c r="H13919" s="2" t="s">
        <v>54883</v>
      </c>
      <c r="I13919" s="2" t="s">
        <v>54884</v>
      </c>
      <c r="K13919" s="2" t="s">
        <v>6725</v>
      </c>
      <c r="L13919" s="2" t="s">
        <v>6726</v>
      </c>
      <c r="M13919" s="2" t="s">
        <v>54885</v>
      </c>
      <c r="N13919" s="2" t="s">
        <v>1602</v>
      </c>
    </row>
    <row r="13920" ht="15.75" customHeight="1">
      <c r="A13920" s="2">
        <v>2020.0</v>
      </c>
      <c r="B13920" s="2" t="s">
        <v>54886</v>
      </c>
      <c r="C13920" s="2" t="s">
        <v>54886</v>
      </c>
      <c r="D13920" s="2" t="str">
        <f>"5209710904"</f>
        <v>5209710904</v>
      </c>
      <c r="E13920" s="2" t="s">
        <v>3196</v>
      </c>
      <c r="F13920" s="2" t="s">
        <v>2598</v>
      </c>
      <c r="G13920" s="2" t="str">
        <f>"SR-20439"</f>
        <v>SR-20439</v>
      </c>
      <c r="H13920" s="2" t="s">
        <v>54887</v>
      </c>
      <c r="I13920" s="2" t="s">
        <v>54888</v>
      </c>
      <c r="K13920" s="2" t="s">
        <v>5946</v>
      </c>
      <c r="L13920" s="2" t="s">
        <v>422</v>
      </c>
      <c r="M13920" s="2">
        <v>85756.0</v>
      </c>
      <c r="N13920" s="2" t="s">
        <v>21</v>
      </c>
    </row>
    <row r="13921" ht="15.75" customHeight="1">
      <c r="A13921" s="2">
        <v>2020.0</v>
      </c>
      <c r="B13921" s="2" t="s">
        <v>54889</v>
      </c>
      <c r="C13921" s="2" t="s">
        <v>54890</v>
      </c>
      <c r="D13921" s="2" t="str">
        <f>"01049487275"</f>
        <v>01049487275</v>
      </c>
      <c r="E13921" s="2" t="s">
        <v>54891</v>
      </c>
      <c r="F13921" s="2" t="s">
        <v>6824</v>
      </c>
      <c r="G13921" s="2" t="str">
        <f>"SR-20426"</f>
        <v>SR-20426</v>
      </c>
      <c r="H13921" s="2" t="s">
        <v>54892</v>
      </c>
      <c r="I13921" s="2" t="s">
        <v>54893</v>
      </c>
      <c r="J13921" s="2" t="s">
        <v>54894</v>
      </c>
      <c r="K13921" s="2" t="s">
        <v>3135</v>
      </c>
      <c r="L13921" s="2" t="s">
        <v>54895</v>
      </c>
      <c r="M13921" s="2">
        <v>5649.0</v>
      </c>
      <c r="N13921" s="2" t="s">
        <v>1626</v>
      </c>
    </row>
    <row r="13922" ht="15.75" customHeight="1">
      <c r="A13922" s="2">
        <v>2020.0</v>
      </c>
      <c r="B13922" s="2" t="s">
        <v>54896</v>
      </c>
      <c r="C13922" s="2" t="s">
        <v>54897</v>
      </c>
      <c r="D13922" s="2" t="str">
        <f>"(562) 846-1930"</f>
        <v>(562) 846-1930</v>
      </c>
      <c r="E13922" s="2" t="s">
        <v>217</v>
      </c>
      <c r="F13922" s="2" t="s">
        <v>23865</v>
      </c>
      <c r="G13922" s="2" t="str">
        <f>"SR-20440"</f>
        <v>SR-20440</v>
      </c>
      <c r="H13922" s="2" t="s">
        <v>54898</v>
      </c>
      <c r="I13922" s="2" t="s">
        <v>54899</v>
      </c>
      <c r="J13922" s="2" t="s">
        <v>54900</v>
      </c>
      <c r="K13922" s="2" t="s">
        <v>35530</v>
      </c>
      <c r="L13922" s="2" t="s">
        <v>54901</v>
      </c>
      <c r="M13922" s="2">
        <v>50100.0</v>
      </c>
      <c r="N13922" s="2" t="s">
        <v>35531</v>
      </c>
    </row>
    <row r="13923" ht="15.75" customHeight="1">
      <c r="A13923" s="2">
        <v>2020.0</v>
      </c>
      <c r="B13923" s="2" t="s">
        <v>54902</v>
      </c>
      <c r="C13923" s="2" t="s">
        <v>54903</v>
      </c>
      <c r="D13923" s="2" t="str">
        <f>"2108314177"</f>
        <v>2108314177</v>
      </c>
      <c r="E13923" s="2" t="s">
        <v>54904</v>
      </c>
      <c r="F13923" s="2" t="s">
        <v>29938</v>
      </c>
      <c r="G13923" s="2" t="str">
        <f>"SR-20447"</f>
        <v>SR-20447</v>
      </c>
      <c r="H13923" s="2" t="s">
        <v>54905</v>
      </c>
      <c r="I13923" s="2" t="s">
        <v>54906</v>
      </c>
      <c r="K13923" s="2" t="s">
        <v>632</v>
      </c>
      <c r="L13923" s="2" t="s">
        <v>172</v>
      </c>
      <c r="M13923" s="2">
        <v>78245.0</v>
      </c>
      <c r="N13923" s="2" t="s">
        <v>21</v>
      </c>
    </row>
    <row r="13924" ht="15.75" customHeight="1">
      <c r="A13924" s="2">
        <v>2020.0</v>
      </c>
      <c r="B13924" s="2" t="s">
        <v>54907</v>
      </c>
      <c r="C13924" s="2" t="s">
        <v>54908</v>
      </c>
      <c r="D13924" s="2" t="str">
        <f>"9368286345"</f>
        <v>9368286345</v>
      </c>
      <c r="E13924" s="2" t="s">
        <v>9828</v>
      </c>
      <c r="F13924" s="2" t="s">
        <v>29780</v>
      </c>
      <c r="G13924" s="2" t="str">
        <f>"SR-20449"</f>
        <v>SR-20449</v>
      </c>
      <c r="H13924" s="2" t="s">
        <v>54909</v>
      </c>
      <c r="I13924" s="2" t="s">
        <v>54910</v>
      </c>
      <c r="K13924" s="2" t="s">
        <v>9614</v>
      </c>
      <c r="L13924" s="2" t="s">
        <v>172</v>
      </c>
      <c r="M13924" s="2">
        <v>77304.0</v>
      </c>
      <c r="N13924" s="2" t="s">
        <v>21</v>
      </c>
    </row>
    <row r="13925" ht="15.75" customHeight="1">
      <c r="A13925" s="2">
        <v>2020.0</v>
      </c>
      <c r="B13925" s="2" t="s">
        <v>54911</v>
      </c>
      <c r="C13925" s="2" t="s">
        <v>54912</v>
      </c>
      <c r="D13925" s="2" t="str">
        <f>"8165361164"</f>
        <v>8165361164</v>
      </c>
      <c r="E13925" s="2" t="s">
        <v>678</v>
      </c>
      <c r="F13925" s="2" t="s">
        <v>256</v>
      </c>
      <c r="G13925" s="2" t="str">
        <f>"SR-20450"</f>
        <v>SR-20450</v>
      </c>
      <c r="H13925" s="2" t="s">
        <v>54913</v>
      </c>
      <c r="I13925" s="2" t="s">
        <v>54914</v>
      </c>
      <c r="K13925" s="2" t="s">
        <v>41603</v>
      </c>
      <c r="L13925" s="2" t="s">
        <v>344</v>
      </c>
      <c r="M13925" s="2">
        <v>45458.0</v>
      </c>
      <c r="N13925" s="2" t="s">
        <v>21</v>
      </c>
    </row>
    <row r="13926" ht="15.75" customHeight="1">
      <c r="A13926" s="2">
        <v>2020.0</v>
      </c>
      <c r="B13926" s="2" t="s">
        <v>54915</v>
      </c>
      <c r="C13926" s="2" t="s">
        <v>54916</v>
      </c>
      <c r="D13926" s="2" t="str">
        <f>"4233096462"</f>
        <v>4233096462</v>
      </c>
      <c r="E13926" s="2" t="s">
        <v>678</v>
      </c>
      <c r="F13926" s="2" t="s">
        <v>54917</v>
      </c>
      <c r="G13926" s="2" t="str">
        <f>"SR-20404"</f>
        <v>SR-20404</v>
      </c>
      <c r="H13926" s="2" t="s">
        <v>54918</v>
      </c>
      <c r="I13926" s="2" t="s">
        <v>54919</v>
      </c>
      <c r="K13926" s="2" t="s">
        <v>809</v>
      </c>
      <c r="L13926" s="2" t="s">
        <v>157</v>
      </c>
      <c r="M13926" s="2">
        <v>80908.0</v>
      </c>
      <c r="N13926" s="2" t="s">
        <v>21</v>
      </c>
    </row>
    <row r="13927" ht="15.75" customHeight="1">
      <c r="A13927" s="2">
        <v>2020.0</v>
      </c>
      <c r="B13927" s="2" t="s">
        <v>54920</v>
      </c>
      <c r="C13927" s="2" t="s">
        <v>54921</v>
      </c>
      <c r="D13927" s="2" t="str">
        <f>"719-246-2113"</f>
        <v>719-246-2113</v>
      </c>
      <c r="E13927" s="2" t="s">
        <v>1585</v>
      </c>
      <c r="F13927" s="2" t="s">
        <v>54922</v>
      </c>
      <c r="G13927" s="2" t="str">
        <f>"SR-20451"</f>
        <v>SR-20451</v>
      </c>
      <c r="H13927" s="2" t="s">
        <v>54923</v>
      </c>
      <c r="I13927" s="2" t="s">
        <v>54924</v>
      </c>
      <c r="K13927" s="2" t="s">
        <v>809</v>
      </c>
      <c r="L13927" s="2" t="s">
        <v>157</v>
      </c>
      <c r="M13927" s="2">
        <v>80918.0</v>
      </c>
      <c r="N13927" s="2" t="s">
        <v>21</v>
      </c>
    </row>
    <row r="13928" ht="15.75" customHeight="1">
      <c r="A13928" s="2">
        <v>2020.0</v>
      </c>
      <c r="B13928" s="2" t="s">
        <v>54925</v>
      </c>
      <c r="C13928" s="2" t="s">
        <v>54925</v>
      </c>
      <c r="D13928" s="2" t="str">
        <f>"205-999-0485"</f>
        <v>205-999-0485</v>
      </c>
      <c r="E13928" s="2" t="s">
        <v>7476</v>
      </c>
      <c r="F13928" s="2" t="s">
        <v>1151</v>
      </c>
      <c r="G13928" s="2" t="str">
        <f>"SR-20456"</f>
        <v>SR-20456</v>
      </c>
      <c r="H13928" s="2" t="s">
        <v>54926</v>
      </c>
      <c r="I13928" s="2" t="s">
        <v>54927</v>
      </c>
      <c r="K13928" s="2" t="s">
        <v>11007</v>
      </c>
      <c r="L13928" s="2" t="s">
        <v>539</v>
      </c>
      <c r="M13928" s="2">
        <v>35007.0</v>
      </c>
      <c r="N13928" s="2" t="s">
        <v>21</v>
      </c>
    </row>
    <row r="13929" ht="15.75" customHeight="1">
      <c r="A13929" s="2">
        <v>2020.0</v>
      </c>
      <c r="B13929" s="2" t="s">
        <v>54928</v>
      </c>
      <c r="C13929" s="2" t="s">
        <v>54929</v>
      </c>
      <c r="D13929" s="2" t="str">
        <f>"4806990385"</f>
        <v>4806990385</v>
      </c>
      <c r="E13929" s="2" t="s">
        <v>2912</v>
      </c>
      <c r="F13929" s="2" t="s">
        <v>54930</v>
      </c>
      <c r="G13929" s="2" t="str">
        <f>"SR-20452"</f>
        <v>SR-20452</v>
      </c>
      <c r="H13929" s="2" t="s">
        <v>54931</v>
      </c>
      <c r="I13929" s="2" t="s">
        <v>54932</v>
      </c>
      <c r="K13929" s="2" t="s">
        <v>4675</v>
      </c>
      <c r="L13929" s="2" t="s">
        <v>422</v>
      </c>
      <c r="M13929" s="2">
        <v>85233.0</v>
      </c>
      <c r="N13929" s="2" t="s">
        <v>21</v>
      </c>
    </row>
    <row r="13930" ht="15.75" customHeight="1">
      <c r="A13930" s="2">
        <v>2020.0</v>
      </c>
      <c r="B13930" s="2" t="s">
        <v>54933</v>
      </c>
      <c r="C13930" s="2" t="s">
        <v>54933</v>
      </c>
      <c r="D13930" s="2" t="str">
        <f>"704-533-2219"</f>
        <v>704-533-2219</v>
      </c>
      <c r="E13930" s="2" t="s">
        <v>54934</v>
      </c>
      <c r="F13930" s="2" t="s">
        <v>666</v>
      </c>
      <c r="G13930" s="2" t="str">
        <f>"SR-20458"</f>
        <v>SR-20458</v>
      </c>
      <c r="H13930" s="2" t="s">
        <v>54935</v>
      </c>
      <c r="I13930" s="2" t="s">
        <v>54936</v>
      </c>
      <c r="K13930" s="2" t="s">
        <v>19</v>
      </c>
      <c r="L13930" s="2" t="s">
        <v>20</v>
      </c>
      <c r="M13930" s="2">
        <v>28205.0</v>
      </c>
      <c r="N13930" s="2" t="s">
        <v>21</v>
      </c>
    </row>
    <row r="13931" ht="15.75" customHeight="1">
      <c r="A13931" s="2">
        <v>2020.0</v>
      </c>
      <c r="B13931" s="2" t="s">
        <v>54937</v>
      </c>
      <c r="C13931" s="2" t="s">
        <v>54937</v>
      </c>
      <c r="D13931" s="2" t="str">
        <f>"704-635-0525"</f>
        <v>704-635-0525</v>
      </c>
      <c r="E13931" s="2" t="s">
        <v>9924</v>
      </c>
      <c r="F13931" s="2" t="s">
        <v>54938</v>
      </c>
      <c r="G13931" s="2" t="str">
        <f>"SR-20459"</f>
        <v>SR-20459</v>
      </c>
      <c r="H13931" s="2" t="s">
        <v>54939</v>
      </c>
      <c r="I13931" s="2" t="s">
        <v>54940</v>
      </c>
      <c r="K13931" s="2" t="s">
        <v>19</v>
      </c>
      <c r="L13931" s="2" t="s">
        <v>20</v>
      </c>
      <c r="M13931" s="2">
        <v>28270.0</v>
      </c>
      <c r="N13931" s="2" t="s">
        <v>21</v>
      </c>
    </row>
    <row r="13932" ht="15.75" customHeight="1">
      <c r="A13932" s="2">
        <v>2020.0</v>
      </c>
      <c r="B13932" s="2" t="s">
        <v>54941</v>
      </c>
      <c r="C13932" s="2" t="s">
        <v>54942</v>
      </c>
      <c r="D13932" s="2" t="str">
        <f>"6027700470"</f>
        <v>6027700470</v>
      </c>
      <c r="E13932" s="2" t="s">
        <v>51763</v>
      </c>
      <c r="F13932" s="2" t="s">
        <v>42816</v>
      </c>
      <c r="G13932" s="2" t="str">
        <f>"SR-20454"</f>
        <v>SR-20454</v>
      </c>
      <c r="H13932" s="2" t="s">
        <v>54943</v>
      </c>
      <c r="I13932" s="2" t="s">
        <v>54944</v>
      </c>
      <c r="K13932" s="2" t="s">
        <v>2841</v>
      </c>
      <c r="L13932" s="2" t="s">
        <v>422</v>
      </c>
      <c r="M13932" s="2">
        <v>85286.0</v>
      </c>
      <c r="N13932" s="2" t="s">
        <v>21</v>
      </c>
    </row>
    <row r="13933" ht="15.75" customHeight="1">
      <c r="A13933" s="2">
        <v>2020.0</v>
      </c>
      <c r="B13933" s="2" t="s">
        <v>54945</v>
      </c>
      <c r="C13933" s="2" t="s">
        <v>54946</v>
      </c>
      <c r="D13933" s="2" t="str">
        <f>"9202259889"</f>
        <v>9202259889</v>
      </c>
      <c r="E13933" s="2" t="s">
        <v>54947</v>
      </c>
      <c r="F13933" s="2" t="s">
        <v>94</v>
      </c>
      <c r="G13933" s="2" t="str">
        <f>"SR-20464"</f>
        <v>SR-20464</v>
      </c>
      <c r="H13933" s="2" t="s">
        <v>54948</v>
      </c>
      <c r="I13933" s="2" t="s">
        <v>54949</v>
      </c>
      <c r="K13933" s="2" t="s">
        <v>9868</v>
      </c>
      <c r="L13933" s="2" t="s">
        <v>279</v>
      </c>
      <c r="M13933" s="2">
        <v>37027.0</v>
      </c>
      <c r="N13933" s="2" t="s">
        <v>21</v>
      </c>
    </row>
    <row r="13934" ht="15.75" customHeight="1">
      <c r="A13934" s="2">
        <v>2020.0</v>
      </c>
      <c r="B13934" s="2" t="s">
        <v>54950</v>
      </c>
      <c r="C13934" s="2" t="s">
        <v>54951</v>
      </c>
      <c r="D13934" s="2" t="str">
        <f>"9209152238"</f>
        <v>9209152238</v>
      </c>
      <c r="E13934" s="2" t="s">
        <v>54952</v>
      </c>
      <c r="F13934" s="2" t="s">
        <v>94</v>
      </c>
      <c r="G13934" s="2" t="str">
        <f>"SR-20465"</f>
        <v>SR-20465</v>
      </c>
      <c r="H13934" s="2" t="s">
        <v>54953</v>
      </c>
      <c r="I13934" s="2" t="s">
        <v>54949</v>
      </c>
      <c r="K13934" s="2" t="s">
        <v>9868</v>
      </c>
      <c r="L13934" s="2" t="s">
        <v>279</v>
      </c>
      <c r="M13934" s="2">
        <v>37027.0</v>
      </c>
      <c r="N13934" s="2" t="s">
        <v>21</v>
      </c>
    </row>
    <row r="13935" ht="15.75" customHeight="1">
      <c r="A13935" s="2">
        <v>2020.0</v>
      </c>
      <c r="B13935" s="2" t="s">
        <v>54954</v>
      </c>
      <c r="C13935" s="2" t="s">
        <v>54955</v>
      </c>
      <c r="D13935" s="2" t="str">
        <f>"3364390854"</f>
        <v>3364390854</v>
      </c>
      <c r="E13935" s="2" t="s">
        <v>2825</v>
      </c>
      <c r="F13935" s="2" t="s">
        <v>27605</v>
      </c>
      <c r="G13935" s="2" t="str">
        <f>"SR-18631"</f>
        <v>SR-18631</v>
      </c>
      <c r="H13935" s="2" t="s">
        <v>54956</v>
      </c>
      <c r="I13935" s="2" t="s">
        <v>54957</v>
      </c>
      <c r="K13935" s="2" t="s">
        <v>15399</v>
      </c>
      <c r="L13935" s="2" t="s">
        <v>20</v>
      </c>
      <c r="M13935" s="2">
        <v>27249.0</v>
      </c>
      <c r="N13935" s="2" t="s">
        <v>21</v>
      </c>
    </row>
    <row r="13936" ht="15.75" customHeight="1">
      <c r="A13936" s="2">
        <v>2020.0</v>
      </c>
      <c r="B13936" s="2" t="s">
        <v>54958</v>
      </c>
      <c r="C13936" s="2" t="s">
        <v>54958</v>
      </c>
      <c r="D13936" s="2" t="str">
        <f>"5103753980"</f>
        <v>5103753980</v>
      </c>
      <c r="E13936" s="2" t="s">
        <v>1015</v>
      </c>
      <c r="F13936" s="2" t="s">
        <v>54959</v>
      </c>
      <c r="G13936" s="2" t="str">
        <f>"SR-20466"</f>
        <v>SR-20466</v>
      </c>
      <c r="H13936" s="2" t="s">
        <v>54960</v>
      </c>
      <c r="I13936" s="2" t="s">
        <v>54961</v>
      </c>
      <c r="K13936" s="2" t="s">
        <v>7670</v>
      </c>
      <c r="L13936" s="2" t="s">
        <v>222</v>
      </c>
      <c r="M13936" s="2">
        <v>94706.0</v>
      </c>
      <c r="N13936" s="2" t="s">
        <v>21</v>
      </c>
    </row>
    <row r="13937" ht="15.75" customHeight="1">
      <c r="A13937" s="2">
        <v>2020.0</v>
      </c>
      <c r="B13937" s="2" t="s">
        <v>54962</v>
      </c>
      <c r="C13937" s="2" t="s">
        <v>54962</v>
      </c>
      <c r="D13937" s="2" t="str">
        <f>"03209404648"</f>
        <v>03209404648</v>
      </c>
      <c r="E13937" s="2" t="s">
        <v>54963</v>
      </c>
      <c r="F13937" s="2" t="s">
        <v>54964</v>
      </c>
      <c r="G13937" s="2" t="str">
        <f>"SR-20443"</f>
        <v>SR-20443</v>
      </c>
      <c r="H13937" s="2" t="s">
        <v>54965</v>
      </c>
      <c r="I13937" s="2" t="s">
        <v>54966</v>
      </c>
      <c r="K13937" s="2" t="s">
        <v>54967</v>
      </c>
      <c r="L13937" s="2" t="s">
        <v>54782</v>
      </c>
      <c r="M13937" s="2">
        <v>55050.0</v>
      </c>
      <c r="N13937" s="2" t="s">
        <v>54783</v>
      </c>
    </row>
    <row r="13938" ht="15.75" customHeight="1">
      <c r="A13938" s="2">
        <v>2020.0</v>
      </c>
      <c r="B13938" s="2" t="s">
        <v>54968</v>
      </c>
      <c r="C13938" s="2" t="s">
        <v>54968</v>
      </c>
      <c r="D13938" s="2" t="str">
        <f>"8595839254"</f>
        <v>8595839254</v>
      </c>
      <c r="E13938" s="2" t="s">
        <v>100</v>
      </c>
      <c r="F13938" s="2" t="s">
        <v>40334</v>
      </c>
      <c r="G13938" s="2" t="str">
        <f>"SR-20470"</f>
        <v>SR-20470</v>
      </c>
      <c r="H13938" s="2" t="s">
        <v>54969</v>
      </c>
      <c r="I13938" s="2" t="s">
        <v>54970</v>
      </c>
      <c r="K13938" s="2" t="s">
        <v>17916</v>
      </c>
      <c r="L13938" s="2" t="s">
        <v>1236</v>
      </c>
      <c r="M13938" s="2">
        <v>40422.0</v>
      </c>
      <c r="N13938" s="2" t="s">
        <v>21</v>
      </c>
    </row>
    <row r="13939" ht="15.75" customHeight="1">
      <c r="A13939" s="2">
        <v>2020.0</v>
      </c>
      <c r="B13939" s="2" t="s">
        <v>54971</v>
      </c>
      <c r="C13939" s="2" t="s">
        <v>54972</v>
      </c>
      <c r="D13939" s="2" t="str">
        <f>"6063099083"</f>
        <v>6063099083</v>
      </c>
      <c r="E13939" s="2" t="s">
        <v>678</v>
      </c>
      <c r="F13939" s="2" t="s">
        <v>2648</v>
      </c>
      <c r="G13939" s="2" t="str">
        <f>"SR-20476"</f>
        <v>SR-20476</v>
      </c>
      <c r="H13939" s="2" t="s">
        <v>54973</v>
      </c>
      <c r="I13939" s="2" t="s">
        <v>54974</v>
      </c>
      <c r="K13939" s="2" t="s">
        <v>23501</v>
      </c>
      <c r="L13939" s="2" t="s">
        <v>1236</v>
      </c>
      <c r="M13939" s="2">
        <v>42503.0</v>
      </c>
      <c r="N13939" s="2" t="s">
        <v>21</v>
      </c>
    </row>
    <row r="13940" ht="15.75" customHeight="1">
      <c r="A13940" s="2">
        <v>2020.0</v>
      </c>
      <c r="B13940" s="2" t="s">
        <v>51630</v>
      </c>
      <c r="C13940" s="2" t="s">
        <v>51631</v>
      </c>
      <c r="D13940" s="2" t="str">
        <f>"2059080227"</f>
        <v>2059080227</v>
      </c>
      <c r="E13940" s="2" t="s">
        <v>385</v>
      </c>
      <c r="F13940" s="2" t="s">
        <v>13554</v>
      </c>
      <c r="G13940" s="2" t="str">
        <f>"SR-20478"</f>
        <v>SR-20478</v>
      </c>
      <c r="H13940" s="2" t="s">
        <v>51632</v>
      </c>
      <c r="I13940" s="2" t="s">
        <v>51633</v>
      </c>
      <c r="K13940" s="2" t="s">
        <v>3103</v>
      </c>
      <c r="L13940" s="2" t="s">
        <v>272</v>
      </c>
      <c r="M13940" s="2">
        <v>66221.0</v>
      </c>
      <c r="N13940" s="2" t="s">
        <v>21</v>
      </c>
    </row>
    <row r="13941" ht="15.75" customHeight="1">
      <c r="A13941" s="2">
        <v>2020.0</v>
      </c>
      <c r="B13941" s="2" t="s">
        <v>33837</v>
      </c>
      <c r="C13941" s="2" t="s">
        <v>54975</v>
      </c>
      <c r="D13941" s="2" t="str">
        <f>"503-446-1046"</f>
        <v>503-446-1046</v>
      </c>
      <c r="E13941" s="2" t="s">
        <v>6718</v>
      </c>
      <c r="F13941" s="2" t="s">
        <v>33839</v>
      </c>
      <c r="G13941" s="2" t="str">
        <f>"SR-20487"</f>
        <v>SR-20487</v>
      </c>
      <c r="H13941" s="2" t="s">
        <v>54976</v>
      </c>
      <c r="I13941" s="2" t="s">
        <v>54977</v>
      </c>
      <c r="K13941" s="2" t="s">
        <v>54978</v>
      </c>
      <c r="N13941" s="2" t="s">
        <v>33843</v>
      </c>
    </row>
    <row r="13942" ht="15.75" customHeight="1">
      <c r="A13942" s="2">
        <v>2020.0</v>
      </c>
      <c r="B13942" s="2" t="s">
        <v>54979</v>
      </c>
      <c r="C13942" s="2" t="s">
        <v>54979</v>
      </c>
      <c r="D13942" s="2" t="str">
        <f>"937-570-7927"</f>
        <v>937-570-7927</v>
      </c>
      <c r="E13942" s="2" t="s">
        <v>137</v>
      </c>
      <c r="F13942" s="2" t="s">
        <v>17018</v>
      </c>
      <c r="G13942" s="2" t="str">
        <f>"SR-20488"</f>
        <v>SR-20488</v>
      </c>
      <c r="H13942" s="2" t="s">
        <v>54980</v>
      </c>
      <c r="I13942" s="2" t="s">
        <v>54981</v>
      </c>
      <c r="K13942" s="2" t="s">
        <v>4115</v>
      </c>
      <c r="L13942" s="2" t="s">
        <v>344</v>
      </c>
      <c r="M13942" s="2">
        <v>45373.0</v>
      </c>
      <c r="N13942" s="2" t="s">
        <v>21</v>
      </c>
    </row>
    <row r="13943" ht="15.75" customHeight="1">
      <c r="A13943" s="2">
        <v>2020.0</v>
      </c>
      <c r="B13943" s="2" t="s">
        <v>54982</v>
      </c>
      <c r="C13943" s="2" t="s">
        <v>54983</v>
      </c>
      <c r="D13943" s="2" t="str">
        <f>"704-614-0732"</f>
        <v>704-614-0732</v>
      </c>
      <c r="E13943" s="2" t="s">
        <v>20759</v>
      </c>
      <c r="F13943" s="2" t="s">
        <v>1101</v>
      </c>
      <c r="G13943" s="2" t="str">
        <f>"SR-20460"</f>
        <v>SR-20460</v>
      </c>
      <c r="H13943" s="2" t="s">
        <v>54984</v>
      </c>
      <c r="I13943" s="2" t="s">
        <v>54985</v>
      </c>
      <c r="K13943" s="2" t="s">
        <v>9684</v>
      </c>
      <c r="L13943" s="2" t="s">
        <v>20</v>
      </c>
      <c r="M13943" s="2">
        <v>28031.0</v>
      </c>
      <c r="N13943" s="2" t="s">
        <v>21</v>
      </c>
    </row>
    <row r="13944" ht="15.75" customHeight="1">
      <c r="A13944" s="2">
        <v>2020.0</v>
      </c>
      <c r="B13944" s="2" t="s">
        <v>54986</v>
      </c>
      <c r="C13944" s="2" t="s">
        <v>54986</v>
      </c>
      <c r="D13944" s="2" t="str">
        <f>"7049635778"</f>
        <v>7049635778</v>
      </c>
      <c r="E13944" s="2" t="s">
        <v>54987</v>
      </c>
      <c r="F13944" s="2" t="s">
        <v>7466</v>
      </c>
      <c r="G13944" s="2" t="str">
        <f>"SR-20490"</f>
        <v>SR-20490</v>
      </c>
      <c r="H13944" s="2" t="s">
        <v>54988</v>
      </c>
      <c r="I13944" s="2" t="s">
        <v>54989</v>
      </c>
      <c r="K13944" s="2" t="s">
        <v>40422</v>
      </c>
      <c r="L13944" s="2" t="s">
        <v>55</v>
      </c>
      <c r="M13944" s="2">
        <v>29715.0</v>
      </c>
      <c r="N13944" s="2" t="s">
        <v>21</v>
      </c>
    </row>
    <row r="13945" ht="15.75" customHeight="1">
      <c r="A13945" s="2">
        <v>2020.0</v>
      </c>
      <c r="B13945" s="2" t="s">
        <v>54990</v>
      </c>
      <c r="C13945" s="2" t="s">
        <v>54990</v>
      </c>
      <c r="D13945" s="2" t="str">
        <f>"7049637759"</f>
        <v>7049637759</v>
      </c>
      <c r="E13945" s="2" t="s">
        <v>705</v>
      </c>
      <c r="F13945" s="2" t="s">
        <v>7466</v>
      </c>
      <c r="G13945" s="2" t="str">
        <f>"SR-20462"</f>
        <v>SR-20462</v>
      </c>
      <c r="H13945" s="2" t="s">
        <v>54991</v>
      </c>
      <c r="I13945" s="2" t="s">
        <v>54989</v>
      </c>
      <c r="K13945" s="2" t="s">
        <v>40422</v>
      </c>
      <c r="L13945" s="2" t="s">
        <v>55</v>
      </c>
      <c r="M13945" s="2">
        <v>29715.0</v>
      </c>
      <c r="N13945" s="2" t="s">
        <v>21</v>
      </c>
    </row>
    <row r="13946" ht="15.75" customHeight="1">
      <c r="A13946" s="2">
        <v>2020.0</v>
      </c>
      <c r="B13946" s="2" t="s">
        <v>54992</v>
      </c>
      <c r="C13946" s="2" t="s">
        <v>54993</v>
      </c>
      <c r="D13946" s="2" t="str">
        <f>"9133812285"</f>
        <v>9133812285</v>
      </c>
      <c r="E13946" s="2" t="s">
        <v>580</v>
      </c>
      <c r="F13946" s="2" t="s">
        <v>54994</v>
      </c>
      <c r="G13946" s="2" t="str">
        <f>"SR-13212"</f>
        <v>SR-13212</v>
      </c>
      <c r="H13946" s="2" t="s">
        <v>54995</v>
      </c>
      <c r="I13946" s="2" t="s">
        <v>54996</v>
      </c>
      <c r="K13946" s="2" t="s">
        <v>3103</v>
      </c>
      <c r="L13946" s="2" t="s">
        <v>272</v>
      </c>
      <c r="M13946" s="2">
        <v>66207.0</v>
      </c>
      <c r="N13946" s="2" t="s">
        <v>21</v>
      </c>
    </row>
    <row r="13947" ht="15.75" customHeight="1">
      <c r="A13947" s="2">
        <v>2020.0</v>
      </c>
      <c r="B13947" s="2" t="s">
        <v>54997</v>
      </c>
      <c r="D13947" s="2" t="str">
        <f>""</f>
        <v/>
      </c>
      <c r="E13947" s="2" t="s">
        <v>35648</v>
      </c>
      <c r="F13947" s="2" t="s">
        <v>54998</v>
      </c>
      <c r="G13947" s="2" t="str">
        <f>"SR-20493"</f>
        <v>SR-20493</v>
      </c>
      <c r="H13947" s="2" t="s">
        <v>54999</v>
      </c>
      <c r="N13947" s="2" t="s">
        <v>21</v>
      </c>
    </row>
    <row r="13948" ht="15.75" customHeight="1">
      <c r="A13948" s="2">
        <v>2020.0</v>
      </c>
      <c r="B13948" s="2" t="s">
        <v>55000</v>
      </c>
      <c r="C13948" s="2" t="s">
        <v>55001</v>
      </c>
      <c r="D13948" s="2" t="str">
        <f>"8046830447"</f>
        <v>8046830447</v>
      </c>
      <c r="E13948" s="2" t="s">
        <v>55002</v>
      </c>
      <c r="F13948" s="2" t="s">
        <v>5895</v>
      </c>
      <c r="G13948" s="2" t="str">
        <f>"SR-20494"</f>
        <v>SR-20494</v>
      </c>
      <c r="H13948" s="2" t="s">
        <v>55003</v>
      </c>
      <c r="I13948" s="2" t="s">
        <v>55004</v>
      </c>
      <c r="K13948" s="2" t="s">
        <v>7966</v>
      </c>
      <c r="L13948" s="2" t="s">
        <v>165</v>
      </c>
      <c r="M13948" s="2">
        <v>23060.0</v>
      </c>
      <c r="N13948" s="2" t="s">
        <v>21</v>
      </c>
    </row>
    <row r="13949" ht="15.75" customHeight="1">
      <c r="A13949" s="2">
        <v>2020.0</v>
      </c>
      <c r="B13949" s="2" t="s">
        <v>55005</v>
      </c>
      <c r="C13949" s="2" t="s">
        <v>55006</v>
      </c>
      <c r="D13949" s="2" t="str">
        <f t="shared" ref="D13949:D13950" si="237">"7697982430"</f>
        <v>7697982430</v>
      </c>
      <c r="E13949" s="2" t="s">
        <v>55007</v>
      </c>
      <c r="F13949" s="2" t="s">
        <v>55008</v>
      </c>
      <c r="G13949" s="2" t="str">
        <f>"SR-20376"</f>
        <v>SR-20376</v>
      </c>
      <c r="H13949" s="2" t="s">
        <v>55009</v>
      </c>
      <c r="I13949" s="2" t="s">
        <v>55010</v>
      </c>
      <c r="K13949" s="2" t="s">
        <v>1257</v>
      </c>
      <c r="L13949" s="2" t="s">
        <v>1722</v>
      </c>
      <c r="M13949" s="2">
        <v>39202.0</v>
      </c>
      <c r="N13949" s="2" t="s">
        <v>21</v>
      </c>
    </row>
    <row r="13950" ht="15.75" customHeight="1">
      <c r="A13950" s="2">
        <v>2020.0</v>
      </c>
      <c r="B13950" s="2" t="s">
        <v>55005</v>
      </c>
      <c r="C13950" s="2" t="s">
        <v>55011</v>
      </c>
      <c r="D13950" s="2" t="str">
        <f t="shared" si="237"/>
        <v>7697982430</v>
      </c>
      <c r="E13950" s="2" t="s">
        <v>55012</v>
      </c>
      <c r="F13950" s="2" t="s">
        <v>55008</v>
      </c>
      <c r="G13950" s="2" t="str">
        <f>"SR-20491"</f>
        <v>SR-20491</v>
      </c>
      <c r="H13950" s="2" t="s">
        <v>55013</v>
      </c>
      <c r="I13950" s="2" t="s">
        <v>55010</v>
      </c>
      <c r="K13950" s="2" t="s">
        <v>1257</v>
      </c>
      <c r="L13950" s="2" t="s">
        <v>1722</v>
      </c>
      <c r="M13950" s="2">
        <v>39202.0</v>
      </c>
      <c r="N13950" s="2" t="s">
        <v>21</v>
      </c>
    </row>
    <row r="13951" ht="15.75" customHeight="1">
      <c r="A13951" s="2">
        <v>2020.0</v>
      </c>
      <c r="B13951" s="2" t="s">
        <v>55014</v>
      </c>
      <c r="C13951" s="2" t="s">
        <v>55015</v>
      </c>
      <c r="D13951" s="2" t="str">
        <f>"704-618-8580"</f>
        <v>704-618-8580</v>
      </c>
      <c r="E13951" s="2" t="s">
        <v>6606</v>
      </c>
      <c r="F13951" s="2" t="s">
        <v>1257</v>
      </c>
      <c r="G13951" s="2" t="str">
        <f>"SR-20498"</f>
        <v>SR-20498</v>
      </c>
      <c r="H13951" s="2" t="s">
        <v>55016</v>
      </c>
      <c r="I13951" s="2" t="s">
        <v>55017</v>
      </c>
      <c r="K13951" s="2" t="s">
        <v>19</v>
      </c>
      <c r="L13951" s="2" t="s">
        <v>20</v>
      </c>
      <c r="M13951" s="2">
        <v>28269.0</v>
      </c>
      <c r="N13951" s="2" t="s">
        <v>21</v>
      </c>
    </row>
    <row r="13952" ht="15.75" customHeight="1">
      <c r="A13952" s="2">
        <v>2020.0</v>
      </c>
      <c r="B13952" s="2" t="s">
        <v>55018</v>
      </c>
      <c r="C13952" s="2" t="s">
        <v>55019</v>
      </c>
      <c r="D13952" s="2" t="str">
        <f>"480-521-1526"</f>
        <v>480-521-1526</v>
      </c>
      <c r="E13952" s="2" t="s">
        <v>1548</v>
      </c>
      <c r="F13952" s="2" t="s">
        <v>54663</v>
      </c>
      <c r="G13952" s="2" t="str">
        <f>"SR-20503"</f>
        <v>SR-20503</v>
      </c>
      <c r="H13952" s="2" t="s">
        <v>55020</v>
      </c>
      <c r="I13952" s="2" t="s">
        <v>55021</v>
      </c>
      <c r="K13952" s="2" t="s">
        <v>5531</v>
      </c>
      <c r="L13952" s="2" t="s">
        <v>422</v>
      </c>
      <c r="M13952" s="2">
        <v>85206.0</v>
      </c>
      <c r="N13952" s="2" t="s">
        <v>21</v>
      </c>
    </row>
    <row r="13953" ht="15.75" customHeight="1">
      <c r="A13953" s="2">
        <v>2020.0</v>
      </c>
      <c r="B13953" s="2" t="s">
        <v>55022</v>
      </c>
      <c r="C13953" s="2" t="s">
        <v>55023</v>
      </c>
      <c r="D13953" s="2" t="str">
        <f>"8508182234"</f>
        <v>8508182234</v>
      </c>
      <c r="E13953" s="2" t="s">
        <v>3269</v>
      </c>
      <c r="F13953" s="2" t="s">
        <v>962</v>
      </c>
      <c r="G13953" s="2" t="str">
        <f>"SR-19579"</f>
        <v>SR-19579</v>
      </c>
      <c r="H13953" s="2" t="s">
        <v>55024</v>
      </c>
      <c r="I13953" s="2" t="s">
        <v>55025</v>
      </c>
      <c r="K13953" s="2" t="s">
        <v>55026</v>
      </c>
      <c r="L13953" s="2" t="s">
        <v>208</v>
      </c>
      <c r="M13953" s="2">
        <v>32409.0</v>
      </c>
      <c r="N13953" s="2" t="s">
        <v>21</v>
      </c>
    </row>
    <row r="13954" ht="15.75" customHeight="1">
      <c r="A13954" s="2">
        <v>2020.0</v>
      </c>
      <c r="B13954" s="2" t="s">
        <v>55027</v>
      </c>
      <c r="C13954" s="2" t="s">
        <v>55028</v>
      </c>
      <c r="D13954" s="2" t="str">
        <f>"2404466971"</f>
        <v>2404466971</v>
      </c>
      <c r="E13954" s="2" t="s">
        <v>5248</v>
      </c>
      <c r="F13954" s="2" t="s">
        <v>55029</v>
      </c>
      <c r="G13954" s="2" t="str">
        <f>"SR-20510"</f>
        <v>SR-20510</v>
      </c>
      <c r="H13954" s="2" t="s">
        <v>55030</v>
      </c>
      <c r="I13954" s="2" t="s">
        <v>55031</v>
      </c>
      <c r="K13954" s="2" t="s">
        <v>1593</v>
      </c>
      <c r="L13954" s="2" t="s">
        <v>422</v>
      </c>
      <c r="M13954" s="2">
        <v>85255.0</v>
      </c>
      <c r="N13954" s="2" t="s">
        <v>21</v>
      </c>
    </row>
    <row r="13955" ht="15.75" customHeight="1">
      <c r="A13955" s="2">
        <v>2020.0</v>
      </c>
      <c r="B13955" s="2" t="s">
        <v>55032</v>
      </c>
      <c r="C13955" s="2" t="s">
        <v>55033</v>
      </c>
      <c r="D13955" s="2" t="str">
        <f>"719-367-3005"</f>
        <v>719-367-3005</v>
      </c>
      <c r="E13955" s="2" t="s">
        <v>1664</v>
      </c>
      <c r="F13955" s="2" t="s">
        <v>55034</v>
      </c>
      <c r="G13955" s="2" t="str">
        <f>"SR-20507"</f>
        <v>SR-20507</v>
      </c>
      <c r="H13955" s="2" t="s">
        <v>55035</v>
      </c>
      <c r="I13955" s="2" t="s">
        <v>55036</v>
      </c>
      <c r="K13955" s="2" t="s">
        <v>894</v>
      </c>
      <c r="L13955" s="2" t="s">
        <v>157</v>
      </c>
      <c r="M13955" s="2">
        <v>80863.0</v>
      </c>
      <c r="N13955" s="2" t="s">
        <v>21</v>
      </c>
    </row>
    <row r="13956" ht="15.75" customHeight="1">
      <c r="A13956" s="2">
        <v>2020.0</v>
      </c>
      <c r="B13956" s="2" t="s">
        <v>51745</v>
      </c>
      <c r="C13956" s="2" t="s">
        <v>55037</v>
      </c>
      <c r="D13956" s="2" t="str">
        <f>"8138413345"</f>
        <v>8138413345</v>
      </c>
      <c r="E13956" s="2" t="s">
        <v>39546</v>
      </c>
      <c r="F13956" s="2" t="s">
        <v>51747</v>
      </c>
      <c r="G13956" s="2" t="str">
        <f>"SR-19475"</f>
        <v>SR-19475</v>
      </c>
      <c r="H13956" s="2" t="s">
        <v>55038</v>
      </c>
      <c r="I13956" s="2" t="s">
        <v>51749</v>
      </c>
      <c r="K13956" s="2" t="s">
        <v>10407</v>
      </c>
      <c r="L13956" s="2" t="s">
        <v>149</v>
      </c>
      <c r="M13956" s="2">
        <v>46032.0</v>
      </c>
      <c r="N13956" s="2" t="s">
        <v>21</v>
      </c>
    </row>
    <row r="13957" ht="15.75" customHeight="1">
      <c r="A13957" s="2">
        <v>2020.0</v>
      </c>
      <c r="B13957" s="2" t="s">
        <v>55039</v>
      </c>
      <c r="C13957" s="2" t="s">
        <v>55040</v>
      </c>
      <c r="D13957" s="2" t="str">
        <f>"706-860-9784"</f>
        <v>706-860-9784</v>
      </c>
      <c r="E13957" s="2" t="s">
        <v>428</v>
      </c>
      <c r="F13957" s="2" t="s">
        <v>3576</v>
      </c>
      <c r="G13957" s="2" t="str">
        <f>"SR-20512"</f>
        <v>SR-20512</v>
      </c>
      <c r="H13957" s="2" t="s">
        <v>55041</v>
      </c>
      <c r="I13957" s="2" t="s">
        <v>55042</v>
      </c>
      <c r="K13957" s="2" t="s">
        <v>1756</v>
      </c>
      <c r="L13957" s="2" t="s">
        <v>200</v>
      </c>
      <c r="M13957" s="2">
        <v>30809.0</v>
      </c>
      <c r="N13957" s="2" t="s">
        <v>21</v>
      </c>
    </row>
    <row r="13958" ht="15.75" customHeight="1">
      <c r="A13958" s="2">
        <v>2020.0</v>
      </c>
      <c r="B13958" s="2" t="s">
        <v>31976</v>
      </c>
      <c r="C13958" s="2" t="s">
        <v>55043</v>
      </c>
      <c r="D13958" s="2" t="str">
        <f>"306-773-7199"</f>
        <v>306-773-7199</v>
      </c>
      <c r="E13958" s="2" t="s">
        <v>28073</v>
      </c>
      <c r="F13958" s="2" t="s">
        <v>31979</v>
      </c>
      <c r="G13958" s="2" t="str">
        <f>"SR-20506"</f>
        <v>SR-20506</v>
      </c>
      <c r="H13958" s="2" t="s">
        <v>55044</v>
      </c>
      <c r="I13958" s="2" t="s">
        <v>31981</v>
      </c>
      <c r="K13958" s="2" t="s">
        <v>31982</v>
      </c>
      <c r="L13958" s="2" t="s">
        <v>31983</v>
      </c>
      <c r="M13958" s="2" t="s">
        <v>55045</v>
      </c>
      <c r="N13958" s="2" t="s">
        <v>1602</v>
      </c>
    </row>
    <row r="13959" ht="15.75" customHeight="1">
      <c r="A13959" s="2">
        <v>2020.0</v>
      </c>
      <c r="B13959" s="2" t="s">
        <v>42518</v>
      </c>
      <c r="C13959" s="2" t="s">
        <v>52011</v>
      </c>
      <c r="D13959" s="2" t="str">
        <f>"225-963-5000"</f>
        <v>225-963-5000</v>
      </c>
      <c r="E13959" s="2" t="s">
        <v>1257</v>
      </c>
      <c r="F13959" s="2" t="s">
        <v>42521</v>
      </c>
      <c r="G13959" s="2" t="str">
        <f>"SR-20513"</f>
        <v>SR-20513</v>
      </c>
      <c r="H13959" s="2" t="s">
        <v>52012</v>
      </c>
      <c r="I13959" s="2" t="s">
        <v>52013</v>
      </c>
      <c r="K13959" s="2" t="s">
        <v>3654</v>
      </c>
      <c r="L13959" s="2" t="s">
        <v>715</v>
      </c>
      <c r="M13959" s="2">
        <v>70806.0</v>
      </c>
      <c r="N13959" s="2" t="s">
        <v>21</v>
      </c>
    </row>
    <row r="13960" ht="15.75" customHeight="1">
      <c r="A13960" s="2">
        <v>2020.0</v>
      </c>
      <c r="B13960" s="2" t="s">
        <v>55046</v>
      </c>
      <c r="C13960" s="2" t="s">
        <v>55046</v>
      </c>
      <c r="D13960" s="2" t="str">
        <f>"(719)209-5040"</f>
        <v>(719)209-5040</v>
      </c>
      <c r="E13960" s="2" t="s">
        <v>1032</v>
      </c>
      <c r="F13960" s="2" t="s">
        <v>55047</v>
      </c>
      <c r="G13960" s="2" t="str">
        <f>"SR-20517"</f>
        <v>SR-20517</v>
      </c>
      <c r="H13960" s="2" t="s">
        <v>55048</v>
      </c>
      <c r="I13960" s="2" t="s">
        <v>55049</v>
      </c>
      <c r="K13960" s="2" t="s">
        <v>809</v>
      </c>
      <c r="L13960" s="2" t="s">
        <v>157</v>
      </c>
      <c r="M13960" s="2">
        <v>80918.0</v>
      </c>
      <c r="N13960" s="2" t="s">
        <v>21</v>
      </c>
    </row>
    <row r="13961" ht="15.75" customHeight="1">
      <c r="A13961" s="2">
        <v>2020.0</v>
      </c>
      <c r="B13961" s="2" t="s">
        <v>55050</v>
      </c>
      <c r="C13961" s="2" t="s">
        <v>55051</v>
      </c>
      <c r="D13961" s="2" t="str">
        <f>"8595837168"</f>
        <v>8595837168</v>
      </c>
      <c r="E13961" s="2" t="s">
        <v>55052</v>
      </c>
      <c r="F13961" s="2" t="s">
        <v>55053</v>
      </c>
      <c r="G13961" s="2" t="str">
        <f>"SR-20504"</f>
        <v>SR-20504</v>
      </c>
      <c r="H13961" s="2" t="s">
        <v>55054</v>
      </c>
      <c r="I13961" s="2" t="s">
        <v>55055</v>
      </c>
      <c r="K13961" s="2" t="s">
        <v>21164</v>
      </c>
      <c r="L13961" s="2" t="s">
        <v>1236</v>
      </c>
      <c r="M13961" s="2">
        <v>40330.0</v>
      </c>
      <c r="N13961" s="2" t="s">
        <v>21</v>
      </c>
    </row>
    <row r="13962" ht="15.75" customHeight="1">
      <c r="A13962" s="2">
        <v>2020.0</v>
      </c>
      <c r="B13962" s="2" t="s">
        <v>55056</v>
      </c>
      <c r="C13962" s="2" t="s">
        <v>55056</v>
      </c>
      <c r="D13962" s="2" t="str">
        <f>"2709254979"</f>
        <v>2709254979</v>
      </c>
      <c r="E13962" s="2" t="s">
        <v>167</v>
      </c>
      <c r="F13962" s="2" t="s">
        <v>17913</v>
      </c>
      <c r="G13962" s="2" t="str">
        <f>"SR-20520"</f>
        <v>SR-20520</v>
      </c>
      <c r="H13962" s="2" t="s">
        <v>55057</v>
      </c>
      <c r="I13962" s="2" t="s">
        <v>55058</v>
      </c>
      <c r="K13962" s="2" t="s">
        <v>17916</v>
      </c>
      <c r="L13962" s="2" t="s">
        <v>1236</v>
      </c>
      <c r="M13962" s="2">
        <v>40422.0</v>
      </c>
      <c r="N13962" s="2" t="s">
        <v>21</v>
      </c>
    </row>
    <row r="13963" ht="15.75" customHeight="1">
      <c r="A13963" s="2">
        <v>2020.0</v>
      </c>
      <c r="B13963" s="2" t="s">
        <v>55059</v>
      </c>
      <c r="C13963" s="2" t="s">
        <v>55059</v>
      </c>
      <c r="D13963" s="2" t="str">
        <f>"8326092501"</f>
        <v>8326092501</v>
      </c>
      <c r="E13963" s="2" t="s">
        <v>6526</v>
      </c>
      <c r="F13963" s="2" t="s">
        <v>18891</v>
      </c>
      <c r="G13963" s="2" t="str">
        <f>"SR-20526"</f>
        <v>SR-20526</v>
      </c>
      <c r="H13963" s="2" t="s">
        <v>55060</v>
      </c>
      <c r="I13963" s="2" t="s">
        <v>55061</v>
      </c>
      <c r="K13963" s="2" t="s">
        <v>6499</v>
      </c>
      <c r="L13963" s="2" t="s">
        <v>172</v>
      </c>
      <c r="M13963" s="2">
        <v>77494.0</v>
      </c>
      <c r="N13963" s="2" t="s">
        <v>21</v>
      </c>
    </row>
    <row r="13964" ht="15.75" customHeight="1">
      <c r="A13964" s="2">
        <v>2020.0</v>
      </c>
      <c r="B13964" s="2" t="s">
        <v>55062</v>
      </c>
      <c r="C13964" s="2" t="s">
        <v>55062</v>
      </c>
      <c r="D13964" s="2" t="str">
        <f>"7045759691"</f>
        <v>7045759691</v>
      </c>
      <c r="E13964" s="2" t="s">
        <v>18705</v>
      </c>
      <c r="F13964" s="2" t="s">
        <v>55063</v>
      </c>
      <c r="G13964" s="2" t="str">
        <f>"SR-20523"</f>
        <v>SR-20523</v>
      </c>
      <c r="H13964" s="2" t="s">
        <v>55064</v>
      </c>
      <c r="I13964" s="2" t="s">
        <v>55065</v>
      </c>
      <c r="K13964" s="2" t="s">
        <v>19</v>
      </c>
      <c r="L13964" s="2" t="s">
        <v>20</v>
      </c>
      <c r="M13964" s="2">
        <v>28217.0</v>
      </c>
      <c r="N13964" s="2" t="s">
        <v>21</v>
      </c>
    </row>
    <row r="13965" ht="15.75" customHeight="1">
      <c r="A13965" s="2">
        <v>2020.0</v>
      </c>
      <c r="B13965" s="2" t="s">
        <v>55066</v>
      </c>
      <c r="C13965" s="2" t="s">
        <v>55067</v>
      </c>
      <c r="D13965" s="2" t="str">
        <f>"7063329124"</f>
        <v>7063329124</v>
      </c>
      <c r="E13965" s="2" t="s">
        <v>926</v>
      </c>
      <c r="F13965" s="2" t="s">
        <v>55068</v>
      </c>
      <c r="G13965" s="2" t="str">
        <f>"SR-20527"</f>
        <v>SR-20527</v>
      </c>
      <c r="H13965" s="2" t="s">
        <v>55069</v>
      </c>
      <c r="I13965" s="2" t="s">
        <v>55070</v>
      </c>
      <c r="K13965" s="2" t="s">
        <v>3283</v>
      </c>
      <c r="L13965" s="2" t="s">
        <v>208</v>
      </c>
      <c r="M13965" s="2">
        <v>32531.0</v>
      </c>
      <c r="N13965" s="2" t="s">
        <v>21</v>
      </c>
    </row>
    <row r="13966" ht="15.75" customHeight="1">
      <c r="A13966" s="2">
        <v>2020.0</v>
      </c>
      <c r="B13966" s="2" t="s">
        <v>55071</v>
      </c>
      <c r="C13966" s="2" t="s">
        <v>55071</v>
      </c>
      <c r="D13966" s="2" t="str">
        <f>"202.615.8354"</f>
        <v>202.615.8354</v>
      </c>
      <c r="E13966" s="2" t="s">
        <v>12392</v>
      </c>
      <c r="F13966" s="2" t="s">
        <v>639</v>
      </c>
      <c r="G13966" s="2" t="str">
        <f>"SR-20533"</f>
        <v>SR-20533</v>
      </c>
      <c r="H13966" s="2" t="s">
        <v>55072</v>
      </c>
      <c r="I13966" s="2" t="s">
        <v>55073</v>
      </c>
      <c r="K13966" s="2" t="s">
        <v>19</v>
      </c>
      <c r="L13966" s="2" t="s">
        <v>20</v>
      </c>
      <c r="M13966" s="2">
        <v>28213.0</v>
      </c>
      <c r="N13966" s="2" t="s">
        <v>21</v>
      </c>
    </row>
    <row r="13967" ht="15.75" customHeight="1">
      <c r="A13967" s="2">
        <v>2020.0</v>
      </c>
      <c r="B13967" s="2" t="s">
        <v>55071</v>
      </c>
      <c r="C13967" s="2" t="s">
        <v>55074</v>
      </c>
      <c r="D13967" s="2" t="str">
        <f>"202.805.9463"</f>
        <v>202.805.9463</v>
      </c>
      <c r="E13967" s="2" t="s">
        <v>580</v>
      </c>
      <c r="F13967" s="2" t="s">
        <v>639</v>
      </c>
      <c r="G13967" s="2" t="str">
        <f>"SR-20534"</f>
        <v>SR-20534</v>
      </c>
      <c r="H13967" s="2" t="s">
        <v>55075</v>
      </c>
      <c r="I13967" s="2" t="s">
        <v>55073</v>
      </c>
      <c r="K13967" s="2" t="s">
        <v>19</v>
      </c>
      <c r="L13967" s="2" t="s">
        <v>20</v>
      </c>
      <c r="M13967" s="2">
        <v>28213.0</v>
      </c>
      <c r="N13967" s="2" t="s">
        <v>21</v>
      </c>
    </row>
    <row r="13968" ht="15.75" customHeight="1">
      <c r="A13968" s="2">
        <v>2020.0</v>
      </c>
      <c r="B13968" s="2" t="s">
        <v>55027</v>
      </c>
      <c r="C13968" s="2" t="s">
        <v>55076</v>
      </c>
      <c r="D13968" s="2" t="str">
        <f>"7032688472"</f>
        <v>7032688472</v>
      </c>
      <c r="E13968" s="2" t="s">
        <v>282</v>
      </c>
      <c r="F13968" s="2" t="s">
        <v>55029</v>
      </c>
      <c r="G13968" s="2" t="str">
        <f>"SR-20511"</f>
        <v>SR-20511</v>
      </c>
      <c r="H13968" s="2" t="s">
        <v>55077</v>
      </c>
      <c r="I13968" s="2" t="s">
        <v>55078</v>
      </c>
      <c r="K13968" s="2" t="s">
        <v>1593</v>
      </c>
      <c r="L13968" s="2" t="s">
        <v>422</v>
      </c>
      <c r="M13968" s="2">
        <v>85255.0</v>
      </c>
      <c r="N13968" s="2" t="s">
        <v>21</v>
      </c>
    </row>
    <row r="13969" ht="15.75" customHeight="1">
      <c r="A13969" s="2">
        <v>2020.0</v>
      </c>
      <c r="B13969" s="2" t="s">
        <v>55079</v>
      </c>
      <c r="C13969" s="2" t="s">
        <v>55079</v>
      </c>
      <c r="D13969" s="2" t="str">
        <f>"704628863"</f>
        <v>704628863</v>
      </c>
      <c r="E13969" s="2" t="s">
        <v>55080</v>
      </c>
      <c r="F13969" s="2" t="s">
        <v>55081</v>
      </c>
      <c r="G13969" s="2" t="str">
        <f>"SR-20538"</f>
        <v>SR-20538</v>
      </c>
      <c r="H13969" s="2" t="s">
        <v>55082</v>
      </c>
      <c r="I13969" s="2" t="s">
        <v>55083</v>
      </c>
      <c r="K13969" s="2" t="s">
        <v>19</v>
      </c>
      <c r="L13969" s="2" t="s">
        <v>20</v>
      </c>
      <c r="M13969" s="2">
        <v>28269.0</v>
      </c>
      <c r="N13969" s="2" t="s">
        <v>21</v>
      </c>
    </row>
    <row r="13970" ht="15.75" customHeight="1">
      <c r="A13970" s="2">
        <v>2020.0</v>
      </c>
      <c r="B13970" s="2" t="s">
        <v>55084</v>
      </c>
      <c r="C13970" s="2" t="s">
        <v>55084</v>
      </c>
      <c r="D13970" s="2" t="str">
        <f>"2014522810"</f>
        <v>2014522810</v>
      </c>
      <c r="E13970" s="2" t="s">
        <v>7543</v>
      </c>
      <c r="F13970" s="2" t="s">
        <v>2429</v>
      </c>
      <c r="G13970" s="2" t="str">
        <f>"SR-20539"</f>
        <v>SR-20539</v>
      </c>
      <c r="H13970" s="2" t="s">
        <v>55085</v>
      </c>
      <c r="I13970" s="2" t="s">
        <v>55086</v>
      </c>
      <c r="K13970" s="2" t="s">
        <v>55087</v>
      </c>
      <c r="L13970" s="2" t="s">
        <v>4836</v>
      </c>
      <c r="M13970" s="2">
        <v>6883.0</v>
      </c>
      <c r="N13970" s="2" t="s">
        <v>21</v>
      </c>
    </row>
    <row r="13971" ht="15.75" customHeight="1">
      <c r="A13971" s="2">
        <v>2020.0</v>
      </c>
      <c r="B13971" s="2" t="s">
        <v>55088</v>
      </c>
      <c r="C13971" s="2" t="s">
        <v>55088</v>
      </c>
      <c r="D13971" s="2" t="str">
        <f>"6166445674"</f>
        <v>6166445674</v>
      </c>
      <c r="E13971" s="2" t="s">
        <v>12611</v>
      </c>
      <c r="F13971" s="2" t="s">
        <v>48347</v>
      </c>
      <c r="G13971" s="2" t="str">
        <f>"SR-20544"</f>
        <v>SR-20544</v>
      </c>
      <c r="H13971" s="2" t="s">
        <v>55089</v>
      </c>
      <c r="I13971" s="2" t="s">
        <v>55090</v>
      </c>
      <c r="K13971" s="2" t="s">
        <v>16428</v>
      </c>
      <c r="L13971" s="2" t="s">
        <v>29</v>
      </c>
      <c r="M13971" s="2">
        <v>49426.0</v>
      </c>
      <c r="N13971" s="2" t="s">
        <v>21</v>
      </c>
    </row>
    <row r="13972" ht="15.75" customHeight="1">
      <c r="A13972" s="2">
        <v>2020.0</v>
      </c>
      <c r="B13972" s="2" t="s">
        <v>55091</v>
      </c>
      <c r="C13972" s="2" t="s">
        <v>55091</v>
      </c>
      <c r="D13972" s="2" t="str">
        <f>"9803015765"</f>
        <v>9803015765</v>
      </c>
      <c r="E13972" s="2" t="s">
        <v>4300</v>
      </c>
      <c r="F13972" s="2" t="s">
        <v>55092</v>
      </c>
      <c r="G13972" s="2" t="str">
        <f>"SR-20546"</f>
        <v>SR-20546</v>
      </c>
      <c r="H13972" s="2" t="s">
        <v>55093</v>
      </c>
      <c r="I13972" s="2" t="s">
        <v>55065</v>
      </c>
      <c r="K13972" s="2" t="s">
        <v>19</v>
      </c>
      <c r="L13972" s="2" t="s">
        <v>20</v>
      </c>
      <c r="M13972" s="2">
        <v>28217.0</v>
      </c>
      <c r="N13972" s="2" t="s">
        <v>21</v>
      </c>
    </row>
    <row r="13973" ht="15.75" customHeight="1">
      <c r="A13973" s="2">
        <v>2020.0</v>
      </c>
      <c r="B13973" s="2" t="s">
        <v>55094</v>
      </c>
      <c r="C13973" s="2" t="s">
        <v>55094</v>
      </c>
      <c r="D13973" s="2" t="str">
        <f>"5197719477"</f>
        <v>5197719477</v>
      </c>
      <c r="E13973" s="2" t="s">
        <v>1094</v>
      </c>
      <c r="F13973" s="2" t="s">
        <v>55095</v>
      </c>
      <c r="G13973" s="2" t="str">
        <f>"SR-20548"</f>
        <v>SR-20548</v>
      </c>
      <c r="H13973" s="2" t="s">
        <v>55096</v>
      </c>
      <c r="I13973" s="2" t="s">
        <v>55097</v>
      </c>
      <c r="K13973" s="2" t="s">
        <v>55098</v>
      </c>
      <c r="L13973" s="2" t="s">
        <v>2022</v>
      </c>
      <c r="M13973" s="2" t="s">
        <v>55099</v>
      </c>
      <c r="N13973" s="2" t="s">
        <v>1602</v>
      </c>
    </row>
    <row r="13974" ht="15.75" customHeight="1">
      <c r="A13974" s="2">
        <v>2020.0</v>
      </c>
      <c r="B13974" s="2" t="s">
        <v>55100</v>
      </c>
      <c r="C13974" s="2" t="s">
        <v>55100</v>
      </c>
      <c r="D13974" s="2" t="str">
        <f>"8162990621"</f>
        <v>8162990621</v>
      </c>
      <c r="E13974" s="2" t="s">
        <v>1529</v>
      </c>
      <c r="F13974" s="2" t="s">
        <v>89</v>
      </c>
      <c r="G13974" s="2" t="str">
        <f>"SR-20549"</f>
        <v>SR-20549</v>
      </c>
      <c r="H13974" s="2" t="s">
        <v>55101</v>
      </c>
      <c r="I13974" s="2" t="s">
        <v>55102</v>
      </c>
      <c r="K13974" s="2" t="s">
        <v>213</v>
      </c>
      <c r="L13974" s="2" t="s">
        <v>214</v>
      </c>
      <c r="M13974" s="2">
        <v>64089.0</v>
      </c>
      <c r="N13974" s="2" t="s">
        <v>21</v>
      </c>
    </row>
    <row r="13975" ht="15.75" customHeight="1">
      <c r="A13975" s="2">
        <v>2020.0</v>
      </c>
      <c r="B13975" s="2" t="s">
        <v>55103</v>
      </c>
      <c r="C13975" s="2" t="s">
        <v>55103</v>
      </c>
      <c r="D13975" s="2" t="str">
        <f>"8162990619"</f>
        <v>8162990619</v>
      </c>
      <c r="E13975" s="2" t="s">
        <v>3342</v>
      </c>
      <c r="F13975" s="2" t="s">
        <v>89</v>
      </c>
      <c r="G13975" s="2" t="str">
        <f>"SR-20553"</f>
        <v>SR-20553</v>
      </c>
      <c r="H13975" s="2" t="s">
        <v>55104</v>
      </c>
      <c r="I13975" s="2" t="s">
        <v>55102</v>
      </c>
      <c r="K13975" s="2" t="s">
        <v>213</v>
      </c>
      <c r="L13975" s="2" t="s">
        <v>214</v>
      </c>
      <c r="M13975" s="2">
        <v>64089.0</v>
      </c>
      <c r="N13975" s="2" t="s">
        <v>21</v>
      </c>
    </row>
    <row r="13976" ht="15.75" customHeight="1">
      <c r="A13976" s="2">
        <v>2020.0</v>
      </c>
      <c r="B13976" s="2" t="s">
        <v>55105</v>
      </c>
      <c r="C13976" s="2" t="s">
        <v>55105</v>
      </c>
      <c r="D13976" s="2" t="str">
        <f>"5806512181"</f>
        <v>5806512181</v>
      </c>
      <c r="E13976" s="2" t="s">
        <v>2752</v>
      </c>
      <c r="F13976" s="2" t="s">
        <v>20629</v>
      </c>
      <c r="G13976" s="2" t="str">
        <f>"SR-20550"</f>
        <v>SR-20550</v>
      </c>
      <c r="H13976" s="2" t="s">
        <v>55106</v>
      </c>
      <c r="I13976" s="2" t="s">
        <v>55107</v>
      </c>
      <c r="K13976" s="2" t="s">
        <v>55108</v>
      </c>
      <c r="L13976" s="2" t="s">
        <v>840</v>
      </c>
      <c r="M13976" s="2">
        <v>73942.0</v>
      </c>
      <c r="N13976" s="2" t="s">
        <v>21</v>
      </c>
    </row>
    <row r="13977" ht="15.75" customHeight="1">
      <c r="A13977" s="2">
        <v>2020.0</v>
      </c>
      <c r="B13977" s="2" t="s">
        <v>55109</v>
      </c>
      <c r="C13977" s="2" t="s">
        <v>55109</v>
      </c>
      <c r="D13977" s="2" t="str">
        <f>"7202766545"</f>
        <v>7202766545</v>
      </c>
      <c r="E13977" s="2" t="s">
        <v>14005</v>
      </c>
      <c r="F13977" s="2" t="s">
        <v>55110</v>
      </c>
      <c r="G13977" s="2" t="str">
        <f>"SR-20502"</f>
        <v>SR-20502</v>
      </c>
      <c r="H13977" s="2" t="s">
        <v>55111</v>
      </c>
      <c r="I13977" s="2" t="s">
        <v>55112</v>
      </c>
      <c r="K13977" s="2" t="s">
        <v>1889</v>
      </c>
      <c r="L13977" s="2" t="s">
        <v>157</v>
      </c>
      <c r="M13977" s="2">
        <v>80123.0</v>
      </c>
      <c r="N13977" s="2" t="s">
        <v>21</v>
      </c>
    </row>
    <row r="13978" ht="15.75" customHeight="1">
      <c r="A13978" s="2">
        <v>2020.0</v>
      </c>
      <c r="B13978" s="2" t="s">
        <v>55113</v>
      </c>
      <c r="C13978" s="2" t="s">
        <v>55114</v>
      </c>
      <c r="D13978" s="2" t="str">
        <f>"8328704195"</f>
        <v>8328704195</v>
      </c>
      <c r="E13978" s="2" t="s">
        <v>217</v>
      </c>
      <c r="F13978" s="2" t="s">
        <v>5632</v>
      </c>
      <c r="G13978" s="2" t="str">
        <f>"SR-20573"</f>
        <v>SR-20573</v>
      </c>
      <c r="H13978" s="2" t="s">
        <v>55115</v>
      </c>
      <c r="I13978" s="2" t="s">
        <v>55116</v>
      </c>
      <c r="K13978" s="2" t="s">
        <v>444</v>
      </c>
      <c r="L13978" s="2" t="s">
        <v>172</v>
      </c>
      <c r="M13978" s="2">
        <v>77024.0</v>
      </c>
      <c r="N13978" s="2" t="s">
        <v>21</v>
      </c>
    </row>
    <row r="13979" ht="15.75" customHeight="1">
      <c r="A13979" s="2">
        <v>2020.0</v>
      </c>
      <c r="B13979" s="2" t="s">
        <v>55117</v>
      </c>
      <c r="C13979" s="2" t="s">
        <v>55117</v>
      </c>
      <c r="D13979" s="2" t="str">
        <f>"704-454-7442"</f>
        <v>704-454-7442</v>
      </c>
      <c r="E13979" s="2" t="s">
        <v>167</v>
      </c>
      <c r="F13979" s="2" t="s">
        <v>457</v>
      </c>
      <c r="G13979" s="2" t="str">
        <f>"SR-20574"</f>
        <v>SR-20574</v>
      </c>
      <c r="H13979" s="2" t="s">
        <v>55118</v>
      </c>
      <c r="I13979" s="2" t="s">
        <v>55119</v>
      </c>
      <c r="K13979" s="2" t="s">
        <v>55120</v>
      </c>
      <c r="L13979" s="2" t="s">
        <v>20</v>
      </c>
      <c r="M13979" s="2">
        <v>28075.0</v>
      </c>
      <c r="N13979" s="2" t="s">
        <v>21</v>
      </c>
    </row>
    <row r="13980" ht="15.75" customHeight="1">
      <c r="A13980" s="2">
        <v>2020.0</v>
      </c>
      <c r="B13980" s="2" t="s">
        <v>55121</v>
      </c>
      <c r="C13980" s="2" t="s">
        <v>55121</v>
      </c>
      <c r="D13980" s="2" t="str">
        <f>"13254239370"</f>
        <v>13254239370</v>
      </c>
      <c r="E13980" s="2" t="s">
        <v>145</v>
      </c>
      <c r="F13980" s="2" t="s">
        <v>55122</v>
      </c>
      <c r="G13980" s="2" t="str">
        <f>"SR-20528"</f>
        <v>SR-20528</v>
      </c>
      <c r="H13980" s="2" t="s">
        <v>55123</v>
      </c>
      <c r="I13980" s="2" t="s">
        <v>55124</v>
      </c>
      <c r="K13980" s="2" t="s">
        <v>38030</v>
      </c>
      <c r="L13980" s="2" t="s">
        <v>172</v>
      </c>
      <c r="M13980" s="2">
        <v>78643.0</v>
      </c>
      <c r="N13980" s="2" t="s">
        <v>21</v>
      </c>
    </row>
    <row r="13981" ht="15.75" customHeight="1">
      <c r="A13981" s="2">
        <v>2020.0</v>
      </c>
      <c r="B13981" s="2" t="s">
        <v>55125</v>
      </c>
      <c r="C13981" s="2" t="s">
        <v>55125</v>
      </c>
      <c r="D13981" s="2" t="str">
        <f>"3344020337"</f>
        <v>3344020337</v>
      </c>
      <c r="E13981" s="2" t="s">
        <v>55126</v>
      </c>
      <c r="F13981" s="2" t="s">
        <v>30309</v>
      </c>
      <c r="G13981" s="2" t="str">
        <f>"SR-20585"</f>
        <v>SR-20585</v>
      </c>
      <c r="H13981" s="2" t="s">
        <v>55127</v>
      </c>
      <c r="I13981" s="2" t="s">
        <v>55128</v>
      </c>
      <c r="K13981" s="2" t="s">
        <v>1953</v>
      </c>
      <c r="L13981" s="2" t="s">
        <v>539</v>
      </c>
      <c r="M13981" s="2">
        <v>35806.0</v>
      </c>
      <c r="N13981" s="2" t="s">
        <v>21</v>
      </c>
    </row>
    <row r="13982" ht="15.75" customHeight="1">
      <c r="A13982" s="2">
        <v>2020.0</v>
      </c>
      <c r="B13982" s="2" t="s">
        <v>55129</v>
      </c>
      <c r="C13982" s="2" t="s">
        <v>55129</v>
      </c>
      <c r="D13982" s="2" t="str">
        <f>"4802621983"</f>
        <v>4802621983</v>
      </c>
      <c r="E13982" s="2" t="s">
        <v>4787</v>
      </c>
      <c r="F13982" s="2" t="s">
        <v>2231</v>
      </c>
      <c r="G13982" s="2" t="str">
        <f>"SR-20592"</f>
        <v>SR-20592</v>
      </c>
      <c r="H13982" s="2" t="s">
        <v>10007</v>
      </c>
      <c r="I13982" s="2" t="s">
        <v>10008</v>
      </c>
      <c r="K13982" s="2" t="s">
        <v>4675</v>
      </c>
      <c r="L13982" s="2" t="s">
        <v>422</v>
      </c>
      <c r="M13982" s="2">
        <v>85234.0</v>
      </c>
      <c r="N13982" s="2" t="s">
        <v>21</v>
      </c>
    </row>
    <row r="13983" ht="15.75" customHeight="1">
      <c r="A13983" s="2">
        <v>2020.0</v>
      </c>
      <c r="B13983" s="2" t="s">
        <v>55130</v>
      </c>
      <c r="C13983" s="2" t="s">
        <v>55130</v>
      </c>
      <c r="D13983" s="2" t="str">
        <f>"3522839858"</f>
        <v>3522839858</v>
      </c>
      <c r="E13983" s="2" t="s">
        <v>373</v>
      </c>
      <c r="F13983" s="2" t="s">
        <v>1170</v>
      </c>
      <c r="G13983" s="2" t="str">
        <f>"SR-20594"</f>
        <v>SR-20594</v>
      </c>
      <c r="H13983" s="2" t="s">
        <v>55131</v>
      </c>
      <c r="I13983" s="2" t="s">
        <v>21388</v>
      </c>
      <c r="K13983" s="2" t="s">
        <v>21389</v>
      </c>
      <c r="L13983" s="2" t="s">
        <v>208</v>
      </c>
      <c r="M13983" s="2">
        <v>32607.0</v>
      </c>
      <c r="N13983" s="2" t="s">
        <v>21</v>
      </c>
    </row>
    <row r="13984" ht="15.75" customHeight="1">
      <c r="A13984" s="2">
        <v>2020.0</v>
      </c>
      <c r="B13984" s="2" t="s">
        <v>55132</v>
      </c>
      <c r="C13984" s="2" t="s">
        <v>55132</v>
      </c>
      <c r="D13984" s="2" t="str">
        <f>"510-826-8703"</f>
        <v>510-826-8703</v>
      </c>
      <c r="E13984" s="2" t="s">
        <v>373</v>
      </c>
      <c r="F13984" s="2" t="s">
        <v>1756</v>
      </c>
      <c r="G13984" s="2" t="str">
        <f>"SR-20602"</f>
        <v>SR-20602</v>
      </c>
      <c r="H13984" s="2" t="s">
        <v>55133</v>
      </c>
      <c r="I13984" s="2" t="s">
        <v>55134</v>
      </c>
      <c r="K13984" s="2" t="s">
        <v>50433</v>
      </c>
      <c r="L13984" s="2" t="s">
        <v>222</v>
      </c>
      <c r="M13984" s="2">
        <v>94552.0</v>
      </c>
      <c r="N13984" s="2" t="s">
        <v>21</v>
      </c>
    </row>
    <row r="13985" ht="15.75" customHeight="1">
      <c r="A13985" s="2">
        <v>2020.0</v>
      </c>
      <c r="B13985" s="2" t="s">
        <v>55135</v>
      </c>
      <c r="C13985" s="2" t="s">
        <v>55135</v>
      </c>
      <c r="D13985" s="2" t="str">
        <f>"4792826601"</f>
        <v>4792826601</v>
      </c>
      <c r="E13985" s="2" t="s">
        <v>9476</v>
      </c>
      <c r="F13985" s="2" t="s">
        <v>11769</v>
      </c>
      <c r="G13985" s="2" t="str">
        <f>"SR-20601"</f>
        <v>SR-20601</v>
      </c>
      <c r="H13985" s="2" t="s">
        <v>55136</v>
      </c>
      <c r="I13985" s="2" t="s">
        <v>55137</v>
      </c>
      <c r="K13985" s="2" t="s">
        <v>23320</v>
      </c>
      <c r="L13985" s="2" t="s">
        <v>1012</v>
      </c>
      <c r="M13985" s="2">
        <v>72718.0</v>
      </c>
      <c r="N13985" s="2" t="s">
        <v>21</v>
      </c>
    </row>
    <row r="13986" ht="15.75" customHeight="1">
      <c r="A13986" s="2">
        <v>2020.0</v>
      </c>
      <c r="B13986" s="2" t="s">
        <v>55138</v>
      </c>
      <c r="C13986" s="2" t="s">
        <v>55139</v>
      </c>
      <c r="D13986" s="2" t="str">
        <f>"8156872952"</f>
        <v>8156872952</v>
      </c>
      <c r="E13986" s="2" t="s">
        <v>7864</v>
      </c>
      <c r="F13986" s="2" t="s">
        <v>55140</v>
      </c>
      <c r="G13986" s="2" t="str">
        <f>"SR-18451"</f>
        <v>SR-18451</v>
      </c>
      <c r="H13986" s="2" t="s">
        <v>55141</v>
      </c>
      <c r="I13986" s="2" t="s">
        <v>55142</v>
      </c>
      <c r="K13986" s="2" t="s">
        <v>47968</v>
      </c>
      <c r="L13986" s="2" t="s">
        <v>105</v>
      </c>
      <c r="M13986" s="2">
        <v>60050.0</v>
      </c>
      <c r="N13986" s="2" t="s">
        <v>21</v>
      </c>
    </row>
    <row r="13987" ht="15.75" customHeight="1">
      <c r="A13987" s="2">
        <v>2020.0</v>
      </c>
      <c r="B13987" s="2" t="s">
        <v>55143</v>
      </c>
      <c r="C13987" s="2" t="s">
        <v>55143</v>
      </c>
      <c r="D13987" s="2" t="str">
        <f>"7636470614"</f>
        <v>7636470614</v>
      </c>
      <c r="E13987" s="2" t="s">
        <v>239</v>
      </c>
      <c r="F13987" s="2" t="s">
        <v>55144</v>
      </c>
      <c r="G13987" s="2" t="str">
        <f>"SR-20607"</f>
        <v>SR-20607</v>
      </c>
      <c r="H13987" s="2" t="s">
        <v>55145</v>
      </c>
      <c r="I13987" s="2" t="s">
        <v>55146</v>
      </c>
      <c r="K13987" s="2" t="s">
        <v>7574</v>
      </c>
      <c r="L13987" s="2" t="s">
        <v>62</v>
      </c>
      <c r="M13987" s="2">
        <v>55434.0</v>
      </c>
      <c r="N13987" s="2" t="s">
        <v>21</v>
      </c>
    </row>
    <row r="13988" ht="15.75" customHeight="1">
      <c r="A13988" s="2">
        <v>2020.0</v>
      </c>
      <c r="B13988" s="2" t="s">
        <v>55147</v>
      </c>
      <c r="D13988" s="2" t="str">
        <f>""</f>
        <v/>
      </c>
      <c r="E13988" s="2" t="s">
        <v>2361</v>
      </c>
      <c r="F13988" s="2" t="s">
        <v>55148</v>
      </c>
      <c r="G13988" s="2" t="str">
        <f>"SR-20570"</f>
        <v>SR-20570</v>
      </c>
      <c r="H13988" s="2" t="s">
        <v>55149</v>
      </c>
    </row>
    <row r="13989" ht="15.75" customHeight="1">
      <c r="A13989" s="2">
        <v>2020.0</v>
      </c>
      <c r="B13989" s="2" t="s">
        <v>39060</v>
      </c>
      <c r="C13989" s="2" t="s">
        <v>39060</v>
      </c>
      <c r="D13989" s="2" t="str">
        <f>"3202956029"</f>
        <v>3202956029</v>
      </c>
      <c r="E13989" s="2" t="s">
        <v>1803</v>
      </c>
      <c r="F13989" s="2" t="s">
        <v>13767</v>
      </c>
      <c r="G13989" s="2" t="str">
        <f>"SR-20518"</f>
        <v>SR-20518</v>
      </c>
      <c r="H13989" s="2" t="s">
        <v>39061</v>
      </c>
      <c r="I13989" s="2" t="s">
        <v>39062</v>
      </c>
      <c r="K13989" s="2" t="s">
        <v>9895</v>
      </c>
      <c r="L13989" s="2" t="s">
        <v>62</v>
      </c>
      <c r="M13989" s="2">
        <v>56288.0</v>
      </c>
      <c r="N13989" s="2" t="s">
        <v>21</v>
      </c>
    </row>
    <row r="13990" ht="15.75" customHeight="1">
      <c r="A13990" s="2">
        <v>2020.0</v>
      </c>
      <c r="B13990" s="2" t="s">
        <v>55150</v>
      </c>
      <c r="C13990" s="2" t="s">
        <v>55150</v>
      </c>
      <c r="D13990" s="2" t="str">
        <f>"(712)-360-1326"</f>
        <v>(712)-360-1326</v>
      </c>
      <c r="E13990" s="2" t="s">
        <v>1251</v>
      </c>
      <c r="F13990" s="2" t="s">
        <v>55151</v>
      </c>
      <c r="G13990" s="2" t="str">
        <f>"SR-18651"</f>
        <v>SR-18651</v>
      </c>
      <c r="H13990" s="2" t="s">
        <v>55152</v>
      </c>
      <c r="I13990" s="2" t="s">
        <v>55153</v>
      </c>
      <c r="K13990" s="2" t="s">
        <v>12097</v>
      </c>
      <c r="L13990" s="2" t="s">
        <v>560</v>
      </c>
      <c r="M13990" s="2">
        <v>51041.0</v>
      </c>
      <c r="N13990" s="2" t="s">
        <v>21</v>
      </c>
    </row>
    <row r="13991" ht="15.75" customHeight="1">
      <c r="A13991" s="2">
        <v>2020.0</v>
      </c>
      <c r="B13991" s="2" t="s">
        <v>55154</v>
      </c>
      <c r="C13991" s="2" t="s">
        <v>55155</v>
      </c>
      <c r="D13991" s="2" t="str">
        <f>"9802403099"</f>
        <v>9802403099</v>
      </c>
      <c r="E13991" s="2" t="s">
        <v>55156</v>
      </c>
      <c r="F13991" s="2" t="s">
        <v>55157</v>
      </c>
      <c r="G13991" s="2" t="str">
        <f>"SR-20559"</f>
        <v>SR-20559</v>
      </c>
      <c r="H13991" s="2" t="s">
        <v>55158</v>
      </c>
      <c r="I13991" s="2" t="s">
        <v>55159</v>
      </c>
      <c r="K13991" s="2" t="s">
        <v>19</v>
      </c>
      <c r="L13991" s="2" t="s">
        <v>20</v>
      </c>
      <c r="M13991" s="2">
        <v>28273.0</v>
      </c>
      <c r="N13991" s="2" t="s">
        <v>21</v>
      </c>
    </row>
    <row r="13992" ht="15.75" customHeight="1">
      <c r="A13992" s="2">
        <v>2020.0</v>
      </c>
      <c r="B13992" s="2" t="s">
        <v>24426</v>
      </c>
      <c r="C13992" s="2" t="s">
        <v>55160</v>
      </c>
      <c r="D13992" s="2" t="str">
        <f>"303 346-1970"</f>
        <v>303 346-1970</v>
      </c>
      <c r="E13992" s="2" t="s">
        <v>2648</v>
      </c>
      <c r="F13992" s="2" t="s">
        <v>24428</v>
      </c>
      <c r="G13992" s="2" t="str">
        <f>"SR-20617"</f>
        <v>SR-20617</v>
      </c>
      <c r="H13992" s="2" t="s">
        <v>55161</v>
      </c>
      <c r="I13992" s="2" t="s">
        <v>24430</v>
      </c>
      <c r="K13992" s="2" t="s">
        <v>682</v>
      </c>
      <c r="L13992" s="2" t="s">
        <v>157</v>
      </c>
      <c r="M13992" s="2">
        <v>80126.0</v>
      </c>
      <c r="N13992" s="2" t="s">
        <v>21</v>
      </c>
    </row>
    <row r="13993" ht="15.75" customHeight="1">
      <c r="A13993" s="2">
        <v>2020.0</v>
      </c>
      <c r="B13993" s="2" t="s">
        <v>55162</v>
      </c>
      <c r="C13993" s="2" t="s">
        <v>55163</v>
      </c>
      <c r="D13993" s="2" t="str">
        <f>"7209559064"</f>
        <v>7209559064</v>
      </c>
      <c r="E13993" s="2" t="s">
        <v>6170</v>
      </c>
      <c r="F13993" s="2" t="s">
        <v>457</v>
      </c>
      <c r="G13993" s="2" t="str">
        <f>"SR-20619"</f>
        <v>SR-20619</v>
      </c>
      <c r="H13993" s="2" t="s">
        <v>55164</v>
      </c>
      <c r="I13993" s="2" t="s">
        <v>55165</v>
      </c>
      <c r="K13993" s="2" t="s">
        <v>1520</v>
      </c>
      <c r="L13993" s="2" t="s">
        <v>157</v>
      </c>
      <c r="M13993" s="2">
        <v>80016.0</v>
      </c>
      <c r="N13993" s="2" t="s">
        <v>21</v>
      </c>
    </row>
    <row r="13994" ht="15.75" customHeight="1">
      <c r="A13994" s="2">
        <v>2020.0</v>
      </c>
      <c r="B13994" s="2" t="s">
        <v>55166</v>
      </c>
      <c r="C13994" s="2" t="s">
        <v>55166</v>
      </c>
      <c r="D13994" s="2" t="str">
        <f>"704-929-5556"</f>
        <v>704-929-5556</v>
      </c>
      <c r="E13994" s="2" t="s">
        <v>1761</v>
      </c>
      <c r="F13994" s="2" t="s">
        <v>46965</v>
      </c>
      <c r="G13994" s="2" t="str">
        <f>"SR-20258"</f>
        <v>SR-20258</v>
      </c>
      <c r="H13994" s="2" t="s">
        <v>55167</v>
      </c>
      <c r="I13994" s="2" t="s">
        <v>55168</v>
      </c>
      <c r="K13994" s="2" t="s">
        <v>2494</v>
      </c>
      <c r="L13994" s="2" t="s">
        <v>20</v>
      </c>
      <c r="M13994" s="2">
        <v>28677.0</v>
      </c>
      <c r="N13994" s="2" t="s">
        <v>21</v>
      </c>
    </row>
    <row r="13995" ht="15.75" customHeight="1">
      <c r="A13995" s="2">
        <v>2020.0</v>
      </c>
      <c r="B13995" s="2" t="s">
        <v>55169</v>
      </c>
      <c r="C13995" s="2" t="s">
        <v>55169</v>
      </c>
      <c r="D13995" s="2" t="str">
        <f>"5095948327"</f>
        <v>5095948327</v>
      </c>
      <c r="E13995" s="2" t="s">
        <v>282</v>
      </c>
      <c r="F13995" s="2" t="s">
        <v>55170</v>
      </c>
      <c r="G13995" s="2" t="str">
        <f>"SR-20614"</f>
        <v>SR-20614</v>
      </c>
      <c r="H13995" s="2" t="s">
        <v>55171</v>
      </c>
      <c r="I13995" s="2" t="s">
        <v>55172</v>
      </c>
      <c r="K13995" s="2" t="s">
        <v>12228</v>
      </c>
      <c r="L13995" s="2" t="s">
        <v>86</v>
      </c>
      <c r="M13995" s="2">
        <v>98908.0</v>
      </c>
      <c r="N13995" s="2" t="s">
        <v>21</v>
      </c>
    </row>
    <row r="13996" ht="15.75" customHeight="1">
      <c r="A13996" s="2">
        <v>2020.0</v>
      </c>
      <c r="B13996" s="2" t="s">
        <v>55173</v>
      </c>
      <c r="C13996" s="2" t="s">
        <v>55173</v>
      </c>
      <c r="D13996" s="2" t="str">
        <f>"9203196995"</f>
        <v>9203196995</v>
      </c>
      <c r="E13996" s="2" t="s">
        <v>528</v>
      </c>
      <c r="F13996" s="2" t="s">
        <v>46467</v>
      </c>
      <c r="G13996" s="2" t="str">
        <f>"SR-20626"</f>
        <v>SR-20626</v>
      </c>
      <c r="H13996" s="2" t="s">
        <v>55174</v>
      </c>
      <c r="I13996" s="2" t="s">
        <v>55175</v>
      </c>
      <c r="K13996" s="2" t="s">
        <v>55176</v>
      </c>
      <c r="L13996" s="2" t="s">
        <v>193</v>
      </c>
      <c r="M13996" s="2">
        <v>53551.0</v>
      </c>
      <c r="N13996" s="2" t="s">
        <v>21</v>
      </c>
    </row>
    <row r="13997" ht="15.75" customHeight="1">
      <c r="A13997" s="2">
        <v>2020.0</v>
      </c>
      <c r="B13997" s="2" t="s">
        <v>55177</v>
      </c>
      <c r="C13997" s="2" t="s">
        <v>55178</v>
      </c>
      <c r="D13997" s="2" t="str">
        <f>"7193306225"</f>
        <v>7193306225</v>
      </c>
      <c r="E13997" s="2" t="s">
        <v>43488</v>
      </c>
      <c r="F13997" s="2" t="s">
        <v>55179</v>
      </c>
      <c r="G13997" s="2" t="str">
        <f>"SR-20627"</f>
        <v>SR-20627</v>
      </c>
      <c r="H13997" s="2" t="s">
        <v>55180</v>
      </c>
      <c r="I13997" s="2" t="s">
        <v>55181</v>
      </c>
      <c r="K13997" s="2" t="s">
        <v>507</v>
      </c>
      <c r="L13997" s="2" t="s">
        <v>157</v>
      </c>
      <c r="M13997" s="2">
        <v>80132.0</v>
      </c>
      <c r="N13997" s="2" t="s">
        <v>21</v>
      </c>
    </row>
    <row r="13998" ht="15.75" customHeight="1">
      <c r="A13998" s="2">
        <v>2020.0</v>
      </c>
      <c r="B13998" s="2" t="s">
        <v>55182</v>
      </c>
      <c r="C13998" s="2" t="s">
        <v>55183</v>
      </c>
      <c r="D13998" s="2" t="str">
        <f>"4254997425"</f>
        <v>4254997425</v>
      </c>
      <c r="E13998" s="2" t="s">
        <v>23576</v>
      </c>
      <c r="F13998" s="2" t="s">
        <v>55184</v>
      </c>
      <c r="G13998" s="2" t="str">
        <f>"SR-20631"</f>
        <v>SR-20631</v>
      </c>
      <c r="H13998" s="2" t="s">
        <v>55185</v>
      </c>
      <c r="I13998" s="2" t="s">
        <v>55186</v>
      </c>
      <c r="K13998" s="2" t="s">
        <v>24528</v>
      </c>
      <c r="L13998" s="2" t="s">
        <v>86</v>
      </c>
      <c r="M13998" s="2">
        <v>98033.0</v>
      </c>
      <c r="N13998" s="2" t="s">
        <v>21</v>
      </c>
    </row>
    <row r="13999" ht="15.75" customHeight="1">
      <c r="A13999" s="2">
        <v>2020.0</v>
      </c>
      <c r="B13999" s="2" t="s">
        <v>47770</v>
      </c>
      <c r="C13999" s="2" t="s">
        <v>55187</v>
      </c>
      <c r="D13999" s="2" t="str">
        <f>"5039354533"</f>
        <v>5039354533</v>
      </c>
      <c r="E13999" s="2" t="s">
        <v>1664</v>
      </c>
      <c r="F13999" s="2" t="s">
        <v>55188</v>
      </c>
      <c r="G13999" s="2" t="str">
        <f>"SR-20633"</f>
        <v>SR-20633</v>
      </c>
      <c r="H13999" s="2" t="s">
        <v>55189</v>
      </c>
      <c r="I13999" s="2" t="s">
        <v>55190</v>
      </c>
      <c r="K13999" s="2" t="s">
        <v>2828</v>
      </c>
      <c r="L13999" s="2" t="s">
        <v>2389</v>
      </c>
      <c r="M13999" s="2">
        <v>97223.0</v>
      </c>
      <c r="N13999" s="2" t="s">
        <v>21</v>
      </c>
    </row>
    <row r="14000" ht="15.75" customHeight="1">
      <c r="A14000" s="2">
        <v>2020.0</v>
      </c>
      <c r="B14000" s="2" t="s">
        <v>45337</v>
      </c>
      <c r="C14000" s="2" t="s">
        <v>45337</v>
      </c>
      <c r="D14000" s="2" t="str">
        <f>"(403)815-5658"</f>
        <v>(403)815-5658</v>
      </c>
      <c r="E14000" s="2" t="s">
        <v>45338</v>
      </c>
      <c r="F14000" s="2" t="s">
        <v>18820</v>
      </c>
      <c r="G14000" s="2" t="str">
        <f>"SR-15936"</f>
        <v>SR-15936</v>
      </c>
      <c r="H14000" s="2" t="s">
        <v>45339</v>
      </c>
      <c r="I14000" s="2" t="s">
        <v>30197</v>
      </c>
      <c r="K14000" s="2" t="s">
        <v>45340</v>
      </c>
      <c r="L14000" s="2" t="s">
        <v>2397</v>
      </c>
      <c r="M14000" s="2" t="s">
        <v>30198</v>
      </c>
      <c r="N14000" s="2" t="s">
        <v>1602</v>
      </c>
    </row>
    <row r="14001" ht="15.75" customHeight="1">
      <c r="A14001" s="2">
        <v>2020.0</v>
      </c>
      <c r="B14001" s="2" t="s">
        <v>55191</v>
      </c>
      <c r="C14001" s="2" t="s">
        <v>55192</v>
      </c>
      <c r="D14001" s="2" t="str">
        <f>"9073175998"</f>
        <v>9073175998</v>
      </c>
      <c r="E14001" s="2" t="s">
        <v>2738</v>
      </c>
      <c r="F14001" s="2" t="s">
        <v>10530</v>
      </c>
      <c r="G14001" s="2" t="str">
        <f>"SR-20645"</f>
        <v>SR-20645</v>
      </c>
      <c r="H14001" s="2" t="s">
        <v>55193</v>
      </c>
      <c r="I14001" s="2" t="s">
        <v>55194</v>
      </c>
      <c r="K14001" s="2" t="s">
        <v>55195</v>
      </c>
      <c r="L14001" s="2" t="s">
        <v>172</v>
      </c>
      <c r="M14001" s="2">
        <v>75126.0</v>
      </c>
      <c r="N14001" s="2" t="s">
        <v>21</v>
      </c>
    </row>
    <row r="14002" ht="15.75" customHeight="1">
      <c r="A14002" s="2">
        <v>2020.0</v>
      </c>
      <c r="B14002" s="2" t="s">
        <v>55196</v>
      </c>
      <c r="C14002" s="2" t="s">
        <v>55196</v>
      </c>
      <c r="D14002" s="2" t="str">
        <f>"8505983684"</f>
        <v>8505983684</v>
      </c>
      <c r="E14002" s="2" t="s">
        <v>465</v>
      </c>
      <c r="F14002" s="2" t="s">
        <v>2429</v>
      </c>
      <c r="G14002" s="2" t="str">
        <f>"SR-20648"</f>
        <v>SR-20648</v>
      </c>
      <c r="H14002" s="2" t="s">
        <v>55197</v>
      </c>
      <c r="I14002" s="2" t="s">
        <v>55198</v>
      </c>
      <c r="K14002" s="2" t="s">
        <v>55199</v>
      </c>
      <c r="L14002" s="2" t="s">
        <v>208</v>
      </c>
      <c r="M14002" s="2">
        <v>32544.0</v>
      </c>
      <c r="N14002" s="2" t="s">
        <v>21</v>
      </c>
    </row>
    <row r="14003" ht="15.75" customHeight="1">
      <c r="A14003" s="2">
        <v>2020.0</v>
      </c>
      <c r="B14003" s="2" t="s">
        <v>55200</v>
      </c>
      <c r="C14003" s="2" t="s">
        <v>55201</v>
      </c>
      <c r="D14003" s="2" t="str">
        <f>"9858042291"</f>
        <v>9858042291</v>
      </c>
      <c r="E14003" s="2" t="s">
        <v>6244</v>
      </c>
      <c r="F14003" s="2" t="s">
        <v>55202</v>
      </c>
      <c r="G14003" s="2" t="str">
        <f>"SR-20643"</f>
        <v>SR-20643</v>
      </c>
      <c r="H14003" s="2" t="s">
        <v>55203</v>
      </c>
      <c r="I14003" s="2" t="s">
        <v>55204</v>
      </c>
      <c r="K14003" s="2" t="s">
        <v>36054</v>
      </c>
      <c r="L14003" s="2" t="s">
        <v>715</v>
      </c>
      <c r="M14003" s="2">
        <v>70360.0</v>
      </c>
      <c r="N14003" s="2" t="s">
        <v>21</v>
      </c>
    </row>
    <row r="14004" ht="15.75" customHeight="1">
      <c r="A14004" s="2">
        <v>2020.0</v>
      </c>
      <c r="B14004" s="2" t="s">
        <v>55205</v>
      </c>
      <c r="C14004" s="2" t="s">
        <v>55205</v>
      </c>
      <c r="D14004" s="2" t="str">
        <f>"9858561712"</f>
        <v>9858561712</v>
      </c>
      <c r="E14004" s="2" t="s">
        <v>2598</v>
      </c>
      <c r="F14004" s="2" t="s">
        <v>2279</v>
      </c>
      <c r="G14004" s="2" t="str">
        <f>"SR-20647"</f>
        <v>SR-20647</v>
      </c>
      <c r="H14004" s="2" t="s">
        <v>55206</v>
      </c>
      <c r="I14004" s="2" t="s">
        <v>55207</v>
      </c>
      <c r="K14004" s="2" t="s">
        <v>36054</v>
      </c>
      <c r="L14004" s="2" t="s">
        <v>715</v>
      </c>
      <c r="M14004" s="2">
        <v>70360.0</v>
      </c>
      <c r="N14004" s="2" t="s">
        <v>21</v>
      </c>
    </row>
    <row r="14005" ht="15.75" customHeight="1">
      <c r="A14005" s="2">
        <v>2020.0</v>
      </c>
      <c r="B14005" s="2" t="s">
        <v>55208</v>
      </c>
      <c r="C14005" s="2" t="s">
        <v>55208</v>
      </c>
      <c r="D14005" s="2" t="str">
        <f>"081316607406"</f>
        <v>081316607406</v>
      </c>
      <c r="E14005" s="2" t="s">
        <v>55209</v>
      </c>
      <c r="F14005" s="2" t="s">
        <v>55210</v>
      </c>
      <c r="G14005" s="2" t="str">
        <f>"SR-20567"</f>
        <v>SR-20567</v>
      </c>
      <c r="H14005" s="2" t="s">
        <v>55211</v>
      </c>
      <c r="I14005" s="2" t="s">
        <v>55212</v>
      </c>
      <c r="J14005" s="2" t="s">
        <v>55213</v>
      </c>
      <c r="K14005" s="2" t="s">
        <v>55214</v>
      </c>
      <c r="N14005" s="2" t="s">
        <v>42069</v>
      </c>
    </row>
    <row r="14006" ht="15.75" customHeight="1">
      <c r="A14006" s="2">
        <v>2020.0</v>
      </c>
      <c r="B14006" s="2" t="s">
        <v>55215</v>
      </c>
      <c r="C14006" s="2" t="s">
        <v>55216</v>
      </c>
      <c r="D14006" s="2" t="str">
        <f>"7038016639"</f>
        <v>7038016639</v>
      </c>
      <c r="E14006" s="2" t="s">
        <v>1548</v>
      </c>
      <c r="F14006" s="2" t="s">
        <v>37900</v>
      </c>
      <c r="G14006" s="2" t="str">
        <f>"SR-20657"</f>
        <v>SR-20657</v>
      </c>
      <c r="H14006" s="2" t="s">
        <v>55217</v>
      </c>
      <c r="I14006" s="2" t="s">
        <v>55218</v>
      </c>
      <c r="K14006" s="2" t="s">
        <v>3656</v>
      </c>
      <c r="L14006" s="2" t="s">
        <v>165</v>
      </c>
      <c r="M14006" s="2">
        <v>22101.0</v>
      </c>
      <c r="N14006" s="2" t="s">
        <v>21</v>
      </c>
    </row>
    <row r="14007" ht="15.75" customHeight="1">
      <c r="A14007" s="2">
        <v>2020.0</v>
      </c>
      <c r="B14007" s="2" t="s">
        <v>55219</v>
      </c>
      <c r="C14007" s="2" t="s">
        <v>55220</v>
      </c>
      <c r="D14007" s="2" t="str">
        <f>"8658094763"</f>
        <v>8658094763</v>
      </c>
      <c r="E14007" s="2" t="s">
        <v>12806</v>
      </c>
      <c r="F14007" s="2" t="s">
        <v>25533</v>
      </c>
      <c r="G14007" s="2" t="str">
        <f>"SR-20652"</f>
        <v>SR-20652</v>
      </c>
      <c r="H14007" s="2" t="s">
        <v>55221</v>
      </c>
      <c r="I14007" s="2" t="s">
        <v>55222</v>
      </c>
      <c r="K14007" s="2" t="s">
        <v>32600</v>
      </c>
      <c r="L14007" s="2" t="s">
        <v>279</v>
      </c>
      <c r="M14007" s="2">
        <v>37763.0</v>
      </c>
      <c r="N14007" s="2" t="s">
        <v>21</v>
      </c>
    </row>
    <row r="14008" ht="15.75" customHeight="1">
      <c r="A14008" s="2">
        <v>2020.0</v>
      </c>
      <c r="B14008" s="2" t="s">
        <v>55223</v>
      </c>
      <c r="C14008" s="2" t="s">
        <v>55224</v>
      </c>
      <c r="D14008" s="2" t="str">
        <f>"6623611082"</f>
        <v>6623611082</v>
      </c>
      <c r="E14008" s="2" t="s">
        <v>2243</v>
      </c>
      <c r="F14008" s="2" t="s">
        <v>16291</v>
      </c>
      <c r="G14008" s="2" t="str">
        <f>"SR-20653"</f>
        <v>SR-20653</v>
      </c>
      <c r="H14008" s="2" t="s">
        <v>55225</v>
      </c>
      <c r="I14008" s="2" t="s">
        <v>55226</v>
      </c>
      <c r="K14008" s="2" t="s">
        <v>55227</v>
      </c>
      <c r="L14008" s="2" t="s">
        <v>1722</v>
      </c>
      <c r="M14008" s="2">
        <v>39452.0</v>
      </c>
      <c r="N14008" s="2" t="s">
        <v>21</v>
      </c>
    </row>
    <row r="14009" ht="15.75" customHeight="1">
      <c r="A14009" s="2">
        <v>2020.0</v>
      </c>
      <c r="B14009" s="2" t="s">
        <v>55228</v>
      </c>
      <c r="C14009" s="2" t="s">
        <v>55229</v>
      </c>
      <c r="D14009" s="2" t="str">
        <f>"+504 87633639"</f>
        <v>+504 87633639</v>
      </c>
      <c r="E14009" s="2" t="s">
        <v>81</v>
      </c>
      <c r="F14009" s="2" t="s">
        <v>3533</v>
      </c>
      <c r="G14009" s="2" t="str">
        <f>"SR-20659"</f>
        <v>SR-20659</v>
      </c>
      <c r="H14009" s="2" t="s">
        <v>55230</v>
      </c>
      <c r="I14009" s="2" t="s">
        <v>55231</v>
      </c>
      <c r="K14009" s="2" t="s">
        <v>55232</v>
      </c>
      <c r="L14009" s="2" t="s">
        <v>55233</v>
      </c>
      <c r="M14009" s="2">
        <v>0.0</v>
      </c>
      <c r="N14009" s="2" t="s">
        <v>55234</v>
      </c>
    </row>
    <row r="14010" ht="15.75" customHeight="1">
      <c r="A14010" s="2">
        <v>2020.0</v>
      </c>
      <c r="B14010" s="2" t="s">
        <v>55235</v>
      </c>
      <c r="C14010" s="2" t="s">
        <v>55236</v>
      </c>
      <c r="D14010" s="2" t="str">
        <f>"2149065549"</f>
        <v>2149065549</v>
      </c>
      <c r="E14010" s="2" t="s">
        <v>2162</v>
      </c>
      <c r="F14010" s="2" t="s">
        <v>1849</v>
      </c>
      <c r="G14010" s="2" t="str">
        <f>"SR-14263"</f>
        <v>SR-14263</v>
      </c>
      <c r="H14010" s="2" t="s">
        <v>55237</v>
      </c>
      <c r="I14010" s="2" t="s">
        <v>23044</v>
      </c>
      <c r="K14010" s="2" t="s">
        <v>1255</v>
      </c>
      <c r="L14010" s="2" t="s">
        <v>172</v>
      </c>
      <c r="M14010" s="2">
        <v>75225.0</v>
      </c>
      <c r="N14010" s="2" t="s">
        <v>21</v>
      </c>
    </row>
    <row r="14011" ht="15.75" customHeight="1">
      <c r="A14011" s="2">
        <v>2020.0</v>
      </c>
      <c r="B14011" s="2" t="s">
        <v>55238</v>
      </c>
      <c r="C14011" s="2" t="s">
        <v>55238</v>
      </c>
      <c r="D14011" s="2" t="str">
        <f>"708-475-3272"</f>
        <v>708-475-3272</v>
      </c>
      <c r="E14011" s="2" t="s">
        <v>5934</v>
      </c>
      <c r="F14011" s="2" t="s">
        <v>6527</v>
      </c>
      <c r="G14011" s="2" t="str">
        <f>"SR-20651"</f>
        <v>SR-20651</v>
      </c>
      <c r="H14011" s="2" t="s">
        <v>55239</v>
      </c>
      <c r="I14011" s="2" t="s">
        <v>55240</v>
      </c>
      <c r="K14011" s="2" t="s">
        <v>34802</v>
      </c>
      <c r="L14011" s="2" t="s">
        <v>105</v>
      </c>
      <c r="M14011" s="2">
        <v>60480.0</v>
      </c>
      <c r="N14011" s="2" t="s">
        <v>21</v>
      </c>
    </row>
    <row r="14012" ht="15.75" customHeight="1">
      <c r="A14012" s="2">
        <v>2020.0</v>
      </c>
      <c r="B14012" s="2" t="s">
        <v>55241</v>
      </c>
      <c r="C14012" s="2" t="s">
        <v>55242</v>
      </c>
      <c r="D14012" s="2" t="str">
        <f>"9363555005"</f>
        <v>9363555005</v>
      </c>
      <c r="E14012" s="2" t="s">
        <v>20103</v>
      </c>
      <c r="F14012" s="2" t="s">
        <v>18150</v>
      </c>
      <c r="G14012" s="2" t="str">
        <f>"SR-20414"</f>
        <v>SR-20414</v>
      </c>
      <c r="H14012" s="2" t="s">
        <v>55243</v>
      </c>
      <c r="I14012" s="2" t="s">
        <v>55244</v>
      </c>
      <c r="K14012" s="2" t="s">
        <v>1953</v>
      </c>
      <c r="L14012" s="2" t="s">
        <v>172</v>
      </c>
      <c r="M14012" s="2">
        <v>77320.0</v>
      </c>
      <c r="N14012" s="2" t="s">
        <v>21</v>
      </c>
    </row>
    <row r="14013" ht="15.75" customHeight="1">
      <c r="A14013" s="2">
        <v>2020.0</v>
      </c>
      <c r="B14013" s="2" t="s">
        <v>55245</v>
      </c>
      <c r="C14013" s="2" t="s">
        <v>55246</v>
      </c>
      <c r="D14013" s="2" t="str">
        <f>"414-334-9410"</f>
        <v>414-334-9410</v>
      </c>
      <c r="E14013" s="2" t="s">
        <v>55247</v>
      </c>
      <c r="F14013" s="2" t="s">
        <v>3984</v>
      </c>
      <c r="G14013" s="2" t="str">
        <f>"SR-20604"</f>
        <v>SR-20604</v>
      </c>
      <c r="H14013" s="2" t="s">
        <v>55248</v>
      </c>
      <c r="I14013" s="2" t="s">
        <v>55249</v>
      </c>
      <c r="K14013" s="2" t="s">
        <v>55250</v>
      </c>
      <c r="L14013" s="2" t="s">
        <v>193</v>
      </c>
      <c r="M14013" s="2">
        <v>53217.0</v>
      </c>
      <c r="N14013" s="2" t="s">
        <v>21</v>
      </c>
    </row>
    <row r="14014" ht="15.75" customHeight="1">
      <c r="A14014" s="2">
        <v>2020.0</v>
      </c>
      <c r="B14014" s="2" t="s">
        <v>55251</v>
      </c>
      <c r="C14014" s="2" t="s">
        <v>55252</v>
      </c>
      <c r="D14014" s="2" t="str">
        <f>"2053881311"</f>
        <v>2053881311</v>
      </c>
      <c r="E14014" s="2" t="s">
        <v>1928</v>
      </c>
      <c r="F14014" s="2" t="s">
        <v>55253</v>
      </c>
      <c r="G14014" s="2" t="str">
        <f>"SR-20663"</f>
        <v>SR-20663</v>
      </c>
      <c r="H14014" s="2" t="s">
        <v>55254</v>
      </c>
      <c r="I14014" s="2" t="s">
        <v>55255</v>
      </c>
      <c r="K14014" s="2" t="s">
        <v>55256</v>
      </c>
      <c r="L14014" s="2" t="s">
        <v>539</v>
      </c>
      <c r="M14014" s="2">
        <v>35111.0</v>
      </c>
      <c r="N14014" s="2" t="s">
        <v>21</v>
      </c>
    </row>
    <row r="14015" ht="15.75" customHeight="1">
      <c r="A14015" s="2">
        <v>2020.0</v>
      </c>
      <c r="B14015" s="2" t="s">
        <v>55257</v>
      </c>
      <c r="C14015" s="2" t="s">
        <v>55257</v>
      </c>
      <c r="D14015" s="2" t="str">
        <f>"7205309980"</f>
        <v>7205309980</v>
      </c>
      <c r="E14015" s="2" t="s">
        <v>100</v>
      </c>
      <c r="F14015" s="2" t="s">
        <v>55258</v>
      </c>
      <c r="G14015" s="2" t="str">
        <f>"SR-20611"</f>
        <v>SR-20611</v>
      </c>
      <c r="H14015" s="2" t="s">
        <v>55259</v>
      </c>
      <c r="I14015" s="2" t="s">
        <v>55260</v>
      </c>
      <c r="K14015" s="2" t="s">
        <v>6497</v>
      </c>
      <c r="L14015" s="2" t="s">
        <v>157</v>
      </c>
      <c r="M14015" s="2">
        <v>80234.0</v>
      </c>
      <c r="N14015" s="2" t="s">
        <v>21</v>
      </c>
    </row>
    <row r="14016" ht="15.75" customHeight="1">
      <c r="A14016" s="2">
        <v>2020.0</v>
      </c>
      <c r="B14016" s="2" t="s">
        <v>33463</v>
      </c>
      <c r="C14016" s="2" t="s">
        <v>55261</v>
      </c>
      <c r="D14016" s="2" t="str">
        <f>"3037178343"</f>
        <v>3037178343</v>
      </c>
      <c r="E14016" s="2" t="s">
        <v>3196</v>
      </c>
      <c r="F14016" s="2" t="s">
        <v>33465</v>
      </c>
      <c r="G14016" s="2" t="str">
        <f>"SR-20664"</f>
        <v>SR-20664</v>
      </c>
      <c r="H14016" s="2" t="s">
        <v>51050</v>
      </c>
      <c r="I14016" s="2" t="s">
        <v>55262</v>
      </c>
      <c r="K14016" s="2" t="s">
        <v>2317</v>
      </c>
      <c r="L14016" s="2" t="s">
        <v>157</v>
      </c>
      <c r="M14016" s="2">
        <v>80504.0</v>
      </c>
      <c r="N14016" s="2" t="s">
        <v>21</v>
      </c>
    </row>
    <row r="14017" ht="15.75" customHeight="1">
      <c r="A14017" s="2">
        <v>2020.0</v>
      </c>
      <c r="B14017" s="2" t="s">
        <v>37810</v>
      </c>
      <c r="C14017" s="2" t="s">
        <v>37811</v>
      </c>
      <c r="D14017" s="2" t="str">
        <f>"9703246159"</f>
        <v>9703246159</v>
      </c>
      <c r="E14017" s="2" t="s">
        <v>1180</v>
      </c>
      <c r="F14017" s="2" t="s">
        <v>1555</v>
      </c>
      <c r="G14017" s="2" t="str">
        <f>"SR-12887"</f>
        <v>SR-12887</v>
      </c>
      <c r="H14017" s="2" t="s">
        <v>37812</v>
      </c>
      <c r="I14017" s="2" t="s">
        <v>37813</v>
      </c>
      <c r="K14017" s="2" t="s">
        <v>1558</v>
      </c>
      <c r="L14017" s="2" t="s">
        <v>157</v>
      </c>
      <c r="M14017" s="2">
        <v>80634.0</v>
      </c>
      <c r="N14017" s="2" t="s">
        <v>21</v>
      </c>
    </row>
    <row r="14018" ht="15.75" customHeight="1">
      <c r="A14018" s="2">
        <v>2020.0</v>
      </c>
      <c r="B14018" s="2" t="s">
        <v>55263</v>
      </c>
      <c r="C14018" s="2" t="s">
        <v>55264</v>
      </c>
      <c r="D14018" s="2" t="str">
        <f>"+628980355688"</f>
        <v>+628980355688</v>
      </c>
      <c r="E14018" s="2" t="s">
        <v>1548</v>
      </c>
      <c r="F14018" s="2" t="s">
        <v>55265</v>
      </c>
      <c r="G14018" s="2" t="str">
        <f>"SR-20562"</f>
        <v>SR-20562</v>
      </c>
      <c r="H14018" s="2" t="s">
        <v>55266</v>
      </c>
      <c r="I14018" s="2" t="s">
        <v>55267</v>
      </c>
      <c r="K14018" s="2" t="s">
        <v>55268</v>
      </c>
      <c r="L14018" s="2" t="s">
        <v>55269</v>
      </c>
      <c r="M14018" s="2">
        <v>15311.0</v>
      </c>
      <c r="N14018" s="2" t="s">
        <v>42069</v>
      </c>
    </row>
    <row r="14019" ht="15.75" customHeight="1">
      <c r="A14019" s="2">
        <v>2020.0</v>
      </c>
      <c r="B14019" s="2" t="s">
        <v>55270</v>
      </c>
      <c r="C14019" s="2" t="s">
        <v>55271</v>
      </c>
      <c r="D14019" s="2" t="str">
        <f>"6309230239"</f>
        <v>6309230239</v>
      </c>
      <c r="E14019" s="2" t="s">
        <v>50</v>
      </c>
      <c r="F14019" s="2" t="s">
        <v>8565</v>
      </c>
      <c r="G14019" s="2" t="str">
        <f>"SR-20636"</f>
        <v>SR-20636</v>
      </c>
      <c r="H14019" s="2" t="s">
        <v>55272</v>
      </c>
      <c r="I14019" s="2" t="s">
        <v>55273</v>
      </c>
      <c r="K14019" s="2" t="s">
        <v>50986</v>
      </c>
      <c r="L14019" s="2" t="s">
        <v>105</v>
      </c>
      <c r="M14019" s="2">
        <v>60174.0</v>
      </c>
      <c r="N14019" s="2" t="s">
        <v>21</v>
      </c>
    </row>
    <row r="14020" ht="15.75" customHeight="1">
      <c r="A14020" s="2">
        <v>2020.0</v>
      </c>
      <c r="B14020" s="2" t="s">
        <v>55274</v>
      </c>
      <c r="C14020" s="2" t="s">
        <v>55275</v>
      </c>
      <c r="D14020" s="2" t="str">
        <f>"4077580274"</f>
        <v>4077580274</v>
      </c>
      <c r="E14020" s="2" t="s">
        <v>485</v>
      </c>
      <c r="F14020" s="2" t="s">
        <v>55276</v>
      </c>
      <c r="G14020" s="2" t="str">
        <f>"SR-20565"</f>
        <v>SR-20565</v>
      </c>
      <c r="H14020" s="2" t="s">
        <v>55277</v>
      </c>
      <c r="I14020" s="2" t="s">
        <v>55278</v>
      </c>
      <c r="K14020" s="2" t="s">
        <v>4724</v>
      </c>
      <c r="L14020" s="2" t="s">
        <v>208</v>
      </c>
      <c r="M14020" s="2">
        <v>32812.0</v>
      </c>
      <c r="N14020" s="2" t="s">
        <v>21</v>
      </c>
    </row>
    <row r="14021" ht="15.75" customHeight="1">
      <c r="A14021" s="2">
        <v>2020.0</v>
      </c>
      <c r="B14021" s="2" t="s">
        <v>55279</v>
      </c>
      <c r="C14021" s="2" t="s">
        <v>55280</v>
      </c>
      <c r="D14021" s="2" t="str">
        <f>"2057642219"</f>
        <v>2057642219</v>
      </c>
      <c r="E14021" s="2" t="s">
        <v>2825</v>
      </c>
      <c r="F14021" s="2" t="s">
        <v>9464</v>
      </c>
      <c r="G14021" s="2" t="str">
        <f>"SR-19002"</f>
        <v>SR-19002</v>
      </c>
      <c r="H14021" s="2" t="s">
        <v>55281</v>
      </c>
      <c r="I14021" s="2" t="s">
        <v>55282</v>
      </c>
      <c r="K14021" s="2" t="s">
        <v>5003</v>
      </c>
      <c r="L14021" s="2" t="s">
        <v>539</v>
      </c>
      <c r="M14021" s="2">
        <v>35473.0</v>
      </c>
      <c r="N14021" s="2" t="s">
        <v>21</v>
      </c>
    </row>
    <row r="14022" ht="15.75" customHeight="1">
      <c r="A14022" s="2">
        <v>2020.0</v>
      </c>
      <c r="B14022" s="2" t="s">
        <v>55283</v>
      </c>
      <c r="C14022" s="2" t="s">
        <v>55283</v>
      </c>
      <c r="D14022" s="2" t="str">
        <f>"808-937-2232"</f>
        <v>808-937-2232</v>
      </c>
      <c r="E14022" s="2" t="s">
        <v>2572</v>
      </c>
      <c r="F14022" s="2" t="s">
        <v>55284</v>
      </c>
      <c r="G14022" s="2" t="str">
        <f>"SR-20646"</f>
        <v>SR-20646</v>
      </c>
      <c r="H14022" s="2" t="s">
        <v>55285</v>
      </c>
      <c r="I14022" s="2" t="s">
        <v>55286</v>
      </c>
      <c r="K14022" s="2" t="s">
        <v>55287</v>
      </c>
      <c r="L14022" s="2" t="s">
        <v>770</v>
      </c>
      <c r="M14022" s="2">
        <v>96740.0</v>
      </c>
      <c r="N14022" s="2" t="s">
        <v>21</v>
      </c>
    </row>
    <row r="14023" ht="15.75" customHeight="1">
      <c r="A14023" s="2">
        <v>2020.0</v>
      </c>
      <c r="B14023" s="2" t="s">
        <v>55288</v>
      </c>
      <c r="C14023" s="2" t="s">
        <v>55288</v>
      </c>
      <c r="D14023" s="2" t="str">
        <f>"502-330-0145"</f>
        <v>502-330-0145</v>
      </c>
      <c r="E14023" s="2" t="s">
        <v>217</v>
      </c>
      <c r="F14023" s="2" t="s">
        <v>16497</v>
      </c>
      <c r="G14023" s="2" t="str">
        <f>"SR-20637"</f>
        <v>SR-20637</v>
      </c>
      <c r="H14023" s="2" t="s">
        <v>55289</v>
      </c>
      <c r="I14023" s="2" t="s">
        <v>55290</v>
      </c>
      <c r="K14023" s="2" t="s">
        <v>3845</v>
      </c>
      <c r="L14023" s="2" t="s">
        <v>1236</v>
      </c>
      <c r="M14023" s="2">
        <v>40601.0</v>
      </c>
      <c r="N14023" s="2" t="s">
        <v>21</v>
      </c>
    </row>
    <row r="14024" ht="15.75" customHeight="1">
      <c r="A14024" s="2">
        <v>2020.0</v>
      </c>
      <c r="B14024" s="2" t="s">
        <v>55291</v>
      </c>
      <c r="C14024" s="2" t="s">
        <v>55291</v>
      </c>
      <c r="D14024" s="2" t="str">
        <f>"(970)690-5862"</f>
        <v>(970)690-5862</v>
      </c>
      <c r="E14024" s="2" t="s">
        <v>1964</v>
      </c>
      <c r="F14024" s="2" t="s">
        <v>55292</v>
      </c>
      <c r="G14024" s="2" t="str">
        <f>"SR-18972"</f>
        <v>SR-18972</v>
      </c>
      <c r="H14024" s="2" t="s">
        <v>55293</v>
      </c>
      <c r="I14024" s="2" t="s">
        <v>55294</v>
      </c>
      <c r="K14024" s="2" t="s">
        <v>1632</v>
      </c>
      <c r="L14024" s="2" t="s">
        <v>157</v>
      </c>
      <c r="M14024" s="2">
        <v>80550.0</v>
      </c>
      <c r="N14024" s="2" t="s">
        <v>21</v>
      </c>
    </row>
    <row r="14025" ht="15.75" customHeight="1">
      <c r="A14025" s="2">
        <v>2020.0</v>
      </c>
      <c r="B14025" s="2" t="s">
        <v>55295</v>
      </c>
      <c r="C14025" s="2" t="s">
        <v>55295</v>
      </c>
      <c r="D14025" s="2" t="str">
        <f>"(850) 517-7635"</f>
        <v>(850) 517-7635</v>
      </c>
      <c r="E14025" s="2" t="s">
        <v>1810</v>
      </c>
      <c r="F14025" s="2" t="s">
        <v>711</v>
      </c>
      <c r="G14025" s="2" t="str">
        <f>"SR-20672"</f>
        <v>SR-20672</v>
      </c>
      <c r="H14025" s="2" t="s">
        <v>55296</v>
      </c>
      <c r="I14025" s="2" t="s">
        <v>55297</v>
      </c>
      <c r="K14025" s="2" t="s">
        <v>55298</v>
      </c>
      <c r="L14025" s="2" t="s">
        <v>208</v>
      </c>
      <c r="M14025" s="2">
        <v>32578.0</v>
      </c>
      <c r="N14025" s="2" t="s">
        <v>21</v>
      </c>
    </row>
    <row r="14026" ht="15.75" customHeight="1">
      <c r="A14026" s="2">
        <v>2020.0</v>
      </c>
      <c r="B14026" s="2" t="s">
        <v>55299</v>
      </c>
      <c r="C14026" s="2" t="s">
        <v>55300</v>
      </c>
      <c r="D14026" s="2" t="str">
        <f>"5124874389"</f>
        <v>5124874389</v>
      </c>
      <c r="E14026" s="2" t="s">
        <v>5321</v>
      </c>
      <c r="F14026" s="2" t="s">
        <v>55301</v>
      </c>
      <c r="G14026" s="2" t="str">
        <f>"SR-20669"</f>
        <v>SR-20669</v>
      </c>
      <c r="H14026" s="2" t="s">
        <v>55302</v>
      </c>
      <c r="I14026" s="2" t="s">
        <v>55303</v>
      </c>
      <c r="K14026" s="2" t="s">
        <v>1249</v>
      </c>
      <c r="L14026" s="2" t="s">
        <v>172</v>
      </c>
      <c r="M14026" s="2">
        <v>78613.0</v>
      </c>
      <c r="N14026" s="2" t="s">
        <v>21</v>
      </c>
    </row>
    <row r="14027" ht="15.75" customHeight="1">
      <c r="A14027" s="2">
        <v>2020.0</v>
      </c>
      <c r="B14027" s="2" t="s">
        <v>42270</v>
      </c>
      <c r="C14027" s="2" t="s">
        <v>55304</v>
      </c>
      <c r="D14027" s="2" t="str">
        <f>"6417914086"</f>
        <v>6417914086</v>
      </c>
      <c r="E14027" s="2" t="s">
        <v>651</v>
      </c>
      <c r="F14027" s="2" t="s">
        <v>42272</v>
      </c>
      <c r="G14027" s="2" t="str">
        <f>"SR-20667"</f>
        <v>SR-20667</v>
      </c>
      <c r="H14027" s="2" t="s">
        <v>55305</v>
      </c>
      <c r="I14027" s="2" t="s">
        <v>42274</v>
      </c>
      <c r="K14027" s="2" t="s">
        <v>3212</v>
      </c>
      <c r="L14027" s="2" t="s">
        <v>560</v>
      </c>
      <c r="M14027" s="2">
        <v>50208.0</v>
      </c>
      <c r="N14027" s="2" t="s">
        <v>21</v>
      </c>
    </row>
    <row r="14028" ht="15.75" customHeight="1">
      <c r="A14028" s="2">
        <v>2021.0</v>
      </c>
      <c r="B14028" s="2" t="s">
        <v>11364</v>
      </c>
      <c r="C14028" s="2" t="s">
        <v>52300</v>
      </c>
      <c r="D14028" s="2" t="str">
        <f>"6202293403"</f>
        <v>6202293403</v>
      </c>
      <c r="E14028" s="2" t="s">
        <v>2314</v>
      </c>
      <c r="F14028" s="2" t="s">
        <v>256</v>
      </c>
      <c r="G14028" s="2" t="str">
        <f>"SR-18623"</f>
        <v>SR-18623</v>
      </c>
      <c r="H14028" s="2" t="s">
        <v>52301</v>
      </c>
      <c r="I14028" s="2" t="s">
        <v>3681</v>
      </c>
      <c r="K14028" s="2" t="s">
        <v>3530</v>
      </c>
      <c r="L14028" s="2" t="s">
        <v>272</v>
      </c>
      <c r="M14028" s="2">
        <v>67156.0</v>
      </c>
      <c r="N14028" s="2" t="s">
        <v>21</v>
      </c>
    </row>
    <row r="14029" ht="15.75" customHeight="1">
      <c r="A14029" s="2">
        <v>2021.0</v>
      </c>
      <c r="B14029" s="2" t="s">
        <v>49200</v>
      </c>
      <c r="C14029" s="2" t="s">
        <v>49201</v>
      </c>
      <c r="D14029" s="2" t="str">
        <f>"6158230197"</f>
        <v>6158230197</v>
      </c>
      <c r="E14029" s="2" t="s">
        <v>203</v>
      </c>
      <c r="F14029" s="2" t="s">
        <v>49202</v>
      </c>
      <c r="G14029" s="2" t="str">
        <f>"SR-17515"</f>
        <v>SR-17515</v>
      </c>
      <c r="H14029" s="2" t="s">
        <v>49203</v>
      </c>
      <c r="I14029" s="2" t="s">
        <v>49204</v>
      </c>
      <c r="K14029" s="2" t="s">
        <v>278</v>
      </c>
      <c r="L14029" s="2" t="s">
        <v>279</v>
      </c>
      <c r="M14029" s="2">
        <v>37064.0</v>
      </c>
      <c r="N14029" s="2" t="s">
        <v>21</v>
      </c>
    </row>
    <row r="14030" ht="15.75" customHeight="1">
      <c r="A14030" s="2">
        <v>2021.0</v>
      </c>
      <c r="B14030" s="2" t="s">
        <v>49179</v>
      </c>
      <c r="C14030" s="2" t="s">
        <v>49179</v>
      </c>
      <c r="D14030" s="2" t="str">
        <f>"6163345643"</f>
        <v>6163345643</v>
      </c>
      <c r="E14030" s="2" t="s">
        <v>13027</v>
      </c>
      <c r="F14030" s="2" t="s">
        <v>49180</v>
      </c>
      <c r="G14030" s="2" t="str">
        <f>"SR-16956"</f>
        <v>SR-16956</v>
      </c>
      <c r="H14030" s="2" t="s">
        <v>49181</v>
      </c>
      <c r="I14030" s="2" t="s">
        <v>49182</v>
      </c>
      <c r="K14030" s="2" t="s">
        <v>6524</v>
      </c>
      <c r="L14030" s="2" t="s">
        <v>29</v>
      </c>
      <c r="M14030" s="2">
        <v>49418.0</v>
      </c>
      <c r="N14030" s="2" t="s">
        <v>21</v>
      </c>
    </row>
    <row r="14031" ht="15.75" customHeight="1">
      <c r="A14031" s="2">
        <v>2021.0</v>
      </c>
      <c r="B14031" s="2" t="s">
        <v>26655</v>
      </c>
      <c r="C14031" s="2" t="s">
        <v>50184</v>
      </c>
      <c r="D14031" s="2" t="str">
        <f>"720-364-0952"</f>
        <v>720-364-0952</v>
      </c>
      <c r="E14031" s="2" t="s">
        <v>3170</v>
      </c>
      <c r="F14031" s="2" t="s">
        <v>26657</v>
      </c>
      <c r="G14031" s="2" t="str">
        <f>"SR-17925"</f>
        <v>SR-17925</v>
      </c>
      <c r="H14031" s="2" t="s">
        <v>50185</v>
      </c>
      <c r="I14031" s="2" t="s">
        <v>26659</v>
      </c>
      <c r="K14031" s="2" t="s">
        <v>992</v>
      </c>
      <c r="L14031" s="2" t="s">
        <v>157</v>
      </c>
      <c r="M14031" s="2">
        <v>80015.0</v>
      </c>
      <c r="N14031" s="2" t="s">
        <v>21</v>
      </c>
    </row>
    <row r="14032" ht="15.75" customHeight="1">
      <c r="A14032" s="2">
        <v>2021.0</v>
      </c>
      <c r="B14032" s="2" t="s">
        <v>50453</v>
      </c>
      <c r="D14032" s="2" t="str">
        <f>""</f>
        <v/>
      </c>
      <c r="E14032" s="2" t="s">
        <v>843</v>
      </c>
      <c r="F14032" s="2" t="s">
        <v>50454</v>
      </c>
      <c r="G14032" s="2" t="str">
        <f>"SR-17118"</f>
        <v>SR-17118</v>
      </c>
      <c r="H14032" s="2" t="s">
        <v>50455</v>
      </c>
    </row>
    <row r="14033" ht="15.75" customHeight="1">
      <c r="A14033" s="2">
        <v>2021.0</v>
      </c>
      <c r="B14033" s="2" t="s">
        <v>49205</v>
      </c>
      <c r="C14033" s="2" t="s">
        <v>49205</v>
      </c>
      <c r="D14033" s="2" t="str">
        <f>"6164379080"</f>
        <v>6164379080</v>
      </c>
      <c r="E14033" s="2" t="s">
        <v>42788</v>
      </c>
      <c r="F14033" s="2" t="s">
        <v>49206</v>
      </c>
      <c r="G14033" s="2" t="str">
        <f>"SR-17516"</f>
        <v>SR-17516</v>
      </c>
      <c r="H14033" s="2" t="s">
        <v>49207</v>
      </c>
      <c r="I14033" s="2" t="s">
        <v>49208</v>
      </c>
      <c r="K14033" s="2" t="s">
        <v>49209</v>
      </c>
      <c r="L14033" s="2" t="s">
        <v>29</v>
      </c>
      <c r="M14033" s="2">
        <v>49323.0</v>
      </c>
      <c r="N14033" s="2" t="s">
        <v>21</v>
      </c>
    </row>
    <row r="14034" ht="15.75" customHeight="1">
      <c r="A14034" s="2">
        <v>2021.0</v>
      </c>
      <c r="B14034" s="2" t="s">
        <v>55306</v>
      </c>
      <c r="C14034" s="2" t="s">
        <v>55307</v>
      </c>
      <c r="D14034" s="2" t="str">
        <f>"5039891277"</f>
        <v>5039891277</v>
      </c>
      <c r="E14034" s="2" t="s">
        <v>1076</v>
      </c>
      <c r="F14034" s="2" t="s">
        <v>55308</v>
      </c>
      <c r="G14034" s="2" t="str">
        <f>"SR-20756"</f>
        <v>SR-20756</v>
      </c>
      <c r="H14034" s="2" t="s">
        <v>55309</v>
      </c>
      <c r="I14034" s="2" t="s">
        <v>55310</v>
      </c>
      <c r="K14034" s="2" t="s">
        <v>20891</v>
      </c>
      <c r="L14034" s="2" t="s">
        <v>2389</v>
      </c>
      <c r="M14034" s="2">
        <v>97140.0</v>
      </c>
      <c r="N14034" s="2" t="s">
        <v>21</v>
      </c>
    </row>
    <row r="14035" ht="15.75" customHeight="1">
      <c r="A14035" s="2">
        <v>2021.0</v>
      </c>
      <c r="B14035" s="2" t="s">
        <v>49140</v>
      </c>
      <c r="C14035" s="2" t="s">
        <v>49141</v>
      </c>
      <c r="D14035" s="2" t="str">
        <f>"936-697-6951"</f>
        <v>936-697-6951</v>
      </c>
      <c r="E14035" s="2" t="s">
        <v>3977</v>
      </c>
      <c r="F14035" s="2" t="s">
        <v>25683</v>
      </c>
      <c r="G14035" s="2" t="str">
        <f>"SR-17458"</f>
        <v>SR-17458</v>
      </c>
      <c r="H14035" s="2" t="s">
        <v>49142</v>
      </c>
      <c r="I14035" s="2" t="s">
        <v>49143</v>
      </c>
      <c r="K14035" s="2" t="s">
        <v>2651</v>
      </c>
      <c r="L14035" s="2" t="s">
        <v>172</v>
      </c>
      <c r="M14035" s="2">
        <v>77381.0</v>
      </c>
      <c r="N14035" s="2" t="s">
        <v>21</v>
      </c>
    </row>
    <row r="14036" ht="15.75" customHeight="1">
      <c r="A14036" s="2">
        <v>2021.0</v>
      </c>
      <c r="B14036" s="2" t="s">
        <v>49140</v>
      </c>
      <c r="C14036" s="2" t="s">
        <v>49144</v>
      </c>
      <c r="D14036" s="2" t="str">
        <f>"346-386-1061"</f>
        <v>346-386-1061</v>
      </c>
      <c r="E14036" s="2" t="s">
        <v>4775</v>
      </c>
      <c r="F14036" s="2" t="s">
        <v>25683</v>
      </c>
      <c r="G14036" s="2" t="str">
        <f>"SR-17482"</f>
        <v>SR-17482</v>
      </c>
      <c r="H14036" s="2" t="s">
        <v>49145</v>
      </c>
      <c r="I14036" s="2" t="s">
        <v>49146</v>
      </c>
      <c r="K14036" s="2" t="s">
        <v>2651</v>
      </c>
      <c r="L14036" s="2" t="s">
        <v>279</v>
      </c>
      <c r="M14036" s="2">
        <v>77381.0</v>
      </c>
      <c r="N14036" s="2" t="s">
        <v>21</v>
      </c>
    </row>
    <row r="14037" ht="15.75" customHeight="1">
      <c r="A14037" s="2">
        <v>2021.0</v>
      </c>
      <c r="B14037" s="2" t="s">
        <v>50645</v>
      </c>
      <c r="C14037" s="2" t="s">
        <v>50646</v>
      </c>
      <c r="D14037" s="2" t="str">
        <f>"832-774-8297"</f>
        <v>832-774-8297</v>
      </c>
      <c r="E14037" s="2" t="s">
        <v>596</v>
      </c>
      <c r="F14037" s="2" t="s">
        <v>5300</v>
      </c>
      <c r="G14037" s="2" t="str">
        <f>"SR-17692"</f>
        <v>SR-17692</v>
      </c>
      <c r="H14037" s="2" t="s">
        <v>50647</v>
      </c>
      <c r="I14037" s="2" t="s">
        <v>50648</v>
      </c>
      <c r="K14037" s="2" t="s">
        <v>6499</v>
      </c>
      <c r="L14037" s="2" t="s">
        <v>172</v>
      </c>
      <c r="M14037" s="2">
        <v>77494.0</v>
      </c>
      <c r="N14037" s="2" t="s">
        <v>21</v>
      </c>
    </row>
    <row r="14038" ht="15.75" customHeight="1">
      <c r="A14038" s="2">
        <v>2021.0</v>
      </c>
      <c r="B14038" s="2" t="s">
        <v>55311</v>
      </c>
      <c r="C14038" s="2" t="s">
        <v>55312</v>
      </c>
      <c r="D14038" s="2" t="str">
        <f>"7194288645"</f>
        <v>7194288645</v>
      </c>
      <c r="E14038" s="2" t="s">
        <v>931</v>
      </c>
      <c r="F14038" s="2" t="s">
        <v>32067</v>
      </c>
      <c r="G14038" s="2" t="str">
        <f>"SR-20757"</f>
        <v>SR-20757</v>
      </c>
      <c r="H14038" s="2" t="s">
        <v>55313</v>
      </c>
      <c r="I14038" s="2" t="s">
        <v>55314</v>
      </c>
      <c r="K14038" s="2" t="s">
        <v>809</v>
      </c>
      <c r="L14038" s="2" t="s">
        <v>157</v>
      </c>
      <c r="M14038" s="2">
        <v>80920.0</v>
      </c>
      <c r="N14038" s="2" t="s">
        <v>21</v>
      </c>
    </row>
    <row r="14039" ht="15.75" customHeight="1">
      <c r="A14039" s="2">
        <v>2021.0</v>
      </c>
      <c r="B14039" s="2" t="s">
        <v>50186</v>
      </c>
      <c r="C14039" s="2" t="s">
        <v>50187</v>
      </c>
      <c r="D14039" s="2" t="str">
        <f>"7207554612"</f>
        <v>7207554612</v>
      </c>
      <c r="E14039" s="2" t="s">
        <v>50188</v>
      </c>
      <c r="F14039" s="2" t="s">
        <v>42238</v>
      </c>
      <c r="G14039" s="2" t="str">
        <f>"SR-17926"</f>
        <v>SR-17926</v>
      </c>
      <c r="H14039" s="2" t="s">
        <v>50189</v>
      </c>
      <c r="I14039" s="2" t="s">
        <v>50190</v>
      </c>
      <c r="K14039" s="2" t="s">
        <v>50191</v>
      </c>
      <c r="L14039" s="2" t="s">
        <v>157</v>
      </c>
      <c r="M14039" s="2">
        <v>80015.0</v>
      </c>
      <c r="N14039" s="2" t="s">
        <v>21</v>
      </c>
    </row>
    <row r="14040" ht="15.75" customHeight="1">
      <c r="A14040" s="2">
        <v>2021.0</v>
      </c>
      <c r="B14040" s="2" t="s">
        <v>51363</v>
      </c>
      <c r="C14040" s="2" t="s">
        <v>51363</v>
      </c>
      <c r="D14040" s="2" t="str">
        <f>"8179801664"</f>
        <v>8179801664</v>
      </c>
      <c r="E14040" s="2" t="s">
        <v>15</v>
      </c>
      <c r="F14040" s="2" t="s">
        <v>4411</v>
      </c>
      <c r="G14040" s="2" t="str">
        <f>"SR-18352"</f>
        <v>SR-18352</v>
      </c>
      <c r="H14040" s="2" t="s">
        <v>51364</v>
      </c>
      <c r="I14040" s="2" t="s">
        <v>51365</v>
      </c>
      <c r="K14040" s="2" t="s">
        <v>3298</v>
      </c>
      <c r="L14040" s="2" t="s">
        <v>172</v>
      </c>
      <c r="M14040" s="2">
        <v>76108.0</v>
      </c>
      <c r="N14040" s="2" t="s">
        <v>21</v>
      </c>
    </row>
    <row r="14041" ht="15.75" customHeight="1">
      <c r="A14041" s="2">
        <v>2021.0</v>
      </c>
      <c r="B14041" s="2" t="s">
        <v>31556</v>
      </c>
      <c r="C14041" s="2" t="s">
        <v>49261</v>
      </c>
      <c r="D14041" s="2" t="str">
        <f>"330-316-6584"</f>
        <v>330-316-6584</v>
      </c>
      <c r="E14041" s="2" t="s">
        <v>14422</v>
      </c>
      <c r="F14041" s="2" t="s">
        <v>31558</v>
      </c>
      <c r="G14041" s="2" t="str">
        <f>"SR-17534"</f>
        <v>SR-17534</v>
      </c>
      <c r="H14041" s="2" t="s">
        <v>49262</v>
      </c>
      <c r="I14041" s="2" t="s">
        <v>31560</v>
      </c>
      <c r="K14041" s="2" t="s">
        <v>31561</v>
      </c>
      <c r="L14041" s="2" t="s">
        <v>344</v>
      </c>
      <c r="M14041" s="2">
        <v>44601.0</v>
      </c>
      <c r="N14041" s="2" t="s">
        <v>21</v>
      </c>
    </row>
    <row r="14042" ht="15.75" customHeight="1">
      <c r="A14042" s="2">
        <v>2021.0</v>
      </c>
      <c r="B14042" s="2" t="s">
        <v>31556</v>
      </c>
      <c r="C14042" s="2" t="s">
        <v>31557</v>
      </c>
      <c r="D14042" s="2" t="str">
        <f>"330-575-7253"</f>
        <v>330-575-7253</v>
      </c>
      <c r="E14042" s="2" t="s">
        <v>938</v>
      </c>
      <c r="F14042" s="2" t="s">
        <v>31558</v>
      </c>
      <c r="G14042" s="2" t="str">
        <f>"SR-10241"</f>
        <v>SR-10241</v>
      </c>
      <c r="H14042" s="2" t="s">
        <v>31559</v>
      </c>
      <c r="I14042" s="2" t="s">
        <v>31560</v>
      </c>
      <c r="K14042" s="2" t="s">
        <v>31561</v>
      </c>
      <c r="L14042" s="2" t="s">
        <v>344</v>
      </c>
      <c r="M14042" s="2">
        <v>44601.0</v>
      </c>
      <c r="N14042" s="2" t="s">
        <v>21</v>
      </c>
    </row>
    <row r="14043" ht="15.75" customHeight="1">
      <c r="A14043" s="2">
        <v>2021.0</v>
      </c>
      <c r="B14043" s="2" t="s">
        <v>33387</v>
      </c>
      <c r="C14043" s="2" t="s">
        <v>53050</v>
      </c>
      <c r="D14043" s="2" t="str">
        <f>"9194556177"</f>
        <v>9194556177</v>
      </c>
      <c r="E14043" s="2" t="s">
        <v>160</v>
      </c>
      <c r="F14043" s="2" t="s">
        <v>11287</v>
      </c>
      <c r="G14043" s="2" t="str">
        <f>"SR-18968"</f>
        <v>SR-18968</v>
      </c>
      <c r="H14043" s="2" t="s">
        <v>53051</v>
      </c>
      <c r="I14043" s="2" t="s">
        <v>33390</v>
      </c>
      <c r="K14043" s="2" t="s">
        <v>33391</v>
      </c>
      <c r="L14043" s="2" t="s">
        <v>20</v>
      </c>
      <c r="M14043" s="2">
        <v>27596.0</v>
      </c>
      <c r="N14043" s="2" t="s">
        <v>21</v>
      </c>
    </row>
    <row r="14044" ht="15.75" customHeight="1">
      <c r="A14044" s="2">
        <v>2021.0</v>
      </c>
      <c r="B14044" s="2" t="s">
        <v>14186</v>
      </c>
      <c r="C14044" s="2" t="s">
        <v>55315</v>
      </c>
      <c r="D14044" s="2" t="str">
        <f>"8322948196"</f>
        <v>8322948196</v>
      </c>
      <c r="E14044" s="2" t="s">
        <v>2309</v>
      </c>
      <c r="F14044" s="2" t="s">
        <v>4897</v>
      </c>
      <c r="G14044" s="2" t="str">
        <f>"SR-20759"</f>
        <v>SR-20759</v>
      </c>
      <c r="H14044" s="2" t="s">
        <v>55316</v>
      </c>
      <c r="I14044" s="2" t="s">
        <v>55317</v>
      </c>
      <c r="K14044" s="2" t="s">
        <v>4350</v>
      </c>
      <c r="L14044" s="2" t="s">
        <v>172</v>
      </c>
      <c r="M14044" s="2">
        <v>77375.0</v>
      </c>
      <c r="N14044" s="2" t="s">
        <v>21</v>
      </c>
    </row>
    <row r="14045" ht="15.75" customHeight="1">
      <c r="A14045" s="2">
        <v>2021.0</v>
      </c>
      <c r="B14045" s="2" t="s">
        <v>49161</v>
      </c>
      <c r="C14045" s="2" t="s">
        <v>49162</v>
      </c>
      <c r="D14045" s="2" t="str">
        <f>"(360)896-1161"</f>
        <v>(360)896-1161</v>
      </c>
      <c r="E14045" s="2" t="s">
        <v>1799</v>
      </c>
      <c r="F14045" s="2" t="s">
        <v>49163</v>
      </c>
      <c r="G14045" s="2" t="str">
        <f>"SR-17408"</f>
        <v>SR-17408</v>
      </c>
      <c r="H14045" s="2" t="s">
        <v>49164</v>
      </c>
      <c r="I14045" s="2" t="s">
        <v>49165</v>
      </c>
      <c r="K14045" s="2" t="s">
        <v>13145</v>
      </c>
      <c r="L14045" s="2" t="s">
        <v>86</v>
      </c>
      <c r="M14045" s="2">
        <v>98662.0</v>
      </c>
      <c r="N14045" s="2" t="s">
        <v>21</v>
      </c>
    </row>
    <row r="14046" ht="15.75" customHeight="1">
      <c r="A14046" s="2">
        <v>2021.0</v>
      </c>
      <c r="B14046" s="2" t="s">
        <v>49871</v>
      </c>
      <c r="C14046" s="2" t="s">
        <v>49872</v>
      </c>
      <c r="D14046" s="2" t="str">
        <f>"919-691-3000"</f>
        <v>919-691-3000</v>
      </c>
      <c r="E14046" s="2" t="s">
        <v>678</v>
      </c>
      <c r="F14046" s="2" t="s">
        <v>3394</v>
      </c>
      <c r="G14046" s="2" t="str">
        <f>"SR-17681"</f>
        <v>SR-17681</v>
      </c>
      <c r="H14046" s="2" t="s">
        <v>49873</v>
      </c>
      <c r="I14046" s="2" t="s">
        <v>49874</v>
      </c>
      <c r="K14046" s="2" t="s">
        <v>8475</v>
      </c>
      <c r="L14046" s="2" t="s">
        <v>165</v>
      </c>
      <c r="M14046" s="2">
        <v>23188.0</v>
      </c>
      <c r="N14046" s="2" t="s">
        <v>21</v>
      </c>
    </row>
    <row r="14047" ht="15.75" customHeight="1">
      <c r="A14047" s="2">
        <v>2021.0</v>
      </c>
      <c r="B14047" s="2" t="s">
        <v>52304</v>
      </c>
      <c r="C14047" s="2" t="s">
        <v>52305</v>
      </c>
      <c r="D14047" s="2" t="str">
        <f>"803-665-1414"</f>
        <v>803-665-1414</v>
      </c>
      <c r="E14047" s="2" t="s">
        <v>908</v>
      </c>
      <c r="F14047" s="2" t="s">
        <v>52306</v>
      </c>
      <c r="G14047" s="2" t="str">
        <f>"SR-18692"</f>
        <v>SR-18692</v>
      </c>
      <c r="H14047" s="2" t="s">
        <v>52307</v>
      </c>
      <c r="I14047" s="2" t="s">
        <v>52308</v>
      </c>
      <c r="K14047" s="2" t="s">
        <v>2750</v>
      </c>
      <c r="L14047" s="2" t="s">
        <v>55</v>
      </c>
      <c r="M14047" s="2">
        <v>29223.0</v>
      </c>
      <c r="N14047" s="2" t="s">
        <v>21</v>
      </c>
    </row>
    <row r="14048" ht="15.75" customHeight="1">
      <c r="A14048" s="2">
        <v>2021.0</v>
      </c>
      <c r="B14048" s="2" t="s">
        <v>49547</v>
      </c>
      <c r="C14048" s="2" t="s">
        <v>49548</v>
      </c>
      <c r="D14048" s="2" t="str">
        <f>"9259187418"</f>
        <v>9259187418</v>
      </c>
      <c r="E14048" s="2" t="s">
        <v>1180</v>
      </c>
      <c r="F14048" s="2" t="s">
        <v>49544</v>
      </c>
      <c r="G14048" s="2" t="str">
        <f>"SR-17675"</f>
        <v>SR-17675</v>
      </c>
      <c r="H14048" s="2" t="s">
        <v>49549</v>
      </c>
      <c r="I14048" s="2" t="s">
        <v>49546</v>
      </c>
      <c r="K14048" s="2" t="s">
        <v>49550</v>
      </c>
      <c r="L14048" s="2" t="s">
        <v>222</v>
      </c>
      <c r="M14048" s="2">
        <v>94588.0</v>
      </c>
      <c r="N14048" s="2" t="s">
        <v>21</v>
      </c>
    </row>
    <row r="14049" ht="15.75" customHeight="1">
      <c r="A14049" s="2">
        <v>2021.0</v>
      </c>
      <c r="B14049" s="2" t="s">
        <v>49542</v>
      </c>
      <c r="C14049" s="2" t="s">
        <v>49543</v>
      </c>
      <c r="D14049" s="2" t="str">
        <f>"9255963894"</f>
        <v>9255963894</v>
      </c>
      <c r="E14049" s="2" t="s">
        <v>1208</v>
      </c>
      <c r="F14049" s="2" t="s">
        <v>49544</v>
      </c>
      <c r="G14049" s="2" t="str">
        <f>"SR-17674"</f>
        <v>SR-17674</v>
      </c>
      <c r="H14049" s="2" t="s">
        <v>49545</v>
      </c>
      <c r="I14049" s="2" t="s">
        <v>49546</v>
      </c>
      <c r="K14049" s="2" t="s">
        <v>15230</v>
      </c>
      <c r="L14049" s="2" t="s">
        <v>222</v>
      </c>
      <c r="M14049" s="2">
        <v>94588.0</v>
      </c>
      <c r="N14049" s="2" t="s">
        <v>21</v>
      </c>
    </row>
    <row r="14050" ht="15.75" customHeight="1">
      <c r="A14050" s="2">
        <v>2021.0</v>
      </c>
      <c r="B14050" s="2" t="s">
        <v>50591</v>
      </c>
      <c r="C14050" s="2" t="s">
        <v>50592</v>
      </c>
      <c r="D14050" s="2" t="str">
        <f>"2602670035"</f>
        <v>2602670035</v>
      </c>
      <c r="E14050" s="2" t="s">
        <v>2361</v>
      </c>
      <c r="F14050" s="2" t="s">
        <v>50593</v>
      </c>
      <c r="G14050" s="2" t="str">
        <f>"SR-18058"</f>
        <v>SR-18058</v>
      </c>
      <c r="H14050" s="2" t="s">
        <v>50594</v>
      </c>
      <c r="I14050" s="2" t="s">
        <v>50595</v>
      </c>
      <c r="K14050" s="2" t="s">
        <v>4298</v>
      </c>
      <c r="L14050" s="2" t="s">
        <v>149</v>
      </c>
      <c r="M14050" s="2">
        <v>46814.0</v>
      </c>
      <c r="N14050" s="2" t="s">
        <v>21</v>
      </c>
    </row>
    <row r="14051" ht="15.75" customHeight="1">
      <c r="A14051" s="2">
        <v>2021.0</v>
      </c>
      <c r="B14051" s="2" t="s">
        <v>55318</v>
      </c>
      <c r="C14051" s="2" t="s">
        <v>55319</v>
      </c>
      <c r="D14051" s="2" t="str">
        <f>"208-807-9517"</f>
        <v>208-807-9517</v>
      </c>
      <c r="E14051" s="2" t="s">
        <v>1548</v>
      </c>
      <c r="F14051" s="2" t="s">
        <v>55320</v>
      </c>
      <c r="G14051" s="2" t="str">
        <f>"SR-20763"</f>
        <v>SR-20763</v>
      </c>
      <c r="H14051" s="2" t="s">
        <v>55321</v>
      </c>
      <c r="I14051" s="2" t="s">
        <v>55322</v>
      </c>
      <c r="K14051" s="2" t="s">
        <v>10703</v>
      </c>
      <c r="L14051" s="2" t="s">
        <v>2613</v>
      </c>
      <c r="M14051" s="2">
        <v>83686.0</v>
      </c>
      <c r="N14051" s="2" t="s">
        <v>21</v>
      </c>
    </row>
    <row r="14052" ht="15.75" customHeight="1">
      <c r="A14052" s="2">
        <v>2021.0</v>
      </c>
      <c r="B14052" s="2" t="s">
        <v>49752</v>
      </c>
      <c r="C14052" s="2" t="s">
        <v>49752</v>
      </c>
      <c r="D14052" s="2" t="str">
        <f>"5857891499"</f>
        <v>5857891499</v>
      </c>
      <c r="E14052" s="2" t="s">
        <v>2089</v>
      </c>
      <c r="F14052" s="2" t="s">
        <v>49753</v>
      </c>
      <c r="G14052" s="2" t="str">
        <f>"SR-17776"</f>
        <v>SR-17776</v>
      </c>
      <c r="H14052" s="2" t="s">
        <v>49754</v>
      </c>
      <c r="I14052" s="2" t="s">
        <v>49755</v>
      </c>
      <c r="K14052" s="2" t="s">
        <v>35372</v>
      </c>
      <c r="L14052" s="2" t="s">
        <v>142</v>
      </c>
      <c r="M14052" s="2">
        <v>14414.0</v>
      </c>
      <c r="N14052" s="2" t="s">
        <v>21</v>
      </c>
    </row>
    <row r="14053" ht="15.75" customHeight="1">
      <c r="A14053" s="2">
        <v>2021.0</v>
      </c>
      <c r="B14053" s="2" t="s">
        <v>49752</v>
      </c>
      <c r="C14053" s="2" t="s">
        <v>49756</v>
      </c>
      <c r="D14053" s="2" t="str">
        <f>"5854410999"</f>
        <v>5854410999</v>
      </c>
      <c r="E14053" s="2" t="s">
        <v>72</v>
      </c>
      <c r="F14053" s="2" t="s">
        <v>49753</v>
      </c>
      <c r="G14053" s="2" t="str">
        <f>"SR-17777"</f>
        <v>SR-17777</v>
      </c>
      <c r="H14053" s="2" t="s">
        <v>49757</v>
      </c>
      <c r="I14053" s="2" t="s">
        <v>49758</v>
      </c>
      <c r="K14053" s="2" t="s">
        <v>35372</v>
      </c>
      <c r="L14053" s="2" t="s">
        <v>142</v>
      </c>
      <c r="M14053" s="2">
        <v>14414.0</v>
      </c>
      <c r="N14053" s="2" t="s">
        <v>21</v>
      </c>
    </row>
    <row r="14054" ht="15.75" customHeight="1">
      <c r="A14054" s="2">
        <v>2021.0</v>
      </c>
      <c r="B14054" s="2" t="s">
        <v>55323</v>
      </c>
      <c r="C14054" s="2" t="s">
        <v>55323</v>
      </c>
      <c r="D14054" s="2" t="str">
        <f>"+55 11 947463398"</f>
        <v>+55 11 947463398</v>
      </c>
      <c r="E14054" s="2" t="s">
        <v>23106</v>
      </c>
      <c r="F14054" s="2" t="s">
        <v>26303</v>
      </c>
      <c r="G14054" s="2" t="str">
        <f>"SR-20764"</f>
        <v>SR-20764</v>
      </c>
      <c r="H14054" s="2" t="s">
        <v>55324</v>
      </c>
      <c r="I14054" s="2" t="s">
        <v>55325</v>
      </c>
      <c r="K14054" s="2" t="s">
        <v>26306</v>
      </c>
      <c r="L14054" s="2" t="s">
        <v>26307</v>
      </c>
      <c r="M14054" s="2">
        <v>4746.0</v>
      </c>
      <c r="N14054" s="2" t="s">
        <v>5746</v>
      </c>
    </row>
    <row r="14055" ht="15.75" customHeight="1">
      <c r="A14055" s="2">
        <v>2021.0</v>
      </c>
      <c r="B14055" s="2" t="s">
        <v>44338</v>
      </c>
      <c r="C14055" s="2" t="s">
        <v>55326</v>
      </c>
      <c r="D14055" s="2" t="str">
        <f>"269-503-9019"</f>
        <v>269-503-9019</v>
      </c>
      <c r="E14055" s="2" t="s">
        <v>22906</v>
      </c>
      <c r="F14055" s="2" t="s">
        <v>44340</v>
      </c>
      <c r="G14055" s="2" t="str">
        <f>"SR-18754"</f>
        <v>SR-18754</v>
      </c>
      <c r="H14055" s="2" t="s">
        <v>55327</v>
      </c>
      <c r="I14055" s="2" t="s">
        <v>44342</v>
      </c>
      <c r="K14055" s="2" t="s">
        <v>44343</v>
      </c>
      <c r="L14055" s="2" t="s">
        <v>29</v>
      </c>
      <c r="M14055" s="2">
        <v>49099.0</v>
      </c>
      <c r="N14055" s="2" t="s">
        <v>21</v>
      </c>
    </row>
    <row r="14056" ht="15.75" customHeight="1">
      <c r="A14056" s="2">
        <v>2021.0</v>
      </c>
      <c r="B14056" s="2" t="s">
        <v>51943</v>
      </c>
      <c r="C14056" s="2" t="s">
        <v>51944</v>
      </c>
      <c r="D14056" s="2" t="str">
        <f>"7193560259"</f>
        <v>7193560259</v>
      </c>
      <c r="E14056" s="2" t="s">
        <v>778</v>
      </c>
      <c r="F14056" s="2" t="s">
        <v>10358</v>
      </c>
      <c r="G14056" s="2" t="str">
        <f>"SR-17487"</f>
        <v>SR-17487</v>
      </c>
      <c r="H14056" s="2" t="s">
        <v>51945</v>
      </c>
      <c r="I14056" s="2" t="s">
        <v>51946</v>
      </c>
      <c r="K14056" s="2" t="s">
        <v>507</v>
      </c>
      <c r="L14056" s="2" t="s">
        <v>157</v>
      </c>
      <c r="M14056" s="2">
        <v>80132.0</v>
      </c>
      <c r="N14056" s="2" t="s">
        <v>21</v>
      </c>
    </row>
    <row r="14057" ht="15.75" customHeight="1">
      <c r="A14057" s="2">
        <v>2021.0</v>
      </c>
      <c r="B14057" s="2" t="s">
        <v>49491</v>
      </c>
      <c r="D14057" s="2" t="str">
        <f>""</f>
        <v/>
      </c>
      <c r="E14057" s="2" t="s">
        <v>471</v>
      </c>
      <c r="F14057" s="2" t="s">
        <v>49492</v>
      </c>
      <c r="G14057" s="2" t="str">
        <f>"SR-17645"</f>
        <v>SR-17645</v>
      </c>
      <c r="H14057" s="2" t="s">
        <v>49493</v>
      </c>
    </row>
    <row r="14058" ht="15.75" customHeight="1">
      <c r="A14058" s="2">
        <v>2021.0</v>
      </c>
      <c r="B14058" s="2" t="s">
        <v>51860</v>
      </c>
      <c r="C14058" s="2" t="s">
        <v>51861</v>
      </c>
      <c r="D14058" s="2" t="str">
        <f>"816-591-9473"</f>
        <v>816-591-9473</v>
      </c>
      <c r="E14058" s="2" t="s">
        <v>2243</v>
      </c>
      <c r="F14058" s="2" t="s">
        <v>51862</v>
      </c>
      <c r="G14058" s="2" t="str">
        <f>"SR-18411"</f>
        <v>SR-18411</v>
      </c>
      <c r="H14058" s="2" t="s">
        <v>51863</v>
      </c>
      <c r="I14058" s="2" t="s">
        <v>51864</v>
      </c>
      <c r="K14058" s="2" t="s">
        <v>3212</v>
      </c>
      <c r="L14058" s="2" t="s">
        <v>272</v>
      </c>
      <c r="M14058" s="2">
        <v>67114.0</v>
      </c>
      <c r="N14058" s="2" t="s">
        <v>21</v>
      </c>
    </row>
    <row r="14059" ht="15.75" customHeight="1">
      <c r="A14059" s="2">
        <v>2021.0</v>
      </c>
      <c r="B14059" s="2" t="s">
        <v>49809</v>
      </c>
      <c r="C14059" s="2" t="s">
        <v>49809</v>
      </c>
      <c r="D14059" s="2" t="str">
        <f>"2709801801"</f>
        <v>2709801801</v>
      </c>
      <c r="E14059" s="2" t="s">
        <v>1548</v>
      </c>
      <c r="F14059" s="2" t="s">
        <v>17530</v>
      </c>
      <c r="G14059" s="2" t="str">
        <f>"SR-17795"</f>
        <v>SR-17795</v>
      </c>
      <c r="H14059" s="2" t="s">
        <v>49810</v>
      </c>
      <c r="I14059" s="2" t="s">
        <v>49811</v>
      </c>
      <c r="K14059" s="2" t="s">
        <v>44754</v>
      </c>
      <c r="L14059" s="2" t="s">
        <v>1236</v>
      </c>
      <c r="M14059" s="2">
        <v>40108.0</v>
      </c>
      <c r="N14059" s="2" t="s">
        <v>21</v>
      </c>
    </row>
    <row r="14060" ht="15.75" customHeight="1">
      <c r="A14060" s="2">
        <v>2021.0</v>
      </c>
      <c r="B14060" s="2" t="s">
        <v>55328</v>
      </c>
      <c r="C14060" s="2" t="s">
        <v>55329</v>
      </c>
      <c r="D14060" s="2" t="str">
        <f>"(405) 574-4568"</f>
        <v>(405) 574-4568</v>
      </c>
      <c r="E14060" s="2" t="s">
        <v>24039</v>
      </c>
      <c r="F14060" s="2" t="s">
        <v>13776</v>
      </c>
      <c r="G14060" s="2" t="str">
        <f>"SR-20768"</f>
        <v>SR-20768</v>
      </c>
      <c r="H14060" s="2" t="s">
        <v>55330</v>
      </c>
      <c r="I14060" s="2" t="s">
        <v>55331</v>
      </c>
      <c r="K14060" s="2" t="s">
        <v>611</v>
      </c>
      <c r="L14060" s="2" t="s">
        <v>840</v>
      </c>
      <c r="M14060" s="2">
        <v>73004.0</v>
      </c>
      <c r="N14060" s="2" t="s">
        <v>21</v>
      </c>
    </row>
    <row r="14061" ht="15.75" customHeight="1">
      <c r="A14061" s="2">
        <v>2021.0</v>
      </c>
      <c r="B14061" s="2" t="s">
        <v>37312</v>
      </c>
      <c r="C14061" s="2" t="s">
        <v>49218</v>
      </c>
      <c r="D14061" s="2" t="str">
        <f>"719-203-0388"</f>
        <v>719-203-0388</v>
      </c>
      <c r="E14061" s="2" t="s">
        <v>49219</v>
      </c>
      <c r="F14061" s="2" t="s">
        <v>16188</v>
      </c>
      <c r="G14061" s="2" t="str">
        <f>"SR-17518"</f>
        <v>SR-17518</v>
      </c>
      <c r="H14061" s="2" t="s">
        <v>49220</v>
      </c>
      <c r="I14061" s="2" t="s">
        <v>16190</v>
      </c>
      <c r="K14061" s="2" t="s">
        <v>809</v>
      </c>
      <c r="L14061" s="2" t="s">
        <v>157</v>
      </c>
      <c r="M14061" s="2">
        <v>80920.0</v>
      </c>
      <c r="N14061" s="2" t="s">
        <v>21</v>
      </c>
    </row>
    <row r="14062" ht="15.75" customHeight="1">
      <c r="A14062" s="2">
        <v>2021.0</v>
      </c>
      <c r="B14062" s="2" t="s">
        <v>55332</v>
      </c>
      <c r="C14062" s="2" t="s">
        <v>55332</v>
      </c>
      <c r="D14062" s="2" t="str">
        <f>"(971) 601-0532"</f>
        <v>(971) 601-0532</v>
      </c>
      <c r="E14062" s="2" t="s">
        <v>55333</v>
      </c>
      <c r="F14062" s="2" t="s">
        <v>55334</v>
      </c>
      <c r="G14062" s="2" t="str">
        <f>"SR-20733"</f>
        <v>SR-20733</v>
      </c>
      <c r="H14062" s="2" t="s">
        <v>55335</v>
      </c>
      <c r="I14062" s="2" t="s">
        <v>55336</v>
      </c>
      <c r="K14062" s="2" t="s">
        <v>55337</v>
      </c>
      <c r="L14062" s="2" t="s">
        <v>2389</v>
      </c>
      <c r="M14062" s="2">
        <v>97103.0</v>
      </c>
      <c r="N14062" s="2" t="s">
        <v>21</v>
      </c>
    </row>
    <row r="14063" ht="15.75" customHeight="1">
      <c r="A14063" s="2">
        <v>2021.0</v>
      </c>
      <c r="B14063" s="2" t="s">
        <v>55166</v>
      </c>
      <c r="C14063" s="2" t="s">
        <v>55166</v>
      </c>
      <c r="D14063" s="2" t="str">
        <f>"704-929-5556"</f>
        <v>704-929-5556</v>
      </c>
      <c r="E14063" s="2" t="s">
        <v>1761</v>
      </c>
      <c r="F14063" s="2" t="s">
        <v>46965</v>
      </c>
      <c r="G14063" s="2" t="str">
        <f>"SR-20258"</f>
        <v>SR-20258</v>
      </c>
      <c r="H14063" s="2" t="s">
        <v>55167</v>
      </c>
      <c r="I14063" s="2" t="s">
        <v>55168</v>
      </c>
      <c r="K14063" s="2" t="s">
        <v>2494</v>
      </c>
      <c r="L14063" s="2" t="s">
        <v>20</v>
      </c>
      <c r="M14063" s="2">
        <v>28677.0</v>
      </c>
      <c r="N14063" s="2" t="s">
        <v>21</v>
      </c>
    </row>
    <row r="14064" ht="15.75" customHeight="1">
      <c r="A14064" s="2">
        <v>2021.0</v>
      </c>
      <c r="B14064" s="2" t="s">
        <v>25209</v>
      </c>
      <c r="C14064" s="2" t="s">
        <v>52021</v>
      </c>
      <c r="D14064" s="2" t="str">
        <f>"7013199255"</f>
        <v>7013199255</v>
      </c>
      <c r="E14064" s="2" t="s">
        <v>5736</v>
      </c>
      <c r="F14064" s="2" t="s">
        <v>4492</v>
      </c>
      <c r="G14064" s="2" t="str">
        <f>"SR-18584"</f>
        <v>SR-18584</v>
      </c>
      <c r="H14064" s="2" t="s">
        <v>52022</v>
      </c>
      <c r="I14064" s="2" t="s">
        <v>25213</v>
      </c>
      <c r="K14064" s="2" t="s">
        <v>4495</v>
      </c>
      <c r="L14064" s="2" t="s">
        <v>2534</v>
      </c>
      <c r="M14064" s="2">
        <v>58554.0</v>
      </c>
      <c r="N14064" s="2" t="s">
        <v>21</v>
      </c>
    </row>
    <row r="14065" ht="15.75" customHeight="1">
      <c r="A14065" s="2">
        <v>2021.0</v>
      </c>
      <c r="B14065" s="2" t="s">
        <v>55027</v>
      </c>
      <c r="C14065" s="2" t="s">
        <v>55028</v>
      </c>
      <c r="D14065" s="2" t="str">
        <f>"2404466971"</f>
        <v>2404466971</v>
      </c>
      <c r="E14065" s="2" t="s">
        <v>5248</v>
      </c>
      <c r="F14065" s="2" t="s">
        <v>55029</v>
      </c>
      <c r="G14065" s="2" t="str">
        <f>"SR-20510"</f>
        <v>SR-20510</v>
      </c>
      <c r="H14065" s="2" t="s">
        <v>55030</v>
      </c>
      <c r="I14065" s="2" t="s">
        <v>55031</v>
      </c>
      <c r="K14065" s="2" t="s">
        <v>1593</v>
      </c>
      <c r="L14065" s="2" t="s">
        <v>422</v>
      </c>
      <c r="M14065" s="2">
        <v>85255.0</v>
      </c>
      <c r="N14065" s="2" t="s">
        <v>21</v>
      </c>
    </row>
    <row r="14066" ht="15.75" customHeight="1">
      <c r="A14066" s="2">
        <v>2021.0</v>
      </c>
      <c r="B14066" s="2" t="s">
        <v>55027</v>
      </c>
      <c r="C14066" s="2" t="s">
        <v>55076</v>
      </c>
      <c r="D14066" s="2" t="str">
        <f>"7032688472"</f>
        <v>7032688472</v>
      </c>
      <c r="E14066" s="2" t="s">
        <v>282</v>
      </c>
      <c r="F14066" s="2" t="s">
        <v>55029</v>
      </c>
      <c r="G14066" s="2" t="str">
        <f>"SR-20511"</f>
        <v>SR-20511</v>
      </c>
      <c r="H14066" s="2" t="s">
        <v>55077</v>
      </c>
      <c r="I14066" s="2" t="s">
        <v>55078</v>
      </c>
      <c r="K14066" s="2" t="s">
        <v>1593</v>
      </c>
      <c r="L14066" s="2" t="s">
        <v>422</v>
      </c>
      <c r="M14066" s="2">
        <v>85255.0</v>
      </c>
      <c r="N14066" s="2" t="s">
        <v>21</v>
      </c>
    </row>
    <row r="14067" ht="15.75" customHeight="1">
      <c r="A14067" s="2">
        <v>2021.0</v>
      </c>
      <c r="B14067" s="2" t="s">
        <v>35948</v>
      </c>
      <c r="C14067" s="2" t="s">
        <v>49580</v>
      </c>
      <c r="D14067" s="2" t="str">
        <f>"720-749-0144"</f>
        <v>720-749-0144</v>
      </c>
      <c r="E14067" s="2" t="s">
        <v>49581</v>
      </c>
      <c r="F14067" s="2" t="s">
        <v>22526</v>
      </c>
      <c r="G14067" s="2" t="str">
        <f>"SR-17704"</f>
        <v>SR-17704</v>
      </c>
      <c r="H14067" s="2" t="s">
        <v>49582</v>
      </c>
      <c r="I14067" s="2" t="s">
        <v>49583</v>
      </c>
      <c r="K14067" s="2" t="s">
        <v>1520</v>
      </c>
      <c r="L14067" s="2" t="s">
        <v>157</v>
      </c>
      <c r="M14067" s="2">
        <v>80015.0</v>
      </c>
      <c r="N14067" s="2" t="s">
        <v>21</v>
      </c>
    </row>
    <row r="14068" ht="15.75" customHeight="1">
      <c r="A14068" s="2">
        <v>2021.0</v>
      </c>
      <c r="B14068" s="2" t="s">
        <v>55338</v>
      </c>
      <c r="C14068" s="2" t="s">
        <v>55339</v>
      </c>
      <c r="D14068" s="2" t="str">
        <f>"719-725-0806"</f>
        <v>719-725-0806</v>
      </c>
      <c r="E14068" s="2" t="s">
        <v>705</v>
      </c>
      <c r="F14068" s="2" t="s">
        <v>55340</v>
      </c>
      <c r="G14068" s="2" t="str">
        <f>"SR-20776"</f>
        <v>SR-20776</v>
      </c>
      <c r="H14068" s="2" t="s">
        <v>55341</v>
      </c>
      <c r="I14068" s="2" t="s">
        <v>55342</v>
      </c>
      <c r="K14068" s="2" t="s">
        <v>809</v>
      </c>
      <c r="L14068" s="2" t="s">
        <v>157</v>
      </c>
      <c r="M14068" s="2">
        <v>80920.0</v>
      </c>
      <c r="N14068" s="2" t="s">
        <v>21</v>
      </c>
    </row>
    <row r="14069" ht="15.75" customHeight="1">
      <c r="A14069" s="2">
        <v>2021.0</v>
      </c>
      <c r="B14069" s="2" t="s">
        <v>55343</v>
      </c>
      <c r="C14069" s="2" t="s">
        <v>55344</v>
      </c>
      <c r="D14069" s="2" t="str">
        <f>"6128070777"</f>
        <v>6128070777</v>
      </c>
      <c r="E14069" s="2" t="s">
        <v>27873</v>
      </c>
      <c r="F14069" s="2" t="s">
        <v>55345</v>
      </c>
      <c r="G14069" s="2" t="str">
        <f>"SR-20778"</f>
        <v>SR-20778</v>
      </c>
      <c r="H14069" s="2" t="s">
        <v>55346</v>
      </c>
      <c r="I14069" s="2" t="s">
        <v>55347</v>
      </c>
      <c r="K14069" s="2" t="s">
        <v>8609</v>
      </c>
      <c r="L14069" s="2" t="s">
        <v>62</v>
      </c>
      <c r="M14069" s="2">
        <v>55311.0</v>
      </c>
      <c r="N14069" s="2" t="s">
        <v>21</v>
      </c>
    </row>
    <row r="14070" ht="15.75" customHeight="1">
      <c r="A14070" s="2">
        <v>2021.0</v>
      </c>
      <c r="B14070" s="2" t="s">
        <v>50010</v>
      </c>
      <c r="C14070" s="2" t="s">
        <v>50011</v>
      </c>
      <c r="D14070" s="2" t="str">
        <f>"423-544-9832"</f>
        <v>423-544-9832</v>
      </c>
      <c r="E14070" s="2" t="s">
        <v>2361</v>
      </c>
      <c r="F14070" s="2" t="s">
        <v>50012</v>
      </c>
      <c r="G14070" s="2" t="str">
        <f>"SR-17785"</f>
        <v>SR-17785</v>
      </c>
      <c r="H14070" s="2" t="s">
        <v>50013</v>
      </c>
      <c r="I14070" s="2" t="s">
        <v>50014</v>
      </c>
      <c r="K14070" s="2" t="s">
        <v>4310</v>
      </c>
      <c r="L14070" s="2" t="s">
        <v>279</v>
      </c>
      <c r="M14070" s="2">
        <v>37321.0</v>
      </c>
      <c r="N14070" s="2" t="s">
        <v>21</v>
      </c>
    </row>
    <row r="14071" ht="15.75" customHeight="1">
      <c r="A14071" s="2">
        <v>2021.0</v>
      </c>
      <c r="B14071" s="2" t="s">
        <v>45330</v>
      </c>
      <c r="C14071" s="2" t="s">
        <v>50380</v>
      </c>
      <c r="D14071" s="2" t="str">
        <f>"256-808-9377"</f>
        <v>256-808-9377</v>
      </c>
      <c r="E14071" s="2" t="s">
        <v>4406</v>
      </c>
      <c r="F14071" s="2" t="s">
        <v>23077</v>
      </c>
      <c r="G14071" s="2" t="str">
        <f>"SR-17705"</f>
        <v>SR-17705</v>
      </c>
      <c r="H14071" s="2" t="s">
        <v>50381</v>
      </c>
      <c r="I14071" s="2" t="s">
        <v>45333</v>
      </c>
      <c r="K14071" s="2" t="s">
        <v>1408</v>
      </c>
      <c r="L14071" s="2" t="s">
        <v>279</v>
      </c>
      <c r="M14071" s="2">
        <v>37323.0</v>
      </c>
      <c r="N14071" s="2" t="s">
        <v>21</v>
      </c>
    </row>
    <row r="14072" ht="15.75" customHeight="1">
      <c r="A14072" s="2">
        <v>2021.0</v>
      </c>
      <c r="B14072" s="2" t="s">
        <v>55348</v>
      </c>
      <c r="C14072" s="2" t="s">
        <v>55349</v>
      </c>
      <c r="D14072" s="2" t="str">
        <f>"2017964167"</f>
        <v>2017964167</v>
      </c>
      <c r="E14072" s="2" t="s">
        <v>144</v>
      </c>
      <c r="F14072" s="2" t="s">
        <v>2296</v>
      </c>
      <c r="G14072" s="2" t="str">
        <f>"SR-20782"</f>
        <v>SR-20782</v>
      </c>
      <c r="H14072" s="2" t="s">
        <v>49950</v>
      </c>
      <c r="I14072" s="2" t="s">
        <v>49951</v>
      </c>
      <c r="K14072" s="2" t="s">
        <v>55350</v>
      </c>
      <c r="L14072" s="2" t="s">
        <v>172</v>
      </c>
      <c r="M14072" s="2">
        <v>77382.0</v>
      </c>
      <c r="N14072" s="2" t="s">
        <v>21</v>
      </c>
    </row>
    <row r="14073" ht="15.75" customHeight="1">
      <c r="A14073" s="2">
        <v>2021.0</v>
      </c>
      <c r="B14073" s="2" t="s">
        <v>55351</v>
      </c>
      <c r="C14073" s="2" t="s">
        <v>55352</v>
      </c>
      <c r="D14073" s="2" t="str">
        <f>"7375291130"</f>
        <v>7375291130</v>
      </c>
      <c r="E14073" s="2" t="s">
        <v>684</v>
      </c>
      <c r="F14073" s="2" t="s">
        <v>3576</v>
      </c>
      <c r="G14073" s="2" t="str">
        <f>"SR-20783"</f>
        <v>SR-20783</v>
      </c>
      <c r="H14073" s="2" t="s">
        <v>55353</v>
      </c>
      <c r="I14073" s="2" t="s">
        <v>55354</v>
      </c>
      <c r="K14073" s="2" t="s">
        <v>1249</v>
      </c>
      <c r="L14073" s="2" t="s">
        <v>172</v>
      </c>
      <c r="M14073" s="2">
        <v>78613.0</v>
      </c>
      <c r="N14073" s="2" t="s">
        <v>21</v>
      </c>
    </row>
    <row r="14074" ht="15.75" customHeight="1">
      <c r="A14074" s="2">
        <v>2021.0</v>
      </c>
      <c r="B14074" s="2" t="s">
        <v>50131</v>
      </c>
      <c r="C14074" s="2" t="s">
        <v>50131</v>
      </c>
      <c r="D14074" s="2" t="str">
        <f>"9196033730"</f>
        <v>9196033730</v>
      </c>
      <c r="E14074" s="2" t="s">
        <v>453</v>
      </c>
      <c r="F14074" s="2" t="s">
        <v>33030</v>
      </c>
      <c r="G14074" s="2" t="str">
        <f>"SR-17788"</f>
        <v>SR-17788</v>
      </c>
      <c r="H14074" s="2" t="s">
        <v>50132</v>
      </c>
      <c r="I14074" s="2" t="s">
        <v>50133</v>
      </c>
      <c r="K14074" s="2" t="s">
        <v>24227</v>
      </c>
      <c r="L14074" s="2" t="s">
        <v>20</v>
      </c>
      <c r="M14074" s="2">
        <v>27565.0</v>
      </c>
      <c r="N14074" s="2" t="s">
        <v>21</v>
      </c>
    </row>
    <row r="14075" ht="15.75" customHeight="1">
      <c r="A14075" s="2">
        <v>2021.0</v>
      </c>
      <c r="B14075" s="2" t="s">
        <v>55355</v>
      </c>
      <c r="C14075" s="2" t="s">
        <v>55355</v>
      </c>
      <c r="D14075" s="2" t="str">
        <f>"210-779-5307"</f>
        <v>210-779-5307</v>
      </c>
      <c r="E14075" s="2" t="s">
        <v>21758</v>
      </c>
      <c r="F14075" s="2" t="s">
        <v>33030</v>
      </c>
      <c r="G14075" s="2" t="str">
        <f>"SR-20784"</f>
        <v>SR-20784</v>
      </c>
      <c r="H14075" s="2" t="s">
        <v>55356</v>
      </c>
      <c r="I14075" s="2" t="s">
        <v>50133</v>
      </c>
      <c r="K14075" s="2" t="s">
        <v>24227</v>
      </c>
      <c r="L14075" s="2" t="s">
        <v>20</v>
      </c>
      <c r="M14075" s="2">
        <v>27565.0</v>
      </c>
      <c r="N14075" s="2" t="s">
        <v>21</v>
      </c>
    </row>
    <row r="14076" ht="15.75" customHeight="1">
      <c r="A14076" s="2">
        <v>2021.0</v>
      </c>
      <c r="B14076" s="2" t="s">
        <v>54954</v>
      </c>
      <c r="C14076" s="2" t="s">
        <v>54955</v>
      </c>
      <c r="D14076" s="2" t="str">
        <f>"3364390854"</f>
        <v>3364390854</v>
      </c>
      <c r="E14076" s="2" t="s">
        <v>2825</v>
      </c>
      <c r="F14076" s="2" t="s">
        <v>27605</v>
      </c>
      <c r="G14076" s="2" t="str">
        <f>"SR-18631"</f>
        <v>SR-18631</v>
      </c>
      <c r="H14076" s="2" t="s">
        <v>54956</v>
      </c>
      <c r="I14076" s="2" t="s">
        <v>54957</v>
      </c>
      <c r="K14076" s="2" t="s">
        <v>15399</v>
      </c>
      <c r="L14076" s="2" t="s">
        <v>20</v>
      </c>
      <c r="M14076" s="2">
        <v>27249.0</v>
      </c>
      <c r="N14076" s="2" t="s">
        <v>21</v>
      </c>
    </row>
    <row r="14077" ht="15.75" customHeight="1">
      <c r="A14077" s="2">
        <v>2021.0</v>
      </c>
      <c r="B14077" s="2" t="s">
        <v>44973</v>
      </c>
      <c r="C14077" s="2" t="s">
        <v>55357</v>
      </c>
      <c r="D14077" s="2" t="str">
        <f>"3179669180"</f>
        <v>3179669180</v>
      </c>
      <c r="E14077" s="2" t="s">
        <v>1810</v>
      </c>
      <c r="F14077" s="2" t="s">
        <v>44975</v>
      </c>
      <c r="G14077" s="2" t="str">
        <f>"SR-20684"</f>
        <v>SR-20684</v>
      </c>
      <c r="H14077" s="2" t="s">
        <v>55358</v>
      </c>
      <c r="I14077" s="2" t="s">
        <v>55359</v>
      </c>
      <c r="K14077" s="2" t="s">
        <v>408</v>
      </c>
      <c r="L14077" s="2" t="s">
        <v>149</v>
      </c>
      <c r="M14077" s="2">
        <v>46077.0</v>
      </c>
      <c r="N14077" s="2" t="s">
        <v>21</v>
      </c>
    </row>
    <row r="14078" ht="15.75" customHeight="1">
      <c r="A14078" s="2">
        <v>2021.0</v>
      </c>
      <c r="B14078" s="2" t="s">
        <v>55215</v>
      </c>
      <c r="C14078" s="2" t="s">
        <v>55216</v>
      </c>
      <c r="D14078" s="2" t="str">
        <f>"7038016639"</f>
        <v>7038016639</v>
      </c>
      <c r="E14078" s="2" t="s">
        <v>1548</v>
      </c>
      <c r="F14078" s="2" t="s">
        <v>37900</v>
      </c>
      <c r="G14078" s="2" t="str">
        <f>"SR-20657"</f>
        <v>SR-20657</v>
      </c>
      <c r="H14078" s="2" t="s">
        <v>55217</v>
      </c>
      <c r="I14078" s="2" t="s">
        <v>55218</v>
      </c>
      <c r="K14078" s="2" t="s">
        <v>3656</v>
      </c>
      <c r="L14078" s="2" t="s">
        <v>165</v>
      </c>
      <c r="M14078" s="2">
        <v>22101.0</v>
      </c>
      <c r="N14078" s="2" t="s">
        <v>21</v>
      </c>
    </row>
    <row r="14079" ht="15.75" customHeight="1">
      <c r="A14079" s="2">
        <v>2021.0</v>
      </c>
      <c r="B14079" s="2" t="s">
        <v>39905</v>
      </c>
      <c r="C14079" s="2" t="s">
        <v>52647</v>
      </c>
      <c r="D14079" s="2" t="str">
        <f>"6052235278"</f>
        <v>6052235278</v>
      </c>
      <c r="E14079" s="2" t="s">
        <v>2401</v>
      </c>
      <c r="F14079" s="2" t="s">
        <v>39907</v>
      </c>
      <c r="G14079" s="2" t="str">
        <f>"SR-18743"</f>
        <v>SR-18743</v>
      </c>
      <c r="H14079" s="2" t="s">
        <v>52648</v>
      </c>
      <c r="I14079" s="2" t="s">
        <v>52649</v>
      </c>
      <c r="K14079" s="2" t="s">
        <v>919</v>
      </c>
      <c r="L14079" s="2" t="s">
        <v>920</v>
      </c>
      <c r="M14079" s="2">
        <v>57107.0</v>
      </c>
      <c r="N14079" s="2" t="s">
        <v>21</v>
      </c>
    </row>
    <row r="14080" ht="15.75" customHeight="1">
      <c r="A14080" s="2">
        <v>2021.0</v>
      </c>
      <c r="B14080" s="2" t="s">
        <v>55360</v>
      </c>
      <c r="C14080" s="2" t="s">
        <v>55361</v>
      </c>
      <c r="D14080" s="2" t="str">
        <f>"6128896029"</f>
        <v>6128896029</v>
      </c>
      <c r="E14080" s="2" t="s">
        <v>584</v>
      </c>
      <c r="F14080" s="2" t="s">
        <v>2847</v>
      </c>
      <c r="G14080" s="2" t="str">
        <f>"SR-20767"</f>
        <v>SR-20767</v>
      </c>
      <c r="H14080" s="2" t="s">
        <v>55362</v>
      </c>
      <c r="I14080" s="2" t="s">
        <v>55363</v>
      </c>
      <c r="K14080" s="2" t="s">
        <v>1019</v>
      </c>
      <c r="L14080" s="2" t="s">
        <v>62</v>
      </c>
      <c r="M14080" s="2">
        <v>55437.0</v>
      </c>
      <c r="N14080" s="2" t="s">
        <v>21</v>
      </c>
    </row>
    <row r="14081" ht="15.75" customHeight="1">
      <c r="A14081" s="2">
        <v>2021.0</v>
      </c>
      <c r="B14081" s="2" t="s">
        <v>50336</v>
      </c>
      <c r="C14081" s="2" t="s">
        <v>50337</v>
      </c>
      <c r="D14081" s="2" t="str">
        <f>"9312126962"</f>
        <v>9312126962</v>
      </c>
      <c r="E14081" s="2" t="s">
        <v>590</v>
      </c>
      <c r="F14081" s="2" t="s">
        <v>50338</v>
      </c>
      <c r="G14081" s="2" t="str">
        <f>"SR-17977"</f>
        <v>SR-17977</v>
      </c>
      <c r="H14081" s="2" t="s">
        <v>50339</v>
      </c>
      <c r="I14081" s="2" t="s">
        <v>50340</v>
      </c>
      <c r="K14081" s="2" t="s">
        <v>12405</v>
      </c>
      <c r="L14081" s="2" t="s">
        <v>279</v>
      </c>
      <c r="M14081" s="2">
        <v>37128.0</v>
      </c>
      <c r="N14081" s="2" t="s">
        <v>21</v>
      </c>
    </row>
    <row r="14082" ht="15.75" customHeight="1">
      <c r="A14082" s="2">
        <v>2021.0</v>
      </c>
      <c r="B14082" s="2" t="s">
        <v>50327</v>
      </c>
      <c r="C14082" s="2" t="s">
        <v>50328</v>
      </c>
      <c r="D14082" s="2" t="str">
        <f>"931-703-4836"</f>
        <v>931-703-4836</v>
      </c>
      <c r="E14082" s="2" t="s">
        <v>250</v>
      </c>
      <c r="F14082" s="2" t="s">
        <v>12686</v>
      </c>
      <c r="G14082" s="2" t="str">
        <f>"SR-17973"</f>
        <v>SR-17973</v>
      </c>
      <c r="H14082" s="2" t="s">
        <v>50329</v>
      </c>
      <c r="I14082" s="2" t="s">
        <v>50330</v>
      </c>
      <c r="K14082" s="2" t="s">
        <v>50331</v>
      </c>
      <c r="L14082" s="2" t="s">
        <v>279</v>
      </c>
      <c r="M14082" s="2">
        <v>37020.0</v>
      </c>
      <c r="N14082" s="2" t="s">
        <v>21</v>
      </c>
    </row>
    <row r="14083" ht="15.75" customHeight="1">
      <c r="A14083" s="2">
        <v>2021.0</v>
      </c>
      <c r="B14083" s="2" t="s">
        <v>49147</v>
      </c>
      <c r="C14083" s="2" t="s">
        <v>49148</v>
      </c>
      <c r="D14083" s="2" t="str">
        <f>"9079030665"</f>
        <v>9079030665</v>
      </c>
      <c r="E14083" s="2" t="s">
        <v>485</v>
      </c>
      <c r="F14083" s="2" t="s">
        <v>49149</v>
      </c>
      <c r="G14083" s="2" t="str">
        <f>"SR-17468"</f>
        <v>SR-17468</v>
      </c>
      <c r="H14083" s="2" t="s">
        <v>49150</v>
      </c>
      <c r="I14083" s="2" t="s">
        <v>49151</v>
      </c>
      <c r="K14083" s="2" t="s">
        <v>69</v>
      </c>
      <c r="L14083" s="2" t="s">
        <v>70</v>
      </c>
      <c r="M14083" s="2">
        <v>99516.0</v>
      </c>
      <c r="N14083" s="2" t="s">
        <v>21</v>
      </c>
    </row>
    <row r="14084" ht="15.75" customHeight="1">
      <c r="A14084" s="2">
        <v>2021.0</v>
      </c>
      <c r="B14084" s="2" t="s">
        <v>55364</v>
      </c>
      <c r="C14084" s="2" t="s">
        <v>55365</v>
      </c>
      <c r="D14084" s="2" t="str">
        <f>"2483699152"</f>
        <v>2483699152</v>
      </c>
      <c r="E14084" s="2" t="s">
        <v>485</v>
      </c>
      <c r="F14084" s="2" t="s">
        <v>55366</v>
      </c>
      <c r="G14084" s="2" t="str">
        <f>"SR-19448"</f>
        <v>SR-19448</v>
      </c>
      <c r="H14084" s="2" t="s">
        <v>55367</v>
      </c>
      <c r="I14084" s="2" t="s">
        <v>55368</v>
      </c>
      <c r="K14084" s="2" t="s">
        <v>42877</v>
      </c>
      <c r="L14084" s="2" t="s">
        <v>29</v>
      </c>
      <c r="M14084" s="2">
        <v>48430.0</v>
      </c>
      <c r="N14084" s="2" t="s">
        <v>21</v>
      </c>
    </row>
    <row r="14085" ht="15.75" customHeight="1">
      <c r="A14085" s="2">
        <v>2021.0</v>
      </c>
      <c r="B14085" s="2" t="s">
        <v>50344</v>
      </c>
      <c r="D14085" s="2" t="str">
        <f t="shared" ref="D14085:D14086" si="238">""</f>
        <v/>
      </c>
      <c r="E14085" s="2" t="s">
        <v>678</v>
      </c>
      <c r="F14085" s="2" t="s">
        <v>40817</v>
      </c>
      <c r="G14085" s="2" t="str">
        <f>"SR-17989"</f>
        <v>SR-17989</v>
      </c>
      <c r="H14085" s="2" t="s">
        <v>50345</v>
      </c>
      <c r="N14085" s="2" t="s">
        <v>21</v>
      </c>
    </row>
    <row r="14086" ht="15.75" customHeight="1">
      <c r="A14086" s="2">
        <v>2021.0</v>
      </c>
      <c r="B14086" s="2" t="s">
        <v>49599</v>
      </c>
      <c r="D14086" s="2" t="str">
        <f t="shared" si="238"/>
        <v/>
      </c>
      <c r="E14086" s="2" t="s">
        <v>9470</v>
      </c>
      <c r="F14086" s="2" t="s">
        <v>23520</v>
      </c>
      <c r="G14086" s="2" t="str">
        <f>"SR-17549"</f>
        <v>SR-17549</v>
      </c>
      <c r="H14086" s="2" t="s">
        <v>49600</v>
      </c>
    </row>
    <row r="14087" ht="15.75" customHeight="1">
      <c r="A14087" s="2">
        <v>2021.0</v>
      </c>
      <c r="B14087" s="2" t="s">
        <v>8616</v>
      </c>
      <c r="C14087" s="2" t="s">
        <v>49610</v>
      </c>
      <c r="D14087" s="2" t="str">
        <f>"720-253-5972"</f>
        <v>720-253-5972</v>
      </c>
      <c r="E14087" s="2" t="s">
        <v>843</v>
      </c>
      <c r="F14087" s="2" t="s">
        <v>8618</v>
      </c>
      <c r="G14087" s="2" t="str">
        <f>"SR-17672"</f>
        <v>SR-17672</v>
      </c>
      <c r="H14087" s="2" t="s">
        <v>49611</v>
      </c>
      <c r="I14087" s="2" t="s">
        <v>49612</v>
      </c>
      <c r="K14087" s="2" t="s">
        <v>1520</v>
      </c>
      <c r="L14087" s="2" t="s">
        <v>157</v>
      </c>
      <c r="M14087" s="2">
        <v>80013.0</v>
      </c>
      <c r="N14087" s="2" t="s">
        <v>21</v>
      </c>
    </row>
    <row r="14088" ht="15.75" customHeight="1">
      <c r="A14088" s="2">
        <v>2021.0</v>
      </c>
      <c r="B14088" s="2" t="s">
        <v>51745</v>
      </c>
      <c r="C14088" s="2" t="s">
        <v>51746</v>
      </c>
      <c r="D14088" s="2" t="str">
        <f>"8135076217"</f>
        <v>8135076217</v>
      </c>
      <c r="E14088" s="2" t="s">
        <v>1455</v>
      </c>
      <c r="F14088" s="2" t="s">
        <v>51747</v>
      </c>
      <c r="G14088" s="2" t="str">
        <f>"SR-17259"</f>
        <v>SR-17259</v>
      </c>
      <c r="H14088" s="2" t="s">
        <v>51748</v>
      </c>
      <c r="I14088" s="2" t="s">
        <v>51749</v>
      </c>
      <c r="K14088" s="2" t="s">
        <v>10407</v>
      </c>
      <c r="L14088" s="2" t="s">
        <v>149</v>
      </c>
      <c r="M14088" s="2">
        <v>46032.0</v>
      </c>
      <c r="N14088" s="2" t="s">
        <v>21</v>
      </c>
    </row>
    <row r="14089" ht="15.75" customHeight="1">
      <c r="A14089" s="2">
        <v>2021.0</v>
      </c>
      <c r="B14089" s="2" t="s">
        <v>50657</v>
      </c>
      <c r="C14089" s="2" t="s">
        <v>50658</v>
      </c>
      <c r="D14089" s="2" t="str">
        <f>"3193508080"</f>
        <v>3193508080</v>
      </c>
      <c r="E14089" s="2" t="s">
        <v>50659</v>
      </c>
      <c r="F14089" s="2" t="s">
        <v>50660</v>
      </c>
      <c r="G14089" s="2" t="str">
        <f>"SR-18082"</f>
        <v>SR-18082</v>
      </c>
      <c r="H14089" s="2" t="s">
        <v>50661</v>
      </c>
      <c r="I14089" s="2" t="s">
        <v>50662</v>
      </c>
      <c r="K14089" s="2" t="s">
        <v>8938</v>
      </c>
      <c r="L14089" s="2" t="s">
        <v>560</v>
      </c>
      <c r="M14089" s="2">
        <v>52214.0</v>
      </c>
      <c r="N14089" s="2" t="s">
        <v>21</v>
      </c>
    </row>
    <row r="14090" ht="15.75" customHeight="1">
      <c r="A14090" s="2">
        <v>2021.0</v>
      </c>
      <c r="B14090" s="2" t="s">
        <v>51008</v>
      </c>
      <c r="C14090" s="2" t="s">
        <v>51009</v>
      </c>
      <c r="D14090" s="2" t="str">
        <f>"6165603472"</f>
        <v>6165603472</v>
      </c>
      <c r="E14090" s="2" t="s">
        <v>955</v>
      </c>
      <c r="F14090" s="2" t="s">
        <v>51010</v>
      </c>
      <c r="G14090" s="2" t="str">
        <f>"SR-18171"</f>
        <v>SR-18171</v>
      </c>
      <c r="H14090" s="2" t="s">
        <v>51011</v>
      </c>
      <c r="I14090" s="2" t="s">
        <v>51012</v>
      </c>
      <c r="K14090" s="2" t="s">
        <v>16428</v>
      </c>
      <c r="L14090" s="2" t="s">
        <v>29</v>
      </c>
      <c r="M14090" s="2">
        <v>49426.0</v>
      </c>
      <c r="N14090" s="2" t="s">
        <v>21</v>
      </c>
    </row>
    <row r="14091" ht="15.75" customHeight="1">
      <c r="A14091" s="2">
        <v>2021.0</v>
      </c>
      <c r="B14091" s="2" t="s">
        <v>51667</v>
      </c>
      <c r="D14091" s="2" t="str">
        <f>""</f>
        <v/>
      </c>
      <c r="E14091" s="2" t="s">
        <v>4300</v>
      </c>
      <c r="F14091" s="2" t="s">
        <v>51668</v>
      </c>
      <c r="G14091" s="2" t="str">
        <f>"SR-18440"</f>
        <v>SR-18440</v>
      </c>
      <c r="H14091" s="2" t="s">
        <v>51669</v>
      </c>
      <c r="N14091" s="2" t="s">
        <v>21</v>
      </c>
    </row>
    <row r="14092" ht="15.75" customHeight="1">
      <c r="A14092" s="2">
        <v>2021.0</v>
      </c>
      <c r="B14092" s="2" t="s">
        <v>55369</v>
      </c>
      <c r="C14092" s="2" t="s">
        <v>55370</v>
      </c>
      <c r="D14092" s="2" t="str">
        <f>"6783714784"</f>
        <v>6783714784</v>
      </c>
      <c r="E14092" s="2" t="s">
        <v>15</v>
      </c>
      <c r="F14092" s="2" t="s">
        <v>22485</v>
      </c>
      <c r="G14092" s="2" t="str">
        <f>"SR-20791"</f>
        <v>SR-20791</v>
      </c>
      <c r="H14092" s="2" t="s">
        <v>55371</v>
      </c>
      <c r="I14092" s="2" t="s">
        <v>55372</v>
      </c>
      <c r="K14092" s="2" t="s">
        <v>1636</v>
      </c>
      <c r="L14092" s="2" t="s">
        <v>200</v>
      </c>
      <c r="M14092" s="2">
        <v>30205.0</v>
      </c>
      <c r="N14092" s="2" t="s">
        <v>21</v>
      </c>
    </row>
    <row r="14093" ht="15.75" customHeight="1">
      <c r="A14093" s="2">
        <v>2021.0</v>
      </c>
      <c r="B14093" s="2" t="s">
        <v>55373</v>
      </c>
      <c r="C14093" s="2" t="s">
        <v>55374</v>
      </c>
      <c r="D14093" s="2" t="str">
        <f t="shared" ref="D14093:D14094" si="239">"8304864158"</f>
        <v>8304864158</v>
      </c>
      <c r="E14093" s="2" t="s">
        <v>12779</v>
      </c>
      <c r="F14093" s="2" t="s">
        <v>10930</v>
      </c>
      <c r="G14093" s="2" t="str">
        <f>"SR-20800"</f>
        <v>SR-20800</v>
      </c>
      <c r="H14093" s="2" t="s">
        <v>55375</v>
      </c>
      <c r="I14093" s="2" t="s">
        <v>55376</v>
      </c>
      <c r="K14093" s="2" t="s">
        <v>10933</v>
      </c>
      <c r="L14093" s="2" t="s">
        <v>172</v>
      </c>
      <c r="M14093" s="2">
        <v>78801.0</v>
      </c>
      <c r="N14093" s="2" t="s">
        <v>21</v>
      </c>
    </row>
    <row r="14094" ht="15.75" customHeight="1">
      <c r="A14094" s="2">
        <v>2021.0</v>
      </c>
      <c r="B14094" s="2" t="s">
        <v>55373</v>
      </c>
      <c r="C14094" s="2" t="s">
        <v>55377</v>
      </c>
      <c r="D14094" s="2" t="str">
        <f t="shared" si="239"/>
        <v>8304864158</v>
      </c>
      <c r="E14094" s="2" t="s">
        <v>55378</v>
      </c>
      <c r="F14094" s="2" t="s">
        <v>10930</v>
      </c>
      <c r="G14094" s="2" t="str">
        <f>"SR-20799"</f>
        <v>SR-20799</v>
      </c>
      <c r="H14094" s="2" t="s">
        <v>55379</v>
      </c>
      <c r="I14094" s="2" t="s">
        <v>55376</v>
      </c>
      <c r="K14094" s="2" t="s">
        <v>10933</v>
      </c>
      <c r="L14094" s="2" t="s">
        <v>172</v>
      </c>
      <c r="M14094" s="2">
        <v>78801.0</v>
      </c>
      <c r="N14094" s="2" t="s">
        <v>21</v>
      </c>
    </row>
    <row r="14095" ht="15.75" customHeight="1">
      <c r="A14095" s="2">
        <v>2021.0</v>
      </c>
      <c r="B14095" s="2" t="s">
        <v>10721</v>
      </c>
      <c r="C14095" s="2" t="s">
        <v>55380</v>
      </c>
      <c r="D14095" s="2" t="str">
        <f>"7634787483"</f>
        <v>7634787483</v>
      </c>
      <c r="E14095" s="2" t="s">
        <v>651</v>
      </c>
      <c r="F14095" s="2" t="s">
        <v>10723</v>
      </c>
      <c r="G14095" s="2" t="str">
        <f>"SR-20794"</f>
        <v>SR-20794</v>
      </c>
      <c r="H14095" s="2" t="s">
        <v>55381</v>
      </c>
      <c r="I14095" s="2" t="s">
        <v>10725</v>
      </c>
      <c r="K14095" s="2" t="s">
        <v>11830</v>
      </c>
      <c r="L14095" s="2" t="s">
        <v>62</v>
      </c>
      <c r="M14095" s="2">
        <v>55376.0</v>
      </c>
      <c r="N14095" s="2" t="s">
        <v>21</v>
      </c>
    </row>
    <row r="14096" ht="15.75" customHeight="1">
      <c r="A14096" s="2">
        <v>2021.0</v>
      </c>
      <c r="B14096" s="2" t="s">
        <v>37736</v>
      </c>
      <c r="C14096" s="2" t="s">
        <v>55382</v>
      </c>
      <c r="D14096" s="2" t="str">
        <f>"205-612-4619"</f>
        <v>205-612-4619</v>
      </c>
      <c r="E14096" s="2" t="s">
        <v>843</v>
      </c>
      <c r="F14096" s="2" t="s">
        <v>17571</v>
      </c>
      <c r="G14096" s="2" t="str">
        <f>"SR-20772"</f>
        <v>SR-20772</v>
      </c>
      <c r="H14096" s="2" t="s">
        <v>55383</v>
      </c>
      <c r="I14096" s="2" t="s">
        <v>37738</v>
      </c>
      <c r="K14096" s="2" t="s">
        <v>37739</v>
      </c>
      <c r="L14096" s="2" t="s">
        <v>200</v>
      </c>
      <c r="M14096" s="2">
        <v>30110.0</v>
      </c>
      <c r="N14096" s="2" t="s">
        <v>21</v>
      </c>
    </row>
    <row r="14097" ht="15.75" customHeight="1">
      <c r="A14097" s="2">
        <v>2021.0</v>
      </c>
      <c r="B14097" s="2" t="s">
        <v>49542</v>
      </c>
      <c r="C14097" s="2" t="s">
        <v>55384</v>
      </c>
      <c r="D14097" s="2" t="str">
        <f>"9255194438"</f>
        <v>9255194438</v>
      </c>
      <c r="E14097" s="2" t="s">
        <v>3978</v>
      </c>
      <c r="F14097" s="2" t="s">
        <v>49544</v>
      </c>
      <c r="G14097" s="2" t="str">
        <f>"SR-20801"</f>
        <v>SR-20801</v>
      </c>
      <c r="H14097" s="2" t="s">
        <v>55385</v>
      </c>
      <c r="I14097" s="2" t="s">
        <v>49546</v>
      </c>
      <c r="K14097" s="2" t="s">
        <v>15230</v>
      </c>
      <c r="L14097" s="2" t="s">
        <v>222</v>
      </c>
      <c r="M14097" s="2">
        <v>94588.0</v>
      </c>
      <c r="N14097" s="2" t="s">
        <v>21</v>
      </c>
    </row>
    <row r="14098" ht="15.75" customHeight="1">
      <c r="A14098" s="2">
        <v>2021.0</v>
      </c>
      <c r="B14098" s="2" t="s">
        <v>37702</v>
      </c>
      <c r="C14098" s="2" t="s">
        <v>55386</v>
      </c>
      <c r="D14098" s="2" t="str">
        <f>"2057215758"</f>
        <v>2057215758</v>
      </c>
      <c r="E14098" s="2" t="s">
        <v>1000</v>
      </c>
      <c r="F14098" s="2" t="s">
        <v>37704</v>
      </c>
      <c r="G14098" s="2" t="str">
        <f>"SR-20808"</f>
        <v>SR-20808</v>
      </c>
      <c r="H14098" s="2" t="s">
        <v>55387</v>
      </c>
      <c r="I14098" s="2" t="s">
        <v>55388</v>
      </c>
      <c r="K14098" s="2" t="s">
        <v>37707</v>
      </c>
      <c r="L14098" s="2" t="s">
        <v>539</v>
      </c>
      <c r="M14098" s="2">
        <v>35126.0</v>
      </c>
      <c r="N14098" s="2" t="s">
        <v>21</v>
      </c>
    </row>
    <row r="14099" ht="15.75" customHeight="1">
      <c r="A14099" s="2">
        <v>2021.0</v>
      </c>
      <c r="B14099" s="2" t="s">
        <v>55389</v>
      </c>
      <c r="C14099" s="2" t="s">
        <v>55389</v>
      </c>
      <c r="D14099" s="2" t="str">
        <f>"2522417948"</f>
        <v>2522417948</v>
      </c>
      <c r="E14099" s="2" t="s">
        <v>3201</v>
      </c>
      <c r="F14099" s="2" t="s">
        <v>55390</v>
      </c>
      <c r="G14099" s="2" t="str">
        <f>"SR-20809"</f>
        <v>SR-20809</v>
      </c>
      <c r="H14099" s="2" t="s">
        <v>55391</v>
      </c>
      <c r="I14099" s="2" t="s">
        <v>55392</v>
      </c>
      <c r="K14099" s="2" t="s">
        <v>43952</v>
      </c>
      <c r="L14099" s="2" t="s">
        <v>20</v>
      </c>
      <c r="M14099" s="2">
        <v>28532.0</v>
      </c>
      <c r="N14099" s="2" t="s">
        <v>21</v>
      </c>
    </row>
    <row r="14100" ht="15.75" customHeight="1">
      <c r="A14100" s="2">
        <v>2021.0</v>
      </c>
      <c r="B14100" s="2" t="s">
        <v>55393</v>
      </c>
      <c r="C14100" s="2" t="s">
        <v>55393</v>
      </c>
      <c r="D14100" s="2" t="str">
        <f>"7729991718"</f>
        <v>7729991718</v>
      </c>
      <c r="E14100" s="2" t="s">
        <v>1434</v>
      </c>
      <c r="F14100" s="2" t="s">
        <v>55394</v>
      </c>
      <c r="G14100" s="2" t="str">
        <f>"SR-20792"</f>
        <v>SR-20792</v>
      </c>
      <c r="H14100" s="2" t="s">
        <v>55395</v>
      </c>
      <c r="I14100" s="2" t="s">
        <v>55396</v>
      </c>
      <c r="K14100" s="2" t="s">
        <v>43735</v>
      </c>
      <c r="L14100" s="2" t="s">
        <v>208</v>
      </c>
      <c r="M14100" s="2">
        <v>32958.0</v>
      </c>
      <c r="N14100" s="2" t="s">
        <v>21</v>
      </c>
    </row>
    <row r="14101" ht="15.75" customHeight="1">
      <c r="A14101" s="2">
        <v>2021.0</v>
      </c>
      <c r="B14101" s="2" t="s">
        <v>49928</v>
      </c>
      <c r="C14101" s="2" t="s">
        <v>49933</v>
      </c>
      <c r="D14101" s="2" t="str">
        <f>"5742689726"</f>
        <v>5742689726</v>
      </c>
      <c r="E14101" s="2" t="s">
        <v>49934</v>
      </c>
      <c r="F14101" s="2" t="s">
        <v>49930</v>
      </c>
      <c r="G14101" s="2" t="str">
        <f>"SR-17838"</f>
        <v>SR-17838</v>
      </c>
      <c r="H14101" s="2" t="s">
        <v>49935</v>
      </c>
      <c r="I14101" s="2" t="s">
        <v>49936</v>
      </c>
      <c r="K14101" s="2" t="s">
        <v>809</v>
      </c>
      <c r="L14101" s="2" t="s">
        <v>157</v>
      </c>
      <c r="M14101" s="2">
        <v>80919.0</v>
      </c>
      <c r="N14101" s="2" t="s">
        <v>21</v>
      </c>
    </row>
    <row r="14102" ht="15.75" customHeight="1">
      <c r="A14102" s="2">
        <v>2021.0</v>
      </c>
      <c r="B14102" s="2" t="s">
        <v>52018</v>
      </c>
      <c r="C14102" s="2" t="s">
        <v>52018</v>
      </c>
      <c r="D14102" s="2" t="str">
        <f>"8179333856"</f>
        <v>8179333856</v>
      </c>
      <c r="E14102" s="2" t="s">
        <v>1015</v>
      </c>
      <c r="F14102" s="2" t="s">
        <v>8378</v>
      </c>
      <c r="G14102" s="2" t="str">
        <f>"SR-18562"</f>
        <v>SR-18562</v>
      </c>
      <c r="H14102" s="2" t="s">
        <v>52019</v>
      </c>
      <c r="I14102" s="2" t="s">
        <v>52020</v>
      </c>
      <c r="K14102" s="2" t="s">
        <v>43735</v>
      </c>
      <c r="L14102" s="2" t="s">
        <v>208</v>
      </c>
      <c r="M14102" s="2">
        <v>32958.0</v>
      </c>
      <c r="N14102" s="2" t="s">
        <v>21</v>
      </c>
    </row>
    <row r="14103" ht="15.75" customHeight="1">
      <c r="A14103" s="2">
        <v>2021.0</v>
      </c>
      <c r="B14103" s="2" t="s">
        <v>51221</v>
      </c>
      <c r="C14103" s="2" t="s">
        <v>51222</v>
      </c>
      <c r="D14103" s="2" t="str">
        <f>"321-200-7601"</f>
        <v>321-200-7601</v>
      </c>
      <c r="E14103" s="2" t="s">
        <v>4111</v>
      </c>
      <c r="F14103" s="2" t="s">
        <v>51223</v>
      </c>
      <c r="G14103" s="2" t="str">
        <f>"SR-18287"</f>
        <v>SR-18287</v>
      </c>
      <c r="H14103" s="2" t="s">
        <v>51224</v>
      </c>
      <c r="I14103" s="2" t="s">
        <v>51225</v>
      </c>
      <c r="K14103" s="2" t="s">
        <v>43735</v>
      </c>
      <c r="L14103" s="2" t="s">
        <v>208</v>
      </c>
      <c r="M14103" s="2">
        <v>32958.0</v>
      </c>
      <c r="N14103" s="2" t="s">
        <v>21</v>
      </c>
    </row>
    <row r="14104" ht="15.75" customHeight="1">
      <c r="A14104" s="2">
        <v>2021.0</v>
      </c>
      <c r="B14104" s="2" t="s">
        <v>9572</v>
      </c>
      <c r="C14104" s="2" t="s">
        <v>47637</v>
      </c>
      <c r="D14104" s="2" t="str">
        <f>"7575601926"</f>
        <v>7575601926</v>
      </c>
      <c r="E14104" s="2" t="s">
        <v>8887</v>
      </c>
      <c r="F14104" s="2" t="s">
        <v>189</v>
      </c>
      <c r="G14104" s="2" t="str">
        <f>"SR-16701"</f>
        <v>SR-16701</v>
      </c>
      <c r="H14104" s="2" t="s">
        <v>47638</v>
      </c>
      <c r="I14104" s="2" t="s">
        <v>9575</v>
      </c>
      <c r="K14104" s="2" t="s">
        <v>9576</v>
      </c>
      <c r="L14104" s="2" t="s">
        <v>165</v>
      </c>
      <c r="M14104" s="2">
        <v>23322.0</v>
      </c>
      <c r="N14104" s="2" t="s">
        <v>21</v>
      </c>
    </row>
    <row r="14105" ht="15.75" customHeight="1">
      <c r="A14105" s="2">
        <v>2021.0</v>
      </c>
      <c r="B14105" s="2" t="s">
        <v>49362</v>
      </c>
      <c r="C14105" s="2" t="s">
        <v>49363</v>
      </c>
      <c r="D14105" s="2" t="str">
        <f>"206-201-9525"</f>
        <v>206-201-9525</v>
      </c>
      <c r="E14105" s="2" t="s">
        <v>49364</v>
      </c>
      <c r="F14105" s="2" t="s">
        <v>49365</v>
      </c>
      <c r="G14105" s="2" t="str">
        <f>"SR-17483"</f>
        <v>SR-17483</v>
      </c>
      <c r="H14105" s="2" t="s">
        <v>49366</v>
      </c>
      <c r="I14105" s="2" t="s">
        <v>49367</v>
      </c>
      <c r="K14105" s="2" t="s">
        <v>49368</v>
      </c>
      <c r="L14105" s="2" t="s">
        <v>86</v>
      </c>
      <c r="M14105" s="2">
        <v>98062.0</v>
      </c>
      <c r="N14105" s="2" t="s">
        <v>21</v>
      </c>
    </row>
    <row r="14106" ht="15.75" customHeight="1">
      <c r="A14106" s="2">
        <v>2021.0</v>
      </c>
      <c r="B14106" s="2" t="s">
        <v>45879</v>
      </c>
      <c r="C14106" s="2" t="s">
        <v>45880</v>
      </c>
      <c r="D14106" s="2" t="str">
        <f>"4695524517"</f>
        <v>4695524517</v>
      </c>
      <c r="E14106" s="2" t="s">
        <v>4769</v>
      </c>
      <c r="F14106" s="2" t="s">
        <v>45881</v>
      </c>
      <c r="G14106" s="2" t="str">
        <f>"SR-16101"</f>
        <v>SR-16101</v>
      </c>
      <c r="H14106" s="2" t="s">
        <v>45882</v>
      </c>
      <c r="I14106" s="2" t="s">
        <v>45883</v>
      </c>
      <c r="K14106" s="2" t="s">
        <v>21040</v>
      </c>
      <c r="L14106" s="2" t="s">
        <v>172</v>
      </c>
      <c r="M14106" s="2">
        <v>75143.0</v>
      </c>
      <c r="N14106" s="2" t="s">
        <v>21</v>
      </c>
    </row>
    <row r="14107" ht="15.75" customHeight="1">
      <c r="A14107" s="2">
        <v>2021.0</v>
      </c>
      <c r="B14107" s="2" t="s">
        <v>45879</v>
      </c>
      <c r="C14107" s="2" t="s">
        <v>55397</v>
      </c>
      <c r="D14107" s="2" t="str">
        <f>"9032698130"</f>
        <v>9032698130</v>
      </c>
      <c r="E14107" s="2" t="s">
        <v>160</v>
      </c>
      <c r="F14107" s="2" t="s">
        <v>45881</v>
      </c>
      <c r="G14107" s="2" t="str">
        <f>"SR-20812"</f>
        <v>SR-20812</v>
      </c>
      <c r="H14107" s="2" t="s">
        <v>55398</v>
      </c>
      <c r="I14107" s="2" t="s">
        <v>45883</v>
      </c>
      <c r="K14107" s="2" t="s">
        <v>21040</v>
      </c>
      <c r="L14107" s="2" t="s">
        <v>172</v>
      </c>
      <c r="M14107" s="2">
        <v>75143.0</v>
      </c>
      <c r="N14107" s="2" t="s">
        <v>21</v>
      </c>
    </row>
    <row r="14108" ht="15.75" customHeight="1">
      <c r="A14108" s="2">
        <v>2021.0</v>
      </c>
      <c r="B14108" s="2" t="s">
        <v>9371</v>
      </c>
      <c r="C14108" s="2" t="s">
        <v>55399</v>
      </c>
      <c r="D14108" s="2" t="str">
        <f>"7409182971"</f>
        <v>7409182971</v>
      </c>
      <c r="E14108" s="2" t="s">
        <v>3597</v>
      </c>
      <c r="F14108" s="2" t="s">
        <v>9374</v>
      </c>
      <c r="G14108" s="2" t="str">
        <f>"SR-20789"</f>
        <v>SR-20789</v>
      </c>
      <c r="H14108" s="2" t="s">
        <v>55400</v>
      </c>
      <c r="I14108" s="2" t="s">
        <v>9376</v>
      </c>
      <c r="K14108" s="2" t="s">
        <v>2449</v>
      </c>
      <c r="L14108" s="2" t="s">
        <v>344</v>
      </c>
      <c r="M14108" s="2">
        <v>43130.0</v>
      </c>
      <c r="N14108" s="2" t="s">
        <v>21</v>
      </c>
    </row>
    <row r="14109" ht="15.75" customHeight="1">
      <c r="A14109" s="2">
        <v>2021.0</v>
      </c>
      <c r="B14109" s="2" t="s">
        <v>55401</v>
      </c>
      <c r="C14109" s="2" t="s">
        <v>55402</v>
      </c>
      <c r="D14109" s="2" t="str">
        <f>"5593410573"</f>
        <v>5593410573</v>
      </c>
      <c r="E14109" s="2" t="s">
        <v>1761</v>
      </c>
      <c r="F14109" s="2" t="s">
        <v>55403</v>
      </c>
      <c r="G14109" s="2" t="str">
        <f>"SR-20729"</f>
        <v>SR-20729</v>
      </c>
      <c r="H14109" s="2" t="s">
        <v>55404</v>
      </c>
      <c r="I14109" s="2" t="s">
        <v>55405</v>
      </c>
      <c r="K14109" s="2" t="s">
        <v>10354</v>
      </c>
      <c r="L14109" s="2" t="s">
        <v>222</v>
      </c>
      <c r="M14109" s="2">
        <v>93727.0</v>
      </c>
      <c r="N14109" s="2" t="s">
        <v>21</v>
      </c>
    </row>
    <row r="14110" ht="15.75" customHeight="1">
      <c r="A14110" s="2">
        <v>2021.0</v>
      </c>
      <c r="B14110" s="2" t="s">
        <v>55406</v>
      </c>
      <c r="C14110" s="2" t="s">
        <v>55407</v>
      </c>
      <c r="D14110" s="2" t="str">
        <f>"9089141548"</f>
        <v>9089141548</v>
      </c>
      <c r="E14110" s="2" t="s">
        <v>282</v>
      </c>
      <c r="F14110" s="2" t="s">
        <v>55408</v>
      </c>
      <c r="G14110" s="2" t="str">
        <f>"SR-16953"</f>
        <v>SR-16953</v>
      </c>
      <c r="H14110" s="2" t="s">
        <v>55409</v>
      </c>
      <c r="I14110" s="2" t="s">
        <v>55410</v>
      </c>
      <c r="K14110" s="2" t="s">
        <v>55411</v>
      </c>
      <c r="L14110" s="2" t="s">
        <v>3618</v>
      </c>
      <c r="M14110" s="2">
        <v>7853.0</v>
      </c>
      <c r="N14110" s="2" t="s">
        <v>21</v>
      </c>
    </row>
    <row r="14111" ht="15.75" customHeight="1">
      <c r="A14111" s="2">
        <v>2021.0</v>
      </c>
      <c r="B14111" s="2" t="s">
        <v>55412</v>
      </c>
      <c r="C14111" s="2" t="s">
        <v>55413</v>
      </c>
      <c r="D14111" s="2" t="str">
        <f>"4692868519"</f>
        <v>4692868519</v>
      </c>
      <c r="E14111" s="2" t="s">
        <v>4782</v>
      </c>
      <c r="F14111" s="2" t="s">
        <v>55414</v>
      </c>
      <c r="G14111" s="2" t="str">
        <f>"SR-20814"</f>
        <v>SR-20814</v>
      </c>
      <c r="H14111" s="2" t="s">
        <v>55415</v>
      </c>
      <c r="I14111" s="2" t="s">
        <v>55416</v>
      </c>
      <c r="K14111" s="2" t="s">
        <v>19366</v>
      </c>
      <c r="L14111" s="2" t="s">
        <v>172</v>
      </c>
      <c r="M14111" s="2">
        <v>75087.0</v>
      </c>
      <c r="N14111" s="2" t="s">
        <v>21</v>
      </c>
    </row>
    <row r="14112" ht="15.75" customHeight="1">
      <c r="A14112" s="2">
        <v>2021.0</v>
      </c>
      <c r="B14112" s="2" t="s">
        <v>55417</v>
      </c>
      <c r="C14112" s="2" t="s">
        <v>55418</v>
      </c>
      <c r="D14112" s="2" t="str">
        <f>"9087980650"</f>
        <v>9087980650</v>
      </c>
      <c r="E14112" s="2" t="s">
        <v>1891</v>
      </c>
      <c r="F14112" s="2" t="s">
        <v>55419</v>
      </c>
      <c r="G14112" s="2" t="str">
        <f>"SR-20815"</f>
        <v>SR-20815</v>
      </c>
      <c r="H14112" s="2" t="s">
        <v>55420</v>
      </c>
      <c r="I14112" s="2" t="s">
        <v>55421</v>
      </c>
      <c r="K14112" s="2" t="s">
        <v>55422</v>
      </c>
      <c r="L14112" s="2" t="s">
        <v>3618</v>
      </c>
      <c r="M14112" s="2">
        <v>7865.0</v>
      </c>
      <c r="N14112" s="2" t="s">
        <v>21</v>
      </c>
    </row>
    <row r="14113" ht="15.75" customHeight="1">
      <c r="A14113" s="2">
        <v>2021.0</v>
      </c>
      <c r="B14113" s="2" t="s">
        <v>45970</v>
      </c>
      <c r="C14113" s="2" t="s">
        <v>55423</v>
      </c>
      <c r="D14113" s="2" t="str">
        <f>"3036215452"</f>
        <v>3036215452</v>
      </c>
      <c r="E14113" s="2" t="s">
        <v>824</v>
      </c>
      <c r="F14113" s="2" t="s">
        <v>45972</v>
      </c>
      <c r="G14113" s="2" t="str">
        <f>"SR-20818"</f>
        <v>SR-20818</v>
      </c>
      <c r="H14113" s="2" t="s">
        <v>55424</v>
      </c>
      <c r="I14113" s="2" t="s">
        <v>45974</v>
      </c>
      <c r="K14113" s="2" t="s">
        <v>1054</v>
      </c>
      <c r="L14113" s="2" t="s">
        <v>157</v>
      </c>
      <c r="M14113" s="2">
        <v>80138.0</v>
      </c>
      <c r="N14113" s="2" t="s">
        <v>21</v>
      </c>
    </row>
    <row r="14114" ht="15.75" customHeight="1">
      <c r="A14114" s="2">
        <v>2021.0</v>
      </c>
      <c r="B14114" s="2" t="s">
        <v>55425</v>
      </c>
      <c r="C14114" s="2" t="s">
        <v>55426</v>
      </c>
      <c r="D14114" s="2" t="str">
        <f>"7206680651"</f>
        <v>7206680651</v>
      </c>
      <c r="E14114" s="2" t="s">
        <v>983</v>
      </c>
      <c r="F14114" s="2" t="s">
        <v>5767</v>
      </c>
      <c r="G14114" s="2" t="str">
        <f>"SR-20820"</f>
        <v>SR-20820</v>
      </c>
      <c r="H14114" s="2" t="s">
        <v>55427</v>
      </c>
      <c r="I14114" s="2" t="s">
        <v>55428</v>
      </c>
      <c r="K14114" s="2" t="s">
        <v>5632</v>
      </c>
      <c r="L14114" s="2" t="s">
        <v>157</v>
      </c>
      <c r="M14114" s="2">
        <v>80102.0</v>
      </c>
      <c r="N14114" s="2" t="s">
        <v>21</v>
      </c>
    </row>
    <row r="14115" ht="15.75" customHeight="1">
      <c r="A14115" s="2">
        <v>2021.0</v>
      </c>
      <c r="B14115" s="2" t="s">
        <v>55429</v>
      </c>
      <c r="C14115" s="2" t="s">
        <v>55430</v>
      </c>
      <c r="D14115" s="2" t="str">
        <f>"(864) 887-5905"</f>
        <v>(864) 887-5905</v>
      </c>
      <c r="E14115" s="2" t="s">
        <v>651</v>
      </c>
      <c r="F14115" s="2" t="s">
        <v>21049</v>
      </c>
      <c r="G14115" s="2" t="str">
        <f>"SR-19256"</f>
        <v>SR-19256</v>
      </c>
      <c r="H14115" s="2" t="s">
        <v>55431</v>
      </c>
      <c r="I14115" s="2" t="s">
        <v>55432</v>
      </c>
      <c r="K14115" s="2" t="s">
        <v>54</v>
      </c>
      <c r="L14115" s="2" t="s">
        <v>55</v>
      </c>
      <c r="M14115" s="2">
        <v>29609.0</v>
      </c>
      <c r="N14115" s="2" t="s">
        <v>21</v>
      </c>
    </row>
    <row r="14116" ht="15.75" customHeight="1">
      <c r="A14116" s="2">
        <v>2021.0</v>
      </c>
      <c r="B14116" s="2" t="s">
        <v>55433</v>
      </c>
      <c r="C14116" s="2" t="s">
        <v>55434</v>
      </c>
      <c r="D14116" s="2" t="str">
        <f>"7634066109"</f>
        <v>7634066109</v>
      </c>
      <c r="E14116" s="2" t="s">
        <v>4637</v>
      </c>
      <c r="F14116" s="2" t="s">
        <v>55435</v>
      </c>
      <c r="G14116" s="2" t="str">
        <f>"SR-20823"</f>
        <v>SR-20823</v>
      </c>
      <c r="H14116" s="2" t="s">
        <v>55436</v>
      </c>
      <c r="I14116" s="2" t="s">
        <v>55437</v>
      </c>
      <c r="K14116" s="2" t="s">
        <v>8609</v>
      </c>
      <c r="L14116" s="2" t="s">
        <v>62</v>
      </c>
      <c r="M14116" s="2">
        <v>55311.0</v>
      </c>
      <c r="N14116" s="2" t="s">
        <v>21</v>
      </c>
    </row>
    <row r="14117" ht="15.75" customHeight="1">
      <c r="A14117" s="2">
        <v>2021.0</v>
      </c>
      <c r="B14117" s="2" t="s">
        <v>50628</v>
      </c>
      <c r="C14117" s="2" t="s">
        <v>50629</v>
      </c>
      <c r="D14117" s="2" t="str">
        <f>"1-312-231-3401"</f>
        <v>1-312-231-3401</v>
      </c>
      <c r="E14117" s="2" t="s">
        <v>428</v>
      </c>
      <c r="F14117" s="2" t="s">
        <v>2449</v>
      </c>
      <c r="G14117" s="2" t="str">
        <f>"SR-18016"</f>
        <v>SR-18016</v>
      </c>
      <c r="H14117" s="2" t="s">
        <v>50630</v>
      </c>
      <c r="I14117" s="2" t="s">
        <v>50631</v>
      </c>
      <c r="K14117" s="2" t="s">
        <v>27461</v>
      </c>
      <c r="L14117" s="2" t="s">
        <v>1012</v>
      </c>
      <c r="M14117" s="2">
        <v>71901.0</v>
      </c>
      <c r="N14117" s="2" t="s">
        <v>21</v>
      </c>
    </row>
    <row r="14118" ht="15.75" customHeight="1">
      <c r="A14118" s="2">
        <v>2021.0</v>
      </c>
      <c r="B14118" s="2" t="s">
        <v>52990</v>
      </c>
      <c r="C14118" s="2" t="s">
        <v>52991</v>
      </c>
      <c r="D14118" s="2" t="str">
        <f>"208-715-5189"</f>
        <v>208-715-5189</v>
      </c>
      <c r="E14118" s="2" t="s">
        <v>52992</v>
      </c>
      <c r="F14118" s="2" t="s">
        <v>52993</v>
      </c>
      <c r="G14118" s="2" t="str">
        <f>"SR-18929"</f>
        <v>SR-18929</v>
      </c>
      <c r="H14118" s="2" t="s">
        <v>52994</v>
      </c>
      <c r="I14118" s="2" t="s">
        <v>52995</v>
      </c>
      <c r="K14118" s="2" t="s">
        <v>15473</v>
      </c>
      <c r="L14118" s="2" t="s">
        <v>2613</v>
      </c>
      <c r="M14118" s="2">
        <v>83854.0</v>
      </c>
      <c r="N14118" s="2" t="s">
        <v>21</v>
      </c>
    </row>
    <row r="14119" ht="15.75" customHeight="1">
      <c r="A14119" s="2">
        <v>2021.0</v>
      </c>
      <c r="B14119" s="2" t="s">
        <v>49324</v>
      </c>
      <c r="C14119" s="2" t="s">
        <v>49325</v>
      </c>
      <c r="D14119" s="2" t="str">
        <f>"3172201588"</f>
        <v>3172201588</v>
      </c>
      <c r="E14119" s="2" t="s">
        <v>485</v>
      </c>
      <c r="F14119" s="2" t="s">
        <v>2695</v>
      </c>
      <c r="G14119" s="2" t="str">
        <f>"SR-17559"</f>
        <v>SR-17559</v>
      </c>
      <c r="H14119" s="2" t="s">
        <v>49326</v>
      </c>
      <c r="I14119" s="2" t="s">
        <v>49327</v>
      </c>
      <c r="K14119" s="2" t="s">
        <v>2660</v>
      </c>
      <c r="L14119" s="2" t="s">
        <v>149</v>
      </c>
      <c r="M14119" s="2">
        <v>46040.0</v>
      </c>
      <c r="N14119" s="2" t="s">
        <v>21</v>
      </c>
    </row>
    <row r="14120" ht="15.75" customHeight="1">
      <c r="A14120" s="2">
        <v>2021.0</v>
      </c>
      <c r="B14120" s="2" t="s">
        <v>55438</v>
      </c>
      <c r="C14120" s="2" t="s">
        <v>55439</v>
      </c>
      <c r="D14120" s="2" t="str">
        <f>"9702196572"</f>
        <v>9702196572</v>
      </c>
      <c r="E14120" s="2" t="s">
        <v>81</v>
      </c>
      <c r="F14120" s="2" t="s">
        <v>8160</v>
      </c>
      <c r="G14120" s="2" t="str">
        <f>"SR-20824"</f>
        <v>SR-20824</v>
      </c>
      <c r="H14120" s="2" t="s">
        <v>55440</v>
      </c>
      <c r="I14120" s="2" t="s">
        <v>8162</v>
      </c>
      <c r="K14120" s="2" t="s">
        <v>522</v>
      </c>
      <c r="L14120" s="2" t="s">
        <v>157</v>
      </c>
      <c r="M14120" s="2">
        <v>80612.0</v>
      </c>
      <c r="N14120" s="2" t="s">
        <v>21</v>
      </c>
    </row>
    <row r="14121" ht="15.75" customHeight="1">
      <c r="A14121" s="2">
        <v>2021.0</v>
      </c>
      <c r="B14121" s="2" t="s">
        <v>55441</v>
      </c>
      <c r="C14121" s="2" t="s">
        <v>55442</v>
      </c>
      <c r="D14121" s="2" t="str">
        <f>"6789101621"</f>
        <v>6789101621</v>
      </c>
      <c r="E14121" s="2" t="s">
        <v>1094</v>
      </c>
      <c r="F14121" s="2" t="s">
        <v>25763</v>
      </c>
      <c r="G14121" s="2" t="str">
        <f>"SR-20827"</f>
        <v>SR-20827</v>
      </c>
      <c r="H14121" s="2" t="s">
        <v>55443</v>
      </c>
      <c r="I14121" s="2" t="s">
        <v>55444</v>
      </c>
      <c r="K14121" s="2" t="s">
        <v>7218</v>
      </c>
      <c r="L14121" s="2" t="s">
        <v>200</v>
      </c>
      <c r="M14121" s="2">
        <v>30075.0</v>
      </c>
      <c r="N14121" s="2" t="s">
        <v>21</v>
      </c>
    </row>
    <row r="14122" ht="15.75" customHeight="1">
      <c r="A14122" s="2">
        <v>2021.0</v>
      </c>
      <c r="B14122" s="2" t="s">
        <v>55445</v>
      </c>
      <c r="C14122" s="2" t="s">
        <v>55446</v>
      </c>
      <c r="D14122" s="2" t="str">
        <f>"7728340063"</f>
        <v>7728340063</v>
      </c>
      <c r="E14122" s="2" t="s">
        <v>1257</v>
      </c>
      <c r="F14122" s="2" t="s">
        <v>472</v>
      </c>
      <c r="G14122" s="2" t="str">
        <f>"SR-20828"</f>
        <v>SR-20828</v>
      </c>
      <c r="H14122" s="2" t="s">
        <v>8200</v>
      </c>
      <c r="I14122" s="2" t="s">
        <v>55447</v>
      </c>
      <c r="K14122" s="2" t="s">
        <v>43049</v>
      </c>
      <c r="L14122" s="2" t="s">
        <v>208</v>
      </c>
      <c r="M14122" s="2">
        <v>34953.0</v>
      </c>
      <c r="N14122" s="2" t="s">
        <v>21</v>
      </c>
    </row>
    <row r="14123" ht="15.75" customHeight="1">
      <c r="A14123" s="2">
        <v>2021.0</v>
      </c>
      <c r="B14123" s="2" t="s">
        <v>55448</v>
      </c>
      <c r="C14123" s="2" t="s">
        <v>55449</v>
      </c>
      <c r="D14123" s="2" t="str">
        <f>"6304700325"</f>
        <v>6304700325</v>
      </c>
      <c r="E14123" s="2" t="s">
        <v>72</v>
      </c>
      <c r="F14123" s="2" t="s">
        <v>5600</v>
      </c>
      <c r="G14123" s="2" t="str">
        <f>"SR-20831"</f>
        <v>SR-20831</v>
      </c>
      <c r="H14123" s="2" t="s">
        <v>55450</v>
      </c>
      <c r="I14123" s="2" t="s">
        <v>55451</v>
      </c>
      <c r="K14123" s="2" t="s">
        <v>30588</v>
      </c>
      <c r="L14123" s="2" t="s">
        <v>344</v>
      </c>
      <c r="M14123" s="2">
        <v>45066.0</v>
      </c>
      <c r="N14123" s="2" t="s">
        <v>21</v>
      </c>
    </row>
    <row r="14124" ht="15.75" customHeight="1">
      <c r="A14124" s="2">
        <v>2021.0</v>
      </c>
      <c r="B14124" s="2" t="s">
        <v>55452</v>
      </c>
      <c r="C14124" s="2" t="s">
        <v>55453</v>
      </c>
      <c r="D14124" s="2" t="str">
        <f>"7122536249"</f>
        <v>7122536249</v>
      </c>
      <c r="E14124" s="2" t="s">
        <v>2384</v>
      </c>
      <c r="F14124" s="2" t="s">
        <v>55454</v>
      </c>
      <c r="G14124" s="2" t="str">
        <f>"SR-20762"</f>
        <v>SR-20762</v>
      </c>
      <c r="H14124" s="2" t="s">
        <v>55455</v>
      </c>
      <c r="I14124" s="2" t="s">
        <v>55456</v>
      </c>
      <c r="K14124" s="2" t="s">
        <v>12097</v>
      </c>
      <c r="L14124" s="2" t="s">
        <v>560</v>
      </c>
      <c r="M14124" s="2">
        <v>51041.0</v>
      </c>
      <c r="N14124" s="2" t="s">
        <v>21</v>
      </c>
    </row>
    <row r="14125" ht="15.75" customHeight="1">
      <c r="A14125" s="2">
        <v>2021.0</v>
      </c>
      <c r="B14125" s="2" t="s">
        <v>45168</v>
      </c>
      <c r="C14125" s="2" t="s">
        <v>45169</v>
      </c>
      <c r="D14125" s="2" t="str">
        <f>"4023690862"</f>
        <v>4023690862</v>
      </c>
      <c r="E14125" s="2" t="s">
        <v>1548</v>
      </c>
      <c r="F14125" s="2" t="s">
        <v>45170</v>
      </c>
      <c r="G14125" s="2" t="str">
        <f>"SR-15863"</f>
        <v>SR-15863</v>
      </c>
      <c r="H14125" s="2" t="s">
        <v>45171</v>
      </c>
      <c r="I14125" s="2" t="s">
        <v>45172</v>
      </c>
      <c r="K14125" s="2" t="s">
        <v>5732</v>
      </c>
      <c r="L14125" s="2" t="s">
        <v>757</v>
      </c>
      <c r="M14125" s="2">
        <v>68745.0</v>
      </c>
      <c r="N14125" s="2" t="s">
        <v>21</v>
      </c>
    </row>
    <row r="14126" ht="15.75" customHeight="1">
      <c r="A14126" s="2">
        <v>2021.0</v>
      </c>
      <c r="B14126" s="2" t="s">
        <v>53350</v>
      </c>
      <c r="C14126" s="2" t="s">
        <v>53351</v>
      </c>
      <c r="D14126" s="2" t="str">
        <f>"971-777-3898"</f>
        <v>971-777-3898</v>
      </c>
      <c r="E14126" s="2" t="s">
        <v>1141</v>
      </c>
      <c r="F14126" s="2" t="s">
        <v>43320</v>
      </c>
      <c r="G14126" s="2" t="str">
        <f>"SR-19085"</f>
        <v>SR-19085</v>
      </c>
      <c r="H14126" s="2" t="s">
        <v>53352</v>
      </c>
      <c r="I14126" s="2" t="s">
        <v>53353</v>
      </c>
      <c r="K14126" s="2" t="s">
        <v>22576</v>
      </c>
      <c r="L14126" s="2" t="s">
        <v>2389</v>
      </c>
      <c r="M14126" s="2">
        <v>97070.0</v>
      </c>
      <c r="N14126" s="2" t="s">
        <v>21</v>
      </c>
    </row>
    <row r="14127" ht="15.75" customHeight="1">
      <c r="A14127" s="2">
        <v>2021.0</v>
      </c>
      <c r="B14127" s="2" t="s">
        <v>55457</v>
      </c>
      <c r="C14127" s="2" t="s">
        <v>55458</v>
      </c>
      <c r="D14127" s="2" t="str">
        <f>"608-780-3455"</f>
        <v>608-780-3455</v>
      </c>
      <c r="E14127" s="2" t="s">
        <v>2259</v>
      </c>
      <c r="F14127" s="2" t="s">
        <v>55459</v>
      </c>
      <c r="G14127" s="2" t="str">
        <f>"SR-20830"</f>
        <v>SR-20830</v>
      </c>
      <c r="H14127" s="2" t="s">
        <v>55460</v>
      </c>
      <c r="I14127" s="2" t="s">
        <v>55461</v>
      </c>
      <c r="K14127" s="2" t="s">
        <v>55462</v>
      </c>
      <c r="L14127" s="2" t="s">
        <v>193</v>
      </c>
      <c r="M14127" s="2">
        <v>54614.0</v>
      </c>
      <c r="N14127" s="2" t="s">
        <v>21</v>
      </c>
    </row>
    <row r="14128" ht="15.75" customHeight="1">
      <c r="A14128" s="2">
        <v>2021.0</v>
      </c>
      <c r="B14128" s="2" t="s">
        <v>55457</v>
      </c>
      <c r="C14128" s="2" t="s">
        <v>55463</v>
      </c>
      <c r="D14128" s="2" t="str">
        <f>"6087803455"</f>
        <v>6087803455</v>
      </c>
      <c r="E14128" s="2" t="s">
        <v>485</v>
      </c>
      <c r="F14128" s="2" t="s">
        <v>55459</v>
      </c>
      <c r="G14128" s="2" t="str">
        <f>"SR-20835"</f>
        <v>SR-20835</v>
      </c>
      <c r="H14128" s="2" t="s">
        <v>55464</v>
      </c>
      <c r="I14128" s="2" t="s">
        <v>55465</v>
      </c>
      <c r="K14128" s="2" t="s">
        <v>55462</v>
      </c>
      <c r="L14128" s="2" t="s">
        <v>193</v>
      </c>
      <c r="M14128" s="2">
        <v>54614.0</v>
      </c>
      <c r="N14128" s="2" t="s">
        <v>21</v>
      </c>
    </row>
    <row r="14129" ht="15.75" customHeight="1">
      <c r="A14129" s="2">
        <v>2021.0</v>
      </c>
      <c r="B14129" s="2" t="s">
        <v>55466</v>
      </c>
      <c r="C14129" s="2" t="s">
        <v>55466</v>
      </c>
      <c r="D14129" s="2" t="str">
        <f>"402-833-8675"</f>
        <v>402-833-8675</v>
      </c>
      <c r="E14129" s="2" t="s">
        <v>7145</v>
      </c>
      <c r="F14129" s="2" t="s">
        <v>55467</v>
      </c>
      <c r="G14129" s="2" t="str">
        <f>"SR-20825"</f>
        <v>SR-20825</v>
      </c>
      <c r="H14129" s="2" t="s">
        <v>55468</v>
      </c>
      <c r="I14129" s="2" t="s">
        <v>55469</v>
      </c>
      <c r="K14129" s="2" t="s">
        <v>13946</v>
      </c>
      <c r="L14129" s="2" t="s">
        <v>757</v>
      </c>
      <c r="M14129" s="2">
        <v>68723.0</v>
      </c>
      <c r="N14129" s="2" t="s">
        <v>21</v>
      </c>
    </row>
    <row r="14130" ht="15.75" customHeight="1">
      <c r="A14130" s="2">
        <v>2021.0</v>
      </c>
      <c r="B14130" s="2" t="s">
        <v>23276</v>
      </c>
      <c r="C14130" s="2" t="s">
        <v>49567</v>
      </c>
      <c r="D14130" s="2" t="str">
        <f>"9167568615"</f>
        <v>9167568615</v>
      </c>
      <c r="E14130" s="2" t="s">
        <v>250</v>
      </c>
      <c r="F14130" s="2" t="s">
        <v>1101</v>
      </c>
      <c r="G14130" s="2" t="str">
        <f>"SR-17695"</f>
        <v>SR-17695</v>
      </c>
      <c r="H14130" s="2" t="s">
        <v>28363</v>
      </c>
      <c r="I14130" s="2" t="s">
        <v>12207</v>
      </c>
      <c r="K14130" s="2" t="s">
        <v>4446</v>
      </c>
      <c r="L14130" s="2" t="s">
        <v>222</v>
      </c>
      <c r="M14130" s="2">
        <v>95612.0</v>
      </c>
      <c r="N14130" s="2" t="s">
        <v>21</v>
      </c>
    </row>
    <row r="14131" ht="15.75" customHeight="1">
      <c r="A14131" s="2">
        <v>2021.0</v>
      </c>
      <c r="B14131" s="2" t="s">
        <v>44909</v>
      </c>
      <c r="C14131" s="2" t="s">
        <v>55470</v>
      </c>
      <c r="D14131" s="2" t="str">
        <f>"4439446452"</f>
        <v>4439446452</v>
      </c>
      <c r="E14131" s="2" t="s">
        <v>705</v>
      </c>
      <c r="F14131" s="2" t="s">
        <v>44911</v>
      </c>
      <c r="G14131" s="2" t="str">
        <f>"SR-20773"</f>
        <v>SR-20773</v>
      </c>
      <c r="H14131" s="2" t="s">
        <v>55471</v>
      </c>
      <c r="I14131" s="2" t="s">
        <v>55472</v>
      </c>
      <c r="K14131" s="2" t="s">
        <v>9717</v>
      </c>
      <c r="L14131" s="2" t="s">
        <v>1868</v>
      </c>
      <c r="M14131" s="2">
        <v>21666.0</v>
      </c>
      <c r="N14131" s="2" t="s">
        <v>21</v>
      </c>
    </row>
    <row r="14132" ht="15.75" customHeight="1">
      <c r="A14132" s="2">
        <v>2021.0</v>
      </c>
      <c r="B14132" s="2" t="s">
        <v>55473</v>
      </c>
      <c r="C14132" s="2" t="s">
        <v>55473</v>
      </c>
      <c r="D14132" s="2" t="str">
        <f>"7209798901"</f>
        <v>7209798901</v>
      </c>
      <c r="E14132" s="2" t="s">
        <v>8039</v>
      </c>
      <c r="F14132" s="2" t="s">
        <v>51035</v>
      </c>
      <c r="G14132" s="2" t="str">
        <f>"SR-20839"</f>
        <v>SR-20839</v>
      </c>
      <c r="H14132" s="2" t="s">
        <v>55474</v>
      </c>
      <c r="I14132" s="2" t="s">
        <v>55475</v>
      </c>
      <c r="K14132" s="2" t="s">
        <v>1502</v>
      </c>
      <c r="L14132" s="2" t="s">
        <v>157</v>
      </c>
      <c r="M14132" s="2">
        <v>80004.0</v>
      </c>
      <c r="N14132" s="2" t="s">
        <v>21</v>
      </c>
    </row>
    <row r="14133" ht="15.75" customHeight="1">
      <c r="A14133" s="2">
        <v>2021.0</v>
      </c>
      <c r="B14133" s="2" t="s">
        <v>55476</v>
      </c>
      <c r="C14133" s="2" t="s">
        <v>55477</v>
      </c>
      <c r="D14133" s="2" t="str">
        <f>"2108673639"</f>
        <v>2108673639</v>
      </c>
      <c r="E14133" s="2" t="s">
        <v>55478</v>
      </c>
      <c r="F14133" s="2" t="s">
        <v>54498</v>
      </c>
      <c r="G14133" s="2" t="str">
        <f>"SR-20797"</f>
        <v>SR-20797</v>
      </c>
      <c r="H14133" s="2" t="s">
        <v>55479</v>
      </c>
      <c r="I14133" s="2" t="s">
        <v>55480</v>
      </c>
      <c r="K14133" s="2" t="s">
        <v>632</v>
      </c>
      <c r="L14133" s="2" t="s">
        <v>172</v>
      </c>
      <c r="M14133" s="2">
        <v>78260.0</v>
      </c>
      <c r="N14133" s="2" t="s">
        <v>21</v>
      </c>
    </row>
    <row r="14134" ht="15.75" customHeight="1">
      <c r="A14134" s="2">
        <v>2021.0</v>
      </c>
      <c r="B14134" s="2" t="s">
        <v>50150</v>
      </c>
      <c r="C14134" s="2" t="s">
        <v>50151</v>
      </c>
      <c r="D14134" s="2" t="str">
        <f>"909-855-4228"</f>
        <v>909-855-4228</v>
      </c>
      <c r="E14134" s="2" t="s">
        <v>12491</v>
      </c>
      <c r="F14134" s="2" t="s">
        <v>1257</v>
      </c>
      <c r="G14134" s="2" t="str">
        <f>"SR-17898"</f>
        <v>SR-17898</v>
      </c>
      <c r="H14134" s="2" t="s">
        <v>50152</v>
      </c>
      <c r="I14134" s="2">
        <v>7014.0</v>
      </c>
      <c r="J14134" s="2" t="s">
        <v>50153</v>
      </c>
      <c r="K14134" s="2" t="s">
        <v>25872</v>
      </c>
      <c r="L14134" s="2" t="s">
        <v>222</v>
      </c>
      <c r="M14134" s="2">
        <v>92346.0</v>
      </c>
      <c r="N14134" s="2" t="s">
        <v>21</v>
      </c>
    </row>
    <row r="14135" ht="15.75" customHeight="1">
      <c r="A14135" s="2">
        <v>2021.0</v>
      </c>
      <c r="B14135" s="2" t="s">
        <v>55481</v>
      </c>
      <c r="C14135" s="2" t="s">
        <v>55481</v>
      </c>
      <c r="D14135" s="2" t="str">
        <f>"7196608208"</f>
        <v>7196608208</v>
      </c>
      <c r="E14135" s="2" t="s">
        <v>8386</v>
      </c>
      <c r="F14135" s="2" t="s">
        <v>9976</v>
      </c>
      <c r="G14135" s="2" t="str">
        <f>"SR-20758"</f>
        <v>SR-20758</v>
      </c>
      <c r="H14135" s="2" t="s">
        <v>55482</v>
      </c>
      <c r="I14135" s="2" t="s">
        <v>55483</v>
      </c>
      <c r="K14135" s="2" t="s">
        <v>55484</v>
      </c>
      <c r="L14135" s="2" t="s">
        <v>157</v>
      </c>
      <c r="M14135" s="2">
        <v>80920.0</v>
      </c>
      <c r="N14135" s="2" t="s">
        <v>21</v>
      </c>
    </row>
    <row r="14136" ht="15.75" customHeight="1">
      <c r="A14136" s="2">
        <v>2021.0</v>
      </c>
      <c r="B14136" s="2" t="s">
        <v>52344</v>
      </c>
      <c r="C14136" s="2" t="s">
        <v>52344</v>
      </c>
      <c r="D14136" s="2" t="str">
        <f>"9047088761"</f>
        <v>9047088761</v>
      </c>
      <c r="E14136" s="2" t="s">
        <v>239</v>
      </c>
      <c r="F14136" s="2" t="s">
        <v>52341</v>
      </c>
      <c r="G14136" s="2" t="str">
        <f>"SR-18711"</f>
        <v>SR-18711</v>
      </c>
      <c r="H14136" s="2" t="s">
        <v>52345</v>
      </c>
      <c r="I14136" s="2" t="s">
        <v>52343</v>
      </c>
      <c r="K14136" s="2" t="s">
        <v>451</v>
      </c>
      <c r="L14136" s="2" t="s">
        <v>208</v>
      </c>
      <c r="M14136" s="2">
        <v>32256.0</v>
      </c>
      <c r="N14136" s="2" t="s">
        <v>21</v>
      </c>
    </row>
    <row r="14137" ht="15.75" customHeight="1">
      <c r="A14137" s="2">
        <v>2021.0</v>
      </c>
      <c r="B14137" s="2" t="s">
        <v>55485</v>
      </c>
      <c r="C14137" s="2" t="s">
        <v>55485</v>
      </c>
      <c r="D14137" s="2" t="str">
        <f>"559-824-2115"</f>
        <v>559-824-2115</v>
      </c>
      <c r="E14137" s="2" t="s">
        <v>32674</v>
      </c>
      <c r="F14137" s="2" t="s">
        <v>9835</v>
      </c>
      <c r="G14137" s="2" t="str">
        <f>"SR-20788"</f>
        <v>SR-20788</v>
      </c>
      <c r="H14137" s="2" t="s">
        <v>55486</v>
      </c>
      <c r="I14137" s="2" t="s">
        <v>55487</v>
      </c>
      <c r="K14137" s="2" t="s">
        <v>10354</v>
      </c>
      <c r="L14137" s="2" t="s">
        <v>222</v>
      </c>
      <c r="M14137" s="2">
        <v>93725.0</v>
      </c>
      <c r="N14137" s="2" t="s">
        <v>21</v>
      </c>
    </row>
    <row r="14138" ht="15.75" customHeight="1">
      <c r="A14138" s="2">
        <v>2021.0</v>
      </c>
      <c r="B14138" s="2" t="s">
        <v>55488</v>
      </c>
      <c r="C14138" s="2" t="s">
        <v>55488</v>
      </c>
      <c r="D14138" s="2" t="str">
        <f>"559-779-0853"</f>
        <v>559-779-0853</v>
      </c>
      <c r="E14138" s="2" t="s">
        <v>44078</v>
      </c>
      <c r="F14138" s="2" t="s">
        <v>2954</v>
      </c>
      <c r="G14138" s="2" t="str">
        <f>"SR-20845"</f>
        <v>SR-20845</v>
      </c>
      <c r="H14138" s="2" t="s">
        <v>55489</v>
      </c>
      <c r="I14138" s="2" t="s">
        <v>55490</v>
      </c>
      <c r="K14138" s="2" t="s">
        <v>50515</v>
      </c>
      <c r="L14138" s="2" t="s">
        <v>222</v>
      </c>
      <c r="M14138" s="2">
        <v>93611.0</v>
      </c>
      <c r="N14138" s="2" t="s">
        <v>21</v>
      </c>
    </row>
    <row r="14139" ht="15.75" customHeight="1">
      <c r="A14139" s="2">
        <v>2021.0</v>
      </c>
      <c r="B14139" s="2" t="s">
        <v>55491</v>
      </c>
      <c r="C14139" s="2" t="s">
        <v>55492</v>
      </c>
      <c r="D14139" s="2" t="str">
        <f>"9048445105"</f>
        <v>9048445105</v>
      </c>
      <c r="E14139" s="2" t="s">
        <v>3196</v>
      </c>
      <c r="F14139" s="2" t="s">
        <v>55493</v>
      </c>
      <c r="G14139" s="2" t="str">
        <f>"SR-20844"</f>
        <v>SR-20844</v>
      </c>
      <c r="H14139" s="2" t="s">
        <v>55494</v>
      </c>
      <c r="I14139" s="2" t="s">
        <v>55495</v>
      </c>
      <c r="K14139" s="2" t="s">
        <v>254</v>
      </c>
      <c r="L14139" s="2" t="s">
        <v>344</v>
      </c>
      <c r="M14139" s="2">
        <v>44904.0</v>
      </c>
      <c r="N14139" s="2" t="s">
        <v>21</v>
      </c>
    </row>
    <row r="14140" ht="15.75" customHeight="1">
      <c r="A14140" s="2">
        <v>2021.0</v>
      </c>
      <c r="B14140" s="2" t="s">
        <v>51840</v>
      </c>
      <c r="C14140" s="2" t="s">
        <v>51841</v>
      </c>
      <c r="D14140" s="2" t="str">
        <f>"702-540-3464"</f>
        <v>702-540-3464</v>
      </c>
      <c r="E14140" s="2" t="s">
        <v>24</v>
      </c>
      <c r="F14140" s="2" t="s">
        <v>51842</v>
      </c>
      <c r="G14140" s="2" t="str">
        <f>"SR-18527"</f>
        <v>SR-18527</v>
      </c>
      <c r="H14140" s="2" t="s">
        <v>51843</v>
      </c>
      <c r="I14140" s="2" t="s">
        <v>51844</v>
      </c>
      <c r="K14140" s="2" t="s">
        <v>3128</v>
      </c>
      <c r="L14140" s="2" t="s">
        <v>1419</v>
      </c>
      <c r="M14140" s="2">
        <v>89146.0</v>
      </c>
      <c r="N14140" s="2" t="s">
        <v>21</v>
      </c>
    </row>
    <row r="14141" ht="15.75" customHeight="1">
      <c r="A14141" s="2">
        <v>2021.0</v>
      </c>
      <c r="B14141" s="2" t="s">
        <v>39063</v>
      </c>
      <c r="C14141" s="2" t="s">
        <v>50057</v>
      </c>
      <c r="D14141" s="2" t="str">
        <f>"9012320240"</f>
        <v>9012320240</v>
      </c>
      <c r="E14141" s="2" t="s">
        <v>26038</v>
      </c>
      <c r="F14141" s="2" t="s">
        <v>3283</v>
      </c>
      <c r="G14141" s="2" t="str">
        <f>"SR-17883"</f>
        <v>SR-17883</v>
      </c>
      <c r="H14141" s="2" t="s">
        <v>50058</v>
      </c>
      <c r="I14141" s="2" t="s">
        <v>50059</v>
      </c>
      <c r="K14141" s="2" t="s">
        <v>5519</v>
      </c>
      <c r="L14141" s="2" t="s">
        <v>279</v>
      </c>
      <c r="M14141" s="2">
        <v>38115.0</v>
      </c>
      <c r="N14141" s="2" t="s">
        <v>21</v>
      </c>
    </row>
    <row r="14142" ht="15.75" customHeight="1">
      <c r="A14142" s="2">
        <v>2021.0</v>
      </c>
      <c r="B14142" s="2" t="s">
        <v>52339</v>
      </c>
      <c r="C14142" s="2" t="s">
        <v>52339</v>
      </c>
      <c r="D14142" s="2" t="str">
        <f>"9047082234"</f>
        <v>9047082234</v>
      </c>
      <c r="E14142" s="2" t="s">
        <v>52340</v>
      </c>
      <c r="F14142" s="2" t="s">
        <v>52341</v>
      </c>
      <c r="G14142" s="2" t="str">
        <f>"SR-18710"</f>
        <v>SR-18710</v>
      </c>
      <c r="H14142" s="2" t="s">
        <v>52342</v>
      </c>
      <c r="I14142" s="2" t="s">
        <v>52343</v>
      </c>
      <c r="K14142" s="2" t="s">
        <v>451</v>
      </c>
      <c r="L14142" s="2" t="s">
        <v>208</v>
      </c>
      <c r="M14142" s="2">
        <v>32256.0</v>
      </c>
      <c r="N14142" s="2" t="s">
        <v>21</v>
      </c>
    </row>
    <row r="14143" ht="15.75" customHeight="1">
      <c r="A14143" s="2">
        <v>2021.0</v>
      </c>
      <c r="B14143" s="2" t="s">
        <v>51221</v>
      </c>
      <c r="D14143" s="2" t="str">
        <f>""</f>
        <v/>
      </c>
      <c r="E14143" s="2" t="s">
        <v>6813</v>
      </c>
      <c r="F14143" s="2" t="s">
        <v>386</v>
      </c>
      <c r="G14143" s="2" t="str">
        <f>"SR-20811"</f>
        <v>SR-20811</v>
      </c>
      <c r="H14143" s="2" t="s">
        <v>55496</v>
      </c>
    </row>
    <row r="14144" ht="15.75" customHeight="1">
      <c r="A14144" s="2">
        <v>2021.0</v>
      </c>
      <c r="B14144" s="2" t="s">
        <v>55497</v>
      </c>
      <c r="C14144" s="2" t="s">
        <v>55497</v>
      </c>
      <c r="D14144" s="2" t="str">
        <f>"7134109110"</f>
        <v>7134109110</v>
      </c>
      <c r="E14144" s="2" t="s">
        <v>465</v>
      </c>
      <c r="F14144" s="2" t="s">
        <v>696</v>
      </c>
      <c r="G14144" s="2" t="str">
        <f>"SR-20851"</f>
        <v>SR-20851</v>
      </c>
      <c r="H14144" s="2" t="s">
        <v>55498</v>
      </c>
      <c r="I14144" s="2" t="s">
        <v>55499</v>
      </c>
      <c r="K14144" s="2" t="s">
        <v>4350</v>
      </c>
      <c r="L14144" s="2" t="s">
        <v>172</v>
      </c>
      <c r="M14144" s="2">
        <v>77377.0</v>
      </c>
      <c r="N14144" s="2" t="s">
        <v>21</v>
      </c>
    </row>
    <row r="14145" ht="15.75" customHeight="1">
      <c r="A14145" s="2">
        <v>2021.0</v>
      </c>
      <c r="B14145" s="2" t="s">
        <v>45329</v>
      </c>
      <c r="C14145" s="2" t="s">
        <v>50580</v>
      </c>
      <c r="D14145" s="2" t="str">
        <f>"269-535-9272"</f>
        <v>269-535-9272</v>
      </c>
      <c r="E14145" s="2" t="s">
        <v>10825</v>
      </c>
      <c r="F14145" s="2" t="s">
        <v>32621</v>
      </c>
      <c r="G14145" s="2" t="str">
        <f>"SR-18054"</f>
        <v>SR-18054</v>
      </c>
      <c r="H14145" s="2" t="s">
        <v>50581</v>
      </c>
      <c r="I14145" s="2" t="s">
        <v>50582</v>
      </c>
      <c r="K14145" s="2" t="s">
        <v>13760</v>
      </c>
      <c r="L14145" s="2" t="s">
        <v>29</v>
      </c>
      <c r="M14145" s="2">
        <v>49032.0</v>
      </c>
      <c r="N14145" s="2" t="s">
        <v>21</v>
      </c>
    </row>
    <row r="14146" ht="15.75" customHeight="1">
      <c r="A14146" s="2">
        <v>2021.0</v>
      </c>
      <c r="B14146" s="2" t="s">
        <v>17948</v>
      </c>
      <c r="C14146" s="2" t="s">
        <v>52824</v>
      </c>
      <c r="D14146" s="2" t="str">
        <f>"980-313-9997"</f>
        <v>980-313-9997</v>
      </c>
      <c r="E14146" s="2" t="s">
        <v>52825</v>
      </c>
      <c r="F14146" s="2" t="s">
        <v>1609</v>
      </c>
      <c r="G14146" s="2" t="str">
        <f>"SR-18857"</f>
        <v>SR-18857</v>
      </c>
      <c r="H14146" s="2" t="s">
        <v>52826</v>
      </c>
      <c r="I14146" s="2" t="s">
        <v>52827</v>
      </c>
      <c r="K14146" s="2" t="s">
        <v>1612</v>
      </c>
      <c r="L14146" s="2" t="s">
        <v>20</v>
      </c>
      <c r="M14146" s="2">
        <v>28105.0</v>
      </c>
      <c r="N14146" s="2" t="s">
        <v>21</v>
      </c>
    </row>
    <row r="14147" ht="15.75" customHeight="1">
      <c r="A14147" s="2">
        <v>2021.0</v>
      </c>
      <c r="B14147" s="2" t="s">
        <v>55500</v>
      </c>
      <c r="C14147" s="2" t="s">
        <v>55501</v>
      </c>
      <c r="D14147" s="2" t="str">
        <f>"7632035639"</f>
        <v>7632035639</v>
      </c>
      <c r="E14147" s="2" t="s">
        <v>6170</v>
      </c>
      <c r="F14147" s="2" t="s">
        <v>55502</v>
      </c>
      <c r="G14147" s="2" t="str">
        <f>"SR-20854"</f>
        <v>SR-20854</v>
      </c>
      <c r="H14147" s="2" t="s">
        <v>55503</v>
      </c>
      <c r="I14147" s="2" t="s">
        <v>55504</v>
      </c>
      <c r="K14147" s="2" t="s">
        <v>1170</v>
      </c>
      <c r="L14147" s="2" t="s">
        <v>62</v>
      </c>
      <c r="M14147" s="2">
        <v>55374.0</v>
      </c>
      <c r="N14147" s="2" t="s">
        <v>21</v>
      </c>
    </row>
    <row r="14148" ht="15.75" customHeight="1">
      <c r="A14148" s="2">
        <v>2021.0</v>
      </c>
      <c r="B14148" s="2" t="s">
        <v>27507</v>
      </c>
      <c r="C14148" s="2" t="s">
        <v>27507</v>
      </c>
      <c r="D14148" s="2" t="str">
        <f>"6365449833"</f>
        <v>6365449833</v>
      </c>
      <c r="E14148" s="2" t="s">
        <v>55505</v>
      </c>
      <c r="F14148" s="2" t="s">
        <v>18542</v>
      </c>
      <c r="G14148" s="2" t="str">
        <f>"SR-20856"</f>
        <v>SR-20856</v>
      </c>
      <c r="H14148" s="2" t="s">
        <v>55506</v>
      </c>
      <c r="I14148" s="2" t="s">
        <v>55507</v>
      </c>
      <c r="J14148" s="2" t="s">
        <v>55508</v>
      </c>
      <c r="K14148" s="2" t="s">
        <v>25436</v>
      </c>
      <c r="L14148" s="2" t="s">
        <v>214</v>
      </c>
      <c r="M14148" s="2">
        <v>65102.0</v>
      </c>
      <c r="N14148" s="2" t="s">
        <v>21</v>
      </c>
    </row>
    <row r="14149" ht="15.75" customHeight="1">
      <c r="A14149" s="2">
        <v>2021.0</v>
      </c>
      <c r="B14149" s="2" t="s">
        <v>55509</v>
      </c>
      <c r="C14149" s="2" t="s">
        <v>55509</v>
      </c>
      <c r="D14149" s="2" t="str">
        <f>"5022598990"</f>
        <v>5022598990</v>
      </c>
      <c r="E14149" s="2" t="s">
        <v>225</v>
      </c>
      <c r="F14149" s="2" t="s">
        <v>55510</v>
      </c>
      <c r="G14149" s="2" t="str">
        <f>"SR-20837"</f>
        <v>SR-20837</v>
      </c>
      <c r="H14149" s="2" t="s">
        <v>55511</v>
      </c>
      <c r="I14149" s="2" t="s">
        <v>55512</v>
      </c>
      <c r="K14149" s="2" t="s">
        <v>5288</v>
      </c>
      <c r="L14149" s="2" t="s">
        <v>1236</v>
      </c>
      <c r="M14149" s="2">
        <v>40245.0</v>
      </c>
      <c r="N14149" s="2" t="s">
        <v>21</v>
      </c>
    </row>
    <row r="14150" ht="15.75" customHeight="1">
      <c r="A14150" s="2">
        <v>2021.0</v>
      </c>
      <c r="B14150" s="2" t="s">
        <v>37754</v>
      </c>
      <c r="D14150" s="2" t="str">
        <f>""</f>
        <v/>
      </c>
      <c r="E14150" s="2" t="s">
        <v>1022</v>
      </c>
      <c r="F14150" s="2" t="s">
        <v>19002</v>
      </c>
      <c r="G14150" s="2" t="str">
        <f>"SR-12873"</f>
        <v>SR-12873</v>
      </c>
      <c r="H14150" s="2" t="s">
        <v>37757</v>
      </c>
    </row>
    <row r="14151" ht="15.75" customHeight="1">
      <c r="A14151" s="2">
        <v>2021.0</v>
      </c>
      <c r="B14151" s="2" t="s">
        <v>49237</v>
      </c>
      <c r="C14151" s="2" t="s">
        <v>49238</v>
      </c>
      <c r="D14151" s="2" t="str">
        <f>"303-471-4105"</f>
        <v>303-471-4105</v>
      </c>
      <c r="E14151" s="2" t="s">
        <v>39039</v>
      </c>
      <c r="F14151" s="2" t="s">
        <v>5290</v>
      </c>
      <c r="G14151" s="2" t="str">
        <f>"SR-17522"</f>
        <v>SR-17522</v>
      </c>
      <c r="H14151" s="2" t="s">
        <v>49239</v>
      </c>
      <c r="I14151" s="2" t="s">
        <v>49240</v>
      </c>
      <c r="K14151" s="2" t="s">
        <v>682</v>
      </c>
      <c r="L14151" s="2" t="s">
        <v>157</v>
      </c>
      <c r="M14151" s="2">
        <v>80126.0</v>
      </c>
      <c r="N14151" s="2" t="s">
        <v>21</v>
      </c>
    </row>
    <row r="14152" ht="15.75" customHeight="1">
      <c r="A14152" s="2">
        <v>2021.0</v>
      </c>
      <c r="B14152" s="2" t="s">
        <v>49192</v>
      </c>
      <c r="C14152" s="2" t="s">
        <v>49193</v>
      </c>
      <c r="D14152" s="2" t="str">
        <f>"615-415-4142"</f>
        <v>615-415-4142</v>
      </c>
      <c r="E14152" s="2" t="s">
        <v>12075</v>
      </c>
      <c r="F14152" s="2" t="s">
        <v>35006</v>
      </c>
      <c r="G14152" s="2" t="str">
        <f>"SR-17481"</f>
        <v>SR-17481</v>
      </c>
      <c r="H14152" s="2" t="s">
        <v>49194</v>
      </c>
      <c r="I14152" s="2" t="s">
        <v>49195</v>
      </c>
      <c r="K14152" s="2" t="s">
        <v>278</v>
      </c>
      <c r="L14152" s="2" t="s">
        <v>279</v>
      </c>
      <c r="M14152" s="2">
        <v>37067.0</v>
      </c>
      <c r="N14152" s="2" t="s">
        <v>21</v>
      </c>
    </row>
    <row r="14153" ht="15.75" customHeight="1">
      <c r="A14153" s="2">
        <v>2021.0</v>
      </c>
      <c r="B14153" s="2" t="s">
        <v>49613</v>
      </c>
      <c r="C14153" s="2" t="s">
        <v>49613</v>
      </c>
      <c r="D14153" s="2" t="str">
        <f>"3204230051"</f>
        <v>3204230051</v>
      </c>
      <c r="E14153" s="2" t="s">
        <v>534</v>
      </c>
      <c r="F14153" s="2" t="s">
        <v>22323</v>
      </c>
      <c r="G14153" s="2" t="str">
        <f>"SR-17722"</f>
        <v>SR-17722</v>
      </c>
      <c r="H14153" s="2" t="s">
        <v>49614</v>
      </c>
      <c r="I14153" s="2" t="s">
        <v>23725</v>
      </c>
      <c r="K14153" s="2" t="s">
        <v>23726</v>
      </c>
      <c r="L14153" s="2" t="s">
        <v>62</v>
      </c>
      <c r="M14153" s="2">
        <v>56378.0</v>
      </c>
      <c r="N14153" s="2" t="s">
        <v>21</v>
      </c>
    </row>
    <row r="14154" ht="15.75" customHeight="1">
      <c r="A14154" s="2">
        <v>2021.0</v>
      </c>
      <c r="B14154" s="2" t="s">
        <v>1985</v>
      </c>
      <c r="C14154" s="2" t="s">
        <v>55513</v>
      </c>
      <c r="D14154" s="2" t="str">
        <f>"316-258-4954"</f>
        <v>316-258-4954</v>
      </c>
      <c r="E14154" s="2" t="s">
        <v>2439</v>
      </c>
      <c r="F14154" s="2" t="s">
        <v>15730</v>
      </c>
      <c r="G14154" s="2" t="str">
        <f>"SR-20860"</f>
        <v>SR-20860</v>
      </c>
      <c r="H14154" s="2" t="s">
        <v>55514</v>
      </c>
      <c r="I14154" s="2" t="s">
        <v>55515</v>
      </c>
      <c r="K14154" s="2" t="s">
        <v>1991</v>
      </c>
      <c r="L14154" s="2" t="s">
        <v>272</v>
      </c>
      <c r="M14154" s="2">
        <v>67002.0</v>
      </c>
      <c r="N14154" s="2" t="s">
        <v>21</v>
      </c>
    </row>
    <row r="14155" ht="15.75" customHeight="1">
      <c r="A14155" s="2">
        <v>2021.0</v>
      </c>
      <c r="B14155" s="2" t="s">
        <v>50145</v>
      </c>
      <c r="C14155" s="2" t="s">
        <v>50146</v>
      </c>
      <c r="D14155" s="2" t="str">
        <f>"9105473323"</f>
        <v>9105473323</v>
      </c>
      <c r="E14155" s="2" t="s">
        <v>15</v>
      </c>
      <c r="F14155" s="2" t="s">
        <v>50147</v>
      </c>
      <c r="G14155" s="2" t="str">
        <f>"SR-17912"</f>
        <v>SR-17912</v>
      </c>
      <c r="H14155" s="2" t="s">
        <v>50148</v>
      </c>
      <c r="I14155" s="2" t="s">
        <v>50149</v>
      </c>
      <c r="K14155" s="2" t="s">
        <v>11784</v>
      </c>
      <c r="L14155" s="2" t="s">
        <v>20</v>
      </c>
      <c r="M14155" s="2">
        <v>28409.0</v>
      </c>
      <c r="N14155" s="2" t="s">
        <v>21</v>
      </c>
    </row>
    <row r="14156" ht="15.75" customHeight="1">
      <c r="A14156" s="2">
        <v>2021.0</v>
      </c>
      <c r="B14156" s="2" t="s">
        <v>52000</v>
      </c>
      <c r="C14156" s="2" t="s">
        <v>52001</v>
      </c>
      <c r="D14156" s="2" t="str">
        <f>"2522698522"</f>
        <v>2522698522</v>
      </c>
      <c r="E14156" s="2" t="s">
        <v>81</v>
      </c>
      <c r="F14156" s="2" t="s">
        <v>52002</v>
      </c>
      <c r="G14156" s="2" t="str">
        <f>"SR-18280"</f>
        <v>SR-18280</v>
      </c>
      <c r="H14156" s="2" t="s">
        <v>52003</v>
      </c>
      <c r="I14156" s="2" t="s">
        <v>52004</v>
      </c>
      <c r="K14156" s="2" t="s">
        <v>52005</v>
      </c>
      <c r="L14156" s="2" t="s">
        <v>20</v>
      </c>
      <c r="M14156" s="2">
        <v>28557.0</v>
      </c>
      <c r="N14156" s="2" t="s">
        <v>21</v>
      </c>
    </row>
    <row r="14157" ht="15.75" customHeight="1">
      <c r="A14157" s="2">
        <v>2021.0</v>
      </c>
      <c r="B14157" s="2" t="s">
        <v>51078</v>
      </c>
      <c r="C14157" s="2" t="s">
        <v>51079</v>
      </c>
      <c r="D14157" s="2" t="str">
        <f>"5209907453"</f>
        <v>5209907453</v>
      </c>
      <c r="E14157" s="2" t="s">
        <v>11885</v>
      </c>
      <c r="F14157" s="2" t="s">
        <v>1151</v>
      </c>
      <c r="G14157" s="2" t="str">
        <f>"SR-18233"</f>
        <v>SR-18233</v>
      </c>
      <c r="H14157" s="2" t="s">
        <v>51080</v>
      </c>
      <c r="I14157" s="2" t="s">
        <v>51081</v>
      </c>
      <c r="K14157" s="2" t="s">
        <v>5946</v>
      </c>
      <c r="L14157" s="2" t="s">
        <v>422</v>
      </c>
      <c r="M14157" s="2">
        <v>85743.0</v>
      </c>
      <c r="N14157" s="2" t="s">
        <v>21</v>
      </c>
    </row>
    <row r="14158" ht="15.75" customHeight="1">
      <c r="A14158" s="2">
        <v>2021.0</v>
      </c>
      <c r="B14158" s="2" t="s">
        <v>50926</v>
      </c>
      <c r="C14158" s="2" t="s">
        <v>50927</v>
      </c>
      <c r="D14158" s="2" t="str">
        <f>"9014301606"</f>
        <v>9014301606</v>
      </c>
      <c r="E14158" s="2" t="s">
        <v>2243</v>
      </c>
      <c r="F14158" s="2" t="s">
        <v>50928</v>
      </c>
      <c r="G14158" s="2" t="str">
        <f>"SR-18175"</f>
        <v>SR-18175</v>
      </c>
      <c r="H14158" s="2" t="s">
        <v>50929</v>
      </c>
      <c r="I14158" s="2" t="s">
        <v>50930</v>
      </c>
      <c r="K14158" s="2" t="s">
        <v>882</v>
      </c>
      <c r="L14158" s="2" t="s">
        <v>279</v>
      </c>
      <c r="M14158" s="2">
        <v>38002.0</v>
      </c>
      <c r="N14158" s="2" t="s">
        <v>21</v>
      </c>
    </row>
    <row r="14159" ht="15.75" customHeight="1">
      <c r="A14159" s="2">
        <v>2021.0</v>
      </c>
      <c r="B14159" s="2" t="s">
        <v>55516</v>
      </c>
      <c r="C14159" s="2" t="s">
        <v>55517</v>
      </c>
      <c r="D14159" s="2" t="str">
        <f>"9843650437"</f>
        <v>9843650437</v>
      </c>
      <c r="E14159" s="2" t="s">
        <v>678</v>
      </c>
      <c r="F14159" s="2" t="s">
        <v>55518</v>
      </c>
      <c r="G14159" s="2" t="str">
        <f>"SR-20861"</f>
        <v>SR-20861</v>
      </c>
      <c r="H14159" s="2" t="s">
        <v>55519</v>
      </c>
      <c r="I14159" s="2" t="s">
        <v>55520</v>
      </c>
      <c r="K14159" s="2" t="s">
        <v>2378</v>
      </c>
      <c r="L14159" s="2" t="s">
        <v>20</v>
      </c>
      <c r="M14159" s="2">
        <v>27520.0</v>
      </c>
      <c r="N14159" s="2" t="s">
        <v>21</v>
      </c>
    </row>
    <row r="14160" ht="15.75" customHeight="1">
      <c r="A14160" s="2">
        <v>2021.0</v>
      </c>
      <c r="B14160" s="2" t="s">
        <v>52525</v>
      </c>
      <c r="C14160" s="2" t="s">
        <v>52526</v>
      </c>
      <c r="D14160" s="2" t="str">
        <f>"7174615185"</f>
        <v>7174615185</v>
      </c>
      <c r="E14160" s="2" t="s">
        <v>1208</v>
      </c>
      <c r="F14160" s="2" t="s">
        <v>52527</v>
      </c>
      <c r="G14160" s="2" t="str">
        <f>"SR-18749"</f>
        <v>SR-18749</v>
      </c>
      <c r="H14160" s="2" t="s">
        <v>52528</v>
      </c>
      <c r="I14160" s="2" t="s">
        <v>52529</v>
      </c>
      <c r="K14160" s="2" t="s">
        <v>32115</v>
      </c>
      <c r="L14160" s="2" t="s">
        <v>179</v>
      </c>
      <c r="M14160" s="2">
        <v>17055.0</v>
      </c>
      <c r="N14160" s="2" t="s">
        <v>21</v>
      </c>
    </row>
    <row r="14161" ht="15.75" customHeight="1">
      <c r="A14161" s="2">
        <v>2021.0</v>
      </c>
      <c r="B14161" s="2" t="s">
        <v>49659</v>
      </c>
      <c r="C14161" s="2" t="s">
        <v>49660</v>
      </c>
      <c r="D14161" s="2" t="str">
        <f>"9704268782"</f>
        <v>9704268782</v>
      </c>
      <c r="E14161" s="2" t="s">
        <v>239</v>
      </c>
      <c r="F14161" s="2" t="s">
        <v>37599</v>
      </c>
      <c r="G14161" s="2" t="str">
        <f>"SR-17647"</f>
        <v>SR-17647</v>
      </c>
      <c r="H14161" s="2" t="s">
        <v>49661</v>
      </c>
      <c r="I14161" s="2" t="s">
        <v>49662</v>
      </c>
      <c r="K14161" s="2" t="s">
        <v>13748</v>
      </c>
      <c r="L14161" s="2" t="s">
        <v>2389</v>
      </c>
      <c r="M14161" s="2">
        <v>97035.0</v>
      </c>
      <c r="N14161" s="2" t="s">
        <v>21</v>
      </c>
    </row>
    <row r="14162" ht="15.75" customHeight="1">
      <c r="A14162" s="2">
        <v>2021.0</v>
      </c>
      <c r="B14162" s="2" t="s">
        <v>55521</v>
      </c>
      <c r="C14162" s="2" t="s">
        <v>55522</v>
      </c>
      <c r="D14162" s="2" t="str">
        <f>"6089770378"</f>
        <v>6089770378</v>
      </c>
      <c r="E14162" s="2" t="s">
        <v>1141</v>
      </c>
      <c r="F14162" s="2" t="s">
        <v>41530</v>
      </c>
      <c r="G14162" s="2" t="str">
        <f>"SR-20867"</f>
        <v>SR-20867</v>
      </c>
      <c r="H14162" s="2" t="s">
        <v>55523</v>
      </c>
      <c r="I14162" s="2" t="s">
        <v>55524</v>
      </c>
      <c r="K14162" s="2" t="s">
        <v>5718</v>
      </c>
      <c r="L14162" s="2" t="s">
        <v>193</v>
      </c>
      <c r="M14162" s="2">
        <v>54669.0</v>
      </c>
      <c r="N14162" s="2" t="s">
        <v>21</v>
      </c>
    </row>
    <row r="14163" ht="15.75" customHeight="1">
      <c r="A14163" s="2">
        <v>2021.0</v>
      </c>
      <c r="B14163" s="2" t="s">
        <v>43338</v>
      </c>
      <c r="C14163" s="2" t="s">
        <v>55525</v>
      </c>
      <c r="D14163" s="2" t="str">
        <f>"8324318042"</f>
        <v>8324318042</v>
      </c>
      <c r="E14163" s="2" t="s">
        <v>5858</v>
      </c>
      <c r="F14163" s="2" t="s">
        <v>32817</v>
      </c>
      <c r="G14163" s="2" t="str">
        <f>"SR-20868"</f>
        <v>SR-20868</v>
      </c>
      <c r="H14163" s="2" t="s">
        <v>55526</v>
      </c>
      <c r="I14163" s="2" t="s">
        <v>43341</v>
      </c>
      <c r="K14163" s="2" t="s">
        <v>32372</v>
      </c>
      <c r="L14163" s="2" t="s">
        <v>172</v>
      </c>
      <c r="M14163" s="2">
        <v>77401.0</v>
      </c>
      <c r="N14163" s="2" t="s">
        <v>21</v>
      </c>
    </row>
    <row r="14164" ht="15.75" customHeight="1">
      <c r="A14164" s="2">
        <v>2021.0</v>
      </c>
      <c r="B14164" s="2" t="s">
        <v>55527</v>
      </c>
      <c r="C14164" s="2" t="s">
        <v>55528</v>
      </c>
      <c r="D14164" s="2" t="str">
        <f>"7174158133"</f>
        <v>7174158133</v>
      </c>
      <c r="E14164" s="2" t="s">
        <v>2243</v>
      </c>
      <c r="F14164" s="2" t="s">
        <v>27212</v>
      </c>
      <c r="G14164" s="2" t="str">
        <f>"SR-20870"</f>
        <v>SR-20870</v>
      </c>
      <c r="H14164" s="2" t="s">
        <v>55529</v>
      </c>
      <c r="I14164" s="2" t="s">
        <v>55530</v>
      </c>
      <c r="K14164" s="2" t="s">
        <v>55531</v>
      </c>
      <c r="L14164" s="2" t="s">
        <v>179</v>
      </c>
      <c r="M14164" s="2">
        <v>17552.0</v>
      </c>
      <c r="N14164" s="2" t="s">
        <v>21</v>
      </c>
    </row>
    <row r="14165" ht="15.75" customHeight="1">
      <c r="A14165" s="2">
        <v>2021.0</v>
      </c>
      <c r="B14165" s="2" t="s">
        <v>50951</v>
      </c>
      <c r="C14165" s="2" t="s">
        <v>50952</v>
      </c>
      <c r="D14165" s="2" t="str">
        <f>"717-254-9299"</f>
        <v>717-254-9299</v>
      </c>
      <c r="E14165" s="2" t="s">
        <v>5548</v>
      </c>
      <c r="F14165" s="2" t="s">
        <v>49088</v>
      </c>
      <c r="G14165" s="2" t="str">
        <f>"SR-18182"</f>
        <v>SR-18182</v>
      </c>
      <c r="H14165" s="2" t="s">
        <v>50953</v>
      </c>
      <c r="I14165" s="2" t="s">
        <v>50954</v>
      </c>
      <c r="K14165" s="2" t="s">
        <v>32115</v>
      </c>
      <c r="L14165" s="2" t="s">
        <v>179</v>
      </c>
      <c r="M14165" s="2">
        <v>17055.0</v>
      </c>
      <c r="N14165" s="2" t="s">
        <v>21</v>
      </c>
    </row>
    <row r="14166" ht="15.75" customHeight="1">
      <c r="A14166" s="2">
        <v>2021.0</v>
      </c>
      <c r="B14166" s="2" t="s">
        <v>55532</v>
      </c>
      <c r="C14166" s="2" t="s">
        <v>55533</v>
      </c>
      <c r="D14166" s="2" t="str">
        <f>"8654069435"</f>
        <v>8654069435</v>
      </c>
      <c r="E14166" s="2" t="s">
        <v>29586</v>
      </c>
      <c r="F14166" s="2" t="s">
        <v>386</v>
      </c>
      <c r="G14166" s="2" t="str">
        <f>"SR-20834"</f>
        <v>SR-20834</v>
      </c>
      <c r="H14166" s="2" t="s">
        <v>55534</v>
      </c>
      <c r="I14166" s="2" t="s">
        <v>55535</v>
      </c>
      <c r="K14166" s="2" t="s">
        <v>6168</v>
      </c>
      <c r="L14166" s="2" t="s">
        <v>279</v>
      </c>
      <c r="M14166" s="2">
        <v>37918.0</v>
      </c>
      <c r="N14166" s="2" t="s">
        <v>21</v>
      </c>
    </row>
    <row r="14167" ht="15.75" customHeight="1">
      <c r="A14167" s="2">
        <v>2021.0</v>
      </c>
      <c r="B14167" s="2" t="s">
        <v>55536</v>
      </c>
      <c r="C14167" s="2" t="s">
        <v>55537</v>
      </c>
      <c r="D14167" s="2" t="str">
        <f>"7084468468"</f>
        <v>7084468468</v>
      </c>
      <c r="E14167" s="2" t="s">
        <v>824</v>
      </c>
      <c r="F14167" s="2" t="s">
        <v>55538</v>
      </c>
      <c r="G14167" s="2" t="str">
        <f>"SR-20874"</f>
        <v>SR-20874</v>
      </c>
      <c r="H14167" s="2" t="s">
        <v>55539</v>
      </c>
      <c r="I14167" s="2" t="s">
        <v>55540</v>
      </c>
      <c r="K14167" s="2" t="s">
        <v>55541</v>
      </c>
      <c r="L14167" s="2" t="s">
        <v>105</v>
      </c>
      <c r="M14167" s="2">
        <v>60964.0</v>
      </c>
      <c r="N14167" s="2" t="s">
        <v>21</v>
      </c>
    </row>
    <row r="14168" ht="15.75" customHeight="1">
      <c r="A14168" s="2">
        <v>2021.0</v>
      </c>
      <c r="B14168" s="2" t="s">
        <v>55542</v>
      </c>
      <c r="C14168" s="2" t="s">
        <v>55543</v>
      </c>
      <c r="D14168" s="2" t="str">
        <f>"7083774246"</f>
        <v>7083774246</v>
      </c>
      <c r="E14168" s="2" t="s">
        <v>15902</v>
      </c>
      <c r="F14168" s="2" t="s">
        <v>465</v>
      </c>
      <c r="G14168" s="2" t="str">
        <f>"SR-20876"</f>
        <v>SR-20876</v>
      </c>
      <c r="H14168" s="2" t="s">
        <v>55544</v>
      </c>
      <c r="I14168" s="2" t="s">
        <v>55545</v>
      </c>
      <c r="K14168" s="2" t="s">
        <v>49767</v>
      </c>
      <c r="L14168" s="2" t="s">
        <v>105</v>
      </c>
      <c r="M14168" s="2">
        <v>60449.0</v>
      </c>
      <c r="N14168" s="2" t="s">
        <v>21</v>
      </c>
    </row>
    <row r="14169" ht="15.75" customHeight="1">
      <c r="A14169" s="2">
        <v>2021.0</v>
      </c>
      <c r="B14169" s="2" t="s">
        <v>43813</v>
      </c>
      <c r="C14169" s="2" t="s">
        <v>49914</v>
      </c>
      <c r="D14169" s="2" t="str">
        <f>"6158047069"</f>
        <v>6158047069</v>
      </c>
      <c r="E14169" s="2" t="s">
        <v>25495</v>
      </c>
      <c r="F14169" s="2" t="s">
        <v>1170</v>
      </c>
      <c r="G14169" s="2" t="str">
        <f>"SR-17826"</f>
        <v>SR-17826</v>
      </c>
      <c r="H14169" s="2" t="s">
        <v>49915</v>
      </c>
      <c r="I14169" s="2" t="s">
        <v>43816</v>
      </c>
      <c r="K14169" s="2" t="s">
        <v>3286</v>
      </c>
      <c r="L14169" s="2" t="s">
        <v>279</v>
      </c>
      <c r="M14169" s="2">
        <v>37055.0</v>
      </c>
      <c r="N14169" s="2" t="s">
        <v>21</v>
      </c>
    </row>
    <row r="14170" ht="15.75" customHeight="1">
      <c r="A14170" s="2">
        <v>2021.0</v>
      </c>
      <c r="B14170" s="2" t="s">
        <v>50940</v>
      </c>
      <c r="C14170" s="2" t="s">
        <v>50940</v>
      </c>
      <c r="D14170" s="2" t="str">
        <f>"7176489356"</f>
        <v>7176489356</v>
      </c>
      <c r="E14170" s="2" t="s">
        <v>167</v>
      </c>
      <c r="F14170" s="2" t="s">
        <v>4728</v>
      </c>
      <c r="G14170" s="2" t="str">
        <f>"SR-18162"</f>
        <v>SR-18162</v>
      </c>
      <c r="H14170" s="2" t="s">
        <v>50941</v>
      </c>
      <c r="I14170" s="2" t="s">
        <v>50942</v>
      </c>
      <c r="K14170" s="2" t="s">
        <v>32115</v>
      </c>
      <c r="L14170" s="2" t="s">
        <v>179</v>
      </c>
      <c r="M14170" s="2">
        <v>17055.0</v>
      </c>
      <c r="N14170" s="2" t="s">
        <v>21</v>
      </c>
    </row>
    <row r="14171" ht="15.75" customHeight="1">
      <c r="A14171" s="2">
        <v>2021.0</v>
      </c>
      <c r="B14171" s="2" t="s">
        <v>55546</v>
      </c>
      <c r="C14171" s="2" t="s">
        <v>55547</v>
      </c>
      <c r="D14171" s="2" t="str">
        <f>"4077600056"</f>
        <v>4077600056</v>
      </c>
      <c r="E14171" s="2" t="s">
        <v>55548</v>
      </c>
      <c r="F14171" s="2" t="s">
        <v>55549</v>
      </c>
      <c r="G14171" s="2" t="str">
        <f>"SR-20881"</f>
        <v>SR-20881</v>
      </c>
      <c r="H14171" s="2" t="s">
        <v>55550</v>
      </c>
      <c r="I14171" s="2" t="s">
        <v>55551</v>
      </c>
      <c r="K14171" s="2" t="s">
        <v>41841</v>
      </c>
      <c r="L14171" s="2" t="s">
        <v>222</v>
      </c>
      <c r="M14171" s="2">
        <v>92118.0</v>
      </c>
      <c r="N14171" s="2" t="s">
        <v>21</v>
      </c>
    </row>
    <row r="14172" ht="15.75" customHeight="1">
      <c r="A14172" s="2">
        <v>2021.0</v>
      </c>
      <c r="B14172" s="2" t="s">
        <v>55552</v>
      </c>
      <c r="C14172" s="2" t="s">
        <v>55553</v>
      </c>
      <c r="D14172" s="2" t="str">
        <f>"772 643 5620"</f>
        <v>772 643 5620</v>
      </c>
      <c r="E14172" s="2" t="s">
        <v>13585</v>
      </c>
      <c r="F14172" s="2" t="s">
        <v>23239</v>
      </c>
      <c r="G14172" s="2" t="str">
        <f>"SR-22272"</f>
        <v>SR-22272</v>
      </c>
      <c r="H14172" s="2" t="s">
        <v>55554</v>
      </c>
      <c r="I14172" s="2" t="s">
        <v>55555</v>
      </c>
      <c r="K14172" s="2" t="s">
        <v>25505</v>
      </c>
      <c r="L14172" s="2" t="s">
        <v>208</v>
      </c>
      <c r="M14172" s="2">
        <v>32948.0</v>
      </c>
      <c r="N14172" s="2" t="s">
        <v>21</v>
      </c>
    </row>
    <row r="14173" ht="15.75" customHeight="1">
      <c r="A14173" s="2">
        <v>2021.0</v>
      </c>
      <c r="B14173" s="2" t="s">
        <v>49979</v>
      </c>
      <c r="C14173" s="2" t="s">
        <v>49979</v>
      </c>
      <c r="D14173" s="2" t="str">
        <f>"9706912450"</f>
        <v>9706912450</v>
      </c>
      <c r="E14173" s="2" t="s">
        <v>1529</v>
      </c>
      <c r="F14173" s="2" t="s">
        <v>8666</v>
      </c>
      <c r="G14173" s="2" t="str">
        <f>"SR-17366"</f>
        <v>SR-17366</v>
      </c>
      <c r="H14173" s="2" t="s">
        <v>49980</v>
      </c>
      <c r="I14173" s="2" t="s">
        <v>8668</v>
      </c>
      <c r="J14173" s="2" t="s">
        <v>8668</v>
      </c>
      <c r="K14173" s="2" t="s">
        <v>656</v>
      </c>
      <c r="L14173" s="2" t="s">
        <v>157</v>
      </c>
      <c r="M14173" s="2">
        <v>80521.0</v>
      </c>
      <c r="N14173" s="2" t="s">
        <v>21</v>
      </c>
    </row>
    <row r="14174" ht="15.75" customHeight="1">
      <c r="A14174" s="2">
        <v>2021.0</v>
      </c>
      <c r="B14174" s="2" t="s">
        <v>55556</v>
      </c>
      <c r="C14174" s="2" t="s">
        <v>55557</v>
      </c>
      <c r="D14174" s="2" t="str">
        <f>"719-800-1026"</f>
        <v>719-800-1026</v>
      </c>
      <c r="E14174" s="2" t="s">
        <v>2760</v>
      </c>
      <c r="F14174" s="2" t="s">
        <v>55558</v>
      </c>
      <c r="G14174" s="2" t="str">
        <f>"SR-20884"</f>
        <v>SR-20884</v>
      </c>
      <c r="H14174" s="2" t="s">
        <v>55559</v>
      </c>
      <c r="I14174" s="2" t="s">
        <v>55560</v>
      </c>
      <c r="K14174" s="2" t="s">
        <v>312</v>
      </c>
      <c r="L14174" s="2" t="s">
        <v>157</v>
      </c>
      <c r="M14174" s="2">
        <v>80106.0</v>
      </c>
      <c r="N14174" s="2" t="s">
        <v>21</v>
      </c>
    </row>
    <row r="14175" ht="15.75" customHeight="1">
      <c r="A14175" s="2">
        <v>2021.0</v>
      </c>
      <c r="B14175" s="2" t="s">
        <v>55561</v>
      </c>
      <c r="C14175" s="2" t="s">
        <v>38493</v>
      </c>
      <c r="D14175" s="2" t="str">
        <f>"5036868840"</f>
        <v>5036868840</v>
      </c>
      <c r="E14175" s="2" t="s">
        <v>1288</v>
      </c>
      <c r="F14175" s="2" t="s">
        <v>35881</v>
      </c>
      <c r="G14175" s="2" t="str">
        <f>"SR-20886"</f>
        <v>SR-20886</v>
      </c>
      <c r="H14175" s="2" t="s">
        <v>38494</v>
      </c>
      <c r="I14175" s="2" t="s">
        <v>35883</v>
      </c>
      <c r="K14175" s="2" t="s">
        <v>21625</v>
      </c>
      <c r="L14175" s="2" t="s">
        <v>2389</v>
      </c>
      <c r="M14175" s="2">
        <v>97055.0</v>
      </c>
      <c r="N14175" s="2" t="s">
        <v>21</v>
      </c>
    </row>
    <row r="14176" ht="15.75" customHeight="1">
      <c r="A14176" s="2">
        <v>2021.0</v>
      </c>
      <c r="B14176" s="2" t="s">
        <v>55561</v>
      </c>
      <c r="C14176" s="2" t="s">
        <v>51824</v>
      </c>
      <c r="D14176" s="2" t="str">
        <f>"9712667443"</f>
        <v>9712667443</v>
      </c>
      <c r="E14176" s="2" t="s">
        <v>301</v>
      </c>
      <c r="F14176" s="2" t="s">
        <v>35881</v>
      </c>
      <c r="G14176" s="2" t="str">
        <f>"SR-20887"</f>
        <v>SR-20887</v>
      </c>
      <c r="H14176" s="2" t="s">
        <v>51825</v>
      </c>
      <c r="I14176" s="2" t="s">
        <v>35883</v>
      </c>
      <c r="K14176" s="2" t="s">
        <v>21625</v>
      </c>
      <c r="L14176" s="2" t="s">
        <v>2389</v>
      </c>
      <c r="M14176" s="2">
        <v>97055.0</v>
      </c>
      <c r="N14176" s="2" t="s">
        <v>21</v>
      </c>
    </row>
    <row r="14177" ht="15.75" customHeight="1">
      <c r="A14177" s="2">
        <v>2021.0</v>
      </c>
      <c r="B14177" s="2" t="s">
        <v>55562</v>
      </c>
      <c r="C14177" s="2" t="s">
        <v>55563</v>
      </c>
      <c r="D14177" s="2" t="str">
        <f>"719-551-7473"</f>
        <v>719-551-7473</v>
      </c>
      <c r="E14177" s="2" t="s">
        <v>908</v>
      </c>
      <c r="F14177" s="2" t="s">
        <v>6824</v>
      </c>
      <c r="G14177" s="2" t="str">
        <f>"SR-20888"</f>
        <v>SR-20888</v>
      </c>
      <c r="H14177" s="2" t="s">
        <v>55564</v>
      </c>
      <c r="I14177" s="2" t="s">
        <v>55565</v>
      </c>
      <c r="K14177" s="2" t="s">
        <v>809</v>
      </c>
      <c r="L14177" s="2" t="s">
        <v>157</v>
      </c>
      <c r="M14177" s="2">
        <v>80917.0</v>
      </c>
      <c r="N14177" s="2" t="s">
        <v>21</v>
      </c>
    </row>
    <row r="14178" ht="15.75" customHeight="1">
      <c r="A14178" s="2">
        <v>2021.0</v>
      </c>
      <c r="B14178" s="2" t="s">
        <v>55566</v>
      </c>
      <c r="C14178" s="2" t="s">
        <v>55567</v>
      </c>
      <c r="D14178" s="2" t="str">
        <f>"7204250517"</f>
        <v>7204250517</v>
      </c>
      <c r="E14178" s="2" t="s">
        <v>37782</v>
      </c>
      <c r="F14178" s="2" t="s">
        <v>55568</v>
      </c>
      <c r="G14178" s="2" t="str">
        <f>"SR-20891"</f>
        <v>SR-20891</v>
      </c>
      <c r="H14178" s="2" t="s">
        <v>55569</v>
      </c>
      <c r="I14178" s="2" t="s">
        <v>55570</v>
      </c>
      <c r="K14178" s="2" t="s">
        <v>1548</v>
      </c>
      <c r="L14178" s="2" t="s">
        <v>157</v>
      </c>
      <c r="M14178" s="2">
        <v>80107.0</v>
      </c>
      <c r="N14178" s="2" t="s">
        <v>21</v>
      </c>
    </row>
    <row r="14179" ht="15.75" customHeight="1">
      <c r="A14179" s="2">
        <v>2021.0</v>
      </c>
      <c r="B14179" s="2" t="s">
        <v>55571</v>
      </c>
      <c r="C14179" s="2" t="s">
        <v>55572</v>
      </c>
      <c r="D14179" s="2" t="str">
        <f>"308-660-9897"</f>
        <v>308-660-9897</v>
      </c>
      <c r="E14179" s="2" t="s">
        <v>55573</v>
      </c>
      <c r="F14179" s="2" t="s">
        <v>55574</v>
      </c>
      <c r="G14179" s="2" t="str">
        <f>"SR-17321"</f>
        <v>SR-17321</v>
      </c>
      <c r="H14179" s="2" t="s">
        <v>55575</v>
      </c>
      <c r="I14179" s="2" t="s">
        <v>55576</v>
      </c>
      <c r="K14179" s="2" t="s">
        <v>55577</v>
      </c>
      <c r="L14179" s="2" t="s">
        <v>757</v>
      </c>
      <c r="M14179" s="2">
        <v>69101.0</v>
      </c>
      <c r="N14179" s="2" t="s">
        <v>21</v>
      </c>
    </row>
    <row r="14180" ht="15.75" customHeight="1">
      <c r="A14180" s="2">
        <v>2021.0</v>
      </c>
      <c r="B14180" s="2" t="s">
        <v>55578</v>
      </c>
      <c r="C14180" s="2" t="s">
        <v>55579</v>
      </c>
      <c r="D14180" s="2" t="str">
        <f>"+1 (618) 421-8868"</f>
        <v>+1 (618) 421-8868</v>
      </c>
      <c r="E14180" s="2" t="s">
        <v>55580</v>
      </c>
      <c r="F14180" s="2" t="s">
        <v>1001</v>
      </c>
      <c r="G14180" s="2" t="str">
        <f>"SR-20897"</f>
        <v>SR-20897</v>
      </c>
      <c r="H14180" s="2" t="s">
        <v>55581</v>
      </c>
      <c r="I14180" s="2" t="s">
        <v>55582</v>
      </c>
      <c r="K14180" s="2" t="s">
        <v>55583</v>
      </c>
      <c r="L14180" s="2" t="s">
        <v>105</v>
      </c>
      <c r="M14180" s="2">
        <v>62478.0</v>
      </c>
      <c r="N14180" s="2" t="s">
        <v>21</v>
      </c>
    </row>
    <row r="14181" ht="15.75" customHeight="1">
      <c r="A14181" s="2">
        <v>2021.0</v>
      </c>
      <c r="B14181" s="2" t="s">
        <v>9933</v>
      </c>
      <c r="C14181" s="2" t="s">
        <v>49471</v>
      </c>
      <c r="D14181" s="2" t="str">
        <f>"402-378-1215"</f>
        <v>402-378-1215</v>
      </c>
      <c r="E14181" s="2" t="s">
        <v>843</v>
      </c>
      <c r="F14181" s="2" t="s">
        <v>9934</v>
      </c>
      <c r="G14181" s="2" t="str">
        <f>"SR-17638"</f>
        <v>SR-17638</v>
      </c>
      <c r="H14181" s="2" t="s">
        <v>49472</v>
      </c>
      <c r="I14181" s="2" t="s">
        <v>9936</v>
      </c>
      <c r="K14181" s="2" t="s">
        <v>1470</v>
      </c>
      <c r="L14181" s="2" t="s">
        <v>757</v>
      </c>
      <c r="M14181" s="2">
        <v>68134.0</v>
      </c>
      <c r="N14181" s="2" t="s">
        <v>21</v>
      </c>
    </row>
    <row r="14182" ht="15.75" customHeight="1">
      <c r="A14182" s="2">
        <v>2021.0</v>
      </c>
      <c r="B14182" s="2" t="s">
        <v>42316</v>
      </c>
      <c r="C14182" s="2" t="s">
        <v>55584</v>
      </c>
      <c r="D14182" s="2" t="str">
        <f>"4025757918"</f>
        <v>4025757918</v>
      </c>
      <c r="E14182" s="2" t="s">
        <v>36</v>
      </c>
      <c r="F14182" s="2" t="s">
        <v>6833</v>
      </c>
      <c r="G14182" s="2" t="str">
        <f>"SR-19662"</f>
        <v>SR-19662</v>
      </c>
      <c r="H14182" s="2" t="s">
        <v>55585</v>
      </c>
      <c r="I14182" s="2" t="s">
        <v>42319</v>
      </c>
      <c r="K14182" s="2" t="s">
        <v>1470</v>
      </c>
      <c r="L14182" s="2" t="s">
        <v>757</v>
      </c>
      <c r="M14182" s="2">
        <v>68134.0</v>
      </c>
      <c r="N14182" s="2" t="s">
        <v>21</v>
      </c>
    </row>
    <row r="14183" ht="15.75" customHeight="1">
      <c r="A14183" s="2">
        <v>2021.0</v>
      </c>
      <c r="B14183" s="2" t="s">
        <v>31502</v>
      </c>
      <c r="C14183" s="2" t="s">
        <v>52302</v>
      </c>
      <c r="D14183" s="2" t="str">
        <f>"8052521424"</f>
        <v>8052521424</v>
      </c>
      <c r="E14183" s="2" t="s">
        <v>1799</v>
      </c>
      <c r="F14183" s="2" t="s">
        <v>31504</v>
      </c>
      <c r="G14183" s="2" t="str">
        <f>"SR-18690"</f>
        <v>SR-18690</v>
      </c>
      <c r="H14183" s="2" t="s">
        <v>52303</v>
      </c>
      <c r="I14183" s="2" t="s">
        <v>31506</v>
      </c>
      <c r="K14183" s="2" t="s">
        <v>16679</v>
      </c>
      <c r="L14183" s="2" t="s">
        <v>222</v>
      </c>
      <c r="M14183" s="2">
        <v>93013.0</v>
      </c>
      <c r="N14183" s="2" t="s">
        <v>21</v>
      </c>
    </row>
    <row r="14184" ht="15.75" customHeight="1">
      <c r="A14184" s="2">
        <v>2021.0</v>
      </c>
      <c r="B14184" s="2" t="s">
        <v>55586</v>
      </c>
      <c r="C14184" s="2" t="s">
        <v>55587</v>
      </c>
      <c r="D14184" s="2" t="str">
        <f>"4254401811"</f>
        <v>4254401811</v>
      </c>
      <c r="E14184" s="2" t="s">
        <v>267</v>
      </c>
      <c r="F14184" s="2" t="s">
        <v>22900</v>
      </c>
      <c r="G14184" s="2" t="str">
        <f>"SR-20901"</f>
        <v>SR-20901</v>
      </c>
      <c r="H14184" s="2" t="s">
        <v>55588</v>
      </c>
      <c r="I14184" s="2" t="s">
        <v>55589</v>
      </c>
      <c r="K14184" s="2" t="s">
        <v>7873</v>
      </c>
      <c r="L14184" s="2" t="s">
        <v>86</v>
      </c>
      <c r="M14184" s="2">
        <v>98005.0</v>
      </c>
      <c r="N14184" s="2" t="s">
        <v>21</v>
      </c>
    </row>
    <row r="14185" ht="15.75" customHeight="1">
      <c r="A14185" s="2">
        <v>2021.0</v>
      </c>
      <c r="B14185" s="2" t="s">
        <v>42316</v>
      </c>
      <c r="C14185" s="2" t="s">
        <v>55590</v>
      </c>
      <c r="D14185" s="2" t="str">
        <f>"4029795738"</f>
        <v>4029795738</v>
      </c>
      <c r="E14185" s="2" t="s">
        <v>217</v>
      </c>
      <c r="F14185" s="2" t="s">
        <v>6833</v>
      </c>
      <c r="G14185" s="2" t="str">
        <f>"SR-20899"</f>
        <v>SR-20899</v>
      </c>
      <c r="H14185" s="2" t="s">
        <v>55591</v>
      </c>
      <c r="I14185" s="2" t="s">
        <v>42319</v>
      </c>
      <c r="K14185" s="2" t="s">
        <v>1470</v>
      </c>
      <c r="L14185" s="2" t="s">
        <v>757</v>
      </c>
      <c r="M14185" s="2">
        <v>68134.0</v>
      </c>
      <c r="N14185" s="2" t="s">
        <v>21</v>
      </c>
    </row>
    <row r="14186" ht="15.75" customHeight="1">
      <c r="A14186" s="2">
        <v>2021.0</v>
      </c>
      <c r="B14186" s="2" t="s">
        <v>39122</v>
      </c>
      <c r="C14186" s="2" t="s">
        <v>39122</v>
      </c>
      <c r="D14186" s="2" t="str">
        <f>"6072806456"</f>
        <v>6072806456</v>
      </c>
      <c r="E14186" s="2" t="s">
        <v>23576</v>
      </c>
      <c r="F14186" s="2" t="s">
        <v>447</v>
      </c>
      <c r="G14186" s="2" t="str">
        <f>"SR-17567"</f>
        <v>SR-17567</v>
      </c>
      <c r="H14186" s="2" t="s">
        <v>55592</v>
      </c>
      <c r="I14186" s="2" t="s">
        <v>55593</v>
      </c>
      <c r="K14186" s="2" t="s">
        <v>12457</v>
      </c>
      <c r="L14186" s="2" t="s">
        <v>142</v>
      </c>
      <c r="M14186" s="2">
        <v>13068.0</v>
      </c>
      <c r="N14186" s="2" t="s">
        <v>21</v>
      </c>
    </row>
    <row r="14187" ht="15.75" customHeight="1">
      <c r="A14187" s="2">
        <v>2021.0</v>
      </c>
      <c r="B14187" s="2" t="s">
        <v>55594</v>
      </c>
      <c r="C14187" s="2" t="s">
        <v>55594</v>
      </c>
      <c r="D14187" s="2" t="str">
        <f>"8709530662"</f>
        <v>8709530662</v>
      </c>
      <c r="E14187" s="2" t="s">
        <v>144</v>
      </c>
      <c r="F14187" s="2" t="s">
        <v>7797</v>
      </c>
      <c r="G14187" s="2" t="str">
        <f>"SR-20709"</f>
        <v>SR-20709</v>
      </c>
      <c r="H14187" s="2" t="s">
        <v>55595</v>
      </c>
      <c r="I14187" s="2" t="s">
        <v>55596</v>
      </c>
      <c r="K14187" s="2" t="s">
        <v>2234</v>
      </c>
      <c r="L14187" s="2" t="s">
        <v>1012</v>
      </c>
      <c r="M14187" s="2">
        <v>71860.0</v>
      </c>
      <c r="N14187" s="2" t="s">
        <v>21</v>
      </c>
    </row>
    <row r="14188" ht="15.75" customHeight="1">
      <c r="A14188" s="2">
        <v>2021.0</v>
      </c>
      <c r="B14188" s="2" t="s">
        <v>55597</v>
      </c>
      <c r="C14188" s="2" t="s">
        <v>55598</v>
      </c>
      <c r="D14188" s="2" t="str">
        <f t="shared" ref="D14188:D14189" si="240">"6103240985"</f>
        <v>6103240985</v>
      </c>
      <c r="E14188" s="2" t="s">
        <v>26038</v>
      </c>
      <c r="F14188" s="2" t="s">
        <v>55599</v>
      </c>
      <c r="G14188" s="2" t="str">
        <f>"SR-20908"</f>
        <v>SR-20908</v>
      </c>
      <c r="H14188" s="2" t="s">
        <v>55600</v>
      </c>
      <c r="I14188" s="2" t="s">
        <v>55601</v>
      </c>
      <c r="K14188" s="2" t="s">
        <v>55602</v>
      </c>
      <c r="L14188" s="2" t="s">
        <v>179</v>
      </c>
      <c r="M14188" s="2">
        <v>19035.0</v>
      </c>
      <c r="N14188" s="2" t="s">
        <v>21</v>
      </c>
    </row>
    <row r="14189" ht="15.75" customHeight="1">
      <c r="A14189" s="2">
        <v>2021.0</v>
      </c>
      <c r="B14189" s="2" t="s">
        <v>55597</v>
      </c>
      <c r="C14189" s="2" t="s">
        <v>55603</v>
      </c>
      <c r="D14189" s="2" t="str">
        <f t="shared" si="240"/>
        <v>6103240985</v>
      </c>
      <c r="E14189" s="2" t="s">
        <v>55604</v>
      </c>
      <c r="F14189" s="2" t="s">
        <v>55599</v>
      </c>
      <c r="G14189" s="2" t="str">
        <f>"SR-20910"</f>
        <v>SR-20910</v>
      </c>
      <c r="H14189" s="2" t="s">
        <v>55605</v>
      </c>
      <c r="I14189" s="2" t="s">
        <v>55601</v>
      </c>
      <c r="K14189" s="2" t="s">
        <v>55602</v>
      </c>
      <c r="L14189" s="2" t="s">
        <v>179</v>
      </c>
      <c r="M14189" s="2">
        <v>19035.0</v>
      </c>
      <c r="N14189" s="2" t="s">
        <v>21</v>
      </c>
    </row>
    <row r="14190" ht="15.75" customHeight="1">
      <c r="A14190" s="2">
        <v>2021.0</v>
      </c>
      <c r="B14190" s="2" t="s">
        <v>51460</v>
      </c>
      <c r="C14190" s="2" t="s">
        <v>51461</v>
      </c>
      <c r="D14190" s="2" t="str">
        <f>"5318001449"</f>
        <v>5318001449</v>
      </c>
      <c r="E14190" s="2" t="s">
        <v>217</v>
      </c>
      <c r="F14190" s="2" t="s">
        <v>51462</v>
      </c>
      <c r="G14190" s="2" t="str">
        <f>"SR-18398"</f>
        <v>SR-18398</v>
      </c>
      <c r="H14190" s="2" t="s">
        <v>51463</v>
      </c>
      <c r="I14190" s="2" t="s">
        <v>51464</v>
      </c>
      <c r="K14190" s="2" t="s">
        <v>1470</v>
      </c>
      <c r="L14190" s="2" t="s">
        <v>757</v>
      </c>
      <c r="M14190" s="2">
        <v>68134.0</v>
      </c>
      <c r="N14190" s="2" t="s">
        <v>21</v>
      </c>
    </row>
    <row r="14191" ht="15.75" customHeight="1">
      <c r="A14191" s="2">
        <v>2021.0</v>
      </c>
      <c r="B14191" s="2" t="s">
        <v>51251</v>
      </c>
      <c r="C14191" s="2" t="s">
        <v>51252</v>
      </c>
      <c r="D14191" s="2" t="str">
        <f>"5417619434"</f>
        <v>5417619434</v>
      </c>
      <c r="E14191" s="2" t="s">
        <v>16852</v>
      </c>
      <c r="F14191" s="2" t="s">
        <v>30083</v>
      </c>
      <c r="G14191" s="2" t="str">
        <f>"SR-17478"</f>
        <v>SR-17478</v>
      </c>
      <c r="H14191" s="2" t="s">
        <v>51253</v>
      </c>
      <c r="I14191" s="2" t="s">
        <v>51254</v>
      </c>
      <c r="K14191" s="2" t="s">
        <v>10966</v>
      </c>
      <c r="L14191" s="2" t="s">
        <v>2389</v>
      </c>
      <c r="M14191" s="2">
        <v>97527.0</v>
      </c>
      <c r="N14191" s="2" t="s">
        <v>21</v>
      </c>
    </row>
    <row r="14192" ht="15.75" customHeight="1">
      <c r="A14192" s="2">
        <v>2021.0</v>
      </c>
      <c r="B14192" s="2" t="s">
        <v>51251</v>
      </c>
      <c r="C14192" s="2" t="s">
        <v>55606</v>
      </c>
      <c r="D14192" s="2" t="str">
        <f>"8053284898"</f>
        <v>8053284898</v>
      </c>
      <c r="E14192" s="2" t="s">
        <v>288</v>
      </c>
      <c r="F14192" s="2" t="s">
        <v>30083</v>
      </c>
      <c r="G14192" s="2" t="str">
        <f>"SR-20914"</f>
        <v>SR-20914</v>
      </c>
      <c r="H14192" s="2" t="s">
        <v>55607</v>
      </c>
      <c r="I14192" s="2" t="s">
        <v>55608</v>
      </c>
      <c r="K14192" s="2" t="s">
        <v>10966</v>
      </c>
      <c r="L14192" s="2" t="s">
        <v>2389</v>
      </c>
      <c r="M14192" s="2">
        <v>97527.0</v>
      </c>
      <c r="N14192" s="2" t="s">
        <v>21</v>
      </c>
    </row>
    <row r="14193" ht="15.75" customHeight="1">
      <c r="A14193" s="2">
        <v>2021.0</v>
      </c>
      <c r="B14193" s="2" t="s">
        <v>49250</v>
      </c>
      <c r="C14193" s="2" t="s">
        <v>49251</v>
      </c>
      <c r="D14193" s="2" t="str">
        <f>"07533197090"</f>
        <v>07533197090</v>
      </c>
      <c r="E14193" s="2" t="s">
        <v>6759</v>
      </c>
      <c r="F14193" s="2" t="s">
        <v>49252</v>
      </c>
      <c r="G14193" s="2" t="str">
        <f>"SR-16364"</f>
        <v>SR-16364</v>
      </c>
      <c r="H14193" s="2" t="s">
        <v>49253</v>
      </c>
      <c r="I14193" s="2" t="s">
        <v>49254</v>
      </c>
      <c r="J14193" s="2" t="s">
        <v>49255</v>
      </c>
      <c r="K14193" s="2" t="s">
        <v>49256</v>
      </c>
      <c r="L14193" s="2" t="s">
        <v>49257</v>
      </c>
      <c r="M14193" s="2" t="s">
        <v>49258</v>
      </c>
      <c r="N14193" s="2" t="s">
        <v>22523</v>
      </c>
    </row>
    <row r="14194" ht="15.75" customHeight="1">
      <c r="A14194" s="2">
        <v>2021.0</v>
      </c>
      <c r="B14194" s="2" t="s">
        <v>55609</v>
      </c>
      <c r="C14194" s="2" t="s">
        <v>55610</v>
      </c>
      <c r="D14194" s="2" t="str">
        <f>"931249625"</f>
        <v>931249625</v>
      </c>
      <c r="E14194" s="2" t="s">
        <v>931</v>
      </c>
      <c r="F14194" s="2" t="s">
        <v>55611</v>
      </c>
      <c r="G14194" s="2" t="str">
        <f>"SR-20916"</f>
        <v>SR-20916</v>
      </c>
      <c r="H14194" s="2" t="s">
        <v>55612</v>
      </c>
      <c r="I14194" s="2" t="s">
        <v>55613</v>
      </c>
      <c r="K14194" s="2" t="s">
        <v>13851</v>
      </c>
      <c r="L14194" s="2" t="s">
        <v>279</v>
      </c>
      <c r="M14194" s="2">
        <v>37183.0</v>
      </c>
      <c r="N14194" s="2" t="s">
        <v>21</v>
      </c>
    </row>
    <row r="14195" ht="15.75" customHeight="1">
      <c r="A14195" s="2">
        <v>2021.0</v>
      </c>
      <c r="B14195" s="2" t="s">
        <v>49596</v>
      </c>
      <c r="C14195" s="2" t="s">
        <v>49596</v>
      </c>
      <c r="D14195" s="2" t="str">
        <f>"7196604057"</f>
        <v>7196604057</v>
      </c>
      <c r="E14195" s="2" t="s">
        <v>217</v>
      </c>
      <c r="F14195" s="2" t="s">
        <v>3028</v>
      </c>
      <c r="G14195" s="2" t="str">
        <f>"SR-17709"</f>
        <v>SR-17709</v>
      </c>
      <c r="H14195" s="2" t="s">
        <v>49597</v>
      </c>
      <c r="I14195" s="2" t="s">
        <v>49598</v>
      </c>
      <c r="K14195" s="2" t="s">
        <v>809</v>
      </c>
      <c r="L14195" s="2" t="s">
        <v>157</v>
      </c>
      <c r="M14195" s="2">
        <v>80919.0</v>
      </c>
      <c r="N14195" s="2" t="s">
        <v>21</v>
      </c>
    </row>
    <row r="14196" ht="15.75" customHeight="1">
      <c r="A14196" s="2">
        <v>2021.0</v>
      </c>
      <c r="B14196" s="2" t="s">
        <v>23873</v>
      </c>
      <c r="C14196" s="2" t="s">
        <v>55614</v>
      </c>
      <c r="D14196" s="2" t="str">
        <f>"303-356-5509"</f>
        <v>303-356-5509</v>
      </c>
      <c r="E14196" s="2" t="s">
        <v>261</v>
      </c>
      <c r="F14196" s="2" t="s">
        <v>23875</v>
      </c>
      <c r="G14196" s="2" t="str">
        <f>"SR-17494"</f>
        <v>SR-17494</v>
      </c>
      <c r="H14196" s="2" t="s">
        <v>55615</v>
      </c>
      <c r="I14196" s="2" t="s">
        <v>23877</v>
      </c>
      <c r="K14196" s="2" t="s">
        <v>5412</v>
      </c>
      <c r="L14196" s="2" t="s">
        <v>157</v>
      </c>
      <c r="M14196" s="2">
        <v>80135.0</v>
      </c>
      <c r="N14196" s="2" t="s">
        <v>21</v>
      </c>
    </row>
    <row r="14197" ht="15.75" customHeight="1">
      <c r="A14197" s="2">
        <v>2021.0</v>
      </c>
      <c r="B14197" s="2" t="s">
        <v>55616</v>
      </c>
      <c r="C14197" s="2" t="s">
        <v>55617</v>
      </c>
      <c r="D14197" s="2" t="str">
        <f>"6052904454"</f>
        <v>6052904454</v>
      </c>
      <c r="E14197" s="2" t="s">
        <v>1980</v>
      </c>
      <c r="F14197" s="2" t="s">
        <v>55618</v>
      </c>
      <c r="G14197" s="2" t="str">
        <f>"SR-20708"</f>
        <v>SR-20708</v>
      </c>
      <c r="H14197" s="2" t="s">
        <v>55619</v>
      </c>
      <c r="I14197" s="2" t="s">
        <v>55620</v>
      </c>
      <c r="K14197" s="2" t="s">
        <v>16552</v>
      </c>
      <c r="L14197" s="2" t="s">
        <v>920</v>
      </c>
      <c r="M14197" s="2">
        <v>57401.0</v>
      </c>
      <c r="N14197" s="2" t="s">
        <v>21</v>
      </c>
    </row>
    <row r="14198" ht="15.75" customHeight="1">
      <c r="A14198" s="2">
        <v>2021.0</v>
      </c>
      <c r="B14198" s="2" t="s">
        <v>51879</v>
      </c>
      <c r="C14198" s="2" t="s">
        <v>51880</v>
      </c>
      <c r="D14198" s="2" t="str">
        <f>"507-262-0881"</f>
        <v>507-262-0881</v>
      </c>
      <c r="E14198" s="2" t="s">
        <v>36331</v>
      </c>
      <c r="F14198" s="2" t="s">
        <v>51881</v>
      </c>
      <c r="G14198" s="2" t="str">
        <f>"SR-18011"</f>
        <v>SR-18011</v>
      </c>
      <c r="H14198" s="2" t="s">
        <v>51882</v>
      </c>
      <c r="I14198" s="2" t="s">
        <v>51883</v>
      </c>
      <c r="K14198" s="2" t="s">
        <v>1348</v>
      </c>
      <c r="L14198" s="2" t="s">
        <v>62</v>
      </c>
      <c r="M14198" s="2">
        <v>56138.0</v>
      </c>
      <c r="N14198" s="2" t="s">
        <v>21</v>
      </c>
    </row>
    <row r="14199" ht="15.75" customHeight="1">
      <c r="A14199" s="2">
        <v>2021.0</v>
      </c>
      <c r="B14199" s="2" t="s">
        <v>8914</v>
      </c>
      <c r="D14199" s="2" t="str">
        <f>""</f>
        <v/>
      </c>
      <c r="E14199" s="2" t="s">
        <v>385</v>
      </c>
      <c r="F14199" s="2" t="s">
        <v>8915</v>
      </c>
      <c r="G14199" s="2" t="str">
        <f>"SR-17761"</f>
        <v>SR-17761</v>
      </c>
      <c r="H14199" s="2" t="s">
        <v>49913</v>
      </c>
      <c r="N14199" s="2" t="s">
        <v>21</v>
      </c>
    </row>
    <row r="14200" ht="15.75" customHeight="1">
      <c r="A14200" s="2">
        <v>2021.0</v>
      </c>
      <c r="B14200" s="2" t="s">
        <v>55621</v>
      </c>
      <c r="C14200" s="2" t="s">
        <v>55622</v>
      </c>
      <c r="D14200" s="2" t="str">
        <f>"8322690693"</f>
        <v>8322690693</v>
      </c>
      <c r="E14200" s="2" t="s">
        <v>705</v>
      </c>
      <c r="F14200" s="2" t="s">
        <v>1151</v>
      </c>
      <c r="G14200" s="2" t="str">
        <f>"SR-20926"</f>
        <v>SR-20926</v>
      </c>
      <c r="H14200" s="2" t="s">
        <v>51518</v>
      </c>
      <c r="I14200" s="2" t="s">
        <v>55623</v>
      </c>
      <c r="K14200" s="2" t="s">
        <v>3524</v>
      </c>
      <c r="L14200" s="2" t="s">
        <v>172</v>
      </c>
      <c r="M14200" s="2">
        <v>77546.0</v>
      </c>
      <c r="N14200" s="2" t="s">
        <v>21</v>
      </c>
    </row>
    <row r="14201" ht="15.75" customHeight="1">
      <c r="A14201" s="2">
        <v>2021.0</v>
      </c>
      <c r="B14201" s="2" t="s">
        <v>52262</v>
      </c>
      <c r="C14201" s="2" t="s">
        <v>52263</v>
      </c>
      <c r="D14201" s="2" t="str">
        <f>"651-802-9802"</f>
        <v>651-802-9802</v>
      </c>
      <c r="E14201" s="2" t="s">
        <v>1015</v>
      </c>
      <c r="F14201" s="2" t="s">
        <v>13039</v>
      </c>
      <c r="G14201" s="2" t="str">
        <f>"SR-18678"</f>
        <v>SR-18678</v>
      </c>
      <c r="H14201" s="2" t="s">
        <v>52264</v>
      </c>
      <c r="I14201" s="2" t="s">
        <v>52265</v>
      </c>
      <c r="K14201" s="2" t="s">
        <v>7574</v>
      </c>
      <c r="L14201" s="2" t="s">
        <v>62</v>
      </c>
      <c r="M14201" s="2">
        <v>55449.0</v>
      </c>
      <c r="N14201" s="2" t="s">
        <v>21</v>
      </c>
    </row>
    <row r="14202" ht="15.75" customHeight="1">
      <c r="A14202" s="2">
        <v>2021.0</v>
      </c>
      <c r="B14202" s="2" t="s">
        <v>55624</v>
      </c>
      <c r="C14202" s="2" t="s">
        <v>55624</v>
      </c>
      <c r="D14202" s="2" t="str">
        <f>"7077321694"</f>
        <v>7077321694</v>
      </c>
      <c r="E14202" s="2" t="s">
        <v>862</v>
      </c>
      <c r="F14202" s="2" t="s">
        <v>6774</v>
      </c>
      <c r="G14202" s="2" t="str">
        <f>"SR-20866"</f>
        <v>SR-20866</v>
      </c>
      <c r="H14202" s="2" t="s">
        <v>55625</v>
      </c>
      <c r="I14202" s="2" t="s">
        <v>55626</v>
      </c>
      <c r="K14202" s="2" t="s">
        <v>55627</v>
      </c>
      <c r="L14202" s="2" t="s">
        <v>165</v>
      </c>
      <c r="M14202" s="2">
        <v>20147.0</v>
      </c>
      <c r="N14202" s="2" t="s">
        <v>21</v>
      </c>
    </row>
    <row r="14203" ht="15.75" customHeight="1">
      <c r="A14203" s="2">
        <v>2021.0</v>
      </c>
      <c r="B14203" s="2" t="s">
        <v>54129</v>
      </c>
      <c r="C14203" s="2" t="s">
        <v>54130</v>
      </c>
      <c r="D14203" s="2" t="str">
        <f>"4077380605"</f>
        <v>4077380605</v>
      </c>
      <c r="E14203" s="2" t="s">
        <v>4300</v>
      </c>
      <c r="F14203" s="2" t="s">
        <v>14417</v>
      </c>
      <c r="G14203" s="2" t="str">
        <f>"SR-19578"</f>
        <v>SR-19578</v>
      </c>
      <c r="H14203" s="2" t="s">
        <v>54131</v>
      </c>
      <c r="I14203" s="2" t="s">
        <v>54132</v>
      </c>
      <c r="K14203" s="2" t="s">
        <v>12702</v>
      </c>
      <c r="L14203" s="2" t="s">
        <v>208</v>
      </c>
      <c r="M14203" s="2">
        <v>32765.0</v>
      </c>
      <c r="N14203" s="2" t="s">
        <v>21</v>
      </c>
    </row>
    <row r="14204" ht="15.75" customHeight="1">
      <c r="A14204" s="2">
        <v>2021.0</v>
      </c>
      <c r="B14204" s="2" t="s">
        <v>54129</v>
      </c>
      <c r="C14204" s="2" t="s">
        <v>55628</v>
      </c>
      <c r="D14204" s="2" t="str">
        <f>"6319920928"</f>
        <v>6319920928</v>
      </c>
      <c r="E14204" s="2" t="s">
        <v>2814</v>
      </c>
      <c r="F14204" s="2" t="s">
        <v>14417</v>
      </c>
      <c r="G14204" s="2" t="str">
        <f>"SR-20892"</f>
        <v>SR-20892</v>
      </c>
      <c r="H14204" s="2" t="s">
        <v>55629</v>
      </c>
      <c r="I14204" s="2" t="s">
        <v>54132</v>
      </c>
      <c r="K14204" s="2" t="s">
        <v>12702</v>
      </c>
      <c r="L14204" s="2" t="s">
        <v>208</v>
      </c>
      <c r="M14204" s="2">
        <v>32765.0</v>
      </c>
      <c r="N14204" s="2" t="s">
        <v>21</v>
      </c>
    </row>
    <row r="14205" ht="15.75" customHeight="1">
      <c r="A14205" s="2">
        <v>2021.0</v>
      </c>
      <c r="B14205" s="2" t="s">
        <v>13993</v>
      </c>
      <c r="C14205" s="2" t="s">
        <v>51384</v>
      </c>
      <c r="D14205" s="2" t="str">
        <f>"2345218791"</f>
        <v>2345218791</v>
      </c>
      <c r="E14205" s="2" t="s">
        <v>11583</v>
      </c>
      <c r="F14205" s="2" t="s">
        <v>13995</v>
      </c>
      <c r="G14205" s="2" t="str">
        <f>"SR-16768"</f>
        <v>SR-16768</v>
      </c>
      <c r="H14205" s="2" t="s">
        <v>51385</v>
      </c>
      <c r="I14205" s="2" t="s">
        <v>13997</v>
      </c>
      <c r="K14205" s="2" t="s">
        <v>13998</v>
      </c>
      <c r="L14205" s="2" t="s">
        <v>344</v>
      </c>
      <c r="M14205" s="2">
        <v>44646.0</v>
      </c>
      <c r="N14205" s="2" t="s">
        <v>21</v>
      </c>
    </row>
    <row r="14206" ht="15.75" customHeight="1">
      <c r="A14206" s="2">
        <v>2021.0</v>
      </c>
      <c r="B14206" s="2" t="s">
        <v>17154</v>
      </c>
      <c r="C14206" s="2" t="s">
        <v>55630</v>
      </c>
      <c r="D14206" s="2" t="str">
        <f>"3038062677"</f>
        <v>3038062677</v>
      </c>
      <c r="E14206" s="2" t="s">
        <v>40939</v>
      </c>
      <c r="F14206" s="2" t="s">
        <v>4532</v>
      </c>
      <c r="G14206" s="2" t="str">
        <f>"SR-20889"</f>
        <v>SR-20889</v>
      </c>
      <c r="H14206" s="2" t="s">
        <v>55631</v>
      </c>
      <c r="I14206" s="2" t="s">
        <v>17158</v>
      </c>
      <c r="K14206" s="2" t="s">
        <v>1520</v>
      </c>
      <c r="L14206" s="2" t="s">
        <v>157</v>
      </c>
      <c r="M14206" s="2">
        <v>80017.0</v>
      </c>
      <c r="N14206" s="2" t="s">
        <v>21</v>
      </c>
    </row>
    <row r="14207" ht="15.75" customHeight="1">
      <c r="A14207" s="2">
        <v>2021.0</v>
      </c>
      <c r="B14207" s="2" t="s">
        <v>45414</v>
      </c>
      <c r="C14207" s="2" t="s">
        <v>55632</v>
      </c>
      <c r="D14207" s="2" t="str">
        <f>"7027716565"</f>
        <v>7027716565</v>
      </c>
      <c r="E14207" s="2" t="s">
        <v>167</v>
      </c>
      <c r="F14207" s="2" t="s">
        <v>2954</v>
      </c>
      <c r="G14207" s="2" t="str">
        <f>"SR-20930"</f>
        <v>SR-20930</v>
      </c>
      <c r="H14207" s="2" t="s">
        <v>55633</v>
      </c>
      <c r="I14207" s="2" t="s">
        <v>55634</v>
      </c>
      <c r="K14207" s="2" t="s">
        <v>309</v>
      </c>
      <c r="L14207" s="2" t="s">
        <v>1419</v>
      </c>
      <c r="M14207" s="2">
        <v>89002.0</v>
      </c>
      <c r="N14207" s="2" t="s">
        <v>21</v>
      </c>
    </row>
    <row r="14208" ht="15.75" customHeight="1">
      <c r="A14208" s="2">
        <v>2021.0</v>
      </c>
      <c r="B14208" s="2" t="s">
        <v>55635</v>
      </c>
      <c r="C14208" s="2" t="s">
        <v>55635</v>
      </c>
      <c r="D14208" s="2" t="str">
        <f>"7726468341"</f>
        <v>7726468341</v>
      </c>
      <c r="E14208" s="2" t="s">
        <v>12166</v>
      </c>
      <c r="F14208" s="2" t="s">
        <v>55636</v>
      </c>
      <c r="G14208" s="2" t="str">
        <f>"SR-20931"</f>
        <v>SR-20931</v>
      </c>
      <c r="H14208" s="2" t="s">
        <v>55637</v>
      </c>
      <c r="I14208" s="2" t="s">
        <v>55638</v>
      </c>
      <c r="K14208" s="2" t="s">
        <v>43735</v>
      </c>
      <c r="L14208" s="2" t="s">
        <v>208</v>
      </c>
      <c r="M14208" s="2">
        <v>32958.0</v>
      </c>
      <c r="N14208" s="2" t="s">
        <v>21</v>
      </c>
    </row>
    <row r="14209" ht="15.75" customHeight="1">
      <c r="A14209" s="2">
        <v>2021.0</v>
      </c>
      <c r="B14209" s="2" t="s">
        <v>55639</v>
      </c>
      <c r="C14209" s="2" t="s">
        <v>55640</v>
      </c>
      <c r="D14209" s="2" t="str">
        <f>"252-503-5871"</f>
        <v>252-503-5871</v>
      </c>
      <c r="E14209" s="2" t="s">
        <v>17971</v>
      </c>
      <c r="F14209" s="2" t="s">
        <v>13707</v>
      </c>
      <c r="G14209" s="2" t="str">
        <f>"SR-20932"</f>
        <v>SR-20932</v>
      </c>
      <c r="H14209" s="2" t="s">
        <v>53348</v>
      </c>
      <c r="I14209" s="2" t="s">
        <v>53349</v>
      </c>
      <c r="K14209" s="2" t="s">
        <v>5763</v>
      </c>
      <c r="L14209" s="2" t="s">
        <v>344</v>
      </c>
      <c r="M14209" s="2">
        <v>43844.0</v>
      </c>
      <c r="N14209" s="2" t="s">
        <v>21</v>
      </c>
    </row>
    <row r="14210" ht="15.75" customHeight="1">
      <c r="A14210" s="2">
        <v>2021.0</v>
      </c>
      <c r="B14210" s="2" t="s">
        <v>8790</v>
      </c>
      <c r="C14210" s="2" t="s">
        <v>55641</v>
      </c>
      <c r="D14210" s="2" t="str">
        <f>"9724650208"</f>
        <v>9724650208</v>
      </c>
      <c r="E14210" s="2" t="s">
        <v>55642</v>
      </c>
      <c r="F14210" s="2" t="s">
        <v>256</v>
      </c>
      <c r="G14210" s="2" t="str">
        <f>"SR-20936"</f>
        <v>SR-20936</v>
      </c>
      <c r="H14210" s="2" t="s">
        <v>55643</v>
      </c>
      <c r="I14210" s="2" t="s">
        <v>55644</v>
      </c>
      <c r="K14210" s="2" t="s">
        <v>4228</v>
      </c>
      <c r="L14210" s="2" t="s">
        <v>715</v>
      </c>
      <c r="M14210" s="2">
        <v>70570.0</v>
      </c>
      <c r="N14210" s="2" t="s">
        <v>21</v>
      </c>
    </row>
    <row r="14211" ht="15.75" customHeight="1">
      <c r="A14211" s="2">
        <v>2021.0</v>
      </c>
      <c r="B14211" s="2" t="s">
        <v>47327</v>
      </c>
      <c r="C14211" s="2" t="s">
        <v>55645</v>
      </c>
      <c r="D14211" s="2" t="str">
        <f>"405-638-1632"</f>
        <v>405-638-1632</v>
      </c>
      <c r="E14211" s="2" t="s">
        <v>10602</v>
      </c>
      <c r="F14211" s="2" t="s">
        <v>1756</v>
      </c>
      <c r="G14211" s="2" t="str">
        <f>"SR-20760"</f>
        <v>SR-20760</v>
      </c>
      <c r="H14211" s="2" t="s">
        <v>55646</v>
      </c>
      <c r="I14211" s="2" t="s">
        <v>47330</v>
      </c>
      <c r="K14211" s="2" t="s">
        <v>47331</v>
      </c>
      <c r="L14211" s="2" t="s">
        <v>840</v>
      </c>
      <c r="M14211" s="2">
        <v>73017.0</v>
      </c>
      <c r="N14211" s="2" t="s">
        <v>21</v>
      </c>
    </row>
    <row r="14212" ht="15.75" customHeight="1">
      <c r="A14212" s="2">
        <v>2021.0</v>
      </c>
      <c r="B14212" s="2" t="s">
        <v>55647</v>
      </c>
      <c r="C14212" s="2" t="s">
        <v>55647</v>
      </c>
      <c r="D14212" s="2" t="str">
        <f>"513-739-7905"</f>
        <v>513-739-7905</v>
      </c>
      <c r="E14212" s="2" t="s">
        <v>1725</v>
      </c>
      <c r="F14212" s="2" t="s">
        <v>55648</v>
      </c>
      <c r="G14212" s="2" t="str">
        <f>"SR-20857"</f>
        <v>SR-20857</v>
      </c>
      <c r="H14212" s="2" t="s">
        <v>55649</v>
      </c>
      <c r="I14212" s="2" t="s">
        <v>55650</v>
      </c>
      <c r="K14212" s="2" t="s">
        <v>809</v>
      </c>
      <c r="L14212" s="2" t="s">
        <v>157</v>
      </c>
      <c r="M14212" s="2">
        <v>80905.0</v>
      </c>
      <c r="N14212" s="2" t="s">
        <v>21</v>
      </c>
    </row>
    <row r="14213" ht="15.75" customHeight="1">
      <c r="A14213" s="2">
        <v>2021.0</v>
      </c>
      <c r="B14213" s="2" t="s">
        <v>55651</v>
      </c>
      <c r="C14213" s="2" t="s">
        <v>55652</v>
      </c>
      <c r="D14213" s="2" t="str">
        <f>"7013353315"</f>
        <v>7013353315</v>
      </c>
      <c r="E14213" s="2" t="s">
        <v>6266</v>
      </c>
      <c r="F14213" s="2" t="s">
        <v>47524</v>
      </c>
      <c r="G14213" s="2" t="str">
        <f>"SR-20942"</f>
        <v>SR-20942</v>
      </c>
      <c r="H14213" s="2" t="s">
        <v>55653</v>
      </c>
      <c r="I14213" s="2" t="s">
        <v>55654</v>
      </c>
      <c r="K14213" s="2" t="s">
        <v>3443</v>
      </c>
      <c r="L14213" s="2" t="s">
        <v>2534</v>
      </c>
      <c r="M14213" s="2">
        <v>58201.0</v>
      </c>
      <c r="N14213" s="2" t="s">
        <v>21</v>
      </c>
    </row>
    <row r="14214" ht="15.75" customHeight="1">
      <c r="A14214" s="2">
        <v>2021.0</v>
      </c>
      <c r="B14214" s="2" t="s">
        <v>55655</v>
      </c>
      <c r="C14214" s="2" t="s">
        <v>55655</v>
      </c>
      <c r="D14214" s="2" t="str">
        <f>"4344735811"</f>
        <v>4344735811</v>
      </c>
      <c r="E14214" s="2" t="s">
        <v>1987</v>
      </c>
      <c r="F14214" s="2" t="s">
        <v>3144</v>
      </c>
      <c r="G14214" s="2" t="str">
        <f>"SR-21665"</f>
        <v>SR-21665</v>
      </c>
      <c r="H14214" s="2" t="s">
        <v>55656</v>
      </c>
      <c r="I14214" s="2" t="s">
        <v>55657</v>
      </c>
      <c r="K14214" s="2" t="s">
        <v>4519</v>
      </c>
      <c r="L14214" s="2" t="s">
        <v>165</v>
      </c>
      <c r="M14214" s="2">
        <v>24574.0</v>
      </c>
      <c r="N14214" s="2" t="s">
        <v>21</v>
      </c>
    </row>
    <row r="14215" ht="15.75" customHeight="1">
      <c r="A14215" s="2">
        <v>2021.0</v>
      </c>
      <c r="B14215" s="2" t="s">
        <v>55651</v>
      </c>
      <c r="C14215" s="2" t="s">
        <v>55658</v>
      </c>
      <c r="D14215" s="2" t="str">
        <f>"7018640154"</f>
        <v>7018640154</v>
      </c>
      <c r="E14215" s="2" t="s">
        <v>4501</v>
      </c>
      <c r="F14215" s="2" t="s">
        <v>47524</v>
      </c>
      <c r="G14215" s="2" t="str">
        <f>"SR-20949"</f>
        <v>SR-20949</v>
      </c>
      <c r="H14215" s="2" t="s">
        <v>47525</v>
      </c>
      <c r="I14215" s="2" t="s">
        <v>47526</v>
      </c>
      <c r="K14215" s="2" t="s">
        <v>3443</v>
      </c>
      <c r="L14215" s="2" t="s">
        <v>2534</v>
      </c>
      <c r="M14215" s="2">
        <v>58201.0</v>
      </c>
      <c r="N14215" s="2" t="s">
        <v>21</v>
      </c>
    </row>
    <row r="14216" ht="15.75" customHeight="1">
      <c r="A14216" s="2">
        <v>2021.0</v>
      </c>
      <c r="B14216" s="2" t="s">
        <v>55659</v>
      </c>
      <c r="C14216" s="2" t="s">
        <v>55660</v>
      </c>
      <c r="D14216" s="2" t="str">
        <f>"859-640-4921"</f>
        <v>859-640-4921</v>
      </c>
      <c r="E14216" s="2" t="s">
        <v>9470</v>
      </c>
      <c r="F14216" s="2" t="s">
        <v>14664</v>
      </c>
      <c r="G14216" s="2" t="str">
        <f>"SR-20952"</f>
        <v>SR-20952</v>
      </c>
      <c r="H14216" s="2" t="s">
        <v>55661</v>
      </c>
      <c r="I14216" s="2" t="s">
        <v>55662</v>
      </c>
      <c r="K14216" s="2" t="s">
        <v>14667</v>
      </c>
      <c r="L14216" s="2" t="s">
        <v>1236</v>
      </c>
      <c r="M14216" s="2">
        <v>41091.0</v>
      </c>
      <c r="N14216" s="2" t="s">
        <v>21</v>
      </c>
    </row>
    <row r="14217" ht="15.75" customHeight="1">
      <c r="A14217" s="2">
        <v>2021.0</v>
      </c>
      <c r="B14217" s="2" t="s">
        <v>55659</v>
      </c>
      <c r="C14217" s="2" t="s">
        <v>55663</v>
      </c>
      <c r="D14217" s="2" t="str">
        <f>"859-640-4900"</f>
        <v>859-640-4900</v>
      </c>
      <c r="E14217" s="2" t="s">
        <v>41319</v>
      </c>
      <c r="F14217" s="2" t="s">
        <v>14664</v>
      </c>
      <c r="G14217" s="2" t="str">
        <f>"SR-20943"</f>
        <v>SR-20943</v>
      </c>
      <c r="H14217" s="2" t="s">
        <v>55664</v>
      </c>
      <c r="I14217" s="2" t="s">
        <v>23573</v>
      </c>
      <c r="K14217" s="2" t="s">
        <v>14667</v>
      </c>
      <c r="L14217" s="2" t="s">
        <v>1236</v>
      </c>
      <c r="M14217" s="2">
        <v>41091.0</v>
      </c>
      <c r="N14217" s="2" t="s">
        <v>21</v>
      </c>
    </row>
    <row r="14218" ht="15.75" customHeight="1">
      <c r="A14218" s="2">
        <v>2021.0</v>
      </c>
      <c r="B14218" s="2" t="s">
        <v>55665</v>
      </c>
      <c r="C14218" s="2" t="s">
        <v>55666</v>
      </c>
      <c r="D14218" s="2" t="str">
        <f>"6188065881"</f>
        <v>6188065881</v>
      </c>
      <c r="E14218" s="2" t="s">
        <v>2162</v>
      </c>
      <c r="F14218" s="2" t="s">
        <v>55667</v>
      </c>
      <c r="G14218" s="2" t="str">
        <f>"SR-20953"</f>
        <v>SR-20953</v>
      </c>
      <c r="H14218" s="2" t="s">
        <v>55668</v>
      </c>
      <c r="I14218" s="2" t="s">
        <v>55669</v>
      </c>
      <c r="K14218" s="2" t="s">
        <v>1054</v>
      </c>
      <c r="L14218" s="2" t="s">
        <v>157</v>
      </c>
      <c r="M14218" s="2">
        <v>80138.0</v>
      </c>
      <c r="N14218" s="2" t="s">
        <v>21</v>
      </c>
    </row>
    <row r="14219" ht="15.75" customHeight="1">
      <c r="A14219" s="2">
        <v>2021.0</v>
      </c>
      <c r="B14219" s="2" t="s">
        <v>51067</v>
      </c>
      <c r="C14219" s="2" t="s">
        <v>51068</v>
      </c>
      <c r="D14219" s="2" t="str">
        <f>"5202795241"</f>
        <v>5202795241</v>
      </c>
      <c r="E14219" s="2" t="s">
        <v>51069</v>
      </c>
      <c r="F14219" s="2" t="s">
        <v>51070</v>
      </c>
      <c r="G14219" s="2" t="str">
        <f>"SR-18232"</f>
        <v>SR-18232</v>
      </c>
      <c r="H14219" s="2" t="s">
        <v>51071</v>
      </c>
      <c r="I14219" s="2" t="s">
        <v>51072</v>
      </c>
      <c r="K14219" s="2" t="s">
        <v>31649</v>
      </c>
      <c r="L14219" s="2" t="s">
        <v>422</v>
      </c>
      <c r="M14219" s="2">
        <v>85629.0</v>
      </c>
      <c r="N14219" s="2" t="s">
        <v>21</v>
      </c>
    </row>
    <row r="14220" ht="15.75" customHeight="1">
      <c r="A14220" s="2">
        <v>2021.0</v>
      </c>
      <c r="B14220" s="2" t="s">
        <v>49250</v>
      </c>
      <c r="C14220" s="2" t="s">
        <v>55670</v>
      </c>
      <c r="D14220" s="2" t="str">
        <f>"+44 7720 259345"</f>
        <v>+44 7720 259345</v>
      </c>
      <c r="E14220" s="2" t="s">
        <v>7864</v>
      </c>
      <c r="F14220" s="2" t="s">
        <v>55671</v>
      </c>
      <c r="G14220" s="2" t="str">
        <f>"SR-20955"</f>
        <v>SR-20955</v>
      </c>
      <c r="H14220" s="2" t="s">
        <v>55672</v>
      </c>
      <c r="I14220" s="2" t="s">
        <v>55673</v>
      </c>
      <c r="K14220" s="2" t="s">
        <v>55674</v>
      </c>
      <c r="L14220" s="2" t="s">
        <v>23501</v>
      </c>
      <c r="M14220" s="2" t="s">
        <v>55675</v>
      </c>
      <c r="N14220" s="2" t="s">
        <v>22523</v>
      </c>
    </row>
    <row r="14221" ht="15.75" customHeight="1">
      <c r="A14221" s="2">
        <v>2021.0</v>
      </c>
      <c r="B14221" s="2" t="s">
        <v>17585</v>
      </c>
      <c r="C14221" s="2" t="s">
        <v>17585</v>
      </c>
      <c r="D14221" s="2" t="str">
        <f>"620-727-3832"</f>
        <v>620-727-3832</v>
      </c>
      <c r="E14221" s="2" t="s">
        <v>36</v>
      </c>
      <c r="F14221" s="2" t="s">
        <v>17587</v>
      </c>
      <c r="G14221" s="2" t="str">
        <f>"SR-20965"</f>
        <v>SR-20965</v>
      </c>
      <c r="H14221" s="2" t="s">
        <v>55676</v>
      </c>
      <c r="I14221" s="2" t="s">
        <v>55677</v>
      </c>
      <c r="K14221" s="2" t="s">
        <v>5351</v>
      </c>
      <c r="L14221" s="2" t="s">
        <v>272</v>
      </c>
      <c r="M14221" s="2">
        <v>67501.0</v>
      </c>
      <c r="N14221" s="2" t="s">
        <v>21</v>
      </c>
    </row>
    <row r="14222" ht="15.75" customHeight="1">
      <c r="A14222" s="2">
        <v>2021.0</v>
      </c>
      <c r="B14222" s="2" t="s">
        <v>55678</v>
      </c>
      <c r="C14222" s="2" t="s">
        <v>55679</v>
      </c>
      <c r="D14222" s="2" t="str">
        <f>"3174764042"</f>
        <v>3174764042</v>
      </c>
      <c r="E14222" s="2" t="s">
        <v>651</v>
      </c>
      <c r="F14222" s="2" t="s">
        <v>55680</v>
      </c>
      <c r="G14222" s="2" t="str">
        <f>"SR-11972"</f>
        <v>SR-11972</v>
      </c>
      <c r="H14222" s="2" t="s">
        <v>55681</v>
      </c>
      <c r="I14222" s="2" t="s">
        <v>55682</v>
      </c>
      <c r="K14222" s="2" t="s">
        <v>2660</v>
      </c>
      <c r="L14222" s="2" t="s">
        <v>149</v>
      </c>
      <c r="M14222" s="2">
        <v>46038.0</v>
      </c>
      <c r="N14222" s="2" t="s">
        <v>21</v>
      </c>
    </row>
    <row r="14223" ht="15.75" customHeight="1">
      <c r="A14223" s="2">
        <v>2021.0</v>
      </c>
      <c r="B14223" s="2" t="s">
        <v>30819</v>
      </c>
      <c r="C14223" s="2" t="s">
        <v>55683</v>
      </c>
      <c r="D14223" s="2" t="str">
        <f>"720-750-1659"</f>
        <v>720-750-1659</v>
      </c>
      <c r="E14223" s="2" t="s">
        <v>1007</v>
      </c>
      <c r="F14223" s="2" t="s">
        <v>30821</v>
      </c>
      <c r="G14223" s="2" t="str">
        <f>"SR-20967"</f>
        <v>SR-20967</v>
      </c>
      <c r="H14223" s="2" t="s">
        <v>55684</v>
      </c>
      <c r="I14223" s="2" t="s">
        <v>30823</v>
      </c>
      <c r="K14223" s="2" t="s">
        <v>7480</v>
      </c>
      <c r="L14223" s="2" t="s">
        <v>157</v>
      </c>
      <c r="M14223" s="2">
        <v>80602.0</v>
      </c>
      <c r="N14223" s="2" t="s">
        <v>21</v>
      </c>
    </row>
    <row r="14224" ht="15.75" customHeight="1">
      <c r="A14224" s="2">
        <v>2021.0</v>
      </c>
      <c r="B14224" s="2" t="s">
        <v>52539</v>
      </c>
      <c r="C14224" s="2" t="s">
        <v>52540</v>
      </c>
      <c r="D14224" s="2" t="str">
        <f>"719-728-9550"</f>
        <v>719-728-9550</v>
      </c>
      <c r="E14224" s="2" t="s">
        <v>3878</v>
      </c>
      <c r="F14224" s="2" t="s">
        <v>52541</v>
      </c>
      <c r="G14224" s="2" t="str">
        <f>"SR-18779"</f>
        <v>SR-18779</v>
      </c>
      <c r="H14224" s="2" t="s">
        <v>52542</v>
      </c>
      <c r="I14224" s="2" t="s">
        <v>52543</v>
      </c>
      <c r="K14224" s="2" t="s">
        <v>1127</v>
      </c>
      <c r="L14224" s="2" t="s">
        <v>157</v>
      </c>
      <c r="M14224" s="2">
        <v>80814.0</v>
      </c>
      <c r="N14224" s="2" t="s">
        <v>21</v>
      </c>
    </row>
    <row r="14225" ht="15.75" customHeight="1">
      <c r="A14225" s="2">
        <v>2021.0</v>
      </c>
      <c r="B14225" s="2" t="s">
        <v>52539</v>
      </c>
      <c r="C14225" s="2" t="s">
        <v>52544</v>
      </c>
      <c r="D14225" s="2" t="str">
        <f>"719-400-8568"</f>
        <v>719-400-8568</v>
      </c>
      <c r="E14225" s="2" t="s">
        <v>3305</v>
      </c>
      <c r="F14225" s="2" t="s">
        <v>52541</v>
      </c>
      <c r="G14225" s="2" t="str">
        <f>"SR-18780"</f>
        <v>SR-18780</v>
      </c>
      <c r="H14225" s="2" t="s">
        <v>52545</v>
      </c>
      <c r="I14225" s="2" t="s">
        <v>52543</v>
      </c>
      <c r="K14225" s="2" t="s">
        <v>1127</v>
      </c>
      <c r="L14225" s="2" t="s">
        <v>157</v>
      </c>
      <c r="M14225" s="2">
        <v>80814.0</v>
      </c>
      <c r="N14225" s="2" t="s">
        <v>21</v>
      </c>
    </row>
    <row r="14226" ht="15.75" customHeight="1">
      <c r="A14226" s="2">
        <v>2021.0</v>
      </c>
      <c r="B14226" s="2" t="s">
        <v>54528</v>
      </c>
      <c r="C14226" s="2" t="s">
        <v>54528</v>
      </c>
      <c r="D14226" s="2" t="str">
        <f>"509-439-8952"</f>
        <v>509-439-8952</v>
      </c>
      <c r="E14226" s="2" t="s">
        <v>24</v>
      </c>
      <c r="F14226" s="2" t="s">
        <v>54529</v>
      </c>
      <c r="G14226" s="2" t="str">
        <f>"SR-19906"</f>
        <v>SR-19906</v>
      </c>
      <c r="H14226" s="2" t="s">
        <v>54530</v>
      </c>
      <c r="I14226" s="2" t="s">
        <v>54531</v>
      </c>
      <c r="K14226" s="2" t="s">
        <v>13774</v>
      </c>
      <c r="L14226" s="2" t="s">
        <v>86</v>
      </c>
      <c r="M14226" s="2">
        <v>98930.0</v>
      </c>
      <c r="N14226" s="2" t="s">
        <v>21</v>
      </c>
    </row>
    <row r="14227" ht="15.75" customHeight="1">
      <c r="A14227" s="2">
        <v>2021.0</v>
      </c>
      <c r="B14227" s="2" t="s">
        <v>55685</v>
      </c>
      <c r="C14227" s="2" t="s">
        <v>55686</v>
      </c>
      <c r="D14227" s="2" t="str">
        <f>"763-545-1150"</f>
        <v>763-545-1150</v>
      </c>
      <c r="E14227" s="2" t="s">
        <v>7046</v>
      </c>
      <c r="F14227" s="2" t="s">
        <v>33579</v>
      </c>
      <c r="G14227" s="2" t="str">
        <f>"SR-20976"</f>
        <v>SR-20976</v>
      </c>
      <c r="H14227" s="2" t="s">
        <v>55687</v>
      </c>
      <c r="I14227" s="2" t="s">
        <v>55688</v>
      </c>
      <c r="K14227" s="2" t="s">
        <v>35053</v>
      </c>
      <c r="L14227" s="2" t="s">
        <v>62</v>
      </c>
      <c r="M14227" s="2">
        <v>55340.0</v>
      </c>
      <c r="N14227" s="2" t="s">
        <v>21</v>
      </c>
    </row>
    <row r="14228" ht="15.75" customHeight="1">
      <c r="A14228" s="2">
        <v>2021.0</v>
      </c>
      <c r="B14228" s="2" t="s">
        <v>55689</v>
      </c>
      <c r="C14228" s="2" t="s">
        <v>55689</v>
      </c>
      <c r="D14228" s="2" t="str">
        <f>"763 567 1699"</f>
        <v>763 567 1699</v>
      </c>
      <c r="E14228" s="2" t="s">
        <v>2355</v>
      </c>
      <c r="F14228" s="2" t="s">
        <v>33579</v>
      </c>
      <c r="G14228" s="2" t="str">
        <f>"SR-20977"</f>
        <v>SR-20977</v>
      </c>
      <c r="H14228" s="2" t="s">
        <v>55690</v>
      </c>
      <c r="I14228" s="2" t="s">
        <v>55691</v>
      </c>
      <c r="K14228" s="2" t="s">
        <v>35053</v>
      </c>
      <c r="L14228" s="2" t="s">
        <v>62</v>
      </c>
      <c r="M14228" s="2">
        <v>55430.0</v>
      </c>
      <c r="N14228" s="2" t="s">
        <v>21</v>
      </c>
    </row>
    <row r="14229" ht="15.75" customHeight="1">
      <c r="A14229" s="2">
        <v>2021.0</v>
      </c>
      <c r="B14229" s="2" t="s">
        <v>39294</v>
      </c>
      <c r="C14229" s="2" t="s">
        <v>55692</v>
      </c>
      <c r="D14229" s="2" t="str">
        <f>"920-843-3348"</f>
        <v>920-843-3348</v>
      </c>
      <c r="E14229" s="2" t="s">
        <v>8693</v>
      </c>
      <c r="F14229" s="2" t="s">
        <v>39296</v>
      </c>
      <c r="G14229" s="2" t="str">
        <f>"SR-20905"</f>
        <v>SR-20905</v>
      </c>
      <c r="H14229" s="2" t="s">
        <v>55693</v>
      </c>
      <c r="I14229" s="2" t="s">
        <v>55694</v>
      </c>
      <c r="K14229" s="2" t="s">
        <v>55695</v>
      </c>
      <c r="L14229" s="2" t="s">
        <v>193</v>
      </c>
      <c r="M14229" s="2">
        <v>54113.0</v>
      </c>
      <c r="N14229" s="2" t="s">
        <v>21</v>
      </c>
    </row>
    <row r="14230" ht="15.75" customHeight="1">
      <c r="A14230" s="2">
        <v>2021.0</v>
      </c>
      <c r="B14230" s="2" t="s">
        <v>55696</v>
      </c>
      <c r="C14230" s="2" t="s">
        <v>55696</v>
      </c>
      <c r="D14230" s="2" t="str">
        <f>"(630) 414-1986"</f>
        <v>(630) 414-1986</v>
      </c>
      <c r="E14230" s="2" t="s">
        <v>339</v>
      </c>
      <c r="F14230" s="2" t="s">
        <v>55697</v>
      </c>
      <c r="G14230" s="2" t="str">
        <f>"SR-20979"</f>
        <v>SR-20979</v>
      </c>
      <c r="H14230" s="2" t="s">
        <v>55698</v>
      </c>
      <c r="I14230" s="2" t="s">
        <v>55699</v>
      </c>
      <c r="K14230" s="2" t="s">
        <v>15177</v>
      </c>
      <c r="L14230" s="2" t="s">
        <v>105</v>
      </c>
      <c r="M14230" s="2">
        <v>60139.0</v>
      </c>
      <c r="N14230" s="2" t="s">
        <v>21</v>
      </c>
    </row>
    <row r="14231" ht="15.75" customHeight="1">
      <c r="A14231" s="2">
        <v>2021.0</v>
      </c>
      <c r="B14231" s="2" t="s">
        <v>55700</v>
      </c>
      <c r="C14231" s="2" t="s">
        <v>55700</v>
      </c>
      <c r="D14231" s="2" t="str">
        <f>"5123482255"</f>
        <v>5123482255</v>
      </c>
      <c r="E14231" s="2" t="s">
        <v>5858</v>
      </c>
      <c r="F14231" s="2" t="s">
        <v>448</v>
      </c>
      <c r="G14231" s="2" t="str">
        <f>"SR-20981"</f>
        <v>SR-20981</v>
      </c>
      <c r="H14231" s="2" t="s">
        <v>55701</v>
      </c>
      <c r="I14231" s="2" t="s">
        <v>30460</v>
      </c>
      <c r="K14231" s="2" t="s">
        <v>1141</v>
      </c>
      <c r="L14231" s="2" t="s">
        <v>172</v>
      </c>
      <c r="M14231" s="2">
        <v>78757.0</v>
      </c>
      <c r="N14231" s="2" t="s">
        <v>21</v>
      </c>
    </row>
    <row r="14232" ht="15.75" customHeight="1">
      <c r="A14232" s="2">
        <v>2021.0</v>
      </c>
      <c r="B14232" s="2" t="s">
        <v>23358</v>
      </c>
      <c r="C14232" s="2" t="s">
        <v>55702</v>
      </c>
      <c r="D14232" s="2" t="str">
        <f>"6052809843"</f>
        <v>6052809843</v>
      </c>
      <c r="E14232" s="2" t="s">
        <v>14745</v>
      </c>
      <c r="F14232" s="2" t="s">
        <v>8787</v>
      </c>
      <c r="G14232" s="2" t="str">
        <f>"SR-20986"</f>
        <v>SR-20986</v>
      </c>
      <c r="H14232" s="2" t="s">
        <v>55703</v>
      </c>
      <c r="I14232" s="2" t="s">
        <v>55704</v>
      </c>
      <c r="K14232" s="2" t="s">
        <v>11510</v>
      </c>
      <c r="L14232" s="2" t="s">
        <v>920</v>
      </c>
      <c r="M14232" s="2">
        <v>57703.0</v>
      </c>
      <c r="N14232" s="2" t="s">
        <v>21</v>
      </c>
    </row>
    <row r="14233" ht="15.75" customHeight="1">
      <c r="A14233" s="2">
        <v>2021.0</v>
      </c>
      <c r="B14233" s="2" t="s">
        <v>51951</v>
      </c>
      <c r="C14233" s="2" t="s">
        <v>51952</v>
      </c>
      <c r="D14233" s="2" t="str">
        <f>"(613) 661-3231"</f>
        <v>(613) 661-3231</v>
      </c>
      <c r="E14233" s="2" t="s">
        <v>862</v>
      </c>
      <c r="F14233" s="2" t="s">
        <v>51953</v>
      </c>
      <c r="G14233" s="2" t="str">
        <f>"SR-18552"</f>
        <v>SR-18552</v>
      </c>
      <c r="H14233" s="2" t="s">
        <v>51954</v>
      </c>
      <c r="I14233" s="2" t="s">
        <v>51955</v>
      </c>
      <c r="K14233" s="2" t="s">
        <v>8693</v>
      </c>
      <c r="N14233" s="2" t="s">
        <v>1602</v>
      </c>
    </row>
    <row r="14234" ht="15.75" customHeight="1">
      <c r="A14234" s="2">
        <v>2021.0</v>
      </c>
      <c r="B14234" s="2" t="s">
        <v>55705</v>
      </c>
      <c r="C14234" s="2" t="s">
        <v>55706</v>
      </c>
      <c r="D14234" s="2" t="str">
        <f>"(630) 822-5815"</f>
        <v>(630) 822-5815</v>
      </c>
      <c r="E14234" s="2" t="s">
        <v>1810</v>
      </c>
      <c r="F14234" s="2" t="s">
        <v>55697</v>
      </c>
      <c r="G14234" s="2" t="str">
        <f>"SR-20989"</f>
        <v>SR-20989</v>
      </c>
      <c r="H14234" s="2" t="s">
        <v>55707</v>
      </c>
      <c r="I14234" s="2" t="s">
        <v>55708</v>
      </c>
      <c r="K14234" s="2" t="s">
        <v>15727</v>
      </c>
      <c r="L14234" s="2" t="s">
        <v>105</v>
      </c>
      <c r="M14234" s="2">
        <v>60188.0</v>
      </c>
      <c r="N14234" s="2" t="s">
        <v>21</v>
      </c>
    </row>
    <row r="14235" ht="15.75" customHeight="1">
      <c r="A14235" s="2">
        <v>2021.0</v>
      </c>
      <c r="B14235" s="2" t="s">
        <v>52141</v>
      </c>
      <c r="C14235" s="2" t="s">
        <v>52141</v>
      </c>
      <c r="D14235" s="2" t="str">
        <f>"7203453650"</f>
        <v>7203453650</v>
      </c>
      <c r="E14235" s="2" t="s">
        <v>584</v>
      </c>
      <c r="F14235" s="2" t="s">
        <v>44952</v>
      </c>
      <c r="G14235" s="2" t="str">
        <f>"SR-18632"</f>
        <v>SR-18632</v>
      </c>
      <c r="H14235" s="2" t="s">
        <v>52142</v>
      </c>
      <c r="I14235" s="2" t="s">
        <v>52143</v>
      </c>
      <c r="K14235" s="2" t="s">
        <v>6915</v>
      </c>
      <c r="L14235" s="2" t="s">
        <v>157</v>
      </c>
      <c r="M14235" s="2">
        <v>80021.0</v>
      </c>
      <c r="N14235" s="2" t="s">
        <v>21</v>
      </c>
    </row>
    <row r="14236" ht="15.75" customHeight="1">
      <c r="A14236" s="2">
        <v>2021.0</v>
      </c>
      <c r="B14236" s="2" t="s">
        <v>48551</v>
      </c>
      <c r="C14236" s="2" t="s">
        <v>55709</v>
      </c>
      <c r="D14236" s="2" t="str">
        <f>"4029819569"</f>
        <v>4029819569</v>
      </c>
      <c r="E14236" s="2" t="s">
        <v>1803</v>
      </c>
      <c r="F14236" s="2" t="s">
        <v>9632</v>
      </c>
      <c r="G14236" s="2" t="str">
        <f>"SR-20991"</f>
        <v>SR-20991</v>
      </c>
      <c r="H14236" s="2" t="s">
        <v>55710</v>
      </c>
      <c r="I14236" s="2" t="s">
        <v>55711</v>
      </c>
      <c r="K14236" s="2" t="s">
        <v>9635</v>
      </c>
      <c r="L14236" s="2" t="s">
        <v>757</v>
      </c>
      <c r="M14236" s="2">
        <v>68022.0</v>
      </c>
      <c r="N14236" s="2" t="s">
        <v>21</v>
      </c>
    </row>
    <row r="14237" ht="15.75" customHeight="1">
      <c r="A14237" s="2">
        <v>2021.0</v>
      </c>
      <c r="B14237" s="2" t="s">
        <v>55712</v>
      </c>
      <c r="C14237" s="2" t="s">
        <v>55712</v>
      </c>
      <c r="D14237" s="2" t="str">
        <f>"772 646 5801"</f>
        <v>772 646 5801</v>
      </c>
      <c r="E14237" s="2" t="s">
        <v>55713</v>
      </c>
      <c r="F14237" s="2" t="s">
        <v>55636</v>
      </c>
      <c r="G14237" s="2" t="str">
        <f>"SR-20929"</f>
        <v>SR-20929</v>
      </c>
      <c r="H14237" s="2" t="s">
        <v>55714</v>
      </c>
      <c r="I14237" s="2" t="s">
        <v>55715</v>
      </c>
      <c r="K14237" s="2" t="s">
        <v>43735</v>
      </c>
      <c r="L14237" s="2" t="s">
        <v>208</v>
      </c>
      <c r="M14237" s="2">
        <v>32958.0</v>
      </c>
      <c r="N14237" s="2" t="s">
        <v>21</v>
      </c>
    </row>
    <row r="14238" ht="15.75" customHeight="1">
      <c r="A14238" s="2">
        <v>2021.0</v>
      </c>
      <c r="B14238" s="2" t="s">
        <v>44504</v>
      </c>
      <c r="C14238" s="2" t="s">
        <v>55716</v>
      </c>
      <c r="D14238" s="2" t="str">
        <f>"2183802254"</f>
        <v>2183802254</v>
      </c>
      <c r="E14238" s="2" t="s">
        <v>11885</v>
      </c>
      <c r="F14238" s="2" t="s">
        <v>44506</v>
      </c>
      <c r="G14238" s="2" t="str">
        <f>"SR-20787"</f>
        <v>SR-20787</v>
      </c>
      <c r="H14238" s="2" t="s">
        <v>55717</v>
      </c>
      <c r="I14238" s="2" t="s">
        <v>44508</v>
      </c>
      <c r="K14238" s="2" t="s">
        <v>44509</v>
      </c>
      <c r="L14238" s="2" t="s">
        <v>62</v>
      </c>
      <c r="M14238" s="2">
        <v>55783.0</v>
      </c>
      <c r="N14238" s="2" t="s">
        <v>21</v>
      </c>
    </row>
    <row r="14239" ht="15.75" customHeight="1">
      <c r="A14239" s="2">
        <v>2021.0</v>
      </c>
      <c r="B14239" s="2" t="s">
        <v>24617</v>
      </c>
      <c r="C14239" s="2" t="s">
        <v>49701</v>
      </c>
      <c r="D14239" s="2" t="str">
        <f>"4063615647"</f>
        <v>4063615647</v>
      </c>
      <c r="E14239" s="2" t="s">
        <v>4763</v>
      </c>
      <c r="F14239" s="2" t="s">
        <v>9714</v>
      </c>
      <c r="G14239" s="2" t="str">
        <f>"SR-17751"</f>
        <v>SR-17751</v>
      </c>
      <c r="H14239" s="2" t="s">
        <v>49702</v>
      </c>
      <c r="I14239" s="2" t="s">
        <v>49703</v>
      </c>
      <c r="K14239" s="2" t="s">
        <v>9717</v>
      </c>
      <c r="L14239" s="2" t="s">
        <v>2696</v>
      </c>
      <c r="M14239" s="2">
        <v>59870.0</v>
      </c>
      <c r="N14239" s="2" t="s">
        <v>21</v>
      </c>
    </row>
    <row r="14240" ht="15.75" customHeight="1">
      <c r="A14240" s="2">
        <v>2021.0</v>
      </c>
      <c r="B14240" s="2" t="s">
        <v>55718</v>
      </c>
      <c r="C14240" s="2" t="s">
        <v>55718</v>
      </c>
      <c r="D14240" s="2" t="str">
        <f>"(828) 729-5038"</f>
        <v>(828) 729-5038</v>
      </c>
      <c r="E14240" s="2" t="s">
        <v>11043</v>
      </c>
      <c r="F14240" s="2" t="s">
        <v>55719</v>
      </c>
      <c r="G14240" s="2" t="str">
        <f>"SR-20992"</f>
        <v>SR-20992</v>
      </c>
      <c r="H14240" s="2" t="s">
        <v>55720</v>
      </c>
      <c r="I14240" s="2" t="s">
        <v>55721</v>
      </c>
      <c r="K14240" s="2" t="s">
        <v>3978</v>
      </c>
      <c r="L14240" s="2" t="s">
        <v>20</v>
      </c>
      <c r="M14240" s="2">
        <v>28638.0</v>
      </c>
      <c r="N14240" s="2" t="s">
        <v>21</v>
      </c>
    </row>
    <row r="14241" ht="15.75" customHeight="1">
      <c r="A14241" s="2">
        <v>2021.0</v>
      </c>
      <c r="B14241" s="2" t="s">
        <v>19259</v>
      </c>
      <c r="C14241" s="2" t="s">
        <v>55722</v>
      </c>
      <c r="D14241" s="2" t="str">
        <f>"434-242-2254"</f>
        <v>434-242-2254</v>
      </c>
      <c r="E14241" s="2" t="s">
        <v>20541</v>
      </c>
      <c r="F14241" s="2" t="s">
        <v>932</v>
      </c>
      <c r="G14241" s="2" t="str">
        <f>"SR-20994"</f>
        <v>SR-20994</v>
      </c>
      <c r="H14241" s="2" t="s">
        <v>55723</v>
      </c>
      <c r="I14241" s="2" t="s">
        <v>55724</v>
      </c>
      <c r="K14241" s="2" t="s">
        <v>11041</v>
      </c>
      <c r="L14241" s="2" t="s">
        <v>165</v>
      </c>
      <c r="M14241" s="2">
        <v>22903.0</v>
      </c>
      <c r="N14241" s="2" t="s">
        <v>21</v>
      </c>
    </row>
    <row r="14242" ht="15.75" customHeight="1">
      <c r="A14242" s="2">
        <v>2021.0</v>
      </c>
      <c r="B14242" s="2" t="s">
        <v>43981</v>
      </c>
      <c r="C14242" s="2" t="s">
        <v>55725</v>
      </c>
      <c r="D14242" s="2" t="str">
        <f>"5208207619"</f>
        <v>5208207619</v>
      </c>
      <c r="E14242" s="2" t="s">
        <v>14422</v>
      </c>
      <c r="F14242" s="2" t="s">
        <v>457</v>
      </c>
      <c r="G14242" s="2" t="str">
        <f>"SR-20996"</f>
        <v>SR-20996</v>
      </c>
      <c r="H14242" s="2" t="s">
        <v>55726</v>
      </c>
      <c r="I14242" s="2" t="s">
        <v>55727</v>
      </c>
      <c r="K14242" s="2" t="s">
        <v>5946</v>
      </c>
      <c r="L14242" s="2" t="s">
        <v>422</v>
      </c>
      <c r="M14242" s="2">
        <v>85748.0</v>
      </c>
      <c r="N14242" s="2" t="s">
        <v>21</v>
      </c>
    </row>
    <row r="14243" ht="15.75" customHeight="1">
      <c r="A14243" s="2">
        <v>2021.0</v>
      </c>
      <c r="B14243" s="2" t="s">
        <v>55728</v>
      </c>
      <c r="C14243" s="2" t="s">
        <v>55729</v>
      </c>
      <c r="D14243" s="2" t="str">
        <f>"6183024160"</f>
        <v>6183024160</v>
      </c>
      <c r="E14243" s="2" t="s">
        <v>29586</v>
      </c>
      <c r="F14243" s="2" t="s">
        <v>55730</v>
      </c>
      <c r="G14243" s="2" t="str">
        <f>"SR-20998"</f>
        <v>SR-20998</v>
      </c>
      <c r="H14243" s="2" t="s">
        <v>55731</v>
      </c>
      <c r="I14243" s="2" t="s">
        <v>55732</v>
      </c>
      <c r="K14243" s="2" t="s">
        <v>38842</v>
      </c>
      <c r="L14243" s="2" t="s">
        <v>105</v>
      </c>
      <c r="M14243" s="2">
        <v>62806.0</v>
      </c>
      <c r="N14243" s="2" t="s">
        <v>21</v>
      </c>
    </row>
    <row r="14244" ht="15.75" customHeight="1">
      <c r="A14244" s="2">
        <v>2021.0</v>
      </c>
      <c r="B14244" s="2" t="s">
        <v>55728</v>
      </c>
      <c r="C14244" s="2" t="s">
        <v>55733</v>
      </c>
      <c r="D14244" s="2" t="str">
        <f>"6183021151"</f>
        <v>6183021151</v>
      </c>
      <c r="E14244" s="2" t="s">
        <v>144</v>
      </c>
      <c r="F14244" s="2" t="s">
        <v>55730</v>
      </c>
      <c r="G14244" s="2" t="str">
        <f>"SR-20999"</f>
        <v>SR-20999</v>
      </c>
      <c r="H14244" s="2" t="s">
        <v>55734</v>
      </c>
      <c r="I14244" s="2" t="s">
        <v>55735</v>
      </c>
      <c r="K14244" s="2" t="s">
        <v>38842</v>
      </c>
      <c r="L14244" s="2" t="s">
        <v>105</v>
      </c>
      <c r="M14244" s="2">
        <v>62806.0</v>
      </c>
      <c r="N14244" s="2" t="s">
        <v>21</v>
      </c>
    </row>
    <row r="14245" ht="15.75" customHeight="1">
      <c r="A14245" s="2">
        <v>2021.0</v>
      </c>
      <c r="B14245" s="2" t="s">
        <v>55736</v>
      </c>
      <c r="C14245" s="2" t="s">
        <v>55737</v>
      </c>
      <c r="D14245" s="2" t="str">
        <f>"5205894156"</f>
        <v>5205894156</v>
      </c>
      <c r="E14245" s="2" t="s">
        <v>2965</v>
      </c>
      <c r="F14245" s="2" t="s">
        <v>9267</v>
      </c>
      <c r="G14245" s="2" t="str">
        <f>"SR-21000"</f>
        <v>SR-21000</v>
      </c>
      <c r="H14245" s="2" t="s">
        <v>55738</v>
      </c>
      <c r="I14245" s="2" t="s">
        <v>55739</v>
      </c>
      <c r="K14245" s="2" t="s">
        <v>5946</v>
      </c>
      <c r="L14245" s="2" t="s">
        <v>422</v>
      </c>
      <c r="M14245" s="2">
        <v>85749.0</v>
      </c>
      <c r="N14245" s="2" t="s">
        <v>21</v>
      </c>
    </row>
    <row r="14246" ht="15.75" customHeight="1">
      <c r="A14246" s="2">
        <v>2021.0</v>
      </c>
      <c r="B14246" s="2" t="s">
        <v>55740</v>
      </c>
      <c r="C14246" s="2" t="s">
        <v>55741</v>
      </c>
      <c r="D14246" s="2" t="str">
        <f>"4695101284"</f>
        <v>4695101284</v>
      </c>
      <c r="E14246" s="2" t="s">
        <v>34533</v>
      </c>
      <c r="F14246" s="2" t="s">
        <v>55742</v>
      </c>
      <c r="G14246" s="2" t="str">
        <f>"SR-21004"</f>
        <v>SR-21004</v>
      </c>
      <c r="H14246" s="2" t="s">
        <v>55743</v>
      </c>
      <c r="I14246" s="2" t="s">
        <v>55744</v>
      </c>
      <c r="K14246" s="2" t="s">
        <v>54842</v>
      </c>
      <c r="L14246" s="2" t="s">
        <v>172</v>
      </c>
      <c r="M14246" s="2">
        <v>78163.0</v>
      </c>
      <c r="N14246" s="2" t="s">
        <v>21</v>
      </c>
    </row>
    <row r="14247" ht="15.75" customHeight="1">
      <c r="A14247" s="2">
        <v>2021.0</v>
      </c>
      <c r="B14247" s="2" t="s">
        <v>55740</v>
      </c>
      <c r="C14247" s="2" t="s">
        <v>55740</v>
      </c>
      <c r="D14247" s="2" t="str">
        <f>"4693386321"</f>
        <v>4693386321</v>
      </c>
      <c r="E14247" s="2" t="s">
        <v>160</v>
      </c>
      <c r="F14247" s="2" t="s">
        <v>55742</v>
      </c>
      <c r="G14247" s="2" t="str">
        <f>"SR-21001"</f>
        <v>SR-21001</v>
      </c>
      <c r="H14247" s="2" t="s">
        <v>55745</v>
      </c>
      <c r="I14247" s="2" t="s">
        <v>55744</v>
      </c>
      <c r="K14247" s="2" t="s">
        <v>54842</v>
      </c>
      <c r="L14247" s="2" t="s">
        <v>172</v>
      </c>
      <c r="M14247" s="2">
        <v>78163.0</v>
      </c>
      <c r="N14247" s="2" t="s">
        <v>21</v>
      </c>
    </row>
    <row r="14248" ht="15.75" customHeight="1">
      <c r="A14248" s="2">
        <v>2021.0</v>
      </c>
      <c r="B14248" s="2" t="s">
        <v>55746</v>
      </c>
      <c r="C14248" s="2" t="s">
        <v>55746</v>
      </c>
      <c r="D14248" s="2" t="str">
        <f>"9047030662"</f>
        <v>9047030662</v>
      </c>
      <c r="E14248" s="2" t="s">
        <v>1032</v>
      </c>
      <c r="F14248" s="2" t="s">
        <v>55747</v>
      </c>
      <c r="G14248" s="2" t="str">
        <f>"SR-20966"</f>
        <v>SR-20966</v>
      </c>
      <c r="H14248" s="2" t="s">
        <v>55748</v>
      </c>
      <c r="I14248" s="2" t="s">
        <v>55749</v>
      </c>
      <c r="K14248" s="2" t="s">
        <v>451</v>
      </c>
      <c r="L14248" s="2" t="s">
        <v>208</v>
      </c>
      <c r="M14248" s="2">
        <v>32258.0</v>
      </c>
      <c r="N14248" s="2" t="s">
        <v>21</v>
      </c>
    </row>
    <row r="14249" ht="15.75" customHeight="1">
      <c r="A14249" s="2">
        <v>2021.0</v>
      </c>
      <c r="B14249" s="2" t="s">
        <v>23967</v>
      </c>
      <c r="C14249" s="2" t="s">
        <v>50169</v>
      </c>
      <c r="D14249" s="2" t="str">
        <f>"760-996-5367"</f>
        <v>760-996-5367</v>
      </c>
      <c r="E14249" s="2" t="s">
        <v>983</v>
      </c>
      <c r="F14249" s="2" t="s">
        <v>23970</v>
      </c>
      <c r="G14249" s="2" t="str">
        <f>"SR-17922"</f>
        <v>SR-17922</v>
      </c>
      <c r="H14249" s="2" t="s">
        <v>50170</v>
      </c>
      <c r="I14249" s="2" t="s">
        <v>23972</v>
      </c>
      <c r="K14249" s="2" t="s">
        <v>21133</v>
      </c>
      <c r="L14249" s="2" t="s">
        <v>222</v>
      </c>
      <c r="M14249" s="2">
        <v>92251.0</v>
      </c>
      <c r="N14249" s="2" t="s">
        <v>21</v>
      </c>
    </row>
    <row r="14250" ht="15.75" customHeight="1">
      <c r="A14250" s="2">
        <v>2021.0</v>
      </c>
      <c r="B14250" s="2" t="s">
        <v>23321</v>
      </c>
      <c r="C14250" s="2" t="s">
        <v>50654</v>
      </c>
      <c r="D14250" s="2" t="str">
        <f>"620-272-9671"</f>
        <v>620-272-9671</v>
      </c>
      <c r="E14250" s="2" t="s">
        <v>9513</v>
      </c>
      <c r="F14250" s="2" t="s">
        <v>23323</v>
      </c>
      <c r="G14250" s="2" t="str">
        <f>"SR-18080"</f>
        <v>SR-18080</v>
      </c>
      <c r="H14250" s="2" t="s">
        <v>50655</v>
      </c>
      <c r="I14250" s="2" t="s">
        <v>50656</v>
      </c>
      <c r="K14250" s="2" t="s">
        <v>1583</v>
      </c>
      <c r="L14250" s="2" t="s">
        <v>272</v>
      </c>
      <c r="M14250" s="2">
        <v>67846.0</v>
      </c>
      <c r="N14250" s="2" t="s">
        <v>21</v>
      </c>
    </row>
    <row r="14251" ht="15.75" customHeight="1">
      <c r="A14251" s="2">
        <v>2021.0</v>
      </c>
      <c r="B14251" s="2" t="s">
        <v>55750</v>
      </c>
      <c r="C14251" s="2" t="s">
        <v>55751</v>
      </c>
      <c r="D14251" s="2" t="str">
        <f>"+1 (469) 933-7991"</f>
        <v>+1 (469) 933-7991</v>
      </c>
      <c r="E14251" s="2" t="s">
        <v>1761</v>
      </c>
      <c r="F14251" s="2" t="s">
        <v>847</v>
      </c>
      <c r="G14251" s="2" t="str">
        <f>"SR-18069"</f>
        <v>SR-18069</v>
      </c>
      <c r="H14251" s="2" t="s">
        <v>55752</v>
      </c>
      <c r="I14251" s="2" t="s">
        <v>55753</v>
      </c>
      <c r="K14251" s="2" t="s">
        <v>19122</v>
      </c>
      <c r="L14251" s="2" t="s">
        <v>172</v>
      </c>
      <c r="M14251" s="2">
        <v>75028.0</v>
      </c>
      <c r="N14251" s="2" t="s">
        <v>21</v>
      </c>
    </row>
    <row r="14252" ht="15.75" customHeight="1">
      <c r="A14252" s="2">
        <v>2021.0</v>
      </c>
      <c r="B14252" s="2" t="s">
        <v>55754</v>
      </c>
      <c r="C14252" s="2" t="s">
        <v>55755</v>
      </c>
      <c r="D14252" s="2" t="str">
        <f t="shared" ref="D14252:D14253" si="241">"3046854701"</f>
        <v>3046854701</v>
      </c>
      <c r="E14252" s="2" t="s">
        <v>1928</v>
      </c>
      <c r="F14252" s="2" t="s">
        <v>55756</v>
      </c>
      <c r="G14252" s="2" t="str">
        <f>"SR-21009"</f>
        <v>SR-21009</v>
      </c>
      <c r="H14252" s="2" t="s">
        <v>55757</v>
      </c>
      <c r="I14252" s="2" t="s">
        <v>55758</v>
      </c>
      <c r="K14252" s="2" t="s">
        <v>41651</v>
      </c>
      <c r="L14252" s="2" t="s">
        <v>6449</v>
      </c>
      <c r="M14252" s="2">
        <v>26508.0</v>
      </c>
      <c r="N14252" s="2" t="s">
        <v>21</v>
      </c>
    </row>
    <row r="14253" ht="15.75" customHeight="1">
      <c r="A14253" s="2">
        <v>2021.0</v>
      </c>
      <c r="B14253" s="2" t="s">
        <v>55754</v>
      </c>
      <c r="C14253" s="2" t="s">
        <v>55759</v>
      </c>
      <c r="D14253" s="2" t="str">
        <f t="shared" si="241"/>
        <v>3046854701</v>
      </c>
      <c r="E14253" s="2" t="s">
        <v>55760</v>
      </c>
      <c r="F14253" s="2" t="s">
        <v>55756</v>
      </c>
      <c r="G14253" s="2" t="str">
        <f>"SR-21010"</f>
        <v>SR-21010</v>
      </c>
      <c r="H14253" s="2" t="s">
        <v>55761</v>
      </c>
      <c r="I14253" s="2" t="s">
        <v>55758</v>
      </c>
      <c r="K14253" s="2" t="s">
        <v>41651</v>
      </c>
      <c r="L14253" s="2" t="s">
        <v>6449</v>
      </c>
      <c r="M14253" s="2">
        <v>26508.0</v>
      </c>
      <c r="N14253" s="2" t="s">
        <v>21</v>
      </c>
    </row>
    <row r="14254" ht="15.75" customHeight="1">
      <c r="A14254" s="2">
        <v>2021.0</v>
      </c>
      <c r="B14254" s="2" t="s">
        <v>55762</v>
      </c>
      <c r="C14254" s="2" t="s">
        <v>55763</v>
      </c>
      <c r="D14254" s="2" t="str">
        <f>"409-460-9714"</f>
        <v>409-460-9714</v>
      </c>
      <c r="E14254" s="2" t="s">
        <v>8472</v>
      </c>
      <c r="F14254" s="2" t="s">
        <v>55764</v>
      </c>
      <c r="G14254" s="2" t="str">
        <f>"SR-21014"</f>
        <v>SR-21014</v>
      </c>
      <c r="H14254" s="2" t="s">
        <v>55765</v>
      </c>
      <c r="I14254" s="2" t="s">
        <v>55766</v>
      </c>
      <c r="K14254" s="2" t="s">
        <v>55767</v>
      </c>
      <c r="L14254" s="2" t="s">
        <v>172</v>
      </c>
      <c r="M14254" s="2">
        <v>77651.0</v>
      </c>
      <c r="N14254" s="2" t="s">
        <v>21</v>
      </c>
    </row>
    <row r="14255" ht="15.75" customHeight="1">
      <c r="A14255" s="2">
        <v>2021.0</v>
      </c>
      <c r="B14255" s="2" t="s">
        <v>55768</v>
      </c>
      <c r="C14255" s="2" t="s">
        <v>55768</v>
      </c>
      <c r="D14255" s="2" t="str">
        <f>"5079237461"</f>
        <v>5079237461</v>
      </c>
      <c r="E14255" s="2" t="s">
        <v>29062</v>
      </c>
      <c r="F14255" s="2" t="s">
        <v>1915</v>
      </c>
      <c r="G14255" s="2" t="str">
        <f>"SR-21013"</f>
        <v>SR-21013</v>
      </c>
      <c r="H14255" s="2" t="s">
        <v>55769</v>
      </c>
      <c r="I14255" s="2" t="s">
        <v>55770</v>
      </c>
      <c r="K14255" s="2" t="s">
        <v>26810</v>
      </c>
      <c r="L14255" s="2" t="s">
        <v>62</v>
      </c>
      <c r="M14255" s="2">
        <v>55963.0</v>
      </c>
      <c r="N14255" s="2" t="s">
        <v>21</v>
      </c>
    </row>
    <row r="14256" ht="15.75" customHeight="1">
      <c r="A14256" s="2">
        <v>2021.0</v>
      </c>
      <c r="B14256" s="2" t="s">
        <v>55771</v>
      </c>
      <c r="C14256" s="2" t="s">
        <v>55771</v>
      </c>
      <c r="D14256" s="2" t="str">
        <f>"7193522826"</f>
        <v>7193522826</v>
      </c>
      <c r="E14256" s="2" t="s">
        <v>55772</v>
      </c>
      <c r="F14256" s="2" t="s">
        <v>8195</v>
      </c>
      <c r="G14256" s="2" t="str">
        <f>"SR-20873"</f>
        <v>SR-20873</v>
      </c>
      <c r="H14256" s="2" t="s">
        <v>55773</v>
      </c>
      <c r="I14256" s="2" t="s">
        <v>55774</v>
      </c>
      <c r="K14256" s="2" t="s">
        <v>809</v>
      </c>
      <c r="L14256" s="2" t="s">
        <v>157</v>
      </c>
      <c r="M14256" s="2">
        <v>80908.0</v>
      </c>
      <c r="N14256" s="2" t="s">
        <v>21</v>
      </c>
    </row>
    <row r="14257" ht="15.75" customHeight="1">
      <c r="A14257" s="2">
        <v>2021.0</v>
      </c>
      <c r="B14257" s="2" t="s">
        <v>55775</v>
      </c>
      <c r="C14257" s="2" t="s">
        <v>55776</v>
      </c>
      <c r="D14257" s="2" t="str">
        <f>"7194600958"</f>
        <v>7194600958</v>
      </c>
      <c r="E14257" s="2" t="s">
        <v>485</v>
      </c>
      <c r="F14257" s="2" t="s">
        <v>55777</v>
      </c>
      <c r="G14257" s="2" t="str">
        <f>"SR-21020"</f>
        <v>SR-21020</v>
      </c>
      <c r="H14257" s="2" t="s">
        <v>55778</v>
      </c>
      <c r="I14257" s="2" t="s">
        <v>55779</v>
      </c>
      <c r="K14257" s="2" t="s">
        <v>809</v>
      </c>
      <c r="L14257" s="2" t="s">
        <v>157</v>
      </c>
      <c r="M14257" s="2">
        <v>80920.0</v>
      </c>
      <c r="N14257" s="2" t="s">
        <v>21</v>
      </c>
    </row>
    <row r="14258" ht="15.75" customHeight="1">
      <c r="A14258" s="2">
        <v>2021.0</v>
      </c>
      <c r="B14258" s="2" t="s">
        <v>55780</v>
      </c>
      <c r="C14258" s="2" t="s">
        <v>55781</v>
      </c>
      <c r="D14258" s="2" t="str">
        <f>"505-415-0222"</f>
        <v>505-415-0222</v>
      </c>
      <c r="E14258" s="2" t="s">
        <v>160</v>
      </c>
      <c r="F14258" s="2" t="s">
        <v>52801</v>
      </c>
      <c r="G14258" s="2" t="str">
        <f>"SR-21021"</f>
        <v>SR-21021</v>
      </c>
      <c r="H14258" s="2" t="s">
        <v>55782</v>
      </c>
      <c r="I14258" s="2" t="s">
        <v>55783</v>
      </c>
      <c r="K14258" s="2" t="s">
        <v>3705</v>
      </c>
      <c r="L14258" s="2" t="s">
        <v>789</v>
      </c>
      <c r="M14258" s="2">
        <v>87114.0</v>
      </c>
      <c r="N14258" s="2" t="s">
        <v>21</v>
      </c>
    </row>
    <row r="14259" ht="15.75" customHeight="1">
      <c r="A14259" s="2">
        <v>2021.0</v>
      </c>
      <c r="B14259" s="2" t="s">
        <v>55784</v>
      </c>
      <c r="C14259" s="2" t="s">
        <v>55784</v>
      </c>
      <c r="D14259" s="2" t="str">
        <f>"(270)-493-1422"</f>
        <v>(270)-493-1422</v>
      </c>
      <c r="E14259" s="2" t="s">
        <v>6007</v>
      </c>
      <c r="F14259" s="2" t="s">
        <v>55785</v>
      </c>
      <c r="G14259" s="2" t="str">
        <f>"SR-20921"</f>
        <v>SR-20921</v>
      </c>
      <c r="H14259" s="2" t="s">
        <v>55786</v>
      </c>
      <c r="I14259" s="2" t="s">
        <v>55787</v>
      </c>
      <c r="K14259" s="2" t="s">
        <v>55788</v>
      </c>
      <c r="L14259" s="2" t="s">
        <v>1236</v>
      </c>
      <c r="M14259" s="2">
        <v>42029.0</v>
      </c>
      <c r="N14259" s="2" t="s">
        <v>21</v>
      </c>
    </row>
    <row r="14260" ht="15.75" customHeight="1">
      <c r="A14260" s="2">
        <v>2021.0</v>
      </c>
      <c r="B14260" s="2" t="s">
        <v>55789</v>
      </c>
      <c r="C14260" s="2" t="s">
        <v>55790</v>
      </c>
      <c r="D14260" s="2" t="str">
        <f>"7199305604"</f>
        <v>7199305604</v>
      </c>
      <c r="E14260" s="2" t="s">
        <v>2433</v>
      </c>
      <c r="F14260" s="2" t="s">
        <v>55791</v>
      </c>
      <c r="G14260" s="2" t="str">
        <f>"SR-21022"</f>
        <v>SR-21022</v>
      </c>
      <c r="H14260" s="2" t="s">
        <v>55792</v>
      </c>
      <c r="I14260" s="2" t="s">
        <v>55793</v>
      </c>
      <c r="K14260" s="2" t="s">
        <v>809</v>
      </c>
      <c r="L14260" s="2" t="s">
        <v>157</v>
      </c>
      <c r="M14260" s="2">
        <v>80918.0</v>
      </c>
      <c r="N14260" s="2" t="s">
        <v>21</v>
      </c>
    </row>
    <row r="14261" ht="15.75" customHeight="1">
      <c r="A14261" s="2">
        <v>2021.0</v>
      </c>
      <c r="B14261" s="2" t="s">
        <v>44096</v>
      </c>
      <c r="C14261" s="2" t="s">
        <v>55794</v>
      </c>
      <c r="D14261" s="2" t="str">
        <f>"7196514268"</f>
        <v>7196514268</v>
      </c>
      <c r="E14261" s="2" t="s">
        <v>2760</v>
      </c>
      <c r="F14261" s="2" t="s">
        <v>44098</v>
      </c>
      <c r="G14261" s="2" t="str">
        <f>"SR-21006"</f>
        <v>SR-21006</v>
      </c>
      <c r="H14261" s="2" t="s">
        <v>55795</v>
      </c>
      <c r="I14261" s="2" t="s">
        <v>44100</v>
      </c>
      <c r="K14261" s="2" t="s">
        <v>809</v>
      </c>
      <c r="L14261" s="2" t="s">
        <v>157</v>
      </c>
      <c r="M14261" s="2">
        <v>80919.0</v>
      </c>
      <c r="N14261" s="2" t="s">
        <v>21</v>
      </c>
    </row>
    <row r="14262" ht="15.75" customHeight="1">
      <c r="A14262" s="2">
        <v>2021.0</v>
      </c>
      <c r="B14262" s="2" t="s">
        <v>55796</v>
      </c>
      <c r="C14262" s="2" t="s">
        <v>55797</v>
      </c>
      <c r="D14262" s="2" t="str">
        <f t="shared" ref="D14262:D14263" si="242">"8638773283"</f>
        <v>8638773283</v>
      </c>
      <c r="E14262" s="2" t="s">
        <v>261</v>
      </c>
      <c r="F14262" s="2" t="s">
        <v>3283</v>
      </c>
      <c r="G14262" s="2" t="str">
        <f>"SR-20963"</f>
        <v>SR-20963</v>
      </c>
      <c r="H14262" s="2" t="s">
        <v>39412</v>
      </c>
      <c r="I14262" s="2" t="s">
        <v>55798</v>
      </c>
      <c r="K14262" s="2" t="s">
        <v>51717</v>
      </c>
      <c r="L14262" s="2" t="s">
        <v>208</v>
      </c>
      <c r="M14262" s="2">
        <v>33823.0</v>
      </c>
      <c r="N14262" s="2" t="s">
        <v>21</v>
      </c>
    </row>
    <row r="14263" ht="15.75" customHeight="1">
      <c r="A14263" s="2">
        <v>2021.0</v>
      </c>
      <c r="B14263" s="2" t="s">
        <v>55796</v>
      </c>
      <c r="C14263" s="2" t="s">
        <v>55799</v>
      </c>
      <c r="D14263" s="2" t="str">
        <f t="shared" si="242"/>
        <v>8638773283</v>
      </c>
      <c r="E14263" s="2" t="s">
        <v>1548</v>
      </c>
      <c r="F14263" s="2" t="s">
        <v>3283</v>
      </c>
      <c r="G14263" s="2" t="str">
        <f>"SR-20964"</f>
        <v>SR-20964</v>
      </c>
      <c r="H14263" s="2" t="s">
        <v>55800</v>
      </c>
      <c r="I14263" s="2" t="s">
        <v>55798</v>
      </c>
      <c r="K14263" s="2" t="s">
        <v>51717</v>
      </c>
      <c r="L14263" s="2" t="s">
        <v>208</v>
      </c>
      <c r="M14263" s="2">
        <v>33823.0</v>
      </c>
      <c r="N14263" s="2" t="s">
        <v>21</v>
      </c>
    </row>
    <row r="14264" ht="15.75" customHeight="1">
      <c r="A14264" s="2">
        <v>2021.0</v>
      </c>
      <c r="B14264" s="2" t="s">
        <v>55801</v>
      </c>
      <c r="C14264" s="2" t="s">
        <v>55802</v>
      </c>
      <c r="D14264" s="2" t="str">
        <f>"719-591-6073"</f>
        <v>719-591-6073</v>
      </c>
      <c r="E14264" s="2" t="s">
        <v>938</v>
      </c>
      <c r="F14264" s="2" t="s">
        <v>55803</v>
      </c>
      <c r="G14264" s="2" t="str">
        <f>"SR-21027"</f>
        <v>SR-21027</v>
      </c>
      <c r="H14264" s="2" t="s">
        <v>55804</v>
      </c>
      <c r="I14264" s="2" t="s">
        <v>55805</v>
      </c>
      <c r="K14264" s="2" t="s">
        <v>809</v>
      </c>
      <c r="L14264" s="2" t="s">
        <v>157</v>
      </c>
      <c r="M14264" s="2">
        <v>80917.0</v>
      </c>
      <c r="N14264" s="2" t="s">
        <v>21</v>
      </c>
    </row>
    <row r="14265" ht="15.75" customHeight="1">
      <c r="A14265" s="2">
        <v>2021.0</v>
      </c>
      <c r="B14265" s="2" t="s">
        <v>51295</v>
      </c>
      <c r="C14265" s="2" t="s">
        <v>55806</v>
      </c>
      <c r="D14265" s="2" t="str">
        <f>"6624011535"</f>
        <v>6624011535</v>
      </c>
      <c r="E14265" s="2" t="s">
        <v>28036</v>
      </c>
      <c r="F14265" s="2" t="s">
        <v>55807</v>
      </c>
      <c r="G14265" s="2" t="str">
        <f>"SR-21026"</f>
        <v>SR-21026</v>
      </c>
      <c r="H14265" s="2" t="s">
        <v>55808</v>
      </c>
      <c r="I14265" s="2" t="s">
        <v>55809</v>
      </c>
      <c r="K14265" s="2" t="s">
        <v>2432</v>
      </c>
      <c r="L14265" s="2" t="s">
        <v>1722</v>
      </c>
      <c r="M14265" s="2">
        <v>38801.0</v>
      </c>
      <c r="N14265" s="2" t="s">
        <v>21</v>
      </c>
    </row>
    <row r="14266" ht="15.75" customHeight="1">
      <c r="A14266" s="2">
        <v>2021.0</v>
      </c>
      <c r="B14266" s="2" t="s">
        <v>50934</v>
      </c>
      <c r="C14266" s="2" t="s">
        <v>50935</v>
      </c>
      <c r="D14266" s="2" t="str">
        <f>"3252488133"</f>
        <v>3252488133</v>
      </c>
      <c r="E14266" s="2" t="s">
        <v>2452</v>
      </c>
      <c r="F14266" s="2" t="s">
        <v>50936</v>
      </c>
      <c r="G14266" s="2" t="str">
        <f>"SR-18172"</f>
        <v>SR-18172</v>
      </c>
      <c r="H14266" s="2" t="s">
        <v>50937</v>
      </c>
      <c r="I14266" s="2" t="s">
        <v>50938</v>
      </c>
      <c r="J14266" s="2" t="s">
        <v>50939</v>
      </c>
      <c r="K14266" s="2" t="s">
        <v>38030</v>
      </c>
      <c r="L14266" s="2" t="s">
        <v>172</v>
      </c>
      <c r="M14266" s="2">
        <v>78643.0</v>
      </c>
      <c r="N14266" s="2" t="s">
        <v>21</v>
      </c>
    </row>
    <row r="14267" ht="15.75" customHeight="1">
      <c r="A14267" s="2">
        <v>2021.0</v>
      </c>
      <c r="B14267" s="2" t="s">
        <v>51490</v>
      </c>
      <c r="C14267" s="2" t="s">
        <v>51491</v>
      </c>
      <c r="D14267" s="2" t="str">
        <f>"3166219722"</f>
        <v>3166219722</v>
      </c>
      <c r="E14267" s="2" t="s">
        <v>2412</v>
      </c>
      <c r="F14267" s="2" t="s">
        <v>51492</v>
      </c>
      <c r="G14267" s="2" t="str">
        <f>"SR-18409"</f>
        <v>SR-18409</v>
      </c>
      <c r="H14267" s="2" t="s">
        <v>51493</v>
      </c>
      <c r="I14267" s="2" t="s">
        <v>51494</v>
      </c>
      <c r="K14267" s="2" t="s">
        <v>10124</v>
      </c>
      <c r="L14267" s="2" t="s">
        <v>272</v>
      </c>
      <c r="M14267" s="2">
        <v>67133.0</v>
      </c>
      <c r="N14267" s="2" t="s">
        <v>21</v>
      </c>
    </row>
    <row r="14268" ht="15.75" customHeight="1">
      <c r="A14268" s="2">
        <v>2021.0</v>
      </c>
      <c r="B14268" s="2" t="s">
        <v>49584</v>
      </c>
      <c r="C14268" s="2" t="s">
        <v>49585</v>
      </c>
      <c r="D14268" s="2" t="str">
        <f>"707-951-5776"</f>
        <v>707-951-5776</v>
      </c>
      <c r="E14268" s="2" t="s">
        <v>1803</v>
      </c>
      <c r="F14268" s="2" t="s">
        <v>690</v>
      </c>
      <c r="G14268" s="2" t="str">
        <f>"SR-17706"</f>
        <v>SR-17706</v>
      </c>
      <c r="H14268" s="2" t="s">
        <v>19152</v>
      </c>
      <c r="I14268" s="2" t="s">
        <v>49586</v>
      </c>
      <c r="J14268" s="2" t="s">
        <v>49587</v>
      </c>
      <c r="K14268" s="2" t="s">
        <v>49588</v>
      </c>
      <c r="L14268" s="2" t="s">
        <v>222</v>
      </c>
      <c r="M14268" s="2">
        <v>95543.0</v>
      </c>
      <c r="N14268" s="2" t="s">
        <v>21</v>
      </c>
    </row>
    <row r="14269" ht="15.75" customHeight="1">
      <c r="A14269" s="2">
        <v>2021.0</v>
      </c>
      <c r="B14269" s="2" t="s">
        <v>55810</v>
      </c>
      <c r="C14269" s="2" t="s">
        <v>55810</v>
      </c>
      <c r="D14269" s="2" t="str">
        <f>"8063469504"</f>
        <v>8063469504</v>
      </c>
      <c r="E14269" s="2" t="s">
        <v>55811</v>
      </c>
      <c r="F14269" s="2" t="s">
        <v>9115</v>
      </c>
      <c r="G14269" s="2" t="str">
        <f>"SR-21015"</f>
        <v>SR-21015</v>
      </c>
      <c r="H14269" s="2" t="s">
        <v>55812</v>
      </c>
      <c r="I14269" s="2" t="s">
        <v>55813</v>
      </c>
      <c r="K14269" s="2" t="s">
        <v>55814</v>
      </c>
      <c r="L14269" s="2" t="s">
        <v>172</v>
      </c>
      <c r="M14269" s="2">
        <v>79015.0</v>
      </c>
      <c r="N14269" s="2" t="s">
        <v>21</v>
      </c>
    </row>
    <row r="14270" ht="15.75" customHeight="1">
      <c r="A14270" s="2">
        <v>2021.0</v>
      </c>
      <c r="B14270" s="2" t="s">
        <v>55815</v>
      </c>
      <c r="C14270" s="2" t="s">
        <v>55816</v>
      </c>
      <c r="D14270" s="2" t="str">
        <f>"818-738-3899"</f>
        <v>818-738-3899</v>
      </c>
      <c r="E14270" s="2" t="s">
        <v>428</v>
      </c>
      <c r="F14270" s="2" t="s">
        <v>3893</v>
      </c>
      <c r="G14270" s="2" t="str">
        <f>"SR-21028"</f>
        <v>SR-21028</v>
      </c>
      <c r="H14270" s="2" t="s">
        <v>55817</v>
      </c>
      <c r="I14270" s="2" t="s">
        <v>55818</v>
      </c>
      <c r="J14270" s="2" t="s">
        <v>55819</v>
      </c>
      <c r="K14270" s="2" t="s">
        <v>55820</v>
      </c>
      <c r="L14270" s="2" t="s">
        <v>222</v>
      </c>
      <c r="M14270" s="2">
        <v>91505.0</v>
      </c>
      <c r="N14270" s="2" t="s">
        <v>21</v>
      </c>
    </row>
    <row r="14271" ht="15.75" customHeight="1">
      <c r="A14271" s="2">
        <v>2021.0</v>
      </c>
      <c r="B14271" s="2" t="s">
        <v>55105</v>
      </c>
      <c r="C14271" s="2" t="s">
        <v>55105</v>
      </c>
      <c r="D14271" s="2" t="str">
        <f>"5806512181"</f>
        <v>5806512181</v>
      </c>
      <c r="E14271" s="2" t="s">
        <v>2752</v>
      </c>
      <c r="F14271" s="2" t="s">
        <v>20629</v>
      </c>
      <c r="G14271" s="2" t="str">
        <f>"SR-20550"</f>
        <v>SR-20550</v>
      </c>
      <c r="H14271" s="2" t="s">
        <v>55106</v>
      </c>
      <c r="I14271" s="2" t="s">
        <v>55107</v>
      </c>
      <c r="K14271" s="2" t="s">
        <v>55108</v>
      </c>
      <c r="L14271" s="2" t="s">
        <v>840</v>
      </c>
      <c r="M14271" s="2">
        <v>73942.0</v>
      </c>
      <c r="N14271" s="2" t="s">
        <v>21</v>
      </c>
    </row>
    <row r="14272" ht="15.75" customHeight="1">
      <c r="A14272" s="2">
        <v>2021.0</v>
      </c>
      <c r="B14272" s="2" t="s">
        <v>55105</v>
      </c>
      <c r="C14272" s="2" t="s">
        <v>55105</v>
      </c>
      <c r="D14272" s="2" t="str">
        <f>"5806512190"</f>
        <v>5806512190</v>
      </c>
      <c r="E14272" s="2" t="s">
        <v>9390</v>
      </c>
      <c r="F14272" s="2" t="s">
        <v>20629</v>
      </c>
      <c r="G14272" s="2" t="str">
        <f>"SR-21030"</f>
        <v>SR-21030</v>
      </c>
      <c r="H14272" s="2" t="s">
        <v>54793</v>
      </c>
      <c r="I14272" s="2" t="s">
        <v>55821</v>
      </c>
      <c r="K14272" s="2" t="s">
        <v>55108</v>
      </c>
      <c r="L14272" s="2" t="s">
        <v>840</v>
      </c>
      <c r="M14272" s="2">
        <v>73942.0</v>
      </c>
      <c r="N14272" s="2" t="s">
        <v>21</v>
      </c>
    </row>
    <row r="14273" ht="15.75" customHeight="1">
      <c r="A14273" s="2">
        <v>2021.0</v>
      </c>
      <c r="B14273" s="2" t="s">
        <v>55105</v>
      </c>
      <c r="C14273" s="2" t="s">
        <v>55105</v>
      </c>
      <c r="D14273" s="2" t="str">
        <f>"5806512187"</f>
        <v>5806512187</v>
      </c>
      <c r="E14273" s="2" t="s">
        <v>651</v>
      </c>
      <c r="F14273" s="2" t="s">
        <v>20629</v>
      </c>
      <c r="G14273" s="2" t="str">
        <f>"SR-21032"</f>
        <v>SR-21032</v>
      </c>
      <c r="H14273" s="2" t="s">
        <v>55822</v>
      </c>
      <c r="I14273" s="2" t="s">
        <v>55821</v>
      </c>
      <c r="K14273" s="2" t="s">
        <v>55108</v>
      </c>
      <c r="L14273" s="2" t="s">
        <v>840</v>
      </c>
      <c r="M14273" s="2">
        <v>73942.0</v>
      </c>
      <c r="N14273" s="2" t="s">
        <v>21</v>
      </c>
    </row>
    <row r="14274" ht="15.75" customHeight="1">
      <c r="A14274" s="2">
        <v>2021.0</v>
      </c>
      <c r="B14274" s="2" t="s">
        <v>53371</v>
      </c>
      <c r="C14274" s="2" t="s">
        <v>53372</v>
      </c>
      <c r="D14274" s="2" t="str">
        <f>"3194315933"</f>
        <v>3194315933</v>
      </c>
      <c r="E14274" s="2" t="s">
        <v>9707</v>
      </c>
      <c r="F14274" s="2" t="s">
        <v>3995</v>
      </c>
      <c r="G14274" s="2" t="str">
        <f>"SR-19181"</f>
        <v>SR-19181</v>
      </c>
      <c r="H14274" s="2" t="s">
        <v>53373</v>
      </c>
      <c r="I14274" s="2" t="s">
        <v>53374</v>
      </c>
      <c r="K14274" s="2" t="s">
        <v>3493</v>
      </c>
      <c r="L14274" s="2" t="s">
        <v>560</v>
      </c>
      <c r="M14274" s="2">
        <v>52302.0</v>
      </c>
      <c r="N14274" s="2" t="s">
        <v>21</v>
      </c>
    </row>
    <row r="14275" ht="15.75" customHeight="1">
      <c r="A14275" s="2">
        <v>2021.0</v>
      </c>
      <c r="B14275" s="2" t="s">
        <v>55823</v>
      </c>
      <c r="C14275" s="2" t="s">
        <v>55824</v>
      </c>
      <c r="D14275" s="2" t="str">
        <f>"3172201340"</f>
        <v>3172201340</v>
      </c>
      <c r="E14275" s="2" t="s">
        <v>955</v>
      </c>
      <c r="F14275" s="2" t="s">
        <v>1756</v>
      </c>
      <c r="G14275" s="2" t="str">
        <f>"SR-21005"</f>
        <v>SR-21005</v>
      </c>
      <c r="H14275" s="2" t="s">
        <v>55825</v>
      </c>
      <c r="I14275" s="2" t="s">
        <v>55826</v>
      </c>
      <c r="K14275" s="2" t="s">
        <v>1188</v>
      </c>
      <c r="L14275" s="2" t="s">
        <v>149</v>
      </c>
      <c r="M14275" s="2">
        <v>46220.0</v>
      </c>
      <c r="N14275" s="2" t="s">
        <v>21</v>
      </c>
    </row>
    <row r="14276" ht="15.75" customHeight="1">
      <c r="A14276" s="2">
        <v>2021.0</v>
      </c>
      <c r="B14276" s="2" t="s">
        <v>49530</v>
      </c>
      <c r="C14276" s="2" t="s">
        <v>49530</v>
      </c>
      <c r="D14276" s="2" t="str">
        <f>"8069399084"</f>
        <v>8069399084</v>
      </c>
      <c r="E14276" s="2" t="s">
        <v>2162</v>
      </c>
      <c r="F14276" s="2" t="s">
        <v>2906</v>
      </c>
      <c r="G14276" s="2" t="str">
        <f>"SR-17663"</f>
        <v>SR-17663</v>
      </c>
      <c r="H14276" s="2" t="s">
        <v>49531</v>
      </c>
      <c r="I14276" s="2" t="s">
        <v>49532</v>
      </c>
      <c r="K14276" s="2" t="s">
        <v>1121</v>
      </c>
      <c r="L14276" s="2" t="s">
        <v>172</v>
      </c>
      <c r="M14276" s="2">
        <v>79423.0</v>
      </c>
      <c r="N14276" s="2" t="s">
        <v>21</v>
      </c>
    </row>
    <row r="14277" ht="15.75" customHeight="1">
      <c r="A14277" s="2">
        <v>2021.0</v>
      </c>
      <c r="B14277" s="2" t="s">
        <v>49352</v>
      </c>
      <c r="C14277" s="2" t="s">
        <v>49353</v>
      </c>
      <c r="D14277" s="2" t="str">
        <f>"3096219902"</f>
        <v>3096219902</v>
      </c>
      <c r="E14277" s="2" t="s">
        <v>217</v>
      </c>
      <c r="F14277" s="2" t="s">
        <v>5281</v>
      </c>
      <c r="G14277" s="2" t="str">
        <f>"SR-17572"</f>
        <v>SR-17572</v>
      </c>
      <c r="H14277" s="2" t="s">
        <v>49354</v>
      </c>
      <c r="I14277" s="2" t="s">
        <v>49355</v>
      </c>
      <c r="K14277" s="2" t="s">
        <v>2533</v>
      </c>
      <c r="L14277" s="2" t="s">
        <v>105</v>
      </c>
      <c r="M14277" s="2">
        <v>61547.0</v>
      </c>
      <c r="N14277" s="2" t="s">
        <v>21</v>
      </c>
    </row>
    <row r="14278" ht="15.75" customHeight="1">
      <c r="A14278" s="2">
        <v>2021.0</v>
      </c>
      <c r="B14278" s="2" t="s">
        <v>49352</v>
      </c>
      <c r="C14278" s="2" t="s">
        <v>55827</v>
      </c>
      <c r="D14278" s="2" t="str">
        <f>"3093636001"</f>
        <v>3093636001</v>
      </c>
      <c r="E14278" s="2" t="s">
        <v>15</v>
      </c>
      <c r="F14278" s="2" t="s">
        <v>5281</v>
      </c>
      <c r="G14278" s="2" t="str">
        <f>"SR-21039"</f>
        <v>SR-21039</v>
      </c>
      <c r="H14278" s="2" t="s">
        <v>55828</v>
      </c>
      <c r="I14278" s="2" t="s">
        <v>49355</v>
      </c>
      <c r="K14278" s="2" t="s">
        <v>2533</v>
      </c>
      <c r="L14278" s="2" t="s">
        <v>105</v>
      </c>
      <c r="M14278" s="2">
        <v>61547.0</v>
      </c>
      <c r="N14278" s="2" t="s">
        <v>21</v>
      </c>
    </row>
    <row r="14279" ht="15.75" customHeight="1">
      <c r="A14279" s="2">
        <v>2021.0</v>
      </c>
      <c r="B14279" s="2" t="s">
        <v>55829</v>
      </c>
      <c r="C14279" s="2" t="s">
        <v>55830</v>
      </c>
      <c r="D14279" s="2" t="str">
        <f>"(602)686-0196"</f>
        <v>(602)686-0196</v>
      </c>
      <c r="E14279" s="2" t="s">
        <v>7476</v>
      </c>
      <c r="F14279" s="2" t="s">
        <v>55831</v>
      </c>
      <c r="G14279" s="2" t="str">
        <f>"SR-20913"</f>
        <v>SR-20913</v>
      </c>
      <c r="H14279" s="2" t="s">
        <v>55832</v>
      </c>
      <c r="I14279" s="2" t="s">
        <v>55833</v>
      </c>
      <c r="K14279" s="2" t="s">
        <v>1133</v>
      </c>
      <c r="L14279" s="2" t="s">
        <v>422</v>
      </c>
      <c r="M14279" s="2">
        <v>85306.0</v>
      </c>
      <c r="N14279" s="2" t="s">
        <v>21</v>
      </c>
    </row>
    <row r="14280" ht="15.75" customHeight="1">
      <c r="A14280" s="2">
        <v>2021.0</v>
      </c>
      <c r="B14280" s="2" t="s">
        <v>55829</v>
      </c>
      <c r="C14280" s="2" t="s">
        <v>55834</v>
      </c>
      <c r="D14280" s="2" t="str">
        <f>"(480) 492-2354"</f>
        <v>(480) 492-2354</v>
      </c>
      <c r="E14280" s="2" t="s">
        <v>1150</v>
      </c>
      <c r="F14280" s="2" t="s">
        <v>55831</v>
      </c>
      <c r="G14280" s="2" t="str">
        <f>"SR-21040"</f>
        <v>SR-21040</v>
      </c>
      <c r="H14280" s="2" t="s">
        <v>55835</v>
      </c>
      <c r="I14280" s="2" t="s">
        <v>55833</v>
      </c>
      <c r="K14280" s="2" t="s">
        <v>1133</v>
      </c>
      <c r="L14280" s="2" t="s">
        <v>422</v>
      </c>
      <c r="M14280" s="2">
        <v>85306.0</v>
      </c>
      <c r="N14280" s="2" t="s">
        <v>21</v>
      </c>
    </row>
    <row r="14281" ht="15.75" customHeight="1">
      <c r="A14281" s="2">
        <v>2021.0</v>
      </c>
      <c r="B14281" s="2" t="s">
        <v>38640</v>
      </c>
      <c r="C14281" s="2" t="s">
        <v>49984</v>
      </c>
      <c r="D14281" s="2" t="str">
        <f>"940-595-1468"</f>
        <v>940-595-1468</v>
      </c>
      <c r="E14281" s="2" t="s">
        <v>20541</v>
      </c>
      <c r="F14281" s="2" t="s">
        <v>22911</v>
      </c>
      <c r="G14281" s="2" t="str">
        <f>"SR-17856"</f>
        <v>SR-17856</v>
      </c>
      <c r="H14281" s="2" t="s">
        <v>49985</v>
      </c>
      <c r="I14281" s="2" t="s">
        <v>38643</v>
      </c>
      <c r="K14281" s="2" t="s">
        <v>24245</v>
      </c>
      <c r="L14281" s="2" t="s">
        <v>172</v>
      </c>
      <c r="M14281" s="2">
        <v>76210.0</v>
      </c>
      <c r="N14281" s="2" t="s">
        <v>21</v>
      </c>
    </row>
    <row r="14282" ht="15.75" customHeight="1">
      <c r="A14282" s="2">
        <v>2021.0</v>
      </c>
      <c r="B14282" s="2" t="s">
        <v>50143</v>
      </c>
      <c r="D14282" s="2" t="str">
        <f>""</f>
        <v/>
      </c>
      <c r="E14282" s="2" t="s">
        <v>1094</v>
      </c>
      <c r="F14282" s="2" t="s">
        <v>4148</v>
      </c>
      <c r="G14282" s="2" t="str">
        <f>"SR-17911"</f>
        <v>SR-17911</v>
      </c>
      <c r="H14282" s="2" t="s">
        <v>50144</v>
      </c>
      <c r="N14282" s="2" t="s">
        <v>21</v>
      </c>
    </row>
    <row r="14283" ht="15.75" customHeight="1">
      <c r="A14283" s="2">
        <v>2021.0</v>
      </c>
      <c r="B14283" s="2" t="s">
        <v>55291</v>
      </c>
      <c r="C14283" s="2" t="s">
        <v>55291</v>
      </c>
      <c r="D14283" s="2" t="str">
        <f>"(970)690-5862"</f>
        <v>(970)690-5862</v>
      </c>
      <c r="E14283" s="2" t="s">
        <v>1964</v>
      </c>
      <c r="F14283" s="2" t="s">
        <v>55292</v>
      </c>
      <c r="G14283" s="2" t="str">
        <f>"SR-18972"</f>
        <v>SR-18972</v>
      </c>
      <c r="H14283" s="2" t="s">
        <v>55293</v>
      </c>
      <c r="I14283" s="2" t="s">
        <v>55294</v>
      </c>
      <c r="K14283" s="2" t="s">
        <v>1632</v>
      </c>
      <c r="L14283" s="2" t="s">
        <v>157</v>
      </c>
      <c r="M14283" s="2">
        <v>80550.0</v>
      </c>
      <c r="N14283" s="2" t="s">
        <v>21</v>
      </c>
    </row>
    <row r="14284" ht="15.75" customHeight="1">
      <c r="A14284" s="2">
        <v>2021.0</v>
      </c>
      <c r="B14284" s="2" t="s">
        <v>52279</v>
      </c>
      <c r="C14284" s="2" t="s">
        <v>52280</v>
      </c>
      <c r="D14284" s="2" t="str">
        <f>"3198210744"</f>
        <v>3198210744</v>
      </c>
      <c r="E14284" s="2" t="s">
        <v>373</v>
      </c>
      <c r="F14284" s="2" t="s">
        <v>52281</v>
      </c>
      <c r="G14284" s="2" t="str">
        <f>"SR-18669"</f>
        <v>SR-18669</v>
      </c>
      <c r="H14284" s="2" t="s">
        <v>52282</v>
      </c>
      <c r="I14284" s="2" t="s">
        <v>52283</v>
      </c>
      <c r="K14284" s="2" t="s">
        <v>13353</v>
      </c>
      <c r="L14284" s="2" t="s">
        <v>560</v>
      </c>
      <c r="M14284" s="2">
        <v>52761.0</v>
      </c>
      <c r="N14284" s="2" t="s">
        <v>21</v>
      </c>
    </row>
    <row r="14285" ht="15.75" customHeight="1">
      <c r="A14285" s="2">
        <v>2021.0</v>
      </c>
      <c r="B14285" s="2" t="s">
        <v>55836</v>
      </c>
      <c r="C14285" s="2" t="s">
        <v>55837</v>
      </c>
      <c r="D14285" s="2" t="str">
        <f>"9106320453"</f>
        <v>9106320453</v>
      </c>
      <c r="E14285" s="2" t="s">
        <v>2162</v>
      </c>
      <c r="F14285" s="2" t="s">
        <v>55838</v>
      </c>
      <c r="G14285" s="2" t="str">
        <f>"SR-21050"</f>
        <v>SR-21050</v>
      </c>
      <c r="H14285" s="2" t="s">
        <v>55839</v>
      </c>
      <c r="I14285" s="2" t="s">
        <v>55840</v>
      </c>
      <c r="K14285" s="2" t="s">
        <v>11784</v>
      </c>
      <c r="L14285" s="2" t="s">
        <v>20</v>
      </c>
      <c r="M14285" s="2">
        <v>28409.0</v>
      </c>
      <c r="N14285" s="2" t="s">
        <v>21</v>
      </c>
    </row>
    <row r="14286" ht="15.75" customHeight="1">
      <c r="A14286" s="2">
        <v>2021.0</v>
      </c>
      <c r="B14286" s="2" t="s">
        <v>55841</v>
      </c>
      <c r="C14286" s="2" t="s">
        <v>55842</v>
      </c>
      <c r="D14286" s="2" t="str">
        <f>"2609200748"</f>
        <v>2609200748</v>
      </c>
      <c r="E14286" s="2" t="s">
        <v>6170</v>
      </c>
      <c r="F14286" s="2" t="s">
        <v>5506</v>
      </c>
      <c r="G14286" s="2" t="str">
        <f>"SR-21051"</f>
        <v>SR-21051</v>
      </c>
      <c r="H14286" s="2" t="s">
        <v>55843</v>
      </c>
      <c r="I14286" s="2" t="s">
        <v>55844</v>
      </c>
      <c r="K14286" s="2" t="s">
        <v>54657</v>
      </c>
      <c r="L14286" s="2" t="s">
        <v>149</v>
      </c>
      <c r="M14286" s="2">
        <v>46788.0</v>
      </c>
      <c r="N14286" s="2" t="s">
        <v>21</v>
      </c>
    </row>
    <row r="14287" ht="15.75" customHeight="1">
      <c r="A14287" s="2">
        <v>2021.0</v>
      </c>
      <c r="B14287" s="2" t="s">
        <v>44082</v>
      </c>
      <c r="C14287" s="2" t="s">
        <v>44083</v>
      </c>
      <c r="D14287" s="2" t="str">
        <f>"4077395983"</f>
        <v>4077395983</v>
      </c>
      <c r="E14287" s="2" t="s">
        <v>24169</v>
      </c>
      <c r="F14287" s="2" t="s">
        <v>44084</v>
      </c>
      <c r="G14287" s="2" t="str">
        <f>"SR-15519"</f>
        <v>SR-15519</v>
      </c>
      <c r="H14287" s="2" t="s">
        <v>44085</v>
      </c>
      <c r="I14287" s="2" t="s">
        <v>44086</v>
      </c>
      <c r="K14287" s="2" t="s">
        <v>2405</v>
      </c>
      <c r="L14287" s="2" t="s">
        <v>20</v>
      </c>
      <c r="M14287" s="2">
        <v>28012.0</v>
      </c>
      <c r="N14287" s="2" t="s">
        <v>21</v>
      </c>
    </row>
    <row r="14288" ht="15.75" customHeight="1">
      <c r="A14288" s="2">
        <v>2021.0</v>
      </c>
      <c r="B14288" s="2" t="s">
        <v>49356</v>
      </c>
      <c r="C14288" s="2" t="s">
        <v>49357</v>
      </c>
      <c r="D14288" s="2" t="str">
        <f>"(719) 396-9420"</f>
        <v>(719) 396-9420</v>
      </c>
      <c r="E14288" s="2" t="s">
        <v>217</v>
      </c>
      <c r="F14288" s="2" t="s">
        <v>49358</v>
      </c>
      <c r="G14288" s="2" t="str">
        <f>"SR-17573"</f>
        <v>SR-17573</v>
      </c>
      <c r="H14288" s="2" t="s">
        <v>49359</v>
      </c>
      <c r="I14288" s="2" t="s">
        <v>49360</v>
      </c>
      <c r="J14288" s="2" t="s">
        <v>49361</v>
      </c>
      <c r="K14288" s="2" t="s">
        <v>9975</v>
      </c>
      <c r="L14288" s="2" t="s">
        <v>172</v>
      </c>
      <c r="M14288" s="2">
        <v>76227.0</v>
      </c>
      <c r="N14288" s="2" t="s">
        <v>21</v>
      </c>
    </row>
    <row r="14289" ht="15.75" customHeight="1">
      <c r="A14289" s="2">
        <v>2021.0</v>
      </c>
      <c r="B14289" s="2" t="s">
        <v>55845</v>
      </c>
      <c r="C14289" s="2" t="s">
        <v>55845</v>
      </c>
      <c r="D14289" s="2" t="str">
        <f>"719 306 5774"</f>
        <v>719 306 5774</v>
      </c>
      <c r="E14289" s="2" t="s">
        <v>4401</v>
      </c>
      <c r="F14289" s="2" t="s">
        <v>1243</v>
      </c>
      <c r="G14289" s="2" t="str">
        <f>"SR-21053"</f>
        <v>SR-21053</v>
      </c>
      <c r="H14289" s="2" t="s">
        <v>52194</v>
      </c>
      <c r="I14289" s="2" t="s">
        <v>52195</v>
      </c>
      <c r="K14289" s="2" t="s">
        <v>809</v>
      </c>
      <c r="L14289" s="2" t="s">
        <v>157</v>
      </c>
      <c r="M14289" s="2">
        <v>80917.0</v>
      </c>
      <c r="N14289" s="2" t="s">
        <v>21</v>
      </c>
    </row>
    <row r="14290" ht="15.75" customHeight="1">
      <c r="A14290" s="2">
        <v>2021.0</v>
      </c>
      <c r="B14290" s="2" t="s">
        <v>44644</v>
      </c>
      <c r="C14290" s="2" t="s">
        <v>55846</v>
      </c>
      <c r="D14290" s="2" t="str">
        <f>"612-900-4095"</f>
        <v>612-900-4095</v>
      </c>
      <c r="E14290" s="2" t="s">
        <v>651</v>
      </c>
      <c r="F14290" s="2" t="s">
        <v>2328</v>
      </c>
      <c r="G14290" s="2" t="str">
        <f>"SR-21054"</f>
        <v>SR-21054</v>
      </c>
      <c r="H14290" s="2" t="s">
        <v>55847</v>
      </c>
      <c r="I14290" s="2" t="s">
        <v>2330</v>
      </c>
      <c r="K14290" s="2" t="s">
        <v>1490</v>
      </c>
      <c r="L14290" s="2" t="s">
        <v>62</v>
      </c>
      <c r="M14290" s="2">
        <v>55347.0</v>
      </c>
      <c r="N14290" s="2" t="s">
        <v>21</v>
      </c>
    </row>
    <row r="14291" ht="15.75" customHeight="1">
      <c r="A14291" s="2">
        <v>2021.0</v>
      </c>
      <c r="B14291" s="2" t="s">
        <v>55848</v>
      </c>
      <c r="C14291" s="2" t="s">
        <v>55848</v>
      </c>
      <c r="D14291" s="2" t="str">
        <f>"303-515-9236"</f>
        <v>303-515-9236</v>
      </c>
      <c r="E14291" s="2" t="s">
        <v>7543</v>
      </c>
      <c r="F14291" s="2" t="s">
        <v>55849</v>
      </c>
      <c r="G14291" s="2" t="str">
        <f>"SR-21059"</f>
        <v>SR-21059</v>
      </c>
      <c r="H14291" s="2" t="s">
        <v>55850</v>
      </c>
      <c r="I14291" s="2" t="s">
        <v>55851</v>
      </c>
      <c r="K14291" s="2" t="s">
        <v>1502</v>
      </c>
      <c r="L14291" s="2" t="s">
        <v>157</v>
      </c>
      <c r="M14291" s="2">
        <v>80005.0</v>
      </c>
      <c r="N14291" s="2" t="s">
        <v>21</v>
      </c>
    </row>
    <row r="14292" ht="15.75" customHeight="1">
      <c r="A14292" s="2">
        <v>2021.0</v>
      </c>
      <c r="B14292" s="2" t="s">
        <v>55852</v>
      </c>
      <c r="C14292" s="2" t="s">
        <v>55853</v>
      </c>
      <c r="D14292" s="2" t="str">
        <f>"4697158696"</f>
        <v>4697158696</v>
      </c>
      <c r="E14292" s="2" t="s">
        <v>4224</v>
      </c>
      <c r="F14292" s="2" t="s">
        <v>55854</v>
      </c>
      <c r="G14292" s="2" t="str">
        <f>"SR-21060"</f>
        <v>SR-21060</v>
      </c>
      <c r="H14292" s="2" t="s">
        <v>55855</v>
      </c>
      <c r="I14292" s="2" t="s">
        <v>55856</v>
      </c>
      <c r="K14292" s="2" t="s">
        <v>8398</v>
      </c>
      <c r="L14292" s="2" t="s">
        <v>172</v>
      </c>
      <c r="M14292" s="2">
        <v>75078.0</v>
      </c>
      <c r="N14292" s="2" t="s">
        <v>21</v>
      </c>
    </row>
    <row r="14293" ht="15.75" customHeight="1">
      <c r="A14293" s="2">
        <v>2021.0</v>
      </c>
      <c r="B14293" s="2" t="s">
        <v>31607</v>
      </c>
      <c r="C14293" s="2" t="s">
        <v>44935</v>
      </c>
      <c r="D14293" s="2" t="str">
        <f>"4696495466"</f>
        <v>4696495466</v>
      </c>
      <c r="E14293" s="2" t="s">
        <v>301</v>
      </c>
      <c r="F14293" s="2" t="s">
        <v>615</v>
      </c>
      <c r="G14293" s="2" t="str">
        <f>"SR-21061"</f>
        <v>SR-21061</v>
      </c>
      <c r="H14293" s="2" t="s">
        <v>44936</v>
      </c>
      <c r="I14293" s="2" t="s">
        <v>55857</v>
      </c>
      <c r="K14293" s="2" t="s">
        <v>4079</v>
      </c>
      <c r="L14293" s="2" t="s">
        <v>172</v>
      </c>
      <c r="M14293" s="2">
        <v>75043.0</v>
      </c>
      <c r="N14293" s="2" t="s">
        <v>21</v>
      </c>
    </row>
    <row r="14294" ht="15.75" customHeight="1">
      <c r="A14294" s="2">
        <v>2021.0</v>
      </c>
      <c r="B14294" s="2" t="s">
        <v>31607</v>
      </c>
      <c r="C14294" s="2" t="s">
        <v>55858</v>
      </c>
      <c r="D14294" s="2" t="str">
        <f>"469-910-4886"</f>
        <v>469-910-4886</v>
      </c>
      <c r="E14294" s="2" t="s">
        <v>453</v>
      </c>
      <c r="F14294" s="2" t="s">
        <v>615</v>
      </c>
      <c r="G14294" s="2" t="str">
        <f>"SR-21062"</f>
        <v>SR-21062</v>
      </c>
      <c r="H14294" s="2" t="s">
        <v>55859</v>
      </c>
      <c r="I14294" s="2" t="s">
        <v>55857</v>
      </c>
      <c r="K14294" s="2" t="s">
        <v>4079</v>
      </c>
      <c r="L14294" s="2" t="s">
        <v>172</v>
      </c>
      <c r="M14294" s="2">
        <v>75043.0</v>
      </c>
      <c r="N14294" s="2" t="s">
        <v>21</v>
      </c>
    </row>
    <row r="14295" ht="15.75" customHeight="1">
      <c r="A14295" s="2">
        <v>2021.0</v>
      </c>
      <c r="B14295" s="2" t="s">
        <v>55860</v>
      </c>
      <c r="C14295" s="2" t="s">
        <v>55861</v>
      </c>
      <c r="D14295" s="2" t="str">
        <f>"5085990348"</f>
        <v>5085990348</v>
      </c>
      <c r="E14295" s="2" t="s">
        <v>2930</v>
      </c>
      <c r="F14295" s="2" t="s">
        <v>55862</v>
      </c>
      <c r="G14295" s="2" t="str">
        <f>"SR-21064"</f>
        <v>SR-21064</v>
      </c>
      <c r="H14295" s="2" t="s">
        <v>55863</v>
      </c>
      <c r="I14295" s="2" t="s">
        <v>55864</v>
      </c>
      <c r="K14295" s="2" t="s">
        <v>55865</v>
      </c>
      <c r="L14295" s="2" t="s">
        <v>4108</v>
      </c>
      <c r="M14295" s="2">
        <v>1748.0</v>
      </c>
      <c r="N14295" s="2" t="s">
        <v>21</v>
      </c>
    </row>
    <row r="14296" ht="15.75" customHeight="1">
      <c r="A14296" s="2">
        <v>2021.0</v>
      </c>
      <c r="B14296" s="2" t="s">
        <v>55866</v>
      </c>
      <c r="C14296" s="2" t="s">
        <v>55866</v>
      </c>
      <c r="D14296" s="2" t="str">
        <f>"7196486258"</f>
        <v>7196486258</v>
      </c>
      <c r="E14296" s="2" t="s">
        <v>4787</v>
      </c>
      <c r="F14296" s="2" t="s">
        <v>55867</v>
      </c>
      <c r="G14296" s="2" t="str">
        <f>"SR-20770"</f>
        <v>SR-20770</v>
      </c>
      <c r="H14296" s="2" t="s">
        <v>55868</v>
      </c>
      <c r="I14296" s="2" t="s">
        <v>55869</v>
      </c>
      <c r="K14296" s="2" t="s">
        <v>809</v>
      </c>
      <c r="L14296" s="2" t="s">
        <v>157</v>
      </c>
      <c r="M14296" s="2">
        <v>80918.0</v>
      </c>
      <c r="N14296" s="2" t="s">
        <v>21</v>
      </c>
    </row>
    <row r="14297" ht="15.75" customHeight="1">
      <c r="A14297" s="2">
        <v>2021.0</v>
      </c>
      <c r="B14297" s="2" t="s">
        <v>41960</v>
      </c>
      <c r="C14297" s="2" t="s">
        <v>49441</v>
      </c>
      <c r="D14297" s="2" t="str">
        <f>"7196513055"</f>
        <v>7196513055</v>
      </c>
      <c r="E14297" s="2" t="s">
        <v>23409</v>
      </c>
      <c r="F14297" s="2" t="s">
        <v>41962</v>
      </c>
      <c r="G14297" s="2" t="str">
        <f>"SR-17610"</f>
        <v>SR-17610</v>
      </c>
      <c r="H14297" s="2" t="s">
        <v>49442</v>
      </c>
      <c r="I14297" s="2" t="s">
        <v>41964</v>
      </c>
      <c r="K14297" s="2" t="s">
        <v>809</v>
      </c>
      <c r="L14297" s="2" t="s">
        <v>157</v>
      </c>
      <c r="M14297" s="2">
        <v>80909.0</v>
      </c>
      <c r="N14297" s="2" t="s">
        <v>21</v>
      </c>
    </row>
    <row r="14298" ht="15.75" customHeight="1">
      <c r="A14298" s="2">
        <v>2021.0</v>
      </c>
      <c r="B14298" s="2" t="s">
        <v>48317</v>
      </c>
      <c r="C14298" s="2" t="s">
        <v>48318</v>
      </c>
      <c r="D14298" s="2" t="str">
        <f>"8162883362"</f>
        <v>8162883362</v>
      </c>
      <c r="E14298" s="2" t="s">
        <v>843</v>
      </c>
      <c r="F14298" s="2" t="s">
        <v>48319</v>
      </c>
      <c r="G14298" s="2" t="str">
        <f>"SR-16815"</f>
        <v>SR-16815</v>
      </c>
      <c r="H14298" s="2" t="s">
        <v>48320</v>
      </c>
      <c r="I14298" s="2" t="s">
        <v>48321</v>
      </c>
      <c r="K14298" s="2" t="s">
        <v>13774</v>
      </c>
      <c r="L14298" s="2" t="s">
        <v>214</v>
      </c>
      <c r="M14298" s="2">
        <v>64030.0</v>
      </c>
      <c r="N14298" s="2" t="s">
        <v>21</v>
      </c>
    </row>
    <row r="14299" ht="15.75" customHeight="1">
      <c r="A14299" s="2">
        <v>2021.0</v>
      </c>
      <c r="B14299" s="2" t="s">
        <v>48317</v>
      </c>
      <c r="C14299" s="2" t="s">
        <v>55870</v>
      </c>
      <c r="D14299" s="2" t="str">
        <f>"816.237.6871"</f>
        <v>816.237.6871</v>
      </c>
      <c r="E14299" s="2" t="s">
        <v>678</v>
      </c>
      <c r="F14299" s="2" t="s">
        <v>48319</v>
      </c>
      <c r="G14299" s="2" t="str">
        <f>"SR-21066"</f>
        <v>SR-21066</v>
      </c>
      <c r="H14299" s="2" t="s">
        <v>55871</v>
      </c>
      <c r="I14299" s="2" t="s">
        <v>48321</v>
      </c>
      <c r="K14299" s="2" t="s">
        <v>13774</v>
      </c>
      <c r="L14299" s="2" t="s">
        <v>214</v>
      </c>
      <c r="M14299" s="2">
        <v>64030.0</v>
      </c>
      <c r="N14299" s="2" t="s">
        <v>21</v>
      </c>
    </row>
    <row r="14300" ht="15.75" customHeight="1">
      <c r="A14300" s="2">
        <v>2021.0</v>
      </c>
      <c r="B14300" s="2" t="s">
        <v>55872</v>
      </c>
      <c r="C14300" s="2" t="s">
        <v>55872</v>
      </c>
      <c r="D14300" s="2" t="str">
        <f>"6169903929"</f>
        <v>6169903929</v>
      </c>
      <c r="E14300" s="2" t="s">
        <v>1702</v>
      </c>
      <c r="F14300" s="2" t="s">
        <v>55873</v>
      </c>
      <c r="G14300" s="2" t="str">
        <f>"SR-21068"</f>
        <v>SR-21068</v>
      </c>
      <c r="H14300" s="2" t="s">
        <v>55874</v>
      </c>
      <c r="I14300" s="2" t="s">
        <v>55875</v>
      </c>
      <c r="K14300" s="2" t="s">
        <v>4869</v>
      </c>
      <c r="L14300" s="2" t="s">
        <v>29</v>
      </c>
      <c r="M14300" s="2">
        <v>49464.0</v>
      </c>
      <c r="N14300" s="2" t="s">
        <v>21</v>
      </c>
    </row>
    <row r="14301" ht="15.75" customHeight="1">
      <c r="A14301" s="2">
        <v>2021.0</v>
      </c>
      <c r="B14301" s="2" t="s">
        <v>55876</v>
      </c>
      <c r="C14301" s="2" t="s">
        <v>55877</v>
      </c>
      <c r="D14301" s="2" t="str">
        <f>"954-994-5866"</f>
        <v>954-994-5866</v>
      </c>
      <c r="E14301" s="2" t="s">
        <v>1094</v>
      </c>
      <c r="F14301" s="2" t="s">
        <v>50284</v>
      </c>
      <c r="G14301" s="2" t="str">
        <f>"SR-21067"</f>
        <v>SR-21067</v>
      </c>
      <c r="H14301" s="2" t="s">
        <v>55878</v>
      </c>
      <c r="I14301" s="2" t="s">
        <v>55879</v>
      </c>
      <c r="K14301" s="2" t="s">
        <v>55880</v>
      </c>
      <c r="L14301" s="2" t="s">
        <v>208</v>
      </c>
      <c r="M14301" s="2">
        <v>33321.0</v>
      </c>
      <c r="N14301" s="2" t="s">
        <v>21</v>
      </c>
    </row>
    <row r="14302" ht="15.75" customHeight="1">
      <c r="A14302" s="2">
        <v>2021.0</v>
      </c>
      <c r="B14302" s="2" t="s">
        <v>55881</v>
      </c>
      <c r="C14302" s="2" t="s">
        <v>55882</v>
      </c>
      <c r="D14302" s="2" t="str">
        <f>"9549957274"</f>
        <v>9549957274</v>
      </c>
      <c r="E14302" s="2" t="s">
        <v>8378</v>
      </c>
      <c r="F14302" s="2" t="s">
        <v>55883</v>
      </c>
      <c r="G14302" s="2" t="str">
        <f>"SR-21069"</f>
        <v>SR-21069</v>
      </c>
      <c r="H14302" s="2" t="s">
        <v>55884</v>
      </c>
      <c r="I14302" s="2" t="s">
        <v>55885</v>
      </c>
      <c r="K14302" s="2" t="s">
        <v>5138</v>
      </c>
      <c r="L14302" s="2" t="s">
        <v>208</v>
      </c>
      <c r="M14302" s="2">
        <v>33076.0</v>
      </c>
      <c r="N14302" s="2" t="s">
        <v>21</v>
      </c>
    </row>
    <row r="14303" ht="15.75" customHeight="1">
      <c r="A14303" s="2">
        <v>2021.0</v>
      </c>
      <c r="B14303" s="2" t="s">
        <v>55886</v>
      </c>
      <c r="C14303" s="2" t="s">
        <v>55886</v>
      </c>
      <c r="D14303" s="2" t="str">
        <f>"2704931762"</f>
        <v>2704931762</v>
      </c>
      <c r="E14303" s="2" t="s">
        <v>3173</v>
      </c>
      <c r="F14303" s="2" t="s">
        <v>55785</v>
      </c>
      <c r="G14303" s="2" t="str">
        <f>"SR-21043"</f>
        <v>SR-21043</v>
      </c>
      <c r="H14303" s="2" t="s">
        <v>55887</v>
      </c>
      <c r="I14303" s="2" t="s">
        <v>55888</v>
      </c>
      <c r="K14303" s="2" t="s">
        <v>55788</v>
      </c>
      <c r="L14303" s="2" t="s">
        <v>1236</v>
      </c>
      <c r="M14303" s="2">
        <v>42029.0</v>
      </c>
      <c r="N14303" s="2" t="s">
        <v>21</v>
      </c>
    </row>
    <row r="14304" ht="15.75" customHeight="1">
      <c r="A14304" s="2">
        <v>2021.0</v>
      </c>
      <c r="B14304" s="2" t="s">
        <v>55889</v>
      </c>
      <c r="C14304" s="2" t="s">
        <v>55890</v>
      </c>
      <c r="D14304" s="2" t="str">
        <f>"5128013952"</f>
        <v>5128013952</v>
      </c>
      <c r="E14304" s="2" t="s">
        <v>33075</v>
      </c>
      <c r="F14304" s="2" t="s">
        <v>55891</v>
      </c>
      <c r="G14304" s="2" t="str">
        <f>"SR-21072"</f>
        <v>SR-21072</v>
      </c>
      <c r="H14304" s="2" t="s">
        <v>55892</v>
      </c>
      <c r="I14304" s="2" t="s">
        <v>55893</v>
      </c>
      <c r="K14304" s="2" t="s">
        <v>1141</v>
      </c>
      <c r="L14304" s="2" t="s">
        <v>172</v>
      </c>
      <c r="M14304" s="2">
        <v>78750.0</v>
      </c>
      <c r="N14304" s="2" t="s">
        <v>21</v>
      </c>
    </row>
    <row r="14305" ht="15.75" customHeight="1">
      <c r="A14305" s="2">
        <v>2021.0</v>
      </c>
      <c r="B14305" s="2" t="s">
        <v>43471</v>
      </c>
      <c r="C14305" s="2" t="s">
        <v>55894</v>
      </c>
      <c r="D14305" s="2" t="str">
        <f>"(720) 736-0839"</f>
        <v>(720) 736-0839</v>
      </c>
      <c r="E14305" s="2" t="s">
        <v>908</v>
      </c>
      <c r="F14305" s="2" t="s">
        <v>33030</v>
      </c>
      <c r="G14305" s="2" t="str">
        <f>"SR-20900"</f>
        <v>SR-20900</v>
      </c>
      <c r="H14305" s="2" t="s">
        <v>55895</v>
      </c>
      <c r="I14305" s="2" t="s">
        <v>43474</v>
      </c>
      <c r="K14305" s="2" t="s">
        <v>6514</v>
      </c>
      <c r="L14305" s="2" t="s">
        <v>157</v>
      </c>
      <c r="M14305" s="2">
        <v>80226.0</v>
      </c>
      <c r="N14305" s="2" t="s">
        <v>21</v>
      </c>
    </row>
    <row r="14306" ht="15.75" customHeight="1">
      <c r="A14306" s="2">
        <v>2021.0</v>
      </c>
      <c r="B14306" s="2" t="s">
        <v>49011</v>
      </c>
      <c r="C14306" s="2" t="s">
        <v>50976</v>
      </c>
      <c r="D14306" s="2" t="str">
        <f>"970-313-3292"</f>
        <v>970-313-3292</v>
      </c>
      <c r="E14306" s="2" t="s">
        <v>2941</v>
      </c>
      <c r="F14306" s="2" t="s">
        <v>21049</v>
      </c>
      <c r="G14306" s="2" t="str">
        <f>"SR-17356"</f>
        <v>SR-17356</v>
      </c>
      <c r="H14306" s="2" t="s">
        <v>50977</v>
      </c>
      <c r="I14306" s="2" t="s">
        <v>49014</v>
      </c>
      <c r="K14306" s="2" t="s">
        <v>1558</v>
      </c>
      <c r="L14306" s="2" t="s">
        <v>157</v>
      </c>
      <c r="M14306" s="2">
        <v>80634.0</v>
      </c>
      <c r="N14306" s="2" t="s">
        <v>21</v>
      </c>
    </row>
    <row r="14307" ht="15.75" customHeight="1">
      <c r="A14307" s="2">
        <v>2021.0</v>
      </c>
      <c r="B14307" s="2" t="s">
        <v>51422</v>
      </c>
      <c r="C14307" s="2" t="s">
        <v>51423</v>
      </c>
      <c r="D14307" s="2" t="str">
        <f>"4106930204"</f>
        <v>4106930204</v>
      </c>
      <c r="E14307" s="2" t="s">
        <v>9075</v>
      </c>
      <c r="F14307" s="2" t="s">
        <v>22984</v>
      </c>
      <c r="G14307" s="2" t="str">
        <f>"SR-18375"</f>
        <v>SR-18375</v>
      </c>
      <c r="H14307" s="2" t="s">
        <v>51424</v>
      </c>
      <c r="I14307" s="2" t="s">
        <v>51425</v>
      </c>
      <c r="K14307" s="2" t="s">
        <v>809</v>
      </c>
      <c r="L14307" s="2" t="s">
        <v>157</v>
      </c>
      <c r="M14307" s="2">
        <v>80924.0</v>
      </c>
      <c r="N14307" s="2" t="s">
        <v>21</v>
      </c>
    </row>
    <row r="14308" ht="15.75" customHeight="1">
      <c r="A14308" s="2">
        <v>2021.0</v>
      </c>
      <c r="B14308" s="2" t="s">
        <v>51422</v>
      </c>
      <c r="C14308" s="2" t="s">
        <v>55896</v>
      </c>
      <c r="D14308" s="2" t="str">
        <f>"719-373-9793"</f>
        <v>719-373-9793</v>
      </c>
      <c r="E14308" s="2" t="s">
        <v>373</v>
      </c>
      <c r="F14308" s="2" t="s">
        <v>22984</v>
      </c>
      <c r="G14308" s="2" t="str">
        <f>"SR-21077"</f>
        <v>SR-21077</v>
      </c>
      <c r="H14308" s="2" t="s">
        <v>55897</v>
      </c>
      <c r="I14308" s="2" t="s">
        <v>51425</v>
      </c>
      <c r="K14308" s="2" t="s">
        <v>55898</v>
      </c>
      <c r="L14308" s="2" t="s">
        <v>157</v>
      </c>
      <c r="M14308" s="2">
        <v>80924.0</v>
      </c>
      <c r="N14308" s="2" t="s">
        <v>21</v>
      </c>
    </row>
    <row r="14309" ht="15.75" customHeight="1">
      <c r="A14309" s="2">
        <v>2021.0</v>
      </c>
      <c r="B14309" s="2" t="s">
        <v>49563</v>
      </c>
      <c r="C14309" s="2" t="s">
        <v>49564</v>
      </c>
      <c r="D14309" s="2" t="str">
        <f>"805-515-9582"</f>
        <v>805-515-9582</v>
      </c>
      <c r="E14309" s="2" t="s">
        <v>1483</v>
      </c>
      <c r="F14309" s="2" t="s">
        <v>40845</v>
      </c>
      <c r="G14309" s="2" t="str">
        <f>"SR-17328"</f>
        <v>SR-17328</v>
      </c>
      <c r="H14309" s="2" t="s">
        <v>49565</v>
      </c>
      <c r="I14309" s="2" t="s">
        <v>49566</v>
      </c>
      <c r="K14309" s="2" t="s">
        <v>36028</v>
      </c>
      <c r="L14309" s="2" t="s">
        <v>222</v>
      </c>
      <c r="M14309" s="2">
        <v>93001.0</v>
      </c>
      <c r="N14309" s="2" t="s">
        <v>21</v>
      </c>
    </row>
    <row r="14310" ht="15.75" customHeight="1">
      <c r="A14310" s="2">
        <v>2021.0</v>
      </c>
      <c r="B14310" s="2" t="s">
        <v>3569</v>
      </c>
      <c r="C14310" s="2" t="s">
        <v>49800</v>
      </c>
      <c r="D14310" s="2" t="str">
        <f>"479-212-8602"</f>
        <v>479-212-8602</v>
      </c>
      <c r="E14310" s="2" t="s">
        <v>1263</v>
      </c>
      <c r="F14310" s="2" t="s">
        <v>3570</v>
      </c>
      <c r="G14310" s="2" t="str">
        <f>"SR-17790"</f>
        <v>SR-17790</v>
      </c>
      <c r="H14310" s="2" t="s">
        <v>49801</v>
      </c>
      <c r="I14310" s="2" t="s">
        <v>49802</v>
      </c>
      <c r="K14310" s="2" t="s">
        <v>3573</v>
      </c>
      <c r="L14310" s="2" t="s">
        <v>1012</v>
      </c>
      <c r="M14310" s="2">
        <v>72736.0</v>
      </c>
      <c r="N14310" s="2" t="s">
        <v>21</v>
      </c>
    </row>
    <row r="14311" ht="15.75" customHeight="1">
      <c r="A14311" s="2">
        <v>2021.0</v>
      </c>
      <c r="B14311" s="2" t="s">
        <v>3569</v>
      </c>
      <c r="C14311" s="2" t="s">
        <v>49797</v>
      </c>
      <c r="D14311" s="2" t="str">
        <f>"4792124479"</f>
        <v>4792124479</v>
      </c>
      <c r="E14311" s="2" t="s">
        <v>8649</v>
      </c>
      <c r="F14311" s="2" t="s">
        <v>3570</v>
      </c>
      <c r="G14311" s="2" t="str">
        <f>"SR-17134"</f>
        <v>SR-17134</v>
      </c>
      <c r="H14311" s="2" t="s">
        <v>47560</v>
      </c>
      <c r="I14311" s="2" t="s">
        <v>49798</v>
      </c>
      <c r="K14311" s="2" t="s">
        <v>3573</v>
      </c>
      <c r="L14311" s="2" t="s">
        <v>1012</v>
      </c>
      <c r="M14311" s="2">
        <v>72736.0</v>
      </c>
      <c r="N14311" s="2" t="s">
        <v>21</v>
      </c>
    </row>
    <row r="14312" ht="15.75" customHeight="1">
      <c r="A14312" s="2">
        <v>2021.0</v>
      </c>
      <c r="B14312" s="2" t="s">
        <v>54233</v>
      </c>
      <c r="C14312" s="2" t="s">
        <v>54233</v>
      </c>
      <c r="D14312" s="2" t="str">
        <f>"9857882277"</f>
        <v>9857882277</v>
      </c>
      <c r="E14312" s="2" t="s">
        <v>54234</v>
      </c>
      <c r="F14312" s="2" t="s">
        <v>10439</v>
      </c>
      <c r="G14312" s="2" t="str">
        <f>"SR-19665"</f>
        <v>SR-19665</v>
      </c>
      <c r="H14312" s="2" t="s">
        <v>54235</v>
      </c>
      <c r="I14312" s="2" t="s">
        <v>54236</v>
      </c>
      <c r="K14312" s="2" t="s">
        <v>5351</v>
      </c>
      <c r="L14312" s="2" t="s">
        <v>272</v>
      </c>
      <c r="M14312" s="2">
        <v>67501.0</v>
      </c>
      <c r="N14312" s="2" t="s">
        <v>21</v>
      </c>
    </row>
    <row r="14313" ht="15.75" customHeight="1">
      <c r="A14313" s="2">
        <v>2021.0</v>
      </c>
      <c r="B14313" s="2" t="s">
        <v>55899</v>
      </c>
      <c r="C14313" s="2" t="s">
        <v>55900</v>
      </c>
      <c r="D14313" s="2" t="str">
        <f>"9193609862"</f>
        <v>9193609862</v>
      </c>
      <c r="E14313" s="2" t="s">
        <v>55901</v>
      </c>
      <c r="F14313" s="2" t="s">
        <v>55902</v>
      </c>
      <c r="G14313" s="2" t="str">
        <f>"SR-21082"</f>
        <v>SR-21082</v>
      </c>
      <c r="H14313" s="2" t="s">
        <v>55903</v>
      </c>
      <c r="I14313" s="2" t="s">
        <v>55904</v>
      </c>
      <c r="K14313" s="2" t="s">
        <v>1285</v>
      </c>
      <c r="L14313" s="2" t="s">
        <v>20</v>
      </c>
      <c r="M14313" s="2">
        <v>27278.0</v>
      </c>
      <c r="N14313" s="2" t="s">
        <v>21</v>
      </c>
    </row>
    <row r="14314" ht="15.75" customHeight="1">
      <c r="A14314" s="2">
        <v>2021.0</v>
      </c>
      <c r="B14314" s="2" t="s">
        <v>55899</v>
      </c>
      <c r="C14314" s="2" t="s">
        <v>55905</v>
      </c>
      <c r="D14314" s="2" t="str">
        <f>"9192601627"</f>
        <v>9192601627</v>
      </c>
      <c r="E14314" s="2" t="s">
        <v>55906</v>
      </c>
      <c r="F14314" s="2" t="s">
        <v>55902</v>
      </c>
      <c r="G14314" s="2" t="str">
        <f>"SR-21083"</f>
        <v>SR-21083</v>
      </c>
      <c r="H14314" s="2" t="s">
        <v>55907</v>
      </c>
      <c r="I14314" s="2" t="s">
        <v>55904</v>
      </c>
      <c r="K14314" s="2" t="s">
        <v>1285</v>
      </c>
      <c r="L14314" s="2" t="s">
        <v>20</v>
      </c>
      <c r="M14314" s="2">
        <v>27278.0</v>
      </c>
      <c r="N14314" s="2" t="s">
        <v>21</v>
      </c>
    </row>
    <row r="14315" ht="15.75" customHeight="1">
      <c r="A14315" s="2">
        <v>2021.0</v>
      </c>
      <c r="B14315" s="2" t="s">
        <v>55908</v>
      </c>
      <c r="D14315" s="2" t="str">
        <f>""</f>
        <v/>
      </c>
      <c r="E14315" s="2" t="s">
        <v>167</v>
      </c>
      <c r="F14315" s="2" t="s">
        <v>55909</v>
      </c>
      <c r="G14315" s="2" t="str">
        <f>"SR-21046"</f>
        <v>SR-21046</v>
      </c>
      <c r="H14315" s="2" t="s">
        <v>55910</v>
      </c>
      <c r="N14315" s="2" t="s">
        <v>21</v>
      </c>
    </row>
    <row r="14316" ht="15.75" customHeight="1">
      <c r="A14316" s="2">
        <v>2021.0</v>
      </c>
      <c r="B14316" s="2" t="s">
        <v>55911</v>
      </c>
      <c r="C14316" s="2" t="s">
        <v>55912</v>
      </c>
      <c r="D14316" s="2" t="str">
        <f>"980-290-1728"</f>
        <v>980-290-1728</v>
      </c>
      <c r="E14316" s="2" t="s">
        <v>261</v>
      </c>
      <c r="F14316" s="2" t="s">
        <v>55909</v>
      </c>
      <c r="G14316" s="2" t="str">
        <f>"SR-21019"</f>
        <v>SR-21019</v>
      </c>
      <c r="H14316" s="2" t="s">
        <v>55913</v>
      </c>
      <c r="I14316" s="2" t="s">
        <v>55914</v>
      </c>
      <c r="K14316" s="2" t="s">
        <v>4519</v>
      </c>
      <c r="L14316" s="2" t="s">
        <v>20</v>
      </c>
      <c r="M14316" s="2">
        <v>28110.0</v>
      </c>
      <c r="N14316" s="2" t="s">
        <v>21</v>
      </c>
    </row>
    <row r="14317" ht="15.75" customHeight="1">
      <c r="A14317" s="2">
        <v>2021.0</v>
      </c>
      <c r="B14317" s="2" t="s">
        <v>55915</v>
      </c>
      <c r="C14317" s="2" t="s">
        <v>55916</v>
      </c>
      <c r="D14317" s="2" t="str">
        <f>"706-263-9924"</f>
        <v>706-263-9924</v>
      </c>
      <c r="E14317" s="2" t="s">
        <v>6618</v>
      </c>
      <c r="F14317" s="2" t="s">
        <v>3283</v>
      </c>
      <c r="G14317" s="2" t="str">
        <f>"SR-21085"</f>
        <v>SR-21085</v>
      </c>
      <c r="H14317" s="2" t="s">
        <v>55917</v>
      </c>
      <c r="I14317" s="2" t="s">
        <v>55918</v>
      </c>
      <c r="K14317" s="2" t="s">
        <v>33317</v>
      </c>
      <c r="L14317" s="2" t="s">
        <v>200</v>
      </c>
      <c r="M14317" s="2">
        <v>30701.0</v>
      </c>
      <c r="N14317" s="2" t="s">
        <v>21</v>
      </c>
    </row>
    <row r="14318" ht="15.75" customHeight="1">
      <c r="A14318" s="2">
        <v>2021.0</v>
      </c>
      <c r="B14318" s="2" t="s">
        <v>53899</v>
      </c>
      <c r="C14318" s="2" t="s">
        <v>53899</v>
      </c>
      <c r="D14318" s="2" t="str">
        <f>"3167377710"</f>
        <v>3167377710</v>
      </c>
      <c r="E14318" s="2" t="s">
        <v>955</v>
      </c>
      <c r="F14318" s="2" t="s">
        <v>4935</v>
      </c>
      <c r="G14318" s="2" t="str">
        <f>"SR-19335"</f>
        <v>SR-19335</v>
      </c>
      <c r="H14318" s="2" t="s">
        <v>53900</v>
      </c>
      <c r="I14318" s="2" t="s">
        <v>53901</v>
      </c>
      <c r="K14318" s="2" t="s">
        <v>53902</v>
      </c>
      <c r="L14318" s="2" t="s">
        <v>272</v>
      </c>
      <c r="M14318" s="2">
        <v>67114.0</v>
      </c>
      <c r="N14318" s="2" t="s">
        <v>21</v>
      </c>
    </row>
    <row r="14319" ht="15.75" customHeight="1">
      <c r="A14319" s="2">
        <v>2021.0</v>
      </c>
      <c r="B14319" s="2" t="s">
        <v>55919</v>
      </c>
      <c r="C14319" s="2" t="s">
        <v>55919</v>
      </c>
      <c r="D14319" s="2" t="str">
        <f>"507-676-8434"</f>
        <v>507-676-8434</v>
      </c>
      <c r="E14319" s="2" t="s">
        <v>1928</v>
      </c>
      <c r="F14319" s="2" t="s">
        <v>14778</v>
      </c>
      <c r="G14319" s="2" t="str">
        <f>"SR-21075"</f>
        <v>SR-21075</v>
      </c>
      <c r="H14319" s="2" t="s">
        <v>55920</v>
      </c>
      <c r="I14319" s="2" t="s">
        <v>55921</v>
      </c>
      <c r="K14319" s="2" t="s">
        <v>2744</v>
      </c>
      <c r="L14319" s="2" t="s">
        <v>62</v>
      </c>
      <c r="M14319" s="2">
        <v>55060.0</v>
      </c>
      <c r="N14319" s="2" t="s">
        <v>21</v>
      </c>
    </row>
    <row r="14320" ht="15.75" customHeight="1">
      <c r="A14320" s="2">
        <v>2021.0</v>
      </c>
      <c r="B14320" s="2" t="s">
        <v>55922</v>
      </c>
      <c r="C14320" s="2" t="s">
        <v>55923</v>
      </c>
      <c r="D14320" s="2" t="str">
        <f>"4239003181"</f>
        <v>4239003181</v>
      </c>
      <c r="E14320" s="2" t="s">
        <v>55924</v>
      </c>
      <c r="F14320" s="2" t="s">
        <v>55925</v>
      </c>
      <c r="G14320" s="2" t="str">
        <f>"SR-21091"</f>
        <v>SR-21091</v>
      </c>
      <c r="H14320" s="2" t="s">
        <v>55926</v>
      </c>
      <c r="I14320" s="2" t="s">
        <v>55927</v>
      </c>
      <c r="K14320" s="2" t="s">
        <v>9733</v>
      </c>
      <c r="L14320" s="2" t="s">
        <v>279</v>
      </c>
      <c r="M14320" s="2">
        <v>37659.0</v>
      </c>
      <c r="N14320" s="2" t="s">
        <v>21</v>
      </c>
    </row>
    <row r="14321" ht="15.75" customHeight="1">
      <c r="A14321" s="2">
        <v>2021.0</v>
      </c>
      <c r="B14321" s="2" t="s">
        <v>48915</v>
      </c>
      <c r="C14321" s="2" t="s">
        <v>48916</v>
      </c>
      <c r="D14321" s="2" t="str">
        <f>"3177946537"</f>
        <v>3177946537</v>
      </c>
      <c r="E14321" s="2" t="s">
        <v>22484</v>
      </c>
      <c r="F14321" s="2" t="s">
        <v>48917</v>
      </c>
      <c r="G14321" s="2" t="str">
        <f>"SR-17239"</f>
        <v>SR-17239</v>
      </c>
      <c r="H14321" s="2" t="s">
        <v>48918</v>
      </c>
      <c r="I14321" s="2" t="s">
        <v>48919</v>
      </c>
      <c r="K14321" s="2" t="s">
        <v>1188</v>
      </c>
      <c r="L14321" s="2" t="s">
        <v>149</v>
      </c>
      <c r="M14321" s="2">
        <v>46256.0</v>
      </c>
      <c r="N14321" s="2" t="s">
        <v>21</v>
      </c>
    </row>
    <row r="14322" ht="15.75" customHeight="1">
      <c r="A14322" s="2">
        <v>2021.0</v>
      </c>
      <c r="B14322" s="2" t="s">
        <v>48915</v>
      </c>
      <c r="C14322" s="2" t="s">
        <v>52828</v>
      </c>
      <c r="D14322" s="2" t="str">
        <f>"3177557404"</f>
        <v>3177557404</v>
      </c>
      <c r="E14322" s="2" t="s">
        <v>5766</v>
      </c>
      <c r="F14322" s="2" t="s">
        <v>48917</v>
      </c>
      <c r="G14322" s="2" t="str">
        <f>"SR-18858"</f>
        <v>SR-18858</v>
      </c>
      <c r="H14322" s="2" t="s">
        <v>52829</v>
      </c>
      <c r="I14322" s="2" t="s">
        <v>48919</v>
      </c>
      <c r="K14322" s="2" t="s">
        <v>1188</v>
      </c>
      <c r="L14322" s="2" t="s">
        <v>149</v>
      </c>
      <c r="M14322" s="2">
        <v>46256.0</v>
      </c>
      <c r="N14322" s="2" t="s">
        <v>21</v>
      </c>
    </row>
    <row r="14323" ht="15.75" customHeight="1">
      <c r="A14323" s="2">
        <v>2021.0</v>
      </c>
      <c r="B14323" s="2" t="s">
        <v>39849</v>
      </c>
      <c r="C14323" s="2" t="s">
        <v>39849</v>
      </c>
      <c r="D14323" s="2" t="str">
        <f>"740-957-4730"</f>
        <v>740-957-4730</v>
      </c>
      <c r="E14323" s="2" t="s">
        <v>485</v>
      </c>
      <c r="F14323" s="2" t="s">
        <v>30837</v>
      </c>
      <c r="G14323" s="2" t="str">
        <f>"SR-18608"</f>
        <v>SR-18608</v>
      </c>
      <c r="H14323" s="2" t="s">
        <v>39850</v>
      </c>
      <c r="I14323" s="2" t="s">
        <v>30839</v>
      </c>
      <c r="K14323" s="2" t="s">
        <v>10756</v>
      </c>
      <c r="L14323" s="2" t="s">
        <v>344</v>
      </c>
      <c r="M14323" s="2">
        <v>43015.0</v>
      </c>
      <c r="N14323" s="2" t="s">
        <v>21</v>
      </c>
    </row>
    <row r="14324" ht="15.75" customHeight="1">
      <c r="A14324" s="2">
        <v>2021.0</v>
      </c>
      <c r="B14324" s="2" t="s">
        <v>39849</v>
      </c>
      <c r="C14324" s="2" t="s">
        <v>52095</v>
      </c>
      <c r="D14324" s="2" t="str">
        <f>"740-957-4732"</f>
        <v>740-957-4732</v>
      </c>
      <c r="E14324" s="2" t="s">
        <v>55928</v>
      </c>
      <c r="F14324" s="2" t="s">
        <v>30837</v>
      </c>
      <c r="G14324" s="2" t="str">
        <f>"SR-21096"</f>
        <v>SR-21096</v>
      </c>
      <c r="H14324" s="2" t="s">
        <v>55929</v>
      </c>
      <c r="I14324" s="2" t="s">
        <v>30839</v>
      </c>
      <c r="K14324" s="2" t="s">
        <v>10756</v>
      </c>
      <c r="L14324" s="2" t="s">
        <v>344</v>
      </c>
      <c r="M14324" s="2">
        <v>43015.0</v>
      </c>
      <c r="N14324" s="2" t="s">
        <v>21</v>
      </c>
    </row>
    <row r="14325" ht="15.75" customHeight="1">
      <c r="A14325" s="2">
        <v>2021.0</v>
      </c>
      <c r="B14325" s="2" t="s">
        <v>50215</v>
      </c>
      <c r="C14325" s="2" t="s">
        <v>50216</v>
      </c>
      <c r="D14325" s="2" t="str">
        <f>"7193737725"</f>
        <v>7193737725</v>
      </c>
      <c r="E14325" s="2" t="s">
        <v>50217</v>
      </c>
      <c r="F14325" s="2" t="s">
        <v>50218</v>
      </c>
      <c r="G14325" s="2" t="str">
        <f>"SR-17936"</f>
        <v>SR-17936</v>
      </c>
      <c r="H14325" s="2" t="s">
        <v>50219</v>
      </c>
      <c r="I14325" s="2" t="s">
        <v>50220</v>
      </c>
      <c r="K14325" s="2" t="s">
        <v>50221</v>
      </c>
      <c r="L14325" s="2" t="s">
        <v>172</v>
      </c>
      <c r="M14325" s="2">
        <v>77494.0</v>
      </c>
      <c r="N14325" s="2" t="s">
        <v>21</v>
      </c>
    </row>
    <row r="14326" ht="15.75" customHeight="1">
      <c r="A14326" s="2">
        <v>2021.0</v>
      </c>
      <c r="B14326" s="2" t="s">
        <v>55930</v>
      </c>
      <c r="C14326" s="2" t="s">
        <v>55930</v>
      </c>
      <c r="D14326" s="2" t="str">
        <f>"785 357-4958"</f>
        <v>785 357-4958</v>
      </c>
      <c r="E14326" s="2" t="s">
        <v>1197</v>
      </c>
      <c r="F14326" s="2" t="s">
        <v>3533</v>
      </c>
      <c r="G14326" s="2" t="str">
        <f>"SR-21098"</f>
        <v>SR-21098</v>
      </c>
      <c r="H14326" s="2" t="s">
        <v>55931</v>
      </c>
      <c r="I14326" s="2" t="s">
        <v>55932</v>
      </c>
      <c r="K14326" s="2" t="s">
        <v>271</v>
      </c>
      <c r="L14326" s="2" t="s">
        <v>272</v>
      </c>
      <c r="M14326" s="2">
        <v>66604.0</v>
      </c>
      <c r="N14326" s="2" t="s">
        <v>21</v>
      </c>
    </row>
    <row r="14327" ht="15.75" customHeight="1">
      <c r="A14327" s="2">
        <v>2021.0</v>
      </c>
      <c r="B14327" s="2" t="s">
        <v>55933</v>
      </c>
      <c r="C14327" s="2" t="s">
        <v>55933</v>
      </c>
      <c r="D14327" s="2" t="str">
        <f>"7042928347"</f>
        <v>7042928347</v>
      </c>
      <c r="E14327" s="2" t="s">
        <v>4871</v>
      </c>
      <c r="F14327" s="2" t="s">
        <v>55909</v>
      </c>
      <c r="G14327" s="2" t="str">
        <f>"SR-21008"</f>
        <v>SR-21008</v>
      </c>
      <c r="H14327" s="2" t="s">
        <v>55934</v>
      </c>
      <c r="I14327" s="2" t="s">
        <v>55914</v>
      </c>
      <c r="K14327" s="2" t="s">
        <v>4519</v>
      </c>
      <c r="L14327" s="2" t="s">
        <v>20</v>
      </c>
      <c r="M14327" s="2">
        <v>28110.0</v>
      </c>
      <c r="N14327" s="2" t="s">
        <v>21</v>
      </c>
    </row>
    <row r="14328" ht="15.75" customHeight="1">
      <c r="A14328" s="2">
        <v>2021.0</v>
      </c>
      <c r="B14328" s="2" t="s">
        <v>55935</v>
      </c>
      <c r="C14328" s="2" t="s">
        <v>55936</v>
      </c>
      <c r="D14328" s="2" t="str">
        <f>"6622420583"</f>
        <v>6622420583</v>
      </c>
      <c r="E14328" s="2" t="s">
        <v>27752</v>
      </c>
      <c r="F14328" s="2" t="s">
        <v>1151</v>
      </c>
      <c r="G14328" s="2" t="str">
        <f>"SR-21099"</f>
        <v>SR-21099</v>
      </c>
      <c r="H14328" s="2" t="s">
        <v>55937</v>
      </c>
      <c r="I14328" s="2" t="s">
        <v>55938</v>
      </c>
      <c r="K14328" s="2" t="s">
        <v>1901</v>
      </c>
      <c r="L14328" s="2" t="s">
        <v>1722</v>
      </c>
      <c r="M14328" s="2">
        <v>39759.0</v>
      </c>
      <c r="N14328" s="2" t="s">
        <v>21</v>
      </c>
    </row>
    <row r="14329" ht="15.75" customHeight="1">
      <c r="A14329" s="2">
        <v>2021.0</v>
      </c>
      <c r="B14329" s="2" t="s">
        <v>55939</v>
      </c>
      <c r="C14329" s="2" t="s">
        <v>55939</v>
      </c>
      <c r="D14329" s="2" t="str">
        <f>"6624183452"</f>
        <v>6624183452</v>
      </c>
      <c r="E14329" s="2" t="s">
        <v>684</v>
      </c>
      <c r="F14329" s="2" t="s">
        <v>55940</v>
      </c>
      <c r="G14329" s="2" t="str">
        <f>"SR-21100"</f>
        <v>SR-21100</v>
      </c>
      <c r="H14329" s="2" t="s">
        <v>55941</v>
      </c>
      <c r="I14329" s="2" t="s">
        <v>55942</v>
      </c>
      <c r="K14329" s="2" t="s">
        <v>1901</v>
      </c>
      <c r="L14329" s="2" t="s">
        <v>1722</v>
      </c>
      <c r="M14329" s="2">
        <v>39759.0</v>
      </c>
      <c r="N14329" s="2" t="s">
        <v>21</v>
      </c>
    </row>
    <row r="14330" ht="15.75" customHeight="1">
      <c r="A14330" s="2">
        <v>2021.0</v>
      </c>
      <c r="B14330" s="2" t="s">
        <v>26195</v>
      </c>
      <c r="C14330" s="2" t="s">
        <v>50751</v>
      </c>
      <c r="D14330" s="2" t="str">
        <f>"4027698689"</f>
        <v>4027698689</v>
      </c>
      <c r="E14330" s="2" t="s">
        <v>50752</v>
      </c>
      <c r="F14330" s="2" t="s">
        <v>10595</v>
      </c>
      <c r="G14330" s="2" t="str">
        <f>"SR-18109"</f>
        <v>SR-18109</v>
      </c>
      <c r="H14330" s="2" t="s">
        <v>50753</v>
      </c>
      <c r="I14330" s="2" t="s">
        <v>50754</v>
      </c>
      <c r="K14330" s="2" t="s">
        <v>1154</v>
      </c>
      <c r="L14330" s="2" t="s">
        <v>757</v>
      </c>
      <c r="M14330" s="2">
        <v>68003.0</v>
      </c>
      <c r="N14330" s="2" t="s">
        <v>21</v>
      </c>
    </row>
    <row r="14331" ht="15.75" customHeight="1">
      <c r="A14331" s="2">
        <v>2021.0</v>
      </c>
      <c r="B14331" s="2" t="s">
        <v>55943</v>
      </c>
      <c r="C14331" s="2" t="s">
        <v>55944</v>
      </c>
      <c r="D14331" s="2" t="str">
        <f>"4235820189"</f>
        <v>4235820189</v>
      </c>
      <c r="E14331" s="2" t="s">
        <v>3058</v>
      </c>
      <c r="F14331" s="2" t="s">
        <v>28692</v>
      </c>
      <c r="G14331" s="2" t="str">
        <f>"SR-21102"</f>
        <v>SR-21102</v>
      </c>
      <c r="H14331" s="2" t="s">
        <v>55945</v>
      </c>
      <c r="I14331" s="2" t="s">
        <v>55946</v>
      </c>
      <c r="K14331" s="2" t="s">
        <v>5671</v>
      </c>
      <c r="L14331" s="2" t="s">
        <v>279</v>
      </c>
      <c r="M14331" s="2">
        <v>37377.0</v>
      </c>
      <c r="N14331" s="2" t="s">
        <v>21</v>
      </c>
    </row>
    <row r="14332" ht="15.75" customHeight="1">
      <c r="A14332" s="2">
        <v>2021.0</v>
      </c>
      <c r="B14332" s="2" t="s">
        <v>55947</v>
      </c>
      <c r="C14332" s="2" t="s">
        <v>55948</v>
      </c>
      <c r="D14332" s="2" t="str">
        <f>"7193068585"</f>
        <v>7193068585</v>
      </c>
      <c r="E14332" s="2" t="s">
        <v>55949</v>
      </c>
      <c r="F14332" s="2" t="s">
        <v>16506</v>
      </c>
      <c r="G14332" s="2" t="str">
        <f>"SR-21104"</f>
        <v>SR-21104</v>
      </c>
      <c r="H14332" s="2" t="s">
        <v>55950</v>
      </c>
      <c r="I14332" s="2" t="s">
        <v>55951</v>
      </c>
      <c r="K14332" s="2" t="s">
        <v>55952</v>
      </c>
      <c r="L14332" s="2" t="s">
        <v>157</v>
      </c>
      <c r="M14332" s="2">
        <v>80919.0</v>
      </c>
      <c r="N14332" s="2" t="s">
        <v>21</v>
      </c>
    </row>
    <row r="14333" ht="15.75" customHeight="1">
      <c r="A14333" s="2">
        <v>2021.0</v>
      </c>
      <c r="B14333" s="2" t="s">
        <v>16783</v>
      </c>
      <c r="C14333" s="2" t="s">
        <v>55953</v>
      </c>
      <c r="D14333" s="2" t="str">
        <f>"678-507-5482"</f>
        <v>678-507-5482</v>
      </c>
      <c r="E14333" s="2" t="s">
        <v>144</v>
      </c>
      <c r="F14333" s="2" t="s">
        <v>2548</v>
      </c>
      <c r="G14333" s="2" t="str">
        <f>"SR-21105"</f>
        <v>SR-21105</v>
      </c>
      <c r="H14333" s="2" t="s">
        <v>55954</v>
      </c>
      <c r="I14333" s="2" t="s">
        <v>16786</v>
      </c>
      <c r="K14333" s="2" t="s">
        <v>16743</v>
      </c>
      <c r="L14333" s="2" t="s">
        <v>200</v>
      </c>
      <c r="M14333" s="2">
        <v>30041.0</v>
      </c>
      <c r="N14333" s="2" t="s">
        <v>21</v>
      </c>
    </row>
    <row r="14334" ht="15.75" customHeight="1">
      <c r="A14334" s="2">
        <v>2021.0</v>
      </c>
      <c r="B14334" s="2" t="s">
        <v>44176</v>
      </c>
      <c r="C14334" s="2" t="s">
        <v>44177</v>
      </c>
      <c r="D14334" s="2" t="str">
        <f>"469-758-8335"</f>
        <v>469-758-8335</v>
      </c>
      <c r="E14334" s="2" t="s">
        <v>7145</v>
      </c>
      <c r="F14334" s="2" t="s">
        <v>44178</v>
      </c>
      <c r="G14334" s="2" t="str">
        <f>"SR-15550"</f>
        <v>SR-15550</v>
      </c>
      <c r="H14334" s="2" t="s">
        <v>44179</v>
      </c>
      <c r="I14334" s="2" t="s">
        <v>44180</v>
      </c>
      <c r="K14334" s="2" t="s">
        <v>171</v>
      </c>
      <c r="L14334" s="2" t="s">
        <v>172</v>
      </c>
      <c r="M14334" s="2">
        <v>75007.0</v>
      </c>
      <c r="N14334" s="2" t="s">
        <v>21</v>
      </c>
    </row>
    <row r="14335" ht="15.75" customHeight="1">
      <c r="A14335" s="2">
        <v>2021.0</v>
      </c>
      <c r="B14335" s="2" t="s">
        <v>44176</v>
      </c>
      <c r="C14335" s="2" t="s">
        <v>55955</v>
      </c>
      <c r="D14335" s="2" t="str">
        <f>"469-491-6914"</f>
        <v>469-491-6914</v>
      </c>
      <c r="E14335" s="2" t="s">
        <v>167</v>
      </c>
      <c r="F14335" s="2" t="s">
        <v>44178</v>
      </c>
      <c r="G14335" s="2" t="str">
        <f>"SR-21107"</f>
        <v>SR-21107</v>
      </c>
      <c r="H14335" s="2" t="s">
        <v>55956</v>
      </c>
      <c r="I14335" s="2" t="s">
        <v>44180</v>
      </c>
      <c r="K14335" s="2" t="s">
        <v>171</v>
      </c>
      <c r="L14335" s="2" t="s">
        <v>172</v>
      </c>
      <c r="M14335" s="2">
        <v>75007.0</v>
      </c>
      <c r="N14335" s="2" t="s">
        <v>21</v>
      </c>
    </row>
    <row r="14336" ht="15.75" customHeight="1">
      <c r="A14336" s="2">
        <v>2021.0</v>
      </c>
      <c r="B14336" s="2" t="s">
        <v>55957</v>
      </c>
      <c r="C14336" s="2" t="s">
        <v>55957</v>
      </c>
      <c r="D14336" s="2" t="str">
        <f>"612-578-9988"</f>
        <v>612-578-9988</v>
      </c>
      <c r="E14336" s="2" t="s">
        <v>18715</v>
      </c>
      <c r="F14336" s="2" t="s">
        <v>55958</v>
      </c>
      <c r="G14336" s="2" t="str">
        <f>"SR-21086"</f>
        <v>SR-21086</v>
      </c>
      <c r="H14336" s="2" t="s">
        <v>55959</v>
      </c>
      <c r="I14336" s="2" t="s">
        <v>55960</v>
      </c>
      <c r="K14336" s="2" t="s">
        <v>15133</v>
      </c>
      <c r="L14336" s="2" t="s">
        <v>62</v>
      </c>
      <c r="M14336" s="2">
        <v>55379.0</v>
      </c>
      <c r="N14336" s="2" t="s">
        <v>21</v>
      </c>
    </row>
    <row r="14337" ht="15.75" customHeight="1">
      <c r="A14337" s="2">
        <v>2021.0</v>
      </c>
      <c r="B14337" s="2" t="s">
        <v>53601</v>
      </c>
      <c r="C14337" s="2" t="s">
        <v>53601</v>
      </c>
      <c r="D14337" s="2" t="str">
        <f>"2566510711"</f>
        <v>2566510711</v>
      </c>
      <c r="E14337" s="2" t="s">
        <v>203</v>
      </c>
      <c r="F14337" s="2" t="s">
        <v>428</v>
      </c>
      <c r="G14337" s="2" t="str">
        <f>"SR-19266"</f>
        <v>SR-19266</v>
      </c>
      <c r="H14337" s="2" t="s">
        <v>53602</v>
      </c>
      <c r="I14337" s="2" t="s">
        <v>53603</v>
      </c>
      <c r="K14337" s="2" t="s">
        <v>659</v>
      </c>
      <c r="L14337" s="2" t="s">
        <v>539</v>
      </c>
      <c r="M14337" s="2">
        <v>35758.0</v>
      </c>
      <c r="N14337" s="2" t="s">
        <v>21</v>
      </c>
    </row>
    <row r="14338" ht="15.75" customHeight="1">
      <c r="A14338" s="2">
        <v>2021.0</v>
      </c>
      <c r="B14338" s="2" t="s">
        <v>55961</v>
      </c>
      <c r="C14338" s="2" t="s">
        <v>55961</v>
      </c>
      <c r="D14338" s="2" t="str">
        <f>"423-552-9075"</f>
        <v>423-552-9075</v>
      </c>
      <c r="E14338" s="2" t="s">
        <v>580</v>
      </c>
      <c r="F14338" s="2" t="s">
        <v>5365</v>
      </c>
      <c r="G14338" s="2" t="str">
        <f>"SR-21108"</f>
        <v>SR-21108</v>
      </c>
      <c r="H14338" s="2" t="s">
        <v>55962</v>
      </c>
      <c r="I14338" s="2" t="s">
        <v>55963</v>
      </c>
      <c r="K14338" s="2" t="s">
        <v>30290</v>
      </c>
      <c r="L14338" s="2" t="s">
        <v>279</v>
      </c>
      <c r="M14338" s="2">
        <v>37743.0</v>
      </c>
      <c r="N14338" s="2" t="s">
        <v>21</v>
      </c>
    </row>
    <row r="14339" ht="15.75" customHeight="1">
      <c r="A14339" s="2">
        <v>2021.0</v>
      </c>
      <c r="B14339" s="2" t="s">
        <v>44243</v>
      </c>
      <c r="C14339" s="2" t="s">
        <v>55964</v>
      </c>
      <c r="D14339" s="2" t="str">
        <f>"8178753799"</f>
        <v>8178753799</v>
      </c>
      <c r="E14339" s="2" t="s">
        <v>4782</v>
      </c>
      <c r="F14339" s="2" t="s">
        <v>44246</v>
      </c>
      <c r="G14339" s="2" t="str">
        <f>"SR-21109"</f>
        <v>SR-21109</v>
      </c>
      <c r="H14339" s="2" t="s">
        <v>55965</v>
      </c>
      <c r="I14339" s="2" t="s">
        <v>55966</v>
      </c>
      <c r="K14339" s="2" t="s">
        <v>1260</v>
      </c>
      <c r="L14339" s="2" t="s">
        <v>172</v>
      </c>
      <c r="M14339" s="2">
        <v>76133.0</v>
      </c>
      <c r="N14339" s="2" t="s">
        <v>21</v>
      </c>
    </row>
    <row r="14340" ht="15.75" customHeight="1">
      <c r="A14340" s="2">
        <v>2021.0</v>
      </c>
      <c r="B14340" s="2" t="s">
        <v>51740</v>
      </c>
      <c r="C14340" s="2" t="s">
        <v>51741</v>
      </c>
      <c r="D14340" s="2" t="str">
        <f>"8067787217"</f>
        <v>8067787217</v>
      </c>
      <c r="E14340" s="2" t="s">
        <v>51742</v>
      </c>
      <c r="F14340" s="2" t="s">
        <v>1301</v>
      </c>
      <c r="G14340" s="2" t="str">
        <f>"SR-18084"</f>
        <v>SR-18084</v>
      </c>
      <c r="H14340" s="2" t="s">
        <v>51743</v>
      </c>
      <c r="I14340" s="2" t="s">
        <v>51744</v>
      </c>
      <c r="K14340" s="2" t="s">
        <v>1121</v>
      </c>
      <c r="L14340" s="2" t="s">
        <v>172</v>
      </c>
      <c r="M14340" s="2">
        <v>79424.0</v>
      </c>
      <c r="N14340" s="2" t="s">
        <v>21</v>
      </c>
    </row>
    <row r="14341" ht="15.75" customHeight="1">
      <c r="A14341" s="2">
        <v>2021.0</v>
      </c>
      <c r="B14341" s="2" t="s">
        <v>55967</v>
      </c>
      <c r="C14341" s="2" t="s">
        <v>55968</v>
      </c>
      <c r="D14341" s="2" t="str">
        <f>"559-676-5177"</f>
        <v>559-676-5177</v>
      </c>
      <c r="E14341" s="2" t="s">
        <v>55969</v>
      </c>
      <c r="F14341" s="2" t="s">
        <v>1702</v>
      </c>
      <c r="G14341" s="2" t="str">
        <f>"SR-21094"</f>
        <v>SR-21094</v>
      </c>
      <c r="H14341" s="2" t="s">
        <v>55970</v>
      </c>
      <c r="I14341" s="2" t="s">
        <v>55971</v>
      </c>
      <c r="K14341" s="2" t="s">
        <v>35896</v>
      </c>
      <c r="L14341" s="2" t="s">
        <v>222</v>
      </c>
      <c r="M14341" s="2">
        <v>93614.0</v>
      </c>
      <c r="N14341" s="2" t="s">
        <v>21</v>
      </c>
    </row>
    <row r="14342" ht="15.75" customHeight="1">
      <c r="A14342" s="2">
        <v>2021.0</v>
      </c>
      <c r="B14342" s="2" t="s">
        <v>39849</v>
      </c>
      <c r="C14342" s="2" t="s">
        <v>39880</v>
      </c>
      <c r="D14342" s="2" t="str">
        <f>"740-9574731"</f>
        <v>740-9574731</v>
      </c>
      <c r="E14342" s="2" t="s">
        <v>1548</v>
      </c>
      <c r="F14342" s="2" t="s">
        <v>30837</v>
      </c>
      <c r="G14342" s="2" t="str">
        <f>"SR-21097"</f>
        <v>SR-21097</v>
      </c>
      <c r="H14342" s="2" t="s">
        <v>39881</v>
      </c>
      <c r="I14342" s="2" t="s">
        <v>52094</v>
      </c>
      <c r="K14342" s="2" t="s">
        <v>10756</v>
      </c>
      <c r="L14342" s="2" t="s">
        <v>344</v>
      </c>
      <c r="M14342" s="2">
        <v>43015.0</v>
      </c>
      <c r="N14342" s="2" t="s">
        <v>21</v>
      </c>
    </row>
    <row r="14343" ht="15.75" customHeight="1">
      <c r="A14343" s="2">
        <v>2021.0</v>
      </c>
      <c r="B14343" s="2" t="s">
        <v>55972</v>
      </c>
      <c r="C14343" s="2" t="s">
        <v>55973</v>
      </c>
      <c r="D14343" s="2" t="str">
        <f>"8065000623"</f>
        <v>8065000623</v>
      </c>
      <c r="E14343" s="2" t="s">
        <v>678</v>
      </c>
      <c r="F14343" s="2" t="s">
        <v>48701</v>
      </c>
      <c r="G14343" s="2" t="str">
        <f>"SR-21111"</f>
        <v>SR-21111</v>
      </c>
      <c r="H14343" s="2" t="s">
        <v>55974</v>
      </c>
      <c r="I14343" s="2">
        <v>9010.0</v>
      </c>
      <c r="J14343" s="2" t="s">
        <v>55975</v>
      </c>
      <c r="K14343" s="2" t="s">
        <v>1121</v>
      </c>
      <c r="L14343" s="2" t="s">
        <v>172</v>
      </c>
      <c r="M14343" s="2">
        <v>79407.0</v>
      </c>
      <c r="N14343" s="2" t="s">
        <v>21</v>
      </c>
    </row>
    <row r="14344" ht="15.75" customHeight="1">
      <c r="A14344" s="2">
        <v>2021.0</v>
      </c>
      <c r="B14344" s="2" t="s">
        <v>27310</v>
      </c>
      <c r="C14344" s="2" t="s">
        <v>55976</v>
      </c>
      <c r="D14344" s="2" t="str">
        <f>"2566569250"</f>
        <v>2566569250</v>
      </c>
      <c r="E14344" s="2" t="s">
        <v>580</v>
      </c>
      <c r="F14344" s="2" t="s">
        <v>645</v>
      </c>
      <c r="G14344" s="2" t="str">
        <f>"SR-15866"</f>
        <v>SR-15866</v>
      </c>
      <c r="H14344" s="2" t="s">
        <v>55977</v>
      </c>
      <c r="I14344" s="2" t="s">
        <v>55978</v>
      </c>
      <c r="K14344" s="2" t="s">
        <v>1953</v>
      </c>
      <c r="L14344" s="2" t="s">
        <v>539</v>
      </c>
      <c r="M14344" s="2">
        <v>35802.0</v>
      </c>
      <c r="N14344" s="2" t="s">
        <v>21</v>
      </c>
    </row>
    <row r="14345" ht="15.75" customHeight="1">
      <c r="A14345" s="2">
        <v>2021.0</v>
      </c>
      <c r="B14345" s="2" t="s">
        <v>20430</v>
      </c>
      <c r="C14345" s="2" t="s">
        <v>51530</v>
      </c>
      <c r="D14345" s="2" t="str">
        <f>"205-702-4499"</f>
        <v>205-702-4499</v>
      </c>
      <c r="E14345" s="2" t="s">
        <v>1032</v>
      </c>
      <c r="F14345" s="2" t="s">
        <v>7973</v>
      </c>
      <c r="G14345" s="2" t="str">
        <f>"SR-18428"</f>
        <v>SR-18428</v>
      </c>
      <c r="H14345" s="2" t="s">
        <v>51531</v>
      </c>
      <c r="I14345" s="2" t="s">
        <v>7975</v>
      </c>
      <c r="K14345" s="2" t="s">
        <v>20432</v>
      </c>
      <c r="L14345" s="2" t="s">
        <v>539</v>
      </c>
      <c r="M14345" s="2">
        <v>35094.0</v>
      </c>
      <c r="N14345" s="2" t="s">
        <v>21</v>
      </c>
    </row>
    <row r="14346" ht="15.75" customHeight="1">
      <c r="A14346" s="2">
        <v>2021.0</v>
      </c>
      <c r="B14346" s="2" t="s">
        <v>55979</v>
      </c>
      <c r="C14346" s="2" t="s">
        <v>55980</v>
      </c>
      <c r="D14346" s="2" t="str">
        <f>"720-299-8351"</f>
        <v>720-299-8351</v>
      </c>
      <c r="E14346" s="2" t="s">
        <v>6081</v>
      </c>
      <c r="F14346" s="2" t="s">
        <v>55981</v>
      </c>
      <c r="G14346" s="2" t="str">
        <f>"SR-21113"</f>
        <v>SR-21113</v>
      </c>
      <c r="H14346" s="2" t="s">
        <v>55982</v>
      </c>
      <c r="I14346" s="2" t="s">
        <v>55983</v>
      </c>
      <c r="K14346" s="2" t="s">
        <v>1520</v>
      </c>
      <c r="L14346" s="2" t="s">
        <v>157</v>
      </c>
      <c r="M14346" s="2">
        <v>80013.0</v>
      </c>
      <c r="N14346" s="2" t="s">
        <v>21</v>
      </c>
    </row>
    <row r="14347" ht="15.75" customHeight="1">
      <c r="A14347" s="2">
        <v>2021.0</v>
      </c>
      <c r="B14347" s="2" t="s">
        <v>32881</v>
      </c>
      <c r="C14347" s="2" t="s">
        <v>55984</v>
      </c>
      <c r="D14347" s="2" t="str">
        <f>"980-699-8203"</f>
        <v>980-699-8203</v>
      </c>
      <c r="E14347" s="2" t="s">
        <v>50</v>
      </c>
      <c r="F14347" s="2" t="s">
        <v>32883</v>
      </c>
      <c r="G14347" s="2" t="str">
        <f>"SR-21106"</f>
        <v>SR-21106</v>
      </c>
      <c r="H14347" s="2" t="s">
        <v>55985</v>
      </c>
      <c r="I14347" s="2" t="s">
        <v>55986</v>
      </c>
      <c r="K14347" s="2" t="s">
        <v>12697</v>
      </c>
      <c r="L14347" s="2" t="s">
        <v>20</v>
      </c>
      <c r="M14347" s="2">
        <v>28079.0</v>
      </c>
      <c r="N14347" s="2" t="s">
        <v>21</v>
      </c>
    </row>
    <row r="14348" ht="15.75" customHeight="1">
      <c r="A14348" s="2">
        <v>2021.0</v>
      </c>
      <c r="B14348" s="2" t="s">
        <v>55987</v>
      </c>
      <c r="C14348" s="2" t="s">
        <v>55988</v>
      </c>
      <c r="D14348" s="2" t="str">
        <f>"757-560-1910"</f>
        <v>757-560-1910</v>
      </c>
      <c r="E14348" s="2" t="s">
        <v>10372</v>
      </c>
      <c r="F14348" s="2" t="s">
        <v>962</v>
      </c>
      <c r="G14348" s="2" t="str">
        <f>"SR-21065"</f>
        <v>SR-21065</v>
      </c>
      <c r="H14348" s="2" t="s">
        <v>55989</v>
      </c>
      <c r="I14348" s="2" t="s">
        <v>55990</v>
      </c>
      <c r="K14348" s="2" t="s">
        <v>9576</v>
      </c>
      <c r="L14348" s="2" t="s">
        <v>165</v>
      </c>
      <c r="M14348" s="2">
        <v>23320.0</v>
      </c>
      <c r="N14348" s="2" t="s">
        <v>21</v>
      </c>
    </row>
    <row r="14349" ht="15.75" customHeight="1">
      <c r="A14349" s="2">
        <v>2021.0</v>
      </c>
      <c r="B14349" s="2" t="s">
        <v>55991</v>
      </c>
      <c r="C14349" s="2" t="s">
        <v>55991</v>
      </c>
      <c r="D14349" s="2" t="str">
        <f>"719-661-3716"</f>
        <v>719-661-3716</v>
      </c>
      <c r="E14349" s="2" t="s">
        <v>3555</v>
      </c>
      <c r="F14349" s="2" t="s">
        <v>1373</v>
      </c>
      <c r="G14349" s="2" t="str">
        <f>"SR-21117"</f>
        <v>SR-21117</v>
      </c>
      <c r="H14349" s="2" t="s">
        <v>55992</v>
      </c>
      <c r="I14349" s="2" t="s">
        <v>55993</v>
      </c>
      <c r="K14349" s="2" t="s">
        <v>809</v>
      </c>
      <c r="L14349" s="2" t="s">
        <v>157</v>
      </c>
      <c r="M14349" s="2">
        <v>80923.0</v>
      </c>
      <c r="N14349" s="2" t="s">
        <v>21</v>
      </c>
    </row>
    <row r="14350" ht="15.75" customHeight="1">
      <c r="A14350" s="2">
        <v>2021.0</v>
      </c>
      <c r="B14350" s="2" t="s">
        <v>49482</v>
      </c>
      <c r="C14350" s="2" t="s">
        <v>49483</v>
      </c>
      <c r="D14350" s="2" t="str">
        <f>"9702328773"</f>
        <v>9702328773</v>
      </c>
      <c r="E14350" s="2" t="s">
        <v>40147</v>
      </c>
      <c r="F14350" s="2" t="s">
        <v>23949</v>
      </c>
      <c r="G14350" s="2" t="str">
        <f>"SR-17555"</f>
        <v>SR-17555</v>
      </c>
      <c r="H14350" s="2" t="s">
        <v>49484</v>
      </c>
      <c r="I14350" s="2" t="s">
        <v>49485</v>
      </c>
      <c r="K14350" s="2" t="s">
        <v>656</v>
      </c>
      <c r="L14350" s="2" t="s">
        <v>157</v>
      </c>
      <c r="M14350" s="2">
        <v>80524.0</v>
      </c>
      <c r="N14350" s="2" t="s">
        <v>21</v>
      </c>
    </row>
    <row r="14351" ht="15.75" customHeight="1">
      <c r="A14351" s="2">
        <v>2021.0</v>
      </c>
      <c r="B14351" s="2" t="s">
        <v>49482</v>
      </c>
      <c r="C14351" s="2" t="s">
        <v>49486</v>
      </c>
      <c r="D14351" s="2" t="str">
        <f>"9703728257"</f>
        <v>9703728257</v>
      </c>
      <c r="E14351" s="2" t="s">
        <v>49487</v>
      </c>
      <c r="F14351" s="2" t="s">
        <v>23949</v>
      </c>
      <c r="G14351" s="2" t="str">
        <f>"SR-17642"</f>
        <v>SR-17642</v>
      </c>
      <c r="H14351" s="2" t="s">
        <v>49488</v>
      </c>
      <c r="I14351" s="2" t="s">
        <v>49485</v>
      </c>
      <c r="K14351" s="2" t="s">
        <v>656</v>
      </c>
      <c r="L14351" s="2" t="s">
        <v>157</v>
      </c>
      <c r="M14351" s="2">
        <v>80524.0</v>
      </c>
      <c r="N14351" s="2" t="s">
        <v>21</v>
      </c>
    </row>
    <row r="14352" ht="15.75" customHeight="1">
      <c r="A14352" s="2">
        <v>2021.0</v>
      </c>
      <c r="B14352" s="2" t="s">
        <v>39280</v>
      </c>
      <c r="C14352" s="2" t="s">
        <v>51783</v>
      </c>
      <c r="D14352" s="2" t="str">
        <f>"7176010694"</f>
        <v>7176010694</v>
      </c>
      <c r="E14352" s="2" t="s">
        <v>301</v>
      </c>
      <c r="F14352" s="2" t="s">
        <v>5396</v>
      </c>
      <c r="G14352" s="2" t="str">
        <f>"SR-18514"</f>
        <v>SR-18514</v>
      </c>
      <c r="H14352" s="2" t="s">
        <v>39732</v>
      </c>
      <c r="I14352" s="2" t="s">
        <v>51784</v>
      </c>
      <c r="K14352" s="2" t="s">
        <v>39284</v>
      </c>
      <c r="L14352" s="2" t="s">
        <v>179</v>
      </c>
      <c r="M14352" s="2">
        <v>17015.0</v>
      </c>
      <c r="N14352" s="2" t="s">
        <v>21</v>
      </c>
    </row>
    <row r="14353" ht="15.75" customHeight="1">
      <c r="A14353" s="2">
        <v>2021.0</v>
      </c>
      <c r="B14353" s="2" t="s">
        <v>55994</v>
      </c>
      <c r="C14353" s="2" t="s">
        <v>55995</v>
      </c>
      <c r="D14353" s="2" t="str">
        <f>"7869109560"</f>
        <v>7869109560</v>
      </c>
      <c r="E14353" s="2" t="s">
        <v>843</v>
      </c>
      <c r="F14353" s="2" t="s">
        <v>55996</v>
      </c>
      <c r="G14353" s="2" t="str">
        <f>"SR-21118"</f>
        <v>SR-21118</v>
      </c>
      <c r="H14353" s="2" t="s">
        <v>55997</v>
      </c>
      <c r="I14353" s="2" t="s">
        <v>55998</v>
      </c>
      <c r="K14353" s="2" t="s">
        <v>19644</v>
      </c>
      <c r="L14353" s="2" t="s">
        <v>208</v>
      </c>
      <c r="M14353" s="2">
        <v>33323.0</v>
      </c>
      <c r="N14353" s="2" t="s">
        <v>21</v>
      </c>
    </row>
    <row r="14354" ht="15.75" customHeight="1">
      <c r="A14354" s="2">
        <v>2021.0</v>
      </c>
      <c r="B14354" s="2" t="s">
        <v>44875</v>
      </c>
      <c r="C14354" s="2" t="s">
        <v>55999</v>
      </c>
      <c r="D14354" s="2" t="str">
        <f>"214-714-7290"</f>
        <v>214-714-7290</v>
      </c>
      <c r="E14354" s="2" t="s">
        <v>863</v>
      </c>
      <c r="F14354" s="2" t="s">
        <v>3144</v>
      </c>
      <c r="G14354" s="2" t="str">
        <f>"SR-21119"</f>
        <v>SR-21119</v>
      </c>
      <c r="H14354" s="2" t="s">
        <v>56000</v>
      </c>
      <c r="I14354" s="2" t="s">
        <v>56001</v>
      </c>
      <c r="K14354" s="2" t="s">
        <v>37347</v>
      </c>
      <c r="L14354" s="2" t="s">
        <v>172</v>
      </c>
      <c r="M14354" s="2">
        <v>75077.0</v>
      </c>
      <c r="N14354" s="2" t="s">
        <v>21</v>
      </c>
    </row>
    <row r="14355" ht="15.75" customHeight="1">
      <c r="A14355" s="2">
        <v>2021.0</v>
      </c>
      <c r="B14355" s="2" t="s">
        <v>51233</v>
      </c>
      <c r="C14355" s="2" t="s">
        <v>56002</v>
      </c>
      <c r="D14355" s="2" t="str">
        <f>"405-421-5426"</f>
        <v>405-421-5426</v>
      </c>
      <c r="E14355" s="2" t="s">
        <v>4322</v>
      </c>
      <c r="F14355" s="2" t="s">
        <v>56003</v>
      </c>
      <c r="G14355" s="2" t="str">
        <f>"SR-21121"</f>
        <v>SR-21121</v>
      </c>
      <c r="H14355" s="2" t="s">
        <v>56004</v>
      </c>
      <c r="I14355" s="2" t="s">
        <v>56005</v>
      </c>
      <c r="K14355" s="2" t="s">
        <v>51238</v>
      </c>
      <c r="L14355" s="2" t="s">
        <v>840</v>
      </c>
      <c r="M14355" s="2">
        <v>73080.0</v>
      </c>
      <c r="N14355" s="2" t="s">
        <v>21</v>
      </c>
    </row>
    <row r="14356" ht="15.75" customHeight="1">
      <c r="A14356" s="2">
        <v>2021.0</v>
      </c>
      <c r="B14356" s="2" t="s">
        <v>51233</v>
      </c>
      <c r="C14356" s="2" t="s">
        <v>51234</v>
      </c>
      <c r="D14356" s="2" t="str">
        <f>"405-919-7583"</f>
        <v>405-919-7583</v>
      </c>
      <c r="E14356" s="2" t="s">
        <v>282</v>
      </c>
      <c r="F14356" s="2" t="s">
        <v>51235</v>
      </c>
      <c r="G14356" s="2" t="str">
        <f>"SR-18293"</f>
        <v>SR-18293</v>
      </c>
      <c r="H14356" s="2" t="s">
        <v>51236</v>
      </c>
      <c r="I14356" s="2" t="s">
        <v>51237</v>
      </c>
      <c r="K14356" s="2" t="s">
        <v>51238</v>
      </c>
      <c r="L14356" s="2" t="s">
        <v>840</v>
      </c>
      <c r="M14356" s="2">
        <v>73080.0</v>
      </c>
      <c r="N14356" s="2" t="s">
        <v>21</v>
      </c>
    </row>
    <row r="14357" ht="15.75" customHeight="1">
      <c r="A14357" s="2">
        <v>2021.0</v>
      </c>
      <c r="B14357" s="2" t="s">
        <v>51233</v>
      </c>
      <c r="C14357" s="2" t="s">
        <v>56006</v>
      </c>
      <c r="D14357" s="2" t="str">
        <f>"405-312-4608"</f>
        <v>405-312-4608</v>
      </c>
      <c r="E14357" s="2" t="s">
        <v>9975</v>
      </c>
      <c r="F14357" s="2" t="s">
        <v>51235</v>
      </c>
      <c r="G14357" s="2" t="str">
        <f>"SR-21120"</f>
        <v>SR-21120</v>
      </c>
      <c r="H14357" s="2" t="s">
        <v>56007</v>
      </c>
      <c r="I14357" s="2" t="s">
        <v>51237</v>
      </c>
      <c r="K14357" s="2" t="s">
        <v>51238</v>
      </c>
      <c r="L14357" s="2" t="s">
        <v>840</v>
      </c>
      <c r="M14357" s="2">
        <v>73080.0</v>
      </c>
      <c r="N14357" s="2" t="s">
        <v>21</v>
      </c>
    </row>
    <row r="14358" ht="15.75" customHeight="1">
      <c r="A14358" s="2">
        <v>2021.0</v>
      </c>
      <c r="B14358" s="2" t="s">
        <v>47917</v>
      </c>
      <c r="C14358" s="2" t="s">
        <v>47917</v>
      </c>
      <c r="D14358" s="2" t="str">
        <f>"(317) 755-7478"</f>
        <v>(317) 755-7478</v>
      </c>
      <c r="E14358" s="2" t="s">
        <v>217</v>
      </c>
      <c r="F14358" s="2" t="s">
        <v>4610</v>
      </c>
      <c r="G14358" s="2" t="str">
        <f>"SR-16788"</f>
        <v>SR-16788</v>
      </c>
      <c r="H14358" s="2" t="s">
        <v>47918</v>
      </c>
      <c r="I14358" s="2" t="s">
        <v>47919</v>
      </c>
      <c r="K14358" s="2" t="s">
        <v>47920</v>
      </c>
      <c r="L14358" s="2" t="s">
        <v>149</v>
      </c>
      <c r="M14358" s="2">
        <v>46074.0</v>
      </c>
      <c r="N14358" s="2" t="s">
        <v>21</v>
      </c>
    </row>
    <row r="14359" ht="15.75" customHeight="1">
      <c r="A14359" s="2">
        <v>2021.0</v>
      </c>
      <c r="B14359" s="2" t="s">
        <v>56008</v>
      </c>
      <c r="C14359" s="2" t="s">
        <v>56009</v>
      </c>
      <c r="D14359" s="2" t="str">
        <f>"4045630637"</f>
        <v>4045630637</v>
      </c>
      <c r="E14359" s="2" t="s">
        <v>137</v>
      </c>
      <c r="F14359" s="2" t="s">
        <v>7317</v>
      </c>
      <c r="G14359" s="2" t="str">
        <f>"SR-21123"</f>
        <v>SR-21123</v>
      </c>
      <c r="H14359" s="2" t="s">
        <v>56010</v>
      </c>
      <c r="I14359" s="2" t="s">
        <v>56011</v>
      </c>
      <c r="K14359" s="2" t="s">
        <v>56012</v>
      </c>
      <c r="L14359" s="2" t="s">
        <v>200</v>
      </c>
      <c r="M14359" s="2">
        <v>30680.0</v>
      </c>
      <c r="N14359" s="2" t="s">
        <v>21</v>
      </c>
    </row>
    <row r="14360" ht="15.75" customHeight="1">
      <c r="A14360" s="2">
        <v>2021.0</v>
      </c>
      <c r="B14360" s="2" t="s">
        <v>56013</v>
      </c>
      <c r="C14360" s="2" t="s">
        <v>56014</v>
      </c>
      <c r="D14360" s="2" t="str">
        <f>"470/215-0087"</f>
        <v>470/215-0087</v>
      </c>
      <c r="E14360" s="2" t="s">
        <v>385</v>
      </c>
      <c r="F14360" s="2" t="s">
        <v>56015</v>
      </c>
      <c r="G14360" s="2" t="str">
        <f>"SR-21124"</f>
        <v>SR-21124</v>
      </c>
      <c r="H14360" s="2" t="s">
        <v>56016</v>
      </c>
      <c r="I14360" s="2" t="s">
        <v>56017</v>
      </c>
      <c r="K14360" s="2" t="s">
        <v>21389</v>
      </c>
      <c r="L14360" s="2" t="s">
        <v>200</v>
      </c>
      <c r="M14360" s="2">
        <v>30507.0</v>
      </c>
      <c r="N14360" s="2" t="s">
        <v>21</v>
      </c>
    </row>
    <row r="14361" ht="15.75" customHeight="1">
      <c r="A14361" s="2">
        <v>2021.0</v>
      </c>
      <c r="B14361" s="2" t="s">
        <v>50943</v>
      </c>
      <c r="C14361" s="2" t="s">
        <v>50944</v>
      </c>
      <c r="D14361" s="2" t="str">
        <f>"816-723-9810"</f>
        <v>816-723-9810</v>
      </c>
      <c r="E14361" s="2" t="s">
        <v>50945</v>
      </c>
      <c r="F14361" s="2" t="s">
        <v>50946</v>
      </c>
      <c r="G14361" s="2" t="str">
        <f>"SR-15106"</f>
        <v>SR-15106</v>
      </c>
      <c r="H14361" s="2" t="s">
        <v>50947</v>
      </c>
      <c r="I14361" s="2" t="s">
        <v>50948</v>
      </c>
      <c r="K14361" s="2" t="s">
        <v>1814</v>
      </c>
      <c r="L14361" s="2" t="s">
        <v>214</v>
      </c>
      <c r="M14361" s="2">
        <v>64114.0</v>
      </c>
      <c r="N14361" s="2" t="s">
        <v>21</v>
      </c>
    </row>
    <row r="14362" ht="15.75" customHeight="1">
      <c r="A14362" s="2">
        <v>2021.0</v>
      </c>
      <c r="B14362" s="2" t="s">
        <v>56018</v>
      </c>
      <c r="C14362" s="2" t="s">
        <v>56019</v>
      </c>
      <c r="D14362" s="2" t="str">
        <f>"952-737-7107"</f>
        <v>952-737-7107</v>
      </c>
      <c r="E14362" s="2" t="s">
        <v>56020</v>
      </c>
      <c r="F14362" s="2" t="s">
        <v>56021</v>
      </c>
      <c r="G14362" s="2" t="str">
        <f>"SR-21125"</f>
        <v>SR-21125</v>
      </c>
      <c r="H14362" s="2" t="s">
        <v>56022</v>
      </c>
      <c r="I14362" s="2" t="s">
        <v>56023</v>
      </c>
      <c r="K14362" s="2" t="s">
        <v>1470</v>
      </c>
      <c r="L14362" s="2" t="s">
        <v>757</v>
      </c>
      <c r="M14362" s="2">
        <v>68135.0</v>
      </c>
      <c r="N14362" s="2" t="s">
        <v>21</v>
      </c>
    </row>
    <row r="14363" ht="15.75" customHeight="1">
      <c r="A14363" s="2">
        <v>2021.0</v>
      </c>
      <c r="B14363" s="2" t="s">
        <v>51087</v>
      </c>
      <c r="C14363" s="2" t="s">
        <v>51088</v>
      </c>
      <c r="D14363" s="2" t="str">
        <f>"765-591-2693"</f>
        <v>765-591-2693</v>
      </c>
      <c r="E14363" s="2" t="s">
        <v>24063</v>
      </c>
      <c r="F14363" s="2" t="s">
        <v>51089</v>
      </c>
      <c r="G14363" s="2" t="str">
        <f>"SR-20693"</f>
        <v>SR-20693</v>
      </c>
      <c r="H14363" s="2" t="s">
        <v>51090</v>
      </c>
      <c r="I14363" s="2" t="s">
        <v>56024</v>
      </c>
      <c r="K14363" s="2" t="s">
        <v>32398</v>
      </c>
      <c r="L14363" s="2" t="s">
        <v>149</v>
      </c>
      <c r="M14363" s="2">
        <v>47362.0</v>
      </c>
      <c r="N14363" s="2" t="s">
        <v>21</v>
      </c>
    </row>
    <row r="14364" ht="15.75" customHeight="1">
      <c r="A14364" s="2">
        <v>2021.0</v>
      </c>
      <c r="B14364" s="2" t="s">
        <v>55915</v>
      </c>
      <c r="C14364" s="2" t="s">
        <v>56025</v>
      </c>
      <c r="D14364" s="2" t="str">
        <f>"7068445088"</f>
        <v>7068445088</v>
      </c>
      <c r="E14364" s="2" t="s">
        <v>56026</v>
      </c>
      <c r="F14364" s="2" t="s">
        <v>36928</v>
      </c>
      <c r="G14364" s="2" t="str">
        <f>"SR-21129"</f>
        <v>SR-21129</v>
      </c>
      <c r="H14364" s="2" t="s">
        <v>56027</v>
      </c>
      <c r="I14364" s="2" t="s">
        <v>56028</v>
      </c>
      <c r="K14364" s="2" t="s">
        <v>33317</v>
      </c>
      <c r="L14364" s="2" t="s">
        <v>200</v>
      </c>
      <c r="M14364" s="2">
        <v>30701.0</v>
      </c>
      <c r="N14364" s="2" t="s">
        <v>21</v>
      </c>
    </row>
    <row r="14365" ht="15.75" customHeight="1">
      <c r="A14365" s="2">
        <v>2021.0</v>
      </c>
      <c r="B14365" s="2" t="s">
        <v>56029</v>
      </c>
      <c r="C14365" s="2" t="s">
        <v>56030</v>
      </c>
      <c r="D14365" s="2" t="str">
        <f>"7207997732"</f>
        <v>7207997732</v>
      </c>
      <c r="E14365" s="2" t="s">
        <v>36907</v>
      </c>
      <c r="F14365" s="2" t="s">
        <v>56031</v>
      </c>
      <c r="G14365" s="2" t="str">
        <f>"SR-21130"</f>
        <v>SR-21130</v>
      </c>
      <c r="H14365" s="2" t="s">
        <v>56032</v>
      </c>
      <c r="I14365" s="2" t="s">
        <v>56033</v>
      </c>
      <c r="J14365" s="2" t="s">
        <v>56034</v>
      </c>
      <c r="K14365" s="2" t="s">
        <v>9112</v>
      </c>
      <c r="L14365" s="2" t="s">
        <v>157</v>
      </c>
      <c r="M14365" s="2">
        <v>80439.0</v>
      </c>
      <c r="N14365" s="2" t="s">
        <v>21</v>
      </c>
    </row>
    <row r="14366" ht="15.75" customHeight="1">
      <c r="A14366" s="2">
        <v>2021.0</v>
      </c>
      <c r="B14366" s="2" t="s">
        <v>23180</v>
      </c>
      <c r="C14366" s="2" t="s">
        <v>56035</v>
      </c>
      <c r="D14366" s="2" t="str">
        <f>"3037317288"</f>
        <v>3037317288</v>
      </c>
      <c r="E14366" s="2" t="s">
        <v>10350</v>
      </c>
      <c r="F14366" s="2" t="s">
        <v>1530</v>
      </c>
      <c r="G14366" s="2" t="str">
        <f>"SR-20795"</f>
        <v>SR-20795</v>
      </c>
      <c r="H14366" s="2" t="s">
        <v>56036</v>
      </c>
      <c r="I14366" s="2" t="s">
        <v>23182</v>
      </c>
      <c r="K14366" s="2" t="s">
        <v>1054</v>
      </c>
      <c r="L14366" s="2" t="s">
        <v>157</v>
      </c>
      <c r="M14366" s="2">
        <v>80138.0</v>
      </c>
      <c r="N14366" s="2" t="s">
        <v>21</v>
      </c>
    </row>
    <row r="14367" ht="15.75" customHeight="1">
      <c r="A14367" s="2">
        <v>2021.0</v>
      </c>
      <c r="B14367" s="2" t="s">
        <v>23180</v>
      </c>
      <c r="C14367" s="2" t="s">
        <v>56037</v>
      </c>
      <c r="D14367" s="2" t="str">
        <f>"3032462562"</f>
        <v>3032462562</v>
      </c>
      <c r="E14367" s="2" t="s">
        <v>6014</v>
      </c>
      <c r="F14367" s="2" t="s">
        <v>1530</v>
      </c>
      <c r="G14367" s="2" t="str">
        <f>"SR-21131"</f>
        <v>SR-21131</v>
      </c>
      <c r="H14367" s="2" t="s">
        <v>56038</v>
      </c>
      <c r="I14367" s="2" t="s">
        <v>23182</v>
      </c>
      <c r="K14367" s="2" t="s">
        <v>1054</v>
      </c>
      <c r="L14367" s="2" t="s">
        <v>157</v>
      </c>
      <c r="M14367" s="2">
        <v>80138.0</v>
      </c>
      <c r="N14367" s="2" t="s">
        <v>21</v>
      </c>
    </row>
    <row r="14368" ht="15.75" customHeight="1">
      <c r="A14368" s="2">
        <v>2021.0</v>
      </c>
      <c r="B14368" s="2" t="s">
        <v>49711</v>
      </c>
      <c r="C14368" s="2" t="s">
        <v>49711</v>
      </c>
      <c r="D14368" s="2" t="str">
        <f>"5126963939"</f>
        <v>5126963939</v>
      </c>
      <c r="E14368" s="2" t="s">
        <v>10152</v>
      </c>
      <c r="F14368" s="2" t="s">
        <v>13073</v>
      </c>
      <c r="G14368" s="2" t="str">
        <f>"SR-17756"</f>
        <v>SR-17756</v>
      </c>
      <c r="H14368" s="2" t="s">
        <v>49712</v>
      </c>
      <c r="I14368" s="2" t="s">
        <v>49713</v>
      </c>
      <c r="K14368" s="2" t="s">
        <v>1141</v>
      </c>
      <c r="L14368" s="2" t="s">
        <v>172</v>
      </c>
      <c r="M14368" s="2">
        <v>78727.0</v>
      </c>
      <c r="N14368" s="2" t="s">
        <v>21</v>
      </c>
    </row>
    <row r="14369" ht="15.75" customHeight="1">
      <c r="A14369" s="2">
        <v>2021.0</v>
      </c>
      <c r="B14369" s="2" t="s">
        <v>50603</v>
      </c>
      <c r="C14369" s="2" t="s">
        <v>50603</v>
      </c>
      <c r="D14369" s="2" t="str">
        <f>"7194255501"</f>
        <v>7194255501</v>
      </c>
      <c r="E14369" s="2" t="s">
        <v>50604</v>
      </c>
      <c r="F14369" s="2" t="s">
        <v>11786</v>
      </c>
      <c r="G14369" s="2" t="str">
        <f>"SR-18061"</f>
        <v>SR-18061</v>
      </c>
      <c r="H14369" s="2" t="s">
        <v>50605</v>
      </c>
      <c r="I14369" s="2" t="s">
        <v>50606</v>
      </c>
      <c r="K14369" s="2" t="s">
        <v>809</v>
      </c>
      <c r="L14369" s="2" t="s">
        <v>157</v>
      </c>
      <c r="M14369" s="2">
        <v>80908.0</v>
      </c>
      <c r="N14369" s="2" t="s">
        <v>21</v>
      </c>
    </row>
    <row r="14370" ht="15.75" customHeight="1">
      <c r="A14370" s="2">
        <v>2021.0</v>
      </c>
      <c r="B14370" s="2" t="s">
        <v>36655</v>
      </c>
      <c r="D14370" s="2" t="str">
        <f>""</f>
        <v/>
      </c>
      <c r="E14370" s="2" t="s">
        <v>1946</v>
      </c>
      <c r="F14370" s="2" t="s">
        <v>4978</v>
      </c>
      <c r="G14370" s="2" t="str">
        <f>"SR-18145"</f>
        <v>SR-18145</v>
      </c>
      <c r="H14370" s="2" t="s">
        <v>56039</v>
      </c>
    </row>
    <row r="14371" ht="15.75" customHeight="1">
      <c r="A14371" s="2">
        <v>2021.0</v>
      </c>
      <c r="B14371" s="2" t="s">
        <v>56040</v>
      </c>
      <c r="C14371" s="2" t="s">
        <v>33912</v>
      </c>
      <c r="D14371" s="2" t="str">
        <f>"3363911239"</f>
        <v>3363911239</v>
      </c>
      <c r="E14371" s="2" t="s">
        <v>1208</v>
      </c>
      <c r="F14371" s="2" t="s">
        <v>26681</v>
      </c>
      <c r="G14371" s="2" t="str">
        <f>"SR-21132"</f>
        <v>SR-21132</v>
      </c>
      <c r="H14371" s="2" t="s">
        <v>56041</v>
      </c>
      <c r="I14371" s="2" t="s">
        <v>33915</v>
      </c>
      <c r="K14371" s="2" t="s">
        <v>4174</v>
      </c>
      <c r="L14371" s="2" t="s">
        <v>20</v>
      </c>
      <c r="M14371" s="2">
        <v>27023.0</v>
      </c>
      <c r="N14371" s="2" t="s">
        <v>21</v>
      </c>
    </row>
    <row r="14372" ht="15.75" customHeight="1">
      <c r="A14372" s="2">
        <v>2021.0</v>
      </c>
      <c r="B14372" s="2" t="s">
        <v>56042</v>
      </c>
      <c r="C14372" s="2" t="s">
        <v>56043</v>
      </c>
      <c r="D14372" s="2" t="str">
        <f>"319-888-2896"</f>
        <v>319-888-2896</v>
      </c>
      <c r="E14372" s="2" t="s">
        <v>6202</v>
      </c>
      <c r="F14372" s="2" t="s">
        <v>56044</v>
      </c>
      <c r="G14372" s="2" t="str">
        <f>"SR-21133"</f>
        <v>SR-21133</v>
      </c>
      <c r="H14372" s="2" t="s">
        <v>56045</v>
      </c>
      <c r="I14372" s="2" t="s">
        <v>56046</v>
      </c>
      <c r="K14372" s="2" t="s">
        <v>56047</v>
      </c>
      <c r="L14372" s="2" t="s">
        <v>560</v>
      </c>
      <c r="M14372" s="2">
        <v>50613.0</v>
      </c>
      <c r="N14372" s="2" t="s">
        <v>21</v>
      </c>
    </row>
    <row r="14373" ht="15.75" customHeight="1">
      <c r="A14373" s="2">
        <v>2021.0</v>
      </c>
      <c r="B14373" s="2" t="s">
        <v>56048</v>
      </c>
      <c r="C14373" s="2" t="s">
        <v>56049</v>
      </c>
      <c r="D14373" s="2" t="str">
        <f>"470-609-5300"</f>
        <v>470-609-5300</v>
      </c>
      <c r="E14373" s="2" t="s">
        <v>56050</v>
      </c>
      <c r="F14373" s="2" t="s">
        <v>56051</v>
      </c>
      <c r="G14373" s="2" t="str">
        <f>"SR-21134"</f>
        <v>SR-21134</v>
      </c>
      <c r="H14373" s="2" t="s">
        <v>56052</v>
      </c>
      <c r="I14373" s="2" t="s">
        <v>56053</v>
      </c>
      <c r="K14373" s="2" t="s">
        <v>56054</v>
      </c>
      <c r="L14373" s="2" t="s">
        <v>200</v>
      </c>
      <c r="M14373" s="2">
        <v>30075.0</v>
      </c>
      <c r="N14373" s="2" t="s">
        <v>21</v>
      </c>
    </row>
    <row r="14374" ht="15.75" customHeight="1">
      <c r="A14374" s="2">
        <v>2021.0</v>
      </c>
      <c r="B14374" s="2" t="s">
        <v>56055</v>
      </c>
      <c r="C14374" s="2" t="s">
        <v>56056</v>
      </c>
      <c r="D14374" s="2" t="str">
        <f>"(423) 551-0445"</f>
        <v>(423) 551-0445</v>
      </c>
      <c r="E14374" s="2" t="s">
        <v>56057</v>
      </c>
      <c r="F14374" s="2" t="s">
        <v>56058</v>
      </c>
      <c r="G14374" s="2" t="str">
        <f>"SR-21135"</f>
        <v>SR-21135</v>
      </c>
      <c r="H14374" s="2" t="s">
        <v>56059</v>
      </c>
      <c r="I14374" s="2" t="s">
        <v>56060</v>
      </c>
      <c r="K14374" s="2" t="s">
        <v>22859</v>
      </c>
      <c r="L14374" s="2" t="s">
        <v>279</v>
      </c>
      <c r="M14374" s="2">
        <v>37377.0</v>
      </c>
      <c r="N14374" s="2" t="s">
        <v>21</v>
      </c>
    </row>
    <row r="14375" ht="15.75" customHeight="1">
      <c r="A14375" s="2">
        <v>2021.0</v>
      </c>
      <c r="B14375" s="2" t="s">
        <v>56061</v>
      </c>
      <c r="C14375" s="2" t="s">
        <v>56062</v>
      </c>
      <c r="D14375" s="2" t="str">
        <f>"6787278252"</f>
        <v>6787278252</v>
      </c>
      <c r="E14375" s="2" t="s">
        <v>2452</v>
      </c>
      <c r="F14375" s="2" t="s">
        <v>11658</v>
      </c>
      <c r="G14375" s="2" t="str">
        <f>"SR-21136"</f>
        <v>SR-21136</v>
      </c>
      <c r="H14375" s="2" t="s">
        <v>56063</v>
      </c>
      <c r="I14375" s="2" t="s">
        <v>56064</v>
      </c>
      <c r="K14375" s="2" t="s">
        <v>1685</v>
      </c>
      <c r="L14375" s="2" t="s">
        <v>200</v>
      </c>
      <c r="M14375" s="2">
        <v>30188.0</v>
      </c>
      <c r="N14375" s="2" t="s">
        <v>21</v>
      </c>
    </row>
    <row r="14376" ht="15.75" customHeight="1">
      <c r="A14376" s="2">
        <v>2021.0</v>
      </c>
      <c r="B14376" s="2" t="s">
        <v>56065</v>
      </c>
      <c r="C14376" s="2" t="s">
        <v>56066</v>
      </c>
      <c r="D14376" s="2" t="str">
        <f>"6606203179"</f>
        <v>6606203179</v>
      </c>
      <c r="E14376" s="2" t="s">
        <v>2361</v>
      </c>
      <c r="F14376" s="2" t="s">
        <v>56067</v>
      </c>
      <c r="G14376" s="2" t="str">
        <f>"SR-21138"</f>
        <v>SR-21138</v>
      </c>
      <c r="H14376" s="2" t="s">
        <v>56068</v>
      </c>
      <c r="I14376" s="2" t="s">
        <v>56069</v>
      </c>
      <c r="K14376" s="2" t="s">
        <v>5412</v>
      </c>
      <c r="L14376" s="2" t="s">
        <v>214</v>
      </c>
      <c r="M14376" s="2">
        <v>65301.0</v>
      </c>
      <c r="N14376" s="2" t="s">
        <v>21</v>
      </c>
    </row>
    <row r="14377" ht="15.75" customHeight="1">
      <c r="A14377" s="2">
        <v>2021.0</v>
      </c>
      <c r="B14377" s="2" t="s">
        <v>56070</v>
      </c>
      <c r="C14377" s="2" t="s">
        <v>49973</v>
      </c>
      <c r="D14377" s="2" t="str">
        <f>"269-921-2728"</f>
        <v>269-921-2728</v>
      </c>
      <c r="E14377" s="2" t="s">
        <v>1076</v>
      </c>
      <c r="F14377" s="2" t="s">
        <v>49964</v>
      </c>
      <c r="G14377" s="2" t="str">
        <f>"SR-21140"</f>
        <v>SR-21140</v>
      </c>
      <c r="H14377" s="2" t="s">
        <v>49974</v>
      </c>
      <c r="I14377" s="2" t="s">
        <v>49966</v>
      </c>
      <c r="K14377" s="2" t="s">
        <v>1201</v>
      </c>
      <c r="L14377" s="2" t="s">
        <v>29</v>
      </c>
      <c r="M14377" s="2">
        <v>49085.0</v>
      </c>
      <c r="N14377" s="2" t="s">
        <v>21</v>
      </c>
    </row>
    <row r="14378" ht="15.75" customHeight="1">
      <c r="A14378" s="2">
        <v>2021.0</v>
      </c>
      <c r="B14378" s="2" t="s">
        <v>56070</v>
      </c>
      <c r="C14378" s="2" t="s">
        <v>56071</v>
      </c>
      <c r="D14378" s="2" t="str">
        <f>"269-281-1871"</f>
        <v>269-281-1871</v>
      </c>
      <c r="E14378" s="2" t="s">
        <v>27484</v>
      </c>
      <c r="F14378" s="2" t="s">
        <v>49964</v>
      </c>
      <c r="G14378" s="2" t="str">
        <f>"SR-21141"</f>
        <v>SR-21141</v>
      </c>
      <c r="H14378" s="2" t="s">
        <v>49965</v>
      </c>
      <c r="I14378" s="2" t="s">
        <v>49966</v>
      </c>
      <c r="K14378" s="2" t="s">
        <v>1201</v>
      </c>
      <c r="L14378" s="2" t="s">
        <v>29</v>
      </c>
      <c r="M14378" s="2">
        <v>49085.0</v>
      </c>
      <c r="N14378" s="2" t="s">
        <v>21</v>
      </c>
    </row>
    <row r="14379" ht="15.75" customHeight="1">
      <c r="A14379" s="2">
        <v>2021.0</v>
      </c>
      <c r="B14379" s="2" t="s">
        <v>56072</v>
      </c>
      <c r="C14379" s="2" t="s">
        <v>56072</v>
      </c>
      <c r="D14379" s="2" t="str">
        <f>"9702509675"</f>
        <v>9702509675</v>
      </c>
      <c r="E14379" s="2" t="s">
        <v>456</v>
      </c>
      <c r="F14379" s="2" t="s">
        <v>13781</v>
      </c>
      <c r="G14379" s="2" t="str">
        <f>"SR-21049"</f>
        <v>SR-21049</v>
      </c>
      <c r="H14379" s="2" t="s">
        <v>56073</v>
      </c>
      <c r="I14379" s="2" t="s">
        <v>56074</v>
      </c>
      <c r="K14379" s="2" t="s">
        <v>32284</v>
      </c>
      <c r="L14379" s="2" t="s">
        <v>157</v>
      </c>
      <c r="M14379" s="2">
        <v>81413.0</v>
      </c>
      <c r="N14379" s="2" t="s">
        <v>21</v>
      </c>
    </row>
    <row r="14380" ht="15.75" customHeight="1">
      <c r="A14380" s="2">
        <v>2021.0</v>
      </c>
      <c r="B14380" s="2" t="s">
        <v>56075</v>
      </c>
      <c r="C14380" s="2" t="s">
        <v>56075</v>
      </c>
      <c r="D14380" s="2" t="str">
        <f>"9703612873"</f>
        <v>9703612873</v>
      </c>
      <c r="E14380" s="2" t="s">
        <v>7543</v>
      </c>
      <c r="F14380" s="2" t="s">
        <v>457</v>
      </c>
      <c r="G14380" s="2" t="str">
        <f>"SR-21074"</f>
        <v>SR-21074</v>
      </c>
      <c r="H14380" s="2" t="s">
        <v>56076</v>
      </c>
      <c r="I14380" s="2" t="s">
        <v>32319</v>
      </c>
      <c r="K14380" s="2" t="s">
        <v>32284</v>
      </c>
      <c r="L14380" s="2" t="s">
        <v>157</v>
      </c>
      <c r="M14380" s="2">
        <v>81413.0</v>
      </c>
      <c r="N14380" s="2" t="s">
        <v>21</v>
      </c>
    </row>
    <row r="14381" ht="15.75" customHeight="1">
      <c r="A14381" s="2">
        <v>2021.0</v>
      </c>
      <c r="B14381" s="2" t="s">
        <v>56077</v>
      </c>
      <c r="C14381" s="2" t="s">
        <v>56077</v>
      </c>
      <c r="D14381" s="2" t="str">
        <f>"9702704920"</f>
        <v>9702704920</v>
      </c>
      <c r="E14381" s="2" t="s">
        <v>6202</v>
      </c>
      <c r="F14381" s="2" t="s">
        <v>38954</v>
      </c>
      <c r="G14381" s="2" t="str">
        <f>"SR-21016"</f>
        <v>SR-21016</v>
      </c>
      <c r="H14381" s="2" t="s">
        <v>56078</v>
      </c>
      <c r="I14381" s="2" t="s">
        <v>56079</v>
      </c>
      <c r="K14381" s="2" t="s">
        <v>32284</v>
      </c>
      <c r="L14381" s="2" t="s">
        <v>157</v>
      </c>
      <c r="M14381" s="2">
        <v>81413.0</v>
      </c>
      <c r="N14381" s="2" t="s">
        <v>21</v>
      </c>
    </row>
    <row r="14382" ht="15.75" customHeight="1">
      <c r="A14382" s="2">
        <v>2021.0</v>
      </c>
      <c r="B14382" s="2" t="s">
        <v>46141</v>
      </c>
      <c r="C14382" s="2" t="s">
        <v>46141</v>
      </c>
      <c r="D14382" s="2" t="str">
        <f>"9703144447"</f>
        <v>9703144447</v>
      </c>
      <c r="E14382" s="2" t="s">
        <v>2438</v>
      </c>
      <c r="F14382" s="2" t="s">
        <v>44285</v>
      </c>
      <c r="G14382" s="2" t="str">
        <f>"SR-21025"</f>
        <v>SR-21025</v>
      </c>
      <c r="H14382" s="2" t="s">
        <v>46142</v>
      </c>
      <c r="I14382" s="2" t="s">
        <v>56080</v>
      </c>
      <c r="K14382" s="2" t="s">
        <v>2449</v>
      </c>
      <c r="L14382" s="2" t="s">
        <v>179</v>
      </c>
      <c r="M14382" s="2">
        <v>17601.0</v>
      </c>
      <c r="N14382" s="2" t="s">
        <v>21</v>
      </c>
    </row>
    <row r="14383" ht="15.75" customHeight="1">
      <c r="A14383" s="2">
        <v>2021.0</v>
      </c>
      <c r="B14383" s="2" t="s">
        <v>51308</v>
      </c>
      <c r="C14383" s="2" t="s">
        <v>51308</v>
      </c>
      <c r="D14383" s="2" t="str">
        <f>"1-620-217-7260"</f>
        <v>1-620-217-7260</v>
      </c>
      <c r="E14383" s="2" t="s">
        <v>2800</v>
      </c>
      <c r="F14383" s="2" t="s">
        <v>10090</v>
      </c>
      <c r="G14383" s="2" t="str">
        <f>"SR-18328"</f>
        <v>SR-18328</v>
      </c>
      <c r="H14383" s="2" t="s">
        <v>51309</v>
      </c>
      <c r="I14383" s="2" t="s">
        <v>51310</v>
      </c>
      <c r="K14383" s="2" t="s">
        <v>10093</v>
      </c>
      <c r="L14383" s="2" t="s">
        <v>272</v>
      </c>
      <c r="M14383" s="2">
        <v>67062.0</v>
      </c>
      <c r="N14383" s="2" t="s">
        <v>21</v>
      </c>
    </row>
    <row r="14384" ht="15.75" customHeight="1">
      <c r="A14384" s="2">
        <v>2021.0</v>
      </c>
      <c r="B14384" s="2" t="s">
        <v>36023</v>
      </c>
      <c r="C14384" s="2" t="s">
        <v>49263</v>
      </c>
      <c r="D14384" s="2" t="str">
        <f>"805 666 2945"</f>
        <v>805 666 2945</v>
      </c>
      <c r="E14384" s="2" t="s">
        <v>29734</v>
      </c>
      <c r="F14384" s="2" t="s">
        <v>36025</v>
      </c>
      <c r="G14384" s="2" t="str">
        <f>"SR-17535"</f>
        <v>SR-17535</v>
      </c>
      <c r="H14384" s="2" t="s">
        <v>49264</v>
      </c>
      <c r="I14384" s="2" t="s">
        <v>36027</v>
      </c>
      <c r="K14384" s="2" t="s">
        <v>36028</v>
      </c>
      <c r="L14384" s="2" t="s">
        <v>222</v>
      </c>
      <c r="M14384" s="2">
        <v>93004.0</v>
      </c>
      <c r="N14384" s="2" t="s">
        <v>21</v>
      </c>
    </row>
    <row r="14385" ht="15.75" customHeight="1">
      <c r="A14385" s="2">
        <v>2021.0</v>
      </c>
      <c r="B14385" s="2" t="s">
        <v>49489</v>
      </c>
      <c r="C14385" s="2" t="s">
        <v>49489</v>
      </c>
      <c r="D14385" s="2" t="str">
        <f>"765-615-1863"</f>
        <v>765-615-1863</v>
      </c>
      <c r="E14385" s="2" t="s">
        <v>3977</v>
      </c>
      <c r="F14385" s="2" t="s">
        <v>522</v>
      </c>
      <c r="G14385" s="2" t="str">
        <f>"SR-17644"</f>
        <v>SR-17644</v>
      </c>
      <c r="H14385" s="2" t="s">
        <v>49490</v>
      </c>
      <c r="I14385" s="2" t="s">
        <v>43490</v>
      </c>
      <c r="K14385" s="2" t="s">
        <v>984</v>
      </c>
      <c r="L14385" s="2" t="s">
        <v>149</v>
      </c>
      <c r="M14385" s="2">
        <v>46011.0</v>
      </c>
      <c r="N14385" s="2" t="s">
        <v>21</v>
      </c>
    </row>
    <row r="14386" ht="15.75" customHeight="1">
      <c r="A14386" s="2">
        <v>2021.0</v>
      </c>
      <c r="B14386" s="2" t="s">
        <v>50973</v>
      </c>
      <c r="C14386" s="2" t="s">
        <v>50973</v>
      </c>
      <c r="D14386" s="2" t="str">
        <f>"4235821978"</f>
        <v>4235821978</v>
      </c>
      <c r="E14386" s="2" t="s">
        <v>25566</v>
      </c>
      <c r="F14386" s="2" t="s">
        <v>28692</v>
      </c>
      <c r="G14386" s="2" t="str">
        <f>"SR-18188"</f>
        <v>SR-18188</v>
      </c>
      <c r="H14386" s="2" t="s">
        <v>50974</v>
      </c>
      <c r="I14386" s="2" t="s">
        <v>50975</v>
      </c>
      <c r="K14386" s="2" t="s">
        <v>6703</v>
      </c>
      <c r="L14386" s="2" t="s">
        <v>279</v>
      </c>
      <c r="M14386" s="2">
        <v>37377.0</v>
      </c>
      <c r="N14386" s="2" t="s">
        <v>21</v>
      </c>
    </row>
    <row r="14387" ht="15.75" customHeight="1">
      <c r="A14387" s="2">
        <v>2021.0</v>
      </c>
      <c r="B14387" s="2" t="s">
        <v>51596</v>
      </c>
      <c r="C14387" s="2" t="s">
        <v>51601</v>
      </c>
      <c r="D14387" s="2" t="str">
        <f>"4342470142"</f>
        <v>4342470142</v>
      </c>
      <c r="E14387" s="2" t="s">
        <v>44587</v>
      </c>
      <c r="F14387" s="2" t="s">
        <v>50440</v>
      </c>
      <c r="G14387" s="2" t="str">
        <f>"SR-18453"</f>
        <v>SR-18453</v>
      </c>
      <c r="H14387" s="2" t="s">
        <v>51602</v>
      </c>
      <c r="I14387" s="2" t="s">
        <v>51599</v>
      </c>
      <c r="K14387" s="2" t="s">
        <v>51600</v>
      </c>
      <c r="L14387" s="2" t="s">
        <v>165</v>
      </c>
      <c r="M14387" s="2">
        <v>23930.0</v>
      </c>
      <c r="N14387" s="2" t="s">
        <v>21</v>
      </c>
    </row>
    <row r="14388" ht="15.75" customHeight="1">
      <c r="A14388" s="2">
        <v>2021.0</v>
      </c>
      <c r="B14388" s="2" t="s">
        <v>51596</v>
      </c>
      <c r="C14388" s="2" t="s">
        <v>51597</v>
      </c>
      <c r="D14388" s="2" t="str">
        <f>"4342337780"</f>
        <v>4342337780</v>
      </c>
      <c r="E14388" s="2" t="s">
        <v>955</v>
      </c>
      <c r="F14388" s="2" t="s">
        <v>50440</v>
      </c>
      <c r="G14388" s="2" t="str">
        <f>"SR-18452"</f>
        <v>SR-18452</v>
      </c>
      <c r="H14388" s="2" t="s">
        <v>51598</v>
      </c>
      <c r="I14388" s="2" t="s">
        <v>51599</v>
      </c>
      <c r="K14388" s="2" t="s">
        <v>51600</v>
      </c>
      <c r="L14388" s="2" t="s">
        <v>165</v>
      </c>
      <c r="M14388" s="2">
        <v>23930.0</v>
      </c>
      <c r="N14388" s="2" t="s">
        <v>21</v>
      </c>
    </row>
    <row r="14389" ht="15.75" customHeight="1">
      <c r="A14389" s="2">
        <v>2021.0</v>
      </c>
      <c r="B14389" s="2" t="s">
        <v>50254</v>
      </c>
      <c r="C14389" s="2" t="s">
        <v>50255</v>
      </c>
      <c r="D14389" s="2" t="str">
        <f>"765-490-4220"</f>
        <v>765-490-4220</v>
      </c>
      <c r="E14389" s="2" t="s">
        <v>385</v>
      </c>
      <c r="F14389" s="2" t="s">
        <v>50256</v>
      </c>
      <c r="G14389" s="2" t="str">
        <f>"SR-17946"</f>
        <v>SR-17946</v>
      </c>
      <c r="H14389" s="2" t="s">
        <v>50257</v>
      </c>
      <c r="I14389" s="2" t="s">
        <v>50258</v>
      </c>
      <c r="K14389" s="2" t="s">
        <v>48533</v>
      </c>
      <c r="L14389" s="2" t="s">
        <v>149</v>
      </c>
      <c r="M14389" s="2">
        <v>47906.0</v>
      </c>
      <c r="N14389" s="2" t="s">
        <v>21</v>
      </c>
    </row>
    <row r="14390" ht="15.75" customHeight="1">
      <c r="A14390" s="2">
        <v>2021.0</v>
      </c>
      <c r="B14390" s="2" t="s">
        <v>56081</v>
      </c>
      <c r="C14390" s="2" t="s">
        <v>56082</v>
      </c>
      <c r="D14390" s="2" t="str">
        <f>"336-920-2574"</f>
        <v>336-920-2574</v>
      </c>
      <c r="E14390" s="2" t="s">
        <v>11107</v>
      </c>
      <c r="F14390" s="2" t="s">
        <v>56083</v>
      </c>
      <c r="G14390" s="2" t="str">
        <f>"SR-21150"</f>
        <v>SR-21150</v>
      </c>
      <c r="H14390" s="2" t="s">
        <v>56084</v>
      </c>
      <c r="I14390" s="2" t="s">
        <v>56085</v>
      </c>
      <c r="K14390" s="2" t="s">
        <v>5837</v>
      </c>
      <c r="L14390" s="2" t="s">
        <v>20</v>
      </c>
      <c r="M14390" s="2">
        <v>27408.0</v>
      </c>
      <c r="N14390" s="2" t="s">
        <v>21</v>
      </c>
    </row>
    <row r="14391" ht="15.75" customHeight="1">
      <c r="A14391" s="2">
        <v>2021.0</v>
      </c>
      <c r="B14391" s="2" t="s">
        <v>56086</v>
      </c>
      <c r="C14391" s="2" t="s">
        <v>56087</v>
      </c>
      <c r="D14391" s="2" t="str">
        <f>"864-872-1272"</f>
        <v>864-872-1272</v>
      </c>
      <c r="E14391" s="2" t="s">
        <v>718</v>
      </c>
      <c r="F14391" s="2" t="s">
        <v>5035</v>
      </c>
      <c r="G14391" s="2" t="str">
        <f>"SR-21151"</f>
        <v>SR-21151</v>
      </c>
      <c r="H14391" s="2" t="s">
        <v>56088</v>
      </c>
      <c r="I14391" s="2" t="s">
        <v>56089</v>
      </c>
      <c r="K14391" s="2" t="s">
        <v>54</v>
      </c>
      <c r="L14391" s="2" t="s">
        <v>55</v>
      </c>
      <c r="M14391" s="2">
        <v>29607.0</v>
      </c>
      <c r="N14391" s="2" t="s">
        <v>21</v>
      </c>
    </row>
    <row r="14392" ht="15.75" customHeight="1">
      <c r="A14392" s="2">
        <v>2021.0</v>
      </c>
      <c r="B14392" s="2" t="s">
        <v>49717</v>
      </c>
      <c r="C14392" s="2" t="s">
        <v>56090</v>
      </c>
      <c r="D14392" s="2" t="str">
        <f>"4046731600"</f>
        <v>4046731600</v>
      </c>
      <c r="E14392" s="2" t="s">
        <v>47879</v>
      </c>
      <c r="F14392" s="2" t="s">
        <v>13604</v>
      </c>
      <c r="G14392" s="2" t="str">
        <f>"SR-20761"</f>
        <v>SR-20761</v>
      </c>
      <c r="H14392" s="2" t="s">
        <v>49718</v>
      </c>
      <c r="I14392" s="2" t="s">
        <v>56091</v>
      </c>
      <c r="K14392" s="2" t="s">
        <v>5092</v>
      </c>
      <c r="L14392" s="2" t="s">
        <v>208</v>
      </c>
      <c r="M14392" s="2">
        <v>32174.0</v>
      </c>
      <c r="N14392" s="2" t="s">
        <v>21</v>
      </c>
    </row>
    <row r="14393" ht="15.75" customHeight="1">
      <c r="A14393" s="2">
        <v>2021.0</v>
      </c>
      <c r="B14393" s="2" t="s">
        <v>56092</v>
      </c>
      <c r="C14393" s="2" t="s">
        <v>56093</v>
      </c>
      <c r="D14393" s="2" t="str">
        <f>"940-594-4342"</f>
        <v>940-594-4342</v>
      </c>
      <c r="E14393" s="2" t="s">
        <v>1141</v>
      </c>
      <c r="F14393" s="2" t="s">
        <v>4216</v>
      </c>
      <c r="G14393" s="2" t="str">
        <f>"SR-20813"</f>
        <v>SR-20813</v>
      </c>
      <c r="H14393" s="2" t="s">
        <v>56094</v>
      </c>
      <c r="I14393" s="2" t="s">
        <v>56095</v>
      </c>
      <c r="K14393" s="2" t="s">
        <v>6539</v>
      </c>
      <c r="L14393" s="2" t="s">
        <v>172</v>
      </c>
      <c r="M14393" s="2">
        <v>76208.0</v>
      </c>
      <c r="N14393" s="2" t="s">
        <v>21</v>
      </c>
    </row>
    <row r="14394" ht="15.75" customHeight="1">
      <c r="A14394" s="2">
        <v>2021.0</v>
      </c>
      <c r="B14394" s="2" t="s">
        <v>56096</v>
      </c>
      <c r="C14394" s="2" t="s">
        <v>56097</v>
      </c>
      <c r="D14394" s="2" t="str">
        <f>"(512)994-6618"</f>
        <v>(512)994-6618</v>
      </c>
      <c r="E14394" s="2" t="s">
        <v>1803</v>
      </c>
      <c r="F14394" s="2" t="s">
        <v>417</v>
      </c>
      <c r="G14394" s="2" t="str">
        <f>"SR-21148"</f>
        <v>SR-21148</v>
      </c>
      <c r="H14394" s="2" t="s">
        <v>56098</v>
      </c>
      <c r="I14394" s="2" t="s">
        <v>56099</v>
      </c>
      <c r="K14394" s="2" t="s">
        <v>1141</v>
      </c>
      <c r="L14394" s="2" t="s">
        <v>172</v>
      </c>
      <c r="M14394" s="2">
        <v>78735.0</v>
      </c>
      <c r="N14394" s="2" t="s">
        <v>21</v>
      </c>
    </row>
    <row r="14395" ht="15.75" customHeight="1">
      <c r="A14395" s="2">
        <v>2021.0</v>
      </c>
      <c r="B14395" s="2" t="s">
        <v>44000</v>
      </c>
      <c r="C14395" s="2" t="s">
        <v>56100</v>
      </c>
      <c r="D14395" s="2" t="str">
        <f>"715-531-5711"</f>
        <v>715-531-5711</v>
      </c>
      <c r="E14395" s="2" t="s">
        <v>34749</v>
      </c>
      <c r="F14395" s="2" t="s">
        <v>23498</v>
      </c>
      <c r="G14395" s="2" t="str">
        <f>"SR-20806"</f>
        <v>SR-20806</v>
      </c>
      <c r="H14395" s="2" t="s">
        <v>56101</v>
      </c>
      <c r="I14395" s="2" t="s">
        <v>44003</v>
      </c>
      <c r="K14395" s="2" t="s">
        <v>23501</v>
      </c>
      <c r="L14395" s="2" t="s">
        <v>193</v>
      </c>
      <c r="M14395" s="2">
        <v>54025.0</v>
      </c>
      <c r="N14395" s="2" t="s">
        <v>21</v>
      </c>
    </row>
    <row r="14396" ht="15.75" customHeight="1">
      <c r="A14396" s="2">
        <v>2021.0</v>
      </c>
      <c r="B14396" s="2" t="s">
        <v>47434</v>
      </c>
      <c r="C14396" s="2" t="s">
        <v>56102</v>
      </c>
      <c r="D14396" s="2" t="str">
        <f>"864-293-5490"</f>
        <v>864-293-5490</v>
      </c>
      <c r="E14396" s="2" t="s">
        <v>113</v>
      </c>
      <c r="F14396" s="2" t="s">
        <v>19277</v>
      </c>
      <c r="G14396" s="2" t="str">
        <f>"SR-21084"</f>
        <v>SR-21084</v>
      </c>
      <c r="H14396" s="2" t="s">
        <v>56103</v>
      </c>
      <c r="I14396" s="2" t="s">
        <v>56104</v>
      </c>
      <c r="K14396" s="2" t="s">
        <v>1878</v>
      </c>
      <c r="L14396" s="2" t="s">
        <v>55</v>
      </c>
      <c r="M14396" s="2">
        <v>29681.0</v>
      </c>
      <c r="N14396" s="2" t="s">
        <v>21</v>
      </c>
    </row>
    <row r="14397" ht="15.75" customHeight="1">
      <c r="A14397" s="2">
        <v>2021.0</v>
      </c>
      <c r="B14397" s="2" t="s">
        <v>35938</v>
      </c>
      <c r="C14397" s="2" t="s">
        <v>51607</v>
      </c>
      <c r="D14397" s="2" t="str">
        <f>"916-883-8503"</f>
        <v>916-883-8503</v>
      </c>
      <c r="E14397" s="2" t="s">
        <v>51282</v>
      </c>
      <c r="F14397" s="2" t="s">
        <v>35940</v>
      </c>
      <c r="G14397" s="2" t="str">
        <f>"SR-17505"</f>
        <v>SR-17505</v>
      </c>
      <c r="H14397" s="2" t="s">
        <v>51608</v>
      </c>
      <c r="I14397" s="2" t="s">
        <v>51609</v>
      </c>
      <c r="K14397" s="2" t="s">
        <v>863</v>
      </c>
      <c r="L14397" s="2" t="s">
        <v>157</v>
      </c>
      <c r="M14397" s="2">
        <v>80650.0</v>
      </c>
      <c r="N14397" s="2" t="s">
        <v>21</v>
      </c>
    </row>
    <row r="14398" ht="15.75" customHeight="1">
      <c r="A14398" s="2">
        <v>2021.0</v>
      </c>
      <c r="B14398" s="2" t="s">
        <v>56105</v>
      </c>
      <c r="C14398" s="2" t="s">
        <v>56106</v>
      </c>
      <c r="D14398" s="2" t="str">
        <f>"2054101919"</f>
        <v>2054101919</v>
      </c>
      <c r="E14398" s="2" t="s">
        <v>2598</v>
      </c>
      <c r="F14398" s="2" t="s">
        <v>1496</v>
      </c>
      <c r="G14398" s="2" t="str">
        <f>"SR-21152"</f>
        <v>SR-21152</v>
      </c>
      <c r="H14398" s="2" t="s">
        <v>56107</v>
      </c>
      <c r="I14398" s="2" t="s">
        <v>56108</v>
      </c>
      <c r="K14398" s="2" t="s">
        <v>229</v>
      </c>
      <c r="L14398" s="2" t="s">
        <v>214</v>
      </c>
      <c r="M14398" s="2">
        <v>65775.0</v>
      </c>
      <c r="N14398" s="2" t="s">
        <v>21</v>
      </c>
    </row>
    <row r="14399" ht="15.75" customHeight="1">
      <c r="A14399" s="2">
        <v>2021.0</v>
      </c>
      <c r="B14399" s="2" t="s">
        <v>56109</v>
      </c>
      <c r="C14399" s="2" t="s">
        <v>56109</v>
      </c>
      <c r="D14399" s="2" t="str">
        <f>"417-372-3924"</f>
        <v>417-372-3924</v>
      </c>
      <c r="E14399" s="2" t="s">
        <v>14150</v>
      </c>
      <c r="F14399" s="2" t="s">
        <v>56110</v>
      </c>
      <c r="G14399" s="2" t="str">
        <f>"SR-21153"</f>
        <v>SR-21153</v>
      </c>
      <c r="H14399" s="2" t="s">
        <v>56111</v>
      </c>
      <c r="I14399" s="2" t="s">
        <v>56112</v>
      </c>
      <c r="K14399" s="2" t="s">
        <v>229</v>
      </c>
      <c r="L14399" s="2" t="s">
        <v>214</v>
      </c>
      <c r="M14399" s="2">
        <v>65775.0</v>
      </c>
      <c r="N14399" s="2" t="s">
        <v>21</v>
      </c>
    </row>
    <row r="14400" ht="15.75" customHeight="1">
      <c r="A14400" s="2">
        <v>2021.0</v>
      </c>
      <c r="B14400" s="2" t="s">
        <v>56113</v>
      </c>
      <c r="C14400" s="2" t="s">
        <v>56114</v>
      </c>
      <c r="D14400" s="2" t="str">
        <f>"541-535-6152"</f>
        <v>541-535-6152</v>
      </c>
      <c r="E14400" s="2" t="s">
        <v>56115</v>
      </c>
      <c r="F14400" s="2" t="s">
        <v>8661</v>
      </c>
      <c r="G14400" s="2" t="str">
        <f>"SR-21154"</f>
        <v>SR-21154</v>
      </c>
      <c r="H14400" s="2" t="s">
        <v>56116</v>
      </c>
      <c r="I14400" s="2" t="s">
        <v>56117</v>
      </c>
      <c r="K14400" s="2" t="s">
        <v>421</v>
      </c>
      <c r="L14400" s="2" t="s">
        <v>2389</v>
      </c>
      <c r="M14400" s="2">
        <v>97535.0</v>
      </c>
      <c r="N14400" s="2" t="s">
        <v>21</v>
      </c>
    </row>
    <row r="14401" ht="15.75" customHeight="1">
      <c r="A14401" s="2">
        <v>2021.0</v>
      </c>
      <c r="B14401" s="2" t="s">
        <v>56118</v>
      </c>
      <c r="C14401" s="2" t="s">
        <v>56118</v>
      </c>
      <c r="D14401" s="2" t="str">
        <f>"4172939276"</f>
        <v>4172939276</v>
      </c>
      <c r="E14401" s="2" t="s">
        <v>48899</v>
      </c>
      <c r="F14401" s="2" t="s">
        <v>3797</v>
      </c>
      <c r="G14401" s="2" t="str">
        <f>"SR-21145"</f>
        <v>SR-21145</v>
      </c>
      <c r="H14401" s="2" t="s">
        <v>56119</v>
      </c>
      <c r="I14401" s="2" t="s">
        <v>17221</v>
      </c>
      <c r="K14401" s="2" t="s">
        <v>229</v>
      </c>
      <c r="L14401" s="2" t="s">
        <v>214</v>
      </c>
      <c r="M14401" s="2">
        <v>65775.0</v>
      </c>
      <c r="N14401" s="2" t="s">
        <v>21</v>
      </c>
    </row>
    <row r="14402" ht="15.75" customHeight="1">
      <c r="A14402" s="2">
        <v>2021.0</v>
      </c>
      <c r="B14402" s="2" t="s">
        <v>40306</v>
      </c>
      <c r="C14402" s="2" t="s">
        <v>50949</v>
      </c>
      <c r="D14402" s="2" t="str">
        <f>"9132697575"</f>
        <v>9132697575</v>
      </c>
      <c r="E14402" s="2" t="s">
        <v>49189</v>
      </c>
      <c r="F14402" s="2" t="s">
        <v>639</v>
      </c>
      <c r="G14402" s="2" t="str">
        <f>"SR-17965"</f>
        <v>SR-17965</v>
      </c>
      <c r="H14402" s="2" t="s">
        <v>50950</v>
      </c>
      <c r="I14402" s="2" t="s">
        <v>40309</v>
      </c>
      <c r="K14402" s="2" t="s">
        <v>1814</v>
      </c>
      <c r="L14402" s="2" t="s">
        <v>272</v>
      </c>
      <c r="M14402" s="2">
        <v>66102.0</v>
      </c>
      <c r="N14402" s="2" t="s">
        <v>21</v>
      </c>
    </row>
    <row r="14403" ht="15.75" customHeight="1">
      <c r="A14403" s="2">
        <v>2021.0</v>
      </c>
      <c r="B14403" s="2" t="s">
        <v>56120</v>
      </c>
      <c r="C14403" s="2" t="s">
        <v>56121</v>
      </c>
      <c r="D14403" s="2" t="str">
        <f>"940-305-4702"</f>
        <v>940-305-4702</v>
      </c>
      <c r="E14403" s="2" t="s">
        <v>56122</v>
      </c>
      <c r="F14403" s="2" t="s">
        <v>580</v>
      </c>
      <c r="G14403" s="2" t="str">
        <f>"SR-21159"</f>
        <v>SR-21159</v>
      </c>
      <c r="H14403" s="2" t="s">
        <v>56123</v>
      </c>
      <c r="I14403" s="2" t="s">
        <v>56124</v>
      </c>
      <c r="K14403" s="2" t="s">
        <v>56125</v>
      </c>
      <c r="L14403" s="2" t="s">
        <v>172</v>
      </c>
      <c r="M14403" s="2">
        <v>76272.0</v>
      </c>
      <c r="N14403" s="2" t="s">
        <v>21</v>
      </c>
    </row>
    <row r="14404" ht="15.75" customHeight="1">
      <c r="A14404" s="2">
        <v>2021.0</v>
      </c>
      <c r="B14404" s="2" t="s">
        <v>56126</v>
      </c>
      <c r="C14404" s="2" t="s">
        <v>56127</v>
      </c>
      <c r="D14404" s="2" t="str">
        <f>"9708156709"</f>
        <v>9708156709</v>
      </c>
      <c r="E14404" s="2" t="s">
        <v>56128</v>
      </c>
      <c r="F14404" s="2" t="s">
        <v>16070</v>
      </c>
      <c r="G14404" s="2" t="str">
        <f>"SR-21017"</f>
        <v>SR-21017</v>
      </c>
      <c r="H14404" s="2" t="s">
        <v>56129</v>
      </c>
      <c r="I14404" s="2" t="s">
        <v>56130</v>
      </c>
      <c r="K14404" s="2" t="s">
        <v>1632</v>
      </c>
      <c r="L14404" s="2" t="s">
        <v>157</v>
      </c>
      <c r="M14404" s="2">
        <v>80550.0</v>
      </c>
      <c r="N14404" s="2" t="s">
        <v>21</v>
      </c>
    </row>
    <row r="14405" ht="15.75" customHeight="1">
      <c r="A14405" s="2">
        <v>2021.0</v>
      </c>
      <c r="B14405" s="2" t="s">
        <v>56131</v>
      </c>
      <c r="C14405" s="2" t="s">
        <v>56132</v>
      </c>
      <c r="D14405" s="2" t="str">
        <f>"6052223563"</f>
        <v>6052223563</v>
      </c>
      <c r="E14405" s="2" t="s">
        <v>1239</v>
      </c>
      <c r="F14405" s="2" t="s">
        <v>49444</v>
      </c>
      <c r="G14405" s="2" t="str">
        <f>"SR-21162"</f>
        <v>SR-21162</v>
      </c>
      <c r="H14405" s="2" t="s">
        <v>49445</v>
      </c>
      <c r="I14405" s="2" t="s">
        <v>56133</v>
      </c>
      <c r="K14405" s="2" t="s">
        <v>4355</v>
      </c>
      <c r="L14405" s="2" t="s">
        <v>920</v>
      </c>
      <c r="M14405" s="2">
        <v>57501.0</v>
      </c>
      <c r="N14405" s="2" t="s">
        <v>21</v>
      </c>
    </row>
    <row r="14406" ht="15.75" customHeight="1">
      <c r="A14406" s="2">
        <v>2021.0</v>
      </c>
      <c r="B14406" s="2" t="s">
        <v>4608</v>
      </c>
      <c r="C14406" s="2" t="s">
        <v>40897</v>
      </c>
      <c r="D14406" s="2" t="str">
        <f>"224-563-7541"</f>
        <v>224-563-7541</v>
      </c>
      <c r="E14406" s="2" t="s">
        <v>453</v>
      </c>
      <c r="F14406" s="2" t="s">
        <v>4610</v>
      </c>
      <c r="G14406" s="2" t="str">
        <f>"SR-13976"</f>
        <v>SR-13976</v>
      </c>
      <c r="H14406" s="2" t="s">
        <v>40898</v>
      </c>
      <c r="I14406" s="2" t="s">
        <v>33774</v>
      </c>
      <c r="K14406" s="2" t="s">
        <v>4613</v>
      </c>
      <c r="L14406" s="2" t="s">
        <v>105</v>
      </c>
      <c r="M14406" s="2">
        <v>60047.0</v>
      </c>
      <c r="N14406" s="2" t="s">
        <v>21</v>
      </c>
    </row>
    <row r="14407" ht="15.75" customHeight="1">
      <c r="A14407" s="2">
        <v>2021.0</v>
      </c>
      <c r="B14407" s="2" t="s">
        <v>56134</v>
      </c>
      <c r="C14407" s="2" t="s">
        <v>56134</v>
      </c>
      <c r="D14407" s="2" t="str">
        <f>"3039565343"</f>
        <v>3039565343</v>
      </c>
      <c r="E14407" s="2" t="s">
        <v>3935</v>
      </c>
      <c r="F14407" s="2" t="s">
        <v>7039</v>
      </c>
      <c r="G14407" s="2" t="str">
        <f>"SR-21164"</f>
        <v>SR-21164</v>
      </c>
      <c r="H14407" s="2" t="s">
        <v>56135</v>
      </c>
      <c r="I14407" s="2" t="s">
        <v>56136</v>
      </c>
      <c r="K14407" s="2" t="s">
        <v>56137</v>
      </c>
      <c r="L14407" s="2" t="s">
        <v>157</v>
      </c>
      <c r="M14407" s="2">
        <v>80603.0</v>
      </c>
      <c r="N14407" s="2" t="s">
        <v>21</v>
      </c>
    </row>
    <row r="14408" ht="15.75" customHeight="1">
      <c r="A14408" s="2">
        <v>2021.0</v>
      </c>
      <c r="B14408" s="2" t="s">
        <v>56138</v>
      </c>
      <c r="C14408" s="2" t="s">
        <v>56138</v>
      </c>
      <c r="D14408" s="2" t="str">
        <f>"7203417725"</f>
        <v>7203417725</v>
      </c>
      <c r="E14408" s="2" t="s">
        <v>56139</v>
      </c>
      <c r="F14408" s="2" t="s">
        <v>11781</v>
      </c>
      <c r="G14408" s="2" t="str">
        <f>"SR-21166"</f>
        <v>SR-21166</v>
      </c>
      <c r="H14408" s="2" t="s">
        <v>56140</v>
      </c>
      <c r="I14408" s="2" t="s">
        <v>56141</v>
      </c>
      <c r="K14408" s="2" t="s">
        <v>17147</v>
      </c>
      <c r="L14408" s="2" t="s">
        <v>157</v>
      </c>
      <c r="M14408" s="2">
        <v>80603.0</v>
      </c>
      <c r="N14408" s="2" t="s">
        <v>21</v>
      </c>
    </row>
    <row r="14409" ht="15.75" customHeight="1">
      <c r="A14409" s="2">
        <v>2021.0</v>
      </c>
      <c r="B14409" s="2" t="s">
        <v>56142</v>
      </c>
      <c r="C14409" s="2" t="s">
        <v>56142</v>
      </c>
      <c r="D14409" s="2" t="str">
        <f>"701-215-6351"</f>
        <v>701-215-6351</v>
      </c>
      <c r="E14409" s="2" t="s">
        <v>19516</v>
      </c>
      <c r="F14409" s="2" t="s">
        <v>11517</v>
      </c>
      <c r="G14409" s="2" t="str">
        <f>"SR-21167"</f>
        <v>SR-21167</v>
      </c>
      <c r="H14409" s="2" t="s">
        <v>56143</v>
      </c>
      <c r="I14409" s="2" t="s">
        <v>56144</v>
      </c>
      <c r="K14409" s="2" t="s">
        <v>94</v>
      </c>
      <c r="L14409" s="2" t="s">
        <v>2534</v>
      </c>
      <c r="M14409" s="2">
        <v>58278.0</v>
      </c>
      <c r="N14409" s="2" t="s">
        <v>21</v>
      </c>
    </row>
    <row r="14410" ht="15.75" customHeight="1">
      <c r="A14410" s="2">
        <v>2021.0</v>
      </c>
      <c r="B14410" s="2" t="s">
        <v>56145</v>
      </c>
      <c r="C14410" s="2" t="s">
        <v>56145</v>
      </c>
      <c r="D14410" s="2" t="str">
        <f>"417-293-4447"</f>
        <v>417-293-4447</v>
      </c>
      <c r="E14410" s="2" t="s">
        <v>56146</v>
      </c>
      <c r="F14410" s="2" t="s">
        <v>4941</v>
      </c>
      <c r="G14410" s="2" t="str">
        <f>"SR-21170"</f>
        <v>SR-21170</v>
      </c>
      <c r="H14410" s="2" t="s">
        <v>56147</v>
      </c>
      <c r="I14410" s="2" t="s">
        <v>56148</v>
      </c>
      <c r="K14410" s="2" t="s">
        <v>229</v>
      </c>
      <c r="L14410" s="2" t="s">
        <v>214</v>
      </c>
      <c r="M14410" s="2">
        <v>65775.0</v>
      </c>
      <c r="N14410" s="2" t="s">
        <v>21</v>
      </c>
    </row>
    <row r="14411" ht="15.75" customHeight="1">
      <c r="A14411" s="2">
        <v>2021.0</v>
      </c>
      <c r="B14411" s="2" t="s">
        <v>56149</v>
      </c>
      <c r="C14411" s="2" t="s">
        <v>56150</v>
      </c>
      <c r="D14411" s="2" t="str">
        <f>"6785917992"</f>
        <v>6785917992</v>
      </c>
      <c r="E14411" s="2" t="s">
        <v>6077</v>
      </c>
      <c r="F14411" s="2" t="s">
        <v>10775</v>
      </c>
      <c r="G14411" s="2" t="str">
        <f>"SR-21171"</f>
        <v>SR-21171</v>
      </c>
      <c r="H14411" s="2" t="s">
        <v>56151</v>
      </c>
      <c r="I14411" s="2" t="s">
        <v>56152</v>
      </c>
      <c r="K14411" s="2" t="s">
        <v>16743</v>
      </c>
      <c r="L14411" s="2" t="s">
        <v>200</v>
      </c>
      <c r="M14411" s="2">
        <v>30040.0</v>
      </c>
      <c r="N14411" s="2" t="s">
        <v>21</v>
      </c>
    </row>
    <row r="14412" ht="15.75" customHeight="1">
      <c r="A14412" s="2">
        <v>2021.0</v>
      </c>
      <c r="B14412" s="2" t="s">
        <v>49528</v>
      </c>
      <c r="C14412" s="2" t="s">
        <v>49528</v>
      </c>
      <c r="D14412" s="2" t="str">
        <f>"419-673-7088"</f>
        <v>419-673-7088</v>
      </c>
      <c r="E14412" s="2" t="s">
        <v>695</v>
      </c>
      <c r="F14412" s="2" t="s">
        <v>3144</v>
      </c>
      <c r="G14412" s="2" t="str">
        <f>"SR-17662"</f>
        <v>SR-17662</v>
      </c>
      <c r="H14412" s="2" t="s">
        <v>49529</v>
      </c>
      <c r="I14412" s="2" t="s">
        <v>27840</v>
      </c>
      <c r="K14412" s="2" t="s">
        <v>28</v>
      </c>
      <c r="L14412" s="2" t="s">
        <v>344</v>
      </c>
      <c r="M14412" s="2">
        <v>45810.0</v>
      </c>
      <c r="N14412" s="2" t="s">
        <v>21</v>
      </c>
    </row>
    <row r="14413" ht="15.75" customHeight="1">
      <c r="A14413" s="2">
        <v>2021.0</v>
      </c>
      <c r="B14413" s="2" t="s">
        <v>56153</v>
      </c>
      <c r="C14413" s="2" t="s">
        <v>56154</v>
      </c>
      <c r="D14413" s="2" t="str">
        <f>"417-204-2232"</f>
        <v>417-204-2232</v>
      </c>
      <c r="E14413" s="2" t="s">
        <v>1799</v>
      </c>
      <c r="F14413" s="2" t="s">
        <v>50396</v>
      </c>
      <c r="G14413" s="2" t="str">
        <f>"SR-21172"</f>
        <v>SR-21172</v>
      </c>
      <c r="H14413" s="2" t="s">
        <v>56155</v>
      </c>
      <c r="I14413" s="2" t="s">
        <v>50398</v>
      </c>
      <c r="K14413" s="2" t="s">
        <v>229</v>
      </c>
      <c r="L14413" s="2" t="s">
        <v>214</v>
      </c>
      <c r="M14413" s="2">
        <v>65775.0</v>
      </c>
      <c r="N14413" s="2" t="s">
        <v>21</v>
      </c>
    </row>
    <row r="14414" ht="15.75" customHeight="1">
      <c r="A14414" s="2">
        <v>2021.0</v>
      </c>
      <c r="B14414" s="2" t="s">
        <v>48259</v>
      </c>
      <c r="C14414" s="2" t="s">
        <v>48260</v>
      </c>
      <c r="D14414" s="2" t="str">
        <f>"813-545-7909"</f>
        <v>813-545-7909</v>
      </c>
      <c r="E14414" s="2" t="s">
        <v>4897</v>
      </c>
      <c r="F14414" s="2" t="s">
        <v>48254</v>
      </c>
      <c r="G14414" s="2" t="str">
        <f>"SR-16939"</f>
        <v>SR-16939</v>
      </c>
      <c r="H14414" s="2" t="s">
        <v>48261</v>
      </c>
      <c r="I14414" s="2" t="s">
        <v>48262</v>
      </c>
      <c r="K14414" s="2" t="s">
        <v>3431</v>
      </c>
      <c r="L14414" s="2" t="s">
        <v>208</v>
      </c>
      <c r="M14414" s="2">
        <v>33647.0</v>
      </c>
      <c r="N14414" s="2" t="s">
        <v>21</v>
      </c>
    </row>
    <row r="14415" ht="15.75" customHeight="1">
      <c r="A14415" s="2">
        <v>2021.0</v>
      </c>
      <c r="B14415" s="2" t="s">
        <v>56156</v>
      </c>
      <c r="C14415" s="2" t="s">
        <v>56157</v>
      </c>
      <c r="D14415" s="2" t="str">
        <f>"3035235820"</f>
        <v>3035235820</v>
      </c>
      <c r="E14415" s="2" t="s">
        <v>3196</v>
      </c>
      <c r="F14415" s="2" t="s">
        <v>56158</v>
      </c>
      <c r="G14415" s="2" t="str">
        <f>"SR-21173"</f>
        <v>SR-21173</v>
      </c>
      <c r="H14415" s="2" t="s">
        <v>56159</v>
      </c>
      <c r="I14415" s="2" t="s">
        <v>56160</v>
      </c>
      <c r="K14415" s="2" t="s">
        <v>25719</v>
      </c>
      <c r="L14415" s="2" t="s">
        <v>200</v>
      </c>
      <c r="M14415" s="2">
        <v>30019.0</v>
      </c>
      <c r="N14415" s="2" t="s">
        <v>21</v>
      </c>
    </row>
    <row r="14416" ht="15.75" customHeight="1">
      <c r="A14416" s="2">
        <v>2021.0</v>
      </c>
      <c r="B14416" s="2" t="s">
        <v>56161</v>
      </c>
      <c r="C14416" s="2" t="s">
        <v>56161</v>
      </c>
      <c r="D14416" s="2" t="str">
        <f>"404-450-2515"</f>
        <v>404-450-2515</v>
      </c>
      <c r="E14416" s="2" t="s">
        <v>282</v>
      </c>
      <c r="F14416" s="2" t="s">
        <v>33038</v>
      </c>
      <c r="G14416" s="2" t="str">
        <f>"SR-21175"</f>
        <v>SR-21175</v>
      </c>
      <c r="H14416" s="2" t="s">
        <v>56162</v>
      </c>
      <c r="I14416" s="2" t="s">
        <v>56163</v>
      </c>
      <c r="K14416" s="2" t="s">
        <v>16743</v>
      </c>
      <c r="L14416" s="2" t="s">
        <v>200</v>
      </c>
      <c r="M14416" s="2">
        <v>30040.0</v>
      </c>
      <c r="N14416" s="2" t="s">
        <v>21</v>
      </c>
    </row>
    <row r="14417" ht="15.75" customHeight="1">
      <c r="A14417" s="2">
        <v>2021.0</v>
      </c>
      <c r="B14417" s="2" t="s">
        <v>56164</v>
      </c>
      <c r="C14417" s="2" t="s">
        <v>56164</v>
      </c>
      <c r="D14417" s="2" t="str">
        <f>"(408)-796-8166"</f>
        <v>(408)-796-8166</v>
      </c>
      <c r="E14417" s="2" t="s">
        <v>167</v>
      </c>
      <c r="F14417" s="2" t="s">
        <v>16639</v>
      </c>
      <c r="G14417" s="2" t="str">
        <f>"SR-20754"</f>
        <v>SR-20754</v>
      </c>
      <c r="H14417" s="2" t="s">
        <v>56165</v>
      </c>
      <c r="I14417" s="2" t="s">
        <v>56166</v>
      </c>
      <c r="K14417" s="2" t="s">
        <v>5826</v>
      </c>
      <c r="L14417" s="2" t="s">
        <v>222</v>
      </c>
      <c r="M14417" s="2">
        <v>95132.0</v>
      </c>
      <c r="N14417" s="2" t="s">
        <v>21</v>
      </c>
    </row>
    <row r="14418" ht="15.75" customHeight="1">
      <c r="A14418" s="2">
        <v>2021.0</v>
      </c>
      <c r="B14418" s="2" t="s">
        <v>50394</v>
      </c>
      <c r="C14418" s="2" t="s">
        <v>50395</v>
      </c>
      <c r="D14418" s="2" t="str">
        <f>"4173725952"</f>
        <v>4173725952</v>
      </c>
      <c r="E14418" s="2" t="s">
        <v>144</v>
      </c>
      <c r="F14418" s="2" t="s">
        <v>50396</v>
      </c>
      <c r="G14418" s="2" t="str">
        <f>"SR-18005"</f>
        <v>SR-18005</v>
      </c>
      <c r="H14418" s="2" t="s">
        <v>50397</v>
      </c>
      <c r="I14418" s="2" t="s">
        <v>50398</v>
      </c>
      <c r="K14418" s="2" t="s">
        <v>229</v>
      </c>
      <c r="L14418" s="2" t="s">
        <v>214</v>
      </c>
      <c r="M14418" s="2">
        <v>65775.0</v>
      </c>
      <c r="N14418" s="2" t="s">
        <v>21</v>
      </c>
    </row>
    <row r="14419" ht="15.75" customHeight="1">
      <c r="A14419" s="2">
        <v>2021.0</v>
      </c>
      <c r="B14419" s="2" t="s">
        <v>50723</v>
      </c>
      <c r="C14419" s="2" t="s">
        <v>50724</v>
      </c>
      <c r="D14419" s="2" t="str">
        <f>"720-841-9598"</f>
        <v>720-841-9598</v>
      </c>
      <c r="E14419" s="2" t="s">
        <v>11478</v>
      </c>
      <c r="F14419" s="2" t="s">
        <v>690</v>
      </c>
      <c r="G14419" s="2" t="str">
        <f>"SR-17497"</f>
        <v>SR-17497</v>
      </c>
      <c r="H14419" s="2" t="s">
        <v>50725</v>
      </c>
      <c r="I14419" s="2" t="s">
        <v>50726</v>
      </c>
      <c r="K14419" s="2" t="s">
        <v>6915</v>
      </c>
      <c r="L14419" s="2" t="s">
        <v>157</v>
      </c>
      <c r="M14419" s="2">
        <v>80031.0</v>
      </c>
      <c r="N14419" s="2" t="s">
        <v>21</v>
      </c>
    </row>
    <row r="14420" ht="15.75" customHeight="1">
      <c r="A14420" s="2">
        <v>2021.0</v>
      </c>
      <c r="B14420" s="2" t="s">
        <v>50723</v>
      </c>
      <c r="C14420" s="2" t="s">
        <v>50727</v>
      </c>
      <c r="D14420" s="2" t="str">
        <f>"303-464-9006"</f>
        <v>303-464-9006</v>
      </c>
      <c r="E14420" s="2" t="s">
        <v>50728</v>
      </c>
      <c r="F14420" s="2" t="s">
        <v>690</v>
      </c>
      <c r="G14420" s="2" t="str">
        <f>"SR-17498"</f>
        <v>SR-17498</v>
      </c>
      <c r="H14420" s="2" t="s">
        <v>50729</v>
      </c>
      <c r="I14420" s="2" t="s">
        <v>50726</v>
      </c>
      <c r="K14420" s="2" t="s">
        <v>6915</v>
      </c>
      <c r="L14420" s="2" t="s">
        <v>157</v>
      </c>
      <c r="M14420" s="2">
        <v>80031.0</v>
      </c>
      <c r="N14420" s="2" t="s">
        <v>21</v>
      </c>
    </row>
    <row r="14421" ht="15.75" customHeight="1">
      <c r="A14421" s="2">
        <v>2021.0</v>
      </c>
      <c r="B14421" s="2" t="s">
        <v>51514</v>
      </c>
      <c r="D14421" s="2" t="str">
        <f>""</f>
        <v/>
      </c>
      <c r="E14421" s="2" t="s">
        <v>4763</v>
      </c>
      <c r="F14421" s="2" t="s">
        <v>14432</v>
      </c>
      <c r="G14421" s="2" t="str">
        <f>"SR-18419"</f>
        <v>SR-18419</v>
      </c>
      <c r="H14421" s="2" t="s">
        <v>51515</v>
      </c>
    </row>
    <row r="14422" ht="15.75" customHeight="1">
      <c r="A14422" s="2">
        <v>2021.0</v>
      </c>
      <c r="B14422" s="2" t="s">
        <v>52367</v>
      </c>
      <c r="C14422" s="2" t="s">
        <v>52368</v>
      </c>
      <c r="D14422" s="2" t="str">
        <f>"7196874494"</f>
        <v>7196874494</v>
      </c>
      <c r="E14422" s="2" t="s">
        <v>1208</v>
      </c>
      <c r="F14422" s="2" t="s">
        <v>3212</v>
      </c>
      <c r="G14422" s="2" t="str">
        <f>"SR-18724"</f>
        <v>SR-18724</v>
      </c>
      <c r="H14422" s="2" t="s">
        <v>52369</v>
      </c>
      <c r="I14422" s="2" t="s">
        <v>52370</v>
      </c>
      <c r="K14422" s="2" t="s">
        <v>1127</v>
      </c>
      <c r="L14422" s="2" t="s">
        <v>157</v>
      </c>
      <c r="M14422" s="2">
        <v>80814.0</v>
      </c>
      <c r="N14422" s="2" t="s">
        <v>21</v>
      </c>
    </row>
    <row r="14423" ht="15.75" customHeight="1">
      <c r="A14423" s="2">
        <v>2021.0</v>
      </c>
      <c r="B14423" s="2" t="s">
        <v>56167</v>
      </c>
      <c r="C14423" s="2" t="s">
        <v>56168</v>
      </c>
      <c r="D14423" s="2" t="str">
        <f>"4172042279"</f>
        <v>4172042279</v>
      </c>
      <c r="E14423" s="2" t="s">
        <v>55052</v>
      </c>
      <c r="F14423" s="2" t="s">
        <v>57</v>
      </c>
      <c r="G14423" s="2" t="str">
        <f>"SR-21181"</f>
        <v>SR-21181</v>
      </c>
      <c r="H14423" s="2" t="s">
        <v>56169</v>
      </c>
      <c r="I14423" s="2" t="s">
        <v>56170</v>
      </c>
      <c r="K14423" s="2" t="s">
        <v>229</v>
      </c>
      <c r="L14423" s="2" t="s">
        <v>214</v>
      </c>
      <c r="M14423" s="2">
        <v>65775.0</v>
      </c>
      <c r="N14423" s="2" t="s">
        <v>21</v>
      </c>
    </row>
    <row r="14424" ht="15.75" customHeight="1">
      <c r="A14424" s="2">
        <v>2021.0</v>
      </c>
      <c r="B14424" s="2" t="s">
        <v>56171</v>
      </c>
      <c r="C14424" s="2" t="s">
        <v>56172</v>
      </c>
      <c r="D14424" s="2" t="str">
        <f>"8597490251"</f>
        <v>8597490251</v>
      </c>
      <c r="E14424" s="2" t="s">
        <v>1257</v>
      </c>
      <c r="F14424" s="2" t="s">
        <v>56173</v>
      </c>
      <c r="G14424" s="2" t="str">
        <f>"SR-21178"</f>
        <v>SR-21178</v>
      </c>
      <c r="H14424" s="2" t="s">
        <v>56174</v>
      </c>
      <c r="I14424" s="2" t="s">
        <v>56175</v>
      </c>
      <c r="K14424" s="2" t="s">
        <v>594</v>
      </c>
      <c r="L14424" s="2" t="s">
        <v>1236</v>
      </c>
      <c r="M14424" s="2">
        <v>40391.0</v>
      </c>
      <c r="N14424" s="2" t="s">
        <v>21</v>
      </c>
    </row>
    <row r="14425" ht="15.75" customHeight="1">
      <c r="A14425" s="2">
        <v>2021.0</v>
      </c>
      <c r="B14425" s="2" t="s">
        <v>56176</v>
      </c>
      <c r="C14425" s="2" t="s">
        <v>56177</v>
      </c>
      <c r="D14425" s="2" t="str">
        <f>"2816865508"</f>
        <v>2816865508</v>
      </c>
      <c r="E14425" s="2" t="s">
        <v>203</v>
      </c>
      <c r="F14425" s="2" t="s">
        <v>42348</v>
      </c>
      <c r="G14425" s="2" t="str">
        <f>"SR-21182"</f>
        <v>SR-21182</v>
      </c>
      <c r="H14425" s="2" t="s">
        <v>56178</v>
      </c>
      <c r="I14425" s="2" t="s">
        <v>56179</v>
      </c>
      <c r="K14425" s="2" t="s">
        <v>444</v>
      </c>
      <c r="L14425" s="2" t="s">
        <v>172</v>
      </c>
      <c r="M14425" s="2">
        <v>77057.0</v>
      </c>
      <c r="N14425" s="2" t="s">
        <v>21</v>
      </c>
    </row>
    <row r="14426" ht="15.75" customHeight="1">
      <c r="A14426" s="2">
        <v>2021.0</v>
      </c>
      <c r="B14426" s="2" t="s">
        <v>56180</v>
      </c>
      <c r="C14426" s="2" t="s">
        <v>56180</v>
      </c>
      <c r="D14426" s="2" t="str">
        <f>"4173279067"</f>
        <v>4173279067</v>
      </c>
      <c r="E14426" s="2" t="s">
        <v>843</v>
      </c>
      <c r="F14426" s="2" t="s">
        <v>2279</v>
      </c>
      <c r="G14426" s="2" t="str">
        <f>"SR-21183"</f>
        <v>SR-21183</v>
      </c>
      <c r="H14426" s="2" t="s">
        <v>56181</v>
      </c>
      <c r="I14426" s="2" t="s">
        <v>56182</v>
      </c>
      <c r="K14426" s="2" t="s">
        <v>56183</v>
      </c>
      <c r="L14426" s="2" t="s">
        <v>214</v>
      </c>
      <c r="M14426" s="2">
        <v>65604.0</v>
      </c>
      <c r="N14426" s="2" t="s">
        <v>21</v>
      </c>
    </row>
    <row r="14427" ht="15.75" customHeight="1">
      <c r="A14427" s="2">
        <v>2021.0</v>
      </c>
      <c r="B14427" s="2" t="s">
        <v>51314</v>
      </c>
      <c r="C14427" s="2" t="s">
        <v>51315</v>
      </c>
      <c r="D14427" s="2" t="str">
        <f>"419-705-9003"</f>
        <v>419-705-9003</v>
      </c>
      <c r="E14427" s="2" t="s">
        <v>2162</v>
      </c>
      <c r="F14427" s="2" t="s">
        <v>13073</v>
      </c>
      <c r="G14427" s="2" t="str">
        <f>"SR-18291"</f>
        <v>SR-18291</v>
      </c>
      <c r="H14427" s="2" t="s">
        <v>51316</v>
      </c>
      <c r="I14427" s="2" t="s">
        <v>51317</v>
      </c>
      <c r="K14427" s="2" t="s">
        <v>51318</v>
      </c>
      <c r="L14427" s="2" t="s">
        <v>344</v>
      </c>
      <c r="M14427" s="2">
        <v>43614.0</v>
      </c>
      <c r="N14427" s="2" t="s">
        <v>21</v>
      </c>
    </row>
    <row r="14428" ht="15.75" customHeight="1">
      <c r="A14428" s="2">
        <v>2021.0</v>
      </c>
      <c r="B14428" s="2" t="s">
        <v>38450</v>
      </c>
      <c r="C14428" s="2" t="s">
        <v>56184</v>
      </c>
      <c r="D14428" s="2" t="str">
        <f>"7203605066"</f>
        <v>7203605066</v>
      </c>
      <c r="E14428" s="2" t="s">
        <v>2314</v>
      </c>
      <c r="F14428" s="2" t="s">
        <v>690</v>
      </c>
      <c r="G14428" s="2" t="str">
        <f>"SR-21187"</f>
        <v>SR-21187</v>
      </c>
      <c r="H14428" s="2" t="s">
        <v>56185</v>
      </c>
      <c r="I14428" s="2" t="s">
        <v>38453</v>
      </c>
      <c r="K14428" s="2" t="s">
        <v>1889</v>
      </c>
      <c r="L14428" s="2" t="s">
        <v>157</v>
      </c>
      <c r="M14428" s="2">
        <v>80128.0</v>
      </c>
      <c r="N14428" s="2" t="s">
        <v>21</v>
      </c>
    </row>
    <row r="14429" ht="15.75" customHeight="1">
      <c r="A14429" s="2">
        <v>2021.0</v>
      </c>
      <c r="B14429" s="2" t="s">
        <v>51516</v>
      </c>
      <c r="C14429" s="2" t="s">
        <v>51517</v>
      </c>
      <c r="D14429" s="2" t="str">
        <f>"480-266-9912"</f>
        <v>480-266-9912</v>
      </c>
      <c r="E14429" s="2" t="s">
        <v>705</v>
      </c>
      <c r="F14429" s="2" t="s">
        <v>1151</v>
      </c>
      <c r="G14429" s="2" t="str">
        <f>"SR-18420"</f>
        <v>SR-18420</v>
      </c>
      <c r="H14429" s="2" t="s">
        <v>51518</v>
      </c>
      <c r="I14429" s="2" t="s">
        <v>51519</v>
      </c>
      <c r="K14429" s="2" t="s">
        <v>5531</v>
      </c>
      <c r="L14429" s="2" t="s">
        <v>422</v>
      </c>
      <c r="M14429" s="2">
        <v>85204.0</v>
      </c>
      <c r="N14429" s="2" t="s">
        <v>21</v>
      </c>
    </row>
    <row r="14430" ht="15.75" customHeight="1">
      <c r="A14430" s="2">
        <v>2021.0</v>
      </c>
      <c r="B14430" s="2" t="s">
        <v>48309</v>
      </c>
      <c r="C14430" s="2" t="s">
        <v>50757</v>
      </c>
      <c r="D14430" s="2" t="str">
        <f>"719-246-8435"</f>
        <v>719-246-8435</v>
      </c>
      <c r="E14430" s="2" t="s">
        <v>41306</v>
      </c>
      <c r="F14430" s="2" t="s">
        <v>48311</v>
      </c>
      <c r="G14430" s="2" t="str">
        <f>"SR-17992"</f>
        <v>SR-17992</v>
      </c>
      <c r="H14430" s="2" t="s">
        <v>50758</v>
      </c>
      <c r="I14430" s="2" t="s">
        <v>48313</v>
      </c>
      <c r="K14430" s="2" t="s">
        <v>809</v>
      </c>
      <c r="L14430" s="2" t="s">
        <v>157</v>
      </c>
      <c r="M14430" s="2">
        <v>80919.0</v>
      </c>
      <c r="N14430" s="2" t="s">
        <v>21</v>
      </c>
    </row>
    <row r="14431" ht="15.75" customHeight="1">
      <c r="A14431" s="2">
        <v>2021.0</v>
      </c>
      <c r="B14431" s="2" t="s">
        <v>56186</v>
      </c>
      <c r="C14431" s="2" t="s">
        <v>56187</v>
      </c>
      <c r="D14431" s="2" t="str">
        <f>"719 580 3959"</f>
        <v>719 580 3959</v>
      </c>
      <c r="E14431" s="2" t="s">
        <v>7758</v>
      </c>
      <c r="F14431" s="2" t="s">
        <v>9568</v>
      </c>
      <c r="G14431" s="2" t="str">
        <f>"SR-21189"</f>
        <v>SR-21189</v>
      </c>
      <c r="H14431" s="2" t="s">
        <v>56188</v>
      </c>
      <c r="I14431" s="2" t="s">
        <v>56189</v>
      </c>
      <c r="K14431" s="2" t="s">
        <v>31649</v>
      </c>
      <c r="L14431" s="2" t="s">
        <v>422</v>
      </c>
      <c r="M14431" s="2">
        <v>85629.0</v>
      </c>
      <c r="N14431" s="2" t="s">
        <v>21</v>
      </c>
    </row>
    <row r="14432" ht="15.75" customHeight="1">
      <c r="A14432" s="2">
        <v>2021.0</v>
      </c>
      <c r="B14432" s="2" t="s">
        <v>56190</v>
      </c>
      <c r="C14432" s="2" t="s">
        <v>56191</v>
      </c>
      <c r="D14432" s="2" t="str">
        <f>"252-723-3216"</f>
        <v>252-723-3216</v>
      </c>
      <c r="E14432" s="2" t="s">
        <v>24169</v>
      </c>
      <c r="F14432" s="2" t="s">
        <v>56192</v>
      </c>
      <c r="G14432" s="2" t="str">
        <f>"SR-21190"</f>
        <v>SR-21190</v>
      </c>
      <c r="H14432" s="2" t="s">
        <v>56193</v>
      </c>
      <c r="I14432" s="2" t="s">
        <v>56194</v>
      </c>
      <c r="K14432" s="2" t="s">
        <v>56195</v>
      </c>
      <c r="L14432" s="2" t="s">
        <v>20</v>
      </c>
      <c r="M14432" s="2">
        <v>28594.0</v>
      </c>
      <c r="N14432" s="2" t="s">
        <v>21</v>
      </c>
    </row>
    <row r="14433" ht="15.75" customHeight="1">
      <c r="A14433" s="2">
        <v>2021.0</v>
      </c>
      <c r="B14433" s="2" t="s">
        <v>56196</v>
      </c>
      <c r="C14433" s="2" t="s">
        <v>56197</v>
      </c>
      <c r="D14433" s="2" t="str">
        <f>"5059745902"</f>
        <v>5059745902</v>
      </c>
      <c r="E14433" s="2" t="s">
        <v>119</v>
      </c>
      <c r="F14433" s="2" t="s">
        <v>18027</v>
      </c>
      <c r="G14433" s="2" t="str">
        <f>"SR-21192"</f>
        <v>SR-21192</v>
      </c>
      <c r="H14433" s="2" t="s">
        <v>56198</v>
      </c>
      <c r="I14433" s="2" t="s">
        <v>56199</v>
      </c>
      <c r="K14433" s="2" t="s">
        <v>796</v>
      </c>
      <c r="L14433" s="2" t="s">
        <v>789</v>
      </c>
      <c r="M14433" s="2">
        <v>87042.0</v>
      </c>
      <c r="N14433" s="2" t="s">
        <v>21</v>
      </c>
    </row>
    <row r="14434" ht="15.75" customHeight="1">
      <c r="A14434" s="2">
        <v>2021.0</v>
      </c>
      <c r="B14434" s="2" t="s">
        <v>50698</v>
      </c>
      <c r="C14434" s="2" t="s">
        <v>50699</v>
      </c>
      <c r="D14434" s="2" t="str">
        <f>"7194938851"</f>
        <v>7194938851</v>
      </c>
      <c r="E14434" s="2" t="s">
        <v>10753</v>
      </c>
      <c r="F14434" s="2" t="s">
        <v>1151</v>
      </c>
      <c r="G14434" s="2" t="str">
        <f>"SR-18027"</f>
        <v>SR-18027</v>
      </c>
      <c r="H14434" s="2" t="s">
        <v>50700</v>
      </c>
      <c r="I14434" s="2" t="s">
        <v>50701</v>
      </c>
      <c r="K14434" s="2" t="s">
        <v>809</v>
      </c>
      <c r="L14434" s="2" t="s">
        <v>157</v>
      </c>
      <c r="M14434" s="2">
        <v>80908.0</v>
      </c>
      <c r="N14434" s="2" t="s">
        <v>21</v>
      </c>
    </row>
    <row r="14435" ht="15.75" customHeight="1">
      <c r="A14435" s="2">
        <v>2021.0</v>
      </c>
      <c r="B14435" s="2" t="s">
        <v>50698</v>
      </c>
      <c r="C14435" s="2" t="s">
        <v>56200</v>
      </c>
      <c r="D14435" s="2" t="str">
        <f>"7194326216"</f>
        <v>7194326216</v>
      </c>
      <c r="E14435" s="2" t="s">
        <v>2243</v>
      </c>
      <c r="F14435" s="2" t="s">
        <v>1151</v>
      </c>
      <c r="G14435" s="2" t="str">
        <f>"SR-21063"</f>
        <v>SR-21063</v>
      </c>
      <c r="H14435" s="2" t="s">
        <v>56201</v>
      </c>
      <c r="I14435" s="2" t="s">
        <v>50701</v>
      </c>
      <c r="K14435" s="2" t="s">
        <v>809</v>
      </c>
      <c r="L14435" s="2" t="s">
        <v>157</v>
      </c>
      <c r="M14435" s="2">
        <v>80908.0</v>
      </c>
      <c r="N14435" s="2" t="s">
        <v>21</v>
      </c>
    </row>
    <row r="14436" ht="15.75" customHeight="1">
      <c r="A14436" s="2">
        <v>2021.0</v>
      </c>
      <c r="B14436" s="2" t="s">
        <v>49726</v>
      </c>
      <c r="C14436" s="2" t="s">
        <v>49727</v>
      </c>
      <c r="D14436" s="2" t="str">
        <f>"3208155648"</f>
        <v>3208155648</v>
      </c>
      <c r="E14436" s="2" t="s">
        <v>49728</v>
      </c>
      <c r="F14436" s="2" t="s">
        <v>1209</v>
      </c>
      <c r="G14436" s="2" t="str">
        <f>"SR-17766"</f>
        <v>SR-17766</v>
      </c>
      <c r="H14436" s="2" t="s">
        <v>49729</v>
      </c>
      <c r="I14436" s="2" t="s">
        <v>49730</v>
      </c>
      <c r="K14436" s="2" t="s">
        <v>25661</v>
      </c>
      <c r="L14436" s="2" t="s">
        <v>62</v>
      </c>
      <c r="M14436" s="2">
        <v>56343.0</v>
      </c>
      <c r="N14436" s="2" t="s">
        <v>21</v>
      </c>
    </row>
    <row r="14437" ht="15.75" customHeight="1">
      <c r="A14437" s="2">
        <v>2021.0</v>
      </c>
      <c r="B14437" s="2" t="s">
        <v>49726</v>
      </c>
      <c r="C14437" s="2" t="s">
        <v>50905</v>
      </c>
      <c r="D14437" s="2" t="str">
        <f>"3203047793"</f>
        <v>3203047793</v>
      </c>
      <c r="E14437" s="2" t="s">
        <v>50906</v>
      </c>
      <c r="F14437" s="2" t="s">
        <v>1209</v>
      </c>
      <c r="G14437" s="2" t="str">
        <f>"SR-18165"</f>
        <v>SR-18165</v>
      </c>
      <c r="H14437" s="2" t="s">
        <v>50907</v>
      </c>
      <c r="I14437" s="2" t="s">
        <v>49730</v>
      </c>
      <c r="K14437" s="2" t="s">
        <v>25661</v>
      </c>
      <c r="L14437" s="2" t="s">
        <v>62</v>
      </c>
      <c r="M14437" s="2">
        <v>56343.0</v>
      </c>
      <c r="N14437" s="2" t="s">
        <v>21</v>
      </c>
    </row>
    <row r="14438" ht="15.75" customHeight="1">
      <c r="A14438" s="2">
        <v>2021.0</v>
      </c>
      <c r="B14438" s="2" t="s">
        <v>49726</v>
      </c>
      <c r="C14438" s="2" t="s">
        <v>56202</v>
      </c>
      <c r="D14438" s="2" t="str">
        <f>"3202885753"</f>
        <v>3202885753</v>
      </c>
      <c r="E14438" s="2" t="s">
        <v>14603</v>
      </c>
      <c r="F14438" s="2" t="s">
        <v>1209</v>
      </c>
      <c r="G14438" s="2" t="str">
        <f>"SR-21194"</f>
        <v>SR-21194</v>
      </c>
      <c r="H14438" s="2" t="s">
        <v>56203</v>
      </c>
      <c r="I14438" s="2" t="s">
        <v>49730</v>
      </c>
      <c r="K14438" s="2" t="s">
        <v>25661</v>
      </c>
      <c r="L14438" s="2" t="s">
        <v>62</v>
      </c>
      <c r="M14438" s="2">
        <v>56343.0</v>
      </c>
      <c r="N14438" s="2" t="s">
        <v>21</v>
      </c>
    </row>
    <row r="14439" ht="15.75" customHeight="1">
      <c r="A14439" s="2">
        <v>2021.0</v>
      </c>
      <c r="B14439" s="2" t="s">
        <v>42346</v>
      </c>
      <c r="C14439" s="2" t="s">
        <v>50853</v>
      </c>
      <c r="D14439" s="2" t="str">
        <f>"7348082165"</f>
        <v>7348082165</v>
      </c>
      <c r="E14439" s="2" t="s">
        <v>1015</v>
      </c>
      <c r="F14439" s="2" t="s">
        <v>31012</v>
      </c>
      <c r="G14439" s="2" t="str">
        <f>"SR-18067"</f>
        <v>SR-18067</v>
      </c>
      <c r="H14439" s="2" t="s">
        <v>50854</v>
      </c>
      <c r="I14439" s="2" t="s">
        <v>31014</v>
      </c>
      <c r="K14439" s="2" t="s">
        <v>7174</v>
      </c>
      <c r="L14439" s="2" t="s">
        <v>29</v>
      </c>
      <c r="M14439" s="2">
        <v>48130.0</v>
      </c>
      <c r="N14439" s="2" t="s">
        <v>21</v>
      </c>
    </row>
    <row r="14440" ht="15.75" customHeight="1">
      <c r="A14440" s="2">
        <v>2021.0</v>
      </c>
      <c r="B14440" s="2" t="s">
        <v>42346</v>
      </c>
      <c r="C14440" s="2" t="s">
        <v>50783</v>
      </c>
      <c r="D14440" s="2" t="str">
        <f>"734-546-0738"</f>
        <v>734-546-0738</v>
      </c>
      <c r="E14440" s="2" t="s">
        <v>261</v>
      </c>
      <c r="F14440" s="2" t="s">
        <v>19130</v>
      </c>
      <c r="G14440" s="2" t="str">
        <f>"SR-18066"</f>
        <v>SR-18066</v>
      </c>
      <c r="H14440" s="2" t="s">
        <v>50784</v>
      </c>
      <c r="I14440" s="2" t="s">
        <v>50785</v>
      </c>
      <c r="K14440" s="2" t="s">
        <v>7174</v>
      </c>
      <c r="L14440" s="2" t="s">
        <v>29</v>
      </c>
      <c r="M14440" s="2">
        <v>48130.0</v>
      </c>
      <c r="N14440" s="2" t="s">
        <v>21</v>
      </c>
    </row>
    <row r="14441" ht="15.75" customHeight="1">
      <c r="A14441" s="2">
        <v>2021.0</v>
      </c>
      <c r="B14441" s="2" t="s">
        <v>53942</v>
      </c>
      <c r="C14441" s="2" t="s">
        <v>53943</v>
      </c>
      <c r="D14441" s="2" t="str">
        <f>"9517727278"</f>
        <v>9517727278</v>
      </c>
      <c r="E14441" s="2" t="s">
        <v>705</v>
      </c>
      <c r="F14441" s="2" t="s">
        <v>53944</v>
      </c>
      <c r="G14441" s="2" t="str">
        <f>"SR-19464"</f>
        <v>SR-19464</v>
      </c>
      <c r="H14441" s="2" t="s">
        <v>53945</v>
      </c>
      <c r="I14441" s="2" t="s">
        <v>53946</v>
      </c>
      <c r="K14441" s="2" t="s">
        <v>9348</v>
      </c>
      <c r="L14441" s="2" t="s">
        <v>222</v>
      </c>
      <c r="M14441" s="2">
        <v>92514.0</v>
      </c>
      <c r="N14441" s="2" t="s">
        <v>21</v>
      </c>
    </row>
    <row r="14442" ht="15.75" customHeight="1">
      <c r="A14442" s="2">
        <v>2021.0</v>
      </c>
      <c r="B14442" s="2" t="s">
        <v>56204</v>
      </c>
      <c r="C14442" s="2" t="s">
        <v>56205</v>
      </c>
      <c r="D14442" s="2" t="str">
        <f>"719-600-1979"</f>
        <v>719-600-1979</v>
      </c>
      <c r="E14442" s="2" t="s">
        <v>9010</v>
      </c>
      <c r="F14442" s="2" t="s">
        <v>1301</v>
      </c>
      <c r="G14442" s="2" t="str">
        <f>"SR-21195"</f>
        <v>SR-21195</v>
      </c>
      <c r="H14442" s="2" t="s">
        <v>56206</v>
      </c>
      <c r="I14442" s="2" t="s">
        <v>56207</v>
      </c>
      <c r="K14442" s="2" t="s">
        <v>809</v>
      </c>
      <c r="L14442" s="2" t="s">
        <v>157</v>
      </c>
      <c r="M14442" s="2">
        <v>80919.0</v>
      </c>
      <c r="N14442" s="2" t="s">
        <v>21</v>
      </c>
    </row>
    <row r="14443" ht="15.75" customHeight="1">
      <c r="A14443" s="2">
        <v>2021.0</v>
      </c>
      <c r="B14443" s="2" t="s">
        <v>56208</v>
      </c>
      <c r="C14443" s="2" t="s">
        <v>56209</v>
      </c>
      <c r="D14443" s="2" t="str">
        <f>"931-434-0553"</f>
        <v>931-434-0553</v>
      </c>
      <c r="E14443" s="2" t="s">
        <v>651</v>
      </c>
      <c r="F14443" s="2" t="s">
        <v>6486</v>
      </c>
      <c r="G14443" s="2" t="str">
        <f>"SR-21199"</f>
        <v>SR-21199</v>
      </c>
      <c r="H14443" s="2" t="s">
        <v>56210</v>
      </c>
      <c r="I14443" s="2" t="s">
        <v>56211</v>
      </c>
      <c r="K14443" s="2" t="s">
        <v>18727</v>
      </c>
      <c r="L14443" s="2" t="s">
        <v>279</v>
      </c>
      <c r="M14443" s="2">
        <v>37360.0</v>
      </c>
      <c r="N14443" s="2" t="s">
        <v>21</v>
      </c>
    </row>
    <row r="14444" ht="15.75" customHeight="1">
      <c r="A14444" s="2">
        <v>2021.0</v>
      </c>
      <c r="B14444" s="2" t="s">
        <v>56212</v>
      </c>
      <c r="C14444" s="2" t="s">
        <v>56212</v>
      </c>
      <c r="D14444" s="2" t="str">
        <f>"417-372-3931"</f>
        <v>417-372-3931</v>
      </c>
      <c r="E14444" s="2" t="s">
        <v>36</v>
      </c>
      <c r="F14444" s="2" t="s">
        <v>56110</v>
      </c>
      <c r="G14444" s="2" t="str">
        <f>"SR-21200"</f>
        <v>SR-21200</v>
      </c>
      <c r="H14444" s="2" t="s">
        <v>56213</v>
      </c>
      <c r="I14444" s="2" t="s">
        <v>56112</v>
      </c>
      <c r="K14444" s="2" t="s">
        <v>229</v>
      </c>
      <c r="L14444" s="2" t="s">
        <v>214</v>
      </c>
      <c r="M14444" s="2">
        <v>65775.0</v>
      </c>
      <c r="N14444" s="2" t="s">
        <v>21</v>
      </c>
    </row>
    <row r="14445" ht="15.75" customHeight="1">
      <c r="A14445" s="2">
        <v>2021.0</v>
      </c>
      <c r="B14445" s="2" t="s">
        <v>56214</v>
      </c>
      <c r="C14445" s="2" t="s">
        <v>56214</v>
      </c>
      <c r="D14445" s="2" t="str">
        <f>"6203886970"</f>
        <v>6203886970</v>
      </c>
      <c r="E14445" s="2" t="s">
        <v>56215</v>
      </c>
      <c r="F14445" s="2" t="s">
        <v>18425</v>
      </c>
      <c r="G14445" s="2" t="str">
        <f>"SR-21155"</f>
        <v>SR-21155</v>
      </c>
      <c r="H14445" s="2" t="s">
        <v>56216</v>
      </c>
      <c r="I14445" s="2" t="s">
        <v>56217</v>
      </c>
      <c r="K14445" s="2" t="s">
        <v>23396</v>
      </c>
      <c r="L14445" s="2" t="s">
        <v>272</v>
      </c>
      <c r="M14445" s="2">
        <v>67124.0</v>
      </c>
      <c r="N14445" s="2" t="s">
        <v>21</v>
      </c>
    </row>
    <row r="14446" ht="15.75" customHeight="1">
      <c r="A14446" s="2">
        <v>2021.0</v>
      </c>
      <c r="B14446" s="2" t="s">
        <v>56218</v>
      </c>
      <c r="C14446" s="2" t="s">
        <v>56218</v>
      </c>
      <c r="D14446" s="2" t="str">
        <f>"931-434-6620"</f>
        <v>931-434-6620</v>
      </c>
      <c r="E14446" s="2" t="s">
        <v>19</v>
      </c>
      <c r="F14446" s="2" t="s">
        <v>6486</v>
      </c>
      <c r="G14446" s="2" t="str">
        <f>"SR-21201"</f>
        <v>SR-21201</v>
      </c>
      <c r="H14446" s="2" t="s">
        <v>56219</v>
      </c>
      <c r="I14446" s="2" t="s">
        <v>56220</v>
      </c>
      <c r="K14446" s="2" t="s">
        <v>18727</v>
      </c>
      <c r="L14446" s="2" t="s">
        <v>279</v>
      </c>
      <c r="M14446" s="2">
        <v>37360.0</v>
      </c>
      <c r="N14446" s="2" t="s">
        <v>21</v>
      </c>
    </row>
    <row r="14447" ht="15.75" customHeight="1">
      <c r="A14447" s="2">
        <v>2021.0</v>
      </c>
      <c r="B14447" s="2" t="s">
        <v>56221</v>
      </c>
      <c r="C14447" s="2" t="s">
        <v>56222</v>
      </c>
      <c r="D14447" s="2" t="str">
        <f>"417-293-3126"</f>
        <v>417-293-3126</v>
      </c>
      <c r="E14447" s="2" t="s">
        <v>261</v>
      </c>
      <c r="F14447" s="2" t="s">
        <v>1859</v>
      </c>
      <c r="G14447" s="2" t="str">
        <f>"SR-21180"</f>
        <v>SR-21180</v>
      </c>
      <c r="H14447" s="2" t="s">
        <v>52635</v>
      </c>
      <c r="I14447" s="2" t="s">
        <v>56223</v>
      </c>
      <c r="K14447" s="2" t="s">
        <v>229</v>
      </c>
      <c r="L14447" s="2" t="s">
        <v>214</v>
      </c>
      <c r="M14447" s="2">
        <v>65775.0</v>
      </c>
      <c r="N14447" s="2" t="s">
        <v>21</v>
      </c>
    </row>
    <row r="14448" ht="15.75" customHeight="1">
      <c r="A14448" s="2">
        <v>2021.0</v>
      </c>
      <c r="B14448" s="2" t="s">
        <v>49152</v>
      </c>
      <c r="C14448" s="2" t="s">
        <v>49153</v>
      </c>
      <c r="D14448" s="2" t="str">
        <f>"2252870531"</f>
        <v>2252870531</v>
      </c>
      <c r="E14448" s="2" t="s">
        <v>1114</v>
      </c>
      <c r="F14448" s="2" t="s">
        <v>2880</v>
      </c>
      <c r="G14448" s="2" t="str">
        <f>"SR-17228"</f>
        <v>SR-17228</v>
      </c>
      <c r="H14448" s="2" t="s">
        <v>49154</v>
      </c>
      <c r="I14448" s="2" t="s">
        <v>49155</v>
      </c>
      <c r="K14448" s="2" t="s">
        <v>32086</v>
      </c>
      <c r="L14448" s="2" t="s">
        <v>715</v>
      </c>
      <c r="M14448" s="2">
        <v>70726.0</v>
      </c>
      <c r="N14448" s="2" t="s">
        <v>21</v>
      </c>
    </row>
    <row r="14449" ht="15.75" customHeight="1">
      <c r="A14449" s="2">
        <v>2021.0</v>
      </c>
      <c r="B14449" s="2" t="s">
        <v>56224</v>
      </c>
      <c r="C14449" s="2" t="s">
        <v>56225</v>
      </c>
      <c r="D14449" s="2" t="str">
        <f>"4172934367"</f>
        <v>4172934367</v>
      </c>
      <c r="E14449" s="2" t="s">
        <v>1094</v>
      </c>
      <c r="F14449" s="2" t="s">
        <v>8427</v>
      </c>
      <c r="G14449" s="2" t="str">
        <f>"SR-21202"</f>
        <v>SR-21202</v>
      </c>
      <c r="H14449" s="2" t="s">
        <v>56226</v>
      </c>
      <c r="I14449" s="2" t="s">
        <v>37850</v>
      </c>
      <c r="K14449" s="2" t="s">
        <v>229</v>
      </c>
      <c r="L14449" s="2" t="s">
        <v>214</v>
      </c>
      <c r="M14449" s="2">
        <v>65775.0</v>
      </c>
      <c r="N14449" s="2" t="s">
        <v>21</v>
      </c>
    </row>
    <row r="14450" ht="15.75" customHeight="1">
      <c r="A14450" s="2">
        <v>2021.0</v>
      </c>
      <c r="B14450" s="2" t="s">
        <v>56227</v>
      </c>
      <c r="C14450" s="2" t="s">
        <v>56227</v>
      </c>
      <c r="D14450" s="2" t="str">
        <f>"4172932805"</f>
        <v>4172932805</v>
      </c>
      <c r="E14450" s="2" t="s">
        <v>1263</v>
      </c>
      <c r="F14450" s="2" t="s">
        <v>7165</v>
      </c>
      <c r="G14450" s="2" t="str">
        <f>"SR-21204"</f>
        <v>SR-21204</v>
      </c>
      <c r="H14450" s="2" t="s">
        <v>7166</v>
      </c>
      <c r="I14450" s="2" t="s">
        <v>56228</v>
      </c>
      <c r="K14450" s="2" t="s">
        <v>229</v>
      </c>
      <c r="L14450" s="2" t="s">
        <v>214</v>
      </c>
      <c r="M14450" s="2">
        <v>65775.0</v>
      </c>
      <c r="N14450" s="2" t="s">
        <v>21</v>
      </c>
    </row>
    <row r="14451" ht="15.75" customHeight="1">
      <c r="A14451" s="2">
        <v>2021.0</v>
      </c>
      <c r="B14451" s="2" t="s">
        <v>56229</v>
      </c>
      <c r="C14451" s="2" t="s">
        <v>56230</v>
      </c>
      <c r="D14451" s="2" t="str">
        <f>"360-550-0440"</f>
        <v>360-550-0440</v>
      </c>
      <c r="E14451" s="2" t="s">
        <v>2259</v>
      </c>
      <c r="F14451" s="2" t="s">
        <v>30354</v>
      </c>
      <c r="G14451" s="2" t="str">
        <f>"SR-21207"</f>
        <v>SR-21207</v>
      </c>
      <c r="H14451" s="2" t="s">
        <v>56231</v>
      </c>
      <c r="I14451" s="2" t="s">
        <v>56232</v>
      </c>
      <c r="K14451" s="2" t="s">
        <v>26677</v>
      </c>
      <c r="L14451" s="2" t="s">
        <v>86</v>
      </c>
      <c r="M14451" s="2">
        <v>98380.0</v>
      </c>
      <c r="N14451" s="2" t="s">
        <v>21</v>
      </c>
    </row>
    <row r="14452" ht="15.75" customHeight="1">
      <c r="A14452" s="2">
        <v>2021.0</v>
      </c>
      <c r="B14452" s="2" t="s">
        <v>56229</v>
      </c>
      <c r="C14452" s="2" t="s">
        <v>56233</v>
      </c>
      <c r="D14452" s="2" t="str">
        <f>"360-536-3748"</f>
        <v>360-536-3748</v>
      </c>
      <c r="E14452" s="2" t="s">
        <v>56234</v>
      </c>
      <c r="F14452" s="2" t="s">
        <v>30354</v>
      </c>
      <c r="G14452" s="2" t="str">
        <f>"SR-21208"</f>
        <v>SR-21208</v>
      </c>
      <c r="H14452" s="2" t="s">
        <v>56235</v>
      </c>
      <c r="I14452" s="2" t="s">
        <v>56232</v>
      </c>
      <c r="K14452" s="2" t="s">
        <v>26677</v>
      </c>
      <c r="L14452" s="2" t="s">
        <v>86</v>
      </c>
      <c r="M14452" s="2">
        <v>98380.0</v>
      </c>
      <c r="N14452" s="2" t="s">
        <v>21</v>
      </c>
    </row>
    <row r="14453" ht="15.75" customHeight="1">
      <c r="A14453" s="2">
        <v>2021.0</v>
      </c>
      <c r="B14453" s="2" t="s">
        <v>56236</v>
      </c>
      <c r="C14453" s="2" t="s">
        <v>56237</v>
      </c>
      <c r="D14453" s="2" t="str">
        <f>"8596406755"</f>
        <v>8596406755</v>
      </c>
      <c r="E14453" s="2" t="s">
        <v>56238</v>
      </c>
      <c r="F14453" s="2" t="s">
        <v>56239</v>
      </c>
      <c r="G14453" s="2" t="str">
        <f>"SR-16817"</f>
        <v>SR-16817</v>
      </c>
      <c r="H14453" s="2" t="s">
        <v>56240</v>
      </c>
      <c r="I14453" s="2" t="s">
        <v>56241</v>
      </c>
      <c r="K14453" s="2" t="s">
        <v>14667</v>
      </c>
      <c r="L14453" s="2" t="s">
        <v>1236</v>
      </c>
      <c r="M14453" s="2">
        <v>41091.0</v>
      </c>
      <c r="N14453" s="2" t="s">
        <v>21</v>
      </c>
    </row>
    <row r="14454" ht="15.75" customHeight="1">
      <c r="A14454" s="2">
        <v>2021.0</v>
      </c>
      <c r="B14454" s="2" t="s">
        <v>56242</v>
      </c>
      <c r="C14454" s="2" t="s">
        <v>56242</v>
      </c>
      <c r="D14454" s="2" t="str">
        <f>"4055419076"</f>
        <v>4055419076</v>
      </c>
      <c r="E14454" s="2" t="s">
        <v>39039</v>
      </c>
      <c r="F14454" s="2" t="s">
        <v>718</v>
      </c>
      <c r="G14454" s="2" t="str">
        <f>"SR-21209"</f>
        <v>SR-21209</v>
      </c>
      <c r="H14454" s="2" t="s">
        <v>56243</v>
      </c>
      <c r="I14454" s="2" t="s">
        <v>56244</v>
      </c>
      <c r="K14454" s="2" t="s">
        <v>10814</v>
      </c>
      <c r="L14454" s="2" t="s">
        <v>840</v>
      </c>
      <c r="M14454" s="2">
        <v>73018.0</v>
      </c>
      <c r="N14454" s="2" t="s">
        <v>21</v>
      </c>
    </row>
    <row r="14455" ht="15.75" customHeight="1">
      <c r="A14455" s="2">
        <v>2021.0</v>
      </c>
      <c r="B14455" s="2" t="s">
        <v>56245</v>
      </c>
      <c r="C14455" s="2" t="s">
        <v>56246</v>
      </c>
      <c r="D14455" s="2" t="str">
        <f>"9403151420"</f>
        <v>9403151420</v>
      </c>
      <c r="E14455" s="2" t="s">
        <v>5121</v>
      </c>
      <c r="F14455" s="2" t="s">
        <v>13964</v>
      </c>
      <c r="G14455" s="2" t="str">
        <f>"SR-21210"</f>
        <v>SR-21210</v>
      </c>
      <c r="H14455" s="2" t="s">
        <v>56247</v>
      </c>
      <c r="I14455" s="2" t="s">
        <v>40528</v>
      </c>
      <c r="K14455" s="2" t="s">
        <v>18128</v>
      </c>
      <c r="L14455" s="2" t="s">
        <v>172</v>
      </c>
      <c r="M14455" s="2">
        <v>76226.0</v>
      </c>
      <c r="N14455" s="2" t="s">
        <v>21</v>
      </c>
    </row>
    <row r="14456" ht="15.75" customHeight="1">
      <c r="A14456" s="2">
        <v>2021.0</v>
      </c>
      <c r="B14456" s="2" t="s">
        <v>56248</v>
      </c>
      <c r="C14456" s="2" t="s">
        <v>56249</v>
      </c>
      <c r="D14456" s="2" t="str">
        <f>"7196940917"</f>
        <v>7196940917</v>
      </c>
      <c r="E14456" s="2" t="s">
        <v>705</v>
      </c>
      <c r="F14456" s="2" t="s">
        <v>56250</v>
      </c>
      <c r="G14456" s="2" t="str">
        <f>"SR-21213"</f>
        <v>SR-21213</v>
      </c>
      <c r="H14456" s="2" t="s">
        <v>56251</v>
      </c>
      <c r="I14456" s="2" t="s">
        <v>56252</v>
      </c>
      <c r="K14456" s="2" t="s">
        <v>809</v>
      </c>
      <c r="L14456" s="2" t="s">
        <v>157</v>
      </c>
      <c r="M14456" s="2">
        <v>80924.0</v>
      </c>
      <c r="N14456" s="2" t="s">
        <v>21</v>
      </c>
    </row>
    <row r="14457" ht="15.75" customHeight="1">
      <c r="A14457" s="2">
        <v>2021.0</v>
      </c>
      <c r="B14457" s="2" t="s">
        <v>49233</v>
      </c>
      <c r="C14457" s="2" t="s">
        <v>49234</v>
      </c>
      <c r="D14457" s="2" t="str">
        <f>"2566178996"</f>
        <v>2566178996</v>
      </c>
      <c r="E14457" s="2" t="s">
        <v>4763</v>
      </c>
      <c r="F14457" s="2" t="s">
        <v>11503</v>
      </c>
      <c r="G14457" s="2" t="str">
        <f>"SR-17521"</f>
        <v>SR-17521</v>
      </c>
      <c r="H14457" s="2" t="s">
        <v>49235</v>
      </c>
      <c r="I14457" s="2" t="s">
        <v>49236</v>
      </c>
      <c r="K14457" s="2" t="s">
        <v>659</v>
      </c>
      <c r="L14457" s="2" t="s">
        <v>539</v>
      </c>
      <c r="M14457" s="2">
        <v>35758.0</v>
      </c>
      <c r="N14457" s="2" t="s">
        <v>21</v>
      </c>
    </row>
    <row r="14458" ht="15.75" customHeight="1">
      <c r="A14458" s="2">
        <v>2021.0</v>
      </c>
      <c r="B14458" s="2" t="s">
        <v>38817</v>
      </c>
      <c r="C14458" s="2" t="s">
        <v>38818</v>
      </c>
      <c r="D14458" s="2" t="str">
        <f>"6202873792"</f>
        <v>6202873792</v>
      </c>
      <c r="E14458" s="2" t="s">
        <v>1946</v>
      </c>
      <c r="F14458" s="2" t="s">
        <v>5351</v>
      </c>
      <c r="G14458" s="2" t="str">
        <f>"SR-13283"</f>
        <v>SR-13283</v>
      </c>
      <c r="H14458" s="2" t="s">
        <v>38819</v>
      </c>
      <c r="I14458" s="2" t="s">
        <v>38820</v>
      </c>
      <c r="K14458" s="2" t="s">
        <v>6198</v>
      </c>
      <c r="L14458" s="2" t="s">
        <v>272</v>
      </c>
      <c r="M14458" s="2">
        <v>67449.0</v>
      </c>
      <c r="N14458" s="2" t="s">
        <v>21</v>
      </c>
    </row>
    <row r="14459" ht="15.75" customHeight="1">
      <c r="A14459" s="2">
        <v>2021.0</v>
      </c>
      <c r="B14459" s="2" t="s">
        <v>56253</v>
      </c>
      <c r="C14459" s="2" t="s">
        <v>56254</v>
      </c>
      <c r="D14459" s="2" t="str">
        <f>"806-2528052"</f>
        <v>806-2528052</v>
      </c>
      <c r="E14459" s="2" t="s">
        <v>36331</v>
      </c>
      <c r="F14459" s="2" t="s">
        <v>5632</v>
      </c>
      <c r="G14459" s="2" t="str">
        <f>"SR-21216"</f>
        <v>SR-21216</v>
      </c>
      <c r="H14459" s="2" t="s">
        <v>56255</v>
      </c>
      <c r="I14459" s="2" t="s">
        <v>56256</v>
      </c>
      <c r="K14459" s="2" t="s">
        <v>1121</v>
      </c>
      <c r="L14459" s="2" t="s">
        <v>172</v>
      </c>
      <c r="M14459" s="2">
        <v>79407.0</v>
      </c>
      <c r="N14459" s="2" t="s">
        <v>21</v>
      </c>
    </row>
    <row r="14460" ht="15.75" customHeight="1">
      <c r="A14460" s="2">
        <v>2021.0</v>
      </c>
      <c r="B14460" s="2" t="s">
        <v>50171</v>
      </c>
      <c r="C14460" s="2" t="s">
        <v>50172</v>
      </c>
      <c r="D14460" s="2" t="str">
        <f>"7605540481"</f>
        <v>7605540481</v>
      </c>
      <c r="E14460" s="2" t="s">
        <v>4322</v>
      </c>
      <c r="F14460" s="2" t="s">
        <v>50173</v>
      </c>
      <c r="G14460" s="2" t="str">
        <f>"SR-17920"</f>
        <v>SR-17920</v>
      </c>
      <c r="H14460" s="2" t="s">
        <v>50174</v>
      </c>
      <c r="I14460" s="2" t="s">
        <v>50175</v>
      </c>
      <c r="K14460" s="2" t="s">
        <v>50176</v>
      </c>
      <c r="L14460" s="2" t="s">
        <v>222</v>
      </c>
      <c r="M14460" s="2">
        <v>92243.0</v>
      </c>
      <c r="N14460" s="2" t="s">
        <v>21</v>
      </c>
    </row>
    <row r="14461" ht="15.75" customHeight="1">
      <c r="A14461" s="2">
        <v>2021.0</v>
      </c>
      <c r="B14461" s="2" t="s">
        <v>56257</v>
      </c>
      <c r="C14461" s="2" t="s">
        <v>56258</v>
      </c>
      <c r="D14461" s="2" t="str">
        <f>"5039859027"</f>
        <v>5039859027</v>
      </c>
      <c r="E14461" s="2" t="s">
        <v>26038</v>
      </c>
      <c r="F14461" s="2" t="s">
        <v>283</v>
      </c>
      <c r="G14461" s="2" t="str">
        <f>"SR-21218"</f>
        <v>SR-21218</v>
      </c>
      <c r="H14461" s="2" t="s">
        <v>56259</v>
      </c>
      <c r="I14461" s="2" t="s">
        <v>56260</v>
      </c>
      <c r="K14461" s="2" t="s">
        <v>3058</v>
      </c>
      <c r="L14461" s="2" t="s">
        <v>2389</v>
      </c>
      <c r="M14461" s="2">
        <v>97080.0</v>
      </c>
      <c r="N14461" s="2" t="s">
        <v>21</v>
      </c>
    </row>
    <row r="14462" ht="15.75" customHeight="1">
      <c r="A14462" s="2">
        <v>2021.0</v>
      </c>
      <c r="B14462" s="2" t="s">
        <v>56261</v>
      </c>
      <c r="C14462" s="2" t="s">
        <v>56262</v>
      </c>
      <c r="D14462" s="2" t="str">
        <f>"9606003151"</f>
        <v>9606003151</v>
      </c>
      <c r="E14462" s="2" t="s">
        <v>4401</v>
      </c>
      <c r="F14462" s="2" t="s">
        <v>56263</v>
      </c>
      <c r="G14462" s="2" t="str">
        <f>"SR-21221"</f>
        <v>SR-21221</v>
      </c>
      <c r="H14462" s="2" t="s">
        <v>56264</v>
      </c>
      <c r="I14462" s="2" t="s">
        <v>56265</v>
      </c>
      <c r="K14462" s="2" t="s">
        <v>18128</v>
      </c>
      <c r="L14462" s="2" t="s">
        <v>172</v>
      </c>
      <c r="M14462" s="2">
        <v>76226.0</v>
      </c>
      <c r="N14462" s="2" t="s">
        <v>21</v>
      </c>
    </row>
    <row r="14463" ht="15.75" customHeight="1">
      <c r="A14463" s="2">
        <v>2021.0</v>
      </c>
      <c r="B14463" s="2" t="s">
        <v>50302</v>
      </c>
      <c r="C14463" s="2" t="s">
        <v>50303</v>
      </c>
      <c r="D14463" s="2" t="str">
        <f>"713-557-2195"</f>
        <v>713-557-2195</v>
      </c>
      <c r="E14463" s="2" t="s">
        <v>2083</v>
      </c>
      <c r="F14463" s="2" t="s">
        <v>50304</v>
      </c>
      <c r="G14463" s="2" t="str">
        <f>"SR-17944"</f>
        <v>SR-17944</v>
      </c>
      <c r="H14463" s="2" t="s">
        <v>50305</v>
      </c>
      <c r="I14463" s="2" t="s">
        <v>50306</v>
      </c>
      <c r="K14463" s="2" t="s">
        <v>4216</v>
      </c>
      <c r="L14463" s="2" t="s">
        <v>172</v>
      </c>
      <c r="M14463" s="2">
        <v>77469.0</v>
      </c>
      <c r="N14463" s="2" t="s">
        <v>21</v>
      </c>
    </row>
    <row r="14464" ht="15.75" customHeight="1">
      <c r="A14464" s="2">
        <v>2021.0</v>
      </c>
      <c r="B14464" s="2" t="s">
        <v>50302</v>
      </c>
      <c r="C14464" s="2" t="s">
        <v>56266</v>
      </c>
      <c r="D14464" s="2" t="str">
        <f>"8323614593"</f>
        <v>8323614593</v>
      </c>
      <c r="E14464" s="2" t="s">
        <v>9975</v>
      </c>
      <c r="F14464" s="2" t="s">
        <v>50304</v>
      </c>
      <c r="G14464" s="2" t="str">
        <f>"SR-21225"</f>
        <v>SR-21225</v>
      </c>
      <c r="H14464" s="2" t="s">
        <v>56267</v>
      </c>
      <c r="I14464" s="2" t="s">
        <v>50306</v>
      </c>
      <c r="K14464" s="2" t="s">
        <v>4216</v>
      </c>
      <c r="L14464" s="2" t="s">
        <v>172</v>
      </c>
      <c r="M14464" s="2">
        <v>77469.0</v>
      </c>
      <c r="N14464" s="2" t="s">
        <v>21</v>
      </c>
    </row>
    <row r="14465" ht="15.75" customHeight="1">
      <c r="A14465" s="2">
        <v>2021.0</v>
      </c>
      <c r="B14465" s="2" t="s">
        <v>39280</v>
      </c>
      <c r="C14465" s="2" t="s">
        <v>39281</v>
      </c>
      <c r="D14465" s="2" t="str">
        <f>"7176016134"</f>
        <v>7176016134</v>
      </c>
      <c r="E14465" s="2" t="s">
        <v>100</v>
      </c>
      <c r="F14465" s="2" t="s">
        <v>5396</v>
      </c>
      <c r="G14465" s="2" t="str">
        <f>"SR-13496"</f>
        <v>SR-13496</v>
      </c>
      <c r="H14465" s="2" t="s">
        <v>39282</v>
      </c>
      <c r="I14465" s="2" t="s">
        <v>39283</v>
      </c>
      <c r="K14465" s="2" t="s">
        <v>39284</v>
      </c>
      <c r="L14465" s="2" t="s">
        <v>179</v>
      </c>
      <c r="M14465" s="2">
        <v>17015.0</v>
      </c>
      <c r="N14465" s="2" t="s">
        <v>21</v>
      </c>
    </row>
    <row r="14466" ht="15.75" customHeight="1">
      <c r="A14466" s="2">
        <v>2021.0</v>
      </c>
      <c r="B14466" s="2" t="s">
        <v>56268</v>
      </c>
      <c r="C14466" s="2" t="s">
        <v>56269</v>
      </c>
      <c r="D14466" s="2" t="str">
        <f>"971-279-9605"</f>
        <v>971-279-9605</v>
      </c>
      <c r="E14466" s="2" t="s">
        <v>56270</v>
      </c>
      <c r="F14466" s="2" t="s">
        <v>847</v>
      </c>
      <c r="G14466" s="2" t="str">
        <f>"SR-21227"</f>
        <v>SR-21227</v>
      </c>
      <c r="H14466" s="2" t="s">
        <v>56271</v>
      </c>
      <c r="I14466" s="2" t="s">
        <v>56272</v>
      </c>
      <c r="K14466" s="2" t="s">
        <v>3058</v>
      </c>
      <c r="L14466" s="2" t="s">
        <v>2389</v>
      </c>
      <c r="M14466" s="2">
        <v>97080.0</v>
      </c>
      <c r="N14466" s="2" t="s">
        <v>21</v>
      </c>
    </row>
    <row r="14467" ht="15.75" customHeight="1">
      <c r="A14467" s="2">
        <v>2021.0</v>
      </c>
      <c r="B14467" s="2" t="s">
        <v>56273</v>
      </c>
      <c r="C14467" s="2" t="s">
        <v>56273</v>
      </c>
      <c r="D14467" s="2" t="str">
        <f>"352-575-9782"</f>
        <v>352-575-9782</v>
      </c>
      <c r="E14467" s="2" t="s">
        <v>2306</v>
      </c>
      <c r="F14467" s="2" t="s">
        <v>15306</v>
      </c>
      <c r="G14467" s="2" t="str">
        <f>"SR-21228"</f>
        <v>SR-21228</v>
      </c>
      <c r="H14467" s="2" t="s">
        <v>56274</v>
      </c>
      <c r="I14467" s="2" t="s">
        <v>56275</v>
      </c>
      <c r="K14467" s="2" t="s">
        <v>21389</v>
      </c>
      <c r="L14467" s="2" t="s">
        <v>208</v>
      </c>
      <c r="M14467" s="2">
        <v>32605.0</v>
      </c>
      <c r="N14467" s="2" t="s">
        <v>21</v>
      </c>
    </row>
    <row r="14468" ht="15.75" customHeight="1">
      <c r="A14468" s="2">
        <v>2021.0</v>
      </c>
      <c r="B14468" s="2" t="s">
        <v>37742</v>
      </c>
      <c r="C14468" s="2" t="s">
        <v>51561</v>
      </c>
      <c r="D14468" s="2" t="str">
        <f>"720-496-6277"</f>
        <v>720-496-6277</v>
      </c>
      <c r="E14468" s="2" t="s">
        <v>2941</v>
      </c>
      <c r="F14468" s="2" t="s">
        <v>724</v>
      </c>
      <c r="G14468" s="2" t="str">
        <f>"SR-18438"</f>
        <v>SR-18438</v>
      </c>
      <c r="H14468" s="2" t="s">
        <v>51562</v>
      </c>
      <c r="I14468" s="2" t="s">
        <v>37745</v>
      </c>
      <c r="K14468" s="2" t="s">
        <v>1520</v>
      </c>
      <c r="L14468" s="2" t="s">
        <v>157</v>
      </c>
      <c r="M14468" s="2">
        <v>80012.0</v>
      </c>
      <c r="N14468" s="2" t="s">
        <v>21</v>
      </c>
    </row>
    <row r="14469" ht="15.75" customHeight="1">
      <c r="A14469" s="2">
        <v>2021.0</v>
      </c>
      <c r="B14469" s="2" t="s">
        <v>56276</v>
      </c>
      <c r="C14469" s="2" t="s">
        <v>56277</v>
      </c>
      <c r="D14469" s="2" t="str">
        <f>"3604618255"</f>
        <v>3604618255</v>
      </c>
      <c r="E14469" s="2" t="s">
        <v>29175</v>
      </c>
      <c r="F14469" s="2" t="s">
        <v>3995</v>
      </c>
      <c r="G14469" s="2" t="str">
        <f>"SR-21229"</f>
        <v>SR-21229</v>
      </c>
      <c r="H14469" s="2" t="s">
        <v>56278</v>
      </c>
      <c r="I14469" s="2" t="s">
        <v>56279</v>
      </c>
      <c r="K14469" s="2" t="s">
        <v>10994</v>
      </c>
      <c r="L14469" s="2" t="s">
        <v>86</v>
      </c>
      <c r="M14469" s="2">
        <v>98362.0</v>
      </c>
      <c r="N14469" s="2" t="s">
        <v>21</v>
      </c>
    </row>
    <row r="14470" ht="15.75" customHeight="1">
      <c r="A14470" s="2">
        <v>2021.0</v>
      </c>
      <c r="B14470" s="2" t="s">
        <v>56280</v>
      </c>
      <c r="C14470" s="2" t="s">
        <v>56280</v>
      </c>
      <c r="D14470" s="2" t="str">
        <f>"9848338806"</f>
        <v>9848338806</v>
      </c>
      <c r="E14470" s="2" t="s">
        <v>27873</v>
      </c>
      <c r="F14470" s="2" t="s">
        <v>34320</v>
      </c>
      <c r="G14470" s="2" t="str">
        <f>"SR-21036"</f>
        <v>SR-21036</v>
      </c>
      <c r="H14470" s="2" t="s">
        <v>56281</v>
      </c>
      <c r="I14470" s="2" t="s">
        <v>56282</v>
      </c>
      <c r="K14470" s="2" t="s">
        <v>13569</v>
      </c>
      <c r="L14470" s="2" t="s">
        <v>20</v>
      </c>
      <c r="M14470" s="2">
        <v>27526.0</v>
      </c>
      <c r="N14470" s="2" t="s">
        <v>21</v>
      </c>
    </row>
    <row r="14471" ht="15.75" customHeight="1">
      <c r="A14471" s="2">
        <v>2021.0</v>
      </c>
      <c r="B14471" s="2" t="s">
        <v>56283</v>
      </c>
      <c r="C14471" s="2" t="s">
        <v>56283</v>
      </c>
      <c r="D14471" s="2" t="str">
        <f>"7192918706"</f>
        <v>7192918706</v>
      </c>
      <c r="E14471" s="2" t="s">
        <v>56284</v>
      </c>
      <c r="F14471" s="2" t="s">
        <v>199</v>
      </c>
      <c r="G14471" s="2" t="str">
        <f>"SR-21233"</f>
        <v>SR-21233</v>
      </c>
      <c r="H14471" s="2" t="s">
        <v>56285</v>
      </c>
      <c r="I14471" s="2" t="s">
        <v>56286</v>
      </c>
      <c r="K14471" s="2" t="s">
        <v>894</v>
      </c>
      <c r="L14471" s="2" t="s">
        <v>157</v>
      </c>
      <c r="M14471" s="2">
        <v>80863.0</v>
      </c>
      <c r="N14471" s="2" t="s">
        <v>21</v>
      </c>
    </row>
    <row r="14472" ht="15.75" customHeight="1">
      <c r="A14472" s="2">
        <v>2021.0</v>
      </c>
      <c r="B14472" s="2" t="s">
        <v>46412</v>
      </c>
      <c r="C14472" s="2" t="s">
        <v>46412</v>
      </c>
      <c r="D14472" s="2" t="str">
        <f>"7202784572"</f>
        <v>7202784572</v>
      </c>
      <c r="E14472" s="2" t="s">
        <v>584</v>
      </c>
      <c r="F14472" s="2" t="s">
        <v>12941</v>
      </c>
      <c r="G14472" s="2" t="str">
        <f>"SR-21089"</f>
        <v>SR-21089</v>
      </c>
      <c r="H14472" s="2" t="s">
        <v>46413</v>
      </c>
      <c r="I14472" s="2" t="s">
        <v>56287</v>
      </c>
      <c r="K14472" s="2" t="s">
        <v>1054</v>
      </c>
      <c r="L14472" s="2" t="s">
        <v>157</v>
      </c>
      <c r="M14472" s="2">
        <v>80134.0</v>
      </c>
      <c r="N14472" s="2" t="s">
        <v>21</v>
      </c>
    </row>
    <row r="14473" ht="15.75" customHeight="1">
      <c r="A14473" s="2">
        <v>2021.0</v>
      </c>
      <c r="B14473" s="2" t="s">
        <v>8184</v>
      </c>
      <c r="C14473" s="2" t="s">
        <v>56288</v>
      </c>
      <c r="D14473" s="2" t="str">
        <f>"5085296518"</f>
        <v>5085296518</v>
      </c>
      <c r="E14473" s="2" t="s">
        <v>16852</v>
      </c>
      <c r="F14473" s="2" t="s">
        <v>8186</v>
      </c>
      <c r="G14473" s="2" t="str">
        <f>"SR-21236"</f>
        <v>SR-21236</v>
      </c>
      <c r="H14473" s="2" t="s">
        <v>56289</v>
      </c>
      <c r="I14473" s="2" t="s">
        <v>8188</v>
      </c>
      <c r="K14473" s="2" t="s">
        <v>8189</v>
      </c>
      <c r="L14473" s="2" t="s">
        <v>4108</v>
      </c>
      <c r="M14473" s="2">
        <v>1568.0</v>
      </c>
      <c r="N14473" s="2" t="s">
        <v>21</v>
      </c>
    </row>
    <row r="14474" ht="15.75" customHeight="1">
      <c r="A14474" s="2">
        <v>2021.0</v>
      </c>
      <c r="B14474" s="2" t="s">
        <v>56290</v>
      </c>
      <c r="C14474" s="2" t="s">
        <v>56290</v>
      </c>
      <c r="D14474" s="2" t="str">
        <f>"9404351090"</f>
        <v>9404351090</v>
      </c>
      <c r="E14474" s="2" t="s">
        <v>3037</v>
      </c>
      <c r="F14474" s="2" t="s">
        <v>868</v>
      </c>
      <c r="G14474" s="2" t="str">
        <f>"SR-21237"</f>
        <v>SR-21237</v>
      </c>
      <c r="H14474" s="2" t="s">
        <v>56291</v>
      </c>
      <c r="I14474" s="2" t="s">
        <v>56292</v>
      </c>
      <c r="K14474" s="2" t="s">
        <v>18128</v>
      </c>
      <c r="L14474" s="2" t="s">
        <v>172</v>
      </c>
      <c r="M14474" s="2">
        <v>76226.0</v>
      </c>
      <c r="N14474" s="2" t="s">
        <v>21</v>
      </c>
    </row>
    <row r="14475" ht="15.75" customHeight="1">
      <c r="A14475" s="2">
        <v>2021.0</v>
      </c>
      <c r="B14475" s="2" t="s">
        <v>56293</v>
      </c>
      <c r="C14475" s="2" t="s">
        <v>56293</v>
      </c>
      <c r="D14475" s="2" t="str">
        <f>"682-269-7879"</f>
        <v>682-269-7879</v>
      </c>
      <c r="E14475" s="2" t="s">
        <v>32135</v>
      </c>
      <c r="F14475" s="2" t="s">
        <v>128</v>
      </c>
      <c r="G14475" s="2" t="str">
        <f>"SR-21238"</f>
        <v>SR-21238</v>
      </c>
      <c r="H14475" s="2" t="s">
        <v>56294</v>
      </c>
      <c r="I14475" s="2" t="s">
        <v>56295</v>
      </c>
      <c r="K14475" s="2" t="s">
        <v>1260</v>
      </c>
      <c r="L14475" s="2" t="s">
        <v>172</v>
      </c>
      <c r="M14475" s="2">
        <v>76123.0</v>
      </c>
      <c r="N14475" s="2" t="s">
        <v>21</v>
      </c>
    </row>
    <row r="14476" ht="15.75" customHeight="1">
      <c r="A14476" s="2">
        <v>2021.0</v>
      </c>
      <c r="B14476" s="2" t="s">
        <v>56296</v>
      </c>
      <c r="C14476" s="2" t="s">
        <v>56297</v>
      </c>
      <c r="D14476" s="2" t="str">
        <f>"605-310-8926"</f>
        <v>605-310-8926</v>
      </c>
      <c r="E14476" s="2" t="s">
        <v>1915</v>
      </c>
      <c r="F14476" s="2" t="s">
        <v>56298</v>
      </c>
      <c r="G14476" s="2" t="str">
        <f>"SR-21243"</f>
        <v>SR-21243</v>
      </c>
      <c r="H14476" s="2" t="s">
        <v>56299</v>
      </c>
      <c r="I14476" s="2" t="s">
        <v>56300</v>
      </c>
      <c r="K14476" s="2" t="s">
        <v>56301</v>
      </c>
      <c r="L14476" s="2" t="s">
        <v>920</v>
      </c>
      <c r="M14476" s="2">
        <v>57030.0</v>
      </c>
      <c r="N14476" s="2" t="s">
        <v>21</v>
      </c>
    </row>
    <row r="14477" ht="15.75" customHeight="1">
      <c r="A14477" s="2">
        <v>2021.0</v>
      </c>
      <c r="B14477" s="2" t="s">
        <v>56302</v>
      </c>
      <c r="C14477" s="2" t="s">
        <v>56302</v>
      </c>
      <c r="D14477" s="2" t="str">
        <f>"9702505371"</f>
        <v>9702505371</v>
      </c>
      <c r="E14477" s="2" t="s">
        <v>1713</v>
      </c>
      <c r="F14477" s="2" t="s">
        <v>8565</v>
      </c>
      <c r="G14477" s="2" t="str">
        <f>"SR-21223"</f>
        <v>SR-21223</v>
      </c>
      <c r="H14477" s="2" t="s">
        <v>56303</v>
      </c>
      <c r="I14477" s="2" t="s">
        <v>56304</v>
      </c>
      <c r="K14477" s="2" t="s">
        <v>32284</v>
      </c>
      <c r="L14477" s="2" t="s">
        <v>157</v>
      </c>
      <c r="M14477" s="2">
        <v>81413.0</v>
      </c>
      <c r="N14477" s="2" t="s">
        <v>21</v>
      </c>
    </row>
    <row r="14478" ht="15.75" customHeight="1">
      <c r="A14478" s="2">
        <v>2021.0</v>
      </c>
      <c r="B14478" s="2" t="s">
        <v>56305</v>
      </c>
      <c r="C14478" s="2" t="s">
        <v>56306</v>
      </c>
      <c r="D14478" s="2" t="str">
        <f>"4348183391"</f>
        <v>4348183391</v>
      </c>
      <c r="E14478" s="2" t="s">
        <v>718</v>
      </c>
      <c r="F14478" s="2" t="s">
        <v>3144</v>
      </c>
      <c r="G14478" s="2" t="str">
        <f>"SR-20937"</f>
        <v>SR-20937</v>
      </c>
      <c r="H14478" s="2" t="s">
        <v>56307</v>
      </c>
      <c r="I14478" s="2" t="s">
        <v>55657</v>
      </c>
      <c r="K14478" s="2" t="s">
        <v>4519</v>
      </c>
      <c r="L14478" s="2" t="s">
        <v>165</v>
      </c>
      <c r="M14478" s="2">
        <v>24574.0</v>
      </c>
      <c r="N14478" s="2" t="s">
        <v>21</v>
      </c>
    </row>
    <row r="14479" ht="15.75" customHeight="1">
      <c r="A14479" s="2">
        <v>2021.0</v>
      </c>
      <c r="B14479" s="2" t="s">
        <v>48867</v>
      </c>
      <c r="C14479" s="2" t="s">
        <v>48868</v>
      </c>
      <c r="D14479" s="2" t="str">
        <f>"208-277-7672"</f>
        <v>208-277-7672</v>
      </c>
      <c r="E14479" s="2" t="s">
        <v>1548</v>
      </c>
      <c r="F14479" s="2" t="s">
        <v>33176</v>
      </c>
      <c r="G14479" s="2" t="str">
        <f>"SR-17224"</f>
        <v>SR-17224</v>
      </c>
      <c r="H14479" s="2" t="s">
        <v>48869</v>
      </c>
      <c r="I14479" s="2" t="s">
        <v>48870</v>
      </c>
      <c r="K14479" s="2" t="s">
        <v>33179</v>
      </c>
      <c r="L14479" s="2" t="s">
        <v>2613</v>
      </c>
      <c r="M14479" s="2">
        <v>83858.0</v>
      </c>
      <c r="N14479" s="2" t="s">
        <v>21</v>
      </c>
    </row>
    <row r="14480" ht="15.75" customHeight="1">
      <c r="A14480" s="2">
        <v>2021.0</v>
      </c>
      <c r="B14480" s="2" t="s">
        <v>56308</v>
      </c>
      <c r="C14480" s="2" t="s">
        <v>56309</v>
      </c>
      <c r="D14480" s="2" t="str">
        <f>"417-986-9751"</f>
        <v>417-986-9751</v>
      </c>
      <c r="E14480" s="2" t="s">
        <v>56310</v>
      </c>
      <c r="F14480" s="2" t="s">
        <v>56311</v>
      </c>
      <c r="G14480" s="2" t="str">
        <f>"SR-21246"</f>
        <v>SR-21246</v>
      </c>
      <c r="H14480" s="2" t="s">
        <v>56312</v>
      </c>
      <c r="I14480" s="2" t="s">
        <v>56313</v>
      </c>
      <c r="K14480" s="2" t="s">
        <v>3239</v>
      </c>
      <c r="L14480" s="2" t="s">
        <v>214</v>
      </c>
      <c r="M14480" s="2">
        <v>65807.0</v>
      </c>
      <c r="N14480" s="2" t="s">
        <v>21</v>
      </c>
    </row>
    <row r="14481" ht="15.75" customHeight="1">
      <c r="A14481" s="2">
        <v>2021.0</v>
      </c>
      <c r="B14481" s="2" t="s">
        <v>24223</v>
      </c>
      <c r="C14481" s="2" t="s">
        <v>51416</v>
      </c>
      <c r="D14481" s="2" t="str">
        <f>"7652997914"</f>
        <v>7652997914</v>
      </c>
      <c r="E14481" s="2" t="s">
        <v>51417</v>
      </c>
      <c r="F14481" s="2" t="s">
        <v>1533</v>
      </c>
      <c r="G14481" s="2" t="str">
        <f>"SR-15556"</f>
        <v>SR-15556</v>
      </c>
      <c r="H14481" s="2" t="s">
        <v>51418</v>
      </c>
      <c r="I14481" s="2" t="s">
        <v>30842</v>
      </c>
      <c r="K14481" s="2" t="s">
        <v>24227</v>
      </c>
      <c r="L14481" s="2" t="s">
        <v>149</v>
      </c>
      <c r="M14481" s="2">
        <v>47971.0</v>
      </c>
      <c r="N14481" s="2" t="s">
        <v>21</v>
      </c>
    </row>
    <row r="14482" ht="15.75" customHeight="1">
      <c r="A14482" s="2">
        <v>2021.0</v>
      </c>
      <c r="B14482" s="2" t="s">
        <v>56314</v>
      </c>
      <c r="C14482" s="2" t="s">
        <v>56315</v>
      </c>
      <c r="D14482" s="2" t="str">
        <f>"6789396287"</f>
        <v>6789396287</v>
      </c>
      <c r="E14482" s="2" t="s">
        <v>56316</v>
      </c>
      <c r="F14482" s="2" t="s">
        <v>4154</v>
      </c>
      <c r="G14482" s="2" t="str">
        <f>"SR-21247"</f>
        <v>SR-21247</v>
      </c>
      <c r="H14482" s="2" t="s">
        <v>56317</v>
      </c>
      <c r="I14482" s="2" t="s">
        <v>56318</v>
      </c>
      <c r="K14482" s="2" t="s">
        <v>323</v>
      </c>
      <c r="L14482" s="2" t="s">
        <v>165</v>
      </c>
      <c r="M14482" s="2">
        <v>24551.0</v>
      </c>
      <c r="N14482" s="2" t="s">
        <v>21</v>
      </c>
    </row>
    <row r="14483" ht="15.75" customHeight="1">
      <c r="A14483" s="2">
        <v>2021.0</v>
      </c>
      <c r="B14483" s="2" t="s">
        <v>50456</v>
      </c>
      <c r="C14483" s="2" t="s">
        <v>50457</v>
      </c>
      <c r="D14483" s="2" t="str">
        <f>"4254408661"</f>
        <v>4254408661</v>
      </c>
      <c r="E14483" s="2" t="s">
        <v>11885</v>
      </c>
      <c r="F14483" s="2" t="s">
        <v>50458</v>
      </c>
      <c r="G14483" s="2" t="str">
        <f>"SR-18024"</f>
        <v>SR-18024</v>
      </c>
      <c r="H14483" s="2" t="s">
        <v>50459</v>
      </c>
      <c r="I14483" s="2" t="s">
        <v>50460</v>
      </c>
      <c r="K14483" s="2" t="s">
        <v>3118</v>
      </c>
      <c r="L14483" s="2" t="s">
        <v>86</v>
      </c>
      <c r="M14483" s="2">
        <v>98101.0</v>
      </c>
      <c r="N14483" s="2" t="s">
        <v>21</v>
      </c>
    </row>
    <row r="14484" ht="15.75" customHeight="1">
      <c r="A14484" s="2">
        <v>2021.0</v>
      </c>
      <c r="B14484" s="2" t="s">
        <v>31835</v>
      </c>
      <c r="C14484" s="2" t="s">
        <v>56319</v>
      </c>
      <c r="D14484" s="2" t="str">
        <f>"7202449693"</f>
        <v>7202449693</v>
      </c>
      <c r="E14484" s="2" t="s">
        <v>696</v>
      </c>
      <c r="F14484" s="2" t="s">
        <v>31837</v>
      </c>
      <c r="G14484" s="2" t="str">
        <f>"SR-21234"</f>
        <v>SR-21234</v>
      </c>
      <c r="H14484" s="2" t="s">
        <v>56320</v>
      </c>
      <c r="I14484" s="2" t="s">
        <v>56321</v>
      </c>
      <c r="K14484" s="2" t="s">
        <v>9112</v>
      </c>
      <c r="L14484" s="2" t="s">
        <v>157</v>
      </c>
      <c r="M14484" s="2">
        <v>80439.0</v>
      </c>
      <c r="N14484" s="2" t="s">
        <v>21</v>
      </c>
    </row>
    <row r="14485" ht="15.75" customHeight="1">
      <c r="A14485" s="2">
        <v>2021.0</v>
      </c>
      <c r="B14485" s="2" t="s">
        <v>32037</v>
      </c>
      <c r="D14485" s="2" t="str">
        <f>""</f>
        <v/>
      </c>
      <c r="E14485" s="2" t="s">
        <v>1001</v>
      </c>
      <c r="F14485" s="2" t="s">
        <v>20565</v>
      </c>
      <c r="G14485" s="2" t="str">
        <f>"SR-18331"</f>
        <v>SR-18331</v>
      </c>
      <c r="H14485" s="2" t="s">
        <v>51415</v>
      </c>
      <c r="N14485" s="2" t="s">
        <v>21</v>
      </c>
    </row>
    <row r="14486" ht="15.75" customHeight="1">
      <c r="A14486" s="2">
        <v>2021.0</v>
      </c>
      <c r="B14486" s="2" t="s">
        <v>32037</v>
      </c>
      <c r="C14486" s="2" t="s">
        <v>39434</v>
      </c>
      <c r="D14486" s="2" t="str">
        <f>"5672037317"</f>
        <v>5672037317</v>
      </c>
      <c r="E14486" s="2" t="s">
        <v>6098</v>
      </c>
      <c r="F14486" s="2" t="s">
        <v>20565</v>
      </c>
      <c r="G14486" s="2" t="str">
        <f>"SR-13499"</f>
        <v>SR-13499</v>
      </c>
      <c r="H14486" s="2" t="s">
        <v>39435</v>
      </c>
      <c r="I14486" s="2" t="s">
        <v>32040</v>
      </c>
      <c r="K14486" s="2" t="s">
        <v>1154</v>
      </c>
      <c r="L14486" s="2" t="s">
        <v>344</v>
      </c>
      <c r="M14486" s="2">
        <v>44805.0</v>
      </c>
      <c r="N14486" s="2" t="s">
        <v>21</v>
      </c>
    </row>
    <row r="14487" ht="15.75" customHeight="1">
      <c r="A14487" s="2">
        <v>2021.0</v>
      </c>
      <c r="B14487" s="2" t="s">
        <v>50842</v>
      </c>
      <c r="C14487" s="2" t="s">
        <v>50843</v>
      </c>
      <c r="D14487" s="2" t="str">
        <f>"417-349-5297"</f>
        <v>417-349-5297</v>
      </c>
      <c r="E14487" s="2" t="s">
        <v>447</v>
      </c>
      <c r="F14487" s="2" t="s">
        <v>50844</v>
      </c>
      <c r="G14487" s="2" t="str">
        <f>"SR-18035"</f>
        <v>SR-18035</v>
      </c>
      <c r="H14487" s="2" t="s">
        <v>50845</v>
      </c>
      <c r="I14487" s="2" t="s">
        <v>50846</v>
      </c>
      <c r="J14487" s="2" t="s">
        <v>50847</v>
      </c>
      <c r="K14487" s="2" t="s">
        <v>50848</v>
      </c>
      <c r="L14487" s="2" t="s">
        <v>214</v>
      </c>
      <c r="M14487" s="2">
        <v>65711.0</v>
      </c>
      <c r="N14487" s="2" t="s">
        <v>21</v>
      </c>
    </row>
    <row r="14488" ht="15.75" customHeight="1">
      <c r="A14488" s="2">
        <v>2021.0</v>
      </c>
      <c r="B14488" s="2" t="s">
        <v>30381</v>
      </c>
      <c r="C14488" s="2" t="s">
        <v>49377</v>
      </c>
      <c r="D14488" s="2" t="str">
        <f>"402-533-3679"</f>
        <v>402-533-3679</v>
      </c>
      <c r="E14488" s="2" t="s">
        <v>282</v>
      </c>
      <c r="F14488" s="2" t="s">
        <v>30383</v>
      </c>
      <c r="G14488" s="2" t="str">
        <f>"SR-17586"</f>
        <v>SR-17586</v>
      </c>
      <c r="H14488" s="2" t="s">
        <v>49378</v>
      </c>
      <c r="I14488" s="2" t="s">
        <v>49379</v>
      </c>
      <c r="K14488" s="2" t="s">
        <v>1470</v>
      </c>
      <c r="L14488" s="2" t="s">
        <v>757</v>
      </c>
      <c r="M14488" s="2">
        <v>68135.0</v>
      </c>
      <c r="N14488" s="2" t="s">
        <v>21</v>
      </c>
    </row>
    <row r="14489" ht="15.75" customHeight="1">
      <c r="A14489" s="2">
        <v>2021.0</v>
      </c>
      <c r="B14489" s="2" t="s">
        <v>39250</v>
      </c>
      <c r="C14489" s="2" t="s">
        <v>49395</v>
      </c>
      <c r="D14489" s="2" t="str">
        <f>"402-672-8137"</f>
        <v>402-672-8137</v>
      </c>
      <c r="E14489" s="2" t="s">
        <v>12491</v>
      </c>
      <c r="F14489" s="2" t="s">
        <v>39253</v>
      </c>
      <c r="G14489" s="2" t="str">
        <f>"SR-17596"</f>
        <v>SR-17596</v>
      </c>
      <c r="H14489" s="2" t="s">
        <v>49396</v>
      </c>
      <c r="I14489" s="2" t="s">
        <v>39255</v>
      </c>
      <c r="K14489" s="2" t="s">
        <v>30390</v>
      </c>
      <c r="L14489" s="2" t="s">
        <v>757</v>
      </c>
      <c r="M14489" s="2">
        <v>68028.0</v>
      </c>
      <c r="N14489" s="2" t="s">
        <v>21</v>
      </c>
    </row>
    <row r="14490" ht="15.75" customHeight="1">
      <c r="A14490" s="2">
        <v>2021.0</v>
      </c>
      <c r="B14490" s="2" t="s">
        <v>53035</v>
      </c>
      <c r="C14490" s="2" t="s">
        <v>53036</v>
      </c>
      <c r="D14490" s="2" t="str">
        <f>"2487872108"</f>
        <v>2487872108</v>
      </c>
      <c r="E14490" s="2" t="s">
        <v>3668</v>
      </c>
      <c r="F14490" s="2" t="s">
        <v>53037</v>
      </c>
      <c r="G14490" s="2" t="str">
        <f>"SR-18963"</f>
        <v>SR-18963</v>
      </c>
      <c r="H14490" s="2" t="s">
        <v>53038</v>
      </c>
      <c r="I14490" s="2" t="s">
        <v>53039</v>
      </c>
      <c r="K14490" s="2" t="s">
        <v>2909</v>
      </c>
      <c r="L14490" s="2" t="s">
        <v>29</v>
      </c>
      <c r="M14490" s="2">
        <v>48170.0</v>
      </c>
      <c r="N14490" s="2" t="s">
        <v>21</v>
      </c>
    </row>
    <row r="14491" ht="15.75" customHeight="1">
      <c r="A14491" s="2">
        <v>2021.0</v>
      </c>
      <c r="B14491" s="2" t="s">
        <v>56322</v>
      </c>
      <c r="C14491" s="2" t="s">
        <v>56323</v>
      </c>
      <c r="D14491" s="2" t="str">
        <f>"402-660-2707"</f>
        <v>402-660-2707</v>
      </c>
      <c r="E14491" s="2" t="s">
        <v>373</v>
      </c>
      <c r="F14491" s="2" t="s">
        <v>3212</v>
      </c>
      <c r="G14491" s="2" t="str">
        <f>"SR-21253"</f>
        <v>SR-21253</v>
      </c>
      <c r="H14491" s="2" t="s">
        <v>56324</v>
      </c>
      <c r="I14491" s="2" t="s">
        <v>56325</v>
      </c>
      <c r="K14491" s="2" t="s">
        <v>1470</v>
      </c>
      <c r="L14491" s="2" t="s">
        <v>757</v>
      </c>
      <c r="M14491" s="2">
        <v>68135.0</v>
      </c>
      <c r="N14491" s="2" t="s">
        <v>21</v>
      </c>
    </row>
    <row r="14492" ht="15.75" customHeight="1">
      <c r="A14492" s="2">
        <v>2021.0</v>
      </c>
      <c r="B14492" s="2" t="s">
        <v>56326</v>
      </c>
      <c r="C14492" s="2" t="s">
        <v>56327</v>
      </c>
      <c r="D14492" s="2" t="str">
        <f>"925-784-9890"</f>
        <v>925-784-9890</v>
      </c>
      <c r="E14492" s="2" t="s">
        <v>5542</v>
      </c>
      <c r="F14492" s="2" t="s">
        <v>49544</v>
      </c>
      <c r="G14492" s="2" t="str">
        <f>"SR-21252"</f>
        <v>SR-21252</v>
      </c>
      <c r="H14492" s="2" t="s">
        <v>56328</v>
      </c>
      <c r="I14492" s="2" t="s">
        <v>56329</v>
      </c>
      <c r="K14492" s="2" t="s">
        <v>9721</v>
      </c>
      <c r="L14492" s="2" t="s">
        <v>222</v>
      </c>
      <c r="M14492" s="2">
        <v>94551.0</v>
      </c>
      <c r="N14492" s="2" t="s">
        <v>21</v>
      </c>
    </row>
    <row r="14493" ht="15.75" customHeight="1">
      <c r="A14493" s="2">
        <v>2021.0</v>
      </c>
      <c r="B14493" s="2" t="s">
        <v>56330</v>
      </c>
      <c r="C14493" s="2" t="s">
        <v>56331</v>
      </c>
      <c r="D14493" s="2" t="str">
        <f>"917-882-0122"</f>
        <v>917-882-0122</v>
      </c>
      <c r="E14493" s="2" t="s">
        <v>81</v>
      </c>
      <c r="F14493" s="2" t="s">
        <v>5035</v>
      </c>
      <c r="G14493" s="2" t="str">
        <f>"SR-21254"</f>
        <v>SR-21254</v>
      </c>
      <c r="H14493" s="2" t="s">
        <v>56332</v>
      </c>
      <c r="I14493" s="2" t="s">
        <v>56333</v>
      </c>
      <c r="K14493" s="2" t="s">
        <v>32115</v>
      </c>
      <c r="L14493" s="2" t="s">
        <v>179</v>
      </c>
      <c r="M14493" s="2">
        <v>17050.0</v>
      </c>
      <c r="N14493" s="2" t="s">
        <v>21</v>
      </c>
    </row>
    <row r="14494" ht="15.75" customHeight="1">
      <c r="A14494" s="2">
        <v>2021.0</v>
      </c>
      <c r="B14494" s="2" t="s">
        <v>55532</v>
      </c>
      <c r="C14494" s="2" t="s">
        <v>56334</v>
      </c>
      <c r="D14494" s="2" t="str">
        <f>"8652434633"</f>
        <v>8652434633</v>
      </c>
      <c r="E14494" s="2" t="s">
        <v>4224</v>
      </c>
      <c r="F14494" s="2" t="s">
        <v>386</v>
      </c>
      <c r="G14494" s="2" t="str">
        <f>"SR-21255"</f>
        <v>SR-21255</v>
      </c>
      <c r="H14494" s="2" t="s">
        <v>56335</v>
      </c>
      <c r="I14494" s="2" t="s">
        <v>55535</v>
      </c>
      <c r="K14494" s="2" t="s">
        <v>6168</v>
      </c>
      <c r="L14494" s="2" t="s">
        <v>279</v>
      </c>
      <c r="M14494" s="2">
        <v>37918.0</v>
      </c>
      <c r="N14494" s="2" t="s">
        <v>21</v>
      </c>
    </row>
    <row r="14495" ht="15.75" customHeight="1">
      <c r="A14495" s="2">
        <v>2021.0</v>
      </c>
      <c r="B14495" s="2" t="s">
        <v>38713</v>
      </c>
      <c r="C14495" s="2" t="s">
        <v>56336</v>
      </c>
      <c r="D14495" s="2" t="str">
        <f>"815-990-7240"</f>
        <v>815-990-7240</v>
      </c>
      <c r="E14495" s="2" t="s">
        <v>56337</v>
      </c>
      <c r="F14495" s="2" t="s">
        <v>35526</v>
      </c>
      <c r="G14495" s="2" t="str">
        <f>"SR-21259"</f>
        <v>SR-21259</v>
      </c>
      <c r="H14495" s="2" t="s">
        <v>56338</v>
      </c>
      <c r="I14495" s="2" t="s">
        <v>56339</v>
      </c>
      <c r="K14495" s="2" t="s">
        <v>3164</v>
      </c>
      <c r="L14495" s="2" t="s">
        <v>20</v>
      </c>
      <c r="M14495" s="2">
        <v>28312.0</v>
      </c>
      <c r="N14495" s="2" t="s">
        <v>21</v>
      </c>
    </row>
    <row r="14496" ht="15.75" customHeight="1">
      <c r="A14496" s="2">
        <v>2021.0</v>
      </c>
      <c r="B14496" s="2" t="s">
        <v>56340</v>
      </c>
      <c r="C14496" s="2" t="s">
        <v>56341</v>
      </c>
      <c r="D14496" s="2" t="str">
        <f>"9164067797"</f>
        <v>9164067797</v>
      </c>
      <c r="E14496" s="2" t="s">
        <v>1263</v>
      </c>
      <c r="F14496" s="2" t="s">
        <v>3022</v>
      </c>
      <c r="G14496" s="2" t="str">
        <f>"SR-21261"</f>
        <v>SR-21261</v>
      </c>
      <c r="H14496" s="2" t="s">
        <v>3023</v>
      </c>
      <c r="I14496" s="2" t="s">
        <v>56342</v>
      </c>
      <c r="K14496" s="2" t="s">
        <v>10283</v>
      </c>
      <c r="L14496" s="2" t="s">
        <v>222</v>
      </c>
      <c r="M14496" s="2">
        <v>95630.0</v>
      </c>
      <c r="N14496" s="2" t="s">
        <v>21</v>
      </c>
    </row>
    <row r="14497" ht="15.75" customHeight="1">
      <c r="A14497" s="2">
        <v>2021.0</v>
      </c>
      <c r="B14497" s="2" t="s">
        <v>52423</v>
      </c>
      <c r="C14497" s="2" t="s">
        <v>52424</v>
      </c>
      <c r="D14497" s="2" t="str">
        <f>"3072541120"</f>
        <v>3072541120</v>
      </c>
      <c r="E14497" s="2" t="s">
        <v>282</v>
      </c>
      <c r="F14497" s="2" t="s">
        <v>12320</v>
      </c>
      <c r="G14497" s="2" t="str">
        <f>"SR-18734"</f>
        <v>SR-18734</v>
      </c>
      <c r="H14497" s="2" t="s">
        <v>52425</v>
      </c>
      <c r="I14497" s="2" t="s">
        <v>33986</v>
      </c>
      <c r="K14497" s="2" t="s">
        <v>2771</v>
      </c>
      <c r="L14497" s="2" t="s">
        <v>1540</v>
      </c>
      <c r="M14497" s="2">
        <v>82435.0</v>
      </c>
      <c r="N14497" s="2" t="s">
        <v>21</v>
      </c>
    </row>
    <row r="14498" ht="15.75" customHeight="1">
      <c r="A14498" s="2">
        <v>2021.0</v>
      </c>
      <c r="B14498" s="2" t="s">
        <v>56343</v>
      </c>
      <c r="D14498" s="2" t="str">
        <f>""</f>
        <v/>
      </c>
      <c r="E14498" s="2" t="s">
        <v>651</v>
      </c>
      <c r="F14498" s="2" t="s">
        <v>56344</v>
      </c>
      <c r="G14498" s="2" t="str">
        <f>"SR-21264"</f>
        <v>SR-21264</v>
      </c>
      <c r="H14498" s="2" t="s">
        <v>56345</v>
      </c>
    </row>
    <row r="14499" ht="15.75" customHeight="1">
      <c r="A14499" s="2">
        <v>2021.0</v>
      </c>
      <c r="B14499" s="2" t="s">
        <v>56346</v>
      </c>
      <c r="C14499" s="2" t="s">
        <v>56347</v>
      </c>
      <c r="D14499" s="2" t="str">
        <f>"9712677870"</f>
        <v>9712677870</v>
      </c>
      <c r="E14499" s="2" t="s">
        <v>54111</v>
      </c>
      <c r="F14499" s="2" t="s">
        <v>56348</v>
      </c>
      <c r="G14499" s="2" t="str">
        <f>"SR-21267"</f>
        <v>SR-21267</v>
      </c>
      <c r="H14499" s="2" t="s">
        <v>56349</v>
      </c>
      <c r="I14499" s="2" t="s">
        <v>56350</v>
      </c>
      <c r="K14499" s="2" t="s">
        <v>3058</v>
      </c>
      <c r="L14499" s="2" t="s">
        <v>2389</v>
      </c>
      <c r="M14499" s="2">
        <v>97080.0</v>
      </c>
      <c r="N14499" s="2" t="s">
        <v>21</v>
      </c>
    </row>
    <row r="14500" ht="15.75" customHeight="1">
      <c r="A14500" s="2">
        <v>2021.0</v>
      </c>
      <c r="B14500" s="2" t="s">
        <v>51465</v>
      </c>
      <c r="C14500" s="2" t="s">
        <v>51465</v>
      </c>
      <c r="D14500" s="2" t="str">
        <f>"7209085521"</f>
        <v>7209085521</v>
      </c>
      <c r="E14500" s="2" t="s">
        <v>2202</v>
      </c>
      <c r="F14500" s="2" t="s">
        <v>51412</v>
      </c>
      <c r="G14500" s="2" t="str">
        <f>"SR-18358"</f>
        <v>SR-18358</v>
      </c>
      <c r="H14500" s="2" t="s">
        <v>51466</v>
      </c>
      <c r="I14500" s="2" t="s">
        <v>51467</v>
      </c>
      <c r="K14500" s="2" t="s">
        <v>7578</v>
      </c>
      <c r="L14500" s="2" t="s">
        <v>157</v>
      </c>
      <c r="M14500" s="2">
        <v>80118.0</v>
      </c>
      <c r="N14500" s="2" t="s">
        <v>21</v>
      </c>
    </row>
    <row r="14501" ht="15.75" customHeight="1">
      <c r="A14501" s="2">
        <v>2021.0</v>
      </c>
      <c r="B14501" s="2" t="s">
        <v>37524</v>
      </c>
      <c r="C14501" s="2" t="s">
        <v>56351</v>
      </c>
      <c r="D14501" s="2" t="str">
        <f>"3194125845"</f>
        <v>3194125845</v>
      </c>
      <c r="E14501" s="2" t="s">
        <v>1243</v>
      </c>
      <c r="F14501" s="2" t="s">
        <v>4783</v>
      </c>
      <c r="G14501" s="2" t="str">
        <f>"SR-21211"</f>
        <v>SR-21211</v>
      </c>
      <c r="H14501" s="2" t="s">
        <v>56352</v>
      </c>
      <c r="I14501" s="2" t="s">
        <v>56353</v>
      </c>
      <c r="K14501" s="2" t="s">
        <v>3493</v>
      </c>
      <c r="L14501" s="2" t="s">
        <v>560</v>
      </c>
      <c r="M14501" s="2">
        <v>52302.0</v>
      </c>
      <c r="N14501" s="2" t="s">
        <v>21</v>
      </c>
    </row>
    <row r="14502" ht="15.75" customHeight="1">
      <c r="A14502" s="2">
        <v>2021.0</v>
      </c>
      <c r="B14502" s="2" t="s">
        <v>56354</v>
      </c>
      <c r="C14502" s="2" t="s">
        <v>56355</v>
      </c>
      <c r="D14502" s="2" t="str">
        <f>"503-766-8031"</f>
        <v>503-766-8031</v>
      </c>
      <c r="E14502" s="2" t="s">
        <v>56356</v>
      </c>
      <c r="F14502" s="2" t="s">
        <v>56357</v>
      </c>
      <c r="G14502" s="2" t="str">
        <f>"SR-21270"</f>
        <v>SR-21270</v>
      </c>
      <c r="H14502" s="2" t="s">
        <v>56358</v>
      </c>
      <c r="I14502" s="2" t="s">
        <v>56359</v>
      </c>
      <c r="K14502" s="2" t="s">
        <v>3058</v>
      </c>
      <c r="L14502" s="2" t="s">
        <v>2389</v>
      </c>
      <c r="M14502" s="2">
        <v>97080.0</v>
      </c>
      <c r="N14502" s="2" t="s">
        <v>21</v>
      </c>
    </row>
    <row r="14503" ht="15.75" customHeight="1">
      <c r="A14503" s="2">
        <v>2021.0</v>
      </c>
      <c r="B14503" s="2" t="s">
        <v>51973</v>
      </c>
      <c r="C14503" s="2" t="s">
        <v>51974</v>
      </c>
      <c r="D14503" s="2" t="str">
        <f>"8065597041"</f>
        <v>8065597041</v>
      </c>
      <c r="E14503" s="2" t="s">
        <v>51975</v>
      </c>
      <c r="F14503" s="2" t="s">
        <v>4675</v>
      </c>
      <c r="G14503" s="2" t="str">
        <f>"SR-18370"</f>
        <v>SR-18370</v>
      </c>
      <c r="H14503" s="2" t="s">
        <v>51976</v>
      </c>
      <c r="I14503" s="2" t="s">
        <v>51977</v>
      </c>
      <c r="K14503" s="2" t="s">
        <v>1121</v>
      </c>
      <c r="L14503" s="2" t="s">
        <v>172</v>
      </c>
      <c r="M14503" s="2">
        <v>79424.0</v>
      </c>
      <c r="N14503" s="2" t="s">
        <v>21</v>
      </c>
    </row>
    <row r="14504" ht="15.75" customHeight="1">
      <c r="A14504" s="2">
        <v>2021.0</v>
      </c>
      <c r="B14504" s="2" t="s">
        <v>56360</v>
      </c>
      <c r="C14504" s="2" t="s">
        <v>56360</v>
      </c>
      <c r="D14504" s="2" t="str">
        <f>"431-775-9646"</f>
        <v>431-775-9646</v>
      </c>
      <c r="E14504" s="2" t="s">
        <v>56361</v>
      </c>
      <c r="F14504" s="2" t="s">
        <v>9650</v>
      </c>
      <c r="G14504" s="2" t="str">
        <f>"SR-21271"</f>
        <v>SR-21271</v>
      </c>
      <c r="H14504" s="2" t="s">
        <v>56362</v>
      </c>
      <c r="I14504" s="2" t="s">
        <v>56363</v>
      </c>
      <c r="K14504" s="2" t="s">
        <v>3231</v>
      </c>
      <c r="L14504" s="2" t="s">
        <v>7682</v>
      </c>
      <c r="M14504" s="2" t="s">
        <v>56364</v>
      </c>
      <c r="N14504" s="2" t="s">
        <v>1602</v>
      </c>
    </row>
    <row r="14505" ht="15.75" customHeight="1">
      <c r="A14505" s="2">
        <v>2021.0</v>
      </c>
      <c r="B14505" s="2" t="s">
        <v>56365</v>
      </c>
      <c r="C14505" s="2" t="s">
        <v>56366</v>
      </c>
      <c r="D14505" s="2" t="str">
        <f>"214-551-9721"</f>
        <v>214-551-9721</v>
      </c>
      <c r="E14505" s="2" t="s">
        <v>3743</v>
      </c>
      <c r="F14505" s="2" t="s">
        <v>6760</v>
      </c>
      <c r="G14505" s="2" t="str">
        <f>"SR-21272"</f>
        <v>SR-21272</v>
      </c>
      <c r="H14505" s="2" t="s">
        <v>56367</v>
      </c>
      <c r="I14505" s="2" t="s">
        <v>56368</v>
      </c>
      <c r="K14505" s="2" t="s">
        <v>171</v>
      </c>
      <c r="L14505" s="2" t="s">
        <v>172</v>
      </c>
      <c r="M14505" s="2">
        <v>75007.0</v>
      </c>
      <c r="N14505" s="2" t="s">
        <v>21</v>
      </c>
    </row>
    <row r="14506" ht="15.75" customHeight="1">
      <c r="A14506" s="2">
        <v>2021.0</v>
      </c>
      <c r="B14506" s="2" t="s">
        <v>56369</v>
      </c>
      <c r="C14506" s="2" t="s">
        <v>56369</v>
      </c>
      <c r="D14506" s="2" t="str">
        <f>"405-779-1026"</f>
        <v>405-779-1026</v>
      </c>
      <c r="E14506" s="2" t="s">
        <v>585</v>
      </c>
      <c r="F14506" s="2" t="s">
        <v>2063</v>
      </c>
      <c r="G14506" s="2" t="str">
        <f>"SR-20880"</f>
        <v>SR-20880</v>
      </c>
      <c r="H14506" s="2" t="s">
        <v>56370</v>
      </c>
      <c r="I14506" s="2" t="s">
        <v>56371</v>
      </c>
      <c r="K14506" s="2" t="s">
        <v>56372</v>
      </c>
      <c r="L14506" s="2" t="s">
        <v>840</v>
      </c>
      <c r="M14506" s="2">
        <v>73067.0</v>
      </c>
      <c r="N14506" s="2" t="s">
        <v>21</v>
      </c>
    </row>
    <row r="14507" ht="15.75" customHeight="1">
      <c r="A14507" s="2">
        <v>2021.0</v>
      </c>
      <c r="B14507" s="2" t="s">
        <v>56373</v>
      </c>
      <c r="C14507" s="2" t="s">
        <v>56374</v>
      </c>
      <c r="D14507" s="2" t="str">
        <f>"3165702718"</f>
        <v>3165702718</v>
      </c>
      <c r="E14507" s="2" t="s">
        <v>56375</v>
      </c>
      <c r="F14507" s="2" t="s">
        <v>4120</v>
      </c>
      <c r="G14507" s="2" t="str">
        <f>"SR-21127"</f>
        <v>SR-21127</v>
      </c>
      <c r="H14507" s="2" t="s">
        <v>56376</v>
      </c>
      <c r="I14507" s="2" t="s">
        <v>56377</v>
      </c>
      <c r="K14507" s="2" t="s">
        <v>56378</v>
      </c>
      <c r="L14507" s="2" t="s">
        <v>272</v>
      </c>
      <c r="M14507" s="2">
        <v>67120.0</v>
      </c>
      <c r="N14507" s="2" t="s">
        <v>21</v>
      </c>
    </row>
    <row r="14508" ht="15.75" customHeight="1">
      <c r="A14508" s="2">
        <v>2021.0</v>
      </c>
      <c r="B14508" s="2" t="s">
        <v>56379</v>
      </c>
      <c r="C14508" s="2" t="s">
        <v>56380</v>
      </c>
      <c r="D14508" s="2" t="str">
        <f>"864-497-7636"</f>
        <v>864-497-7636</v>
      </c>
      <c r="E14508" s="2" t="s">
        <v>261</v>
      </c>
      <c r="F14508" s="2" t="s">
        <v>56381</v>
      </c>
      <c r="G14508" s="2" t="str">
        <f>"SR-21275"</f>
        <v>SR-21275</v>
      </c>
      <c r="H14508" s="2" t="s">
        <v>56382</v>
      </c>
      <c r="I14508" s="2" t="s">
        <v>56383</v>
      </c>
      <c r="K14508" s="2" t="s">
        <v>56384</v>
      </c>
      <c r="L14508" s="2" t="s">
        <v>55</v>
      </c>
      <c r="M14508" s="2">
        <v>29376.0</v>
      </c>
      <c r="N14508" s="2" t="s">
        <v>21</v>
      </c>
    </row>
    <row r="14509" ht="15.75" customHeight="1">
      <c r="A14509" s="2">
        <v>2021.0</v>
      </c>
      <c r="B14509" s="2" t="s">
        <v>56379</v>
      </c>
      <c r="C14509" s="2" t="s">
        <v>56385</v>
      </c>
      <c r="D14509" s="2" t="str">
        <f>"864-497-7940"</f>
        <v>864-497-7940</v>
      </c>
      <c r="E14509" s="2" t="s">
        <v>705</v>
      </c>
      <c r="F14509" s="2" t="s">
        <v>56381</v>
      </c>
      <c r="G14509" s="2" t="str">
        <f>"SR-21276"</f>
        <v>SR-21276</v>
      </c>
      <c r="H14509" s="2" t="s">
        <v>56386</v>
      </c>
      <c r="I14509" s="2" t="s">
        <v>56387</v>
      </c>
      <c r="K14509" s="2" t="s">
        <v>56384</v>
      </c>
      <c r="L14509" s="2" t="s">
        <v>55</v>
      </c>
      <c r="M14509" s="2">
        <v>29376.0</v>
      </c>
      <c r="N14509" s="2" t="s">
        <v>21</v>
      </c>
    </row>
    <row r="14510" ht="15.75" customHeight="1">
      <c r="A14510" s="2">
        <v>2021.0</v>
      </c>
      <c r="B14510" s="2" t="s">
        <v>56388</v>
      </c>
      <c r="C14510" s="2" t="s">
        <v>56389</v>
      </c>
      <c r="D14510" s="2" t="str">
        <f>"704 956-3042"</f>
        <v>704 956-3042</v>
      </c>
      <c r="E14510" s="2" t="s">
        <v>2857</v>
      </c>
      <c r="F14510" s="2" t="s">
        <v>56390</v>
      </c>
      <c r="G14510" s="2" t="str">
        <f>"SR-21241"</f>
        <v>SR-21241</v>
      </c>
      <c r="H14510" s="2" t="s">
        <v>56391</v>
      </c>
      <c r="I14510" s="2" t="s">
        <v>56392</v>
      </c>
      <c r="K14510" s="2" t="s">
        <v>12914</v>
      </c>
      <c r="L14510" s="2" t="s">
        <v>20</v>
      </c>
      <c r="M14510" s="2">
        <v>28227.0</v>
      </c>
      <c r="N14510" s="2" t="s">
        <v>21</v>
      </c>
    </row>
    <row r="14511" ht="15.75" customHeight="1">
      <c r="A14511" s="2">
        <v>2021.0</v>
      </c>
      <c r="B14511" s="2" t="s">
        <v>48758</v>
      </c>
      <c r="C14511" s="2" t="s">
        <v>56393</v>
      </c>
      <c r="D14511" s="2" t="str">
        <f>"7203341575"</f>
        <v>7203341575</v>
      </c>
      <c r="E14511" s="2" t="s">
        <v>56394</v>
      </c>
      <c r="F14511" s="2" t="s">
        <v>48760</v>
      </c>
      <c r="G14511" s="2" t="str">
        <f>"SR-21278"</f>
        <v>SR-21278</v>
      </c>
      <c r="H14511" s="2" t="s">
        <v>56395</v>
      </c>
      <c r="I14511" s="2" t="s">
        <v>56396</v>
      </c>
      <c r="K14511" s="2" t="s">
        <v>2527</v>
      </c>
      <c r="L14511" s="2" t="s">
        <v>157</v>
      </c>
      <c r="M14511" s="2">
        <v>80229.0</v>
      </c>
      <c r="N14511" s="2" t="s">
        <v>21</v>
      </c>
    </row>
    <row r="14512" ht="15.75" customHeight="1">
      <c r="A14512" s="2">
        <v>2021.0</v>
      </c>
      <c r="B14512" s="2" t="s">
        <v>42538</v>
      </c>
      <c r="C14512" s="2" t="s">
        <v>56397</v>
      </c>
      <c r="D14512" s="2" t="str">
        <f>"719-722-7486"</f>
        <v>719-722-7486</v>
      </c>
      <c r="E14512" s="2" t="s">
        <v>1987</v>
      </c>
      <c r="F14512" s="2" t="s">
        <v>18749</v>
      </c>
      <c r="G14512" s="2" t="str">
        <f>"SR-21073"</f>
        <v>SR-21073</v>
      </c>
      <c r="H14512" s="2" t="s">
        <v>56398</v>
      </c>
      <c r="I14512" s="2" t="s">
        <v>42542</v>
      </c>
      <c r="K14512" s="2" t="s">
        <v>809</v>
      </c>
      <c r="L14512" s="2" t="s">
        <v>157</v>
      </c>
      <c r="M14512" s="2">
        <v>80920.0</v>
      </c>
      <c r="N14512" s="2" t="s">
        <v>21</v>
      </c>
    </row>
    <row r="14513" ht="15.75" customHeight="1">
      <c r="A14513" s="2">
        <v>2021.0</v>
      </c>
      <c r="B14513" s="2" t="s">
        <v>56399</v>
      </c>
      <c r="C14513" s="2" t="s">
        <v>56399</v>
      </c>
      <c r="D14513" s="2" t="str">
        <f>"9133021791"</f>
        <v>9133021791</v>
      </c>
      <c r="E14513" s="2" t="s">
        <v>267</v>
      </c>
      <c r="F14513" s="2" t="s">
        <v>56400</v>
      </c>
      <c r="G14513" s="2" t="str">
        <f>"SR-21279"</f>
        <v>SR-21279</v>
      </c>
      <c r="H14513" s="2" t="s">
        <v>56401</v>
      </c>
      <c r="I14513" s="2" t="s">
        <v>56402</v>
      </c>
      <c r="K14513" s="2" t="s">
        <v>3329</v>
      </c>
      <c r="L14513" s="2" t="s">
        <v>272</v>
      </c>
      <c r="M14513" s="2">
        <v>66227.0</v>
      </c>
      <c r="N14513" s="2" t="s">
        <v>21</v>
      </c>
    </row>
    <row r="14514" ht="15.75" customHeight="1">
      <c r="A14514" s="2">
        <v>2021.0</v>
      </c>
      <c r="B14514" s="2" t="s">
        <v>31208</v>
      </c>
      <c r="C14514" s="2" t="s">
        <v>53023</v>
      </c>
      <c r="D14514" s="2" t="str">
        <f>"6189741971"</f>
        <v>6189741971</v>
      </c>
      <c r="E14514" s="2" t="s">
        <v>217</v>
      </c>
      <c r="F14514" s="2" t="s">
        <v>31210</v>
      </c>
      <c r="G14514" s="2" t="str">
        <f>"SR-21280"</f>
        <v>SR-21280</v>
      </c>
      <c r="H14514" s="2" t="s">
        <v>53024</v>
      </c>
      <c r="I14514" s="2" t="s">
        <v>56403</v>
      </c>
      <c r="K14514" s="2" t="s">
        <v>28289</v>
      </c>
      <c r="L14514" s="2" t="s">
        <v>105</v>
      </c>
      <c r="M14514" s="2">
        <v>62221.0</v>
      </c>
      <c r="N14514" s="2" t="s">
        <v>21</v>
      </c>
    </row>
    <row r="14515" ht="15.75" customHeight="1">
      <c r="A14515" s="2">
        <v>2021.0</v>
      </c>
      <c r="B14515" s="2" t="s">
        <v>56404</v>
      </c>
      <c r="C14515" s="2" t="s">
        <v>56405</v>
      </c>
      <c r="D14515" s="2" t="str">
        <f>"9199855661"</f>
        <v>9199855661</v>
      </c>
      <c r="E14515" s="2" t="s">
        <v>47263</v>
      </c>
      <c r="F14515" s="2" t="s">
        <v>56406</v>
      </c>
      <c r="G14515" s="2" t="str">
        <f>"SR-20945"</f>
        <v>SR-20945</v>
      </c>
      <c r="H14515" s="2" t="s">
        <v>56407</v>
      </c>
      <c r="I14515" s="2" t="s">
        <v>56408</v>
      </c>
      <c r="K14515" s="2" t="s">
        <v>44063</v>
      </c>
      <c r="L14515" s="2" t="s">
        <v>20</v>
      </c>
      <c r="M14515" s="2">
        <v>27587.0</v>
      </c>
      <c r="N14515" s="2" t="s">
        <v>21</v>
      </c>
    </row>
    <row r="14516" ht="15.75" customHeight="1">
      <c r="A14516" s="2">
        <v>2021.0</v>
      </c>
      <c r="B14516" s="2" t="s">
        <v>56409</v>
      </c>
      <c r="C14516" s="2" t="s">
        <v>56409</v>
      </c>
      <c r="D14516" s="2" t="str">
        <f>"4027187415"</f>
        <v>4027187415</v>
      </c>
      <c r="E14516" s="2" t="s">
        <v>485</v>
      </c>
      <c r="F14516" s="2" t="s">
        <v>49838</v>
      </c>
      <c r="G14516" s="2" t="str">
        <f>"SR-21245"</f>
        <v>SR-21245</v>
      </c>
      <c r="H14516" s="2" t="s">
        <v>49839</v>
      </c>
      <c r="I14516" s="2" t="s">
        <v>49840</v>
      </c>
      <c r="K14516" s="2" t="s">
        <v>30390</v>
      </c>
      <c r="L14516" s="2" t="s">
        <v>757</v>
      </c>
      <c r="M14516" s="2">
        <v>68028.0</v>
      </c>
      <c r="N14516" s="2" t="s">
        <v>21</v>
      </c>
    </row>
    <row r="14517" ht="15.75" customHeight="1">
      <c r="A14517" s="2">
        <v>2021.0</v>
      </c>
      <c r="B14517" s="2" t="s">
        <v>56410</v>
      </c>
      <c r="C14517" s="2" t="s">
        <v>56411</v>
      </c>
      <c r="D14517" s="2" t="str">
        <f>"3522626561"</f>
        <v>3522626561</v>
      </c>
      <c r="E14517" s="2" t="s">
        <v>20576</v>
      </c>
      <c r="F14517" s="2" t="s">
        <v>56412</v>
      </c>
      <c r="G14517" s="2" t="str">
        <f>"SR-21282"</f>
        <v>SR-21282</v>
      </c>
      <c r="H14517" s="2" t="s">
        <v>56413</v>
      </c>
      <c r="I14517" s="2" t="s">
        <v>56414</v>
      </c>
      <c r="K14517" s="2" t="s">
        <v>10683</v>
      </c>
      <c r="L14517" s="2" t="s">
        <v>200</v>
      </c>
      <c r="M14517" s="2">
        <v>30350.0</v>
      </c>
      <c r="N14517" s="2" t="s">
        <v>21</v>
      </c>
    </row>
    <row r="14518" ht="15.75" customHeight="1">
      <c r="A14518" s="2">
        <v>2021.0</v>
      </c>
      <c r="B14518" s="2" t="s">
        <v>56415</v>
      </c>
      <c r="C14518" s="2" t="s">
        <v>56415</v>
      </c>
      <c r="D14518" s="2" t="str">
        <f>"2565290106"</f>
        <v>2565290106</v>
      </c>
      <c r="E14518" s="2" t="s">
        <v>4322</v>
      </c>
      <c r="F14518" s="2" t="s">
        <v>5335</v>
      </c>
      <c r="G14518" s="2" t="str">
        <f>"SR-21283"</f>
        <v>SR-21283</v>
      </c>
      <c r="H14518" s="2" t="s">
        <v>56416</v>
      </c>
      <c r="I14518" s="2" t="s">
        <v>56417</v>
      </c>
      <c r="K14518" s="2" t="s">
        <v>659</v>
      </c>
      <c r="L14518" s="2" t="s">
        <v>539</v>
      </c>
      <c r="M14518" s="2">
        <v>35757.0</v>
      </c>
      <c r="N14518" s="2" t="s">
        <v>21</v>
      </c>
    </row>
    <row r="14519" ht="15.75" customHeight="1">
      <c r="A14519" s="2">
        <v>2021.0</v>
      </c>
      <c r="B14519" s="2" t="s">
        <v>49296</v>
      </c>
      <c r="C14519" s="2" t="s">
        <v>56418</v>
      </c>
      <c r="D14519" s="2" t="str">
        <f>"4026698115"</f>
        <v>4026698115</v>
      </c>
      <c r="E14519" s="2" t="s">
        <v>9924</v>
      </c>
      <c r="F14519" s="2" t="s">
        <v>49298</v>
      </c>
      <c r="G14519" s="2" t="str">
        <f>"SR-21284"</f>
        <v>SR-21284</v>
      </c>
      <c r="H14519" s="2" t="s">
        <v>56419</v>
      </c>
      <c r="I14519" s="2" t="s">
        <v>56420</v>
      </c>
      <c r="K14519" s="2" t="s">
        <v>1470</v>
      </c>
      <c r="L14519" s="2" t="s">
        <v>757</v>
      </c>
      <c r="M14519" s="2">
        <v>68135.0</v>
      </c>
      <c r="N14519" s="2" t="s">
        <v>21</v>
      </c>
    </row>
    <row r="14520" ht="15.75" customHeight="1">
      <c r="A14520" s="2">
        <v>2021.0</v>
      </c>
      <c r="B14520" s="2" t="s">
        <v>56421</v>
      </c>
      <c r="C14520" s="2" t="s">
        <v>56421</v>
      </c>
      <c r="D14520" s="2" t="str">
        <f>"8286993694"</f>
        <v>8286993694</v>
      </c>
      <c r="E14520" s="2" t="s">
        <v>465</v>
      </c>
      <c r="F14520" s="2" t="s">
        <v>56422</v>
      </c>
      <c r="G14520" s="2" t="str">
        <f>"SR-21286"</f>
        <v>SR-21286</v>
      </c>
      <c r="H14520" s="2" t="s">
        <v>56423</v>
      </c>
      <c r="I14520" s="2" t="s">
        <v>56424</v>
      </c>
      <c r="K14520" s="2" t="s">
        <v>5988</v>
      </c>
      <c r="L14520" s="2" t="s">
        <v>20</v>
      </c>
      <c r="M14520" s="2">
        <v>28791.0</v>
      </c>
      <c r="N14520" s="2" t="s">
        <v>21</v>
      </c>
    </row>
    <row r="14521" ht="15.75" customHeight="1">
      <c r="A14521" s="2">
        <v>2021.0</v>
      </c>
      <c r="B14521" s="2" t="s">
        <v>56425</v>
      </c>
      <c r="C14521" s="2" t="s">
        <v>56426</v>
      </c>
      <c r="D14521" s="2" t="str">
        <f>"4343295890"</f>
        <v>4343295890</v>
      </c>
      <c r="E14521" s="2" t="s">
        <v>56427</v>
      </c>
      <c r="F14521" s="2" t="s">
        <v>19294</v>
      </c>
      <c r="G14521" s="2" t="str">
        <f>"SR-20819"</f>
        <v>SR-20819</v>
      </c>
      <c r="H14521" s="2" t="s">
        <v>56428</v>
      </c>
      <c r="I14521" s="2" t="s">
        <v>56429</v>
      </c>
      <c r="K14521" s="2" t="s">
        <v>4126</v>
      </c>
      <c r="L14521" s="2" t="s">
        <v>165</v>
      </c>
      <c r="M14521" s="2">
        <v>20132.0</v>
      </c>
      <c r="N14521" s="2" t="s">
        <v>21</v>
      </c>
    </row>
    <row r="14522" ht="15.75" customHeight="1">
      <c r="A14522" s="2">
        <v>2021.0</v>
      </c>
      <c r="B14522" s="2" t="s">
        <v>48573</v>
      </c>
      <c r="C14522" s="2" t="s">
        <v>56430</v>
      </c>
      <c r="D14522" s="2" t="str">
        <f>"352-240-2075"</f>
        <v>352-240-2075</v>
      </c>
      <c r="E14522" s="2" t="s">
        <v>14150</v>
      </c>
      <c r="F14522" s="2" t="s">
        <v>89</v>
      </c>
      <c r="G14522" s="2" t="str">
        <f>"SR-21196"</f>
        <v>SR-21196</v>
      </c>
      <c r="H14522" s="2" t="s">
        <v>56431</v>
      </c>
      <c r="I14522" s="2" t="s">
        <v>56432</v>
      </c>
      <c r="J14522" s="2" t="s">
        <v>56433</v>
      </c>
      <c r="K14522" s="2" t="s">
        <v>4425</v>
      </c>
      <c r="L14522" s="2" t="s">
        <v>208</v>
      </c>
      <c r="M14522" s="2">
        <v>32669.0</v>
      </c>
      <c r="N14522" s="2" t="s">
        <v>21</v>
      </c>
    </row>
    <row r="14523" ht="15.75" customHeight="1">
      <c r="A14523" s="2">
        <v>2021.0</v>
      </c>
      <c r="B14523" s="2" t="s">
        <v>56434</v>
      </c>
      <c r="C14523" s="2" t="s">
        <v>56434</v>
      </c>
      <c r="D14523" s="2" t="str">
        <f>"(405) 320 - 3939"</f>
        <v>(405) 320 - 3939</v>
      </c>
      <c r="E14523" s="2" t="s">
        <v>56435</v>
      </c>
      <c r="F14523" s="2" t="s">
        <v>283</v>
      </c>
      <c r="G14523" s="2" t="str">
        <f>"SR-21290"</f>
        <v>SR-21290</v>
      </c>
      <c r="H14523" s="2" t="s">
        <v>56436</v>
      </c>
      <c r="I14523" s="2" t="s">
        <v>56437</v>
      </c>
      <c r="J14523" s="2" t="s">
        <v>56438</v>
      </c>
      <c r="K14523" s="2" t="s">
        <v>10814</v>
      </c>
      <c r="L14523" s="2" t="s">
        <v>840</v>
      </c>
      <c r="M14523" s="2">
        <v>73018.0</v>
      </c>
      <c r="N14523" s="2" t="s">
        <v>21</v>
      </c>
    </row>
    <row r="14524" ht="15.75" customHeight="1">
      <c r="A14524" s="2">
        <v>2021.0</v>
      </c>
      <c r="B14524" s="2" t="s">
        <v>31208</v>
      </c>
      <c r="C14524" s="2" t="s">
        <v>56439</v>
      </c>
      <c r="D14524" s="2" t="str">
        <f>"6189740002"</f>
        <v>6189740002</v>
      </c>
      <c r="E14524" s="2" t="s">
        <v>1263</v>
      </c>
      <c r="F14524" s="2" t="s">
        <v>31210</v>
      </c>
      <c r="G14524" s="2" t="str">
        <f>"SR-21281"</f>
        <v>SR-21281</v>
      </c>
      <c r="H14524" s="2" t="s">
        <v>53115</v>
      </c>
      <c r="I14524" s="2" t="s">
        <v>56403</v>
      </c>
      <c r="K14524" s="2" t="s">
        <v>28289</v>
      </c>
      <c r="L14524" s="2" t="s">
        <v>105</v>
      </c>
      <c r="M14524" s="2">
        <v>62221.0</v>
      </c>
      <c r="N14524" s="2" t="s">
        <v>21</v>
      </c>
    </row>
    <row r="14525" ht="15.75" customHeight="1">
      <c r="A14525" s="2">
        <v>2021.0</v>
      </c>
      <c r="B14525" s="2" t="s">
        <v>52617</v>
      </c>
      <c r="C14525" s="2" t="s">
        <v>52618</v>
      </c>
      <c r="D14525" s="2" t="str">
        <f>"757-271-1714"</f>
        <v>757-271-1714</v>
      </c>
      <c r="E14525" s="2" t="s">
        <v>2412</v>
      </c>
      <c r="F14525" s="2" t="s">
        <v>52619</v>
      </c>
      <c r="G14525" s="2" t="str">
        <f>"SR-18806"</f>
        <v>SR-18806</v>
      </c>
      <c r="H14525" s="2" t="s">
        <v>52620</v>
      </c>
      <c r="I14525" s="2" t="s">
        <v>52621</v>
      </c>
      <c r="K14525" s="2" t="s">
        <v>6988</v>
      </c>
      <c r="L14525" s="2" t="s">
        <v>165</v>
      </c>
      <c r="M14525" s="2">
        <v>23456.0</v>
      </c>
      <c r="N14525" s="2" t="s">
        <v>21</v>
      </c>
    </row>
    <row r="14526" ht="15.75" customHeight="1">
      <c r="A14526" s="2">
        <v>2021.0</v>
      </c>
      <c r="B14526" s="2" t="s">
        <v>56440</v>
      </c>
      <c r="C14526" s="2" t="s">
        <v>56441</v>
      </c>
      <c r="D14526" s="2" t="str">
        <f>"210-440-9556"</f>
        <v>210-440-9556</v>
      </c>
      <c r="E14526" s="2" t="s">
        <v>23284</v>
      </c>
      <c r="F14526" s="2" t="s">
        <v>56442</v>
      </c>
      <c r="G14526" s="2" t="str">
        <f>"SR-21291"</f>
        <v>SR-21291</v>
      </c>
      <c r="H14526" s="2" t="s">
        <v>56443</v>
      </c>
      <c r="I14526" s="2" t="s">
        <v>56444</v>
      </c>
      <c r="K14526" s="2" t="s">
        <v>56445</v>
      </c>
      <c r="L14526" s="2" t="s">
        <v>222</v>
      </c>
      <c r="M14526" s="2">
        <v>96073.0</v>
      </c>
      <c r="N14526" s="2" t="s">
        <v>21</v>
      </c>
    </row>
    <row r="14527" ht="15.75" customHeight="1">
      <c r="A14527" s="2">
        <v>2021.0</v>
      </c>
      <c r="B14527" s="2" t="s">
        <v>39574</v>
      </c>
      <c r="C14527" s="2" t="s">
        <v>50263</v>
      </c>
      <c r="D14527" s="2" t="str">
        <f>"2392503743"</f>
        <v>2392503743</v>
      </c>
      <c r="E14527" s="2" t="s">
        <v>8649</v>
      </c>
      <c r="F14527" s="2" t="s">
        <v>39575</v>
      </c>
      <c r="G14527" s="2" t="str">
        <f>"SR-17511"</f>
        <v>SR-17511</v>
      </c>
      <c r="H14527" s="2" t="s">
        <v>50264</v>
      </c>
      <c r="I14527" s="2" t="s">
        <v>50265</v>
      </c>
      <c r="K14527" s="2" t="s">
        <v>5046</v>
      </c>
      <c r="L14527" s="2" t="s">
        <v>208</v>
      </c>
      <c r="M14527" s="2">
        <v>34108.0</v>
      </c>
      <c r="N14527" s="2" t="s">
        <v>21</v>
      </c>
    </row>
    <row r="14528" ht="15.75" customHeight="1">
      <c r="A14528" s="2">
        <v>2021.0</v>
      </c>
      <c r="B14528" s="2" t="s">
        <v>56446</v>
      </c>
      <c r="C14528" s="2" t="s">
        <v>56446</v>
      </c>
      <c r="D14528" s="2" t="str">
        <f>"505-859-2967"</f>
        <v>505-859-2967</v>
      </c>
      <c r="E14528" s="2" t="s">
        <v>56447</v>
      </c>
      <c r="F14528" s="2" t="s">
        <v>29320</v>
      </c>
      <c r="G14528" s="2" t="str">
        <f>"SR-21292"</f>
        <v>SR-21292</v>
      </c>
      <c r="H14528" s="2" t="s">
        <v>56448</v>
      </c>
      <c r="I14528" s="2" t="s">
        <v>56449</v>
      </c>
      <c r="K14528" s="2" t="s">
        <v>796</v>
      </c>
      <c r="L14528" s="2" t="s">
        <v>789</v>
      </c>
      <c r="M14528" s="2">
        <v>87042.0</v>
      </c>
      <c r="N14528" s="2" t="s">
        <v>21</v>
      </c>
    </row>
    <row r="14529" ht="15.75" customHeight="1">
      <c r="A14529" s="2">
        <v>2021.0</v>
      </c>
      <c r="B14529" s="2" t="s">
        <v>56450</v>
      </c>
      <c r="C14529" s="2" t="s">
        <v>56451</v>
      </c>
      <c r="D14529" s="2" t="str">
        <f>"574-238-9573"</f>
        <v>574-238-9573</v>
      </c>
      <c r="E14529" s="2" t="s">
        <v>1257</v>
      </c>
      <c r="F14529" s="2" t="s">
        <v>7245</v>
      </c>
      <c r="G14529" s="2" t="str">
        <f>"SR-21293"</f>
        <v>SR-21293</v>
      </c>
      <c r="H14529" s="2" t="s">
        <v>56452</v>
      </c>
      <c r="I14529" s="2" t="s">
        <v>56453</v>
      </c>
      <c r="K14529" s="2" t="s">
        <v>7248</v>
      </c>
      <c r="L14529" s="2" t="s">
        <v>149</v>
      </c>
      <c r="M14529" s="2">
        <v>46550.0</v>
      </c>
      <c r="N14529" s="2" t="s">
        <v>21</v>
      </c>
    </row>
    <row r="14530" ht="15.75" customHeight="1">
      <c r="A14530" s="2">
        <v>2021.0</v>
      </c>
      <c r="B14530" s="2" t="s">
        <v>50478</v>
      </c>
      <c r="C14530" s="2" t="s">
        <v>50479</v>
      </c>
      <c r="D14530" s="2" t="str">
        <f>"3087631335"</f>
        <v>3087631335</v>
      </c>
      <c r="E14530" s="2" t="s">
        <v>50480</v>
      </c>
      <c r="F14530" s="2" t="s">
        <v>50481</v>
      </c>
      <c r="G14530" s="2" t="str">
        <f>"SR-18025"</f>
        <v>SR-18025</v>
      </c>
      <c r="H14530" s="2" t="s">
        <v>50482</v>
      </c>
      <c r="I14530" s="2" t="s">
        <v>50483</v>
      </c>
      <c r="K14530" s="2" t="s">
        <v>31561</v>
      </c>
      <c r="L14530" s="2" t="s">
        <v>757</v>
      </c>
      <c r="M14530" s="2">
        <v>69331.0</v>
      </c>
      <c r="N14530" s="2" t="s">
        <v>21</v>
      </c>
    </row>
    <row r="14531" ht="15.75" customHeight="1">
      <c r="A14531" s="2">
        <v>2021.0</v>
      </c>
      <c r="B14531" s="2" t="s">
        <v>56454</v>
      </c>
      <c r="C14531" s="2" t="s">
        <v>56455</v>
      </c>
      <c r="D14531" s="2" t="str">
        <f>"9703011527"</f>
        <v>9703011527</v>
      </c>
      <c r="E14531" s="2" t="s">
        <v>52336</v>
      </c>
      <c r="F14531" s="2" t="s">
        <v>7503</v>
      </c>
      <c r="G14531" s="2" t="str">
        <f>"SR-21257"</f>
        <v>SR-21257</v>
      </c>
      <c r="H14531" s="2" t="s">
        <v>56456</v>
      </c>
      <c r="I14531" s="2" t="s">
        <v>56457</v>
      </c>
      <c r="K14531" s="2" t="s">
        <v>21476</v>
      </c>
      <c r="L14531" s="2" t="s">
        <v>157</v>
      </c>
      <c r="M14531" s="2">
        <v>80701.0</v>
      </c>
      <c r="N14531" s="2" t="s">
        <v>21</v>
      </c>
    </row>
    <row r="14532" ht="15.75" customHeight="1">
      <c r="A14532" s="2">
        <v>2021.0</v>
      </c>
      <c r="B14532" s="2" t="s">
        <v>56458</v>
      </c>
      <c r="C14532" s="2" t="s">
        <v>56458</v>
      </c>
      <c r="D14532" s="2" t="str">
        <f>"520/336-3482"</f>
        <v>520/336-3482</v>
      </c>
      <c r="E14532" s="2" t="s">
        <v>977</v>
      </c>
      <c r="F14532" s="2" t="s">
        <v>3409</v>
      </c>
      <c r="G14532" s="2" t="str">
        <f>"SR-17863"</f>
        <v>SR-17863</v>
      </c>
      <c r="H14532" s="2" t="s">
        <v>56459</v>
      </c>
      <c r="I14532" s="2" t="s">
        <v>56460</v>
      </c>
      <c r="K14532" s="2" t="s">
        <v>5946</v>
      </c>
      <c r="L14532" s="2" t="s">
        <v>422</v>
      </c>
      <c r="M14532" s="2">
        <v>85745.0</v>
      </c>
      <c r="N14532" s="2" t="s">
        <v>21</v>
      </c>
    </row>
    <row r="14533" ht="15.75" customHeight="1">
      <c r="A14533" s="2">
        <v>2021.0</v>
      </c>
      <c r="B14533" s="2" t="s">
        <v>52038</v>
      </c>
      <c r="C14533" s="2" t="s">
        <v>52038</v>
      </c>
      <c r="D14533" s="2" t="str">
        <f>"7173144981"</f>
        <v>7173144981</v>
      </c>
      <c r="E14533" s="2" t="s">
        <v>428</v>
      </c>
      <c r="F14533" s="2" t="s">
        <v>52039</v>
      </c>
      <c r="G14533" s="2" t="str">
        <f>"SR-18594"</f>
        <v>SR-18594</v>
      </c>
      <c r="H14533" s="2" t="s">
        <v>52040</v>
      </c>
      <c r="I14533" s="2" t="s">
        <v>52041</v>
      </c>
      <c r="K14533" s="2" t="s">
        <v>52042</v>
      </c>
      <c r="L14533" s="2" t="s">
        <v>179</v>
      </c>
      <c r="M14533" s="2">
        <v>17529.0</v>
      </c>
      <c r="N14533" s="2" t="s">
        <v>21</v>
      </c>
    </row>
    <row r="14534" ht="15.75" customHeight="1">
      <c r="A14534" s="2">
        <v>2021.0</v>
      </c>
      <c r="B14534" s="2" t="s">
        <v>56461</v>
      </c>
      <c r="C14534" s="2" t="s">
        <v>56462</v>
      </c>
      <c r="D14534" s="2" t="str">
        <f>"773-5010134"</f>
        <v>773-5010134</v>
      </c>
      <c r="E14534" s="2" t="s">
        <v>651</v>
      </c>
      <c r="F14534" s="2" t="s">
        <v>56463</v>
      </c>
      <c r="G14534" s="2" t="str">
        <f>"SR-21156"</f>
        <v>SR-21156</v>
      </c>
      <c r="H14534" s="2" t="s">
        <v>56464</v>
      </c>
      <c r="I14534" s="2" t="s">
        <v>56465</v>
      </c>
      <c r="K14534" s="2" t="s">
        <v>18221</v>
      </c>
      <c r="L14534" s="2" t="s">
        <v>105</v>
      </c>
      <c r="M14534" s="2">
        <v>60623.0</v>
      </c>
      <c r="N14534" s="2" t="s">
        <v>21</v>
      </c>
    </row>
    <row r="14535" ht="15.75" customHeight="1">
      <c r="A14535" s="2">
        <v>2021.0</v>
      </c>
      <c r="B14535" s="2" t="s">
        <v>56466</v>
      </c>
      <c r="C14535" s="2" t="s">
        <v>56467</v>
      </c>
      <c r="D14535" s="2" t="str">
        <f>"2054832226"</f>
        <v>2054832226</v>
      </c>
      <c r="E14535" s="2" t="s">
        <v>12392</v>
      </c>
      <c r="F14535" s="2" t="s">
        <v>89</v>
      </c>
      <c r="G14535" s="2" t="str">
        <f>"SR-21297"</f>
        <v>SR-21297</v>
      </c>
      <c r="H14535" s="2" t="s">
        <v>56468</v>
      </c>
      <c r="I14535" s="2" t="s">
        <v>56469</v>
      </c>
      <c r="K14535" s="2" t="s">
        <v>56470</v>
      </c>
      <c r="N14535" s="2" t="s">
        <v>56471</v>
      </c>
    </row>
    <row r="14536" ht="15.75" customHeight="1">
      <c r="A14536" s="2">
        <v>2021.0</v>
      </c>
      <c r="B14536" s="2" t="s">
        <v>49465</v>
      </c>
      <c r="C14536" s="2" t="s">
        <v>49466</v>
      </c>
      <c r="D14536" s="2" t="str">
        <f>"(540) 739-4807"</f>
        <v>(540) 739-4807</v>
      </c>
      <c r="E14536" s="2" t="s">
        <v>1529</v>
      </c>
      <c r="F14536" s="2" t="s">
        <v>94</v>
      </c>
      <c r="G14536" s="2" t="str">
        <f>"SR-17632"</f>
        <v>SR-17632</v>
      </c>
      <c r="H14536" s="2" t="s">
        <v>49467</v>
      </c>
      <c r="I14536" s="2" t="s">
        <v>49468</v>
      </c>
      <c r="K14536" s="2" t="s">
        <v>9877</v>
      </c>
      <c r="L14536" s="2" t="s">
        <v>165</v>
      </c>
      <c r="M14536" s="2">
        <v>24060.0</v>
      </c>
      <c r="N14536" s="2" t="s">
        <v>21</v>
      </c>
    </row>
    <row r="14537" ht="15.75" customHeight="1">
      <c r="A14537" s="2">
        <v>2021.0</v>
      </c>
      <c r="B14537" s="2" t="s">
        <v>56472</v>
      </c>
      <c r="C14537" s="2" t="s">
        <v>56472</v>
      </c>
      <c r="D14537" s="2" t="str">
        <f>"4354599219"</f>
        <v>4354599219</v>
      </c>
      <c r="E14537" s="2" t="s">
        <v>926</v>
      </c>
      <c r="F14537" s="2" t="s">
        <v>2342</v>
      </c>
      <c r="G14537" s="2" t="str">
        <f>"SR-21157"</f>
        <v>SR-21157</v>
      </c>
      <c r="H14537" s="2" t="s">
        <v>56473</v>
      </c>
      <c r="I14537" s="2" t="s">
        <v>56474</v>
      </c>
      <c r="K14537" s="2" t="s">
        <v>5373</v>
      </c>
      <c r="L14537" s="2" t="s">
        <v>763</v>
      </c>
      <c r="M14537" s="2">
        <v>84535.0</v>
      </c>
      <c r="N14537" s="2" t="s">
        <v>21</v>
      </c>
    </row>
    <row r="14538" ht="15.75" customHeight="1">
      <c r="A14538" s="2">
        <v>2021.0</v>
      </c>
      <c r="B14538" s="2" t="s">
        <v>56475</v>
      </c>
      <c r="C14538" s="2" t="s">
        <v>56476</v>
      </c>
      <c r="D14538" s="2" t="str">
        <f>"815-990-8683"</f>
        <v>815-990-8683</v>
      </c>
      <c r="E14538" s="2" t="s">
        <v>56477</v>
      </c>
      <c r="F14538" s="2" t="s">
        <v>56478</v>
      </c>
      <c r="G14538" s="2" t="str">
        <f>"SR-21301"</f>
        <v>SR-21301</v>
      </c>
      <c r="H14538" s="2" t="s">
        <v>56479</v>
      </c>
      <c r="I14538" s="2" t="s">
        <v>56480</v>
      </c>
      <c r="K14538" s="2" t="s">
        <v>56481</v>
      </c>
      <c r="L14538" s="2" t="s">
        <v>105</v>
      </c>
      <c r="M14538" s="2">
        <v>61032.0</v>
      </c>
      <c r="N14538" s="2" t="s">
        <v>21</v>
      </c>
    </row>
    <row r="14539" ht="15.75" customHeight="1">
      <c r="A14539" s="2">
        <v>2021.0</v>
      </c>
      <c r="B14539" s="2" t="s">
        <v>56482</v>
      </c>
      <c r="C14539" s="2" t="s">
        <v>56482</v>
      </c>
      <c r="D14539" s="2" t="str">
        <f>"7854149992"</f>
        <v>7854149992</v>
      </c>
      <c r="E14539" s="2" t="s">
        <v>56483</v>
      </c>
      <c r="F14539" s="2" t="s">
        <v>56484</v>
      </c>
      <c r="G14539" s="2" t="str">
        <f>"SR-21302"</f>
        <v>SR-21302</v>
      </c>
      <c r="H14539" s="2" t="s">
        <v>56485</v>
      </c>
      <c r="I14539" s="2" t="s">
        <v>56486</v>
      </c>
      <c r="K14539" s="2" t="s">
        <v>1807</v>
      </c>
      <c r="L14539" s="2" t="s">
        <v>272</v>
      </c>
      <c r="M14539" s="2">
        <v>66502.0</v>
      </c>
      <c r="N14539" s="2" t="s">
        <v>21</v>
      </c>
    </row>
    <row r="14540" ht="15.75" customHeight="1">
      <c r="A14540" s="2">
        <v>2021.0</v>
      </c>
      <c r="B14540" s="2" t="s">
        <v>43781</v>
      </c>
      <c r="C14540" s="2" t="s">
        <v>56487</v>
      </c>
      <c r="D14540" s="2" t="str">
        <f>"9094886287"</f>
        <v>9094886287</v>
      </c>
      <c r="E14540" s="2" t="s">
        <v>1156</v>
      </c>
      <c r="F14540" s="2" t="s">
        <v>3978</v>
      </c>
      <c r="G14540" s="2" t="str">
        <f>"SR-21303"</f>
        <v>SR-21303</v>
      </c>
      <c r="H14540" s="2" t="s">
        <v>56488</v>
      </c>
      <c r="I14540" s="2" t="s">
        <v>53390</v>
      </c>
      <c r="K14540" s="2" t="s">
        <v>3770</v>
      </c>
      <c r="L14540" s="2" t="s">
        <v>222</v>
      </c>
      <c r="M14540" s="2">
        <v>92399.0</v>
      </c>
      <c r="N14540" s="2" t="s">
        <v>21</v>
      </c>
    </row>
    <row r="14541" ht="15.75" customHeight="1">
      <c r="A14541" s="2">
        <v>2021.0</v>
      </c>
      <c r="B14541" s="2" t="s">
        <v>43781</v>
      </c>
      <c r="C14541" s="2" t="s">
        <v>56489</v>
      </c>
      <c r="D14541" s="2" t="str">
        <f>"9094060878"</f>
        <v>9094060878</v>
      </c>
      <c r="E14541" s="2" t="s">
        <v>15</v>
      </c>
      <c r="F14541" s="2" t="s">
        <v>511</v>
      </c>
      <c r="G14541" s="2" t="str">
        <f>"SR-21304"</f>
        <v>SR-21304</v>
      </c>
      <c r="H14541" s="2" t="s">
        <v>56490</v>
      </c>
      <c r="I14541" s="2" t="s">
        <v>56491</v>
      </c>
      <c r="K14541" s="2" t="s">
        <v>13889</v>
      </c>
      <c r="L14541" s="2" t="s">
        <v>222</v>
      </c>
      <c r="M14541" s="2">
        <v>92373.0</v>
      </c>
      <c r="N14541" s="2" t="s">
        <v>21</v>
      </c>
    </row>
    <row r="14542" ht="15.75" customHeight="1">
      <c r="A14542" s="2">
        <v>2021.0</v>
      </c>
      <c r="B14542" s="2" t="s">
        <v>20370</v>
      </c>
      <c r="C14542" s="2" t="s">
        <v>56492</v>
      </c>
      <c r="D14542" s="2" t="str">
        <f>"7202010736"</f>
        <v>7202010736</v>
      </c>
      <c r="E14542" s="2" t="s">
        <v>751</v>
      </c>
      <c r="F14542" s="2" t="s">
        <v>20372</v>
      </c>
      <c r="G14542" s="2" t="str">
        <f>"SR-21206"</f>
        <v>SR-21206</v>
      </c>
      <c r="H14542" s="2" t="s">
        <v>56493</v>
      </c>
      <c r="I14542" s="2" t="s">
        <v>23966</v>
      </c>
      <c r="K14542" s="2" t="s">
        <v>1889</v>
      </c>
      <c r="L14542" s="2" t="s">
        <v>157</v>
      </c>
      <c r="M14542" s="2">
        <v>80124.0</v>
      </c>
      <c r="N14542" s="2" t="s">
        <v>21</v>
      </c>
    </row>
    <row r="14543" ht="15.75" customHeight="1">
      <c r="A14543" s="2">
        <v>2021.0</v>
      </c>
      <c r="B14543" s="2" t="s">
        <v>56494</v>
      </c>
      <c r="C14543" s="2" t="s">
        <v>56494</v>
      </c>
      <c r="D14543" s="2" t="str">
        <f>"972-834-6731"</f>
        <v>972-834-6731</v>
      </c>
      <c r="E14543" s="2" t="s">
        <v>14616</v>
      </c>
      <c r="F14543" s="2" t="s">
        <v>1257</v>
      </c>
      <c r="G14543" s="2" t="str">
        <f>"SR-21305"</f>
        <v>SR-21305</v>
      </c>
      <c r="H14543" s="2" t="s">
        <v>56495</v>
      </c>
      <c r="I14543" s="2" t="s">
        <v>56496</v>
      </c>
      <c r="K14543" s="2" t="s">
        <v>171</v>
      </c>
      <c r="L14543" s="2" t="s">
        <v>172</v>
      </c>
      <c r="M14543" s="2">
        <v>75006.0</v>
      </c>
      <c r="N14543" s="2" t="s">
        <v>21</v>
      </c>
    </row>
    <row r="14544" ht="15.75" customHeight="1">
      <c r="A14544" s="2">
        <v>2021.0</v>
      </c>
      <c r="B14544" s="2" t="s">
        <v>52226</v>
      </c>
      <c r="C14544" s="2" t="s">
        <v>52227</v>
      </c>
      <c r="D14544" s="2" t="str">
        <f>"7409713659"</f>
        <v>7409713659</v>
      </c>
      <c r="E14544" s="2" t="s">
        <v>4769</v>
      </c>
      <c r="F14544" s="2" t="s">
        <v>33030</v>
      </c>
      <c r="G14544" s="2" t="str">
        <f>"SR-18666"</f>
        <v>SR-18666</v>
      </c>
      <c r="H14544" s="2" t="s">
        <v>52228</v>
      </c>
      <c r="I14544" s="2" t="s">
        <v>52229</v>
      </c>
      <c r="K14544" s="2" t="s">
        <v>10756</v>
      </c>
      <c r="L14544" s="2" t="s">
        <v>344</v>
      </c>
      <c r="M14544" s="2">
        <v>43015.0</v>
      </c>
      <c r="N14544" s="2" t="s">
        <v>21</v>
      </c>
    </row>
    <row r="14545" ht="15.75" customHeight="1">
      <c r="A14545" s="2">
        <v>2021.0</v>
      </c>
      <c r="B14545" s="2" t="s">
        <v>52230</v>
      </c>
      <c r="C14545" s="2" t="s">
        <v>52231</v>
      </c>
      <c r="D14545" s="2" t="str">
        <f>"7409727208"</f>
        <v>7409727208</v>
      </c>
      <c r="E14545" s="2" t="s">
        <v>4300</v>
      </c>
      <c r="F14545" s="2" t="s">
        <v>33030</v>
      </c>
      <c r="G14545" s="2" t="str">
        <f>"SR-21273"</f>
        <v>SR-21273</v>
      </c>
      <c r="H14545" s="2" t="s">
        <v>33031</v>
      </c>
      <c r="I14545" s="2" t="s">
        <v>52232</v>
      </c>
      <c r="K14545" s="2" t="s">
        <v>10756</v>
      </c>
      <c r="L14545" s="2" t="s">
        <v>344</v>
      </c>
      <c r="M14545" s="2">
        <v>43015.0</v>
      </c>
      <c r="N14545" s="2" t="s">
        <v>21</v>
      </c>
    </row>
    <row r="14546" ht="15.75" customHeight="1">
      <c r="A14546" s="2">
        <v>2021.0</v>
      </c>
      <c r="B14546" s="2" t="s">
        <v>56497</v>
      </c>
      <c r="C14546" s="2" t="s">
        <v>56497</v>
      </c>
      <c r="D14546" s="2" t="str">
        <f>"6155431014"</f>
        <v>6155431014</v>
      </c>
      <c r="E14546" s="2" t="s">
        <v>705</v>
      </c>
      <c r="F14546" s="2" t="s">
        <v>1555</v>
      </c>
      <c r="G14546" s="2" t="str">
        <f>"SR-21308"</f>
        <v>SR-21308</v>
      </c>
      <c r="H14546" s="2" t="s">
        <v>56498</v>
      </c>
      <c r="I14546" s="2" t="s">
        <v>56499</v>
      </c>
      <c r="K14546" s="2" t="s">
        <v>17947</v>
      </c>
      <c r="L14546" s="2" t="s">
        <v>279</v>
      </c>
      <c r="M14546" s="2">
        <v>37062.0</v>
      </c>
      <c r="N14546" s="2" t="s">
        <v>21</v>
      </c>
    </row>
    <row r="14547" ht="15.75" customHeight="1">
      <c r="A14547" s="2">
        <v>2021.0</v>
      </c>
      <c r="B14547" s="2" t="s">
        <v>56500</v>
      </c>
      <c r="C14547" s="2" t="s">
        <v>56501</v>
      </c>
      <c r="D14547" s="2" t="str">
        <f>"5735179434"</f>
        <v>5735179434</v>
      </c>
      <c r="E14547" s="2" t="s">
        <v>52498</v>
      </c>
      <c r="F14547" s="2" t="s">
        <v>3903</v>
      </c>
      <c r="G14547" s="2" t="str">
        <f>"SR-21310"</f>
        <v>SR-21310</v>
      </c>
      <c r="H14547" s="2" t="s">
        <v>56502</v>
      </c>
      <c r="I14547" s="2" t="s">
        <v>56503</v>
      </c>
      <c r="K14547" s="2" t="s">
        <v>37083</v>
      </c>
      <c r="L14547" s="2" t="s">
        <v>214</v>
      </c>
      <c r="M14547" s="2">
        <v>63775.0</v>
      </c>
      <c r="N14547" s="2" t="s">
        <v>21</v>
      </c>
    </row>
    <row r="14548" ht="15.75" customHeight="1">
      <c r="A14548" s="2">
        <v>2021.0</v>
      </c>
      <c r="B14548" s="2" t="s">
        <v>56504</v>
      </c>
      <c r="C14548" s="2" t="s">
        <v>56504</v>
      </c>
      <c r="D14548" s="2" t="str">
        <f>"620-221-7237"</f>
        <v>620-221-7237</v>
      </c>
      <c r="E14548" s="2" t="s">
        <v>4322</v>
      </c>
      <c r="F14548" s="2" t="s">
        <v>56505</v>
      </c>
      <c r="G14548" s="2" t="str">
        <f>"SR-18435"</f>
        <v>SR-18435</v>
      </c>
      <c r="H14548" s="2" t="s">
        <v>56506</v>
      </c>
      <c r="I14548" s="2" t="s">
        <v>56507</v>
      </c>
      <c r="K14548" s="2" t="s">
        <v>3530</v>
      </c>
      <c r="L14548" s="2" t="s">
        <v>272</v>
      </c>
      <c r="M14548" s="2">
        <v>67156.0</v>
      </c>
      <c r="N14548" s="2" t="s">
        <v>21</v>
      </c>
    </row>
    <row r="14549" ht="15.75" customHeight="1">
      <c r="A14549" s="2">
        <v>2021.0</v>
      </c>
      <c r="B14549" s="2" t="s">
        <v>56508</v>
      </c>
      <c r="C14549" s="2" t="s">
        <v>56509</v>
      </c>
      <c r="D14549" s="2" t="str">
        <f>"(720) 708-0760"</f>
        <v>(720) 708-0760</v>
      </c>
      <c r="E14549" s="2" t="s">
        <v>56510</v>
      </c>
      <c r="F14549" s="2" t="s">
        <v>52861</v>
      </c>
      <c r="G14549" s="2" t="str">
        <f>"SR-21311"</f>
        <v>SR-21311</v>
      </c>
      <c r="H14549" s="2" t="s">
        <v>56511</v>
      </c>
      <c r="I14549" s="2" t="s">
        <v>56512</v>
      </c>
      <c r="K14549" s="2" t="s">
        <v>6915</v>
      </c>
      <c r="L14549" s="2" t="s">
        <v>157</v>
      </c>
      <c r="M14549" s="2">
        <v>80234.0</v>
      </c>
      <c r="N14549" s="2" t="s">
        <v>21</v>
      </c>
    </row>
    <row r="14550" ht="15.75" customHeight="1">
      <c r="A14550" s="2">
        <v>2021.0</v>
      </c>
      <c r="B14550" s="2" t="s">
        <v>56513</v>
      </c>
      <c r="C14550" s="2" t="s">
        <v>56514</v>
      </c>
      <c r="D14550" s="2" t="str">
        <f>"480-242-5907"</f>
        <v>480-242-5907</v>
      </c>
      <c r="E14550" s="2" t="s">
        <v>21985</v>
      </c>
      <c r="F14550" s="2" t="s">
        <v>56515</v>
      </c>
      <c r="G14550" s="2" t="str">
        <f>"SR-21307"</f>
        <v>SR-21307</v>
      </c>
      <c r="H14550" s="2" t="s">
        <v>56516</v>
      </c>
      <c r="I14550" s="2" t="s">
        <v>56517</v>
      </c>
      <c r="K14550" s="2" t="s">
        <v>1593</v>
      </c>
      <c r="L14550" s="2" t="s">
        <v>422</v>
      </c>
      <c r="M14550" s="2">
        <v>85254.0</v>
      </c>
      <c r="N14550" s="2" t="s">
        <v>21</v>
      </c>
    </row>
    <row r="14551" ht="15.75" customHeight="1">
      <c r="A14551" s="2">
        <v>2021.0</v>
      </c>
      <c r="B14551" s="2" t="s">
        <v>56518</v>
      </c>
      <c r="C14551" s="2" t="s">
        <v>56518</v>
      </c>
      <c r="D14551" s="2" t="str">
        <f>"8652369379"</f>
        <v>8652369379</v>
      </c>
      <c r="E14551" s="2" t="s">
        <v>1548</v>
      </c>
      <c r="F14551" s="2" t="s">
        <v>35610</v>
      </c>
      <c r="G14551" s="2" t="str">
        <f>"SR-21313"</f>
        <v>SR-21313</v>
      </c>
      <c r="H14551" s="2" t="s">
        <v>56519</v>
      </c>
      <c r="I14551" s="2" t="s">
        <v>56520</v>
      </c>
      <c r="K14551" s="2" t="s">
        <v>6168</v>
      </c>
      <c r="L14551" s="2" t="s">
        <v>279</v>
      </c>
      <c r="M14551" s="2">
        <v>37932.0</v>
      </c>
      <c r="N14551" s="2" t="s">
        <v>21</v>
      </c>
    </row>
    <row r="14552" ht="15.75" customHeight="1">
      <c r="A14552" s="2">
        <v>2021.0</v>
      </c>
      <c r="B14552" s="2" t="s">
        <v>51251</v>
      </c>
      <c r="C14552" s="2" t="s">
        <v>56521</v>
      </c>
      <c r="D14552" s="2" t="str">
        <f>"5416595059"</f>
        <v>5416595059</v>
      </c>
      <c r="E14552" s="2" t="s">
        <v>56522</v>
      </c>
      <c r="F14552" s="2" t="s">
        <v>56523</v>
      </c>
      <c r="G14552" s="2" t="str">
        <f>"SR-21314"</f>
        <v>SR-21314</v>
      </c>
      <c r="H14552" s="2" t="s">
        <v>56524</v>
      </c>
      <c r="I14552" s="2" t="s">
        <v>56525</v>
      </c>
      <c r="K14552" s="2" t="s">
        <v>10966</v>
      </c>
      <c r="L14552" s="2" t="s">
        <v>2389</v>
      </c>
      <c r="M14552" s="2">
        <v>97527.0</v>
      </c>
      <c r="N14552" s="2" t="s">
        <v>21</v>
      </c>
    </row>
    <row r="14553" ht="15.75" customHeight="1">
      <c r="A14553" s="2">
        <v>2021.0</v>
      </c>
      <c r="B14553" s="2" t="s">
        <v>43659</v>
      </c>
      <c r="D14553" s="2" t="str">
        <f>""</f>
        <v/>
      </c>
      <c r="E14553" s="2" t="s">
        <v>23422</v>
      </c>
      <c r="F14553" s="2" t="s">
        <v>43661</v>
      </c>
      <c r="G14553" s="2" t="str">
        <f>"SR-19422"</f>
        <v>SR-19422</v>
      </c>
      <c r="H14553" s="2" t="s">
        <v>56526</v>
      </c>
      <c r="N14553" s="2" t="s">
        <v>21</v>
      </c>
    </row>
    <row r="14554" ht="15.75" customHeight="1">
      <c r="A14554" s="2">
        <v>2021.0</v>
      </c>
      <c r="B14554" s="2" t="s">
        <v>56527</v>
      </c>
      <c r="C14554" s="2" t="s">
        <v>56527</v>
      </c>
      <c r="D14554" s="2" t="str">
        <f>"423-227-0904"</f>
        <v>423-227-0904</v>
      </c>
      <c r="E14554" s="2" t="s">
        <v>7095</v>
      </c>
      <c r="F14554" s="2" t="s">
        <v>2474</v>
      </c>
      <c r="G14554" s="2" t="str">
        <f>"SR-21315"</f>
        <v>SR-21315</v>
      </c>
      <c r="H14554" s="2" t="s">
        <v>56528</v>
      </c>
      <c r="I14554" s="2" t="s">
        <v>56529</v>
      </c>
      <c r="K14554" s="2" t="s">
        <v>14036</v>
      </c>
      <c r="L14554" s="2" t="s">
        <v>1540</v>
      </c>
      <c r="M14554" s="2">
        <v>82070.0</v>
      </c>
      <c r="N14554" s="2" t="s">
        <v>21</v>
      </c>
    </row>
    <row r="14555" ht="15.75" customHeight="1">
      <c r="A14555" s="2">
        <v>2021.0</v>
      </c>
      <c r="B14555" s="2" t="s">
        <v>56530</v>
      </c>
      <c r="C14555" s="2" t="s">
        <v>56531</v>
      </c>
      <c r="D14555" s="2" t="str">
        <f>"530-570-7279"</f>
        <v>530-570-7279</v>
      </c>
      <c r="E14555" s="2" t="s">
        <v>239</v>
      </c>
      <c r="F14555" s="2" t="s">
        <v>56532</v>
      </c>
      <c r="G14555" s="2" t="str">
        <f>"SR-21316"</f>
        <v>SR-21316</v>
      </c>
      <c r="H14555" s="2" t="s">
        <v>56533</v>
      </c>
      <c r="I14555" s="2" t="s">
        <v>56534</v>
      </c>
      <c r="K14555" s="2" t="s">
        <v>5740</v>
      </c>
      <c r="L14555" s="2" t="s">
        <v>222</v>
      </c>
      <c r="M14555" s="2">
        <v>95973.0</v>
      </c>
      <c r="N14555" s="2" t="s">
        <v>21</v>
      </c>
    </row>
    <row r="14556" ht="15.75" customHeight="1">
      <c r="A14556" s="2">
        <v>2021.0</v>
      </c>
      <c r="B14556" s="2" t="s">
        <v>38681</v>
      </c>
      <c r="C14556" s="2" t="s">
        <v>56535</v>
      </c>
      <c r="D14556" s="2" t="str">
        <f>"7048602304"</f>
        <v>7048602304</v>
      </c>
      <c r="E14556" s="2" t="s">
        <v>160</v>
      </c>
      <c r="F14556" s="2" t="s">
        <v>38683</v>
      </c>
      <c r="G14556" s="2" t="str">
        <f>"SR-21285"</f>
        <v>SR-21285</v>
      </c>
      <c r="H14556" s="2" t="s">
        <v>56536</v>
      </c>
      <c r="I14556" s="2" t="s">
        <v>56537</v>
      </c>
      <c r="K14556" s="2" t="s">
        <v>19</v>
      </c>
      <c r="L14556" s="2" t="s">
        <v>20</v>
      </c>
      <c r="M14556" s="2">
        <v>28214.0</v>
      </c>
      <c r="N14556" s="2" t="s">
        <v>21</v>
      </c>
    </row>
    <row r="14557" ht="15.75" customHeight="1">
      <c r="A14557" s="2">
        <v>2021.0</v>
      </c>
      <c r="B14557" s="2" t="s">
        <v>56538</v>
      </c>
      <c r="C14557" s="2" t="s">
        <v>56539</v>
      </c>
      <c r="D14557" s="2" t="str">
        <f>"239 682-7134"</f>
        <v>239 682-7134</v>
      </c>
      <c r="E14557" s="2" t="s">
        <v>56540</v>
      </c>
      <c r="F14557" s="2" t="s">
        <v>56541</v>
      </c>
      <c r="G14557" s="2" t="str">
        <f>"SR-18901"</f>
        <v>SR-18901</v>
      </c>
      <c r="H14557" s="2" t="s">
        <v>56542</v>
      </c>
      <c r="I14557" s="2" t="s">
        <v>56543</v>
      </c>
      <c r="K14557" s="2" t="s">
        <v>5046</v>
      </c>
      <c r="L14557" s="2" t="s">
        <v>208</v>
      </c>
      <c r="M14557" s="2">
        <v>34117.0</v>
      </c>
      <c r="N14557" s="2" t="s">
        <v>21</v>
      </c>
    </row>
    <row r="14558" ht="15.75" customHeight="1">
      <c r="A14558" s="2">
        <v>2021.0</v>
      </c>
      <c r="B14558" s="2" t="s">
        <v>56538</v>
      </c>
      <c r="C14558" s="2" t="s">
        <v>56544</v>
      </c>
      <c r="D14558" s="2" t="str">
        <f>"239 580-7529"</f>
        <v>239 580-7529</v>
      </c>
      <c r="E14558" s="2" t="s">
        <v>6266</v>
      </c>
      <c r="F14558" s="2" t="s">
        <v>56541</v>
      </c>
      <c r="G14558" s="2" t="str">
        <f>"SR-21318"</f>
        <v>SR-21318</v>
      </c>
      <c r="H14558" s="2" t="s">
        <v>56545</v>
      </c>
      <c r="I14558" s="2" t="s">
        <v>56546</v>
      </c>
      <c r="K14558" s="2" t="s">
        <v>5046</v>
      </c>
      <c r="L14558" s="2" t="s">
        <v>208</v>
      </c>
      <c r="M14558" s="2">
        <v>34117.0</v>
      </c>
      <c r="N14558" s="2" t="s">
        <v>21</v>
      </c>
    </row>
    <row r="14559" ht="15.75" customHeight="1">
      <c r="A14559" s="2">
        <v>2021.0</v>
      </c>
      <c r="B14559" s="2" t="s">
        <v>50368</v>
      </c>
      <c r="C14559" s="2" t="s">
        <v>50369</v>
      </c>
      <c r="D14559" s="2" t="str">
        <f>"831 5217614"</f>
        <v>831 5217614</v>
      </c>
      <c r="E14559" s="2" t="s">
        <v>373</v>
      </c>
      <c r="F14559" s="2" t="s">
        <v>7897</v>
      </c>
      <c r="G14559" s="2" t="str">
        <f>"SR-18001"</f>
        <v>SR-18001</v>
      </c>
      <c r="H14559" s="2" t="s">
        <v>50370</v>
      </c>
      <c r="I14559" s="2" t="s">
        <v>50371</v>
      </c>
      <c r="K14559" s="2" t="s">
        <v>4107</v>
      </c>
      <c r="L14559" s="2" t="s">
        <v>222</v>
      </c>
      <c r="M14559" s="2">
        <v>93940.0</v>
      </c>
      <c r="N14559" s="2" t="s">
        <v>21</v>
      </c>
    </row>
    <row r="14560" ht="15.75" customHeight="1">
      <c r="A14560" s="2">
        <v>2021.0</v>
      </c>
      <c r="B14560" s="2" t="s">
        <v>24107</v>
      </c>
      <c r="C14560" s="2" t="s">
        <v>56547</v>
      </c>
      <c r="D14560" s="2" t="str">
        <f>"865-599-2960"</f>
        <v>865-599-2960</v>
      </c>
      <c r="E14560" s="2" t="s">
        <v>1725</v>
      </c>
      <c r="F14560" s="2" t="s">
        <v>18007</v>
      </c>
      <c r="G14560" s="2" t="str">
        <f>"SR-21319"</f>
        <v>SR-21319</v>
      </c>
      <c r="H14560" s="2" t="s">
        <v>56548</v>
      </c>
      <c r="I14560" s="2" t="s">
        <v>56549</v>
      </c>
      <c r="K14560" s="2" t="s">
        <v>6168</v>
      </c>
      <c r="L14560" s="2" t="s">
        <v>279</v>
      </c>
      <c r="M14560" s="2">
        <v>37934.0</v>
      </c>
      <c r="N14560" s="2" t="s">
        <v>21</v>
      </c>
    </row>
    <row r="14561" ht="15.75" customHeight="1">
      <c r="A14561" s="2">
        <v>2021.0</v>
      </c>
      <c r="B14561" s="2" t="s">
        <v>23873</v>
      </c>
      <c r="C14561" s="2" t="s">
        <v>56550</v>
      </c>
      <c r="D14561" s="2" t="str">
        <f>"(303) 257-6827"</f>
        <v>(303) 257-6827</v>
      </c>
      <c r="E14561" s="2" t="s">
        <v>590</v>
      </c>
      <c r="F14561" s="2" t="s">
        <v>23875</v>
      </c>
      <c r="G14561" s="2" t="str">
        <f>"SR-21309"</f>
        <v>SR-21309</v>
      </c>
      <c r="H14561" s="2" t="s">
        <v>56551</v>
      </c>
      <c r="I14561" s="2" t="s">
        <v>23877</v>
      </c>
      <c r="K14561" s="2" t="s">
        <v>5412</v>
      </c>
      <c r="L14561" s="2" t="s">
        <v>157</v>
      </c>
      <c r="M14561" s="2">
        <v>80135.0</v>
      </c>
      <c r="N14561" s="2" t="s">
        <v>21</v>
      </c>
    </row>
    <row r="14562" ht="15.75" customHeight="1">
      <c r="A14562" s="2">
        <v>2021.0</v>
      </c>
      <c r="B14562" s="2" t="s">
        <v>44768</v>
      </c>
      <c r="C14562" s="2" t="s">
        <v>44769</v>
      </c>
      <c r="D14562" s="2" t="str">
        <f>"225-726-9303"</f>
        <v>225-726-9303</v>
      </c>
      <c r="E14562" s="2" t="s">
        <v>21482</v>
      </c>
      <c r="F14562" s="2" t="s">
        <v>12320</v>
      </c>
      <c r="G14562" s="2" t="str">
        <f>"SR-15677"</f>
        <v>SR-15677</v>
      </c>
      <c r="H14562" s="2" t="s">
        <v>44770</v>
      </c>
      <c r="I14562" s="2" t="s">
        <v>44771</v>
      </c>
      <c r="K14562" s="2" t="s">
        <v>3654</v>
      </c>
      <c r="L14562" s="2" t="s">
        <v>715</v>
      </c>
      <c r="M14562" s="2">
        <v>70809.0</v>
      </c>
      <c r="N14562" s="2" t="s">
        <v>21</v>
      </c>
    </row>
    <row r="14563" ht="15.75" customHeight="1">
      <c r="A14563" s="2">
        <v>2021.0</v>
      </c>
      <c r="B14563" s="2" t="s">
        <v>44768</v>
      </c>
      <c r="C14563" s="2" t="s">
        <v>56552</v>
      </c>
      <c r="D14563" s="2" t="str">
        <f>"2257269219"</f>
        <v>2257269219</v>
      </c>
      <c r="E14563" s="2" t="s">
        <v>1548</v>
      </c>
      <c r="F14563" s="2" t="s">
        <v>12320</v>
      </c>
      <c r="G14563" s="2" t="str">
        <f>"SR-21320"</f>
        <v>SR-21320</v>
      </c>
      <c r="H14563" s="2" t="s">
        <v>56553</v>
      </c>
      <c r="I14563" s="2" t="s">
        <v>44771</v>
      </c>
      <c r="K14563" s="2" t="s">
        <v>3654</v>
      </c>
      <c r="L14563" s="2" t="s">
        <v>715</v>
      </c>
      <c r="M14563" s="2">
        <v>70809.0</v>
      </c>
      <c r="N14563" s="2" t="s">
        <v>21</v>
      </c>
    </row>
    <row r="14564" ht="15.75" customHeight="1">
      <c r="A14564" s="2">
        <v>2021.0</v>
      </c>
      <c r="B14564" s="2" t="s">
        <v>56554</v>
      </c>
      <c r="C14564" s="2" t="s">
        <v>56555</v>
      </c>
      <c r="D14564" s="2" t="str">
        <f>"4802070014"</f>
        <v>4802070014</v>
      </c>
      <c r="E14564" s="2" t="s">
        <v>485</v>
      </c>
      <c r="F14564" s="2" t="s">
        <v>2084</v>
      </c>
      <c r="G14564" s="2" t="str">
        <f>"SR-21321"</f>
        <v>SR-21321</v>
      </c>
      <c r="H14564" s="2" t="s">
        <v>56556</v>
      </c>
      <c r="I14564" s="2" t="s">
        <v>56557</v>
      </c>
      <c r="K14564" s="2" t="s">
        <v>42408</v>
      </c>
      <c r="L14564" s="2" t="s">
        <v>422</v>
      </c>
      <c r="M14564" s="2">
        <v>85268.0</v>
      </c>
      <c r="N14564" s="2" t="s">
        <v>21</v>
      </c>
    </row>
    <row r="14565" ht="15.75" customHeight="1">
      <c r="A14565" s="2">
        <v>2021.0</v>
      </c>
      <c r="B14565" s="2" t="s">
        <v>43515</v>
      </c>
      <c r="C14565" s="2" t="s">
        <v>56558</v>
      </c>
      <c r="D14565" s="2" t="str">
        <f>"4065913604"</f>
        <v>4065913604</v>
      </c>
      <c r="E14565" s="2" t="s">
        <v>36331</v>
      </c>
      <c r="F14565" s="2" t="s">
        <v>43517</v>
      </c>
      <c r="G14565" s="2" t="str">
        <f>"SR-20701"</f>
        <v>SR-20701</v>
      </c>
      <c r="H14565" s="2" t="s">
        <v>56559</v>
      </c>
      <c r="I14565" s="2" t="s">
        <v>56560</v>
      </c>
      <c r="K14565" s="2" t="s">
        <v>5732</v>
      </c>
      <c r="L14565" s="2" t="s">
        <v>2696</v>
      </c>
      <c r="M14565" s="2">
        <v>59044.0</v>
      </c>
      <c r="N14565" s="2" t="s">
        <v>21</v>
      </c>
    </row>
    <row r="14566" ht="15.75" customHeight="1">
      <c r="A14566" s="2">
        <v>2021.0</v>
      </c>
      <c r="B14566" s="2" t="s">
        <v>56561</v>
      </c>
      <c r="C14566" s="2" t="s">
        <v>56562</v>
      </c>
      <c r="D14566" s="2" t="str">
        <f>"657-456-1735"</f>
        <v>657-456-1735</v>
      </c>
      <c r="E14566" s="2" t="s">
        <v>3689</v>
      </c>
      <c r="F14566" s="2" t="s">
        <v>38778</v>
      </c>
      <c r="G14566" s="2" t="str">
        <f>"SR-21197"</f>
        <v>SR-21197</v>
      </c>
      <c r="H14566" s="2" t="s">
        <v>56563</v>
      </c>
      <c r="I14566" s="2" t="s">
        <v>56564</v>
      </c>
      <c r="K14566" s="2" t="s">
        <v>13081</v>
      </c>
      <c r="L14566" s="2" t="s">
        <v>222</v>
      </c>
      <c r="M14566" s="2">
        <v>92011.0</v>
      </c>
      <c r="N14566" s="2" t="s">
        <v>21</v>
      </c>
    </row>
    <row r="14567" ht="15.75" customHeight="1">
      <c r="A14567" s="2">
        <v>2021.0</v>
      </c>
      <c r="B14567" s="2" t="s">
        <v>50212</v>
      </c>
      <c r="C14567" s="2" t="s">
        <v>50212</v>
      </c>
      <c r="D14567" s="2" t="str">
        <f>"7205500547"</f>
        <v>7205500547</v>
      </c>
      <c r="E14567" s="2" t="s">
        <v>2648</v>
      </c>
      <c r="F14567" s="2" t="s">
        <v>42990</v>
      </c>
      <c r="G14567" s="2" t="str">
        <f>"SR-17935"</f>
        <v>SR-17935</v>
      </c>
      <c r="H14567" s="2" t="s">
        <v>50213</v>
      </c>
      <c r="I14567" s="2" t="s">
        <v>50214</v>
      </c>
      <c r="K14567" s="2" t="s">
        <v>2527</v>
      </c>
      <c r="L14567" s="2" t="s">
        <v>157</v>
      </c>
      <c r="M14567" s="2">
        <v>80203.0</v>
      </c>
      <c r="N14567" s="2" t="s">
        <v>21</v>
      </c>
    </row>
    <row r="14568" ht="15.75" customHeight="1">
      <c r="A14568" s="2">
        <v>2021.0</v>
      </c>
      <c r="B14568" s="2" t="s">
        <v>56565</v>
      </c>
      <c r="C14568" s="2" t="s">
        <v>56566</v>
      </c>
      <c r="D14568" s="2" t="str">
        <f>"480-772-9777"</f>
        <v>480-772-9777</v>
      </c>
      <c r="E14568" s="2" t="s">
        <v>167</v>
      </c>
      <c r="F14568" s="2" t="s">
        <v>1718</v>
      </c>
      <c r="G14568" s="2" t="str">
        <f>"SR-21224"</f>
        <v>SR-21224</v>
      </c>
      <c r="H14568" s="2" t="s">
        <v>56567</v>
      </c>
      <c r="I14568" s="2" t="s">
        <v>45647</v>
      </c>
      <c r="K14568" s="2" t="s">
        <v>2841</v>
      </c>
      <c r="L14568" s="2" t="s">
        <v>422</v>
      </c>
      <c r="M14568" s="2">
        <v>85249.0</v>
      </c>
      <c r="N14568" s="2" t="s">
        <v>21</v>
      </c>
    </row>
    <row r="14569" ht="15.75" customHeight="1">
      <c r="A14569" s="2">
        <v>2021.0</v>
      </c>
      <c r="B14569" s="2" t="s">
        <v>51495</v>
      </c>
      <c r="C14569" s="2" t="s">
        <v>51495</v>
      </c>
      <c r="D14569" s="2" t="str">
        <f>"620-218-8484"</f>
        <v>620-218-8484</v>
      </c>
      <c r="E14569" s="2" t="s">
        <v>1263</v>
      </c>
      <c r="F14569" s="2" t="s">
        <v>14111</v>
      </c>
      <c r="G14569" s="2" t="str">
        <f>"SR-18413"</f>
        <v>SR-18413</v>
      </c>
      <c r="H14569" s="2" t="s">
        <v>51496</v>
      </c>
      <c r="I14569" s="2" t="s">
        <v>51497</v>
      </c>
      <c r="J14569" s="2" t="s">
        <v>51498</v>
      </c>
      <c r="K14569" s="2" t="s">
        <v>10683</v>
      </c>
      <c r="L14569" s="2" t="s">
        <v>272</v>
      </c>
      <c r="M14569" s="2">
        <v>67008.0</v>
      </c>
      <c r="N14569" s="2" t="s">
        <v>21</v>
      </c>
    </row>
    <row r="14570" ht="15.75" customHeight="1">
      <c r="A14570" s="2">
        <v>2021.0</v>
      </c>
      <c r="B14570" s="2" t="s">
        <v>50042</v>
      </c>
      <c r="C14570" s="2" t="s">
        <v>50043</v>
      </c>
      <c r="D14570" s="2" t="str">
        <f>"6033931449"</f>
        <v>6033931449</v>
      </c>
      <c r="E14570" s="2" t="s">
        <v>590</v>
      </c>
      <c r="F14570" s="2" t="s">
        <v>50044</v>
      </c>
      <c r="G14570" s="2" t="str">
        <f>"SR-17877"</f>
        <v>SR-17877</v>
      </c>
      <c r="H14570" s="2" t="s">
        <v>50045</v>
      </c>
      <c r="I14570" s="2" t="s">
        <v>50046</v>
      </c>
      <c r="K14570" s="2" t="s">
        <v>50047</v>
      </c>
      <c r="L14570" s="2" t="s">
        <v>19930</v>
      </c>
      <c r="M14570" s="2">
        <v>3276.0</v>
      </c>
      <c r="N14570" s="2" t="s">
        <v>21</v>
      </c>
    </row>
    <row r="14571" ht="15.75" customHeight="1">
      <c r="A14571" s="2">
        <v>2021.0</v>
      </c>
      <c r="B14571" s="2" t="s">
        <v>56568</v>
      </c>
      <c r="C14571" s="2" t="s">
        <v>56568</v>
      </c>
      <c r="D14571" s="2" t="str">
        <f>"2393508536"</f>
        <v>2393508536</v>
      </c>
      <c r="E14571" s="2" t="s">
        <v>1523</v>
      </c>
      <c r="F14571" s="2" t="s">
        <v>56569</v>
      </c>
      <c r="G14571" s="2" t="str">
        <f>"SR-21324"</f>
        <v>SR-21324</v>
      </c>
      <c r="H14571" s="2" t="s">
        <v>56570</v>
      </c>
      <c r="I14571" s="2" t="s">
        <v>56571</v>
      </c>
      <c r="K14571" s="2" t="s">
        <v>5046</v>
      </c>
      <c r="L14571" s="2" t="s">
        <v>208</v>
      </c>
      <c r="M14571" s="2">
        <v>34108.0</v>
      </c>
      <c r="N14571" s="2" t="s">
        <v>21</v>
      </c>
    </row>
    <row r="14572" ht="15.75" customHeight="1">
      <c r="A14572" s="2">
        <v>2021.0</v>
      </c>
      <c r="B14572" s="2" t="s">
        <v>56572</v>
      </c>
      <c r="C14572" s="2" t="s">
        <v>56572</v>
      </c>
      <c r="D14572" s="2" t="str">
        <f>"8087782019"</f>
        <v>8087782019</v>
      </c>
      <c r="E14572" s="2" t="s">
        <v>261</v>
      </c>
      <c r="F14572" s="2" t="s">
        <v>8255</v>
      </c>
      <c r="G14572" s="2" t="str">
        <f>"SR-21158"</f>
        <v>SR-21158</v>
      </c>
      <c r="H14572" s="2" t="s">
        <v>56573</v>
      </c>
      <c r="I14572" s="2" t="s">
        <v>56574</v>
      </c>
      <c r="K14572" s="2" t="s">
        <v>507</v>
      </c>
      <c r="L14572" s="2" t="s">
        <v>157</v>
      </c>
      <c r="M14572" s="2">
        <v>80132.0</v>
      </c>
      <c r="N14572" s="2" t="s">
        <v>21</v>
      </c>
    </row>
    <row r="14573" ht="15.75" customHeight="1">
      <c r="A14573" s="2">
        <v>2021.0</v>
      </c>
      <c r="B14573" s="2" t="s">
        <v>56575</v>
      </c>
      <c r="C14573" s="2" t="s">
        <v>56575</v>
      </c>
      <c r="D14573" s="2" t="str">
        <f>"3208286035"</f>
        <v>3208286035</v>
      </c>
      <c r="E14573" s="2" t="s">
        <v>17513</v>
      </c>
      <c r="F14573" s="2" t="s">
        <v>56576</v>
      </c>
      <c r="G14573" s="2" t="str">
        <f>"SR-21325"</f>
        <v>SR-21325</v>
      </c>
      <c r="H14573" s="2" t="s">
        <v>56577</v>
      </c>
      <c r="I14573" s="2" t="s">
        <v>56578</v>
      </c>
      <c r="K14573" s="2" t="s">
        <v>14352</v>
      </c>
      <c r="L14573" s="2" t="s">
        <v>62</v>
      </c>
      <c r="M14573" s="2">
        <v>56367.0</v>
      </c>
      <c r="N14573" s="2" t="s">
        <v>21</v>
      </c>
    </row>
    <row r="14574" ht="15.75" customHeight="1">
      <c r="A14574" s="2">
        <v>2021.0</v>
      </c>
      <c r="B14574" s="2" t="s">
        <v>56579</v>
      </c>
      <c r="C14574" s="2" t="s">
        <v>56580</v>
      </c>
      <c r="D14574" s="2" t="str">
        <f>"5103326996"</f>
        <v>5103326996</v>
      </c>
      <c r="E14574" s="2" t="s">
        <v>2988</v>
      </c>
      <c r="F14574" s="2" t="s">
        <v>56581</v>
      </c>
      <c r="G14574" s="2" t="str">
        <f>"SR-20746"</f>
        <v>SR-20746</v>
      </c>
      <c r="H14574" s="2" t="s">
        <v>56582</v>
      </c>
      <c r="I14574" s="2" t="s">
        <v>56583</v>
      </c>
      <c r="K14574" s="2" t="s">
        <v>9695</v>
      </c>
      <c r="L14574" s="2" t="s">
        <v>222</v>
      </c>
      <c r="M14574" s="2">
        <v>95403.0</v>
      </c>
      <c r="N14574" s="2" t="s">
        <v>21</v>
      </c>
    </row>
    <row r="14575" ht="15.75" customHeight="1">
      <c r="A14575" s="2">
        <v>2021.0</v>
      </c>
      <c r="B14575" s="2" t="s">
        <v>56584</v>
      </c>
      <c r="C14575" s="2" t="s">
        <v>56585</v>
      </c>
      <c r="D14575" s="2" t="str">
        <f>"9125856063"</f>
        <v>9125856063</v>
      </c>
      <c r="E14575" s="2" t="s">
        <v>124</v>
      </c>
      <c r="F14575" s="2" t="s">
        <v>56586</v>
      </c>
      <c r="G14575" s="2" t="str">
        <f>"SR-21289"</f>
        <v>SR-21289</v>
      </c>
      <c r="H14575" s="2" t="s">
        <v>56587</v>
      </c>
      <c r="I14575" s="2" t="s">
        <v>56588</v>
      </c>
      <c r="K14575" s="2" t="s">
        <v>6817</v>
      </c>
      <c r="L14575" s="2" t="s">
        <v>200</v>
      </c>
      <c r="M14575" s="2">
        <v>30474.0</v>
      </c>
      <c r="N14575" s="2" t="s">
        <v>21</v>
      </c>
    </row>
    <row r="14576" ht="15.75" customHeight="1">
      <c r="A14576" s="2">
        <v>2021.0</v>
      </c>
      <c r="B14576" s="2" t="s">
        <v>31084</v>
      </c>
      <c r="C14576" s="2" t="s">
        <v>43792</v>
      </c>
      <c r="D14576" s="2" t="str">
        <f>"720-892-9004"</f>
        <v>720-892-9004</v>
      </c>
      <c r="E14576" s="2" t="s">
        <v>3640</v>
      </c>
      <c r="F14576" s="2" t="s">
        <v>2753</v>
      </c>
      <c r="G14576" s="2" t="str">
        <f>"SR-18030"</f>
        <v>SR-18030</v>
      </c>
      <c r="H14576" s="2" t="s">
        <v>43793</v>
      </c>
      <c r="I14576" s="2" t="s">
        <v>50502</v>
      </c>
      <c r="K14576" s="2" t="s">
        <v>519</v>
      </c>
      <c r="L14576" s="2" t="s">
        <v>157</v>
      </c>
      <c r="M14576" s="2">
        <v>80465.0</v>
      </c>
      <c r="N14576" s="2" t="s">
        <v>21</v>
      </c>
    </row>
    <row r="14577" ht="15.75" customHeight="1">
      <c r="A14577" s="2">
        <v>2021.0</v>
      </c>
      <c r="B14577" s="2" t="s">
        <v>45056</v>
      </c>
      <c r="C14577" s="2" t="s">
        <v>45057</v>
      </c>
      <c r="D14577" s="2" t="str">
        <f>"(904) 616-5416"</f>
        <v>(904) 616-5416</v>
      </c>
      <c r="E14577" s="2" t="s">
        <v>3305</v>
      </c>
      <c r="F14577" s="2" t="s">
        <v>15689</v>
      </c>
      <c r="G14577" s="2" t="str">
        <f>"SR-15819"</f>
        <v>SR-15819</v>
      </c>
      <c r="H14577" s="2" t="s">
        <v>45058</v>
      </c>
      <c r="I14577" s="2" t="s">
        <v>45059</v>
      </c>
      <c r="K14577" s="2" t="s">
        <v>451</v>
      </c>
      <c r="L14577" s="2" t="s">
        <v>208</v>
      </c>
      <c r="M14577" s="2">
        <v>32210.0</v>
      </c>
      <c r="N14577" s="2" t="s">
        <v>21</v>
      </c>
    </row>
    <row r="14578" ht="15.75" customHeight="1">
      <c r="A14578" s="2">
        <v>2021.0</v>
      </c>
      <c r="B14578" s="2" t="s">
        <v>45056</v>
      </c>
      <c r="C14578" s="2" t="s">
        <v>49248</v>
      </c>
      <c r="D14578" s="2" t="str">
        <f>"(904) 945-6181"</f>
        <v>(904) 945-6181</v>
      </c>
      <c r="E14578" s="2" t="s">
        <v>472</v>
      </c>
      <c r="F14578" s="2" t="s">
        <v>15689</v>
      </c>
      <c r="G14578" s="2" t="str">
        <f>"SR-17462"</f>
        <v>SR-17462</v>
      </c>
      <c r="H14578" s="2" t="s">
        <v>49249</v>
      </c>
      <c r="I14578" s="2" t="s">
        <v>45059</v>
      </c>
      <c r="K14578" s="2" t="s">
        <v>451</v>
      </c>
      <c r="L14578" s="2" t="s">
        <v>208</v>
      </c>
      <c r="M14578" s="2">
        <v>32210.0</v>
      </c>
      <c r="N14578" s="2" t="s">
        <v>21</v>
      </c>
    </row>
    <row r="14579" ht="15.75" customHeight="1">
      <c r="A14579" s="2">
        <v>2021.0</v>
      </c>
      <c r="B14579" s="2" t="s">
        <v>51630</v>
      </c>
      <c r="C14579" s="2" t="s">
        <v>51631</v>
      </c>
      <c r="D14579" s="2" t="str">
        <f>"2059080227"</f>
        <v>2059080227</v>
      </c>
      <c r="E14579" s="2" t="s">
        <v>385</v>
      </c>
      <c r="F14579" s="2" t="s">
        <v>13554</v>
      </c>
      <c r="G14579" s="2" t="str">
        <f>"SR-18462"</f>
        <v>SR-18462</v>
      </c>
      <c r="H14579" s="2" t="s">
        <v>51632</v>
      </c>
      <c r="I14579" s="2" t="s">
        <v>51633</v>
      </c>
      <c r="K14579" s="2" t="s">
        <v>3103</v>
      </c>
      <c r="L14579" s="2" t="s">
        <v>272</v>
      </c>
      <c r="M14579" s="2">
        <v>66221.0</v>
      </c>
      <c r="N14579" s="2" t="s">
        <v>21</v>
      </c>
    </row>
    <row r="14580" ht="15.75" customHeight="1">
      <c r="A14580" s="2">
        <v>2021.0</v>
      </c>
      <c r="B14580" s="2" t="s">
        <v>51630</v>
      </c>
      <c r="C14580" s="2" t="s">
        <v>56589</v>
      </c>
      <c r="D14580" s="2" t="str">
        <f>"9132771460"</f>
        <v>9132771460</v>
      </c>
      <c r="E14580" s="2" t="s">
        <v>678</v>
      </c>
      <c r="F14580" s="2" t="s">
        <v>13554</v>
      </c>
      <c r="G14580" s="2" t="str">
        <f>"SR-21330"</f>
        <v>SR-21330</v>
      </c>
      <c r="H14580" s="2" t="s">
        <v>56590</v>
      </c>
      <c r="I14580" s="2" t="s">
        <v>51633</v>
      </c>
      <c r="K14580" s="2" t="s">
        <v>3103</v>
      </c>
      <c r="L14580" s="2" t="s">
        <v>272</v>
      </c>
      <c r="M14580" s="2">
        <v>66221.0</v>
      </c>
      <c r="N14580" s="2" t="s">
        <v>21</v>
      </c>
    </row>
    <row r="14581" ht="15.75" customHeight="1">
      <c r="A14581" s="2">
        <v>2021.0</v>
      </c>
      <c r="B14581" s="2" t="s">
        <v>56591</v>
      </c>
      <c r="C14581" s="2" t="s">
        <v>56592</v>
      </c>
      <c r="D14581" s="2" t="str">
        <f>"432-349-8127"</f>
        <v>432-349-8127</v>
      </c>
      <c r="E14581" s="2" t="s">
        <v>56593</v>
      </c>
      <c r="F14581" s="2" t="s">
        <v>56594</v>
      </c>
      <c r="G14581" s="2" t="str">
        <f>"SR-21331"</f>
        <v>SR-21331</v>
      </c>
      <c r="H14581" s="2" t="s">
        <v>56595</v>
      </c>
      <c r="I14581" s="2" t="s">
        <v>56596</v>
      </c>
      <c r="K14581" s="2" t="s">
        <v>286</v>
      </c>
      <c r="L14581" s="2" t="s">
        <v>172</v>
      </c>
      <c r="M14581" s="2">
        <v>79705.0</v>
      </c>
      <c r="N14581" s="2" t="s">
        <v>21</v>
      </c>
    </row>
    <row r="14582" ht="15.75" customHeight="1">
      <c r="A14582" s="2">
        <v>2021.0</v>
      </c>
      <c r="B14582" s="2" t="s">
        <v>41808</v>
      </c>
      <c r="C14582" s="2" t="s">
        <v>56597</v>
      </c>
      <c r="D14582" s="2" t="str">
        <f>"608-921-2456"</f>
        <v>608-921-2456</v>
      </c>
      <c r="E14582" s="2" t="s">
        <v>23508</v>
      </c>
      <c r="F14582" s="2" t="s">
        <v>41809</v>
      </c>
      <c r="G14582" s="2" t="str">
        <f>"SR-21334"</f>
        <v>SR-21334</v>
      </c>
      <c r="H14582" s="2" t="s">
        <v>56598</v>
      </c>
      <c r="I14582" s="2" t="s">
        <v>53645</v>
      </c>
      <c r="K14582" s="2" t="s">
        <v>53646</v>
      </c>
      <c r="L14582" s="2" t="s">
        <v>193</v>
      </c>
      <c r="M14582" s="2">
        <v>53511.0</v>
      </c>
      <c r="N14582" s="2" t="s">
        <v>21</v>
      </c>
    </row>
    <row r="14583" ht="15.75" customHeight="1">
      <c r="A14583" s="2">
        <v>2021.0</v>
      </c>
      <c r="B14583" s="2" t="s">
        <v>23326</v>
      </c>
      <c r="C14583" s="2" t="s">
        <v>56599</v>
      </c>
      <c r="D14583" s="2" t="str">
        <f>"281-974-7921"</f>
        <v>281-974-7921</v>
      </c>
      <c r="E14583" s="2" t="s">
        <v>21870</v>
      </c>
      <c r="F14583" s="2" t="s">
        <v>56600</v>
      </c>
      <c r="G14583" s="2" t="str">
        <f>"SR-21176"</f>
        <v>SR-21176</v>
      </c>
      <c r="H14583" s="2" t="s">
        <v>56601</v>
      </c>
      <c r="I14583" s="2" t="s">
        <v>56602</v>
      </c>
      <c r="K14583" s="2" t="s">
        <v>2651</v>
      </c>
      <c r="L14583" s="2" t="s">
        <v>172</v>
      </c>
      <c r="M14583" s="2">
        <v>77382.0</v>
      </c>
      <c r="N14583" s="2" t="s">
        <v>21</v>
      </c>
    </row>
    <row r="14584" ht="15.75" customHeight="1">
      <c r="A14584" s="2">
        <v>2021.0</v>
      </c>
      <c r="B14584" s="2" t="s">
        <v>56603</v>
      </c>
      <c r="C14584" s="2" t="s">
        <v>56604</v>
      </c>
      <c r="D14584" s="2" t="str">
        <f>"5074767788"</f>
        <v>5074767788</v>
      </c>
      <c r="E14584" s="2" t="s">
        <v>56605</v>
      </c>
      <c r="F14584" s="2" t="s">
        <v>3394</v>
      </c>
      <c r="G14584" s="2" t="str">
        <f>"SR-21336"</f>
        <v>SR-21336</v>
      </c>
      <c r="H14584" s="2" t="s">
        <v>56606</v>
      </c>
      <c r="I14584" s="2" t="s">
        <v>15114</v>
      </c>
      <c r="K14584" s="2" t="s">
        <v>133</v>
      </c>
      <c r="L14584" s="2" t="s">
        <v>62</v>
      </c>
      <c r="M14584" s="2">
        <v>56175.0</v>
      </c>
      <c r="N14584" s="2" t="s">
        <v>21</v>
      </c>
    </row>
    <row r="14585" ht="15.75" customHeight="1">
      <c r="A14585" s="2">
        <v>2021.0</v>
      </c>
      <c r="B14585" s="2" t="s">
        <v>23326</v>
      </c>
      <c r="C14585" s="2" t="s">
        <v>56607</v>
      </c>
      <c r="D14585" s="2" t="str">
        <f>"713-291-6014"</f>
        <v>713-291-6014</v>
      </c>
      <c r="E14585" s="2" t="s">
        <v>43735</v>
      </c>
      <c r="F14585" s="2" t="s">
        <v>32267</v>
      </c>
      <c r="G14585" s="2" t="str">
        <f>"SR-21337"</f>
        <v>SR-21337</v>
      </c>
      <c r="H14585" s="2" t="s">
        <v>56608</v>
      </c>
      <c r="I14585" s="2" t="s">
        <v>56609</v>
      </c>
      <c r="K14585" s="2" t="s">
        <v>2651</v>
      </c>
      <c r="L14585" s="2" t="s">
        <v>172</v>
      </c>
      <c r="M14585" s="2">
        <v>77382.0</v>
      </c>
      <c r="N14585" s="2" t="s">
        <v>21</v>
      </c>
    </row>
    <row r="14586" ht="15.75" customHeight="1">
      <c r="A14586" s="2">
        <v>2021.0</v>
      </c>
      <c r="B14586" s="2" t="s">
        <v>23326</v>
      </c>
      <c r="C14586" s="2" t="s">
        <v>56610</v>
      </c>
      <c r="D14586" s="2" t="str">
        <f>"832-904-1271"</f>
        <v>832-904-1271</v>
      </c>
      <c r="E14586" s="2" t="s">
        <v>659</v>
      </c>
      <c r="F14586" s="2" t="s">
        <v>4824</v>
      </c>
      <c r="G14586" s="2" t="str">
        <f>"SR-21338"</f>
        <v>SR-21338</v>
      </c>
      <c r="H14586" s="2" t="s">
        <v>56611</v>
      </c>
      <c r="I14586" s="2" t="s">
        <v>56612</v>
      </c>
      <c r="K14586" s="2" t="s">
        <v>2651</v>
      </c>
      <c r="L14586" s="2" t="s">
        <v>172</v>
      </c>
      <c r="M14586" s="2">
        <v>77382.0</v>
      </c>
      <c r="N14586" s="2" t="s">
        <v>21</v>
      </c>
    </row>
    <row r="14587" ht="15.75" customHeight="1">
      <c r="A14587" s="2">
        <v>2021.0</v>
      </c>
      <c r="B14587" s="2" t="s">
        <v>56613</v>
      </c>
      <c r="C14587" s="2" t="s">
        <v>56613</v>
      </c>
      <c r="D14587" s="2" t="str">
        <f>"2603196609"</f>
        <v>2603196609</v>
      </c>
      <c r="E14587" s="2" t="s">
        <v>1156</v>
      </c>
      <c r="F14587" s="2" t="s">
        <v>6360</v>
      </c>
      <c r="G14587" s="2" t="str">
        <f>"SR-21340"</f>
        <v>SR-21340</v>
      </c>
      <c r="H14587" s="2" t="s">
        <v>50925</v>
      </c>
      <c r="I14587" s="2" t="s">
        <v>16980</v>
      </c>
      <c r="K14587" s="2" t="s">
        <v>6363</v>
      </c>
      <c r="L14587" s="2" t="s">
        <v>149</v>
      </c>
      <c r="M14587" s="2">
        <v>46703.0</v>
      </c>
      <c r="N14587" s="2" t="s">
        <v>21</v>
      </c>
    </row>
    <row r="14588" ht="15.75" customHeight="1">
      <c r="A14588" s="2">
        <v>2021.0</v>
      </c>
      <c r="B14588" s="2" t="s">
        <v>56614</v>
      </c>
      <c r="C14588" s="2" t="s">
        <v>56614</v>
      </c>
      <c r="D14588" s="2" t="str">
        <f>"720-921-4939"</f>
        <v>720-921-4939</v>
      </c>
      <c r="E14588" s="2" t="s">
        <v>4749</v>
      </c>
      <c r="F14588" s="2" t="s">
        <v>39870</v>
      </c>
      <c r="G14588" s="2" t="str">
        <f>"SR-21341"</f>
        <v>SR-21341</v>
      </c>
      <c r="H14588" s="2" t="s">
        <v>56615</v>
      </c>
      <c r="I14588" s="2" t="s">
        <v>56616</v>
      </c>
      <c r="K14588" s="2" t="s">
        <v>1889</v>
      </c>
      <c r="L14588" s="2" t="s">
        <v>157</v>
      </c>
      <c r="M14588" s="2">
        <v>80128.0</v>
      </c>
      <c r="N14588" s="2" t="s">
        <v>21</v>
      </c>
    </row>
    <row r="14589" ht="15.75" customHeight="1">
      <c r="A14589" s="2">
        <v>2021.0</v>
      </c>
      <c r="B14589" s="2" t="s">
        <v>51543</v>
      </c>
      <c r="C14589" s="2" t="s">
        <v>51543</v>
      </c>
      <c r="D14589" s="2" t="str">
        <f>"6202189819"</f>
        <v>6202189819</v>
      </c>
      <c r="E14589" s="2" t="s">
        <v>51544</v>
      </c>
      <c r="F14589" s="2" t="s">
        <v>3576</v>
      </c>
      <c r="G14589" s="2" t="str">
        <f>"SR-21342"</f>
        <v>SR-21342</v>
      </c>
      <c r="H14589" s="2" t="s">
        <v>56617</v>
      </c>
      <c r="I14589" s="2" t="s">
        <v>56618</v>
      </c>
      <c r="K14589" s="2" t="s">
        <v>42887</v>
      </c>
      <c r="L14589" s="2" t="s">
        <v>272</v>
      </c>
      <c r="M14589" s="2">
        <v>67156.0</v>
      </c>
      <c r="N14589" s="2" t="s">
        <v>21</v>
      </c>
    </row>
    <row r="14590" ht="15.75" customHeight="1">
      <c r="A14590" s="2">
        <v>2021.0</v>
      </c>
      <c r="B14590" s="2" t="s">
        <v>54920</v>
      </c>
      <c r="C14590" s="2" t="s">
        <v>54921</v>
      </c>
      <c r="D14590" s="2" t="str">
        <f>"719-246-2113"</f>
        <v>719-246-2113</v>
      </c>
      <c r="E14590" s="2" t="s">
        <v>1585</v>
      </c>
      <c r="F14590" s="2" t="s">
        <v>54922</v>
      </c>
      <c r="G14590" s="2" t="str">
        <f>"SR-20451"</f>
        <v>SR-20451</v>
      </c>
      <c r="H14590" s="2" t="s">
        <v>54923</v>
      </c>
      <c r="I14590" s="2" t="s">
        <v>54924</v>
      </c>
      <c r="K14590" s="2" t="s">
        <v>809</v>
      </c>
      <c r="L14590" s="2" t="s">
        <v>157</v>
      </c>
      <c r="M14590" s="2">
        <v>80918.0</v>
      </c>
      <c r="N14590" s="2" t="s">
        <v>21</v>
      </c>
    </row>
    <row r="14591" ht="15.75" customHeight="1">
      <c r="A14591" s="2">
        <v>2021.0</v>
      </c>
      <c r="B14591" s="2" t="s">
        <v>50719</v>
      </c>
      <c r="C14591" s="2" t="s">
        <v>50720</v>
      </c>
      <c r="D14591" s="2" t="str">
        <f>"5405386478"</f>
        <v>5405386478</v>
      </c>
      <c r="E14591" s="2" t="s">
        <v>2572</v>
      </c>
      <c r="F14591" s="2" t="s">
        <v>38446</v>
      </c>
      <c r="G14591" s="2" t="str">
        <f>"SR-18099"</f>
        <v>SR-18099</v>
      </c>
      <c r="H14591" s="2" t="s">
        <v>50721</v>
      </c>
      <c r="I14591" s="2" t="s">
        <v>38448</v>
      </c>
      <c r="K14591" s="2" t="s">
        <v>38449</v>
      </c>
      <c r="L14591" s="2" t="s">
        <v>165</v>
      </c>
      <c r="M14591" s="2">
        <v>22553.0</v>
      </c>
      <c r="N14591" s="2" t="s">
        <v>21</v>
      </c>
    </row>
    <row r="14592" ht="15.75" customHeight="1">
      <c r="A14592" s="2">
        <v>2021.0</v>
      </c>
      <c r="B14592" s="2" t="s">
        <v>52579</v>
      </c>
      <c r="C14592" s="2" t="s">
        <v>52579</v>
      </c>
      <c r="D14592" s="2" t="str">
        <f>"6142578250"</f>
        <v>6142578250</v>
      </c>
      <c r="E14592" s="2" t="s">
        <v>453</v>
      </c>
      <c r="F14592" s="2" t="s">
        <v>13877</v>
      </c>
      <c r="G14592" s="2" t="str">
        <f>"SR-18792"</f>
        <v>SR-18792</v>
      </c>
      <c r="H14592" s="2" t="s">
        <v>52580</v>
      </c>
      <c r="I14592" s="2" t="s">
        <v>52581</v>
      </c>
      <c r="K14592" s="2" t="s">
        <v>41353</v>
      </c>
      <c r="L14592" s="2" t="s">
        <v>344</v>
      </c>
      <c r="M14592" s="2">
        <v>43074.0</v>
      </c>
      <c r="N14592" s="2" t="s">
        <v>21</v>
      </c>
    </row>
    <row r="14593" ht="15.75" customHeight="1">
      <c r="A14593" s="2">
        <v>2021.0</v>
      </c>
      <c r="B14593" s="2" t="s">
        <v>52451</v>
      </c>
      <c r="C14593" s="2" t="s">
        <v>52452</v>
      </c>
      <c r="D14593" s="2" t="str">
        <f>"5038944317"</f>
        <v>5038944317</v>
      </c>
      <c r="E14593" s="2" t="s">
        <v>5542</v>
      </c>
      <c r="F14593" s="2" t="s">
        <v>50860</v>
      </c>
      <c r="G14593" s="2" t="str">
        <f>"SR-18574"</f>
        <v>SR-18574</v>
      </c>
      <c r="H14593" s="2" t="s">
        <v>52453</v>
      </c>
      <c r="I14593" s="2" t="s">
        <v>52454</v>
      </c>
      <c r="K14593" s="2" t="s">
        <v>11515</v>
      </c>
      <c r="L14593" s="2" t="s">
        <v>2389</v>
      </c>
      <c r="M14593" s="2">
        <v>97381.0</v>
      </c>
      <c r="N14593" s="2" t="s">
        <v>21</v>
      </c>
    </row>
    <row r="14594" ht="15.75" customHeight="1">
      <c r="A14594" s="2">
        <v>2021.0</v>
      </c>
      <c r="B14594" s="2" t="s">
        <v>49224</v>
      </c>
      <c r="C14594" s="2" t="s">
        <v>49225</v>
      </c>
      <c r="D14594" s="2" t="str">
        <f>"2104618226"</f>
        <v>2104618226</v>
      </c>
      <c r="E14594" s="2" t="s">
        <v>651</v>
      </c>
      <c r="F14594" s="2" t="s">
        <v>11424</v>
      </c>
      <c r="G14594" s="2" t="str">
        <f>"SR-17410"</f>
        <v>SR-17410</v>
      </c>
      <c r="H14594" s="2" t="s">
        <v>49226</v>
      </c>
      <c r="I14594" s="2" t="s">
        <v>49227</v>
      </c>
      <c r="K14594" s="2" t="s">
        <v>632</v>
      </c>
      <c r="L14594" s="2" t="s">
        <v>172</v>
      </c>
      <c r="M14594" s="2">
        <v>78212.0</v>
      </c>
      <c r="N14594" s="2" t="s">
        <v>21</v>
      </c>
    </row>
    <row r="14595" ht="15.75" customHeight="1">
      <c r="A14595" s="2">
        <v>2021.0</v>
      </c>
      <c r="B14595" s="2" t="s">
        <v>52125</v>
      </c>
      <c r="C14595" s="2" t="s">
        <v>52126</v>
      </c>
      <c r="D14595" s="2" t="str">
        <f>"303-859-8141"</f>
        <v>303-859-8141</v>
      </c>
      <c r="E14595" s="2" t="s">
        <v>1094</v>
      </c>
      <c r="F14595" s="2" t="s">
        <v>52127</v>
      </c>
      <c r="G14595" s="2" t="str">
        <f>"SR-18627"</f>
        <v>SR-18627</v>
      </c>
      <c r="H14595" s="2" t="s">
        <v>52128</v>
      </c>
      <c r="I14595" s="2" t="s">
        <v>52129</v>
      </c>
      <c r="K14595" s="2" t="s">
        <v>6514</v>
      </c>
      <c r="L14595" s="2" t="s">
        <v>157</v>
      </c>
      <c r="M14595" s="2">
        <v>80227.0</v>
      </c>
      <c r="N14595" s="2" t="s">
        <v>21</v>
      </c>
    </row>
    <row r="14596" ht="15.75" customHeight="1">
      <c r="A14596" s="2">
        <v>2021.0</v>
      </c>
      <c r="B14596" s="2" t="s">
        <v>11136</v>
      </c>
      <c r="C14596" s="2" t="s">
        <v>52130</v>
      </c>
      <c r="D14596" s="2" t="str">
        <f>"7204085715"</f>
        <v>7204085715</v>
      </c>
      <c r="E14596" s="2" t="s">
        <v>8195</v>
      </c>
      <c r="F14596" s="2" t="s">
        <v>11138</v>
      </c>
      <c r="G14596" s="2" t="str">
        <f>"SR-18626"</f>
        <v>SR-18626</v>
      </c>
      <c r="H14596" s="2" t="s">
        <v>52131</v>
      </c>
      <c r="I14596" s="2" t="s">
        <v>11140</v>
      </c>
      <c r="K14596" s="2" t="s">
        <v>6514</v>
      </c>
      <c r="L14596" s="2" t="s">
        <v>157</v>
      </c>
      <c r="M14596" s="2">
        <v>80227.0</v>
      </c>
      <c r="N14596" s="2" t="s">
        <v>21</v>
      </c>
    </row>
    <row r="14597" ht="15.75" customHeight="1">
      <c r="A14597" s="2">
        <v>2021.0</v>
      </c>
      <c r="B14597" s="2" t="s">
        <v>53293</v>
      </c>
      <c r="C14597" s="2" t="s">
        <v>53294</v>
      </c>
      <c r="D14597" s="2" t="str">
        <f>"6158784002"</f>
        <v>6158784002</v>
      </c>
      <c r="E14597" s="2" t="s">
        <v>2439</v>
      </c>
      <c r="F14597" s="2" t="s">
        <v>3903</v>
      </c>
      <c r="G14597" s="2" t="str">
        <f>"SR-19095"</f>
        <v>SR-19095</v>
      </c>
      <c r="H14597" s="2" t="s">
        <v>53295</v>
      </c>
      <c r="I14597" s="2" t="s">
        <v>53296</v>
      </c>
      <c r="K14597" s="2" t="s">
        <v>14304</v>
      </c>
      <c r="L14597" s="2" t="s">
        <v>279</v>
      </c>
      <c r="M14597" s="2">
        <v>37135.0</v>
      </c>
      <c r="N14597" s="2" t="s">
        <v>21</v>
      </c>
    </row>
    <row r="14598" ht="15.75" customHeight="1">
      <c r="A14598" s="2">
        <v>2021.0</v>
      </c>
      <c r="B14598" s="2" t="s">
        <v>53293</v>
      </c>
      <c r="C14598" s="2" t="s">
        <v>53297</v>
      </c>
      <c r="D14598" s="2" t="str">
        <f>"615-878-5107"</f>
        <v>615-878-5107</v>
      </c>
      <c r="E14598" s="2" t="s">
        <v>53298</v>
      </c>
      <c r="F14598" s="2" t="s">
        <v>3903</v>
      </c>
      <c r="G14598" s="2" t="str">
        <f>"SR-19139"</f>
        <v>SR-19139</v>
      </c>
      <c r="H14598" s="2" t="s">
        <v>53299</v>
      </c>
      <c r="I14598" s="2" t="s">
        <v>53296</v>
      </c>
      <c r="K14598" s="2" t="s">
        <v>14304</v>
      </c>
      <c r="L14598" s="2" t="s">
        <v>279</v>
      </c>
      <c r="M14598" s="2">
        <v>37135.0</v>
      </c>
      <c r="N14598" s="2" t="s">
        <v>21</v>
      </c>
    </row>
    <row r="14599" ht="15.75" customHeight="1">
      <c r="A14599" s="2">
        <v>2021.0</v>
      </c>
      <c r="B14599" s="2" t="s">
        <v>56619</v>
      </c>
      <c r="C14599" s="2" t="s">
        <v>56620</v>
      </c>
      <c r="D14599" s="2" t="str">
        <f>"774-400-4385"</f>
        <v>774-400-4385</v>
      </c>
      <c r="E14599" s="2" t="s">
        <v>590</v>
      </c>
      <c r="F14599" s="2" t="s">
        <v>28594</v>
      </c>
      <c r="G14599" s="2" t="str">
        <f>"SR-18078"</f>
        <v>SR-18078</v>
      </c>
      <c r="H14599" s="2" t="s">
        <v>56621</v>
      </c>
      <c r="I14599" s="2" t="s">
        <v>56622</v>
      </c>
      <c r="K14599" s="2" t="s">
        <v>33198</v>
      </c>
      <c r="L14599" s="2" t="s">
        <v>4108</v>
      </c>
      <c r="M14599" s="2">
        <v>1532.0</v>
      </c>
      <c r="N14599" s="2" t="s">
        <v>21</v>
      </c>
    </row>
    <row r="14600" ht="15.75" customHeight="1">
      <c r="A14600" s="2">
        <v>2021.0</v>
      </c>
      <c r="B14600" s="2" t="s">
        <v>53293</v>
      </c>
      <c r="C14600" s="2" t="s">
        <v>56623</v>
      </c>
      <c r="D14600" s="2" t="str">
        <f>"615-415-3551"</f>
        <v>615-415-3551</v>
      </c>
      <c r="E14600" s="2" t="s">
        <v>3511</v>
      </c>
      <c r="F14600" s="2" t="s">
        <v>3903</v>
      </c>
      <c r="G14600" s="2" t="str">
        <f>"SR-21350"</f>
        <v>SR-21350</v>
      </c>
      <c r="H14600" s="2" t="s">
        <v>56624</v>
      </c>
      <c r="I14600" s="2" t="s">
        <v>53296</v>
      </c>
      <c r="K14600" s="2" t="s">
        <v>14304</v>
      </c>
      <c r="L14600" s="2" t="s">
        <v>279</v>
      </c>
      <c r="M14600" s="2">
        <v>37135.0</v>
      </c>
      <c r="N14600" s="2" t="s">
        <v>21</v>
      </c>
    </row>
    <row r="14601" ht="15.75" customHeight="1">
      <c r="A14601" s="2">
        <v>2021.0</v>
      </c>
      <c r="B14601" s="2" t="s">
        <v>56625</v>
      </c>
      <c r="C14601" s="2" t="s">
        <v>56626</v>
      </c>
      <c r="D14601" s="2" t="str">
        <f>"7203644860"</f>
        <v>7203644860</v>
      </c>
      <c r="E14601" s="2" t="s">
        <v>2162</v>
      </c>
      <c r="F14601" s="2" t="s">
        <v>36535</v>
      </c>
      <c r="G14601" s="2" t="str">
        <f>"SR-21351"</f>
        <v>SR-21351</v>
      </c>
      <c r="H14601" s="2" t="s">
        <v>56627</v>
      </c>
      <c r="I14601" s="2" t="s">
        <v>56628</v>
      </c>
      <c r="K14601" s="2" t="s">
        <v>1520</v>
      </c>
      <c r="L14601" s="2" t="s">
        <v>157</v>
      </c>
      <c r="M14601" s="2">
        <v>80016.0</v>
      </c>
      <c r="N14601" s="2" t="s">
        <v>21</v>
      </c>
    </row>
    <row r="14602" ht="15.75" customHeight="1">
      <c r="A14602" s="2">
        <v>2021.0</v>
      </c>
      <c r="B14602" s="2" t="s">
        <v>47092</v>
      </c>
      <c r="C14602" s="2" t="s">
        <v>56629</v>
      </c>
      <c r="D14602" s="2" t="str">
        <f>"719-679-8979"</f>
        <v>719-679-8979</v>
      </c>
      <c r="E14602" s="2" t="s">
        <v>1001</v>
      </c>
      <c r="F14602" s="2" t="s">
        <v>15293</v>
      </c>
      <c r="G14602" s="2" t="str">
        <f>"SR-21137"</f>
        <v>SR-21137</v>
      </c>
      <c r="H14602" s="2" t="s">
        <v>56630</v>
      </c>
      <c r="I14602" s="2" t="s">
        <v>47095</v>
      </c>
      <c r="K14602" s="2" t="s">
        <v>507</v>
      </c>
      <c r="L14602" s="2" t="s">
        <v>157</v>
      </c>
      <c r="M14602" s="2">
        <v>80132.0</v>
      </c>
      <c r="N14602" s="2" t="s">
        <v>21</v>
      </c>
    </row>
    <row r="14603" ht="15.75" customHeight="1">
      <c r="A14603" s="2">
        <v>2021.0</v>
      </c>
      <c r="B14603" s="2" t="s">
        <v>56631</v>
      </c>
      <c r="C14603" s="2" t="s">
        <v>56632</v>
      </c>
      <c r="D14603" s="2" t="str">
        <f>"919-400-0090"</f>
        <v>919-400-0090</v>
      </c>
      <c r="E14603" s="2" t="s">
        <v>3977</v>
      </c>
      <c r="F14603" s="2" t="s">
        <v>11953</v>
      </c>
      <c r="G14603" s="2" t="str">
        <f>"SR-21354"</f>
        <v>SR-21354</v>
      </c>
      <c r="H14603" s="2" t="s">
        <v>56633</v>
      </c>
      <c r="I14603" s="2" t="s">
        <v>56634</v>
      </c>
      <c r="K14603" s="2" t="s">
        <v>20129</v>
      </c>
      <c r="L14603" s="2" t="s">
        <v>20</v>
      </c>
      <c r="M14603" s="2">
        <v>27540.0</v>
      </c>
      <c r="N14603" s="2" t="s">
        <v>21</v>
      </c>
    </row>
    <row r="14604" ht="15.75" customHeight="1">
      <c r="A14604" s="2">
        <v>2021.0</v>
      </c>
      <c r="B14604" s="2" t="s">
        <v>56635</v>
      </c>
      <c r="C14604" s="2" t="s">
        <v>56635</v>
      </c>
      <c r="D14604" s="2" t="str">
        <f>"3034831517"</f>
        <v>3034831517</v>
      </c>
      <c r="E14604" s="2" t="s">
        <v>13386</v>
      </c>
      <c r="F14604" s="2" t="s">
        <v>56636</v>
      </c>
      <c r="G14604" s="2" t="str">
        <f>"SR-21329"</f>
        <v>SR-21329</v>
      </c>
      <c r="H14604" s="2" t="s">
        <v>56637</v>
      </c>
      <c r="I14604" s="2" t="s">
        <v>56638</v>
      </c>
      <c r="K14604" s="2" t="s">
        <v>25513</v>
      </c>
      <c r="L14604" s="2" t="s">
        <v>157</v>
      </c>
      <c r="M14604" s="2">
        <v>80127.0</v>
      </c>
      <c r="N14604" s="2" t="s">
        <v>21</v>
      </c>
    </row>
    <row r="14605" ht="15.75" customHeight="1">
      <c r="A14605" s="2">
        <v>2021.0</v>
      </c>
      <c r="B14605" s="2" t="s">
        <v>56639</v>
      </c>
      <c r="C14605" s="2" t="s">
        <v>56640</v>
      </c>
      <c r="D14605" s="2" t="str">
        <f>"407-797-8414"</f>
        <v>407-797-8414</v>
      </c>
      <c r="E14605" s="2" t="s">
        <v>56641</v>
      </c>
      <c r="F14605" s="2" t="s">
        <v>1636</v>
      </c>
      <c r="G14605" s="2" t="str">
        <f>"SR-21355"</f>
        <v>SR-21355</v>
      </c>
      <c r="H14605" s="2" t="s">
        <v>56642</v>
      </c>
      <c r="I14605" s="2" t="s">
        <v>56643</v>
      </c>
      <c r="K14605" s="2" t="s">
        <v>809</v>
      </c>
      <c r="L14605" s="2" t="s">
        <v>157</v>
      </c>
      <c r="M14605" s="2">
        <v>80922.0</v>
      </c>
      <c r="N14605" s="2" t="s">
        <v>21</v>
      </c>
    </row>
    <row r="14606" ht="15.75" customHeight="1">
      <c r="A14606" s="2">
        <v>2021.0</v>
      </c>
      <c r="B14606" s="2" t="s">
        <v>56644</v>
      </c>
      <c r="C14606" s="2" t="s">
        <v>52023</v>
      </c>
      <c r="D14606" s="2" t="str">
        <f>"4173721687"</f>
        <v>4173721687</v>
      </c>
      <c r="E14606" s="2" t="s">
        <v>2988</v>
      </c>
      <c r="F14606" s="2" t="s">
        <v>52025</v>
      </c>
      <c r="G14606" s="2" t="str">
        <f>"SR-21357"</f>
        <v>SR-21357</v>
      </c>
      <c r="H14606" s="2" t="s">
        <v>56645</v>
      </c>
      <c r="I14606" s="2" t="s">
        <v>56646</v>
      </c>
      <c r="K14606" s="2" t="s">
        <v>56647</v>
      </c>
      <c r="L14606" s="2" t="s">
        <v>214</v>
      </c>
      <c r="M14606" s="2">
        <v>65790.0</v>
      </c>
      <c r="N14606" s="2" t="s">
        <v>21</v>
      </c>
    </row>
    <row r="14607" ht="15.75" customHeight="1">
      <c r="A14607" s="2">
        <v>2021.0</v>
      </c>
      <c r="B14607" s="2" t="s">
        <v>56648</v>
      </c>
      <c r="C14607" s="2" t="s">
        <v>56649</v>
      </c>
      <c r="D14607" s="2" t="str">
        <f>"9196715896"</f>
        <v>9196715896</v>
      </c>
      <c r="E14607" s="2" t="s">
        <v>18465</v>
      </c>
      <c r="F14607" s="2" t="s">
        <v>56650</v>
      </c>
      <c r="G14607" s="2" t="str">
        <f>"SR-21359"</f>
        <v>SR-21359</v>
      </c>
      <c r="H14607" s="2" t="s">
        <v>56651</v>
      </c>
      <c r="I14607" s="2" t="s">
        <v>56652</v>
      </c>
      <c r="K14607" s="2" t="s">
        <v>44063</v>
      </c>
      <c r="L14607" s="2" t="s">
        <v>20</v>
      </c>
      <c r="M14607" s="2">
        <v>27587.0</v>
      </c>
      <c r="N14607" s="2" t="s">
        <v>21</v>
      </c>
    </row>
    <row r="14608" ht="15.75" customHeight="1">
      <c r="A14608" s="2">
        <v>2021.0</v>
      </c>
      <c r="B14608" s="2" t="s">
        <v>56648</v>
      </c>
      <c r="C14608" s="2" t="s">
        <v>56653</v>
      </c>
      <c r="D14608" s="2" t="str">
        <f>"9194537167"</f>
        <v>9194537167</v>
      </c>
      <c r="E14608" s="2" t="s">
        <v>56540</v>
      </c>
      <c r="F14608" s="2" t="s">
        <v>56650</v>
      </c>
      <c r="G14608" s="2" t="str">
        <f>"SR-21361"</f>
        <v>SR-21361</v>
      </c>
      <c r="H14608" s="2" t="s">
        <v>56654</v>
      </c>
      <c r="I14608" s="2" t="s">
        <v>56652</v>
      </c>
      <c r="K14608" s="2" t="s">
        <v>44063</v>
      </c>
      <c r="L14608" s="2" t="s">
        <v>20</v>
      </c>
      <c r="M14608" s="2">
        <v>27587.0</v>
      </c>
      <c r="N14608" s="2" t="s">
        <v>21</v>
      </c>
    </row>
    <row r="14609" ht="15.75" customHeight="1">
      <c r="A14609" s="2">
        <v>2021.0</v>
      </c>
      <c r="B14609" s="2" t="s">
        <v>56655</v>
      </c>
      <c r="C14609" s="2" t="s">
        <v>56656</v>
      </c>
      <c r="D14609" s="2" t="str">
        <f>"3053106730"</f>
        <v>3053106730</v>
      </c>
      <c r="E14609" s="2" t="s">
        <v>43735</v>
      </c>
      <c r="F14609" s="2" t="s">
        <v>56657</v>
      </c>
      <c r="G14609" s="2" t="str">
        <f>"SR-21363"</f>
        <v>SR-21363</v>
      </c>
      <c r="H14609" s="2" t="s">
        <v>56658</v>
      </c>
      <c r="I14609" s="2" t="s">
        <v>56659</v>
      </c>
      <c r="K14609" s="2" t="s">
        <v>56660</v>
      </c>
      <c r="L14609" s="2" t="s">
        <v>208</v>
      </c>
      <c r="M14609" s="2">
        <v>33139.0</v>
      </c>
      <c r="N14609" s="2" t="s">
        <v>21</v>
      </c>
    </row>
    <row r="14610" ht="15.75" customHeight="1">
      <c r="A14610" s="2">
        <v>2021.0</v>
      </c>
      <c r="B14610" s="2" t="s">
        <v>52830</v>
      </c>
      <c r="C14610" s="2" t="s">
        <v>52831</v>
      </c>
      <c r="D14610" s="2" t="str">
        <f>"9368243067"</f>
        <v>9368243067</v>
      </c>
      <c r="E14610" s="2" t="s">
        <v>955</v>
      </c>
      <c r="F14610" s="2" t="s">
        <v>52832</v>
      </c>
      <c r="G14610" s="2" t="str">
        <f>"SR-18783"</f>
        <v>SR-18783</v>
      </c>
      <c r="H14610" s="2" t="s">
        <v>52833</v>
      </c>
      <c r="I14610" s="2" t="s">
        <v>52834</v>
      </c>
      <c r="K14610" s="2" t="s">
        <v>7113</v>
      </c>
      <c r="L14610" s="2" t="s">
        <v>172</v>
      </c>
      <c r="M14610" s="2">
        <v>75901.0</v>
      </c>
      <c r="N14610" s="2" t="s">
        <v>21</v>
      </c>
    </row>
    <row r="14611" ht="15.75" customHeight="1">
      <c r="A14611" s="2">
        <v>2021.0</v>
      </c>
      <c r="B14611" s="2" t="s">
        <v>50989</v>
      </c>
      <c r="C14611" s="2" t="s">
        <v>50990</v>
      </c>
      <c r="D14611" s="2" t="str">
        <f>"7194938360"</f>
        <v>7194938360</v>
      </c>
      <c r="E14611" s="2" t="s">
        <v>225</v>
      </c>
      <c r="F14611" s="2" t="s">
        <v>50991</v>
      </c>
      <c r="G14611" s="2" t="str">
        <f>"SR-18202"</f>
        <v>SR-18202</v>
      </c>
      <c r="H14611" s="2" t="s">
        <v>50992</v>
      </c>
      <c r="I14611" s="2" t="s">
        <v>50993</v>
      </c>
      <c r="K14611" s="2" t="s">
        <v>507</v>
      </c>
      <c r="L14611" s="2" t="s">
        <v>157</v>
      </c>
      <c r="M14611" s="2">
        <v>80132.0</v>
      </c>
      <c r="N14611" s="2" t="s">
        <v>21</v>
      </c>
    </row>
    <row r="14612" ht="15.75" customHeight="1">
      <c r="A14612" s="2">
        <v>2021.0</v>
      </c>
      <c r="B14612" s="2" t="s">
        <v>56661</v>
      </c>
      <c r="C14612" s="2" t="s">
        <v>56662</v>
      </c>
      <c r="D14612" s="2" t="str">
        <f>"512-364-2149"</f>
        <v>512-364-2149</v>
      </c>
      <c r="E14612" s="2" t="s">
        <v>301</v>
      </c>
      <c r="F14612" s="2" t="s">
        <v>1040</v>
      </c>
      <c r="G14612" s="2" t="str">
        <f>"SR-21365"</f>
        <v>SR-21365</v>
      </c>
      <c r="H14612" s="2" t="s">
        <v>56663</v>
      </c>
      <c r="I14612" s="2" t="s">
        <v>56664</v>
      </c>
      <c r="K14612" s="2" t="s">
        <v>1141</v>
      </c>
      <c r="L14612" s="2" t="s">
        <v>172</v>
      </c>
      <c r="M14612" s="2">
        <v>78735.0</v>
      </c>
      <c r="N14612" s="2" t="s">
        <v>21</v>
      </c>
    </row>
    <row r="14613" ht="15.75" customHeight="1">
      <c r="A14613" s="2">
        <v>2021.0</v>
      </c>
      <c r="B14613" s="2" t="s">
        <v>56661</v>
      </c>
      <c r="C14613" s="2" t="s">
        <v>56665</v>
      </c>
      <c r="D14613" s="2" t="str">
        <f>"7377041645"</f>
        <v>7377041645</v>
      </c>
      <c r="E14613" s="2" t="s">
        <v>373</v>
      </c>
      <c r="F14613" s="2" t="s">
        <v>1040</v>
      </c>
      <c r="G14613" s="2" t="str">
        <f>"SR-21366"</f>
        <v>SR-21366</v>
      </c>
      <c r="H14613" s="2" t="s">
        <v>56666</v>
      </c>
      <c r="I14613" s="2" t="s">
        <v>56664</v>
      </c>
      <c r="K14613" s="2" t="s">
        <v>1141</v>
      </c>
      <c r="L14613" s="2" t="s">
        <v>172</v>
      </c>
      <c r="M14613" s="2">
        <v>78735.0</v>
      </c>
      <c r="N14613" s="2" t="s">
        <v>21</v>
      </c>
    </row>
    <row r="14614" ht="15.75" customHeight="1">
      <c r="A14614" s="2">
        <v>2021.0</v>
      </c>
      <c r="B14614" s="2" t="s">
        <v>40127</v>
      </c>
      <c r="C14614" s="2" t="s">
        <v>56667</v>
      </c>
      <c r="D14614" s="2" t="str">
        <f>"12525038319"</f>
        <v>12525038319</v>
      </c>
      <c r="E14614" s="2" t="s">
        <v>56668</v>
      </c>
      <c r="F14614" s="2" t="s">
        <v>40129</v>
      </c>
      <c r="G14614" s="2" t="str">
        <f>"SR-21367"</f>
        <v>SR-21367</v>
      </c>
      <c r="H14614" s="2" t="s">
        <v>56669</v>
      </c>
      <c r="I14614" s="2" t="s">
        <v>40131</v>
      </c>
      <c r="K14614" s="2" t="s">
        <v>40132</v>
      </c>
      <c r="L14614" s="2" t="s">
        <v>20</v>
      </c>
      <c r="M14614" s="2">
        <v>28584.0</v>
      </c>
      <c r="N14614" s="2" t="s">
        <v>21</v>
      </c>
    </row>
    <row r="14615" ht="15.75" customHeight="1">
      <c r="A14615" s="2">
        <v>2021.0</v>
      </c>
      <c r="B14615" s="2" t="s">
        <v>56670</v>
      </c>
      <c r="C14615" s="2" t="s">
        <v>56671</v>
      </c>
      <c r="D14615" s="2" t="str">
        <f>"9122933135"</f>
        <v>9122933135</v>
      </c>
      <c r="E14615" s="2" t="s">
        <v>56672</v>
      </c>
      <c r="F14615" s="2" t="s">
        <v>2667</v>
      </c>
      <c r="G14615" s="2" t="str">
        <f>"SR-21269"</f>
        <v>SR-21269</v>
      </c>
      <c r="H14615" s="2" t="s">
        <v>56673</v>
      </c>
      <c r="I14615" s="2" t="s">
        <v>56674</v>
      </c>
      <c r="K14615" s="2" t="s">
        <v>6817</v>
      </c>
      <c r="L14615" s="2" t="s">
        <v>200</v>
      </c>
      <c r="M14615" s="2">
        <v>30474.0</v>
      </c>
      <c r="N14615" s="2" t="s">
        <v>21</v>
      </c>
    </row>
    <row r="14616" ht="15.75" customHeight="1">
      <c r="A14616" s="2">
        <v>2021.0</v>
      </c>
      <c r="B14616" s="2" t="s">
        <v>56675</v>
      </c>
      <c r="C14616" s="2" t="s">
        <v>56676</v>
      </c>
      <c r="D14616" s="2" t="str">
        <f>"918813347"</f>
        <v>918813347</v>
      </c>
      <c r="E14616" s="2" t="s">
        <v>9924</v>
      </c>
      <c r="F14616" s="2" t="s">
        <v>1170</v>
      </c>
      <c r="G14616" s="2" t="str">
        <f>"SR-21353"</f>
        <v>SR-21353</v>
      </c>
      <c r="H14616" s="2" t="s">
        <v>56677</v>
      </c>
      <c r="I14616" s="2" t="s">
        <v>56678</v>
      </c>
      <c r="K14616" s="2" t="s">
        <v>56679</v>
      </c>
      <c r="L14616" s="2" t="s">
        <v>840</v>
      </c>
      <c r="M14616" s="2">
        <v>74401.0</v>
      </c>
      <c r="N14616" s="2" t="s">
        <v>21</v>
      </c>
    </row>
    <row r="14617" ht="15.75" customHeight="1">
      <c r="A14617" s="2">
        <v>2021.0</v>
      </c>
      <c r="B14617" s="2" t="s">
        <v>51855</v>
      </c>
      <c r="C14617" s="2" t="s">
        <v>51856</v>
      </c>
      <c r="D14617" s="2" t="str">
        <f>"615-5218463"</f>
        <v>615-5218463</v>
      </c>
      <c r="E14617" s="2" t="s">
        <v>2243</v>
      </c>
      <c r="F14617" s="2" t="s">
        <v>29481</v>
      </c>
      <c r="G14617" s="2" t="str">
        <f>"SR-18531"</f>
        <v>SR-18531</v>
      </c>
      <c r="H14617" s="2" t="s">
        <v>51857</v>
      </c>
      <c r="I14617" s="2" t="s">
        <v>51858</v>
      </c>
      <c r="K14617" s="2" t="s">
        <v>12405</v>
      </c>
      <c r="L14617" s="2" t="s">
        <v>279</v>
      </c>
      <c r="M14617" s="2">
        <v>37129.0</v>
      </c>
      <c r="N14617" s="2" t="s">
        <v>21</v>
      </c>
    </row>
    <row r="14618" ht="15.75" customHeight="1">
      <c r="A14618" s="2">
        <v>2021.0</v>
      </c>
      <c r="B14618" s="2" t="s">
        <v>56680</v>
      </c>
      <c r="C14618" s="2" t="s">
        <v>56681</v>
      </c>
      <c r="D14618" s="2" t="str">
        <f>"7194585561"</f>
        <v>7194585561</v>
      </c>
      <c r="E14618" s="2" t="s">
        <v>1664</v>
      </c>
      <c r="F14618" s="2" t="s">
        <v>35089</v>
      </c>
      <c r="G14618" s="2" t="str">
        <f>"SR-21370"</f>
        <v>SR-21370</v>
      </c>
      <c r="H14618" s="2" t="s">
        <v>56682</v>
      </c>
      <c r="I14618" s="2" t="s">
        <v>56683</v>
      </c>
      <c r="K14618" s="2" t="s">
        <v>809</v>
      </c>
      <c r="L14618" s="2" t="s">
        <v>157</v>
      </c>
      <c r="M14618" s="2">
        <v>80921.0</v>
      </c>
      <c r="N14618" s="2" t="s">
        <v>21</v>
      </c>
    </row>
    <row r="14619" ht="15.75" customHeight="1">
      <c r="A14619" s="2">
        <v>2021.0</v>
      </c>
      <c r="B14619" s="2" t="s">
        <v>53947</v>
      </c>
      <c r="C14619" s="2" t="s">
        <v>53948</v>
      </c>
      <c r="D14619" s="2" t="str">
        <f>"9712392959"</f>
        <v>9712392959</v>
      </c>
      <c r="E14619" s="2" t="s">
        <v>15112</v>
      </c>
      <c r="F14619" s="2" t="s">
        <v>53949</v>
      </c>
      <c r="G14619" s="2" t="str">
        <f>"SR-19467"</f>
        <v>SR-19467</v>
      </c>
      <c r="H14619" s="2" t="s">
        <v>53950</v>
      </c>
      <c r="I14619" s="2" t="s">
        <v>53951</v>
      </c>
      <c r="K14619" s="2" t="s">
        <v>5131</v>
      </c>
      <c r="L14619" s="2" t="s">
        <v>2389</v>
      </c>
      <c r="M14619" s="2">
        <v>97317.0</v>
      </c>
      <c r="N14619" s="2" t="s">
        <v>21</v>
      </c>
    </row>
    <row r="14620" ht="15.75" customHeight="1">
      <c r="A14620" s="2">
        <v>2021.0</v>
      </c>
      <c r="B14620" s="2" t="s">
        <v>56684</v>
      </c>
      <c r="C14620" s="2" t="s">
        <v>56684</v>
      </c>
      <c r="D14620" s="2" t="str">
        <f>"682-262-9701"</f>
        <v>682-262-9701</v>
      </c>
      <c r="E14620" s="2" t="s">
        <v>10566</v>
      </c>
      <c r="F14620" s="2" t="s">
        <v>18477</v>
      </c>
      <c r="G14620" s="2" t="str">
        <f>"SR-19015"</f>
        <v>SR-19015</v>
      </c>
      <c r="H14620" s="2" t="s">
        <v>56685</v>
      </c>
      <c r="I14620" s="2" t="s">
        <v>34404</v>
      </c>
      <c r="K14620" s="2" t="s">
        <v>34405</v>
      </c>
      <c r="L14620" s="2" t="s">
        <v>172</v>
      </c>
      <c r="M14620" s="2">
        <v>76020.0</v>
      </c>
      <c r="N14620" s="2" t="s">
        <v>21</v>
      </c>
    </row>
    <row r="14621" ht="15.75" customHeight="1">
      <c r="A14621" s="2">
        <v>2021.0</v>
      </c>
      <c r="B14621" s="2" t="s">
        <v>56686</v>
      </c>
      <c r="C14621" s="2" t="s">
        <v>56687</v>
      </c>
      <c r="D14621" s="2" t="str">
        <f>"5039643205"</f>
        <v>5039643205</v>
      </c>
      <c r="E14621" s="2" t="s">
        <v>1076</v>
      </c>
      <c r="F14621" s="2" t="s">
        <v>1533</v>
      </c>
      <c r="G14621" s="2" t="str">
        <f>"SR-20862"</f>
        <v>SR-20862</v>
      </c>
      <c r="H14621" s="2" t="s">
        <v>52646</v>
      </c>
      <c r="I14621" s="2" t="s">
        <v>56688</v>
      </c>
      <c r="K14621" s="2" t="s">
        <v>7370</v>
      </c>
      <c r="L14621" s="2" t="s">
        <v>2389</v>
      </c>
      <c r="M14621" s="2">
        <v>97045.0</v>
      </c>
      <c r="N14621" s="2" t="s">
        <v>21</v>
      </c>
    </row>
    <row r="14622" ht="15.75" customHeight="1">
      <c r="A14622" s="2">
        <v>2021.0</v>
      </c>
      <c r="B14622" s="2" t="s">
        <v>39091</v>
      </c>
      <c r="C14622" s="2" t="s">
        <v>39091</v>
      </c>
      <c r="D14622" s="2" t="str">
        <f>"4422079975"</f>
        <v>4422079975</v>
      </c>
      <c r="E14622" s="2" t="s">
        <v>50295</v>
      </c>
      <c r="F14622" s="2" t="s">
        <v>962</v>
      </c>
      <c r="G14622" s="2" t="str">
        <f>"SR-17960"</f>
        <v>SR-17960</v>
      </c>
      <c r="H14622" s="2" t="s">
        <v>50296</v>
      </c>
      <c r="I14622" s="2" t="s">
        <v>39094</v>
      </c>
      <c r="K14622" s="2" t="s">
        <v>22462</v>
      </c>
      <c r="L14622" s="2" t="s">
        <v>222</v>
      </c>
      <c r="M14622" s="2">
        <v>92028.0</v>
      </c>
      <c r="N14622" s="2" t="s">
        <v>21</v>
      </c>
    </row>
    <row r="14623" ht="15.75" customHeight="1">
      <c r="A14623" s="2">
        <v>2021.0</v>
      </c>
      <c r="B14623" s="2" t="s">
        <v>56689</v>
      </c>
      <c r="C14623" s="2" t="s">
        <v>56690</v>
      </c>
      <c r="D14623" s="2" t="str">
        <f>"(239) 450-8832"</f>
        <v>(239) 450-8832</v>
      </c>
      <c r="E14623" s="2" t="s">
        <v>6266</v>
      </c>
      <c r="F14623" s="2" t="s">
        <v>11248</v>
      </c>
      <c r="G14623" s="2" t="str">
        <f>"SR-21376"</f>
        <v>SR-21376</v>
      </c>
      <c r="H14623" s="2" t="s">
        <v>56691</v>
      </c>
      <c r="I14623" s="2" t="s">
        <v>56692</v>
      </c>
      <c r="K14623" s="2" t="s">
        <v>5046</v>
      </c>
      <c r="L14623" s="2" t="s">
        <v>208</v>
      </c>
      <c r="M14623" s="2">
        <v>34116.0</v>
      </c>
      <c r="N14623" s="2" t="s">
        <v>21</v>
      </c>
    </row>
    <row r="14624" ht="15.75" customHeight="1">
      <c r="A14624" s="2">
        <v>2021.0</v>
      </c>
      <c r="B14624" s="2" t="s">
        <v>56693</v>
      </c>
      <c r="C14624" s="2" t="s">
        <v>56693</v>
      </c>
      <c r="D14624" s="2" t="str">
        <f>"9728167919"</f>
        <v>9728167919</v>
      </c>
      <c r="E14624" s="2" t="s">
        <v>56694</v>
      </c>
      <c r="F14624" s="2" t="s">
        <v>56695</v>
      </c>
      <c r="G14624" s="2" t="str">
        <f>"SR-21220"</f>
        <v>SR-21220</v>
      </c>
      <c r="H14624" s="2" t="s">
        <v>56696</v>
      </c>
      <c r="I14624" s="2" t="s">
        <v>56697</v>
      </c>
      <c r="K14624" s="2" t="s">
        <v>56698</v>
      </c>
      <c r="L14624" s="2" t="s">
        <v>172</v>
      </c>
      <c r="M14624" s="2">
        <v>76208.0</v>
      </c>
      <c r="N14624" s="2" t="s">
        <v>21</v>
      </c>
    </row>
    <row r="14625" ht="15.75" customHeight="1">
      <c r="A14625" s="2">
        <v>2021.0</v>
      </c>
      <c r="B14625" s="2" t="s">
        <v>56699</v>
      </c>
      <c r="C14625" s="2" t="s">
        <v>56700</v>
      </c>
      <c r="D14625" s="2" t="str">
        <f>"480-688-6528"</f>
        <v>480-688-6528</v>
      </c>
      <c r="E14625" s="2" t="s">
        <v>9010</v>
      </c>
      <c r="F14625" s="2" t="s">
        <v>56701</v>
      </c>
      <c r="G14625" s="2" t="str">
        <f>"SR-21381"</f>
        <v>SR-21381</v>
      </c>
      <c r="H14625" s="2" t="s">
        <v>56702</v>
      </c>
      <c r="I14625" s="2" t="s">
        <v>56703</v>
      </c>
      <c r="K14625" s="2" t="s">
        <v>9390</v>
      </c>
      <c r="L14625" s="2" t="s">
        <v>422</v>
      </c>
      <c r="M14625" s="2">
        <v>85284.0</v>
      </c>
      <c r="N14625" s="2" t="s">
        <v>21</v>
      </c>
    </row>
    <row r="14626" ht="15.75" customHeight="1">
      <c r="A14626" s="2">
        <v>2021.0</v>
      </c>
      <c r="B14626" s="2" t="s">
        <v>56699</v>
      </c>
      <c r="C14626" s="2" t="s">
        <v>56704</v>
      </c>
      <c r="D14626" s="2" t="str">
        <f>"602-290-2320"</f>
        <v>602-290-2320</v>
      </c>
      <c r="E14626" s="2" t="s">
        <v>2760</v>
      </c>
      <c r="F14626" s="2" t="s">
        <v>56701</v>
      </c>
      <c r="G14626" s="2" t="str">
        <f>"SR-21382"</f>
        <v>SR-21382</v>
      </c>
      <c r="H14626" s="2" t="s">
        <v>56705</v>
      </c>
      <c r="I14626" s="2" t="s">
        <v>56703</v>
      </c>
      <c r="K14626" s="2" t="s">
        <v>9390</v>
      </c>
      <c r="L14626" s="2" t="s">
        <v>422</v>
      </c>
      <c r="M14626" s="2">
        <v>85284.0</v>
      </c>
      <c r="N14626" s="2" t="s">
        <v>21</v>
      </c>
    </row>
    <row r="14627" ht="15.75" customHeight="1">
      <c r="A14627" s="2">
        <v>2021.0</v>
      </c>
      <c r="B14627" s="2" t="s">
        <v>56706</v>
      </c>
      <c r="C14627" s="2" t="s">
        <v>56706</v>
      </c>
      <c r="D14627" s="2" t="str">
        <f>"2143058778"</f>
        <v>2143058778</v>
      </c>
      <c r="E14627" s="2" t="s">
        <v>4968</v>
      </c>
      <c r="F14627" s="2" t="s">
        <v>5637</v>
      </c>
      <c r="G14627" s="2" t="str">
        <f>"SR-19136"</f>
        <v>SR-19136</v>
      </c>
      <c r="H14627" s="2" t="s">
        <v>56707</v>
      </c>
      <c r="I14627" s="2" t="s">
        <v>56708</v>
      </c>
      <c r="K14627" s="2" t="s">
        <v>1255</v>
      </c>
      <c r="L14627" s="2" t="s">
        <v>172</v>
      </c>
      <c r="M14627" s="2">
        <v>75229.0</v>
      </c>
      <c r="N14627" s="2" t="s">
        <v>21</v>
      </c>
    </row>
    <row r="14628" ht="15.75" customHeight="1">
      <c r="A14628" s="2">
        <v>2021.0</v>
      </c>
      <c r="B14628" s="2" t="s">
        <v>56709</v>
      </c>
      <c r="C14628" s="2" t="s">
        <v>56710</v>
      </c>
      <c r="D14628" s="2" t="str">
        <f>"8055704559"</f>
        <v>8055704559</v>
      </c>
      <c r="E14628" s="2" t="s">
        <v>13027</v>
      </c>
      <c r="F14628" s="2" t="s">
        <v>7797</v>
      </c>
      <c r="G14628" s="2" t="str">
        <f>"SR-21387"</f>
        <v>SR-21387</v>
      </c>
      <c r="H14628" s="2" t="s">
        <v>56711</v>
      </c>
      <c r="I14628" s="2" t="s">
        <v>56712</v>
      </c>
      <c r="K14628" s="2" t="s">
        <v>16679</v>
      </c>
      <c r="L14628" s="2" t="s">
        <v>222</v>
      </c>
      <c r="M14628" s="2">
        <v>93013.0</v>
      </c>
      <c r="N14628" s="2" t="s">
        <v>21</v>
      </c>
    </row>
    <row r="14629" ht="15.75" customHeight="1">
      <c r="A14629" s="2">
        <v>2021.0</v>
      </c>
      <c r="B14629" s="2" t="s">
        <v>51230</v>
      </c>
      <c r="D14629" s="2" t="str">
        <f>""</f>
        <v/>
      </c>
      <c r="E14629" s="2" t="s">
        <v>167</v>
      </c>
      <c r="F14629" s="2" t="s">
        <v>51231</v>
      </c>
      <c r="G14629" s="2" t="str">
        <f>"SR-18294"</f>
        <v>SR-18294</v>
      </c>
      <c r="H14629" s="2" t="s">
        <v>51232</v>
      </c>
    </row>
    <row r="14630" ht="15.75" customHeight="1">
      <c r="A14630" s="2">
        <v>2021.0</v>
      </c>
      <c r="B14630" s="2" t="s">
        <v>56713</v>
      </c>
      <c r="C14630" s="2" t="s">
        <v>56714</v>
      </c>
      <c r="D14630" s="2" t="str">
        <f>"660.442.6592"</f>
        <v>660.442.6592</v>
      </c>
      <c r="E14630" s="2" t="s">
        <v>8080</v>
      </c>
      <c r="F14630" s="2" t="s">
        <v>56715</v>
      </c>
      <c r="G14630" s="2" t="str">
        <f>"SR-21389"</f>
        <v>SR-21389</v>
      </c>
      <c r="H14630" s="2" t="s">
        <v>56716</v>
      </c>
      <c r="I14630" s="2" t="s">
        <v>56717</v>
      </c>
      <c r="K14630" s="2" t="s">
        <v>8427</v>
      </c>
      <c r="L14630" s="2" t="s">
        <v>214</v>
      </c>
      <c r="M14630" s="2">
        <v>64437.0</v>
      </c>
      <c r="N14630" s="2" t="s">
        <v>21</v>
      </c>
    </row>
    <row r="14631" ht="15.75" customHeight="1">
      <c r="A14631" s="2">
        <v>2021.0</v>
      </c>
      <c r="B14631" s="2" t="s">
        <v>56718</v>
      </c>
      <c r="C14631" s="2" t="s">
        <v>56719</v>
      </c>
      <c r="D14631" s="2" t="str">
        <f>"7634438509"</f>
        <v>7634438509</v>
      </c>
      <c r="E14631" s="2" t="s">
        <v>56720</v>
      </c>
      <c r="F14631" s="2" t="s">
        <v>56721</v>
      </c>
      <c r="G14631" s="2" t="str">
        <f>"SR-21390"</f>
        <v>SR-21390</v>
      </c>
      <c r="H14631" s="2" t="s">
        <v>56722</v>
      </c>
      <c r="I14631" s="2">
        <v>1700.0</v>
      </c>
      <c r="J14631" s="2" t="s">
        <v>56723</v>
      </c>
      <c r="K14631" s="2" t="s">
        <v>16624</v>
      </c>
      <c r="L14631" s="2" t="s">
        <v>62</v>
      </c>
      <c r="M14631" s="2">
        <v>55112.0</v>
      </c>
      <c r="N14631" s="2" t="s">
        <v>21</v>
      </c>
    </row>
    <row r="14632" ht="15.75" customHeight="1">
      <c r="A14632" s="2">
        <v>2021.0</v>
      </c>
      <c r="B14632" s="2" t="s">
        <v>56724</v>
      </c>
      <c r="C14632" s="2" t="s">
        <v>56725</v>
      </c>
      <c r="D14632" s="2" t="str">
        <f>"2342142865"</f>
        <v>2342142865</v>
      </c>
      <c r="E14632" s="2" t="s">
        <v>29505</v>
      </c>
      <c r="F14632" s="2" t="s">
        <v>1045</v>
      </c>
      <c r="G14632" s="2" t="str">
        <f>"SR-21392"</f>
        <v>SR-21392</v>
      </c>
      <c r="H14632" s="2" t="s">
        <v>56726</v>
      </c>
      <c r="I14632" s="2" t="s">
        <v>56727</v>
      </c>
      <c r="K14632" s="2" t="s">
        <v>5288</v>
      </c>
      <c r="L14632" s="2" t="s">
        <v>344</v>
      </c>
      <c r="M14632" s="2">
        <v>44641.0</v>
      </c>
      <c r="N14632" s="2" t="s">
        <v>21</v>
      </c>
    </row>
    <row r="14633" ht="15.75" customHeight="1">
      <c r="A14633" s="2">
        <v>2021.0</v>
      </c>
      <c r="B14633" s="2" t="s">
        <v>56728</v>
      </c>
      <c r="C14633" s="2" t="s">
        <v>56729</v>
      </c>
      <c r="D14633" s="2" t="str">
        <f>"7196196134"</f>
        <v>7196196134</v>
      </c>
      <c r="E14633" s="2" t="s">
        <v>29076</v>
      </c>
      <c r="F14633" s="2" t="s">
        <v>37146</v>
      </c>
      <c r="G14633" s="2" t="str">
        <f>"SR-21393"</f>
        <v>SR-21393</v>
      </c>
      <c r="H14633" s="2" t="s">
        <v>56730</v>
      </c>
      <c r="I14633" s="2" t="s">
        <v>56731</v>
      </c>
      <c r="K14633" s="2" t="s">
        <v>1127</v>
      </c>
      <c r="L14633" s="2" t="s">
        <v>157</v>
      </c>
      <c r="M14633" s="2">
        <v>80814.0</v>
      </c>
      <c r="N14633" s="2" t="s">
        <v>21</v>
      </c>
    </row>
    <row r="14634" ht="15.75" customHeight="1">
      <c r="A14634" s="2">
        <v>2021.0</v>
      </c>
      <c r="B14634" s="2" t="s">
        <v>50779</v>
      </c>
      <c r="C14634" s="2" t="s">
        <v>50780</v>
      </c>
      <c r="D14634" s="2" t="str">
        <f>"815-709-9432"</f>
        <v>815-709-9432</v>
      </c>
      <c r="E14634" s="2" t="s">
        <v>1208</v>
      </c>
      <c r="F14634" s="2" t="s">
        <v>10840</v>
      </c>
      <c r="G14634" s="2" t="str">
        <f>"SR-18122"</f>
        <v>SR-18122</v>
      </c>
      <c r="H14634" s="2" t="s">
        <v>50781</v>
      </c>
      <c r="I14634" s="2" t="s">
        <v>50782</v>
      </c>
      <c r="K14634" s="2" t="s">
        <v>12153</v>
      </c>
      <c r="L14634" s="2" t="s">
        <v>149</v>
      </c>
      <c r="M14634" s="2">
        <v>47553.0</v>
      </c>
      <c r="N14634" s="2" t="s">
        <v>21</v>
      </c>
    </row>
    <row r="14635" ht="15.75" customHeight="1">
      <c r="A14635" s="2">
        <v>2021.0</v>
      </c>
      <c r="B14635" s="2" t="s">
        <v>56732</v>
      </c>
      <c r="C14635" s="2" t="s">
        <v>56732</v>
      </c>
      <c r="D14635" s="2" t="str">
        <f>"2398601037"</f>
        <v>2398601037</v>
      </c>
      <c r="E14635" s="2" t="s">
        <v>32615</v>
      </c>
      <c r="F14635" s="2" t="s">
        <v>56733</v>
      </c>
      <c r="G14635" s="2" t="str">
        <f>"SR-21394"</f>
        <v>SR-21394</v>
      </c>
      <c r="H14635" s="2" t="s">
        <v>56734</v>
      </c>
      <c r="I14635" s="2" t="s">
        <v>56735</v>
      </c>
      <c r="K14635" s="2" t="s">
        <v>5046</v>
      </c>
      <c r="L14635" s="2" t="s">
        <v>208</v>
      </c>
      <c r="M14635" s="2">
        <v>34119.0</v>
      </c>
      <c r="N14635" s="2" t="s">
        <v>21</v>
      </c>
    </row>
    <row r="14636" ht="15.75" customHeight="1">
      <c r="A14636" s="2">
        <v>2021.0</v>
      </c>
      <c r="B14636" s="2" t="s">
        <v>56736</v>
      </c>
      <c r="C14636" s="2" t="s">
        <v>56737</v>
      </c>
      <c r="D14636" s="2" t="str">
        <f>"208-585-1700"</f>
        <v>208-585-1700</v>
      </c>
      <c r="E14636" s="2" t="s">
        <v>1548</v>
      </c>
      <c r="F14636" s="2" t="s">
        <v>56738</v>
      </c>
      <c r="G14636" s="2" t="str">
        <f>"SR-21395"</f>
        <v>SR-21395</v>
      </c>
      <c r="H14636" s="2" t="s">
        <v>56739</v>
      </c>
      <c r="I14636" s="2" t="s">
        <v>56740</v>
      </c>
      <c r="K14636" s="2" t="s">
        <v>20485</v>
      </c>
      <c r="L14636" s="2" t="s">
        <v>2613</v>
      </c>
      <c r="M14636" s="2">
        <v>83642.0</v>
      </c>
      <c r="N14636" s="2" t="s">
        <v>21</v>
      </c>
    </row>
    <row r="14637" ht="15.75" customHeight="1">
      <c r="A14637" s="2">
        <v>2021.0</v>
      </c>
      <c r="B14637" s="2" t="s">
        <v>56741</v>
      </c>
      <c r="C14637" s="2" t="s">
        <v>56742</v>
      </c>
      <c r="D14637" s="2" t="str">
        <f>"6154408726"</f>
        <v>6154408726</v>
      </c>
      <c r="E14637" s="2" t="s">
        <v>6170</v>
      </c>
      <c r="F14637" s="2" t="s">
        <v>962</v>
      </c>
      <c r="G14637" s="2" t="str">
        <f>"SR-21398"</f>
        <v>SR-21398</v>
      </c>
      <c r="H14637" s="2" t="s">
        <v>43554</v>
      </c>
      <c r="I14637" s="2" t="s">
        <v>56743</v>
      </c>
      <c r="K14637" s="2" t="s">
        <v>278</v>
      </c>
      <c r="L14637" s="2" t="s">
        <v>279</v>
      </c>
      <c r="M14637" s="2">
        <v>37067.0</v>
      </c>
      <c r="N14637" s="2" t="s">
        <v>21</v>
      </c>
    </row>
    <row r="14638" ht="15.75" customHeight="1">
      <c r="A14638" s="2">
        <v>2021.0</v>
      </c>
      <c r="B14638" s="2" t="s">
        <v>9176</v>
      </c>
      <c r="C14638" s="2" t="s">
        <v>51449</v>
      </c>
      <c r="D14638" s="2" t="str">
        <f>"8588294409"</f>
        <v>8588294409</v>
      </c>
      <c r="E14638" s="2" t="s">
        <v>1761</v>
      </c>
      <c r="F14638" s="2" t="s">
        <v>9178</v>
      </c>
      <c r="G14638" s="2" t="str">
        <f>"SR-18390"</f>
        <v>SR-18390</v>
      </c>
      <c r="H14638" s="2" t="s">
        <v>51450</v>
      </c>
      <c r="I14638" s="2" t="s">
        <v>51451</v>
      </c>
      <c r="K14638" s="2" t="s">
        <v>8250</v>
      </c>
      <c r="L14638" s="2" t="s">
        <v>222</v>
      </c>
      <c r="M14638" s="2">
        <v>92129.0</v>
      </c>
      <c r="N14638" s="2" t="s">
        <v>21</v>
      </c>
    </row>
    <row r="14639" ht="15.75" customHeight="1">
      <c r="A14639" s="2">
        <v>2021.0</v>
      </c>
      <c r="B14639" s="2" t="s">
        <v>56744</v>
      </c>
      <c r="C14639" s="2" t="s">
        <v>56745</v>
      </c>
      <c r="D14639" s="2" t="str">
        <f>"719-452-1889"</f>
        <v>719-452-1889</v>
      </c>
      <c r="E14639" s="2" t="s">
        <v>30453</v>
      </c>
      <c r="F14639" s="2" t="s">
        <v>28869</v>
      </c>
      <c r="G14639" s="2" t="str">
        <f>"SR-21400"</f>
        <v>SR-21400</v>
      </c>
      <c r="H14639" s="2" t="s">
        <v>56746</v>
      </c>
      <c r="I14639" s="2" t="s">
        <v>56747</v>
      </c>
      <c r="K14639" s="2" t="s">
        <v>809</v>
      </c>
      <c r="L14639" s="2" t="s">
        <v>157</v>
      </c>
      <c r="M14639" s="2">
        <v>80911.0</v>
      </c>
      <c r="N14639" s="2" t="s">
        <v>21</v>
      </c>
    </row>
    <row r="14640" ht="15.75" customHeight="1">
      <c r="A14640" s="2">
        <v>2021.0</v>
      </c>
      <c r="B14640" s="2" t="s">
        <v>40889</v>
      </c>
      <c r="C14640" s="2" t="s">
        <v>56748</v>
      </c>
      <c r="D14640" s="2" t="str">
        <f>"616-329-2364"</f>
        <v>616-329-2364</v>
      </c>
      <c r="E14640" s="2" t="s">
        <v>9619</v>
      </c>
      <c r="F14640" s="2" t="s">
        <v>19115</v>
      </c>
      <c r="G14640" s="2" t="str">
        <f>"SR-20906"</f>
        <v>SR-20906</v>
      </c>
      <c r="H14640" s="2" t="s">
        <v>56749</v>
      </c>
      <c r="I14640" s="2" t="s">
        <v>19117</v>
      </c>
      <c r="K14640" s="2" t="s">
        <v>16428</v>
      </c>
      <c r="L14640" s="2" t="s">
        <v>29</v>
      </c>
      <c r="M14640" s="2">
        <v>49426.0</v>
      </c>
      <c r="N14640" s="2" t="s">
        <v>21</v>
      </c>
    </row>
    <row r="14641" ht="15.75" customHeight="1">
      <c r="A14641" s="2">
        <v>2021.0</v>
      </c>
      <c r="B14641" s="2" t="s">
        <v>40889</v>
      </c>
      <c r="C14641" s="2" t="s">
        <v>56750</v>
      </c>
      <c r="D14641" s="2" t="str">
        <f>"6163125652"</f>
        <v>6163125652</v>
      </c>
      <c r="E14641" s="2" t="s">
        <v>18964</v>
      </c>
      <c r="F14641" s="2" t="s">
        <v>19115</v>
      </c>
      <c r="G14641" s="2" t="str">
        <f>"SR-20907"</f>
        <v>SR-20907</v>
      </c>
      <c r="H14641" s="2" t="s">
        <v>56751</v>
      </c>
      <c r="I14641" s="2" t="s">
        <v>19117</v>
      </c>
      <c r="K14641" s="2" t="s">
        <v>16428</v>
      </c>
      <c r="L14641" s="2" t="s">
        <v>29</v>
      </c>
      <c r="M14641" s="2">
        <v>49426.0</v>
      </c>
      <c r="N14641" s="2" t="s">
        <v>21</v>
      </c>
    </row>
    <row r="14642" ht="15.75" customHeight="1">
      <c r="A14642" s="2">
        <v>2021.0</v>
      </c>
      <c r="B14642" s="2" t="s">
        <v>56752</v>
      </c>
      <c r="C14642" s="2" t="s">
        <v>56753</v>
      </c>
      <c r="D14642" s="2" t="str">
        <f>"2145187855"</f>
        <v>2145187855</v>
      </c>
      <c r="E14642" s="2" t="s">
        <v>16650</v>
      </c>
      <c r="F14642" s="2" t="s">
        <v>24289</v>
      </c>
      <c r="G14642" s="2" t="str">
        <f>"SR-21362"</f>
        <v>SR-21362</v>
      </c>
      <c r="H14642" s="2" t="s">
        <v>56754</v>
      </c>
      <c r="I14642" s="2" t="s">
        <v>56755</v>
      </c>
      <c r="K14642" s="2" t="s">
        <v>46438</v>
      </c>
      <c r="L14642" s="2" t="s">
        <v>172</v>
      </c>
      <c r="M14642" s="2">
        <v>75048.0</v>
      </c>
      <c r="N14642" s="2" t="s">
        <v>21</v>
      </c>
    </row>
    <row r="14643" ht="15.75" customHeight="1">
      <c r="A14643" s="2">
        <v>2021.0</v>
      </c>
      <c r="B14643" s="2" t="s">
        <v>56756</v>
      </c>
      <c r="C14643" s="2" t="s">
        <v>56756</v>
      </c>
      <c r="D14643" s="2" t="str">
        <f>"6206179069"</f>
        <v>6206179069</v>
      </c>
      <c r="E14643" s="2" t="s">
        <v>12166</v>
      </c>
      <c r="F14643" s="2" t="s">
        <v>457</v>
      </c>
      <c r="G14643" s="2" t="str">
        <f>"SR-21402"</f>
        <v>SR-21402</v>
      </c>
      <c r="H14643" s="2" t="s">
        <v>56757</v>
      </c>
      <c r="I14643" s="2" t="s">
        <v>13752</v>
      </c>
      <c r="K14643" s="2" t="s">
        <v>13753</v>
      </c>
      <c r="L14643" s="2" t="s">
        <v>272</v>
      </c>
      <c r="M14643" s="2">
        <v>67530.0</v>
      </c>
      <c r="N14643" s="2" t="s">
        <v>21</v>
      </c>
    </row>
    <row r="14644" ht="15.75" customHeight="1">
      <c r="A14644" s="2">
        <v>2021.0</v>
      </c>
      <c r="B14644" s="2" t="s">
        <v>51734</v>
      </c>
      <c r="C14644" s="2" t="s">
        <v>51735</v>
      </c>
      <c r="D14644" s="2" t="str">
        <f>"6024891582"</f>
        <v>6024891582</v>
      </c>
      <c r="E14644" s="2" t="s">
        <v>7145</v>
      </c>
      <c r="F14644" s="2" t="s">
        <v>320</v>
      </c>
      <c r="G14644" s="2" t="str">
        <f>"SR-18423"</f>
        <v>SR-18423</v>
      </c>
      <c r="H14644" s="2" t="s">
        <v>51736</v>
      </c>
      <c r="I14644" s="2" t="s">
        <v>51737</v>
      </c>
      <c r="K14644" s="2" t="s">
        <v>5531</v>
      </c>
      <c r="L14644" s="2" t="s">
        <v>422</v>
      </c>
      <c r="M14644" s="2">
        <v>85215.0</v>
      </c>
      <c r="N14644" s="2" t="s">
        <v>21</v>
      </c>
    </row>
    <row r="14645" ht="15.75" customHeight="1">
      <c r="A14645" s="2">
        <v>2021.0</v>
      </c>
      <c r="B14645" s="2" t="s">
        <v>28844</v>
      </c>
      <c r="C14645" s="2" t="s">
        <v>49734</v>
      </c>
      <c r="D14645" s="2" t="str">
        <f>"(803) 348-6056"</f>
        <v>(803) 348-6056</v>
      </c>
      <c r="E14645" s="2" t="s">
        <v>2010</v>
      </c>
      <c r="F14645" s="2" t="s">
        <v>3301</v>
      </c>
      <c r="G14645" s="2" t="str">
        <f>"SR-17768"</f>
        <v>SR-17768</v>
      </c>
      <c r="H14645" s="2" t="s">
        <v>49735</v>
      </c>
      <c r="I14645" s="2" t="s">
        <v>28847</v>
      </c>
      <c r="K14645" s="2" t="s">
        <v>2750</v>
      </c>
      <c r="L14645" s="2" t="s">
        <v>55</v>
      </c>
      <c r="M14645" s="2">
        <v>29210.0</v>
      </c>
      <c r="N14645" s="2" t="s">
        <v>21</v>
      </c>
    </row>
    <row r="14646" ht="15.75" customHeight="1">
      <c r="A14646" s="2">
        <v>2021.0</v>
      </c>
      <c r="B14646" s="2" t="s">
        <v>51532</v>
      </c>
      <c r="C14646" s="2" t="s">
        <v>51532</v>
      </c>
      <c r="D14646" s="2" t="str">
        <f>"6026335538"</f>
        <v>6026335538</v>
      </c>
      <c r="E14646" s="2" t="s">
        <v>1702</v>
      </c>
      <c r="F14646" s="2" t="s">
        <v>15579</v>
      </c>
      <c r="G14646" s="2" t="str">
        <f>"SR-18429"</f>
        <v>SR-18429</v>
      </c>
      <c r="H14646" s="2" t="s">
        <v>51533</v>
      </c>
      <c r="I14646" s="2" t="s">
        <v>51534</v>
      </c>
      <c r="J14646" s="2" t="s">
        <v>51535</v>
      </c>
      <c r="K14646" s="2" t="s">
        <v>5531</v>
      </c>
      <c r="L14646" s="2" t="s">
        <v>422</v>
      </c>
      <c r="M14646" s="2">
        <v>85213.0</v>
      </c>
      <c r="N14646" s="2" t="s">
        <v>21</v>
      </c>
    </row>
    <row r="14647" ht="15.75" customHeight="1">
      <c r="A14647" s="2">
        <v>2021.0</v>
      </c>
      <c r="B14647" s="2" t="s">
        <v>52730</v>
      </c>
      <c r="C14647" s="2" t="s">
        <v>52730</v>
      </c>
      <c r="D14647" s="2" t="str">
        <f>"239-571-8435"</f>
        <v>239-571-8435</v>
      </c>
      <c r="E14647" s="2" t="s">
        <v>1190</v>
      </c>
      <c r="F14647" s="2" t="s">
        <v>11248</v>
      </c>
      <c r="G14647" s="2" t="str">
        <f>"SR-18833"</f>
        <v>SR-18833</v>
      </c>
      <c r="H14647" s="2" t="s">
        <v>52731</v>
      </c>
      <c r="I14647" s="2" t="s">
        <v>52732</v>
      </c>
      <c r="K14647" s="2" t="s">
        <v>5046</v>
      </c>
      <c r="L14647" s="2" t="s">
        <v>208</v>
      </c>
      <c r="M14647" s="2">
        <v>34116.0</v>
      </c>
      <c r="N14647" s="2" t="s">
        <v>21</v>
      </c>
    </row>
    <row r="14648" ht="15.75" customHeight="1">
      <c r="A14648" s="2">
        <v>2021.0</v>
      </c>
      <c r="B14648" s="2" t="s">
        <v>56758</v>
      </c>
      <c r="C14648" s="2" t="s">
        <v>49760</v>
      </c>
      <c r="D14648" s="2" t="str">
        <f>"352-973-5339"</f>
        <v>352-973-5339</v>
      </c>
      <c r="E14648" s="2" t="s">
        <v>1338</v>
      </c>
      <c r="F14648" s="2" t="s">
        <v>56759</v>
      </c>
      <c r="G14648" s="2" t="str">
        <f>"SR-21368"</f>
        <v>SR-21368</v>
      </c>
      <c r="H14648" s="2" t="s">
        <v>56760</v>
      </c>
      <c r="I14648" s="2" t="s">
        <v>56761</v>
      </c>
      <c r="K14648" s="2" t="s">
        <v>56762</v>
      </c>
      <c r="L14648" s="2" t="s">
        <v>208</v>
      </c>
      <c r="M14648" s="2">
        <v>34731.0</v>
      </c>
      <c r="N14648" s="2" t="s">
        <v>21</v>
      </c>
    </row>
    <row r="14649" ht="15.75" customHeight="1">
      <c r="A14649" s="2">
        <v>2021.0</v>
      </c>
      <c r="B14649" s="2" t="s">
        <v>56758</v>
      </c>
      <c r="C14649" s="2" t="s">
        <v>50318</v>
      </c>
      <c r="D14649" s="2" t="str">
        <f>"352-818-7803"</f>
        <v>352-818-7803</v>
      </c>
      <c r="E14649" s="2" t="s">
        <v>19552</v>
      </c>
      <c r="F14649" s="2" t="s">
        <v>56759</v>
      </c>
      <c r="G14649" s="2" t="str">
        <f>"SR-21406"</f>
        <v>SR-21406</v>
      </c>
      <c r="H14649" s="2" t="s">
        <v>56763</v>
      </c>
      <c r="I14649" s="2" t="s">
        <v>56764</v>
      </c>
      <c r="K14649" s="2" t="s">
        <v>56762</v>
      </c>
      <c r="L14649" s="2" t="s">
        <v>208</v>
      </c>
      <c r="M14649" s="2">
        <v>34731.0</v>
      </c>
      <c r="N14649" s="2" t="s">
        <v>21</v>
      </c>
    </row>
    <row r="14650" ht="15.75" customHeight="1">
      <c r="A14650" s="2">
        <v>2021.0</v>
      </c>
      <c r="B14650" s="2" t="s">
        <v>56765</v>
      </c>
      <c r="C14650" s="2" t="s">
        <v>56766</v>
      </c>
      <c r="D14650" s="2" t="str">
        <f>"7199639148"</f>
        <v>7199639148</v>
      </c>
      <c r="E14650" s="2" t="s">
        <v>56767</v>
      </c>
      <c r="F14650" s="2" t="s">
        <v>938</v>
      </c>
      <c r="G14650" s="2" t="str">
        <f>"SR-21323"</f>
        <v>SR-21323</v>
      </c>
      <c r="H14650" s="2" t="s">
        <v>56768</v>
      </c>
      <c r="I14650" s="2" t="s">
        <v>56769</v>
      </c>
      <c r="K14650" s="2" t="s">
        <v>894</v>
      </c>
      <c r="L14650" s="2" t="s">
        <v>157</v>
      </c>
      <c r="M14650" s="2">
        <v>80863.0</v>
      </c>
      <c r="N14650" s="2" t="s">
        <v>21</v>
      </c>
    </row>
    <row r="14651" ht="15.75" customHeight="1">
      <c r="A14651" s="2">
        <v>2021.0</v>
      </c>
      <c r="B14651" s="2" t="s">
        <v>26822</v>
      </c>
      <c r="C14651" s="2" t="s">
        <v>52891</v>
      </c>
      <c r="D14651" s="2" t="str">
        <f>"7079515669"</f>
        <v>7079515669</v>
      </c>
      <c r="E14651" s="2" t="s">
        <v>1434</v>
      </c>
      <c r="F14651" s="2" t="s">
        <v>2598</v>
      </c>
      <c r="G14651" s="2" t="str">
        <f>"SR-16959"</f>
        <v>SR-16959</v>
      </c>
      <c r="H14651" s="2" t="s">
        <v>52892</v>
      </c>
      <c r="I14651" s="2" t="s">
        <v>52893</v>
      </c>
      <c r="K14651" s="2" t="s">
        <v>887</v>
      </c>
      <c r="L14651" s="2" t="s">
        <v>172</v>
      </c>
      <c r="M14651" s="2">
        <v>76063.0</v>
      </c>
      <c r="N14651" s="2" t="s">
        <v>21</v>
      </c>
    </row>
    <row r="14652" ht="15.75" customHeight="1">
      <c r="A14652" s="2">
        <v>2021.0</v>
      </c>
      <c r="B14652" s="2" t="s">
        <v>50673</v>
      </c>
      <c r="C14652" s="2" t="s">
        <v>50674</v>
      </c>
      <c r="D14652" s="2" t="str">
        <f>"979-820-3222"</f>
        <v>979-820-3222</v>
      </c>
      <c r="E14652" s="2" t="s">
        <v>2167</v>
      </c>
      <c r="F14652" s="2" t="s">
        <v>1311</v>
      </c>
      <c r="G14652" s="2" t="str">
        <f>"SR-18090"</f>
        <v>SR-18090</v>
      </c>
      <c r="H14652" s="2" t="s">
        <v>50675</v>
      </c>
      <c r="I14652" s="2" t="s">
        <v>50676</v>
      </c>
      <c r="K14652" s="2" t="s">
        <v>2969</v>
      </c>
      <c r="L14652" s="2" t="s">
        <v>172</v>
      </c>
      <c r="M14652" s="2">
        <v>77845.0</v>
      </c>
      <c r="N14652" s="2" t="s">
        <v>21</v>
      </c>
    </row>
    <row r="14653" ht="15.75" customHeight="1">
      <c r="A14653" s="2">
        <v>2021.0</v>
      </c>
      <c r="B14653" s="2" t="s">
        <v>56770</v>
      </c>
      <c r="C14653" s="2" t="s">
        <v>56771</v>
      </c>
      <c r="D14653" s="2" t="str">
        <f>"830-331-0952"</f>
        <v>830-331-0952</v>
      </c>
      <c r="E14653" s="2" t="s">
        <v>534</v>
      </c>
      <c r="F14653" s="2" t="s">
        <v>56772</v>
      </c>
      <c r="G14653" s="2" t="str">
        <f>"SR-21240"</f>
        <v>SR-21240</v>
      </c>
      <c r="H14653" s="2" t="s">
        <v>56773</v>
      </c>
      <c r="I14653" s="2" t="s">
        <v>56774</v>
      </c>
      <c r="K14653" s="2" t="s">
        <v>2643</v>
      </c>
      <c r="L14653" s="2" t="s">
        <v>172</v>
      </c>
      <c r="M14653" s="2">
        <v>75028.0</v>
      </c>
      <c r="N14653" s="2" t="s">
        <v>21</v>
      </c>
    </row>
    <row r="14654" ht="15.75" customHeight="1">
      <c r="A14654" s="2">
        <v>2021.0</v>
      </c>
      <c r="B14654" s="2" t="s">
        <v>52266</v>
      </c>
      <c r="C14654" s="2" t="s">
        <v>52267</v>
      </c>
      <c r="D14654" s="2" t="str">
        <f>"2149733122"</f>
        <v>2149733122</v>
      </c>
      <c r="E14654" s="2" t="s">
        <v>373</v>
      </c>
      <c r="F14654" s="2" t="s">
        <v>22206</v>
      </c>
      <c r="G14654" s="2" t="str">
        <f>"SR-18679"</f>
        <v>SR-18679</v>
      </c>
      <c r="H14654" s="2" t="s">
        <v>52268</v>
      </c>
      <c r="I14654" s="2" t="s">
        <v>52269</v>
      </c>
      <c r="K14654" s="2" t="s">
        <v>19366</v>
      </c>
      <c r="L14654" s="2" t="s">
        <v>172</v>
      </c>
      <c r="M14654" s="2">
        <v>75032.0</v>
      </c>
      <c r="N14654" s="2" t="s">
        <v>21</v>
      </c>
    </row>
    <row r="14655" ht="15.75" customHeight="1">
      <c r="A14655" s="2">
        <v>2021.0</v>
      </c>
      <c r="B14655" s="2" t="s">
        <v>24746</v>
      </c>
      <c r="C14655" s="2" t="s">
        <v>24747</v>
      </c>
      <c r="D14655" s="2" t="str">
        <f>"6018324306"</f>
        <v>6018324306</v>
      </c>
      <c r="E14655" s="2" t="s">
        <v>2361</v>
      </c>
      <c r="F14655" s="2" t="s">
        <v>24748</v>
      </c>
      <c r="G14655" s="2" t="str">
        <f>"SR-7773"</f>
        <v>SR-7773</v>
      </c>
      <c r="H14655" s="2" t="s">
        <v>24749</v>
      </c>
      <c r="I14655" s="2" t="s">
        <v>24750</v>
      </c>
      <c r="K14655" s="2" t="s">
        <v>1257</v>
      </c>
      <c r="L14655" s="2" t="s">
        <v>1722</v>
      </c>
      <c r="M14655" s="2">
        <v>39202.0</v>
      </c>
      <c r="N14655" s="2" t="s">
        <v>21</v>
      </c>
    </row>
    <row r="14656" ht="15.75" customHeight="1">
      <c r="A14656" s="2">
        <v>2021.0</v>
      </c>
      <c r="B14656" s="2" t="s">
        <v>31069</v>
      </c>
      <c r="C14656" s="2" t="s">
        <v>49783</v>
      </c>
      <c r="D14656" s="2" t="str">
        <f>"360-939-1215"</f>
        <v>360-939-1215</v>
      </c>
      <c r="E14656" s="2" t="s">
        <v>1803</v>
      </c>
      <c r="F14656" s="2" t="s">
        <v>31071</v>
      </c>
      <c r="G14656" s="2" t="str">
        <f>"SR-17787"</f>
        <v>SR-17787</v>
      </c>
      <c r="H14656" s="2" t="s">
        <v>49784</v>
      </c>
      <c r="I14656" s="2" t="s">
        <v>49785</v>
      </c>
      <c r="K14656" s="2" t="s">
        <v>31074</v>
      </c>
      <c r="L14656" s="2" t="s">
        <v>86</v>
      </c>
      <c r="M14656" s="2">
        <v>98331.0</v>
      </c>
      <c r="N14656" s="2" t="s">
        <v>21</v>
      </c>
    </row>
    <row r="14657" ht="15.75" customHeight="1">
      <c r="A14657" s="2">
        <v>2021.0</v>
      </c>
      <c r="B14657" s="2" t="s">
        <v>50410</v>
      </c>
      <c r="C14657" s="2" t="s">
        <v>56775</v>
      </c>
      <c r="D14657" s="2" t="str">
        <f>"828-772-8772"</f>
        <v>828-772-8772</v>
      </c>
      <c r="E14657" s="2" t="s">
        <v>6718</v>
      </c>
      <c r="F14657" s="2" t="s">
        <v>14577</v>
      </c>
      <c r="G14657" s="2" t="str">
        <f>"SR-21408"</f>
        <v>SR-21408</v>
      </c>
      <c r="H14657" s="2" t="s">
        <v>56776</v>
      </c>
      <c r="I14657" s="2" t="s">
        <v>50413</v>
      </c>
      <c r="K14657" s="2" t="s">
        <v>10856</v>
      </c>
      <c r="L14657" s="2" t="s">
        <v>20</v>
      </c>
      <c r="M14657" s="2">
        <v>28607.0</v>
      </c>
      <c r="N14657" s="2" t="s">
        <v>21</v>
      </c>
    </row>
    <row r="14658" ht="15.75" customHeight="1">
      <c r="A14658" s="2">
        <v>2021.0</v>
      </c>
      <c r="B14658" s="2" t="s">
        <v>56777</v>
      </c>
      <c r="C14658" s="2" t="s">
        <v>56778</v>
      </c>
      <c r="D14658" s="2" t="str">
        <f>"8053411836‚Ä¨"</f>
        <v>8053411836‚Ä¨</v>
      </c>
      <c r="E14658" s="2" t="s">
        <v>16505</v>
      </c>
      <c r="F14658" s="2" t="s">
        <v>39402</v>
      </c>
      <c r="G14658" s="2" t="str">
        <f>"SR-21417"</f>
        <v>SR-21417</v>
      </c>
      <c r="H14658" s="2" t="s">
        <v>56779</v>
      </c>
      <c r="I14658" s="2" t="s">
        <v>56780</v>
      </c>
      <c r="J14658" s="2" t="s">
        <v>56781</v>
      </c>
      <c r="K14658" s="2" t="s">
        <v>32423</v>
      </c>
      <c r="L14658" s="2" t="s">
        <v>208</v>
      </c>
      <c r="M14658" s="2">
        <v>33467.0</v>
      </c>
      <c r="N14658" s="2" t="s">
        <v>21</v>
      </c>
    </row>
    <row r="14659" ht="15.75" customHeight="1">
      <c r="A14659" s="2">
        <v>2021.0</v>
      </c>
      <c r="B14659" s="2" t="s">
        <v>56782</v>
      </c>
      <c r="C14659" s="2" t="s">
        <v>56783</v>
      </c>
      <c r="D14659" s="2" t="str">
        <f>"5732314690"</f>
        <v>5732314690</v>
      </c>
      <c r="E14659" s="2" t="s">
        <v>3173</v>
      </c>
      <c r="F14659" s="2" t="s">
        <v>56784</v>
      </c>
      <c r="G14659" s="2" t="str">
        <f>"SR-21419"</f>
        <v>SR-21419</v>
      </c>
      <c r="H14659" s="2" t="s">
        <v>56785</v>
      </c>
      <c r="I14659" s="2" t="s">
        <v>56786</v>
      </c>
      <c r="K14659" s="2" t="s">
        <v>52609</v>
      </c>
      <c r="L14659" s="2" t="s">
        <v>214</v>
      </c>
      <c r="M14659" s="2">
        <v>63401.0</v>
      </c>
      <c r="N14659" s="2" t="s">
        <v>21</v>
      </c>
    </row>
    <row r="14660" ht="15.75" customHeight="1">
      <c r="A14660" s="2">
        <v>2021.0</v>
      </c>
      <c r="B14660" s="2" t="s">
        <v>56787</v>
      </c>
      <c r="C14660" s="2" t="s">
        <v>56787</v>
      </c>
      <c r="D14660" s="2" t="str">
        <f>"5178330263"</f>
        <v>5178330263</v>
      </c>
      <c r="E14660" s="2" t="s">
        <v>10057</v>
      </c>
      <c r="F14660" s="2" t="s">
        <v>56788</v>
      </c>
      <c r="G14660" s="2" t="str">
        <f>"SR-21422"</f>
        <v>SR-21422</v>
      </c>
      <c r="H14660" s="2" t="s">
        <v>56789</v>
      </c>
      <c r="I14660" s="2" t="s">
        <v>56790</v>
      </c>
      <c r="K14660" s="2" t="s">
        <v>5335</v>
      </c>
      <c r="L14660" s="2" t="s">
        <v>29</v>
      </c>
      <c r="M14660" s="2">
        <v>48854.0</v>
      </c>
      <c r="N14660" s="2" t="s">
        <v>21</v>
      </c>
    </row>
    <row r="14661" ht="15.75" customHeight="1">
      <c r="A14661" s="2">
        <v>2021.0</v>
      </c>
      <c r="B14661" s="2" t="s">
        <v>56791</v>
      </c>
      <c r="C14661" s="2" t="s">
        <v>56792</v>
      </c>
      <c r="D14661" s="2" t="str">
        <f>"3372440027"</f>
        <v>3372440027</v>
      </c>
      <c r="E14661" s="2" t="s">
        <v>56793</v>
      </c>
      <c r="F14661" s="2" t="s">
        <v>1325</v>
      </c>
      <c r="G14661" s="2" t="str">
        <f>"SR-21421"</f>
        <v>SR-21421</v>
      </c>
      <c r="H14661" s="2" t="s">
        <v>56794</v>
      </c>
      <c r="I14661" s="2" t="s">
        <v>56795</v>
      </c>
      <c r="K14661" s="2" t="s">
        <v>8005</v>
      </c>
      <c r="L14661" s="2" t="s">
        <v>715</v>
      </c>
      <c r="M14661" s="2">
        <v>70663.0</v>
      </c>
      <c r="N14661" s="2" t="s">
        <v>21</v>
      </c>
    </row>
    <row r="14662" ht="15.75" customHeight="1">
      <c r="A14662" s="2">
        <v>2021.0</v>
      </c>
      <c r="B14662" s="2" t="s">
        <v>56796</v>
      </c>
      <c r="C14662" s="2" t="s">
        <v>56797</v>
      </c>
      <c r="D14662" s="2" t="str">
        <f>"8302780754"</f>
        <v>8302780754</v>
      </c>
      <c r="E14662" s="2" t="s">
        <v>2053</v>
      </c>
      <c r="F14662" s="2" t="s">
        <v>33810</v>
      </c>
      <c r="G14662" s="2" t="str">
        <f>"SR-21219"</f>
        <v>SR-21219</v>
      </c>
      <c r="H14662" s="2" t="s">
        <v>56798</v>
      </c>
      <c r="I14662" s="2" t="s">
        <v>56799</v>
      </c>
      <c r="K14662" s="2" t="s">
        <v>10933</v>
      </c>
      <c r="L14662" s="2" t="s">
        <v>172</v>
      </c>
      <c r="M14662" s="2">
        <v>78801.0</v>
      </c>
      <c r="N14662" s="2" t="s">
        <v>21</v>
      </c>
    </row>
    <row r="14663" ht="15.75" customHeight="1">
      <c r="A14663" s="2">
        <v>2021.0</v>
      </c>
      <c r="B14663" s="2" t="s">
        <v>56796</v>
      </c>
      <c r="C14663" s="2" t="s">
        <v>56800</v>
      </c>
      <c r="D14663" s="2" t="str">
        <f>"8302753677"</f>
        <v>8302753677</v>
      </c>
      <c r="E14663" s="2" t="s">
        <v>56801</v>
      </c>
      <c r="F14663" s="2" t="s">
        <v>33810</v>
      </c>
      <c r="G14663" s="2" t="str">
        <f>"SR-21349"</f>
        <v>SR-21349</v>
      </c>
      <c r="H14663" s="2" t="s">
        <v>56802</v>
      </c>
      <c r="I14663" s="2" t="s">
        <v>56803</v>
      </c>
      <c r="K14663" s="2" t="s">
        <v>10933</v>
      </c>
      <c r="L14663" s="2" t="s">
        <v>172</v>
      </c>
      <c r="M14663" s="2">
        <v>78801.0</v>
      </c>
      <c r="N14663" s="2" t="s">
        <v>21</v>
      </c>
    </row>
    <row r="14664" ht="15.75" customHeight="1">
      <c r="A14664" s="2">
        <v>2021.0</v>
      </c>
      <c r="B14664" s="2" t="s">
        <v>50419</v>
      </c>
      <c r="C14664" s="2" t="s">
        <v>50420</v>
      </c>
      <c r="D14664" s="2" t="str">
        <f>"(832) 334-8872"</f>
        <v>(832) 334-8872</v>
      </c>
      <c r="E14664" s="2" t="s">
        <v>1548</v>
      </c>
      <c r="F14664" s="2" t="s">
        <v>1108</v>
      </c>
      <c r="G14664" s="2" t="str">
        <f>"SR-18015"</f>
        <v>SR-18015</v>
      </c>
      <c r="H14664" s="2" t="s">
        <v>50421</v>
      </c>
      <c r="I14664" s="2" t="s">
        <v>50422</v>
      </c>
      <c r="K14664" s="2" t="s">
        <v>444</v>
      </c>
      <c r="L14664" s="2" t="s">
        <v>172</v>
      </c>
      <c r="M14664" s="2">
        <v>77024.0</v>
      </c>
      <c r="N14664" s="2" t="s">
        <v>21</v>
      </c>
    </row>
    <row r="14665" ht="15.75" customHeight="1">
      <c r="A14665" s="2">
        <v>2021.0</v>
      </c>
      <c r="B14665" s="2" t="s">
        <v>56804</v>
      </c>
      <c r="C14665" s="2" t="s">
        <v>56804</v>
      </c>
      <c r="D14665" s="2" t="str">
        <f>"2566316334"</f>
        <v>2566316334</v>
      </c>
      <c r="E14665" s="2" t="s">
        <v>22433</v>
      </c>
      <c r="F14665" s="2" t="s">
        <v>428</v>
      </c>
      <c r="G14665" s="2" t="str">
        <f>"SR-21425"</f>
        <v>SR-21425</v>
      </c>
      <c r="H14665" s="2" t="s">
        <v>56805</v>
      </c>
      <c r="I14665" s="2" t="s">
        <v>53603</v>
      </c>
      <c r="K14665" s="2" t="s">
        <v>659</v>
      </c>
      <c r="L14665" s="2" t="s">
        <v>539</v>
      </c>
      <c r="M14665" s="2">
        <v>35758.0</v>
      </c>
      <c r="N14665" s="2" t="s">
        <v>21</v>
      </c>
    </row>
    <row r="14666" ht="15.75" customHeight="1">
      <c r="A14666" s="2">
        <v>2021.0</v>
      </c>
      <c r="B14666" s="2" t="s">
        <v>56806</v>
      </c>
      <c r="C14666" s="2" t="s">
        <v>56807</v>
      </c>
      <c r="D14666" s="2" t="str">
        <f>"4067944949"</f>
        <v>4067944949</v>
      </c>
      <c r="E14666" s="2" t="s">
        <v>56808</v>
      </c>
      <c r="F14666" s="2" t="s">
        <v>56809</v>
      </c>
      <c r="G14666" s="2" t="str">
        <f>"SR-21328"</f>
        <v>SR-21328</v>
      </c>
      <c r="H14666" s="2" t="s">
        <v>56810</v>
      </c>
      <c r="I14666" s="2" t="s">
        <v>56811</v>
      </c>
      <c r="K14666" s="2" t="s">
        <v>3548</v>
      </c>
      <c r="L14666" s="2" t="s">
        <v>2696</v>
      </c>
      <c r="M14666" s="2">
        <v>59106.0</v>
      </c>
      <c r="N14666" s="2" t="s">
        <v>21</v>
      </c>
    </row>
    <row r="14667" ht="15.75" customHeight="1">
      <c r="A14667" s="2">
        <v>2021.0</v>
      </c>
      <c r="B14667" s="2" t="s">
        <v>56812</v>
      </c>
      <c r="C14667" s="2" t="s">
        <v>56813</v>
      </c>
      <c r="D14667" s="2" t="str">
        <f>"805-390-5878"</f>
        <v>805-390-5878</v>
      </c>
      <c r="E14667" s="2" t="s">
        <v>13103</v>
      </c>
      <c r="F14667" s="2" t="s">
        <v>56814</v>
      </c>
      <c r="G14667" s="2" t="str">
        <f>"SR-21428"</f>
        <v>SR-21428</v>
      </c>
      <c r="H14667" s="2" t="s">
        <v>56815</v>
      </c>
      <c r="I14667" s="2" t="s">
        <v>56816</v>
      </c>
      <c r="K14667" s="2" t="s">
        <v>3245</v>
      </c>
      <c r="L14667" s="2" t="s">
        <v>222</v>
      </c>
      <c r="M14667" s="2">
        <v>91320.0</v>
      </c>
      <c r="N14667" s="2" t="s">
        <v>21</v>
      </c>
    </row>
    <row r="14668" ht="15.75" customHeight="1">
      <c r="A14668" s="2">
        <v>2021.0</v>
      </c>
      <c r="B14668" s="2" t="s">
        <v>56812</v>
      </c>
      <c r="C14668" s="2" t="s">
        <v>56817</v>
      </c>
      <c r="D14668" s="2" t="str">
        <f>"805-390-4485"</f>
        <v>805-390-4485</v>
      </c>
      <c r="E14668" s="2" t="s">
        <v>975</v>
      </c>
      <c r="F14668" s="2" t="s">
        <v>56814</v>
      </c>
      <c r="G14668" s="2" t="str">
        <f>"SR-21299"</f>
        <v>SR-21299</v>
      </c>
      <c r="H14668" s="2" t="s">
        <v>56818</v>
      </c>
      <c r="I14668" s="2" t="s">
        <v>56816</v>
      </c>
      <c r="K14668" s="2" t="s">
        <v>3245</v>
      </c>
      <c r="L14668" s="2" t="s">
        <v>222</v>
      </c>
      <c r="M14668" s="2">
        <v>91320.0</v>
      </c>
      <c r="N14668" s="2" t="s">
        <v>21</v>
      </c>
    </row>
    <row r="14669" ht="15.75" customHeight="1">
      <c r="A14669" s="2">
        <v>2021.0</v>
      </c>
      <c r="B14669" s="2" t="s">
        <v>56812</v>
      </c>
      <c r="C14669" s="2" t="s">
        <v>56819</v>
      </c>
      <c r="D14669" s="2" t="str">
        <f>"805-368-2499"</f>
        <v>805-368-2499</v>
      </c>
      <c r="E14669" s="2" t="s">
        <v>705</v>
      </c>
      <c r="F14669" s="2" t="s">
        <v>56814</v>
      </c>
      <c r="G14669" s="2" t="str">
        <f>"SR-21427"</f>
        <v>SR-21427</v>
      </c>
      <c r="H14669" s="2" t="s">
        <v>56820</v>
      </c>
      <c r="I14669" s="2" t="s">
        <v>56816</v>
      </c>
      <c r="K14669" s="2" t="s">
        <v>3245</v>
      </c>
      <c r="L14669" s="2" t="s">
        <v>222</v>
      </c>
      <c r="M14669" s="2">
        <v>91320.0</v>
      </c>
      <c r="N14669" s="2" t="s">
        <v>21</v>
      </c>
    </row>
    <row r="14670" ht="15.75" customHeight="1">
      <c r="A14670" s="2">
        <v>2021.0</v>
      </c>
      <c r="B14670" s="2" t="s">
        <v>56821</v>
      </c>
      <c r="C14670" s="2" t="s">
        <v>56822</v>
      </c>
      <c r="D14670" s="2" t="str">
        <f>"9712916093"</f>
        <v>9712916093</v>
      </c>
      <c r="E14670" s="2" t="s">
        <v>908</v>
      </c>
      <c r="F14670" s="2" t="s">
        <v>23273</v>
      </c>
      <c r="G14670" s="2" t="str">
        <f>"SR-21434"</f>
        <v>SR-21434</v>
      </c>
      <c r="H14670" s="2" t="s">
        <v>56823</v>
      </c>
      <c r="I14670" s="2" t="s">
        <v>56824</v>
      </c>
      <c r="K14670" s="2" t="s">
        <v>56825</v>
      </c>
      <c r="L14670" s="2" t="s">
        <v>2389</v>
      </c>
      <c r="M14670" s="2">
        <v>97068.0</v>
      </c>
      <c r="N14670" s="2" t="s">
        <v>21</v>
      </c>
    </row>
    <row r="14671" ht="15.75" customHeight="1">
      <c r="A14671" s="2">
        <v>2021.0</v>
      </c>
      <c r="B14671" s="2" t="s">
        <v>56826</v>
      </c>
      <c r="C14671" s="2" t="s">
        <v>56827</v>
      </c>
      <c r="D14671" s="2" t="str">
        <f>"9186057145"</f>
        <v>9186057145</v>
      </c>
      <c r="E14671" s="2" t="s">
        <v>56828</v>
      </c>
      <c r="F14671" s="2" t="s">
        <v>56829</v>
      </c>
      <c r="G14671" s="2" t="str">
        <f>"SR-21435"</f>
        <v>SR-21435</v>
      </c>
      <c r="H14671" s="2" t="s">
        <v>56830</v>
      </c>
      <c r="I14671" s="2" t="s">
        <v>56831</v>
      </c>
      <c r="K14671" s="2" t="s">
        <v>1067</v>
      </c>
      <c r="L14671" s="2" t="s">
        <v>272</v>
      </c>
      <c r="M14671" s="2">
        <v>66061.0</v>
      </c>
      <c r="N14671" s="2" t="s">
        <v>21</v>
      </c>
    </row>
    <row r="14672" ht="15.75" customHeight="1">
      <c r="A14672" s="2">
        <v>2021.0</v>
      </c>
      <c r="B14672" s="2" t="s">
        <v>37942</v>
      </c>
      <c r="C14672" s="2" t="s">
        <v>56832</v>
      </c>
      <c r="D14672" s="2" t="str">
        <f>"8069394477"</f>
        <v>8069394477</v>
      </c>
      <c r="E14672" s="2" t="s">
        <v>453</v>
      </c>
      <c r="F14672" s="2" t="s">
        <v>7537</v>
      </c>
      <c r="G14672" s="2" t="str">
        <f>"SR-21439"</f>
        <v>SR-21439</v>
      </c>
      <c r="H14672" s="2" t="s">
        <v>56833</v>
      </c>
      <c r="I14672" s="2" t="s">
        <v>56834</v>
      </c>
      <c r="K14672" s="2" t="s">
        <v>1121</v>
      </c>
      <c r="L14672" s="2" t="s">
        <v>172</v>
      </c>
      <c r="M14672" s="2">
        <v>79424.0</v>
      </c>
      <c r="N14672" s="2" t="s">
        <v>21</v>
      </c>
    </row>
    <row r="14673" ht="15.75" customHeight="1">
      <c r="A14673" s="2">
        <v>2021.0</v>
      </c>
      <c r="B14673" s="2" t="s">
        <v>56835</v>
      </c>
      <c r="C14673" s="2" t="s">
        <v>56836</v>
      </c>
      <c r="D14673" s="2" t="str">
        <f>"2148856256"</f>
        <v>2148856256</v>
      </c>
      <c r="E14673" s="2" t="s">
        <v>56837</v>
      </c>
      <c r="F14673" s="2" t="s">
        <v>17657</v>
      </c>
      <c r="G14673" s="2" t="str">
        <f>"SR-21440"</f>
        <v>SR-21440</v>
      </c>
      <c r="H14673" s="2" t="s">
        <v>56838</v>
      </c>
      <c r="I14673" s="2" t="s">
        <v>56839</v>
      </c>
      <c r="K14673" s="2" t="s">
        <v>3576</v>
      </c>
      <c r="L14673" s="2" t="s">
        <v>172</v>
      </c>
      <c r="M14673" s="2">
        <v>75081.0</v>
      </c>
      <c r="N14673" s="2" t="s">
        <v>21</v>
      </c>
    </row>
    <row r="14674" ht="15.75" customHeight="1">
      <c r="A14674" s="2">
        <v>2021.0</v>
      </c>
      <c r="B14674" s="2" t="s">
        <v>56840</v>
      </c>
      <c r="C14674" s="2" t="s">
        <v>56840</v>
      </c>
      <c r="D14674" s="2" t="str">
        <f>"4069279392"</f>
        <v>4069279392</v>
      </c>
      <c r="E14674" s="2" t="s">
        <v>167</v>
      </c>
      <c r="F14674" s="2" t="s">
        <v>56841</v>
      </c>
      <c r="G14674" s="2" t="str">
        <f>"SR-21442"</f>
        <v>SR-21442</v>
      </c>
      <c r="H14674" s="2" t="s">
        <v>56842</v>
      </c>
      <c r="I14674" s="2" t="s">
        <v>56843</v>
      </c>
      <c r="K14674" s="2" t="s">
        <v>3548</v>
      </c>
      <c r="L14674" s="2" t="s">
        <v>2696</v>
      </c>
      <c r="M14674" s="2">
        <v>59106.0</v>
      </c>
      <c r="N14674" s="2" t="s">
        <v>21</v>
      </c>
    </row>
    <row r="14675" ht="15.75" customHeight="1">
      <c r="A14675" s="2">
        <v>2021.0</v>
      </c>
      <c r="B14675" s="2" t="s">
        <v>56844</v>
      </c>
      <c r="C14675" s="2" t="s">
        <v>56844</v>
      </c>
      <c r="D14675" s="2" t="str">
        <f>"8439419710"</f>
        <v>8439419710</v>
      </c>
      <c r="E14675" s="2" t="s">
        <v>1725</v>
      </c>
      <c r="F14675" s="2" t="s">
        <v>8390</v>
      </c>
      <c r="G14675" s="2" t="str">
        <f>"SR-21407"</f>
        <v>SR-21407</v>
      </c>
      <c r="H14675" s="2" t="s">
        <v>56845</v>
      </c>
      <c r="I14675" s="2" t="s">
        <v>46405</v>
      </c>
      <c r="K14675" s="2" t="s">
        <v>4552</v>
      </c>
      <c r="L14675" s="2" t="s">
        <v>55</v>
      </c>
      <c r="M14675" s="2">
        <v>29910.0</v>
      </c>
      <c r="N14675" s="2" t="s">
        <v>21</v>
      </c>
    </row>
    <row r="14676" ht="15.75" customHeight="1">
      <c r="A14676" s="2">
        <v>2021.0</v>
      </c>
      <c r="B14676" s="2" t="s">
        <v>46403</v>
      </c>
      <c r="C14676" s="2" t="s">
        <v>46403</v>
      </c>
      <c r="D14676" s="2" t="str">
        <f>"8434739533"</f>
        <v>8434739533</v>
      </c>
      <c r="E14676" s="2" t="s">
        <v>373</v>
      </c>
      <c r="F14676" s="2" t="s">
        <v>8390</v>
      </c>
      <c r="G14676" s="2" t="str">
        <f>"SR-16252"</f>
        <v>SR-16252</v>
      </c>
      <c r="H14676" s="2" t="s">
        <v>46404</v>
      </c>
      <c r="I14676" s="2" t="s">
        <v>46405</v>
      </c>
      <c r="K14676" s="2" t="s">
        <v>4552</v>
      </c>
      <c r="L14676" s="2" t="s">
        <v>55</v>
      </c>
      <c r="M14676" s="2">
        <v>29910.0</v>
      </c>
      <c r="N14676" s="2" t="s">
        <v>21</v>
      </c>
    </row>
    <row r="14677" ht="15.75" customHeight="1">
      <c r="A14677" s="2">
        <v>2021.0</v>
      </c>
      <c r="B14677" s="2" t="s">
        <v>56846</v>
      </c>
      <c r="C14677" s="2" t="s">
        <v>56847</v>
      </c>
      <c r="D14677" s="2" t="str">
        <f>"9722664141"</f>
        <v>9722664141</v>
      </c>
      <c r="E14677" s="2" t="s">
        <v>373</v>
      </c>
      <c r="F14677" s="2" t="s">
        <v>56848</v>
      </c>
      <c r="G14677" s="2" t="str">
        <f>"SR-21444"</f>
        <v>SR-21444</v>
      </c>
      <c r="H14677" s="2" t="s">
        <v>56849</v>
      </c>
      <c r="I14677" s="2" t="s">
        <v>56850</v>
      </c>
      <c r="K14677" s="2" t="s">
        <v>10683</v>
      </c>
      <c r="L14677" s="2" t="s">
        <v>200</v>
      </c>
      <c r="M14677" s="2">
        <v>30350.0</v>
      </c>
      <c r="N14677" s="2" t="s">
        <v>21</v>
      </c>
    </row>
    <row r="14678" ht="15.75" customHeight="1">
      <c r="A14678" s="2">
        <v>2021.0</v>
      </c>
      <c r="B14678" s="2" t="s">
        <v>56851</v>
      </c>
      <c r="C14678" s="2" t="s">
        <v>56852</v>
      </c>
      <c r="D14678" s="2" t="str">
        <f>"719-352-2781"</f>
        <v>719-352-2781</v>
      </c>
      <c r="E14678" s="2" t="s">
        <v>1702</v>
      </c>
      <c r="F14678" s="2" t="s">
        <v>46951</v>
      </c>
      <c r="G14678" s="2" t="str">
        <f>"SR-21445"</f>
        <v>SR-21445</v>
      </c>
      <c r="H14678" s="2" t="s">
        <v>56853</v>
      </c>
      <c r="I14678" s="2" t="s">
        <v>56854</v>
      </c>
      <c r="K14678" s="2" t="s">
        <v>809</v>
      </c>
      <c r="L14678" s="2" t="s">
        <v>157</v>
      </c>
      <c r="M14678" s="2">
        <v>80911.0</v>
      </c>
      <c r="N14678" s="2" t="s">
        <v>21</v>
      </c>
    </row>
    <row r="14679" ht="15.75" customHeight="1">
      <c r="A14679" s="2">
        <v>2021.0</v>
      </c>
      <c r="B14679" s="2" t="s">
        <v>47873</v>
      </c>
      <c r="C14679" s="2" t="s">
        <v>47874</v>
      </c>
      <c r="D14679" s="2" t="str">
        <f>"7133837418"</f>
        <v>7133837418</v>
      </c>
      <c r="E14679" s="2" t="s">
        <v>4865</v>
      </c>
      <c r="F14679" s="2" t="s">
        <v>18929</v>
      </c>
      <c r="G14679" s="2" t="str">
        <f>"SR-16779"</f>
        <v>SR-16779</v>
      </c>
      <c r="H14679" s="2" t="s">
        <v>47875</v>
      </c>
      <c r="I14679" s="2" t="s">
        <v>47876</v>
      </c>
      <c r="K14679" s="2" t="s">
        <v>3524</v>
      </c>
      <c r="L14679" s="2" t="s">
        <v>172</v>
      </c>
      <c r="M14679" s="2">
        <v>77546.0</v>
      </c>
      <c r="N14679" s="2" t="s">
        <v>21</v>
      </c>
    </row>
    <row r="14680" ht="15.75" customHeight="1">
      <c r="A14680" s="2">
        <v>2021.0</v>
      </c>
      <c r="B14680" s="2" t="s">
        <v>47873</v>
      </c>
      <c r="C14680" s="2" t="s">
        <v>56855</v>
      </c>
      <c r="D14680" s="2" t="str">
        <f>"2813891128"</f>
        <v>2813891128</v>
      </c>
      <c r="E14680" s="2" t="s">
        <v>1810</v>
      </c>
      <c r="F14680" s="2" t="s">
        <v>18929</v>
      </c>
      <c r="G14680" s="2" t="str">
        <f>"SR-21448"</f>
        <v>SR-21448</v>
      </c>
      <c r="H14680" s="2" t="s">
        <v>56856</v>
      </c>
      <c r="I14680" s="2" t="s">
        <v>47876</v>
      </c>
      <c r="K14680" s="2" t="s">
        <v>3524</v>
      </c>
      <c r="L14680" s="2" t="s">
        <v>172</v>
      </c>
      <c r="M14680" s="2">
        <v>77546.0</v>
      </c>
      <c r="N14680" s="2" t="s">
        <v>21</v>
      </c>
    </row>
    <row r="14681" ht="15.75" customHeight="1">
      <c r="A14681" s="2">
        <v>2021.0</v>
      </c>
      <c r="B14681" s="2" t="s">
        <v>37321</v>
      </c>
      <c r="C14681" s="2" t="s">
        <v>56857</v>
      </c>
      <c r="D14681" s="2" t="str">
        <f>"225-772-0123"</f>
        <v>225-772-0123</v>
      </c>
      <c r="E14681" s="2" t="s">
        <v>56858</v>
      </c>
      <c r="F14681" s="2" t="s">
        <v>31872</v>
      </c>
      <c r="G14681" s="2" t="str">
        <f>"SR-21449"</f>
        <v>SR-21449</v>
      </c>
      <c r="H14681" s="2" t="s">
        <v>56859</v>
      </c>
      <c r="I14681" s="2" t="s">
        <v>31874</v>
      </c>
      <c r="K14681" s="2" t="s">
        <v>56860</v>
      </c>
      <c r="L14681" s="2" t="s">
        <v>715</v>
      </c>
      <c r="M14681" s="2">
        <v>70775.0</v>
      </c>
      <c r="N14681" s="2" t="s">
        <v>21</v>
      </c>
    </row>
    <row r="14682" ht="15.75" customHeight="1">
      <c r="A14682" s="2">
        <v>2021.0</v>
      </c>
      <c r="B14682" s="2" t="s">
        <v>56680</v>
      </c>
      <c r="C14682" s="2" t="s">
        <v>56861</v>
      </c>
      <c r="D14682" s="2" t="str">
        <f>"719-354-8567"</f>
        <v>719-354-8567</v>
      </c>
      <c r="E14682" s="2" t="s">
        <v>2162</v>
      </c>
      <c r="F14682" s="2" t="s">
        <v>35089</v>
      </c>
      <c r="G14682" s="2" t="str">
        <f>"SR-21415"</f>
        <v>SR-21415</v>
      </c>
      <c r="H14682" s="2" t="s">
        <v>56862</v>
      </c>
      <c r="I14682" s="2" t="s">
        <v>56683</v>
      </c>
      <c r="K14682" s="2" t="s">
        <v>809</v>
      </c>
      <c r="L14682" s="2" t="s">
        <v>157</v>
      </c>
      <c r="M14682" s="2">
        <v>80921.0</v>
      </c>
      <c r="N14682" s="2" t="s">
        <v>21</v>
      </c>
    </row>
    <row r="14683" ht="15.75" customHeight="1">
      <c r="A14683" s="2">
        <v>2021.0</v>
      </c>
      <c r="B14683" s="2" t="s">
        <v>56863</v>
      </c>
      <c r="C14683" s="2" t="s">
        <v>56864</v>
      </c>
      <c r="D14683" s="2" t="str">
        <f>"717.205.4025"</f>
        <v>717.205.4025</v>
      </c>
      <c r="E14683" s="2" t="s">
        <v>572</v>
      </c>
      <c r="F14683" s="2" t="s">
        <v>29841</v>
      </c>
      <c r="G14683" s="2" t="str">
        <f>"SR-21239"</f>
        <v>SR-21239</v>
      </c>
      <c r="H14683" s="2" t="s">
        <v>56865</v>
      </c>
      <c r="I14683" s="2" t="s">
        <v>56866</v>
      </c>
      <c r="K14683" s="2" t="s">
        <v>11184</v>
      </c>
      <c r="L14683" s="2" t="s">
        <v>179</v>
      </c>
      <c r="M14683" s="2">
        <v>17011.0</v>
      </c>
      <c r="N14683" s="2" t="s">
        <v>21</v>
      </c>
    </row>
    <row r="14684" ht="15.75" customHeight="1">
      <c r="A14684" s="2">
        <v>2021.0</v>
      </c>
      <c r="B14684" s="2" t="s">
        <v>56863</v>
      </c>
      <c r="C14684" s="2" t="s">
        <v>56867</v>
      </c>
      <c r="D14684" s="2" t="str">
        <f>"904.451.5616"</f>
        <v>904.451.5616</v>
      </c>
      <c r="E14684" s="2" t="s">
        <v>1054</v>
      </c>
      <c r="F14684" s="2" t="s">
        <v>29841</v>
      </c>
      <c r="G14684" s="2" t="str">
        <f>"SR-21451"</f>
        <v>SR-21451</v>
      </c>
      <c r="H14684" s="2" t="s">
        <v>56868</v>
      </c>
      <c r="I14684" s="2" t="s">
        <v>56869</v>
      </c>
      <c r="K14684" s="2" t="s">
        <v>451</v>
      </c>
      <c r="L14684" s="2" t="s">
        <v>208</v>
      </c>
      <c r="M14684" s="2">
        <v>32224.0</v>
      </c>
      <c r="N14684" s="2" t="s">
        <v>21</v>
      </c>
    </row>
    <row r="14685" ht="15.75" customHeight="1">
      <c r="A14685" s="2">
        <v>2021.0</v>
      </c>
      <c r="B14685" s="2" t="s">
        <v>56870</v>
      </c>
      <c r="C14685" s="2" t="s">
        <v>56871</v>
      </c>
      <c r="D14685" s="2" t="str">
        <f>"805-401-2445"</f>
        <v>805-401-2445</v>
      </c>
      <c r="E14685" s="2" t="s">
        <v>1964</v>
      </c>
      <c r="F14685" s="2" t="s">
        <v>56872</v>
      </c>
      <c r="G14685" s="2" t="str">
        <f>"SR-19107"</f>
        <v>SR-19107</v>
      </c>
      <c r="H14685" s="2" t="s">
        <v>56873</v>
      </c>
      <c r="I14685" s="2" t="s">
        <v>56874</v>
      </c>
      <c r="K14685" s="2" t="s">
        <v>22147</v>
      </c>
      <c r="L14685" s="2" t="s">
        <v>222</v>
      </c>
      <c r="M14685" s="2">
        <v>93012.0</v>
      </c>
      <c r="N14685" s="2" t="s">
        <v>21</v>
      </c>
    </row>
    <row r="14686" ht="15.75" customHeight="1">
      <c r="A14686" s="2">
        <v>2021.0</v>
      </c>
      <c r="B14686" s="2" t="s">
        <v>53574</v>
      </c>
      <c r="C14686" s="2" t="s">
        <v>53579</v>
      </c>
      <c r="D14686" s="2" t="str">
        <f>"(515) 451-6068‚Ä¨"</f>
        <v>(515) 451-6068‚Ä¨</v>
      </c>
      <c r="E14686" s="2" t="s">
        <v>14150</v>
      </c>
      <c r="F14686" s="2" t="s">
        <v>53576</v>
      </c>
      <c r="G14686" s="2" t="str">
        <f>"SR-19280"</f>
        <v>SR-19280</v>
      </c>
      <c r="H14686" s="2" t="s">
        <v>53580</v>
      </c>
      <c r="I14686" s="2" t="s">
        <v>53578</v>
      </c>
      <c r="K14686" s="2" t="s">
        <v>6354</v>
      </c>
      <c r="L14686" s="2" t="s">
        <v>560</v>
      </c>
      <c r="M14686" s="2">
        <v>50014.0</v>
      </c>
      <c r="N14686" s="2" t="s">
        <v>21</v>
      </c>
    </row>
    <row r="14687" ht="15.75" customHeight="1">
      <c r="A14687" s="2">
        <v>2021.0</v>
      </c>
      <c r="B14687" s="2" t="s">
        <v>53574</v>
      </c>
      <c r="C14687" s="2" t="s">
        <v>53575</v>
      </c>
      <c r="D14687" s="2" t="str">
        <f>"515-451-5171‚Ä¨"</f>
        <v>515-451-5171‚Ä¨</v>
      </c>
      <c r="E14687" s="2" t="s">
        <v>4224</v>
      </c>
      <c r="F14687" s="2" t="s">
        <v>53576</v>
      </c>
      <c r="G14687" s="2" t="str">
        <f>"SR-19279"</f>
        <v>SR-19279</v>
      </c>
      <c r="H14687" s="2" t="s">
        <v>53577</v>
      </c>
      <c r="I14687" s="2" t="s">
        <v>53578</v>
      </c>
      <c r="K14687" s="2" t="s">
        <v>6354</v>
      </c>
      <c r="L14687" s="2" t="s">
        <v>560</v>
      </c>
      <c r="M14687" s="2">
        <v>50014.0</v>
      </c>
      <c r="N14687" s="2" t="s">
        <v>21</v>
      </c>
    </row>
    <row r="14688" ht="15.75" customHeight="1">
      <c r="A14688" s="2">
        <v>2021.0</v>
      </c>
      <c r="B14688" s="2" t="s">
        <v>53232</v>
      </c>
      <c r="C14688" s="2" t="s">
        <v>53232</v>
      </c>
      <c r="D14688" s="2" t="str">
        <f>"906 630-1099"</f>
        <v>906 630-1099</v>
      </c>
      <c r="E14688" s="2" t="s">
        <v>7145</v>
      </c>
      <c r="F14688" s="2" t="s">
        <v>562</v>
      </c>
      <c r="G14688" s="2" t="str">
        <f>"SR-19080"</f>
        <v>SR-19080</v>
      </c>
      <c r="H14688" s="2" t="s">
        <v>53233</v>
      </c>
      <c r="I14688" s="2" t="s">
        <v>53234</v>
      </c>
      <c r="K14688" s="2" t="s">
        <v>45345</v>
      </c>
      <c r="L14688" s="2" t="s">
        <v>29</v>
      </c>
      <c r="M14688" s="2">
        <v>49770.0</v>
      </c>
      <c r="N14688" s="2" t="s">
        <v>21</v>
      </c>
    </row>
    <row r="14689" ht="15.75" customHeight="1">
      <c r="A14689" s="2">
        <v>2021.0</v>
      </c>
      <c r="B14689" s="2" t="s">
        <v>56875</v>
      </c>
      <c r="C14689" s="2" t="s">
        <v>56876</v>
      </c>
      <c r="D14689" s="2" t="str">
        <f>"906 632-8897"</f>
        <v>906 632-8897</v>
      </c>
      <c r="E14689" s="2" t="s">
        <v>705</v>
      </c>
      <c r="F14689" s="2" t="s">
        <v>562</v>
      </c>
      <c r="G14689" s="2" t="str">
        <f>"SR-21463"</f>
        <v>SR-21463</v>
      </c>
      <c r="H14689" s="2" t="s">
        <v>56877</v>
      </c>
      <c r="I14689" s="2" t="s">
        <v>53234</v>
      </c>
      <c r="K14689" s="2" t="s">
        <v>45345</v>
      </c>
      <c r="L14689" s="2" t="s">
        <v>29</v>
      </c>
      <c r="M14689" s="2">
        <v>49770.0</v>
      </c>
      <c r="N14689" s="2" t="s">
        <v>21</v>
      </c>
    </row>
    <row r="14690" ht="15.75" customHeight="1">
      <c r="A14690" s="2">
        <v>2021.0</v>
      </c>
      <c r="B14690" s="2" t="s">
        <v>56878</v>
      </c>
      <c r="D14690" s="2" t="str">
        <f>""</f>
        <v/>
      </c>
      <c r="E14690" s="2" t="s">
        <v>15</v>
      </c>
      <c r="F14690" s="2" t="s">
        <v>2985</v>
      </c>
      <c r="G14690" s="2" t="str">
        <f>"SR-21465"</f>
        <v>SR-21465</v>
      </c>
      <c r="H14690" s="2" t="s">
        <v>56879</v>
      </c>
    </row>
    <row r="14691" ht="15.75" customHeight="1">
      <c r="A14691" s="2">
        <v>2021.0</v>
      </c>
      <c r="B14691" s="2" t="s">
        <v>56880</v>
      </c>
      <c r="C14691" s="2" t="s">
        <v>56881</v>
      </c>
      <c r="D14691" s="2" t="str">
        <f>"3605917788"</f>
        <v>3605917788</v>
      </c>
      <c r="E14691" s="2" t="s">
        <v>19160</v>
      </c>
      <c r="F14691" s="2" t="s">
        <v>56882</v>
      </c>
      <c r="G14691" s="2" t="str">
        <f>"SR-21374"</f>
        <v>SR-21374</v>
      </c>
      <c r="H14691" s="2" t="s">
        <v>56883</v>
      </c>
      <c r="I14691" s="2">
        <v>960.0</v>
      </c>
      <c r="K14691" s="2" t="s">
        <v>32279</v>
      </c>
      <c r="L14691" s="2" t="s">
        <v>86</v>
      </c>
      <c r="M14691" s="2">
        <v>9226.0</v>
      </c>
      <c r="N14691" s="2" t="s">
        <v>21</v>
      </c>
    </row>
    <row r="14692" ht="15.75" customHeight="1">
      <c r="A14692" s="2">
        <v>2021.0</v>
      </c>
      <c r="B14692" s="2" t="s">
        <v>43291</v>
      </c>
      <c r="C14692" s="2" t="s">
        <v>43292</v>
      </c>
      <c r="D14692" s="2" t="str">
        <f>"2146610477"</f>
        <v>2146610477</v>
      </c>
      <c r="E14692" s="2" t="s">
        <v>1015</v>
      </c>
      <c r="F14692" s="2" t="s">
        <v>43293</v>
      </c>
      <c r="G14692" s="2" t="str">
        <f>"SR-15157"</f>
        <v>SR-15157</v>
      </c>
      <c r="H14692" s="2" t="s">
        <v>43294</v>
      </c>
      <c r="I14692" s="2" t="s">
        <v>43295</v>
      </c>
      <c r="K14692" s="2" t="s">
        <v>21935</v>
      </c>
      <c r="L14692" s="2" t="s">
        <v>172</v>
      </c>
      <c r="M14692" s="2">
        <v>75072.0</v>
      </c>
      <c r="N14692" s="2" t="s">
        <v>21</v>
      </c>
    </row>
    <row r="14693" ht="15.75" customHeight="1">
      <c r="A14693" s="2">
        <v>2021.0</v>
      </c>
      <c r="B14693" s="2" t="s">
        <v>43291</v>
      </c>
      <c r="C14693" s="2" t="s">
        <v>56884</v>
      </c>
      <c r="D14693" s="2" t="str">
        <f>"214-662-1615"</f>
        <v>214-662-1615</v>
      </c>
      <c r="E14693" s="2" t="s">
        <v>385</v>
      </c>
      <c r="F14693" s="2" t="s">
        <v>43293</v>
      </c>
      <c r="G14693" s="2" t="str">
        <f>"SR-20730"</f>
        <v>SR-20730</v>
      </c>
      <c r="H14693" s="2" t="s">
        <v>56885</v>
      </c>
      <c r="I14693" s="2" t="s">
        <v>56886</v>
      </c>
      <c r="K14693" s="2" t="s">
        <v>615</v>
      </c>
      <c r="L14693" s="2" t="s">
        <v>172</v>
      </c>
      <c r="M14693" s="2">
        <v>75072.0</v>
      </c>
      <c r="N14693" s="2" t="s">
        <v>21</v>
      </c>
    </row>
    <row r="14694" ht="15.75" customHeight="1">
      <c r="A14694" s="2">
        <v>2021.0</v>
      </c>
      <c r="B14694" s="2" t="s">
        <v>56887</v>
      </c>
      <c r="C14694" s="2" t="s">
        <v>56888</v>
      </c>
      <c r="D14694" s="2" t="str">
        <f>"3058780362"</f>
        <v>3058780362</v>
      </c>
      <c r="E14694" s="2" t="s">
        <v>56889</v>
      </c>
      <c r="F14694" s="2" t="s">
        <v>199</v>
      </c>
      <c r="G14694" s="2" t="str">
        <f>"SR-21472"</f>
        <v>SR-21472</v>
      </c>
      <c r="H14694" s="2" t="s">
        <v>56890</v>
      </c>
      <c r="I14694" s="2" t="s">
        <v>56891</v>
      </c>
      <c r="K14694" s="2" t="s">
        <v>56892</v>
      </c>
      <c r="L14694" s="2" t="s">
        <v>208</v>
      </c>
      <c r="M14694" s="2">
        <v>33157.0</v>
      </c>
      <c r="N14694" s="2" t="s">
        <v>21</v>
      </c>
    </row>
    <row r="14695" ht="15.75" customHeight="1">
      <c r="A14695" s="2">
        <v>2021.0</v>
      </c>
      <c r="B14695" s="2" t="s">
        <v>49384</v>
      </c>
      <c r="C14695" s="2" t="s">
        <v>52901</v>
      </c>
      <c r="D14695" s="2" t="str">
        <f>"7652020757"</f>
        <v>7652020757</v>
      </c>
      <c r="E14695" s="2" t="s">
        <v>36</v>
      </c>
      <c r="F14695" s="2" t="s">
        <v>14493</v>
      </c>
      <c r="G14695" s="2" t="str">
        <f>"SR-18014"</f>
        <v>SR-18014</v>
      </c>
      <c r="H14695" s="2" t="s">
        <v>52902</v>
      </c>
      <c r="I14695" s="2" t="s">
        <v>52903</v>
      </c>
      <c r="K14695" s="2" t="s">
        <v>14496</v>
      </c>
      <c r="L14695" s="2" t="s">
        <v>149</v>
      </c>
      <c r="M14695" s="2">
        <v>47926.0</v>
      </c>
      <c r="N14695" s="2" t="s">
        <v>21</v>
      </c>
    </row>
    <row r="14696" ht="15.75" customHeight="1">
      <c r="A14696" s="2">
        <v>2021.0</v>
      </c>
      <c r="B14696" s="2" t="s">
        <v>56893</v>
      </c>
      <c r="C14696" s="2" t="s">
        <v>56893</v>
      </c>
      <c r="D14696" s="2" t="str">
        <f>"8306136108"</f>
        <v>8306136108</v>
      </c>
      <c r="E14696" s="2" t="s">
        <v>56894</v>
      </c>
      <c r="F14696" s="2" t="s">
        <v>56895</v>
      </c>
      <c r="G14696" s="2" t="str">
        <f>"SR-21478"</f>
        <v>SR-21478</v>
      </c>
      <c r="H14696" s="2" t="s">
        <v>56896</v>
      </c>
      <c r="I14696" s="2" t="s">
        <v>56897</v>
      </c>
      <c r="K14696" s="2" t="s">
        <v>10222</v>
      </c>
      <c r="L14696" s="2" t="s">
        <v>172</v>
      </c>
      <c r="M14696" s="2">
        <v>78654.0</v>
      </c>
      <c r="N14696" s="2" t="s">
        <v>21</v>
      </c>
    </row>
    <row r="14697" ht="15.75" customHeight="1">
      <c r="A14697" s="2">
        <v>2021.0</v>
      </c>
      <c r="B14697" s="2" t="s">
        <v>56898</v>
      </c>
      <c r="C14697" s="2" t="s">
        <v>56899</v>
      </c>
      <c r="D14697" s="2" t="str">
        <f>"540-303-5458"</f>
        <v>540-303-5458</v>
      </c>
      <c r="E14697" s="2" t="s">
        <v>217</v>
      </c>
      <c r="F14697" s="2" t="s">
        <v>9198</v>
      </c>
      <c r="G14697" s="2" t="str">
        <f>"SR-21480"</f>
        <v>SR-21480</v>
      </c>
      <c r="H14697" s="2" t="s">
        <v>56900</v>
      </c>
      <c r="I14697" s="2" t="s">
        <v>56901</v>
      </c>
      <c r="K14697" s="2" t="s">
        <v>594</v>
      </c>
      <c r="L14697" s="2" t="s">
        <v>165</v>
      </c>
      <c r="M14697" s="2">
        <v>22602.0</v>
      </c>
      <c r="N14697" s="2" t="s">
        <v>21</v>
      </c>
    </row>
    <row r="14698" ht="15.75" customHeight="1">
      <c r="A14698" s="2">
        <v>2021.0</v>
      </c>
      <c r="B14698" s="2" t="s">
        <v>56902</v>
      </c>
      <c r="C14698" s="2" t="s">
        <v>56902</v>
      </c>
      <c r="D14698" s="2" t="str">
        <f>"7196519924"</f>
        <v>7196519924</v>
      </c>
      <c r="E14698" s="2" t="s">
        <v>34675</v>
      </c>
      <c r="F14698" s="2" t="s">
        <v>56903</v>
      </c>
      <c r="G14698" s="2" t="str">
        <f>"SR-21482"</f>
        <v>SR-21482</v>
      </c>
      <c r="H14698" s="2" t="s">
        <v>56904</v>
      </c>
      <c r="I14698" s="2" t="s">
        <v>56905</v>
      </c>
      <c r="K14698" s="2" t="s">
        <v>56906</v>
      </c>
      <c r="L14698" s="2" t="s">
        <v>70</v>
      </c>
      <c r="M14698" s="2">
        <v>99703.0</v>
      </c>
      <c r="N14698" s="2" t="s">
        <v>21</v>
      </c>
    </row>
    <row r="14699" ht="15.75" customHeight="1">
      <c r="A14699" s="2">
        <v>2021.0</v>
      </c>
      <c r="B14699" s="2" t="s">
        <v>56907</v>
      </c>
      <c r="C14699" s="2" t="s">
        <v>56907</v>
      </c>
      <c r="D14699" s="2" t="str">
        <f>"513-491-3002"</f>
        <v>513-491-3002</v>
      </c>
      <c r="E14699" s="2" t="s">
        <v>651</v>
      </c>
      <c r="F14699" s="2" t="s">
        <v>43380</v>
      </c>
      <c r="G14699" s="2" t="str">
        <f>"SR-21486"</f>
        <v>SR-21486</v>
      </c>
      <c r="H14699" s="2" t="s">
        <v>56908</v>
      </c>
      <c r="I14699" s="2" t="s">
        <v>56909</v>
      </c>
      <c r="J14699" s="2" t="s">
        <v>56910</v>
      </c>
      <c r="K14699" s="2" t="s">
        <v>23306</v>
      </c>
      <c r="L14699" s="2" t="s">
        <v>344</v>
      </c>
      <c r="M14699" s="2">
        <v>45103.0</v>
      </c>
      <c r="N14699" s="2" t="s">
        <v>21</v>
      </c>
    </row>
    <row r="14700" ht="15.75" customHeight="1">
      <c r="A14700" s="2">
        <v>2021.0</v>
      </c>
      <c r="B14700" s="2" t="s">
        <v>49233</v>
      </c>
      <c r="C14700" s="2" t="s">
        <v>56911</v>
      </c>
      <c r="D14700" s="2" t="str">
        <f>"256-617-8589"</f>
        <v>256-617-8589</v>
      </c>
      <c r="E14700" s="2" t="s">
        <v>7996</v>
      </c>
      <c r="F14700" s="2" t="s">
        <v>11503</v>
      </c>
      <c r="G14700" s="2" t="str">
        <f>"SR-21489"</f>
        <v>SR-21489</v>
      </c>
      <c r="H14700" s="2" t="s">
        <v>56912</v>
      </c>
      <c r="I14700" s="2" t="s">
        <v>56913</v>
      </c>
      <c r="K14700" s="2" t="s">
        <v>659</v>
      </c>
      <c r="L14700" s="2" t="s">
        <v>539</v>
      </c>
      <c r="M14700" s="2">
        <v>35758.0</v>
      </c>
      <c r="N14700" s="2" t="s">
        <v>21</v>
      </c>
    </row>
    <row r="14701" ht="15.75" customHeight="1">
      <c r="A14701" s="2">
        <v>2021.0</v>
      </c>
      <c r="B14701" s="2" t="s">
        <v>16442</v>
      </c>
      <c r="C14701" s="2" t="s">
        <v>33053</v>
      </c>
      <c r="D14701" s="2" t="str">
        <f>"(352)888-6175"</f>
        <v>(352)888-6175</v>
      </c>
      <c r="E14701" s="2" t="s">
        <v>20759</v>
      </c>
      <c r="F14701" s="2" t="s">
        <v>327</v>
      </c>
      <c r="G14701" s="2" t="str">
        <f>"SR-10732"</f>
        <v>SR-10732</v>
      </c>
      <c r="H14701" s="2" t="s">
        <v>33054</v>
      </c>
      <c r="I14701" s="2" t="s">
        <v>16445</v>
      </c>
      <c r="K14701" s="2" t="s">
        <v>16446</v>
      </c>
      <c r="L14701" s="2" t="s">
        <v>208</v>
      </c>
      <c r="M14701" s="2">
        <v>32666.0</v>
      </c>
      <c r="N14701" s="2" t="s">
        <v>21</v>
      </c>
    </row>
    <row r="14702" ht="15.75" customHeight="1">
      <c r="A14702" s="2">
        <v>2021.0</v>
      </c>
      <c r="B14702" s="2" t="s">
        <v>56914</v>
      </c>
      <c r="C14702" s="2" t="s">
        <v>56915</v>
      </c>
      <c r="D14702" s="2" t="str">
        <f>"7249929731"</f>
        <v>7249929731</v>
      </c>
      <c r="E14702" s="2" t="s">
        <v>56916</v>
      </c>
      <c r="F14702" s="2" t="s">
        <v>48717</v>
      </c>
      <c r="G14702" s="2" t="str">
        <f>"SR-21490"</f>
        <v>SR-21490</v>
      </c>
      <c r="H14702" s="2" t="s">
        <v>56917</v>
      </c>
      <c r="I14702" s="2" t="s">
        <v>56918</v>
      </c>
      <c r="K14702" s="2" t="s">
        <v>47153</v>
      </c>
      <c r="L14702" s="2" t="s">
        <v>179</v>
      </c>
      <c r="M14702" s="2">
        <v>16127.0</v>
      </c>
      <c r="N14702" s="2" t="s">
        <v>21</v>
      </c>
    </row>
    <row r="14703" ht="15.75" customHeight="1">
      <c r="A14703" s="2">
        <v>2021.0</v>
      </c>
      <c r="B14703" s="2" t="s">
        <v>39743</v>
      </c>
      <c r="C14703" s="2" t="s">
        <v>56919</v>
      </c>
      <c r="D14703" s="2" t="str">
        <f>"320-406-6422"</f>
        <v>320-406-6422</v>
      </c>
      <c r="E14703" s="2" t="s">
        <v>56920</v>
      </c>
      <c r="F14703" s="2" t="s">
        <v>17173</v>
      </c>
      <c r="G14703" s="2" t="str">
        <f>"SR-21487"</f>
        <v>SR-21487</v>
      </c>
      <c r="H14703" s="2" t="s">
        <v>56921</v>
      </c>
      <c r="I14703" s="2" t="s">
        <v>56922</v>
      </c>
      <c r="K14703" s="2" t="s">
        <v>12059</v>
      </c>
      <c r="L14703" s="2" t="s">
        <v>62</v>
      </c>
      <c r="M14703" s="2">
        <v>56329.0</v>
      </c>
      <c r="N14703" s="2" t="s">
        <v>21</v>
      </c>
    </row>
    <row r="14704" ht="15.75" customHeight="1">
      <c r="A14704" s="2">
        <v>2021.0</v>
      </c>
      <c r="B14704" s="2" t="s">
        <v>56923</v>
      </c>
      <c r="C14704" s="2" t="s">
        <v>56923</v>
      </c>
      <c r="D14704" s="2" t="str">
        <f>"5595366747"</f>
        <v>5595366747</v>
      </c>
      <c r="E14704" s="2" t="s">
        <v>18277</v>
      </c>
      <c r="F14704" s="2" t="s">
        <v>984</v>
      </c>
      <c r="G14704" s="2" t="str">
        <f>"SR-21491"</f>
        <v>SR-21491</v>
      </c>
      <c r="H14704" s="2" t="s">
        <v>56924</v>
      </c>
      <c r="I14704" s="2" t="s">
        <v>56925</v>
      </c>
      <c r="K14704" s="2" t="s">
        <v>9684</v>
      </c>
      <c r="L14704" s="2" t="s">
        <v>20</v>
      </c>
      <c r="M14704" s="2">
        <v>28031.0</v>
      </c>
      <c r="N14704" s="2" t="s">
        <v>21</v>
      </c>
    </row>
    <row r="14705" ht="15.75" customHeight="1">
      <c r="A14705" s="2">
        <v>2021.0</v>
      </c>
      <c r="B14705" s="2" t="s">
        <v>43906</v>
      </c>
      <c r="C14705" s="2" t="s">
        <v>43914</v>
      </c>
      <c r="D14705" s="2" t="str">
        <f>"330 235 3852"</f>
        <v>330 235 3852</v>
      </c>
      <c r="E14705" s="2" t="s">
        <v>43915</v>
      </c>
      <c r="F14705" s="2" t="s">
        <v>43908</v>
      </c>
      <c r="G14705" s="2" t="str">
        <f>"SR-15463"</f>
        <v>SR-15463</v>
      </c>
      <c r="H14705" s="2" t="s">
        <v>43916</v>
      </c>
      <c r="I14705" s="2" t="s">
        <v>43917</v>
      </c>
      <c r="K14705" s="2" t="s">
        <v>43918</v>
      </c>
      <c r="L14705" s="2" t="s">
        <v>344</v>
      </c>
      <c r="M14705" s="2">
        <v>44266.0</v>
      </c>
      <c r="N14705" s="2" t="s">
        <v>21</v>
      </c>
    </row>
    <row r="14706" ht="15.75" customHeight="1">
      <c r="A14706" s="2">
        <v>2021.0</v>
      </c>
      <c r="B14706" s="2" t="s">
        <v>56926</v>
      </c>
      <c r="C14706" s="2" t="s">
        <v>56926</v>
      </c>
      <c r="D14706" s="2" t="str">
        <f>"7743887444"</f>
        <v>7743887444</v>
      </c>
      <c r="E14706" s="2" t="s">
        <v>160</v>
      </c>
      <c r="F14706" s="2" t="s">
        <v>56927</v>
      </c>
      <c r="G14706" s="2" t="str">
        <f>"SR-21214"</f>
        <v>SR-21214</v>
      </c>
      <c r="H14706" s="2" t="s">
        <v>56928</v>
      </c>
      <c r="I14706" s="2" t="s">
        <v>56929</v>
      </c>
      <c r="K14706" s="2" t="s">
        <v>56930</v>
      </c>
      <c r="L14706" s="2" t="s">
        <v>4108</v>
      </c>
      <c r="M14706" s="2">
        <v>1588.0</v>
      </c>
      <c r="N14706" s="2" t="s">
        <v>21</v>
      </c>
    </row>
    <row r="14707" ht="15.75" customHeight="1">
      <c r="A14707" s="2">
        <v>2021.0</v>
      </c>
      <c r="B14707" s="2" t="s">
        <v>56931</v>
      </c>
      <c r="C14707" s="2" t="s">
        <v>56931</v>
      </c>
      <c r="D14707" s="2" t="str">
        <f>"614-716-9895"</f>
        <v>614-716-9895</v>
      </c>
      <c r="E14707" s="2" t="s">
        <v>4968</v>
      </c>
      <c r="F14707" s="2" t="s">
        <v>13877</v>
      </c>
      <c r="G14707" s="2" t="str">
        <f>"SR-21492"</f>
        <v>SR-21492</v>
      </c>
      <c r="H14707" s="2" t="s">
        <v>56932</v>
      </c>
      <c r="I14707" s="2" t="s">
        <v>56933</v>
      </c>
      <c r="K14707" s="2" t="s">
        <v>41353</v>
      </c>
      <c r="L14707" s="2" t="s">
        <v>344</v>
      </c>
      <c r="M14707" s="2">
        <v>43074.0</v>
      </c>
      <c r="N14707" s="2" t="s">
        <v>21</v>
      </c>
    </row>
    <row r="14708" ht="15.75" customHeight="1">
      <c r="A14708" s="2">
        <v>2021.0</v>
      </c>
      <c r="B14708" s="2" t="s">
        <v>56934</v>
      </c>
      <c r="C14708" s="2" t="s">
        <v>56934</v>
      </c>
      <c r="D14708" s="2" t="str">
        <f>"561-609-5411"</f>
        <v>561-609-5411</v>
      </c>
      <c r="E14708" s="2" t="s">
        <v>528</v>
      </c>
      <c r="F14708" s="2" t="s">
        <v>56935</v>
      </c>
      <c r="G14708" s="2" t="str">
        <f>"SR-21494"</f>
        <v>SR-21494</v>
      </c>
      <c r="H14708" s="2" t="s">
        <v>56936</v>
      </c>
      <c r="I14708" s="2" t="s">
        <v>56937</v>
      </c>
      <c r="J14708" s="2" t="s">
        <v>56938</v>
      </c>
      <c r="K14708" s="2" t="s">
        <v>2273</v>
      </c>
      <c r="L14708" s="2" t="s">
        <v>208</v>
      </c>
      <c r="M14708" s="2">
        <v>33431.0</v>
      </c>
      <c r="N14708" s="2" t="s">
        <v>21</v>
      </c>
    </row>
    <row r="14709" ht="15.75" customHeight="1">
      <c r="A14709" s="2">
        <v>2021.0</v>
      </c>
      <c r="B14709" s="2" t="s">
        <v>49015</v>
      </c>
      <c r="C14709" s="2" t="s">
        <v>56939</v>
      </c>
      <c r="D14709" s="2" t="str">
        <f>"1-731-982-4599"</f>
        <v>1-731-982-4599</v>
      </c>
      <c r="E14709" s="2" t="s">
        <v>23355</v>
      </c>
      <c r="F14709" s="2" t="s">
        <v>49017</v>
      </c>
      <c r="G14709" s="2" t="str">
        <f>"SR-21496"</f>
        <v>SR-21496</v>
      </c>
      <c r="H14709" s="2" t="s">
        <v>56940</v>
      </c>
      <c r="I14709" s="2" t="s">
        <v>49019</v>
      </c>
      <c r="K14709" s="2" t="s">
        <v>49020</v>
      </c>
      <c r="L14709" s="2" t="s">
        <v>279</v>
      </c>
      <c r="M14709" s="2">
        <v>38310.0</v>
      </c>
      <c r="N14709" s="2" t="s">
        <v>21</v>
      </c>
    </row>
    <row r="14710" ht="15.75" customHeight="1">
      <c r="A14710" s="2">
        <v>2021.0</v>
      </c>
      <c r="B14710" s="2" t="s">
        <v>43222</v>
      </c>
      <c r="C14710" s="2" t="s">
        <v>56941</v>
      </c>
      <c r="D14710" s="2" t="str">
        <f>"469-468-4614"</f>
        <v>469-468-4614</v>
      </c>
      <c r="E14710" s="2" t="s">
        <v>2752</v>
      </c>
      <c r="F14710" s="2" t="s">
        <v>43224</v>
      </c>
      <c r="G14710" s="2" t="str">
        <f>"SR-21018"</f>
        <v>SR-21018</v>
      </c>
      <c r="H14710" s="2" t="s">
        <v>56942</v>
      </c>
      <c r="I14710" s="2" t="s">
        <v>43226</v>
      </c>
      <c r="K14710" s="2" t="s">
        <v>1255</v>
      </c>
      <c r="L14710" s="2" t="s">
        <v>172</v>
      </c>
      <c r="M14710" s="2">
        <v>75248.0</v>
      </c>
      <c r="N14710" s="2" t="s">
        <v>21</v>
      </c>
    </row>
    <row r="14711" ht="15.75" customHeight="1">
      <c r="A14711" s="2">
        <v>2021.0</v>
      </c>
      <c r="B14711" s="2" t="s">
        <v>56943</v>
      </c>
      <c r="C14711" s="2" t="s">
        <v>56943</v>
      </c>
      <c r="D14711" s="2" t="str">
        <f>"805-358-1457"</f>
        <v>805-358-1457</v>
      </c>
      <c r="E14711" s="2" t="s">
        <v>580</v>
      </c>
      <c r="F14711" s="2" t="s">
        <v>4627</v>
      </c>
      <c r="G14711" s="2" t="str">
        <f>"SR-21498"</f>
        <v>SR-21498</v>
      </c>
      <c r="H14711" s="2" t="s">
        <v>56944</v>
      </c>
      <c r="I14711" s="2" t="s">
        <v>56945</v>
      </c>
      <c r="K14711" s="2" t="s">
        <v>5288</v>
      </c>
      <c r="L14711" s="2" t="s">
        <v>157</v>
      </c>
      <c r="M14711" s="2">
        <v>80027.0</v>
      </c>
      <c r="N14711" s="2" t="s">
        <v>21</v>
      </c>
    </row>
    <row r="14712" ht="15.75" customHeight="1">
      <c r="A14712" s="2">
        <v>2021.0</v>
      </c>
      <c r="B14712" s="2" t="s">
        <v>46457</v>
      </c>
      <c r="C14712" s="2" t="s">
        <v>53314</v>
      </c>
      <c r="D14712" s="2" t="str">
        <f>"916-728-8986"</f>
        <v>916-728-8986</v>
      </c>
      <c r="E14712" s="2" t="s">
        <v>696</v>
      </c>
      <c r="F14712" s="2" t="s">
        <v>39813</v>
      </c>
      <c r="G14712" s="2" t="str">
        <f>"SR-19145"</f>
        <v>SR-19145</v>
      </c>
      <c r="H14712" s="2" t="s">
        <v>53315</v>
      </c>
      <c r="I14712" s="2" t="s">
        <v>46461</v>
      </c>
      <c r="K14712" s="2" t="s">
        <v>35937</v>
      </c>
      <c r="L14712" s="2" t="s">
        <v>222</v>
      </c>
      <c r="M14712" s="2">
        <v>95662.0</v>
      </c>
      <c r="N14712" s="2" t="s">
        <v>21</v>
      </c>
    </row>
    <row r="14713" ht="15.75" customHeight="1">
      <c r="A14713" s="2">
        <v>2021.0</v>
      </c>
      <c r="B14713" s="2" t="s">
        <v>56946</v>
      </c>
      <c r="C14713" s="2" t="s">
        <v>56947</v>
      </c>
      <c r="D14713" s="2" t="str">
        <f>"808-724-8369"</f>
        <v>808-724-8369</v>
      </c>
      <c r="E14713" s="2" t="s">
        <v>339</v>
      </c>
      <c r="F14713" s="2" t="s">
        <v>1960</v>
      </c>
      <c r="G14713" s="2" t="str">
        <f>"SR-21500"</f>
        <v>SR-21500</v>
      </c>
      <c r="H14713" s="2" t="s">
        <v>56948</v>
      </c>
      <c r="I14713" s="2" t="s">
        <v>56949</v>
      </c>
      <c r="K14713" s="2" t="s">
        <v>56950</v>
      </c>
      <c r="L14713" s="2" t="s">
        <v>770</v>
      </c>
      <c r="M14713" s="2">
        <v>96744.0</v>
      </c>
      <c r="N14713" s="2" t="s">
        <v>21</v>
      </c>
    </row>
    <row r="14714" ht="15.75" customHeight="1">
      <c r="A14714" s="2">
        <v>2021.0</v>
      </c>
      <c r="B14714" s="2" t="s">
        <v>50560</v>
      </c>
      <c r="C14714" s="2" t="s">
        <v>50561</v>
      </c>
      <c r="D14714" s="2" t="str">
        <f>"704-641-2821"</f>
        <v>704-641-2821</v>
      </c>
      <c r="E14714" s="2" t="s">
        <v>29155</v>
      </c>
      <c r="F14714" s="2" t="s">
        <v>12923</v>
      </c>
      <c r="G14714" s="2" t="str">
        <f>"SR-18046"</f>
        <v>SR-18046</v>
      </c>
      <c r="H14714" s="2" t="s">
        <v>50562</v>
      </c>
      <c r="I14714" s="2" t="s">
        <v>50563</v>
      </c>
      <c r="K14714" s="2" t="s">
        <v>50564</v>
      </c>
      <c r="L14714" s="2" t="s">
        <v>20</v>
      </c>
      <c r="M14714" s="2">
        <v>28090.0</v>
      </c>
      <c r="N14714" s="2" t="s">
        <v>21</v>
      </c>
    </row>
    <row r="14715" ht="15.75" customHeight="1">
      <c r="A14715" s="2">
        <v>2021.0</v>
      </c>
      <c r="B14715" s="2" t="s">
        <v>50599</v>
      </c>
      <c r="C14715" s="2" t="s">
        <v>50600</v>
      </c>
      <c r="D14715" s="2" t="str">
        <f>"918-986-0330"</f>
        <v>918-986-0330</v>
      </c>
      <c r="E14715" s="2" t="s">
        <v>44587</v>
      </c>
      <c r="F14715" s="2" t="s">
        <v>1257</v>
      </c>
      <c r="G14715" s="2" t="str">
        <f>"SR-18060"</f>
        <v>SR-18060</v>
      </c>
      <c r="H14715" s="2" t="s">
        <v>50601</v>
      </c>
      <c r="I14715" s="2" t="s">
        <v>50602</v>
      </c>
      <c r="K14715" s="2" t="s">
        <v>29982</v>
      </c>
      <c r="L14715" s="2" t="s">
        <v>840</v>
      </c>
      <c r="M14715" s="2">
        <v>74021.0</v>
      </c>
      <c r="N14715" s="2" t="s">
        <v>21</v>
      </c>
    </row>
    <row r="14716" ht="15.75" customHeight="1">
      <c r="A14716" s="2">
        <v>2021.0</v>
      </c>
      <c r="B14716" s="2" t="s">
        <v>52063</v>
      </c>
      <c r="C14716" s="2" t="s">
        <v>52064</v>
      </c>
      <c r="D14716" s="2" t="str">
        <f>"3367824243"</f>
        <v>3367824243</v>
      </c>
      <c r="E14716" s="2" t="s">
        <v>225</v>
      </c>
      <c r="F14716" s="2" t="s">
        <v>13946</v>
      </c>
      <c r="G14716" s="2" t="str">
        <f>"SR-18599"</f>
        <v>SR-18599</v>
      </c>
      <c r="H14716" s="2" t="s">
        <v>52065</v>
      </c>
      <c r="I14716" s="2" t="s">
        <v>52066</v>
      </c>
      <c r="K14716" s="2" t="s">
        <v>25468</v>
      </c>
      <c r="L14716" s="2" t="s">
        <v>20</v>
      </c>
      <c r="M14716" s="2">
        <v>27284.0</v>
      </c>
      <c r="N14716" s="2" t="s">
        <v>21</v>
      </c>
    </row>
    <row r="14717" ht="15.75" customHeight="1">
      <c r="A14717" s="2">
        <v>2021.0</v>
      </c>
      <c r="B14717" s="2" t="s">
        <v>56951</v>
      </c>
      <c r="C14717" s="2" t="s">
        <v>56952</v>
      </c>
      <c r="D14717" s="2" t="str">
        <f>"9379023316"</f>
        <v>9379023316</v>
      </c>
      <c r="E14717" s="2" t="s">
        <v>56953</v>
      </c>
      <c r="F14717" s="2" t="s">
        <v>10983</v>
      </c>
      <c r="G14717" s="2" t="str">
        <f>"SR-21493"</f>
        <v>SR-21493</v>
      </c>
      <c r="H14717" s="2" t="s">
        <v>56954</v>
      </c>
      <c r="I14717" s="2" t="s">
        <v>56955</v>
      </c>
      <c r="K14717" s="2" t="s">
        <v>56956</v>
      </c>
      <c r="L14717" s="2" t="s">
        <v>344</v>
      </c>
      <c r="M14717" s="2">
        <v>45323.0</v>
      </c>
      <c r="N14717" s="2" t="s">
        <v>21</v>
      </c>
    </row>
    <row r="14718" ht="15.75" customHeight="1">
      <c r="A14718" s="2">
        <v>2021.0</v>
      </c>
      <c r="B14718" s="2" t="s">
        <v>56957</v>
      </c>
      <c r="C14718" s="2" t="s">
        <v>56958</v>
      </c>
      <c r="D14718" s="2" t="str">
        <f>"719-722-5863"</f>
        <v>719-722-5863</v>
      </c>
      <c r="E14718" s="2" t="s">
        <v>51282</v>
      </c>
      <c r="F14718" s="2" t="s">
        <v>1141</v>
      </c>
      <c r="G14718" s="2" t="str">
        <f>"SR-21504"</f>
        <v>SR-21504</v>
      </c>
      <c r="H14718" s="2" t="s">
        <v>56959</v>
      </c>
      <c r="I14718" s="2" t="s">
        <v>56960</v>
      </c>
      <c r="K14718" s="2" t="s">
        <v>809</v>
      </c>
      <c r="L14718" s="2" t="s">
        <v>157</v>
      </c>
      <c r="M14718" s="2">
        <v>80920.0</v>
      </c>
      <c r="N14718" s="2" t="s">
        <v>21</v>
      </c>
    </row>
    <row r="14719" ht="15.75" customHeight="1">
      <c r="A14719" s="2">
        <v>2021.0</v>
      </c>
      <c r="B14719" s="2" t="s">
        <v>43286</v>
      </c>
      <c r="C14719" s="2" t="s">
        <v>56961</v>
      </c>
      <c r="D14719" s="2" t="str">
        <f>"469-659-5828"</f>
        <v>469-659-5828</v>
      </c>
      <c r="E14719" s="2" t="s">
        <v>4322</v>
      </c>
      <c r="F14719" s="2" t="s">
        <v>43288</v>
      </c>
      <c r="G14719" s="2" t="str">
        <f>"SR-20731"</f>
        <v>SR-20731</v>
      </c>
      <c r="H14719" s="2" t="s">
        <v>56962</v>
      </c>
      <c r="I14719" s="2" t="s">
        <v>43290</v>
      </c>
      <c r="K14719" s="2" t="s">
        <v>301</v>
      </c>
      <c r="L14719" s="2" t="s">
        <v>172</v>
      </c>
      <c r="M14719" s="2">
        <v>75409.0</v>
      </c>
      <c r="N14719" s="2" t="s">
        <v>21</v>
      </c>
    </row>
    <row r="14720" ht="15.75" customHeight="1">
      <c r="A14720" s="2">
        <v>2021.0</v>
      </c>
      <c r="B14720" s="2" t="s">
        <v>43286</v>
      </c>
      <c r="C14720" s="2" t="s">
        <v>43287</v>
      </c>
      <c r="D14720" s="2" t="str">
        <f>"2148438351"</f>
        <v>2148438351</v>
      </c>
      <c r="E14720" s="2" t="s">
        <v>3043</v>
      </c>
      <c r="F14720" s="2" t="s">
        <v>43288</v>
      </c>
      <c r="G14720" s="2" t="str">
        <f>"SR-15159"</f>
        <v>SR-15159</v>
      </c>
      <c r="H14720" s="2" t="s">
        <v>43289</v>
      </c>
      <c r="I14720" s="2" t="s">
        <v>43290</v>
      </c>
      <c r="K14720" s="2" t="s">
        <v>301</v>
      </c>
      <c r="L14720" s="2" t="s">
        <v>172</v>
      </c>
      <c r="M14720" s="2">
        <v>75409.0</v>
      </c>
      <c r="N14720" s="2" t="s">
        <v>21</v>
      </c>
    </row>
    <row r="14721" ht="15.75" customHeight="1">
      <c r="A14721" s="2">
        <v>2021.0</v>
      </c>
      <c r="B14721" s="2" t="s">
        <v>56963</v>
      </c>
      <c r="C14721" s="2" t="s">
        <v>56963</v>
      </c>
      <c r="D14721" s="2" t="str">
        <f>"6055457339"</f>
        <v>6055457339</v>
      </c>
      <c r="E14721" s="2" t="s">
        <v>752</v>
      </c>
      <c r="F14721" s="2" t="s">
        <v>2297</v>
      </c>
      <c r="G14721" s="2" t="str">
        <f>"SR-21505"</f>
        <v>SR-21505</v>
      </c>
      <c r="H14721" s="2" t="s">
        <v>56964</v>
      </c>
      <c r="I14721" s="2" t="s">
        <v>56965</v>
      </c>
      <c r="J14721" s="2" t="s">
        <v>56966</v>
      </c>
      <c r="K14721" s="2" t="s">
        <v>56967</v>
      </c>
      <c r="L14721" s="2" t="s">
        <v>920</v>
      </c>
      <c r="M14721" s="2">
        <v>57725.0</v>
      </c>
      <c r="N14721" s="2" t="s">
        <v>21</v>
      </c>
    </row>
    <row r="14722" ht="15.75" customHeight="1">
      <c r="A14722" s="2">
        <v>2021.0</v>
      </c>
      <c r="B14722" s="2" t="s">
        <v>56968</v>
      </c>
      <c r="C14722" s="2" t="s">
        <v>56969</v>
      </c>
      <c r="D14722" s="2" t="str">
        <f>"6827022834"</f>
        <v>6827022834</v>
      </c>
      <c r="E14722" s="2" t="s">
        <v>453</v>
      </c>
      <c r="F14722" s="2" t="s">
        <v>3320</v>
      </c>
      <c r="G14722" s="2" t="str">
        <f>"SR-21507"</f>
        <v>SR-21507</v>
      </c>
      <c r="H14722" s="2" t="s">
        <v>56970</v>
      </c>
      <c r="I14722" s="2" t="s">
        <v>56971</v>
      </c>
      <c r="K14722" s="2" t="s">
        <v>8956</v>
      </c>
      <c r="L14722" s="2" t="s">
        <v>172</v>
      </c>
      <c r="M14722" s="2">
        <v>76033.0</v>
      </c>
      <c r="N14722" s="2" t="s">
        <v>21</v>
      </c>
    </row>
    <row r="14723" ht="15.75" customHeight="1">
      <c r="A14723" s="2">
        <v>2021.0</v>
      </c>
      <c r="B14723" s="2" t="s">
        <v>54355</v>
      </c>
      <c r="C14723" s="2" t="s">
        <v>54355</v>
      </c>
      <c r="D14723" s="2" t="str">
        <f>"541-373-7485"</f>
        <v>541-373-7485</v>
      </c>
      <c r="E14723" s="2" t="s">
        <v>44272</v>
      </c>
      <c r="F14723" s="2" t="s">
        <v>54356</v>
      </c>
      <c r="G14723" s="2" t="str">
        <f>"SR-20340"</f>
        <v>SR-20340</v>
      </c>
      <c r="H14723" s="2" t="s">
        <v>54357</v>
      </c>
      <c r="I14723" s="2" t="s">
        <v>54358</v>
      </c>
      <c r="J14723" s="2" t="s">
        <v>54359</v>
      </c>
      <c r="K14723" s="2" t="s">
        <v>54360</v>
      </c>
      <c r="L14723" s="2" t="s">
        <v>2389</v>
      </c>
      <c r="M14723" s="2">
        <v>97444.0</v>
      </c>
      <c r="N14723" s="2" t="s">
        <v>21</v>
      </c>
    </row>
    <row r="14724" ht="15.75" customHeight="1">
      <c r="A14724" s="2">
        <v>2021.0</v>
      </c>
      <c r="B14724" s="2" t="s">
        <v>56972</v>
      </c>
      <c r="C14724" s="2" t="s">
        <v>56973</v>
      </c>
      <c r="D14724" s="2" t="str">
        <f>"4788329142"</f>
        <v>4788329142</v>
      </c>
      <c r="E14724" s="2" t="s">
        <v>938</v>
      </c>
      <c r="F14724" s="2" t="s">
        <v>56974</v>
      </c>
      <c r="G14724" s="2" t="str">
        <f>"SR-21499"</f>
        <v>SR-21499</v>
      </c>
      <c r="H14724" s="2" t="s">
        <v>56975</v>
      </c>
      <c r="I14724" s="2" t="s">
        <v>56976</v>
      </c>
      <c r="K14724" s="2" t="s">
        <v>10358</v>
      </c>
      <c r="L14724" s="2" t="s">
        <v>200</v>
      </c>
      <c r="M14724" s="2">
        <v>31008.0</v>
      </c>
      <c r="N14724" s="2" t="s">
        <v>21</v>
      </c>
    </row>
    <row r="14725" ht="15.75" customHeight="1">
      <c r="A14725" s="2">
        <v>2021.0</v>
      </c>
      <c r="B14725" s="2" t="s">
        <v>43906</v>
      </c>
      <c r="C14725" s="2" t="s">
        <v>43907</v>
      </c>
      <c r="D14725" s="2" t="str">
        <f>"330 235 3730"</f>
        <v>330 235 3730</v>
      </c>
      <c r="E14725" s="2" t="s">
        <v>3196</v>
      </c>
      <c r="F14725" s="2" t="s">
        <v>43908</v>
      </c>
      <c r="G14725" s="2" t="str">
        <f>"SR-15462"</f>
        <v>SR-15462</v>
      </c>
      <c r="H14725" s="2" t="s">
        <v>43909</v>
      </c>
      <c r="I14725" s="2" t="s">
        <v>43910</v>
      </c>
      <c r="K14725" s="2" t="s">
        <v>43911</v>
      </c>
      <c r="L14725" s="2" t="s">
        <v>344</v>
      </c>
      <c r="M14725" s="2">
        <v>44266.0</v>
      </c>
      <c r="N14725" s="2" t="s">
        <v>21</v>
      </c>
    </row>
    <row r="14726" ht="15.75" customHeight="1">
      <c r="A14726" s="2">
        <v>2021.0</v>
      </c>
      <c r="B14726" s="2" t="s">
        <v>49778</v>
      </c>
      <c r="C14726" s="2" t="s">
        <v>49779</v>
      </c>
      <c r="D14726" s="2" t="str">
        <f>"9712838414"</f>
        <v>9712838414</v>
      </c>
      <c r="E14726" s="2" t="s">
        <v>4871</v>
      </c>
      <c r="F14726" s="2" t="s">
        <v>7396</v>
      </c>
      <c r="G14726" s="2" t="str">
        <f>"SR-17784"</f>
        <v>SR-17784</v>
      </c>
      <c r="H14726" s="2" t="s">
        <v>49780</v>
      </c>
      <c r="I14726" s="2" t="s">
        <v>49781</v>
      </c>
      <c r="K14726" s="2" t="s">
        <v>49782</v>
      </c>
      <c r="L14726" s="2" t="s">
        <v>2389</v>
      </c>
      <c r="M14726" s="2">
        <v>97303.0</v>
      </c>
      <c r="N14726" s="2" t="s">
        <v>21</v>
      </c>
    </row>
    <row r="14727" ht="15.75" customHeight="1">
      <c r="A14727" s="2">
        <v>2021.0</v>
      </c>
      <c r="B14727" s="2" t="s">
        <v>56977</v>
      </c>
      <c r="C14727" s="2" t="s">
        <v>56977</v>
      </c>
      <c r="D14727" s="2" t="str">
        <f>"5714203368"</f>
        <v>5714203368</v>
      </c>
      <c r="E14727" s="2" t="s">
        <v>167</v>
      </c>
      <c r="F14727" s="2" t="s">
        <v>1929</v>
      </c>
      <c r="G14727" s="2" t="str">
        <f>"SR-21510"</f>
        <v>SR-21510</v>
      </c>
      <c r="H14727" s="2" t="s">
        <v>56978</v>
      </c>
      <c r="I14727" s="2" t="s">
        <v>56979</v>
      </c>
      <c r="K14727" s="2" t="s">
        <v>56980</v>
      </c>
      <c r="L14727" s="2" t="s">
        <v>165</v>
      </c>
      <c r="M14727" s="2">
        <v>20141.0</v>
      </c>
      <c r="N14727" s="2" t="s">
        <v>21</v>
      </c>
    </row>
    <row r="14728" ht="15.75" customHeight="1">
      <c r="A14728" s="2">
        <v>2021.0</v>
      </c>
      <c r="B14728" s="2" t="s">
        <v>49793</v>
      </c>
      <c r="C14728" s="2" t="s">
        <v>49794</v>
      </c>
      <c r="D14728" s="2" t="str">
        <f>"5034000400"</f>
        <v>5034000400</v>
      </c>
      <c r="E14728" s="2" t="s">
        <v>23409</v>
      </c>
      <c r="F14728" s="2" t="s">
        <v>2954</v>
      </c>
      <c r="G14728" s="2" t="str">
        <f>"SR-17792"</f>
        <v>SR-17792</v>
      </c>
      <c r="H14728" s="2" t="s">
        <v>49795</v>
      </c>
      <c r="I14728" s="2" t="s">
        <v>49796</v>
      </c>
      <c r="K14728" s="2" t="s">
        <v>5131</v>
      </c>
      <c r="L14728" s="2" t="s">
        <v>2389</v>
      </c>
      <c r="M14728" s="2">
        <v>97305.0</v>
      </c>
      <c r="N14728" s="2" t="s">
        <v>21</v>
      </c>
    </row>
    <row r="14729" ht="15.75" customHeight="1">
      <c r="A14729" s="2">
        <v>2021.0</v>
      </c>
      <c r="B14729" s="2" t="s">
        <v>51092</v>
      </c>
      <c r="C14729" s="2" t="s">
        <v>51092</v>
      </c>
      <c r="D14729" s="2" t="str">
        <f>"2244698184"</f>
        <v>2244698184</v>
      </c>
      <c r="E14729" s="2" t="s">
        <v>24317</v>
      </c>
      <c r="F14729" s="2" t="s">
        <v>51093</v>
      </c>
      <c r="G14729" s="2" t="str">
        <f>"SR-18200"</f>
        <v>SR-18200</v>
      </c>
      <c r="H14729" s="2" t="s">
        <v>51094</v>
      </c>
      <c r="I14729" s="2" t="s">
        <v>51095</v>
      </c>
      <c r="J14729" s="2" t="s">
        <v>51096</v>
      </c>
      <c r="K14729" s="2" t="s">
        <v>51097</v>
      </c>
      <c r="L14729" s="2" t="s">
        <v>193</v>
      </c>
      <c r="M14729" s="2">
        <v>53192.0</v>
      </c>
      <c r="N14729" s="2" t="s">
        <v>21</v>
      </c>
    </row>
    <row r="14730" ht="15.75" customHeight="1">
      <c r="A14730" s="2">
        <v>2021.0</v>
      </c>
      <c r="B14730" s="2" t="s">
        <v>56981</v>
      </c>
      <c r="C14730" s="2" t="s">
        <v>56981</v>
      </c>
      <c r="D14730" s="2" t="str">
        <f>"719-469-5152"</f>
        <v>719-469-5152</v>
      </c>
      <c r="E14730" s="2" t="s">
        <v>2126</v>
      </c>
      <c r="F14730" s="2" t="s">
        <v>56982</v>
      </c>
      <c r="G14730" s="2" t="str">
        <f>"SR-21509"</f>
        <v>SR-21509</v>
      </c>
      <c r="H14730" s="2" t="s">
        <v>56983</v>
      </c>
      <c r="I14730" s="2" t="s">
        <v>56984</v>
      </c>
      <c r="K14730" s="2" t="s">
        <v>36161</v>
      </c>
      <c r="L14730" s="2" t="s">
        <v>157</v>
      </c>
      <c r="M14730" s="2">
        <v>81050.0</v>
      </c>
      <c r="N14730" s="2" t="s">
        <v>21</v>
      </c>
    </row>
    <row r="14731" ht="15.75" customHeight="1">
      <c r="A14731" s="2">
        <v>2021.0</v>
      </c>
      <c r="B14731" s="2" t="s">
        <v>56985</v>
      </c>
      <c r="C14731" s="2" t="s">
        <v>56986</v>
      </c>
      <c r="D14731" s="2" t="str">
        <f>"6512783277"</f>
        <v>6512783277</v>
      </c>
      <c r="E14731" s="2" t="s">
        <v>705</v>
      </c>
      <c r="F14731" s="2" t="s">
        <v>638</v>
      </c>
      <c r="G14731" s="2" t="str">
        <f>"SR-21511"</f>
        <v>SR-21511</v>
      </c>
      <c r="H14731" s="2" t="s">
        <v>56987</v>
      </c>
      <c r="I14731" s="2" t="s">
        <v>56988</v>
      </c>
      <c r="K14731" s="2" t="s">
        <v>16624</v>
      </c>
      <c r="L14731" s="2" t="s">
        <v>62</v>
      </c>
      <c r="M14731" s="2">
        <v>55112.0</v>
      </c>
      <c r="N14731" s="2" t="s">
        <v>21</v>
      </c>
    </row>
    <row r="14732" ht="15.75" customHeight="1">
      <c r="A14732" s="2">
        <v>2021.0</v>
      </c>
      <c r="B14732" s="2" t="s">
        <v>56989</v>
      </c>
      <c r="C14732" s="2" t="s">
        <v>56989</v>
      </c>
      <c r="D14732" s="2" t="str">
        <f>"903-453-7282"</f>
        <v>903-453-7282</v>
      </c>
      <c r="E14732" s="2" t="s">
        <v>843</v>
      </c>
      <c r="F14732" s="2" t="s">
        <v>25104</v>
      </c>
      <c r="G14732" s="2" t="str">
        <f>"SR-21464"</f>
        <v>SR-21464</v>
      </c>
      <c r="H14732" s="2" t="s">
        <v>56990</v>
      </c>
      <c r="I14732" s="2" t="s">
        <v>25106</v>
      </c>
      <c r="K14732" s="2" t="s">
        <v>54</v>
      </c>
      <c r="L14732" s="2" t="s">
        <v>172</v>
      </c>
      <c r="M14732" s="2">
        <v>75402.0</v>
      </c>
      <c r="N14732" s="2" t="s">
        <v>21</v>
      </c>
    </row>
    <row r="14733" ht="15.75" customHeight="1">
      <c r="A14733" s="2">
        <v>2021.0</v>
      </c>
      <c r="B14733" s="2" t="s">
        <v>56991</v>
      </c>
      <c r="C14733" s="2" t="s">
        <v>56992</v>
      </c>
      <c r="D14733" s="2" t="str">
        <f>"314-471-5875"</f>
        <v>314-471-5875</v>
      </c>
      <c r="E14733" s="2" t="s">
        <v>1946</v>
      </c>
      <c r="F14733" s="2" t="s">
        <v>6030</v>
      </c>
      <c r="G14733" s="2" t="str">
        <f>"SR-21404"</f>
        <v>SR-21404</v>
      </c>
      <c r="H14733" s="2" t="s">
        <v>56993</v>
      </c>
      <c r="I14733" s="2" t="s">
        <v>56994</v>
      </c>
      <c r="K14733" s="2" t="s">
        <v>2666</v>
      </c>
      <c r="L14733" s="2" t="s">
        <v>214</v>
      </c>
      <c r="M14733" s="2">
        <v>63129.0</v>
      </c>
      <c r="N14733" s="2" t="s">
        <v>21</v>
      </c>
    </row>
    <row r="14734" ht="15.75" customHeight="1">
      <c r="A14734" s="2">
        <v>2021.0</v>
      </c>
      <c r="B14734" s="2" t="s">
        <v>56995</v>
      </c>
      <c r="C14734" s="2" t="s">
        <v>56995</v>
      </c>
      <c r="D14734" s="2" t="str">
        <f>"231-750-1096"</f>
        <v>231-750-1096</v>
      </c>
      <c r="E14734" s="2" t="s">
        <v>2162</v>
      </c>
      <c r="F14734" s="2" t="s">
        <v>16668</v>
      </c>
      <c r="G14734" s="2" t="str">
        <f>"SR-21513"</f>
        <v>SR-21513</v>
      </c>
      <c r="H14734" s="2" t="s">
        <v>56996</v>
      </c>
      <c r="I14734" s="2" t="s">
        <v>56997</v>
      </c>
      <c r="K14734" s="2" t="s">
        <v>18776</v>
      </c>
      <c r="L14734" s="2" t="s">
        <v>29</v>
      </c>
      <c r="M14734" s="2">
        <v>49442.0</v>
      </c>
      <c r="N14734" s="2" t="s">
        <v>21</v>
      </c>
    </row>
    <row r="14735" ht="15.75" customHeight="1">
      <c r="A14735" s="2">
        <v>2021.0</v>
      </c>
      <c r="B14735" s="2" t="s">
        <v>56995</v>
      </c>
      <c r="C14735" s="2" t="s">
        <v>56995</v>
      </c>
      <c r="D14735" s="2" t="str">
        <f>"2317501096"</f>
        <v>2317501096</v>
      </c>
      <c r="E14735" s="2" t="s">
        <v>137</v>
      </c>
      <c r="F14735" s="2" t="s">
        <v>16668</v>
      </c>
      <c r="G14735" s="2" t="str">
        <f>"SR-21514"</f>
        <v>SR-21514</v>
      </c>
      <c r="H14735" s="2" t="s">
        <v>56998</v>
      </c>
      <c r="I14735" s="2" t="s">
        <v>56997</v>
      </c>
      <c r="K14735" s="2" t="s">
        <v>18776</v>
      </c>
      <c r="L14735" s="2" t="s">
        <v>29</v>
      </c>
      <c r="M14735" s="2">
        <v>49442.0</v>
      </c>
      <c r="N14735" s="2" t="s">
        <v>21</v>
      </c>
    </row>
    <row r="14736" ht="15.75" customHeight="1">
      <c r="A14736" s="2">
        <v>2021.0</v>
      </c>
      <c r="B14736" s="2" t="s">
        <v>56999</v>
      </c>
      <c r="C14736" s="2" t="s">
        <v>56999</v>
      </c>
      <c r="D14736" s="2" t="str">
        <f>"7652020753"</f>
        <v>7652020753</v>
      </c>
      <c r="E14736" s="2" t="s">
        <v>843</v>
      </c>
      <c r="F14736" s="2" t="s">
        <v>14493</v>
      </c>
      <c r="G14736" s="2" t="str">
        <f>"SR-21484"</f>
        <v>SR-21484</v>
      </c>
      <c r="H14736" s="2" t="s">
        <v>49386</v>
      </c>
      <c r="I14736" s="2" t="s">
        <v>57000</v>
      </c>
      <c r="J14736" s="2" t="s">
        <v>57001</v>
      </c>
      <c r="K14736" s="2" t="s">
        <v>49388</v>
      </c>
      <c r="L14736" s="2" t="s">
        <v>149</v>
      </c>
      <c r="M14736" s="2">
        <v>46923.0</v>
      </c>
      <c r="N14736" s="2" t="s">
        <v>21</v>
      </c>
    </row>
    <row r="14737" ht="15.75" customHeight="1">
      <c r="A14737" s="2">
        <v>2021.0</v>
      </c>
      <c r="B14737" s="2" t="s">
        <v>51290</v>
      </c>
      <c r="C14737" s="2" t="s">
        <v>51291</v>
      </c>
      <c r="D14737" s="2" t="str">
        <f>"7194008950"</f>
        <v>7194008950</v>
      </c>
      <c r="E14737" s="2" t="s">
        <v>51292</v>
      </c>
      <c r="F14737" s="2" t="s">
        <v>2429</v>
      </c>
      <c r="G14737" s="2" t="str">
        <f>"SR-16248"</f>
        <v>SR-16248</v>
      </c>
      <c r="H14737" s="2" t="s">
        <v>51293</v>
      </c>
      <c r="I14737" s="2" t="s">
        <v>51294</v>
      </c>
      <c r="K14737" s="2" t="s">
        <v>809</v>
      </c>
      <c r="L14737" s="2" t="s">
        <v>157</v>
      </c>
      <c r="M14737" s="2">
        <v>80908.0</v>
      </c>
      <c r="N14737" s="2" t="s">
        <v>21</v>
      </c>
    </row>
    <row r="14738" ht="15.75" customHeight="1">
      <c r="A14738" s="2">
        <v>2021.0</v>
      </c>
      <c r="B14738" s="2" t="s">
        <v>57002</v>
      </c>
      <c r="C14738" s="2" t="s">
        <v>57003</v>
      </c>
      <c r="D14738" s="2" t="str">
        <f>"618-975-2498"</f>
        <v>618-975-2498</v>
      </c>
      <c r="E14738" s="2" t="s">
        <v>1208</v>
      </c>
      <c r="F14738" s="2" t="s">
        <v>57004</v>
      </c>
      <c r="G14738" s="2" t="str">
        <f>"SR-21515"</f>
        <v>SR-21515</v>
      </c>
      <c r="H14738" s="2" t="s">
        <v>57005</v>
      </c>
      <c r="I14738" s="2" t="s">
        <v>57006</v>
      </c>
      <c r="K14738" s="2" t="s">
        <v>4115</v>
      </c>
      <c r="L14738" s="2" t="s">
        <v>105</v>
      </c>
      <c r="M14738" s="2">
        <v>62294.0</v>
      </c>
      <c r="N14738" s="2" t="s">
        <v>21</v>
      </c>
    </row>
    <row r="14739" ht="15.75" customHeight="1">
      <c r="A14739" s="2">
        <v>2021.0</v>
      </c>
      <c r="B14739" s="2" t="s">
        <v>57007</v>
      </c>
      <c r="C14739" s="2" t="s">
        <v>57008</v>
      </c>
      <c r="D14739" s="2" t="str">
        <f>"3166404698"</f>
        <v>3166404698</v>
      </c>
      <c r="E14739" s="2" t="s">
        <v>301</v>
      </c>
      <c r="F14739" s="2" t="s">
        <v>256</v>
      </c>
      <c r="G14739" s="2" t="str">
        <f>"SR-21518"</f>
        <v>SR-21518</v>
      </c>
      <c r="H14739" s="2" t="s">
        <v>57009</v>
      </c>
      <c r="I14739" s="2" t="s">
        <v>57010</v>
      </c>
      <c r="K14739" s="2" t="s">
        <v>1026</v>
      </c>
      <c r="L14739" s="2" t="s">
        <v>272</v>
      </c>
      <c r="M14739" s="2">
        <v>67937.0</v>
      </c>
      <c r="N14739" s="2" t="s">
        <v>21</v>
      </c>
    </row>
    <row r="14740" ht="15.75" customHeight="1">
      <c r="A14740" s="2">
        <v>2021.0</v>
      </c>
      <c r="B14740" s="2" t="s">
        <v>57011</v>
      </c>
      <c r="C14740" s="2" t="s">
        <v>57011</v>
      </c>
      <c r="D14740" s="2" t="str">
        <f>"6267739858"</f>
        <v>6267739858</v>
      </c>
      <c r="E14740" s="2" t="s">
        <v>137</v>
      </c>
      <c r="F14740" s="2" t="s">
        <v>57012</v>
      </c>
      <c r="G14740" s="2" t="str">
        <f>"SR-21453"</f>
        <v>SR-21453</v>
      </c>
      <c r="H14740" s="2" t="s">
        <v>57013</v>
      </c>
      <c r="I14740" s="2" t="s">
        <v>57014</v>
      </c>
      <c r="K14740" s="2" t="s">
        <v>14304</v>
      </c>
      <c r="L14740" s="2" t="s">
        <v>279</v>
      </c>
      <c r="M14740" s="2">
        <v>37135.0</v>
      </c>
      <c r="N14740" s="2" t="s">
        <v>21</v>
      </c>
    </row>
    <row r="14741" ht="15.75" customHeight="1">
      <c r="A14741" s="2">
        <v>2021.0</v>
      </c>
      <c r="B14741" s="2" t="s">
        <v>50376</v>
      </c>
      <c r="C14741" s="2" t="s">
        <v>50377</v>
      </c>
      <c r="D14741" s="2" t="str">
        <f>"5032179201"</f>
        <v>5032179201</v>
      </c>
      <c r="E14741" s="2" t="s">
        <v>1529</v>
      </c>
      <c r="F14741" s="2" t="s">
        <v>42553</v>
      </c>
      <c r="G14741" s="2" t="str">
        <f>"SR-17888"</f>
        <v>SR-17888</v>
      </c>
      <c r="H14741" s="2" t="s">
        <v>50378</v>
      </c>
      <c r="I14741" s="2" t="s">
        <v>50379</v>
      </c>
      <c r="K14741" s="2" t="s">
        <v>49782</v>
      </c>
      <c r="L14741" s="2" t="s">
        <v>2389</v>
      </c>
      <c r="M14741" s="2">
        <v>97303.0</v>
      </c>
      <c r="N14741" s="2" t="s">
        <v>21</v>
      </c>
    </row>
    <row r="14742" ht="15.75" customHeight="1">
      <c r="A14742" s="2">
        <v>2021.0</v>
      </c>
      <c r="B14742" s="2" t="s">
        <v>46968</v>
      </c>
      <c r="C14742" s="2" t="s">
        <v>57015</v>
      </c>
      <c r="D14742" s="2" t="str">
        <f>"3035647934"</f>
        <v>3035647934</v>
      </c>
      <c r="E14742" s="2" t="s">
        <v>57016</v>
      </c>
      <c r="F14742" s="2" t="s">
        <v>57017</v>
      </c>
      <c r="G14742" s="2" t="str">
        <f>"SR-21521"</f>
        <v>SR-21521</v>
      </c>
      <c r="H14742" s="2" t="s">
        <v>57018</v>
      </c>
      <c r="I14742" s="2" t="s">
        <v>57019</v>
      </c>
      <c r="K14742" s="2" t="s">
        <v>46974</v>
      </c>
      <c r="L14742" s="2" t="s">
        <v>157</v>
      </c>
      <c r="M14742" s="2">
        <v>80013.0</v>
      </c>
      <c r="N14742" s="2" t="s">
        <v>21</v>
      </c>
    </row>
    <row r="14743" ht="15.75" customHeight="1">
      <c r="A14743" s="2">
        <v>2021.0</v>
      </c>
      <c r="B14743" s="2" t="s">
        <v>57020</v>
      </c>
      <c r="C14743" s="2" t="s">
        <v>57021</v>
      </c>
      <c r="D14743" s="2" t="str">
        <f>"3182432470"</f>
        <v>3182432470</v>
      </c>
      <c r="E14743" s="2" t="s">
        <v>4665</v>
      </c>
      <c r="F14743" s="2" t="s">
        <v>57022</v>
      </c>
      <c r="G14743" s="2" t="str">
        <f>"SR-21524"</f>
        <v>SR-21524</v>
      </c>
      <c r="H14743" s="2" t="s">
        <v>57023</v>
      </c>
      <c r="I14743" s="2" t="s">
        <v>57024</v>
      </c>
      <c r="K14743" s="2" t="s">
        <v>714</v>
      </c>
      <c r="L14743" s="2" t="s">
        <v>715</v>
      </c>
      <c r="M14743" s="2">
        <v>71270.0</v>
      </c>
      <c r="N14743" s="2" t="s">
        <v>21</v>
      </c>
    </row>
    <row r="14744" ht="15.75" customHeight="1">
      <c r="A14744" s="2">
        <v>2021.0</v>
      </c>
      <c r="B14744" s="2" t="s">
        <v>34648</v>
      </c>
      <c r="C14744" s="2" t="s">
        <v>57025</v>
      </c>
      <c r="D14744" s="2" t="str">
        <f>"318-514-8788"</f>
        <v>318-514-8788</v>
      </c>
      <c r="E14744" s="2" t="s">
        <v>16650</v>
      </c>
      <c r="F14744" s="2" t="s">
        <v>11586</v>
      </c>
      <c r="G14744" s="2" t="str">
        <f>"SR-21523"</f>
        <v>SR-21523</v>
      </c>
      <c r="H14744" s="2" t="s">
        <v>57026</v>
      </c>
      <c r="I14744" s="2" t="s">
        <v>57027</v>
      </c>
      <c r="K14744" s="2" t="s">
        <v>714</v>
      </c>
      <c r="L14744" s="2" t="s">
        <v>715</v>
      </c>
      <c r="M14744" s="2">
        <v>71270.0</v>
      </c>
      <c r="N14744" s="2" t="s">
        <v>21</v>
      </c>
    </row>
    <row r="14745" ht="15.75" customHeight="1">
      <c r="A14745" s="2">
        <v>2021.0</v>
      </c>
      <c r="B14745" s="2" t="s">
        <v>57028</v>
      </c>
      <c r="C14745" s="2" t="s">
        <v>57029</v>
      </c>
      <c r="D14745" s="2" t="str">
        <f>"6153089840"</f>
        <v>6153089840</v>
      </c>
      <c r="E14745" s="2" t="s">
        <v>57030</v>
      </c>
      <c r="F14745" s="2" t="s">
        <v>57031</v>
      </c>
      <c r="G14745" s="2" t="str">
        <f>"SR-21522"</f>
        <v>SR-21522</v>
      </c>
      <c r="H14745" s="2" t="s">
        <v>57032</v>
      </c>
      <c r="I14745" s="2" t="s">
        <v>57033</v>
      </c>
      <c r="K14745" s="2" t="s">
        <v>12405</v>
      </c>
      <c r="L14745" s="2" t="s">
        <v>279</v>
      </c>
      <c r="M14745" s="2">
        <v>37128.0</v>
      </c>
      <c r="N14745" s="2" t="s">
        <v>21</v>
      </c>
    </row>
    <row r="14746" ht="15.75" customHeight="1">
      <c r="A14746" s="2">
        <v>2021.0</v>
      </c>
      <c r="B14746" s="2" t="s">
        <v>57034</v>
      </c>
      <c r="C14746" s="2" t="s">
        <v>57035</v>
      </c>
      <c r="D14746" s="2" t="str">
        <f>"9713478103"</f>
        <v>9713478103</v>
      </c>
      <c r="E14746" s="2" t="s">
        <v>456</v>
      </c>
      <c r="F14746" s="2" t="s">
        <v>37220</v>
      </c>
      <c r="G14746" s="2" t="str">
        <f>"SR-21525"</f>
        <v>SR-21525</v>
      </c>
      <c r="H14746" s="2" t="s">
        <v>57036</v>
      </c>
      <c r="I14746" s="2" t="s">
        <v>57037</v>
      </c>
      <c r="K14746" s="2" t="s">
        <v>57038</v>
      </c>
      <c r="L14746" s="2" t="s">
        <v>86</v>
      </c>
      <c r="M14746" s="2">
        <v>98589.0</v>
      </c>
      <c r="N14746" s="2" t="s">
        <v>21</v>
      </c>
    </row>
    <row r="14747" ht="15.75" customHeight="1">
      <c r="A14747" s="2">
        <v>2021.0</v>
      </c>
      <c r="B14747" s="2" t="s">
        <v>57039</v>
      </c>
      <c r="C14747" s="2" t="s">
        <v>57040</v>
      </c>
      <c r="D14747" s="2" t="str">
        <f>"972-632-9299"</f>
        <v>972-632-9299</v>
      </c>
      <c r="E14747" s="2" t="s">
        <v>100</v>
      </c>
      <c r="F14747" s="2" t="s">
        <v>57041</v>
      </c>
      <c r="G14747" s="2" t="str">
        <f>"SR-20890"</f>
        <v>SR-20890</v>
      </c>
      <c r="H14747" s="2" t="s">
        <v>57042</v>
      </c>
      <c r="I14747" s="2" t="s">
        <v>57043</v>
      </c>
      <c r="K14747" s="2" t="s">
        <v>615</v>
      </c>
      <c r="L14747" s="2" t="s">
        <v>172</v>
      </c>
      <c r="M14747" s="2">
        <v>75072.0</v>
      </c>
      <c r="N14747" s="2" t="s">
        <v>21</v>
      </c>
    </row>
    <row r="14748" ht="15.75" customHeight="1">
      <c r="A14748" s="2">
        <v>2021.0</v>
      </c>
      <c r="B14748" s="2" t="s">
        <v>51411</v>
      </c>
      <c r="C14748" s="2" t="s">
        <v>51411</v>
      </c>
      <c r="D14748" s="2" t="str">
        <f>"7209791525"</f>
        <v>7209791525</v>
      </c>
      <c r="E14748" s="2" t="s">
        <v>160</v>
      </c>
      <c r="F14748" s="2" t="s">
        <v>51412</v>
      </c>
      <c r="G14748" s="2" t="str">
        <f>"SR-18199"</f>
        <v>SR-18199</v>
      </c>
      <c r="H14748" s="2" t="s">
        <v>51413</v>
      </c>
      <c r="I14748" s="2" t="s">
        <v>51414</v>
      </c>
      <c r="K14748" s="2" t="s">
        <v>7578</v>
      </c>
      <c r="L14748" s="2" t="s">
        <v>157</v>
      </c>
      <c r="M14748" s="2">
        <v>80118.0</v>
      </c>
      <c r="N14748" s="2" t="s">
        <v>21</v>
      </c>
    </row>
    <row r="14749" ht="15.75" customHeight="1">
      <c r="A14749" s="2">
        <v>2021.0</v>
      </c>
      <c r="B14749" s="2" t="s">
        <v>57044</v>
      </c>
      <c r="C14749" s="2" t="s">
        <v>50181</v>
      </c>
      <c r="D14749" s="2" t="str">
        <f>"7206606387"</f>
        <v>7206606387</v>
      </c>
      <c r="E14749" s="2" t="s">
        <v>301</v>
      </c>
      <c r="F14749" s="2" t="s">
        <v>23389</v>
      </c>
      <c r="G14749" s="2" t="str">
        <f>"SR-20853"</f>
        <v>SR-20853</v>
      </c>
      <c r="H14749" s="2" t="s">
        <v>50182</v>
      </c>
      <c r="I14749" s="2" t="s">
        <v>57045</v>
      </c>
      <c r="K14749" s="2" t="s">
        <v>1054</v>
      </c>
      <c r="L14749" s="2" t="s">
        <v>157</v>
      </c>
      <c r="M14749" s="2">
        <v>80134.0</v>
      </c>
      <c r="N14749" s="2" t="s">
        <v>21</v>
      </c>
    </row>
    <row r="14750" ht="15.75" customHeight="1">
      <c r="A14750" s="2">
        <v>2021.0</v>
      </c>
      <c r="B14750" s="2" t="s">
        <v>57046</v>
      </c>
      <c r="C14750" s="2" t="s">
        <v>57047</v>
      </c>
      <c r="D14750" s="2" t="str">
        <f>"803-587-1996"</f>
        <v>803-587-1996</v>
      </c>
      <c r="E14750" s="2" t="s">
        <v>678</v>
      </c>
      <c r="F14750" s="2" t="s">
        <v>57048</v>
      </c>
      <c r="G14750" s="2" t="str">
        <f>"SR-21528"</f>
        <v>SR-21528</v>
      </c>
      <c r="H14750" s="2" t="s">
        <v>57049</v>
      </c>
      <c r="I14750" s="2" t="s">
        <v>57050</v>
      </c>
      <c r="K14750" s="2" t="s">
        <v>254</v>
      </c>
      <c r="L14750" s="2" t="s">
        <v>55</v>
      </c>
      <c r="M14750" s="2">
        <v>29072.0</v>
      </c>
      <c r="N14750" s="2" t="s">
        <v>21</v>
      </c>
    </row>
    <row r="14751" ht="15.75" customHeight="1">
      <c r="A14751" s="2">
        <v>2021.0</v>
      </c>
      <c r="B14751" s="2" t="s">
        <v>57046</v>
      </c>
      <c r="C14751" s="2" t="s">
        <v>57051</v>
      </c>
      <c r="D14751" s="2" t="str">
        <f>"803-216-4882"</f>
        <v>803-216-4882</v>
      </c>
      <c r="E14751" s="2" t="s">
        <v>137</v>
      </c>
      <c r="F14751" s="2" t="s">
        <v>57048</v>
      </c>
      <c r="G14751" s="2" t="str">
        <f>"SR-21529"</f>
        <v>SR-21529</v>
      </c>
      <c r="H14751" s="2" t="s">
        <v>57052</v>
      </c>
      <c r="I14751" s="2" t="s">
        <v>57050</v>
      </c>
      <c r="K14751" s="2" t="s">
        <v>254</v>
      </c>
      <c r="L14751" s="2" t="s">
        <v>55</v>
      </c>
      <c r="M14751" s="2">
        <v>29072.0</v>
      </c>
      <c r="N14751" s="2" t="s">
        <v>21</v>
      </c>
    </row>
    <row r="14752" ht="15.75" customHeight="1">
      <c r="A14752" s="2">
        <v>2021.0</v>
      </c>
      <c r="B14752" s="2" t="s">
        <v>57053</v>
      </c>
      <c r="C14752" s="2" t="s">
        <v>57054</v>
      </c>
      <c r="D14752" s="2" t="str">
        <f>"919-815-8271"</f>
        <v>919-815-8271</v>
      </c>
      <c r="E14752" s="2" t="s">
        <v>9924</v>
      </c>
      <c r="F14752" s="2" t="s">
        <v>41666</v>
      </c>
      <c r="G14752" s="2" t="str">
        <f>"SR-21531"</f>
        <v>SR-21531</v>
      </c>
      <c r="H14752" s="2" t="s">
        <v>57055</v>
      </c>
      <c r="I14752" s="2" t="s">
        <v>57056</v>
      </c>
      <c r="K14752" s="2" t="s">
        <v>2378</v>
      </c>
      <c r="L14752" s="2" t="s">
        <v>20</v>
      </c>
      <c r="M14752" s="2">
        <v>27520.0</v>
      </c>
      <c r="N14752" s="2" t="s">
        <v>21</v>
      </c>
    </row>
    <row r="14753" ht="15.75" customHeight="1">
      <c r="A14753" s="2">
        <v>2021.0</v>
      </c>
      <c r="B14753" s="2" t="s">
        <v>57057</v>
      </c>
      <c r="C14753" s="2" t="s">
        <v>57058</v>
      </c>
      <c r="D14753" s="2" t="str">
        <f>"406-579-6026"</f>
        <v>406-579-6026</v>
      </c>
      <c r="E14753" s="2" t="s">
        <v>339</v>
      </c>
      <c r="F14753" s="2" t="s">
        <v>57059</v>
      </c>
      <c r="G14753" s="2" t="str">
        <f>"SR-21532"</f>
        <v>SR-21532</v>
      </c>
      <c r="H14753" s="2" t="s">
        <v>57060</v>
      </c>
      <c r="I14753" s="2" t="s">
        <v>57061</v>
      </c>
      <c r="K14753" s="2" t="s">
        <v>12644</v>
      </c>
      <c r="L14753" s="2" t="s">
        <v>2696</v>
      </c>
      <c r="M14753" s="2">
        <v>59718.0</v>
      </c>
      <c r="N14753" s="2" t="s">
        <v>21</v>
      </c>
    </row>
    <row r="14754" ht="15.75" customHeight="1">
      <c r="A14754" s="2">
        <v>2021.0</v>
      </c>
      <c r="B14754" s="2" t="s">
        <v>52622</v>
      </c>
      <c r="C14754" s="2" t="s">
        <v>52623</v>
      </c>
      <c r="D14754" s="2" t="str">
        <f>"662-587-7463"</f>
        <v>662-587-7463</v>
      </c>
      <c r="E14754" s="2" t="s">
        <v>1928</v>
      </c>
      <c r="F14754" s="2" t="s">
        <v>31450</v>
      </c>
      <c r="G14754" s="2" t="str">
        <f>"SR-18807"</f>
        <v>SR-18807</v>
      </c>
      <c r="H14754" s="2" t="s">
        <v>52624</v>
      </c>
      <c r="I14754" s="2" t="s">
        <v>52625</v>
      </c>
      <c r="K14754" s="2" t="s">
        <v>42207</v>
      </c>
      <c r="L14754" s="2" t="s">
        <v>1722</v>
      </c>
      <c r="M14754" s="2">
        <v>38663.0</v>
      </c>
      <c r="N14754" s="2" t="s">
        <v>21</v>
      </c>
    </row>
    <row r="14755" ht="15.75" customHeight="1">
      <c r="A14755" s="2">
        <v>2021.0</v>
      </c>
      <c r="B14755" s="2" t="s">
        <v>55829</v>
      </c>
      <c r="C14755" s="2" t="s">
        <v>57062</v>
      </c>
      <c r="D14755" s="2" t="str">
        <f>"6029782839"</f>
        <v>6029782839</v>
      </c>
      <c r="E14755" s="2" t="s">
        <v>3305</v>
      </c>
      <c r="F14755" s="2" t="s">
        <v>55831</v>
      </c>
      <c r="G14755" s="2" t="str">
        <f>"SR-21533"</f>
        <v>SR-21533</v>
      </c>
      <c r="H14755" s="2" t="s">
        <v>57063</v>
      </c>
      <c r="I14755" s="2" t="s">
        <v>55833</v>
      </c>
      <c r="K14755" s="2" t="s">
        <v>1133</v>
      </c>
      <c r="L14755" s="2" t="s">
        <v>422</v>
      </c>
      <c r="M14755" s="2">
        <v>85032.0</v>
      </c>
      <c r="N14755" s="2" t="s">
        <v>21</v>
      </c>
    </row>
    <row r="14756" ht="15.75" customHeight="1">
      <c r="A14756" s="2">
        <v>2021.0</v>
      </c>
      <c r="B14756" s="2" t="s">
        <v>57064</v>
      </c>
      <c r="C14756" s="2" t="s">
        <v>57065</v>
      </c>
      <c r="D14756" s="2" t="str">
        <f>"719-464-0771"</f>
        <v>719-464-0771</v>
      </c>
      <c r="E14756" s="2" t="s">
        <v>843</v>
      </c>
      <c r="F14756" s="2" t="s">
        <v>3903</v>
      </c>
      <c r="G14756" s="2" t="str">
        <f>"SR-21535"</f>
        <v>SR-21535</v>
      </c>
      <c r="H14756" s="2" t="s">
        <v>57066</v>
      </c>
      <c r="I14756" s="2" t="s">
        <v>41212</v>
      </c>
      <c r="K14756" s="2" t="s">
        <v>809</v>
      </c>
      <c r="L14756" s="2" t="s">
        <v>157</v>
      </c>
      <c r="M14756" s="2">
        <v>80921.0</v>
      </c>
      <c r="N14756" s="2" t="s">
        <v>21</v>
      </c>
    </row>
    <row r="14757" ht="15.75" customHeight="1">
      <c r="A14757" s="2">
        <v>2021.0</v>
      </c>
      <c r="B14757" s="2" t="s">
        <v>53574</v>
      </c>
      <c r="C14757" s="2" t="s">
        <v>54096</v>
      </c>
      <c r="D14757" s="2" t="str">
        <f>"402-525-4998"</f>
        <v>402-525-4998</v>
      </c>
      <c r="E14757" s="2" t="s">
        <v>3305</v>
      </c>
      <c r="F14757" s="2" t="s">
        <v>53576</v>
      </c>
      <c r="G14757" s="2" t="str">
        <f>"SR-19281"</f>
        <v>SR-19281</v>
      </c>
      <c r="H14757" s="2" t="s">
        <v>54097</v>
      </c>
      <c r="I14757" s="2" t="s">
        <v>53578</v>
      </c>
      <c r="K14757" s="2" t="s">
        <v>6354</v>
      </c>
      <c r="L14757" s="2" t="s">
        <v>560</v>
      </c>
      <c r="M14757" s="2">
        <v>50014.0</v>
      </c>
      <c r="N14757" s="2" t="s">
        <v>21</v>
      </c>
    </row>
    <row r="14758" ht="15.75" customHeight="1">
      <c r="A14758" s="2">
        <v>2021.0</v>
      </c>
      <c r="B14758" s="2" t="s">
        <v>57067</v>
      </c>
      <c r="C14758" s="2" t="s">
        <v>57068</v>
      </c>
      <c r="D14758" s="2" t="str">
        <f>"(469) 815-1073"</f>
        <v>(469) 815-1073</v>
      </c>
      <c r="E14758" s="2" t="s">
        <v>34353</v>
      </c>
      <c r="F14758" s="2" t="s">
        <v>57069</v>
      </c>
      <c r="G14758" s="2" t="str">
        <f>"SR-21541"</f>
        <v>SR-21541</v>
      </c>
      <c r="H14758" s="2" t="s">
        <v>57070</v>
      </c>
      <c r="I14758" s="2" t="s">
        <v>57071</v>
      </c>
      <c r="K14758" s="2" t="s">
        <v>57072</v>
      </c>
      <c r="L14758" s="2" t="s">
        <v>172</v>
      </c>
      <c r="M14758" s="2">
        <v>75424.0</v>
      </c>
      <c r="N14758" s="2" t="s">
        <v>21</v>
      </c>
    </row>
    <row r="14759" ht="15.75" customHeight="1">
      <c r="A14759" s="2">
        <v>2021.0</v>
      </c>
      <c r="B14759" s="2" t="s">
        <v>50714</v>
      </c>
      <c r="C14759" s="2" t="s">
        <v>50715</v>
      </c>
      <c r="D14759" s="2" t="str">
        <f>"9793834324"</f>
        <v>9793834324</v>
      </c>
      <c r="E14759" s="2" t="s">
        <v>50716</v>
      </c>
      <c r="F14759" s="2" t="s">
        <v>472</v>
      </c>
      <c r="G14759" s="2" t="str">
        <f>"SR-18098"</f>
        <v>SR-18098</v>
      </c>
      <c r="H14759" s="2" t="s">
        <v>50717</v>
      </c>
      <c r="I14759" s="2" t="s">
        <v>50718</v>
      </c>
      <c r="K14759" s="2" t="s">
        <v>1190</v>
      </c>
      <c r="L14759" s="2" t="s">
        <v>172</v>
      </c>
      <c r="M14759" s="2">
        <v>77808.0</v>
      </c>
      <c r="N14759" s="2" t="s">
        <v>21</v>
      </c>
    </row>
    <row r="14760" ht="15.75" customHeight="1">
      <c r="A14760" s="2">
        <v>2021.0</v>
      </c>
      <c r="B14760" s="2" t="s">
        <v>57073</v>
      </c>
      <c r="C14760" s="2" t="s">
        <v>57073</v>
      </c>
      <c r="D14760" s="2" t="str">
        <f>"717-462-1935"</f>
        <v>717-462-1935</v>
      </c>
      <c r="E14760" s="2" t="s">
        <v>57074</v>
      </c>
      <c r="F14760" s="2" t="s">
        <v>3236</v>
      </c>
      <c r="G14760" s="2" t="str">
        <f>"SR-21544"</f>
        <v>SR-21544</v>
      </c>
      <c r="H14760" s="2" t="s">
        <v>57075</v>
      </c>
      <c r="I14760" s="2" t="s">
        <v>57076</v>
      </c>
      <c r="K14760" s="2" t="s">
        <v>57077</v>
      </c>
      <c r="L14760" s="2" t="s">
        <v>179</v>
      </c>
      <c r="M14760" s="2">
        <v>17013.0</v>
      </c>
      <c r="N14760" s="2" t="s">
        <v>21</v>
      </c>
    </row>
    <row r="14761" ht="15.75" customHeight="1">
      <c r="A14761" s="2">
        <v>2021.0</v>
      </c>
      <c r="B14761" s="2" t="s">
        <v>44271</v>
      </c>
      <c r="C14761" s="2" t="s">
        <v>50192</v>
      </c>
      <c r="D14761" s="2" t="str">
        <f>"615635-8056"</f>
        <v>615635-8056</v>
      </c>
      <c r="E14761" s="2" t="s">
        <v>19884</v>
      </c>
      <c r="F14761" s="2" t="s">
        <v>44273</v>
      </c>
      <c r="G14761" s="2" t="str">
        <f>"SR-15146"</f>
        <v>SR-15146</v>
      </c>
      <c r="H14761" s="2" t="s">
        <v>50193</v>
      </c>
      <c r="I14761" s="2" t="s">
        <v>50194</v>
      </c>
      <c r="K14761" s="2" t="s">
        <v>12405</v>
      </c>
      <c r="L14761" s="2" t="s">
        <v>279</v>
      </c>
      <c r="M14761" s="2">
        <v>37128.0</v>
      </c>
      <c r="N14761" s="2" t="s">
        <v>21</v>
      </c>
    </row>
    <row r="14762" ht="15.75" customHeight="1">
      <c r="A14762" s="2">
        <v>2021.0</v>
      </c>
      <c r="B14762" s="2" t="s">
        <v>37754</v>
      </c>
      <c r="C14762" s="2" t="s">
        <v>37755</v>
      </c>
      <c r="D14762" s="2" t="str">
        <f>"505-377-3123"</f>
        <v>505-377-3123</v>
      </c>
      <c r="E14762" s="2" t="s">
        <v>16070</v>
      </c>
      <c r="F14762" s="2" t="s">
        <v>19002</v>
      </c>
      <c r="G14762" s="2" t="str">
        <f>"SR-12874"</f>
        <v>SR-12874</v>
      </c>
      <c r="H14762" s="2" t="s">
        <v>37756</v>
      </c>
      <c r="I14762" s="2" t="s">
        <v>19004</v>
      </c>
      <c r="K14762" s="2" t="s">
        <v>3705</v>
      </c>
      <c r="L14762" s="2" t="s">
        <v>789</v>
      </c>
      <c r="M14762" s="2">
        <v>87123.0</v>
      </c>
      <c r="N14762" s="2" t="s">
        <v>21</v>
      </c>
    </row>
    <row r="14763" ht="15.75" customHeight="1">
      <c r="A14763" s="2">
        <v>2021.0</v>
      </c>
      <c r="B14763" s="2" t="s">
        <v>57078</v>
      </c>
      <c r="C14763" s="2" t="s">
        <v>57079</v>
      </c>
      <c r="D14763" s="2" t="str">
        <f>"4066005615"</f>
        <v>4066005615</v>
      </c>
      <c r="E14763" s="2" t="s">
        <v>6922</v>
      </c>
      <c r="F14763" s="2" t="s">
        <v>3809</v>
      </c>
      <c r="G14763" s="2" t="str">
        <f>"SR-21545"</f>
        <v>SR-21545</v>
      </c>
      <c r="H14763" s="2" t="s">
        <v>57080</v>
      </c>
      <c r="I14763" s="2" t="s">
        <v>57081</v>
      </c>
      <c r="K14763" s="2" t="s">
        <v>6849</v>
      </c>
      <c r="L14763" s="2" t="s">
        <v>2696</v>
      </c>
      <c r="M14763" s="2">
        <v>59714.0</v>
      </c>
      <c r="N14763" s="2" t="s">
        <v>21</v>
      </c>
    </row>
    <row r="14764" ht="15.75" customHeight="1">
      <c r="A14764" s="2">
        <v>2021.0</v>
      </c>
      <c r="B14764" s="2" t="s">
        <v>24223</v>
      </c>
      <c r="C14764" s="2" t="s">
        <v>51419</v>
      </c>
      <c r="D14764" s="2" t="str">
        <f>"7657610890"</f>
        <v>7657610890</v>
      </c>
      <c r="E14764" s="2" t="s">
        <v>678</v>
      </c>
      <c r="F14764" s="2" t="s">
        <v>2174</v>
      </c>
      <c r="G14764" s="2" t="str">
        <f>"SR-18374"</f>
        <v>SR-18374</v>
      </c>
      <c r="H14764" s="2" t="s">
        <v>51420</v>
      </c>
      <c r="I14764" s="2" t="s">
        <v>51421</v>
      </c>
      <c r="K14764" s="2" t="s">
        <v>21350</v>
      </c>
      <c r="L14764" s="2" t="s">
        <v>149</v>
      </c>
      <c r="M14764" s="2">
        <v>47918.0</v>
      </c>
      <c r="N14764" s="2" t="s">
        <v>21</v>
      </c>
    </row>
    <row r="14765" ht="15.75" customHeight="1">
      <c r="A14765" s="2">
        <v>2021.0</v>
      </c>
      <c r="B14765" s="2" t="s">
        <v>54524</v>
      </c>
      <c r="C14765" s="2" t="s">
        <v>54525</v>
      </c>
      <c r="D14765" s="2" t="str">
        <f>"6028291565"</f>
        <v>6028291565</v>
      </c>
      <c r="E14765" s="2" t="s">
        <v>11423</v>
      </c>
      <c r="F14765" s="2" t="s">
        <v>3903</v>
      </c>
      <c r="G14765" s="2" t="str">
        <f>"SR-19902"</f>
        <v>SR-19902</v>
      </c>
      <c r="H14765" s="2" t="s">
        <v>54526</v>
      </c>
      <c r="I14765" s="2" t="s">
        <v>54527</v>
      </c>
      <c r="K14765" s="2" t="s">
        <v>19950</v>
      </c>
      <c r="L14765" s="2" t="s">
        <v>422</v>
      </c>
      <c r="M14765" s="2">
        <v>85379.0</v>
      </c>
      <c r="N14765" s="2" t="s">
        <v>21</v>
      </c>
    </row>
    <row r="14766" ht="15.75" customHeight="1">
      <c r="A14766" s="2">
        <v>2021.0</v>
      </c>
      <c r="B14766" s="2" t="s">
        <v>57082</v>
      </c>
      <c r="C14766" s="2" t="s">
        <v>57083</v>
      </c>
      <c r="D14766" s="2" t="str">
        <f>"4804791073"</f>
        <v>4804791073</v>
      </c>
      <c r="E14766" s="2" t="s">
        <v>282</v>
      </c>
      <c r="F14766" s="2" t="s">
        <v>3903</v>
      </c>
      <c r="G14766" s="2" t="str">
        <f>"SR-21548"</f>
        <v>SR-21548</v>
      </c>
      <c r="H14766" s="2" t="s">
        <v>4917</v>
      </c>
      <c r="I14766" s="2" t="s">
        <v>54527</v>
      </c>
      <c r="K14766" s="2" t="s">
        <v>19950</v>
      </c>
      <c r="L14766" s="2" t="s">
        <v>422</v>
      </c>
      <c r="M14766" s="2">
        <v>85379.0</v>
      </c>
      <c r="N14766" s="2" t="s">
        <v>21</v>
      </c>
    </row>
    <row r="14767" ht="15.75" customHeight="1">
      <c r="A14767" s="2">
        <v>2021.0</v>
      </c>
      <c r="B14767" s="2" t="s">
        <v>57084</v>
      </c>
      <c r="C14767" s="2" t="s">
        <v>57084</v>
      </c>
      <c r="D14767" s="2" t="str">
        <f>"720-505-1038"</f>
        <v>720-505-1038</v>
      </c>
      <c r="E14767" s="2" t="s">
        <v>217</v>
      </c>
      <c r="F14767" s="2" t="s">
        <v>256</v>
      </c>
      <c r="G14767" s="2" t="str">
        <f>"SR-21549"</f>
        <v>SR-21549</v>
      </c>
      <c r="H14767" s="2" t="s">
        <v>18110</v>
      </c>
      <c r="I14767" s="2" t="s">
        <v>57085</v>
      </c>
      <c r="K14767" s="2" t="s">
        <v>2527</v>
      </c>
      <c r="L14767" s="2" t="s">
        <v>157</v>
      </c>
      <c r="M14767" s="2">
        <v>80237.0</v>
      </c>
      <c r="N14767" s="2" t="s">
        <v>21</v>
      </c>
    </row>
    <row r="14768" ht="15.75" customHeight="1">
      <c r="A14768" s="2">
        <v>2021.0</v>
      </c>
      <c r="B14768" s="2" t="s">
        <v>43334</v>
      </c>
      <c r="C14768" s="2" t="s">
        <v>57086</v>
      </c>
      <c r="D14768" s="2" t="str">
        <f>"4699749722"</f>
        <v>4699749722</v>
      </c>
      <c r="E14768" s="2" t="s">
        <v>1141</v>
      </c>
      <c r="F14768" s="2" t="s">
        <v>22708</v>
      </c>
      <c r="G14768" s="2" t="str">
        <f>"SR-21551"</f>
        <v>SR-21551</v>
      </c>
      <c r="H14768" s="2" t="s">
        <v>57087</v>
      </c>
      <c r="I14768" s="2" t="s">
        <v>43337</v>
      </c>
      <c r="K14768" s="2" t="s">
        <v>3144</v>
      </c>
      <c r="L14768" s="2" t="s">
        <v>172</v>
      </c>
      <c r="M14768" s="2">
        <v>75002.0</v>
      </c>
      <c r="N14768" s="2" t="s">
        <v>21</v>
      </c>
    </row>
    <row r="14769" ht="15.75" customHeight="1">
      <c r="A14769" s="2">
        <v>2021.0</v>
      </c>
      <c r="B14769" s="2" t="s">
        <v>57088</v>
      </c>
      <c r="C14769" s="2" t="s">
        <v>57089</v>
      </c>
      <c r="D14769" s="2" t="str">
        <f>"4056576600"</f>
        <v>4056576600</v>
      </c>
      <c r="E14769" s="2" t="s">
        <v>417</v>
      </c>
      <c r="F14769" s="2" t="s">
        <v>18873</v>
      </c>
      <c r="G14769" s="2" t="str">
        <f>"SR-21552"</f>
        <v>SR-21552</v>
      </c>
      <c r="H14769" s="2" t="s">
        <v>57090</v>
      </c>
      <c r="I14769" s="2" t="s">
        <v>57091</v>
      </c>
      <c r="K14769" s="2" t="s">
        <v>1546</v>
      </c>
      <c r="L14769" s="2" t="s">
        <v>840</v>
      </c>
      <c r="M14769" s="2">
        <v>73025.0</v>
      </c>
      <c r="N14769" s="2" t="s">
        <v>21</v>
      </c>
    </row>
    <row r="14770" ht="15.75" customHeight="1">
      <c r="A14770" s="2">
        <v>2021.0</v>
      </c>
      <c r="B14770" s="2" t="s">
        <v>57092</v>
      </c>
      <c r="C14770" s="2" t="s">
        <v>57093</v>
      </c>
      <c r="D14770" s="2" t="str">
        <f>"4172346515"</f>
        <v>4172346515</v>
      </c>
      <c r="E14770" s="2" t="s">
        <v>862</v>
      </c>
      <c r="F14770" s="2" t="s">
        <v>26730</v>
      </c>
      <c r="G14770" s="2" t="str">
        <f>"SR-21467"</f>
        <v>SR-21467</v>
      </c>
      <c r="H14770" s="2" t="s">
        <v>57094</v>
      </c>
      <c r="I14770" s="2" t="s">
        <v>57095</v>
      </c>
      <c r="K14770" s="2" t="s">
        <v>29838</v>
      </c>
      <c r="L14770" s="2" t="s">
        <v>214</v>
      </c>
      <c r="M14770" s="2">
        <v>65721.0</v>
      </c>
      <c r="N14770" s="2" t="s">
        <v>21</v>
      </c>
    </row>
    <row r="14771" ht="15.75" customHeight="1">
      <c r="A14771" s="2">
        <v>2021.0</v>
      </c>
      <c r="B14771" s="2" t="s">
        <v>53937</v>
      </c>
      <c r="C14771" s="2" t="s">
        <v>53938</v>
      </c>
      <c r="D14771" s="2" t="str">
        <f>"2533106333"</f>
        <v>2533106333</v>
      </c>
      <c r="E14771" s="2" t="s">
        <v>9010</v>
      </c>
      <c r="F14771" s="2" t="s">
        <v>53939</v>
      </c>
      <c r="G14771" s="2" t="str">
        <f>"SR-18160"</f>
        <v>SR-18160</v>
      </c>
      <c r="H14771" s="2" t="s">
        <v>53940</v>
      </c>
      <c r="I14771" s="2" t="s">
        <v>53941</v>
      </c>
      <c r="K14771" s="2" t="s">
        <v>22513</v>
      </c>
      <c r="L14771" s="2" t="s">
        <v>86</v>
      </c>
      <c r="M14771" s="2">
        <v>98405.0</v>
      </c>
      <c r="N14771" s="2" t="s">
        <v>21</v>
      </c>
    </row>
    <row r="14772" ht="15.75" customHeight="1">
      <c r="A14772" s="2">
        <v>2021.0</v>
      </c>
      <c r="B14772" s="2" t="s">
        <v>45056</v>
      </c>
      <c r="C14772" s="2" t="s">
        <v>57096</v>
      </c>
      <c r="D14772" s="2" t="str">
        <f>"9042008204"</f>
        <v>9042008204</v>
      </c>
      <c r="E14772" s="2" t="s">
        <v>282</v>
      </c>
      <c r="F14772" s="2" t="s">
        <v>57097</v>
      </c>
      <c r="G14772" s="2" t="str">
        <f>"SR-21554"</f>
        <v>SR-21554</v>
      </c>
      <c r="H14772" s="2" t="s">
        <v>57098</v>
      </c>
      <c r="I14772" s="2" t="s">
        <v>57099</v>
      </c>
      <c r="K14772" s="2" t="s">
        <v>451</v>
      </c>
      <c r="L14772" s="2" t="s">
        <v>208</v>
      </c>
      <c r="M14772" s="2">
        <v>32221.0</v>
      </c>
      <c r="N14772" s="2" t="s">
        <v>21</v>
      </c>
    </row>
    <row r="14773" ht="15.75" customHeight="1">
      <c r="A14773" s="2">
        <v>2021.0</v>
      </c>
      <c r="B14773" s="2" t="s">
        <v>57100</v>
      </c>
      <c r="C14773" s="2" t="s">
        <v>57100</v>
      </c>
      <c r="D14773" s="2" t="str">
        <f>"7205893005"</f>
        <v>7205893005</v>
      </c>
      <c r="E14773" s="2" t="s">
        <v>57101</v>
      </c>
      <c r="F14773" s="2" t="s">
        <v>31413</v>
      </c>
      <c r="G14773" s="2" t="str">
        <f>"SR-21539"</f>
        <v>SR-21539</v>
      </c>
      <c r="H14773" s="2" t="s">
        <v>57102</v>
      </c>
      <c r="I14773" s="2" t="s">
        <v>57103</v>
      </c>
      <c r="K14773" s="2" t="s">
        <v>6514</v>
      </c>
      <c r="L14773" s="2" t="s">
        <v>157</v>
      </c>
      <c r="M14773" s="2">
        <v>80228.0</v>
      </c>
      <c r="N14773" s="2" t="s">
        <v>21</v>
      </c>
    </row>
    <row r="14774" ht="15.75" customHeight="1">
      <c r="A14774" s="2">
        <v>2021.0</v>
      </c>
      <c r="B14774" s="2" t="s">
        <v>44725</v>
      </c>
      <c r="C14774" s="2" t="s">
        <v>57104</v>
      </c>
      <c r="D14774" s="2" t="str">
        <f>"7068779913"</f>
        <v>7068779913</v>
      </c>
      <c r="E14774" s="2" t="s">
        <v>6202</v>
      </c>
      <c r="F14774" s="2" t="s">
        <v>8766</v>
      </c>
      <c r="G14774" s="2" t="str">
        <f>"SR-21526"</f>
        <v>SR-21526</v>
      </c>
      <c r="H14774" s="2" t="s">
        <v>57105</v>
      </c>
      <c r="I14774" s="2" t="s">
        <v>57106</v>
      </c>
      <c r="K14774" s="2" t="s">
        <v>11436</v>
      </c>
      <c r="L14774" s="2" t="s">
        <v>200</v>
      </c>
      <c r="M14774" s="2">
        <v>30907.0</v>
      </c>
      <c r="N14774" s="2" t="s">
        <v>21</v>
      </c>
    </row>
    <row r="14775" ht="15.75" customHeight="1">
      <c r="A14775" s="2">
        <v>2021.0</v>
      </c>
      <c r="B14775" s="2" t="s">
        <v>57107</v>
      </c>
      <c r="C14775" s="2" t="s">
        <v>57108</v>
      </c>
      <c r="D14775" s="2" t="str">
        <f>"(706) 821-9980"</f>
        <v>(706) 821-9980</v>
      </c>
      <c r="E14775" s="2" t="s">
        <v>10949</v>
      </c>
      <c r="F14775" s="2" t="s">
        <v>1015</v>
      </c>
      <c r="G14775" s="2" t="str">
        <f>"SR-21558"</f>
        <v>SR-21558</v>
      </c>
      <c r="H14775" s="2" t="s">
        <v>57109</v>
      </c>
      <c r="I14775" s="2" t="s">
        <v>57110</v>
      </c>
      <c r="K14775" s="2" t="s">
        <v>11436</v>
      </c>
      <c r="L14775" s="2" t="s">
        <v>200</v>
      </c>
      <c r="M14775" s="2">
        <v>30909.0</v>
      </c>
      <c r="N14775" s="2" t="s">
        <v>21</v>
      </c>
    </row>
    <row r="14776" ht="15.75" customHeight="1">
      <c r="A14776" s="2">
        <v>2021.0</v>
      </c>
      <c r="B14776" s="2" t="s">
        <v>57111</v>
      </c>
      <c r="C14776" s="2" t="s">
        <v>57111</v>
      </c>
      <c r="D14776" s="2" t="str">
        <f>"3378537148"</f>
        <v>3378537148</v>
      </c>
      <c r="E14776" s="2" t="s">
        <v>2162</v>
      </c>
      <c r="F14776" s="2" t="s">
        <v>48206</v>
      </c>
      <c r="G14776" s="2" t="str">
        <f>"SR-21559"</f>
        <v>SR-21559</v>
      </c>
      <c r="H14776" s="2" t="s">
        <v>57112</v>
      </c>
      <c r="I14776" s="2" t="s">
        <v>57113</v>
      </c>
      <c r="K14776" s="2" t="s">
        <v>11600</v>
      </c>
      <c r="L14776" s="2" t="s">
        <v>715</v>
      </c>
      <c r="M14776" s="2">
        <v>70601.0</v>
      </c>
      <c r="N14776" s="2" t="s">
        <v>21</v>
      </c>
    </row>
    <row r="14777" ht="15.75" customHeight="1">
      <c r="A14777" s="2">
        <v>2021.0</v>
      </c>
      <c r="B14777" s="2" t="s">
        <v>48803</v>
      </c>
      <c r="C14777" s="2" t="s">
        <v>48804</v>
      </c>
      <c r="D14777" s="2" t="str">
        <f>"7177991499"</f>
        <v>7177991499</v>
      </c>
      <c r="E14777" s="2" t="s">
        <v>843</v>
      </c>
      <c r="F14777" s="2" t="s">
        <v>5528</v>
      </c>
      <c r="G14777" s="2" t="str">
        <f>"SR-17171"</f>
        <v>SR-17171</v>
      </c>
      <c r="H14777" s="2" t="s">
        <v>48805</v>
      </c>
      <c r="I14777" s="2" t="s">
        <v>48806</v>
      </c>
      <c r="K14777" s="2" t="s">
        <v>48807</v>
      </c>
      <c r="L14777" s="2" t="s">
        <v>179</v>
      </c>
      <c r="M14777" s="2">
        <v>17020.0</v>
      </c>
      <c r="N14777" s="2" t="s">
        <v>21</v>
      </c>
    </row>
    <row r="14778" ht="15.75" customHeight="1">
      <c r="A14778" s="2">
        <v>2021.0</v>
      </c>
      <c r="B14778" s="2" t="s">
        <v>57114</v>
      </c>
      <c r="C14778" s="2" t="s">
        <v>57114</v>
      </c>
      <c r="D14778" s="2" t="str">
        <f>"308-636-8565"</f>
        <v>308-636-8565</v>
      </c>
      <c r="E14778" s="2" t="s">
        <v>57115</v>
      </c>
      <c r="F14778" s="2" t="s">
        <v>57116</v>
      </c>
      <c r="G14778" s="2" t="str">
        <f>"SR-21565"</f>
        <v>SR-21565</v>
      </c>
      <c r="H14778" s="2" t="s">
        <v>57117</v>
      </c>
      <c r="I14778" s="2" t="s">
        <v>57118</v>
      </c>
      <c r="K14778" s="2" t="s">
        <v>57119</v>
      </c>
      <c r="L14778" s="2" t="s">
        <v>757</v>
      </c>
      <c r="M14778" s="2">
        <v>69163.0</v>
      </c>
      <c r="N14778" s="2" t="s">
        <v>21</v>
      </c>
    </row>
    <row r="14779" ht="15.75" customHeight="1">
      <c r="A14779" s="2">
        <v>2021.0</v>
      </c>
      <c r="B14779" s="2" t="s">
        <v>45329</v>
      </c>
      <c r="C14779" s="2" t="s">
        <v>57120</v>
      </c>
      <c r="D14779" s="2" t="str">
        <f>"269-254-7417"</f>
        <v>269-254-7417</v>
      </c>
      <c r="E14779" s="2" t="s">
        <v>3878</v>
      </c>
      <c r="F14779" s="2" t="s">
        <v>32621</v>
      </c>
      <c r="G14779" s="2" t="str">
        <f>"SR-21568"</f>
        <v>SR-21568</v>
      </c>
      <c r="H14779" s="2" t="s">
        <v>57121</v>
      </c>
      <c r="I14779" s="2" t="s">
        <v>57122</v>
      </c>
      <c r="K14779" s="2" t="s">
        <v>10044</v>
      </c>
      <c r="L14779" s="2" t="s">
        <v>29</v>
      </c>
      <c r="M14779" s="2">
        <v>49093.0</v>
      </c>
      <c r="N14779" s="2" t="s">
        <v>21</v>
      </c>
    </row>
    <row r="14780" ht="15.75" customHeight="1">
      <c r="A14780" s="2">
        <v>2021.0</v>
      </c>
      <c r="B14780" s="2" t="s">
        <v>57123</v>
      </c>
      <c r="C14780" s="2" t="s">
        <v>57124</v>
      </c>
      <c r="D14780" s="2" t="str">
        <f>"814-515-3903"</f>
        <v>814-515-3903</v>
      </c>
      <c r="E14780" s="2" t="s">
        <v>1094</v>
      </c>
      <c r="F14780" s="2" t="s">
        <v>57125</v>
      </c>
      <c r="G14780" s="2" t="str">
        <f>"SR-21567"</f>
        <v>SR-21567</v>
      </c>
      <c r="H14780" s="2" t="s">
        <v>57126</v>
      </c>
      <c r="I14780" s="2" t="s">
        <v>57127</v>
      </c>
      <c r="K14780" s="2" t="s">
        <v>39284</v>
      </c>
      <c r="L14780" s="2" t="s">
        <v>179</v>
      </c>
      <c r="M14780" s="2">
        <v>17015.0</v>
      </c>
      <c r="N14780" s="2" t="s">
        <v>21</v>
      </c>
    </row>
    <row r="14781" ht="15.75" customHeight="1">
      <c r="A14781" s="2">
        <v>2021.0</v>
      </c>
      <c r="B14781" s="2" t="s">
        <v>57128</v>
      </c>
      <c r="C14781" s="2" t="s">
        <v>57128</v>
      </c>
      <c r="D14781" s="2" t="str">
        <f>"740-590-4205"</f>
        <v>740-590-4205</v>
      </c>
      <c r="E14781" s="2" t="s">
        <v>50</v>
      </c>
      <c r="F14781" s="2" t="s">
        <v>30837</v>
      </c>
      <c r="G14781" s="2" t="str">
        <f>"SR-21455"</f>
        <v>SR-21455</v>
      </c>
      <c r="H14781" s="2" t="s">
        <v>57129</v>
      </c>
      <c r="I14781" s="2" t="s">
        <v>30839</v>
      </c>
      <c r="K14781" s="2" t="s">
        <v>10756</v>
      </c>
      <c r="L14781" s="2" t="s">
        <v>344</v>
      </c>
      <c r="M14781" s="2">
        <v>43015.0</v>
      </c>
      <c r="N14781" s="2" t="s">
        <v>21</v>
      </c>
    </row>
    <row r="14782" ht="15.75" customHeight="1">
      <c r="A14782" s="2">
        <v>2021.0</v>
      </c>
      <c r="B14782" s="2" t="s">
        <v>38992</v>
      </c>
      <c r="C14782" s="2" t="s">
        <v>57130</v>
      </c>
      <c r="D14782" s="2" t="str">
        <f>"308-708-3810"</f>
        <v>308-708-3810</v>
      </c>
      <c r="E14782" s="2" t="s">
        <v>2126</v>
      </c>
      <c r="F14782" s="2" t="s">
        <v>2955</v>
      </c>
      <c r="G14782" s="2" t="str">
        <f>"SR-21570"</f>
        <v>SR-21570</v>
      </c>
      <c r="H14782" s="2" t="s">
        <v>57131</v>
      </c>
      <c r="I14782" s="2" t="s">
        <v>38994</v>
      </c>
      <c r="K14782" s="2" t="s">
        <v>14870</v>
      </c>
      <c r="L14782" s="2" t="s">
        <v>757</v>
      </c>
      <c r="M14782" s="2">
        <v>68847.0</v>
      </c>
      <c r="N14782" s="2" t="s">
        <v>21</v>
      </c>
    </row>
    <row r="14783" ht="15.75" customHeight="1">
      <c r="A14783" s="2">
        <v>2021.0</v>
      </c>
      <c r="B14783" s="2" t="s">
        <v>57132</v>
      </c>
      <c r="C14783" s="2" t="s">
        <v>57132</v>
      </c>
      <c r="D14783" s="2" t="str">
        <f>"7206334128"</f>
        <v>7206334128</v>
      </c>
      <c r="E14783" s="2" t="s">
        <v>7543</v>
      </c>
      <c r="F14783" s="2" t="s">
        <v>2625</v>
      </c>
      <c r="G14783" s="2" t="str">
        <f>"SR-21571"</f>
        <v>SR-21571</v>
      </c>
      <c r="H14783" s="2" t="s">
        <v>57133</v>
      </c>
      <c r="I14783" s="2" t="s">
        <v>57134</v>
      </c>
      <c r="K14783" s="2" t="s">
        <v>1889</v>
      </c>
      <c r="L14783" s="2" t="s">
        <v>157</v>
      </c>
      <c r="M14783" s="2">
        <v>80127.0</v>
      </c>
      <c r="N14783" s="2" t="s">
        <v>21</v>
      </c>
    </row>
    <row r="14784" ht="15.75" customHeight="1">
      <c r="A14784" s="2">
        <v>2021.0</v>
      </c>
      <c r="B14784" s="2" t="s">
        <v>57135</v>
      </c>
      <c r="C14784" s="2" t="s">
        <v>57136</v>
      </c>
      <c r="D14784" s="2" t="str">
        <f>"5312206263"</f>
        <v>5312206263</v>
      </c>
      <c r="E14784" s="2" t="s">
        <v>57137</v>
      </c>
      <c r="F14784" s="2" t="s">
        <v>57138</v>
      </c>
      <c r="G14784" s="2" t="str">
        <f>"SR-21574"</f>
        <v>SR-21574</v>
      </c>
      <c r="H14784" s="2" t="s">
        <v>57139</v>
      </c>
      <c r="I14784" s="2" t="s">
        <v>57140</v>
      </c>
      <c r="K14784" s="2" t="s">
        <v>572</v>
      </c>
      <c r="L14784" s="2" t="s">
        <v>757</v>
      </c>
      <c r="M14784" s="2">
        <v>68507.0</v>
      </c>
      <c r="N14784" s="2" t="s">
        <v>21</v>
      </c>
    </row>
    <row r="14785" ht="15.75" customHeight="1">
      <c r="A14785" s="2">
        <v>2021.0</v>
      </c>
      <c r="B14785" s="2" t="s">
        <v>57141</v>
      </c>
      <c r="C14785" s="2" t="s">
        <v>57142</v>
      </c>
      <c r="D14785" s="2" t="str">
        <f>"6363179793"</f>
        <v>6363179793</v>
      </c>
      <c r="E14785" s="2" t="s">
        <v>3191</v>
      </c>
      <c r="F14785" s="2" t="s">
        <v>57143</v>
      </c>
      <c r="G14785" s="2" t="str">
        <f>"SR-21576"</f>
        <v>SR-21576</v>
      </c>
      <c r="H14785" s="2" t="s">
        <v>57144</v>
      </c>
      <c r="I14785" s="2" t="s">
        <v>57145</v>
      </c>
      <c r="K14785" s="2" t="s">
        <v>50986</v>
      </c>
      <c r="L14785" s="2" t="s">
        <v>214</v>
      </c>
      <c r="M14785" s="2">
        <v>63304.0</v>
      </c>
      <c r="N14785" s="2" t="s">
        <v>21</v>
      </c>
    </row>
    <row r="14786" ht="15.75" customHeight="1">
      <c r="A14786" s="2">
        <v>2021.0</v>
      </c>
      <c r="B14786" s="2" t="s">
        <v>57146</v>
      </c>
      <c r="C14786" s="2" t="s">
        <v>57147</v>
      </c>
      <c r="D14786" s="2" t="str">
        <f>"6084068607"</f>
        <v>6084068607</v>
      </c>
      <c r="E14786" s="2" t="s">
        <v>651</v>
      </c>
      <c r="F14786" s="2" t="s">
        <v>3561</v>
      </c>
      <c r="G14786" s="2" t="str">
        <f>"SR-21578"</f>
        <v>SR-21578</v>
      </c>
      <c r="H14786" s="2" t="s">
        <v>57148</v>
      </c>
      <c r="I14786" s="2" t="s">
        <v>57149</v>
      </c>
      <c r="K14786" s="2" t="s">
        <v>7394</v>
      </c>
      <c r="L14786" s="2" t="s">
        <v>193</v>
      </c>
      <c r="M14786" s="2">
        <v>54601.0</v>
      </c>
      <c r="N14786" s="2" t="s">
        <v>21</v>
      </c>
    </row>
    <row r="14787" ht="15.75" customHeight="1">
      <c r="A14787" s="2">
        <v>2021.0</v>
      </c>
      <c r="B14787" s="2" t="s">
        <v>55295</v>
      </c>
      <c r="C14787" s="2" t="s">
        <v>55295</v>
      </c>
      <c r="D14787" s="2" t="str">
        <f>"(850) 517-7635"</f>
        <v>(850) 517-7635</v>
      </c>
      <c r="E14787" s="2" t="s">
        <v>1810</v>
      </c>
      <c r="F14787" s="2" t="s">
        <v>711</v>
      </c>
      <c r="G14787" s="2" t="str">
        <f>"SR-20672"</f>
        <v>SR-20672</v>
      </c>
      <c r="H14787" s="2" t="s">
        <v>55296</v>
      </c>
      <c r="I14787" s="2" t="s">
        <v>55297</v>
      </c>
      <c r="K14787" s="2" t="s">
        <v>55298</v>
      </c>
      <c r="L14787" s="2" t="s">
        <v>208</v>
      </c>
      <c r="M14787" s="2">
        <v>32578.0</v>
      </c>
      <c r="N14787" s="2" t="s">
        <v>21</v>
      </c>
    </row>
    <row r="14788" ht="15.75" customHeight="1">
      <c r="A14788" s="2">
        <v>2021.0</v>
      </c>
      <c r="B14788" s="2" t="s">
        <v>13924</v>
      </c>
      <c r="C14788" s="2" t="s">
        <v>57150</v>
      </c>
      <c r="D14788" s="2" t="str">
        <f>"7192013447"</f>
        <v>7192013447</v>
      </c>
      <c r="E14788" s="2" t="s">
        <v>2361</v>
      </c>
      <c r="F14788" s="2" t="s">
        <v>13926</v>
      </c>
      <c r="G14788" s="2" t="str">
        <f>"SR-21585"</f>
        <v>SR-21585</v>
      </c>
      <c r="H14788" s="2" t="s">
        <v>51500</v>
      </c>
      <c r="I14788" s="2" t="s">
        <v>13928</v>
      </c>
      <c r="K14788" s="2" t="s">
        <v>15818</v>
      </c>
      <c r="L14788" s="2" t="s">
        <v>157</v>
      </c>
      <c r="M14788" s="2">
        <v>80908.0</v>
      </c>
      <c r="N14788" s="2" t="s">
        <v>21</v>
      </c>
    </row>
    <row r="14789" ht="15.75" customHeight="1">
      <c r="A14789" s="2">
        <v>2021.0</v>
      </c>
      <c r="B14789" s="2" t="s">
        <v>57151</v>
      </c>
      <c r="C14789" s="2" t="s">
        <v>57152</v>
      </c>
      <c r="D14789" s="2" t="str">
        <f>"6015282495"</f>
        <v>6015282495</v>
      </c>
      <c r="E14789" s="2" t="s">
        <v>7864</v>
      </c>
      <c r="F14789" s="2" t="s">
        <v>1257</v>
      </c>
      <c r="G14789" s="2" t="str">
        <f>"SR-16814"</f>
        <v>SR-16814</v>
      </c>
      <c r="H14789" s="2" t="s">
        <v>57153</v>
      </c>
      <c r="I14789" s="2" t="s">
        <v>57154</v>
      </c>
      <c r="K14789" s="2" t="s">
        <v>40264</v>
      </c>
      <c r="L14789" s="2" t="s">
        <v>1722</v>
      </c>
      <c r="M14789" s="2">
        <v>39577.0</v>
      </c>
      <c r="N14789" s="2" t="s">
        <v>21</v>
      </c>
    </row>
    <row r="14790" ht="15.75" customHeight="1">
      <c r="A14790" s="2">
        <v>2021.0</v>
      </c>
      <c r="B14790" s="2" t="s">
        <v>57155</v>
      </c>
      <c r="C14790" s="2" t="s">
        <v>57156</v>
      </c>
      <c r="D14790" s="2" t="str">
        <f>"9195001561"</f>
        <v>9195001561</v>
      </c>
      <c r="E14790" s="2" t="s">
        <v>465</v>
      </c>
      <c r="F14790" s="2" t="s">
        <v>4318</v>
      </c>
      <c r="G14790" s="2" t="str">
        <f>"SR-21569"</f>
        <v>SR-21569</v>
      </c>
      <c r="H14790" s="2" t="s">
        <v>57157</v>
      </c>
      <c r="I14790" s="2" t="s">
        <v>57158</v>
      </c>
      <c r="K14790" s="2" t="s">
        <v>14916</v>
      </c>
      <c r="L14790" s="2" t="s">
        <v>20</v>
      </c>
      <c r="M14790" s="2">
        <v>27529.0</v>
      </c>
      <c r="N14790" s="2" t="s">
        <v>21</v>
      </c>
    </row>
    <row r="14791" ht="15.75" customHeight="1">
      <c r="A14791" s="2">
        <v>2021.0</v>
      </c>
      <c r="B14791" s="2" t="s">
        <v>47986</v>
      </c>
      <c r="C14791" s="2" t="s">
        <v>51073</v>
      </c>
      <c r="D14791" s="2" t="str">
        <f>"5126965435"</f>
        <v>5126965435</v>
      </c>
      <c r="E14791" s="2" t="s">
        <v>6170</v>
      </c>
      <c r="F14791" s="2" t="s">
        <v>47988</v>
      </c>
      <c r="G14791" s="2" t="str">
        <f>"SR-18234"</f>
        <v>SR-18234</v>
      </c>
      <c r="H14791" s="2" t="s">
        <v>51074</v>
      </c>
      <c r="I14791" s="2" t="s">
        <v>47990</v>
      </c>
      <c r="K14791" s="2" t="s">
        <v>1141</v>
      </c>
      <c r="L14791" s="2" t="s">
        <v>172</v>
      </c>
      <c r="M14791" s="2">
        <v>78737.0</v>
      </c>
      <c r="N14791" s="2" t="s">
        <v>21</v>
      </c>
    </row>
    <row r="14792" ht="15.75" customHeight="1">
      <c r="A14792" s="2">
        <v>2021.0</v>
      </c>
      <c r="B14792" s="2" t="s">
        <v>57159</v>
      </c>
      <c r="C14792" s="2" t="s">
        <v>57160</v>
      </c>
      <c r="D14792" s="2" t="str">
        <f>"4043941557"</f>
        <v>4043941557</v>
      </c>
      <c r="E14792" s="2" t="s">
        <v>6386</v>
      </c>
      <c r="F14792" s="2" t="s">
        <v>962</v>
      </c>
      <c r="G14792" s="2" t="str">
        <f>"SR-21588"</f>
        <v>SR-21588</v>
      </c>
      <c r="H14792" s="2" t="s">
        <v>57161</v>
      </c>
      <c r="I14792" s="2" t="s">
        <v>57162</v>
      </c>
      <c r="K14792" s="2" t="s">
        <v>54</v>
      </c>
      <c r="L14792" s="2" t="s">
        <v>55</v>
      </c>
      <c r="M14792" s="2">
        <v>29607.0</v>
      </c>
      <c r="N14792" s="2" t="s">
        <v>21</v>
      </c>
    </row>
    <row r="14793" ht="15.75" customHeight="1">
      <c r="A14793" s="2">
        <v>2021.0</v>
      </c>
      <c r="B14793" s="2" t="s">
        <v>57163</v>
      </c>
      <c r="C14793" s="2" t="s">
        <v>57163</v>
      </c>
      <c r="D14793" s="2" t="str">
        <f>"3072401443"</f>
        <v>3072401443</v>
      </c>
      <c r="E14793" s="2" t="s">
        <v>15872</v>
      </c>
      <c r="F14793" s="2" t="s">
        <v>57164</v>
      </c>
      <c r="G14793" s="2" t="str">
        <f>"SR-21590"</f>
        <v>SR-21590</v>
      </c>
      <c r="H14793" s="2" t="s">
        <v>57165</v>
      </c>
      <c r="I14793" s="2" t="s">
        <v>57166</v>
      </c>
      <c r="K14793" s="2" t="s">
        <v>57167</v>
      </c>
      <c r="L14793" s="2" t="s">
        <v>1540</v>
      </c>
      <c r="M14793" s="2">
        <v>82520.0</v>
      </c>
      <c r="N14793" s="2" t="s">
        <v>21</v>
      </c>
    </row>
    <row r="14794" ht="15.75" customHeight="1">
      <c r="A14794" s="2">
        <v>2021.0</v>
      </c>
      <c r="B14794" s="2" t="s">
        <v>51358</v>
      </c>
      <c r="C14794" s="2" t="s">
        <v>51359</v>
      </c>
      <c r="D14794" s="2" t="str">
        <f>"832-302-6251"</f>
        <v>832-302-6251</v>
      </c>
      <c r="E14794" s="2" t="s">
        <v>11583</v>
      </c>
      <c r="F14794" s="2" t="s">
        <v>690</v>
      </c>
      <c r="G14794" s="2" t="str">
        <f>"SR-18348"</f>
        <v>SR-18348</v>
      </c>
      <c r="H14794" s="2" t="s">
        <v>51360</v>
      </c>
      <c r="I14794" s="2" t="s">
        <v>32191</v>
      </c>
      <c r="K14794" s="2" t="s">
        <v>2182</v>
      </c>
      <c r="L14794" s="2" t="s">
        <v>172</v>
      </c>
      <c r="M14794" s="2">
        <v>77479.0</v>
      </c>
      <c r="N14794" s="2" t="s">
        <v>21</v>
      </c>
    </row>
    <row r="14795" ht="15.75" customHeight="1">
      <c r="A14795" s="2">
        <v>2021.0</v>
      </c>
      <c r="B14795" s="2" t="s">
        <v>57168</v>
      </c>
      <c r="C14795" s="2" t="s">
        <v>57168</v>
      </c>
      <c r="D14795" s="2" t="str">
        <f>"916-406-3587"</f>
        <v>916-406-3587</v>
      </c>
      <c r="E14795" s="2" t="s">
        <v>843</v>
      </c>
      <c r="F14795" s="2" t="s">
        <v>57169</v>
      </c>
      <c r="G14795" s="2" t="str">
        <f>"SR-21596"</f>
        <v>SR-21596</v>
      </c>
      <c r="H14795" s="2" t="s">
        <v>57170</v>
      </c>
      <c r="I14795" s="2" t="s">
        <v>57171</v>
      </c>
      <c r="K14795" s="2" t="s">
        <v>10283</v>
      </c>
      <c r="L14795" s="2" t="s">
        <v>222</v>
      </c>
      <c r="M14795" s="2">
        <v>95630.0</v>
      </c>
      <c r="N14795" s="2" t="s">
        <v>21</v>
      </c>
    </row>
    <row r="14796" ht="15.75" customHeight="1">
      <c r="A14796" s="2">
        <v>2021.0</v>
      </c>
      <c r="B14796" s="2" t="s">
        <v>57172</v>
      </c>
      <c r="C14796" s="2" t="s">
        <v>57173</v>
      </c>
      <c r="D14796" s="2" t="str">
        <f>"2705579245"</f>
        <v>2705579245</v>
      </c>
      <c r="E14796" s="2" t="s">
        <v>6897</v>
      </c>
      <c r="F14796" s="2" t="s">
        <v>7396</v>
      </c>
      <c r="G14796" s="2" t="str">
        <f>"SR-21604"</f>
        <v>SR-21604</v>
      </c>
      <c r="H14796" s="2" t="s">
        <v>57174</v>
      </c>
      <c r="I14796" s="2" t="s">
        <v>57175</v>
      </c>
      <c r="K14796" s="2" t="s">
        <v>36418</v>
      </c>
      <c r="L14796" s="2" t="s">
        <v>1236</v>
      </c>
      <c r="M14796" s="2">
        <v>42003.0</v>
      </c>
      <c r="N14796" s="2" t="s">
        <v>21</v>
      </c>
    </row>
    <row r="14797" ht="15.75" customHeight="1">
      <c r="A14797" s="2">
        <v>2021.0</v>
      </c>
      <c r="B14797" s="2" t="s">
        <v>57176</v>
      </c>
      <c r="C14797" s="2" t="s">
        <v>57177</v>
      </c>
      <c r="D14797" s="2" t="str">
        <f>"6026770273"</f>
        <v>6026770273</v>
      </c>
      <c r="E14797" s="2" t="s">
        <v>12256</v>
      </c>
      <c r="F14797" s="2" t="s">
        <v>57178</v>
      </c>
      <c r="G14797" s="2" t="str">
        <f>"SR-21579"</f>
        <v>SR-21579</v>
      </c>
      <c r="H14797" s="2" t="s">
        <v>57179</v>
      </c>
      <c r="I14797" s="2" t="s">
        <v>57180</v>
      </c>
      <c r="K14797" s="2" t="s">
        <v>1593</v>
      </c>
      <c r="L14797" s="2" t="s">
        <v>422</v>
      </c>
      <c r="M14797" s="2">
        <v>85255.0</v>
      </c>
      <c r="N14797" s="2" t="s">
        <v>21</v>
      </c>
    </row>
    <row r="14798" ht="15.75" customHeight="1">
      <c r="A14798" s="2">
        <v>2021.0</v>
      </c>
      <c r="B14798" s="2" t="s">
        <v>57181</v>
      </c>
      <c r="C14798" s="2" t="s">
        <v>57182</v>
      </c>
      <c r="D14798" s="2" t="str">
        <f>"3176899085"</f>
        <v>3176899085</v>
      </c>
      <c r="E14798" s="2" t="s">
        <v>4224</v>
      </c>
      <c r="F14798" s="2" t="s">
        <v>27395</v>
      </c>
      <c r="G14798" s="2" t="str">
        <f>"SR-21607"</f>
        <v>SR-21607</v>
      </c>
      <c r="H14798" s="2" t="s">
        <v>57183</v>
      </c>
      <c r="I14798" s="2" t="s">
        <v>57184</v>
      </c>
      <c r="K14798" s="2" t="s">
        <v>2660</v>
      </c>
      <c r="L14798" s="2" t="s">
        <v>149</v>
      </c>
      <c r="M14798" s="2">
        <v>46037.0</v>
      </c>
      <c r="N14798" s="2" t="s">
        <v>21</v>
      </c>
    </row>
    <row r="14799" ht="15.75" customHeight="1">
      <c r="A14799" s="2">
        <v>2021.0</v>
      </c>
      <c r="B14799" s="2" t="s">
        <v>52476</v>
      </c>
      <c r="C14799" s="2" t="s">
        <v>52477</v>
      </c>
      <c r="D14799" s="2" t="str">
        <f>"260-318-3128"</f>
        <v>260-318-3128</v>
      </c>
      <c r="E14799" s="2" t="s">
        <v>261</v>
      </c>
      <c r="F14799" s="2" t="s">
        <v>18857</v>
      </c>
      <c r="G14799" s="2" t="str">
        <f>"SR-18757"</f>
        <v>SR-18757</v>
      </c>
      <c r="H14799" s="2" t="s">
        <v>52478</v>
      </c>
      <c r="I14799" s="2" t="s">
        <v>52479</v>
      </c>
      <c r="K14799" s="2" t="s">
        <v>18868</v>
      </c>
      <c r="L14799" s="2" t="s">
        <v>149</v>
      </c>
      <c r="M14799" s="2">
        <v>46755.0</v>
      </c>
      <c r="N14799" s="2" t="s">
        <v>21</v>
      </c>
    </row>
    <row r="14800" ht="15.75" customHeight="1">
      <c r="A14800" s="2">
        <v>2021.0</v>
      </c>
      <c r="B14800" s="2" t="s">
        <v>50179</v>
      </c>
      <c r="C14800" s="2" t="s">
        <v>50179</v>
      </c>
      <c r="D14800" s="2" t="str">
        <f>"952-353-3113"</f>
        <v>952-353-3113</v>
      </c>
      <c r="E14800" s="2" t="s">
        <v>485</v>
      </c>
      <c r="F14800" s="2" t="s">
        <v>35140</v>
      </c>
      <c r="G14800" s="2" t="str">
        <f>"SR-17924"</f>
        <v>SR-17924</v>
      </c>
      <c r="H14800" s="2" t="s">
        <v>50180</v>
      </c>
      <c r="I14800" s="2" t="s">
        <v>35142</v>
      </c>
      <c r="K14800" s="2" t="s">
        <v>1073</v>
      </c>
      <c r="L14800" s="2" t="s">
        <v>62</v>
      </c>
      <c r="M14800" s="2">
        <v>55417.0</v>
      </c>
      <c r="N14800" s="2" t="s">
        <v>21</v>
      </c>
    </row>
    <row r="14801" ht="15.75" customHeight="1">
      <c r="A14801" s="2">
        <v>2021.0</v>
      </c>
      <c r="B14801" s="2" t="s">
        <v>14567</v>
      </c>
      <c r="C14801" s="2" t="s">
        <v>57185</v>
      </c>
      <c r="D14801" s="2" t="str">
        <f>"865 722 5601"</f>
        <v>865 722 5601</v>
      </c>
      <c r="E14801" s="2" t="s">
        <v>9828</v>
      </c>
      <c r="F14801" s="2" t="s">
        <v>23273</v>
      </c>
      <c r="G14801" s="2" t="str">
        <f>"SR-21609"</f>
        <v>SR-21609</v>
      </c>
      <c r="H14801" s="2" t="s">
        <v>57186</v>
      </c>
      <c r="I14801" s="2" t="s">
        <v>57187</v>
      </c>
      <c r="K14801" s="2" t="s">
        <v>3397</v>
      </c>
      <c r="L14801" s="2" t="s">
        <v>279</v>
      </c>
      <c r="M14801" s="2">
        <v>37814.0</v>
      </c>
      <c r="N14801" s="2" t="s">
        <v>21</v>
      </c>
    </row>
    <row r="14802" ht="15.75" customHeight="1">
      <c r="A14802" s="2">
        <v>2021.0</v>
      </c>
      <c r="B14802" s="2" t="s">
        <v>57188</v>
      </c>
      <c r="C14802" s="2" t="s">
        <v>57189</v>
      </c>
      <c r="D14802" s="2" t="str">
        <f>"228-234-1453"</f>
        <v>228-234-1453</v>
      </c>
      <c r="E14802" s="2" t="s">
        <v>27873</v>
      </c>
      <c r="F14802" s="2" t="s">
        <v>1929</v>
      </c>
      <c r="G14802" s="2" t="str">
        <f>"SR-21612"</f>
        <v>SR-21612</v>
      </c>
      <c r="H14802" s="2" t="s">
        <v>57190</v>
      </c>
      <c r="I14802" s="2" t="s">
        <v>57191</v>
      </c>
      <c r="K14802" s="2" t="s">
        <v>3950</v>
      </c>
      <c r="L14802" s="2" t="s">
        <v>1722</v>
      </c>
      <c r="M14802" s="2">
        <v>39056.0</v>
      </c>
      <c r="N14802" s="2" t="s">
        <v>21</v>
      </c>
    </row>
    <row r="14803" ht="15.75" customHeight="1">
      <c r="A14803" s="2">
        <v>2021.0</v>
      </c>
      <c r="B14803" s="2" t="s">
        <v>27201</v>
      </c>
      <c r="C14803" s="2" t="s">
        <v>54139</v>
      </c>
      <c r="D14803" s="2" t="str">
        <f>"6155002163"</f>
        <v>6155002163</v>
      </c>
      <c r="E14803" s="2" t="s">
        <v>54140</v>
      </c>
      <c r="F14803" s="2" t="s">
        <v>27203</v>
      </c>
      <c r="G14803" s="2" t="str">
        <f>"SR-19582"</f>
        <v>SR-19582</v>
      </c>
      <c r="H14803" s="2" t="s">
        <v>54141</v>
      </c>
      <c r="I14803" s="2" t="s">
        <v>54142</v>
      </c>
      <c r="K14803" s="2" t="s">
        <v>5683</v>
      </c>
      <c r="L14803" s="2" t="s">
        <v>208</v>
      </c>
      <c r="M14803" s="2">
        <v>33596.0</v>
      </c>
      <c r="N14803" s="2" t="s">
        <v>21</v>
      </c>
    </row>
    <row r="14804" ht="15.75" customHeight="1">
      <c r="A14804" s="2">
        <v>2021.0</v>
      </c>
      <c r="B14804" s="2" t="s">
        <v>57192</v>
      </c>
      <c r="C14804" s="2" t="s">
        <v>57193</v>
      </c>
      <c r="D14804" s="2" t="str">
        <f>"9165127226"</f>
        <v>9165127226</v>
      </c>
      <c r="E14804" s="2" t="s">
        <v>2338</v>
      </c>
      <c r="F14804" s="2" t="s">
        <v>57194</v>
      </c>
      <c r="G14804" s="2" t="str">
        <f>"SR-21615"</f>
        <v>SR-21615</v>
      </c>
      <c r="H14804" s="2" t="s">
        <v>57195</v>
      </c>
      <c r="I14804" s="2" t="s">
        <v>57196</v>
      </c>
      <c r="K14804" s="2" t="s">
        <v>28205</v>
      </c>
      <c r="L14804" s="2" t="s">
        <v>222</v>
      </c>
      <c r="M14804" s="2">
        <v>95757.0</v>
      </c>
      <c r="N14804" s="2" t="s">
        <v>21</v>
      </c>
    </row>
    <row r="14805" ht="15.75" customHeight="1">
      <c r="A14805" s="2">
        <v>2021.0</v>
      </c>
      <c r="B14805" s="2" t="s">
        <v>57192</v>
      </c>
      <c r="C14805" s="2" t="s">
        <v>57197</v>
      </c>
      <c r="D14805" s="2" t="str">
        <f>"9163859265"</f>
        <v>9163859265</v>
      </c>
      <c r="E14805" s="2" t="s">
        <v>57198</v>
      </c>
      <c r="F14805" s="2" t="s">
        <v>57194</v>
      </c>
      <c r="G14805" s="2" t="str">
        <f>"SR-21616"</f>
        <v>SR-21616</v>
      </c>
      <c r="H14805" s="2" t="s">
        <v>57199</v>
      </c>
      <c r="I14805" s="2" t="s">
        <v>57196</v>
      </c>
      <c r="K14805" s="2" t="s">
        <v>28205</v>
      </c>
      <c r="L14805" s="2" t="s">
        <v>222</v>
      </c>
      <c r="M14805" s="2">
        <v>95757.0</v>
      </c>
      <c r="N14805" s="2" t="s">
        <v>21</v>
      </c>
    </row>
    <row r="14806" ht="15.75" customHeight="1">
      <c r="A14806" s="2">
        <v>2021.0</v>
      </c>
      <c r="B14806" s="2" t="s">
        <v>57200</v>
      </c>
      <c r="C14806" s="2" t="s">
        <v>57201</v>
      </c>
      <c r="D14806" s="2" t="str">
        <f>"5129839938"</f>
        <v>5129839938</v>
      </c>
      <c r="E14806" s="2" t="s">
        <v>13107</v>
      </c>
      <c r="F14806" s="2" t="s">
        <v>25763</v>
      </c>
      <c r="G14806" s="2" t="str">
        <f>"SR-21618"</f>
        <v>SR-21618</v>
      </c>
      <c r="H14806" s="2" t="s">
        <v>57202</v>
      </c>
      <c r="I14806" s="2" t="s">
        <v>57203</v>
      </c>
      <c r="K14806" s="2" t="s">
        <v>1141</v>
      </c>
      <c r="L14806" s="2" t="s">
        <v>172</v>
      </c>
      <c r="M14806" s="2">
        <v>78737.0</v>
      </c>
      <c r="N14806" s="2" t="s">
        <v>21</v>
      </c>
    </row>
    <row r="14807" ht="15.75" customHeight="1">
      <c r="A14807" s="2">
        <v>2021.0</v>
      </c>
      <c r="B14807" s="2" t="s">
        <v>54763</v>
      </c>
      <c r="D14807" s="2" t="str">
        <f>""</f>
        <v/>
      </c>
      <c r="E14807" s="2" t="s">
        <v>1239</v>
      </c>
      <c r="F14807" s="2" t="s">
        <v>54764</v>
      </c>
      <c r="G14807" s="2" t="str">
        <f>"SR-20353"</f>
        <v>SR-20353</v>
      </c>
      <c r="H14807" s="2" t="s">
        <v>54765</v>
      </c>
      <c r="N14807" s="2" t="s">
        <v>21</v>
      </c>
    </row>
    <row r="14808" ht="15.75" customHeight="1">
      <c r="A14808" s="2">
        <v>2021.0</v>
      </c>
      <c r="B14808" s="2" t="s">
        <v>57204</v>
      </c>
      <c r="C14808" s="2" t="s">
        <v>57204</v>
      </c>
      <c r="D14808" s="2" t="str">
        <f>"9196052089"</f>
        <v>9196052089</v>
      </c>
      <c r="E14808" s="2" t="s">
        <v>203</v>
      </c>
      <c r="F14808" s="2" t="s">
        <v>3106</v>
      </c>
      <c r="G14808" s="2" t="str">
        <f>"SR-21436"</f>
        <v>SR-21436</v>
      </c>
      <c r="H14808" s="2" t="s">
        <v>57205</v>
      </c>
      <c r="I14808" s="2" t="s">
        <v>57206</v>
      </c>
      <c r="K14808" s="2" t="s">
        <v>14916</v>
      </c>
      <c r="L14808" s="2" t="s">
        <v>20</v>
      </c>
      <c r="M14808" s="2">
        <v>27529.0</v>
      </c>
      <c r="N14808" s="2" t="s">
        <v>21</v>
      </c>
    </row>
    <row r="14809" ht="15.75" customHeight="1">
      <c r="A14809" s="2">
        <v>2021.0</v>
      </c>
      <c r="B14809" s="2" t="s">
        <v>57207</v>
      </c>
      <c r="C14809" s="2" t="s">
        <v>57207</v>
      </c>
      <c r="D14809" s="2" t="str">
        <f>"5618279187"</f>
        <v>5618279187</v>
      </c>
      <c r="E14809" s="2" t="s">
        <v>17623</v>
      </c>
      <c r="F14809" s="2" t="s">
        <v>57208</v>
      </c>
      <c r="G14809" s="2" t="str">
        <f>"SR-21623"</f>
        <v>SR-21623</v>
      </c>
      <c r="H14809" s="2" t="s">
        <v>57209</v>
      </c>
      <c r="I14809" s="2" t="s">
        <v>57210</v>
      </c>
      <c r="K14809" s="2" t="s">
        <v>32423</v>
      </c>
      <c r="L14809" s="2" t="s">
        <v>208</v>
      </c>
      <c r="M14809" s="2">
        <v>33467.0</v>
      </c>
      <c r="N14809" s="2" t="s">
        <v>21</v>
      </c>
    </row>
    <row r="14810" ht="15.75" customHeight="1">
      <c r="A14810" s="2">
        <v>2021.0</v>
      </c>
      <c r="B14810" s="2" t="s">
        <v>57211</v>
      </c>
      <c r="C14810" s="2" t="s">
        <v>57212</v>
      </c>
      <c r="D14810" s="2" t="str">
        <f>"4076644740"</f>
        <v>4076644740</v>
      </c>
      <c r="E14810" s="2" t="s">
        <v>6266</v>
      </c>
      <c r="F14810" s="2" t="s">
        <v>57213</v>
      </c>
      <c r="G14810" s="2" t="str">
        <f>"SR-21575"</f>
        <v>SR-21575</v>
      </c>
      <c r="H14810" s="2" t="s">
        <v>57214</v>
      </c>
      <c r="I14810" s="2" t="s">
        <v>57215</v>
      </c>
      <c r="K14810" s="2" t="s">
        <v>4724</v>
      </c>
      <c r="L14810" s="2" t="s">
        <v>208</v>
      </c>
      <c r="M14810" s="2">
        <v>32832.0</v>
      </c>
      <c r="N14810" s="2" t="s">
        <v>21</v>
      </c>
    </row>
    <row r="14811" ht="15.75" customHeight="1">
      <c r="A14811" s="2">
        <v>2021.0</v>
      </c>
      <c r="B14811" s="2" t="s">
        <v>57216</v>
      </c>
      <c r="C14811" s="2" t="s">
        <v>57216</v>
      </c>
      <c r="D14811" s="2" t="str">
        <f>"4843647141"</f>
        <v>4843647141</v>
      </c>
      <c r="E14811" s="2" t="s">
        <v>10825</v>
      </c>
      <c r="F14811" s="2" t="s">
        <v>57217</v>
      </c>
      <c r="G14811" s="2" t="str">
        <f>"SR-21624"</f>
        <v>SR-21624</v>
      </c>
      <c r="H14811" s="2" t="s">
        <v>57218</v>
      </c>
      <c r="I14811" s="2" t="s">
        <v>57219</v>
      </c>
      <c r="K14811" s="2" t="s">
        <v>53247</v>
      </c>
      <c r="L14811" s="2" t="s">
        <v>179</v>
      </c>
      <c r="M14811" s="2">
        <v>19344.0</v>
      </c>
      <c r="N14811" s="2" t="s">
        <v>21</v>
      </c>
    </row>
    <row r="14812" ht="15.75" customHeight="1">
      <c r="A14812" s="2">
        <v>2021.0</v>
      </c>
      <c r="B14812" s="2" t="s">
        <v>49265</v>
      </c>
      <c r="C14812" s="2" t="s">
        <v>57220</v>
      </c>
      <c r="D14812" s="2" t="str">
        <f>"720-453-9165"</f>
        <v>720-453-9165</v>
      </c>
      <c r="E14812" s="2" t="s">
        <v>678</v>
      </c>
      <c r="F14812" s="2" t="s">
        <v>31</v>
      </c>
      <c r="G14812" s="2" t="str">
        <f>"SR-21626"</f>
        <v>SR-21626</v>
      </c>
      <c r="H14812" s="2" t="s">
        <v>47623</v>
      </c>
      <c r="I14812" s="2" t="s">
        <v>49269</v>
      </c>
      <c r="K14812" s="2" t="s">
        <v>992</v>
      </c>
      <c r="L14812" s="2" t="s">
        <v>157</v>
      </c>
      <c r="M14812" s="2">
        <v>80015.0</v>
      </c>
      <c r="N14812" s="2" t="s">
        <v>21</v>
      </c>
    </row>
    <row r="14813" ht="15.75" customHeight="1">
      <c r="A14813" s="2">
        <v>2021.0</v>
      </c>
      <c r="B14813" s="2" t="s">
        <v>57221</v>
      </c>
      <c r="C14813" s="2" t="s">
        <v>57222</v>
      </c>
      <c r="D14813" s="2" t="str">
        <f>"515-380-2653"</f>
        <v>515-380-2653</v>
      </c>
      <c r="E14813" s="2" t="s">
        <v>2259</v>
      </c>
      <c r="F14813" s="2" t="s">
        <v>1151</v>
      </c>
      <c r="G14813" s="2" t="str">
        <f>"SR-21628"</f>
        <v>SR-21628</v>
      </c>
      <c r="H14813" s="2" t="s">
        <v>7949</v>
      </c>
      <c r="I14813" s="2" t="s">
        <v>57223</v>
      </c>
      <c r="K14813" s="2" t="s">
        <v>8923</v>
      </c>
      <c r="L14813" s="2" t="s">
        <v>560</v>
      </c>
      <c r="M14813" s="2">
        <v>50327.0</v>
      </c>
      <c r="N14813" s="2" t="s">
        <v>21</v>
      </c>
    </row>
    <row r="14814" ht="15.75" customHeight="1">
      <c r="A14814" s="2">
        <v>2021.0</v>
      </c>
      <c r="B14814" s="2" t="s">
        <v>57221</v>
      </c>
      <c r="C14814" s="2" t="s">
        <v>57224</v>
      </c>
      <c r="D14814" s="2" t="str">
        <f>"515-423-4484"</f>
        <v>515-423-4484</v>
      </c>
      <c r="E14814" s="2" t="s">
        <v>1891</v>
      </c>
      <c r="F14814" s="2" t="s">
        <v>1151</v>
      </c>
      <c r="G14814" s="2" t="str">
        <f>"SR-21630"</f>
        <v>SR-21630</v>
      </c>
      <c r="H14814" s="2" t="s">
        <v>57225</v>
      </c>
      <c r="I14814" s="2" t="s">
        <v>57223</v>
      </c>
      <c r="K14814" s="2" t="s">
        <v>8923</v>
      </c>
      <c r="L14814" s="2" t="s">
        <v>560</v>
      </c>
      <c r="M14814" s="2">
        <v>50327.0</v>
      </c>
      <c r="N14814" s="2" t="s">
        <v>21</v>
      </c>
    </row>
    <row r="14815" ht="15.75" customHeight="1">
      <c r="A14815" s="2">
        <v>2021.0</v>
      </c>
      <c r="B14815" s="2" t="s">
        <v>41738</v>
      </c>
      <c r="C14815" s="2" t="s">
        <v>57226</v>
      </c>
      <c r="D14815" s="2" t="str">
        <f>"515-708-9876"</f>
        <v>515-708-9876</v>
      </c>
      <c r="E14815" s="2" t="s">
        <v>3640</v>
      </c>
      <c r="F14815" s="2" t="s">
        <v>2429</v>
      </c>
      <c r="G14815" s="2" t="str">
        <f>"SR-21632"</f>
        <v>SR-21632</v>
      </c>
      <c r="H14815" s="2" t="s">
        <v>57227</v>
      </c>
      <c r="I14815" s="2" t="s">
        <v>57228</v>
      </c>
      <c r="K14815" s="2" t="s">
        <v>57229</v>
      </c>
      <c r="L14815" s="2" t="s">
        <v>560</v>
      </c>
      <c r="M14815" s="2">
        <v>50210.0</v>
      </c>
      <c r="N14815" s="2" t="s">
        <v>21</v>
      </c>
    </row>
    <row r="14816" ht="15.75" customHeight="1">
      <c r="A14816" s="2">
        <v>2021.0</v>
      </c>
      <c r="B14816" s="2" t="s">
        <v>57230</v>
      </c>
      <c r="C14816" s="2" t="s">
        <v>57231</v>
      </c>
      <c r="D14816" s="2" t="str">
        <f>"3197776192"</f>
        <v>3197776192</v>
      </c>
      <c r="E14816" s="2" t="s">
        <v>18715</v>
      </c>
      <c r="F14816" s="2" t="s">
        <v>57232</v>
      </c>
      <c r="G14816" s="2" t="str">
        <f>"SR-21633"</f>
        <v>SR-21633</v>
      </c>
      <c r="H14816" s="2" t="s">
        <v>57233</v>
      </c>
      <c r="I14816" s="2" t="s">
        <v>57234</v>
      </c>
      <c r="K14816" s="2" t="s">
        <v>3273</v>
      </c>
      <c r="L14816" s="2" t="s">
        <v>560</v>
      </c>
      <c r="M14816" s="2">
        <v>52402.0</v>
      </c>
      <c r="N14816" s="2" t="s">
        <v>21</v>
      </c>
    </row>
    <row r="14817" ht="15.75" customHeight="1">
      <c r="A14817" s="2">
        <v>2021.0</v>
      </c>
      <c r="B14817" s="2" t="s">
        <v>57235</v>
      </c>
      <c r="C14817" s="2" t="s">
        <v>57236</v>
      </c>
      <c r="D14817" s="2" t="str">
        <f>"9794028174"</f>
        <v>9794028174</v>
      </c>
      <c r="E14817" s="2" t="s">
        <v>3242</v>
      </c>
      <c r="F14817" s="2" t="s">
        <v>57237</v>
      </c>
      <c r="G14817" s="2" t="str">
        <f>"SR-21636"</f>
        <v>SR-21636</v>
      </c>
      <c r="H14817" s="2" t="s">
        <v>57238</v>
      </c>
      <c r="I14817" s="2" t="s">
        <v>57239</v>
      </c>
      <c r="K14817" s="2" t="s">
        <v>2969</v>
      </c>
      <c r="L14817" s="2" t="s">
        <v>172</v>
      </c>
      <c r="M14817" s="2">
        <v>77845.0</v>
      </c>
      <c r="N14817" s="2" t="s">
        <v>21</v>
      </c>
    </row>
    <row r="14818" ht="15.75" customHeight="1">
      <c r="A14818" s="2">
        <v>2021.0</v>
      </c>
      <c r="B14818" s="2" t="s">
        <v>57240</v>
      </c>
      <c r="C14818" s="2" t="s">
        <v>57241</v>
      </c>
      <c r="D14818" s="2" t="str">
        <f>"3256657449"</f>
        <v>3256657449</v>
      </c>
      <c r="E14818" s="2" t="s">
        <v>57242</v>
      </c>
      <c r="F14818" s="2" t="s">
        <v>57243</v>
      </c>
      <c r="G14818" s="2" t="str">
        <f>"SR-21600"</f>
        <v>SR-21600</v>
      </c>
      <c r="H14818" s="2" t="s">
        <v>57244</v>
      </c>
      <c r="I14818" s="2" t="s">
        <v>57245</v>
      </c>
      <c r="K14818" s="2" t="s">
        <v>781</v>
      </c>
      <c r="L14818" s="2" t="s">
        <v>172</v>
      </c>
      <c r="M14818" s="2">
        <v>79606.0</v>
      </c>
      <c r="N14818" s="2" t="s">
        <v>21</v>
      </c>
    </row>
    <row r="14819" ht="15.75" customHeight="1">
      <c r="A14819" s="2">
        <v>2021.0</v>
      </c>
      <c r="B14819" s="2" t="s">
        <v>57246</v>
      </c>
      <c r="C14819" s="2" t="s">
        <v>57246</v>
      </c>
      <c r="D14819" s="2" t="str">
        <f>"7792301553"</f>
        <v>7792301553</v>
      </c>
      <c r="E14819" s="2" t="s">
        <v>678</v>
      </c>
      <c r="F14819" s="2" t="s">
        <v>8310</v>
      </c>
      <c r="G14819" s="2" t="str">
        <f>"SR-21629"</f>
        <v>SR-21629</v>
      </c>
      <c r="H14819" s="2" t="s">
        <v>57247</v>
      </c>
      <c r="I14819" s="2" t="s">
        <v>15119</v>
      </c>
      <c r="K14819" s="2" t="s">
        <v>15120</v>
      </c>
      <c r="L14819" s="2" t="s">
        <v>105</v>
      </c>
      <c r="M14819" s="2">
        <v>60410.0</v>
      </c>
      <c r="N14819" s="2" t="s">
        <v>21</v>
      </c>
    </row>
    <row r="14820" ht="15.75" customHeight="1">
      <c r="A14820" s="2">
        <v>2021.0</v>
      </c>
      <c r="B14820" s="2" t="s">
        <v>57248</v>
      </c>
      <c r="C14820" s="2" t="s">
        <v>57249</v>
      </c>
      <c r="D14820" s="2" t="str">
        <f>"469-558-4267"</f>
        <v>469-558-4267</v>
      </c>
      <c r="E14820" s="2" t="s">
        <v>931</v>
      </c>
      <c r="F14820" s="2" t="s">
        <v>45681</v>
      </c>
      <c r="G14820" s="2" t="str">
        <f>"SR-21637"</f>
        <v>SR-21637</v>
      </c>
      <c r="H14820" s="2" t="s">
        <v>57250</v>
      </c>
      <c r="I14820" s="2" t="s">
        <v>57251</v>
      </c>
      <c r="K14820" s="2" t="s">
        <v>9975</v>
      </c>
      <c r="L14820" s="2" t="s">
        <v>172</v>
      </c>
      <c r="M14820" s="2">
        <v>76227.0</v>
      </c>
      <c r="N14820" s="2" t="s">
        <v>21</v>
      </c>
    </row>
    <row r="14821" ht="15.75" customHeight="1">
      <c r="A14821" s="2">
        <v>2021.0</v>
      </c>
      <c r="B14821" s="2" t="s">
        <v>34849</v>
      </c>
      <c r="C14821" s="2" t="s">
        <v>40809</v>
      </c>
      <c r="D14821" s="2" t="str">
        <f>"7208794733"</f>
        <v>7208794733</v>
      </c>
      <c r="E14821" s="2" t="s">
        <v>40810</v>
      </c>
      <c r="F14821" s="2" t="s">
        <v>17913</v>
      </c>
      <c r="G14821" s="2" t="str">
        <f>"SR-13951"</f>
        <v>SR-13951</v>
      </c>
      <c r="H14821" s="2" t="s">
        <v>40811</v>
      </c>
      <c r="I14821" s="2" t="s">
        <v>40812</v>
      </c>
      <c r="K14821" s="2" t="s">
        <v>7578</v>
      </c>
      <c r="L14821" s="2" t="s">
        <v>157</v>
      </c>
      <c r="M14821" s="2">
        <v>80118.0</v>
      </c>
      <c r="N14821" s="2" t="s">
        <v>21</v>
      </c>
    </row>
    <row r="14822" ht="15.75" customHeight="1">
      <c r="A14822" s="2">
        <v>2021.0</v>
      </c>
      <c r="B14822" s="2" t="s">
        <v>57252</v>
      </c>
      <c r="C14822" s="2" t="s">
        <v>57252</v>
      </c>
      <c r="D14822" s="2" t="str">
        <f>"3213241941"</f>
        <v>3213241941</v>
      </c>
      <c r="E14822" s="2" t="s">
        <v>417</v>
      </c>
      <c r="F14822" s="2" t="s">
        <v>8234</v>
      </c>
      <c r="G14822" s="2" t="str">
        <f>"SR-21586"</f>
        <v>SR-21586</v>
      </c>
      <c r="H14822" s="2" t="s">
        <v>57253</v>
      </c>
      <c r="I14822" s="2" t="s">
        <v>57254</v>
      </c>
      <c r="K14822" s="2" t="s">
        <v>6360</v>
      </c>
      <c r="L14822" s="2" t="s">
        <v>208</v>
      </c>
      <c r="M14822" s="2">
        <v>33897.0</v>
      </c>
      <c r="N14822" s="2" t="s">
        <v>21</v>
      </c>
    </row>
    <row r="14823" ht="15.75" customHeight="1">
      <c r="A14823" s="2">
        <v>2021.0</v>
      </c>
      <c r="B14823" s="2" t="s">
        <v>57255</v>
      </c>
      <c r="C14823" s="2" t="s">
        <v>57256</v>
      </c>
      <c r="D14823" s="2" t="str">
        <f>"919-637-3441"</f>
        <v>919-637-3441</v>
      </c>
      <c r="E14823" s="2" t="s">
        <v>261</v>
      </c>
      <c r="F14823" s="2" t="s">
        <v>4773</v>
      </c>
      <c r="G14823" s="2" t="str">
        <f>"SR-21638"</f>
        <v>SR-21638</v>
      </c>
      <c r="H14823" s="2" t="s">
        <v>57257</v>
      </c>
      <c r="I14823" s="2" t="s">
        <v>57258</v>
      </c>
      <c r="K14823" s="2" t="s">
        <v>7993</v>
      </c>
      <c r="L14823" s="2" t="s">
        <v>20</v>
      </c>
      <c r="M14823" s="2">
        <v>27603.0</v>
      </c>
      <c r="N14823" s="2" t="s">
        <v>21</v>
      </c>
    </row>
    <row r="14824" ht="15.75" customHeight="1">
      <c r="A14824" s="2">
        <v>2021.0</v>
      </c>
      <c r="B14824" s="2" t="s">
        <v>57259</v>
      </c>
      <c r="C14824" s="2" t="s">
        <v>57260</v>
      </c>
      <c r="D14824" s="2" t="str">
        <f>"6782966984"</f>
        <v>6782966984</v>
      </c>
      <c r="E14824" s="2" t="s">
        <v>57261</v>
      </c>
      <c r="F14824" s="2" t="s">
        <v>3913</v>
      </c>
      <c r="G14824" s="2" t="str">
        <f>"SR-21639"</f>
        <v>SR-21639</v>
      </c>
      <c r="H14824" s="2" t="s">
        <v>57262</v>
      </c>
      <c r="I14824" s="2" t="s">
        <v>57263</v>
      </c>
      <c r="K14824" s="2" t="s">
        <v>13414</v>
      </c>
      <c r="L14824" s="2" t="s">
        <v>200</v>
      </c>
      <c r="M14824" s="2">
        <v>30082.0</v>
      </c>
      <c r="N14824" s="2" t="s">
        <v>21</v>
      </c>
    </row>
    <row r="14825" ht="15.75" customHeight="1">
      <c r="A14825" s="2">
        <v>2021.0</v>
      </c>
      <c r="B14825" s="2" t="s">
        <v>57264</v>
      </c>
      <c r="C14825" s="2" t="s">
        <v>57264</v>
      </c>
      <c r="D14825" s="2" t="str">
        <f>"803-665-2416"</f>
        <v>803-665-2416</v>
      </c>
      <c r="E14825" s="2" t="s">
        <v>11043</v>
      </c>
      <c r="F14825" s="2" t="s">
        <v>57265</v>
      </c>
      <c r="G14825" s="2" t="str">
        <f>"SR-21546"</f>
        <v>SR-21546</v>
      </c>
      <c r="H14825" s="2" t="s">
        <v>57266</v>
      </c>
      <c r="I14825" s="2" t="s">
        <v>57267</v>
      </c>
      <c r="K14825" s="2" t="s">
        <v>254</v>
      </c>
      <c r="L14825" s="2" t="s">
        <v>55</v>
      </c>
      <c r="M14825" s="2">
        <v>29072.0</v>
      </c>
      <c r="N14825" s="2" t="s">
        <v>21</v>
      </c>
    </row>
    <row r="14826" ht="15.75" customHeight="1">
      <c r="A14826" s="2">
        <v>2021.0</v>
      </c>
      <c r="B14826" s="2" t="s">
        <v>57268</v>
      </c>
      <c r="C14826" s="2" t="s">
        <v>57269</v>
      </c>
      <c r="D14826" s="2" t="str">
        <f>"6789974380"</f>
        <v>6789974380</v>
      </c>
      <c r="E14826" s="2" t="s">
        <v>1450</v>
      </c>
      <c r="F14826" s="2" t="s">
        <v>21429</v>
      </c>
      <c r="G14826" s="2" t="str">
        <f>"SR-21641"</f>
        <v>SR-21641</v>
      </c>
      <c r="H14826" s="2" t="s">
        <v>57270</v>
      </c>
      <c r="I14826" s="2" t="s">
        <v>57271</v>
      </c>
      <c r="K14826" s="2" t="s">
        <v>57272</v>
      </c>
      <c r="L14826" s="2" t="s">
        <v>200</v>
      </c>
      <c r="M14826" s="2">
        <v>30542.0</v>
      </c>
      <c r="N14826" s="2" t="s">
        <v>21</v>
      </c>
    </row>
    <row r="14827" ht="15.75" customHeight="1">
      <c r="A14827" s="2">
        <v>2021.0</v>
      </c>
      <c r="B14827" s="2" t="s">
        <v>57273</v>
      </c>
      <c r="C14827" s="2" t="s">
        <v>57274</v>
      </c>
      <c r="D14827" s="2" t="str">
        <f>"719-322-7188"</f>
        <v>719-322-7188</v>
      </c>
      <c r="E14827" s="2" t="s">
        <v>16971</v>
      </c>
      <c r="F14827" s="2" t="s">
        <v>21153</v>
      </c>
      <c r="G14827" s="2" t="str">
        <f>"SR-21212"</f>
        <v>SR-21212</v>
      </c>
      <c r="H14827" s="2" t="s">
        <v>57275</v>
      </c>
      <c r="I14827" s="2" t="s">
        <v>57276</v>
      </c>
      <c r="K14827" s="2" t="s">
        <v>809</v>
      </c>
      <c r="L14827" s="2" t="s">
        <v>157</v>
      </c>
      <c r="M14827" s="2">
        <v>80906.0</v>
      </c>
      <c r="N14827" s="2" t="s">
        <v>21</v>
      </c>
    </row>
    <row r="14828" ht="15.75" customHeight="1">
      <c r="A14828" s="2">
        <v>2021.0</v>
      </c>
      <c r="B14828" s="2" t="s">
        <v>53768</v>
      </c>
      <c r="C14828" s="2" t="s">
        <v>53768</v>
      </c>
      <c r="D14828" s="2" t="str">
        <f>"(907) 320-0511"</f>
        <v>(907) 320-0511</v>
      </c>
      <c r="E14828" s="2" t="s">
        <v>453</v>
      </c>
      <c r="F14828" s="2" t="s">
        <v>8787</v>
      </c>
      <c r="G14828" s="2" t="str">
        <f>"SR-19397"</f>
        <v>SR-19397</v>
      </c>
      <c r="H14828" s="2" t="s">
        <v>53769</v>
      </c>
      <c r="I14828" s="2" t="s">
        <v>53770</v>
      </c>
      <c r="K14828" s="2" t="s">
        <v>53771</v>
      </c>
      <c r="L14828" s="2" t="s">
        <v>70</v>
      </c>
      <c r="M14828" s="2">
        <v>99588.0</v>
      </c>
      <c r="N14828" s="2" t="s">
        <v>21</v>
      </c>
    </row>
    <row r="14829" ht="15.75" customHeight="1">
      <c r="A14829" s="2">
        <v>2021.0</v>
      </c>
      <c r="B14829" s="2" t="s">
        <v>57277</v>
      </c>
      <c r="C14829" s="2" t="s">
        <v>57278</v>
      </c>
      <c r="D14829" s="2" t="str">
        <f>"3252808936"</f>
        <v>3252808936</v>
      </c>
      <c r="E14829" s="2" t="s">
        <v>1000</v>
      </c>
      <c r="F14829" s="2" t="s">
        <v>26730</v>
      </c>
      <c r="G14829" s="2" t="str">
        <f>"SR-21603"</f>
        <v>SR-21603</v>
      </c>
      <c r="H14829" s="2" t="s">
        <v>57279</v>
      </c>
      <c r="I14829" s="2" t="s">
        <v>57280</v>
      </c>
      <c r="K14829" s="2" t="s">
        <v>57281</v>
      </c>
      <c r="L14829" s="2" t="s">
        <v>172</v>
      </c>
      <c r="M14829" s="2">
        <v>79553.0</v>
      </c>
      <c r="N14829" s="2" t="s">
        <v>21</v>
      </c>
    </row>
    <row r="14830" ht="15.75" customHeight="1">
      <c r="A14830" s="2">
        <v>2021.0</v>
      </c>
      <c r="B14830" s="2" t="s">
        <v>50557</v>
      </c>
      <c r="C14830" s="2" t="s">
        <v>50557</v>
      </c>
      <c r="D14830" s="2" t="str">
        <f>"8062800557"</f>
        <v>8062800557</v>
      </c>
      <c r="E14830" s="2" t="s">
        <v>3191</v>
      </c>
      <c r="F14830" s="2" t="s">
        <v>8115</v>
      </c>
      <c r="G14830" s="2" t="str">
        <f>"SR-18041"</f>
        <v>SR-18041</v>
      </c>
      <c r="H14830" s="2" t="s">
        <v>50558</v>
      </c>
      <c r="I14830" s="2" t="s">
        <v>50559</v>
      </c>
      <c r="K14830" s="2" t="s">
        <v>1121</v>
      </c>
      <c r="L14830" s="2" t="s">
        <v>172</v>
      </c>
      <c r="M14830" s="2">
        <v>79424.0</v>
      </c>
      <c r="N14830" s="2" t="s">
        <v>21</v>
      </c>
    </row>
    <row r="14831" ht="15.75" customHeight="1">
      <c r="A14831" s="2">
        <v>2021.0</v>
      </c>
      <c r="B14831" s="2" t="s">
        <v>57282</v>
      </c>
      <c r="C14831" s="2" t="s">
        <v>57283</v>
      </c>
      <c r="D14831" s="2" t="str">
        <f>"7068363900"</f>
        <v>7068363900</v>
      </c>
      <c r="E14831" s="2" t="s">
        <v>931</v>
      </c>
      <c r="F14831" s="2" t="s">
        <v>6072</v>
      </c>
      <c r="G14831" s="2" t="str">
        <f>"SR-21645"</f>
        <v>SR-21645</v>
      </c>
      <c r="H14831" s="2" t="s">
        <v>57284</v>
      </c>
      <c r="I14831" s="2" t="s">
        <v>57285</v>
      </c>
      <c r="K14831" s="2" t="s">
        <v>19068</v>
      </c>
      <c r="L14831" s="2" t="s">
        <v>200</v>
      </c>
      <c r="M14831" s="2">
        <v>30813.0</v>
      </c>
      <c r="N14831" s="2" t="s">
        <v>21</v>
      </c>
    </row>
    <row r="14832" ht="15.75" customHeight="1">
      <c r="A14832" s="2">
        <v>2021.0</v>
      </c>
      <c r="B14832" s="2" t="s">
        <v>57286</v>
      </c>
      <c r="C14832" s="2" t="s">
        <v>57287</v>
      </c>
      <c r="D14832" s="2" t="str">
        <f>"7152144684"</f>
        <v>7152144684</v>
      </c>
      <c r="E14832" s="2" t="s">
        <v>9924</v>
      </c>
      <c r="F14832" s="2" t="s">
        <v>36638</v>
      </c>
      <c r="G14832" s="2" t="str">
        <f>"SR-21644"</f>
        <v>SR-21644</v>
      </c>
      <c r="H14832" s="2" t="s">
        <v>57288</v>
      </c>
      <c r="I14832" s="2" t="s">
        <v>57289</v>
      </c>
      <c r="K14832" s="2" t="s">
        <v>57290</v>
      </c>
      <c r="L14832" s="2" t="s">
        <v>193</v>
      </c>
      <c r="M14832" s="2">
        <v>54729.0</v>
      </c>
      <c r="N14832" s="2" t="s">
        <v>21</v>
      </c>
    </row>
    <row r="14833" ht="15.75" customHeight="1">
      <c r="A14833" s="2">
        <v>2021.0</v>
      </c>
      <c r="B14833" s="2" t="s">
        <v>54798</v>
      </c>
      <c r="C14833" s="2" t="s">
        <v>54799</v>
      </c>
      <c r="D14833" s="2" t="str">
        <f>"5093784594"</f>
        <v>5093784594</v>
      </c>
      <c r="E14833" s="2" t="s">
        <v>2800</v>
      </c>
      <c r="F14833" s="2" t="s">
        <v>256</v>
      </c>
      <c r="G14833" s="2" t="str">
        <f>"SR-20374"</f>
        <v>SR-20374</v>
      </c>
      <c r="H14833" s="2" t="s">
        <v>54800</v>
      </c>
      <c r="I14833" s="2" t="s">
        <v>54801</v>
      </c>
      <c r="K14833" s="2" t="s">
        <v>24628</v>
      </c>
      <c r="L14833" s="2" t="s">
        <v>86</v>
      </c>
      <c r="M14833" s="2">
        <v>99336.0</v>
      </c>
      <c r="N14833" s="2" t="s">
        <v>21</v>
      </c>
    </row>
    <row r="14834" ht="15.75" customHeight="1">
      <c r="A14834" s="2">
        <v>2021.0</v>
      </c>
      <c r="B14834" s="2" t="s">
        <v>51379</v>
      </c>
      <c r="C14834" s="2" t="s">
        <v>51380</v>
      </c>
      <c r="D14834" s="2" t="str">
        <f>"6688860258"</f>
        <v>6688860258</v>
      </c>
      <c r="E14834" s="2" t="s">
        <v>8472</v>
      </c>
      <c r="F14834" s="2" t="s">
        <v>51381</v>
      </c>
      <c r="G14834" s="2" t="str">
        <f>"SR-18357"</f>
        <v>SR-18357</v>
      </c>
      <c r="H14834" s="2" t="s">
        <v>51382</v>
      </c>
      <c r="I14834" s="2" t="s">
        <v>51383</v>
      </c>
      <c r="K14834" s="2" t="s">
        <v>1104</v>
      </c>
      <c r="L14834" s="2" t="s">
        <v>214</v>
      </c>
      <c r="M14834" s="2">
        <v>63383.0</v>
      </c>
      <c r="N14834" s="2" t="s">
        <v>21</v>
      </c>
    </row>
    <row r="14835" ht="15.75" customHeight="1">
      <c r="A14835" s="2">
        <v>2021.0</v>
      </c>
      <c r="B14835" s="2" t="s">
        <v>57291</v>
      </c>
      <c r="C14835" s="2" t="s">
        <v>57292</v>
      </c>
      <c r="D14835" s="2" t="str">
        <f>"7062527357"</f>
        <v>7062527357</v>
      </c>
      <c r="E14835" s="2" t="s">
        <v>12075</v>
      </c>
      <c r="F14835" s="2" t="s">
        <v>30572</v>
      </c>
      <c r="G14835" s="2" t="str">
        <f>"SR-21621"</f>
        <v>SR-21621</v>
      </c>
      <c r="H14835" s="2" t="s">
        <v>57293</v>
      </c>
      <c r="I14835" s="2" t="s">
        <v>57294</v>
      </c>
      <c r="K14835" s="2" t="s">
        <v>22278</v>
      </c>
      <c r="L14835" s="2" t="s">
        <v>200</v>
      </c>
      <c r="M14835" s="2">
        <v>30165.0</v>
      </c>
      <c r="N14835" s="2" t="s">
        <v>21</v>
      </c>
    </row>
    <row r="14836" ht="15.75" customHeight="1">
      <c r="A14836" s="2">
        <v>2021.0</v>
      </c>
      <c r="B14836" s="2" t="s">
        <v>57295</v>
      </c>
      <c r="C14836" s="2" t="s">
        <v>57296</v>
      </c>
      <c r="D14836" s="2" t="str">
        <f>"3039168905"</f>
        <v>3039168905</v>
      </c>
      <c r="E14836" s="2" t="s">
        <v>3693</v>
      </c>
      <c r="F14836" s="2" t="s">
        <v>386</v>
      </c>
      <c r="G14836" s="2" t="str">
        <f>"SR-21650"</f>
        <v>SR-21650</v>
      </c>
      <c r="H14836" s="2" t="s">
        <v>57297</v>
      </c>
      <c r="I14836" s="2" t="s">
        <v>57298</v>
      </c>
      <c r="K14836" s="2" t="s">
        <v>1889</v>
      </c>
      <c r="L14836" s="2" t="s">
        <v>157</v>
      </c>
      <c r="M14836" s="2">
        <v>80120.0</v>
      </c>
      <c r="N14836" s="2" t="s">
        <v>21</v>
      </c>
    </row>
    <row r="14837" ht="15.75" customHeight="1">
      <c r="A14837" s="2">
        <v>2021.0</v>
      </c>
      <c r="B14837" s="2" t="s">
        <v>37040</v>
      </c>
      <c r="C14837" s="2" t="s">
        <v>57299</v>
      </c>
      <c r="D14837" s="2" t="str">
        <f>"678-865-6075"</f>
        <v>678-865-6075</v>
      </c>
      <c r="E14837" s="2" t="s">
        <v>160</v>
      </c>
      <c r="F14837" s="2" t="s">
        <v>37042</v>
      </c>
      <c r="G14837" s="2" t="str">
        <f>"SR-21651"</f>
        <v>SR-21651</v>
      </c>
      <c r="H14837" s="2" t="s">
        <v>57300</v>
      </c>
      <c r="I14837" s="2" t="s">
        <v>57301</v>
      </c>
      <c r="K14837" s="2" t="s">
        <v>57272</v>
      </c>
      <c r="L14837" s="2" t="s">
        <v>200</v>
      </c>
      <c r="M14837" s="2">
        <v>30542.0</v>
      </c>
      <c r="N14837" s="2" t="s">
        <v>21</v>
      </c>
    </row>
    <row r="14838" ht="15.75" customHeight="1">
      <c r="A14838" s="2">
        <v>2021.0</v>
      </c>
      <c r="B14838" s="2" t="s">
        <v>57302</v>
      </c>
      <c r="C14838" s="2" t="s">
        <v>57302</v>
      </c>
      <c r="D14838" s="2" t="str">
        <f>"8034601968"</f>
        <v>8034601968</v>
      </c>
      <c r="E14838" s="2" t="s">
        <v>26258</v>
      </c>
      <c r="F14838" s="2" t="s">
        <v>57303</v>
      </c>
      <c r="G14838" s="2" t="str">
        <f>"SR-21647"</f>
        <v>SR-21647</v>
      </c>
      <c r="H14838" s="2" t="s">
        <v>57304</v>
      </c>
      <c r="I14838" s="2" t="s">
        <v>57305</v>
      </c>
      <c r="K14838" s="2" t="s">
        <v>13964</v>
      </c>
      <c r="L14838" s="2" t="s">
        <v>55</v>
      </c>
      <c r="M14838" s="2">
        <v>29102.0</v>
      </c>
      <c r="N14838" s="2" t="s">
        <v>21</v>
      </c>
    </row>
    <row r="14839" ht="15.75" customHeight="1">
      <c r="A14839" s="2">
        <v>2021.0</v>
      </c>
      <c r="B14839" s="2" t="s">
        <v>57306</v>
      </c>
      <c r="C14839" s="2" t="s">
        <v>57306</v>
      </c>
      <c r="D14839" s="2" t="str">
        <f>"715-439-5645"</f>
        <v>715-439-5645</v>
      </c>
      <c r="E14839" s="2" t="s">
        <v>19</v>
      </c>
      <c r="F14839" s="2" t="s">
        <v>57307</v>
      </c>
      <c r="G14839" s="2" t="str">
        <f>"SR-21654"</f>
        <v>SR-21654</v>
      </c>
      <c r="H14839" s="2" t="s">
        <v>57308</v>
      </c>
      <c r="I14839" s="2" t="s">
        <v>57309</v>
      </c>
      <c r="K14839" s="2" t="s">
        <v>57310</v>
      </c>
      <c r="L14839" s="2" t="s">
        <v>193</v>
      </c>
      <c r="M14839" s="2">
        <v>54548.0</v>
      </c>
      <c r="N14839" s="2" t="s">
        <v>21</v>
      </c>
    </row>
    <row r="14840" ht="15.75" customHeight="1">
      <c r="A14840" s="2">
        <v>2021.0</v>
      </c>
      <c r="B14840" s="2" t="s">
        <v>54331</v>
      </c>
      <c r="C14840" s="2" t="s">
        <v>54332</v>
      </c>
      <c r="D14840" s="2" t="str">
        <f>"5055734038"</f>
        <v>5055734038</v>
      </c>
      <c r="E14840" s="2" t="s">
        <v>465</v>
      </c>
      <c r="F14840" s="2" t="s">
        <v>54333</v>
      </c>
      <c r="G14840" s="2" t="str">
        <f>"SR-13721"</f>
        <v>SR-13721</v>
      </c>
      <c r="H14840" s="2" t="s">
        <v>54334</v>
      </c>
      <c r="I14840" s="2" t="s">
        <v>54335</v>
      </c>
      <c r="K14840" s="2" t="s">
        <v>3705</v>
      </c>
      <c r="L14840" s="2" t="s">
        <v>789</v>
      </c>
      <c r="M14840" s="2">
        <v>87105.0</v>
      </c>
      <c r="N14840" s="2" t="s">
        <v>21</v>
      </c>
    </row>
    <row r="14841" ht="15.75" customHeight="1">
      <c r="A14841" s="2">
        <v>2021.0</v>
      </c>
      <c r="B14841" s="2" t="s">
        <v>54331</v>
      </c>
      <c r="C14841" s="2" t="s">
        <v>57311</v>
      </c>
      <c r="D14841" s="2" t="str">
        <f>"5055156757"</f>
        <v>5055156757</v>
      </c>
      <c r="E14841" s="2" t="s">
        <v>7042</v>
      </c>
      <c r="F14841" s="2" t="s">
        <v>54333</v>
      </c>
      <c r="G14841" s="2" t="str">
        <f>"SR-17867"</f>
        <v>SR-17867</v>
      </c>
      <c r="H14841" s="2" t="s">
        <v>57312</v>
      </c>
      <c r="I14841" s="2" t="s">
        <v>54335</v>
      </c>
      <c r="K14841" s="2" t="s">
        <v>3705</v>
      </c>
      <c r="L14841" s="2" t="s">
        <v>789</v>
      </c>
      <c r="M14841" s="2">
        <v>87105.0</v>
      </c>
      <c r="N14841" s="2" t="s">
        <v>21</v>
      </c>
    </row>
    <row r="14842" ht="15.75" customHeight="1">
      <c r="A14842" s="2">
        <v>2021.0</v>
      </c>
      <c r="B14842" s="2" t="s">
        <v>54331</v>
      </c>
      <c r="C14842" s="2" t="s">
        <v>57313</v>
      </c>
      <c r="D14842" s="2" t="str">
        <f>"5059747121"</f>
        <v>5059747121</v>
      </c>
      <c r="E14842" s="2" t="s">
        <v>1233</v>
      </c>
      <c r="F14842" s="2" t="s">
        <v>54333</v>
      </c>
      <c r="G14842" s="2" t="str">
        <f>"SR-21386"</f>
        <v>SR-21386</v>
      </c>
      <c r="H14842" s="2" t="s">
        <v>57314</v>
      </c>
      <c r="I14842" s="2" t="s">
        <v>54335</v>
      </c>
      <c r="K14842" s="2" t="s">
        <v>3705</v>
      </c>
      <c r="L14842" s="2" t="s">
        <v>789</v>
      </c>
      <c r="M14842" s="2">
        <v>87105.0</v>
      </c>
      <c r="N14842" s="2" t="s">
        <v>21</v>
      </c>
    </row>
    <row r="14843" ht="15.75" customHeight="1">
      <c r="A14843" s="2">
        <v>2021.0</v>
      </c>
      <c r="B14843" s="2" t="s">
        <v>57315</v>
      </c>
      <c r="C14843" s="2" t="s">
        <v>57316</v>
      </c>
      <c r="D14843" s="2" t="str">
        <f>"316-617-4314"</f>
        <v>316-617-4314</v>
      </c>
      <c r="E14843" s="2" t="s">
        <v>2433</v>
      </c>
      <c r="F14843" s="2" t="s">
        <v>57317</v>
      </c>
      <c r="G14843" s="2" t="str">
        <f>"SR-21655"</f>
        <v>SR-21655</v>
      </c>
      <c r="H14843" s="2" t="s">
        <v>57318</v>
      </c>
      <c r="I14843" s="2" t="s">
        <v>57319</v>
      </c>
      <c r="K14843" s="2" t="s">
        <v>57320</v>
      </c>
      <c r="L14843" s="2" t="s">
        <v>272</v>
      </c>
      <c r="M14843" s="2">
        <v>67133.0</v>
      </c>
      <c r="N14843" s="2" t="s">
        <v>21</v>
      </c>
    </row>
    <row r="14844" ht="15.75" customHeight="1">
      <c r="A14844" s="2">
        <v>2021.0</v>
      </c>
      <c r="B14844" s="2" t="s">
        <v>51433</v>
      </c>
      <c r="C14844" s="2" t="s">
        <v>51434</v>
      </c>
      <c r="D14844" s="2" t="str">
        <f>"219-250-1485"</f>
        <v>219-250-1485</v>
      </c>
      <c r="E14844" s="2" t="s">
        <v>2752</v>
      </c>
      <c r="F14844" s="2" t="s">
        <v>33685</v>
      </c>
      <c r="G14844" s="2" t="str">
        <f>"SR-18386"</f>
        <v>SR-18386</v>
      </c>
      <c r="H14844" s="2" t="s">
        <v>51435</v>
      </c>
      <c r="I14844" s="2" t="s">
        <v>51436</v>
      </c>
      <c r="K14844" s="2" t="s">
        <v>51437</v>
      </c>
      <c r="L14844" s="2" t="s">
        <v>149</v>
      </c>
      <c r="M14844" s="2">
        <v>46391.0</v>
      </c>
      <c r="N14844" s="2" t="s">
        <v>21</v>
      </c>
    </row>
    <row r="14845" ht="15.75" customHeight="1">
      <c r="A14845" s="2">
        <v>2021.0</v>
      </c>
      <c r="B14845" s="2" t="s">
        <v>51433</v>
      </c>
      <c r="C14845" s="2" t="s">
        <v>57321</v>
      </c>
      <c r="D14845" s="2" t="str">
        <f>"219-250-1425"</f>
        <v>219-250-1425</v>
      </c>
      <c r="E14845" s="2" t="s">
        <v>1257</v>
      </c>
      <c r="F14845" s="2" t="s">
        <v>33685</v>
      </c>
      <c r="G14845" s="2" t="str">
        <f>"SR-21658"</f>
        <v>SR-21658</v>
      </c>
      <c r="H14845" s="2" t="s">
        <v>57322</v>
      </c>
      <c r="I14845" s="2" t="s">
        <v>57323</v>
      </c>
      <c r="K14845" s="2" t="s">
        <v>51437</v>
      </c>
      <c r="L14845" s="2" t="s">
        <v>149</v>
      </c>
      <c r="M14845" s="2">
        <v>46391.0</v>
      </c>
      <c r="N14845" s="2" t="s">
        <v>21</v>
      </c>
    </row>
    <row r="14846" ht="15.75" customHeight="1">
      <c r="A14846" s="2">
        <v>2021.0</v>
      </c>
      <c r="B14846" s="2" t="s">
        <v>57324</v>
      </c>
      <c r="C14846" s="2" t="s">
        <v>57325</v>
      </c>
      <c r="D14846" s="2" t="str">
        <f>"8326106623"</f>
        <v>8326106623</v>
      </c>
      <c r="E14846" s="2" t="s">
        <v>144</v>
      </c>
      <c r="F14846" s="2" t="s">
        <v>57326</v>
      </c>
      <c r="G14846" s="2" t="str">
        <f>"SR-19066"</f>
        <v>SR-19066</v>
      </c>
      <c r="H14846" s="2" t="s">
        <v>57327</v>
      </c>
      <c r="I14846" s="2" t="s">
        <v>57328</v>
      </c>
      <c r="K14846" s="2" t="s">
        <v>2651</v>
      </c>
      <c r="L14846" s="2" t="s">
        <v>172</v>
      </c>
      <c r="M14846" s="2">
        <v>77382.0</v>
      </c>
      <c r="N14846" s="2" t="s">
        <v>21</v>
      </c>
    </row>
    <row r="14847" ht="15.75" customHeight="1">
      <c r="A14847" s="2">
        <v>2021.0</v>
      </c>
      <c r="B14847" s="2" t="s">
        <v>57329</v>
      </c>
      <c r="C14847" s="2" t="s">
        <v>57330</v>
      </c>
      <c r="D14847" s="2" t="str">
        <f>"4846445115"</f>
        <v>4846445115</v>
      </c>
      <c r="E14847" s="2" t="s">
        <v>453</v>
      </c>
      <c r="F14847" s="2" t="s">
        <v>57331</v>
      </c>
      <c r="G14847" s="2" t="str">
        <f>"SR-21659"</f>
        <v>SR-21659</v>
      </c>
      <c r="H14847" s="2" t="s">
        <v>57332</v>
      </c>
      <c r="I14847" s="2" t="s">
        <v>57333</v>
      </c>
      <c r="K14847" s="2" t="s">
        <v>48566</v>
      </c>
      <c r="L14847" s="2" t="s">
        <v>179</v>
      </c>
      <c r="M14847" s="2">
        <v>19425.0</v>
      </c>
      <c r="N14847" s="2" t="s">
        <v>21</v>
      </c>
    </row>
    <row r="14848" ht="15.75" customHeight="1">
      <c r="A14848" s="2">
        <v>2021.0</v>
      </c>
      <c r="B14848" s="2" t="s">
        <v>54945</v>
      </c>
      <c r="C14848" s="2" t="s">
        <v>54946</v>
      </c>
      <c r="D14848" s="2" t="str">
        <f>"9202259889"</f>
        <v>9202259889</v>
      </c>
      <c r="E14848" s="2" t="s">
        <v>54947</v>
      </c>
      <c r="F14848" s="2" t="s">
        <v>94</v>
      </c>
      <c r="G14848" s="2" t="str">
        <f>"SR-20464"</f>
        <v>SR-20464</v>
      </c>
      <c r="H14848" s="2" t="s">
        <v>54948</v>
      </c>
      <c r="I14848" s="2" t="s">
        <v>54949</v>
      </c>
      <c r="K14848" s="2" t="s">
        <v>9868</v>
      </c>
      <c r="L14848" s="2" t="s">
        <v>279</v>
      </c>
      <c r="M14848" s="2">
        <v>37027.0</v>
      </c>
      <c r="N14848" s="2" t="s">
        <v>21</v>
      </c>
    </row>
    <row r="14849" ht="15.75" customHeight="1">
      <c r="A14849" s="2">
        <v>2021.0</v>
      </c>
      <c r="B14849" s="2" t="s">
        <v>57334</v>
      </c>
      <c r="C14849" s="2" t="s">
        <v>57334</v>
      </c>
      <c r="D14849" s="2" t="str">
        <f>"607-442-2856"</f>
        <v>607-442-2856</v>
      </c>
      <c r="E14849" s="2" t="s">
        <v>50776</v>
      </c>
      <c r="F14849" s="2" t="s">
        <v>40709</v>
      </c>
      <c r="G14849" s="2" t="str">
        <f>"SR-21497"</f>
        <v>SR-21497</v>
      </c>
      <c r="H14849" s="2" t="s">
        <v>50777</v>
      </c>
      <c r="I14849" s="2" t="s">
        <v>50778</v>
      </c>
      <c r="K14849" s="2" t="s">
        <v>40712</v>
      </c>
      <c r="L14849" s="2" t="s">
        <v>179</v>
      </c>
      <c r="M14849" s="2">
        <v>18853.0</v>
      </c>
      <c r="N14849" s="2" t="s">
        <v>21</v>
      </c>
    </row>
    <row r="14850" ht="15.75" customHeight="1">
      <c r="A14850" s="2">
        <v>2021.0</v>
      </c>
      <c r="B14850" s="2" t="s">
        <v>6694</v>
      </c>
      <c r="C14850" s="2" t="s">
        <v>57335</v>
      </c>
      <c r="D14850" s="2" t="str">
        <f>"913-231-8615"</f>
        <v>913-231-8615</v>
      </c>
      <c r="E14850" s="2" t="s">
        <v>5583</v>
      </c>
      <c r="F14850" s="2" t="s">
        <v>6696</v>
      </c>
      <c r="G14850" s="2" t="str">
        <f>"SR-21660"</f>
        <v>SR-21660</v>
      </c>
      <c r="H14850" s="2" t="s">
        <v>57336</v>
      </c>
      <c r="I14850" s="2" t="s">
        <v>6698</v>
      </c>
      <c r="K14850" s="2" t="s">
        <v>1814</v>
      </c>
      <c r="L14850" s="2" t="s">
        <v>272</v>
      </c>
      <c r="M14850" s="2">
        <v>66109.0</v>
      </c>
      <c r="N14850" s="2" t="s">
        <v>21</v>
      </c>
    </row>
    <row r="14851" ht="15.75" customHeight="1">
      <c r="A14851" s="2">
        <v>2021.0</v>
      </c>
      <c r="B14851" s="2" t="s">
        <v>57337</v>
      </c>
      <c r="C14851" s="2" t="s">
        <v>57337</v>
      </c>
      <c r="D14851" s="2" t="str">
        <f>"2603505442"</f>
        <v>2603505442</v>
      </c>
      <c r="E14851" s="2" t="s">
        <v>57338</v>
      </c>
      <c r="F14851" s="2" t="s">
        <v>57339</v>
      </c>
      <c r="G14851" s="2" t="str">
        <f>"SR-21512"</f>
        <v>SR-21512</v>
      </c>
      <c r="H14851" s="2" t="s">
        <v>57340</v>
      </c>
      <c r="I14851" s="2" t="s">
        <v>57341</v>
      </c>
      <c r="J14851" s="2" t="s">
        <v>57342</v>
      </c>
      <c r="K14851" s="2" t="s">
        <v>57343</v>
      </c>
      <c r="L14851" s="2" t="s">
        <v>149</v>
      </c>
      <c r="M14851" s="2">
        <v>46786.0</v>
      </c>
      <c r="N14851" s="2" t="s">
        <v>21</v>
      </c>
    </row>
    <row r="14852" ht="15.75" customHeight="1">
      <c r="A14852" s="2">
        <v>2021.0</v>
      </c>
      <c r="B14852" s="2" t="s">
        <v>57344</v>
      </c>
      <c r="C14852" s="2" t="s">
        <v>57345</v>
      </c>
      <c r="D14852" s="2" t="str">
        <f>"5403910047"</f>
        <v>5403910047</v>
      </c>
      <c r="E14852" s="2" t="s">
        <v>1529</v>
      </c>
      <c r="F14852" s="2" t="s">
        <v>13958</v>
      </c>
      <c r="G14852" s="2" t="str">
        <f>"SR-21661"</f>
        <v>SR-21661</v>
      </c>
      <c r="H14852" s="2" t="s">
        <v>57346</v>
      </c>
      <c r="I14852" s="2" t="s">
        <v>57347</v>
      </c>
      <c r="K14852" s="2" t="s">
        <v>28154</v>
      </c>
      <c r="L14852" s="2" t="s">
        <v>165</v>
      </c>
      <c r="M14852" s="2">
        <v>24073.0</v>
      </c>
      <c r="N14852" s="2" t="s">
        <v>21</v>
      </c>
    </row>
    <row r="14853" ht="15.75" customHeight="1">
      <c r="A14853" s="2">
        <v>2021.0</v>
      </c>
      <c r="B14853" s="2" t="s">
        <v>57348</v>
      </c>
      <c r="C14853" s="2" t="s">
        <v>57348</v>
      </c>
      <c r="D14853" s="2" t="str">
        <f>"984 232 1953"</f>
        <v>984 232 1953</v>
      </c>
      <c r="E14853" s="2" t="s">
        <v>7758</v>
      </c>
      <c r="F14853" s="2" t="s">
        <v>57349</v>
      </c>
      <c r="G14853" s="2" t="str">
        <f>"SR-21560"</f>
        <v>SR-21560</v>
      </c>
      <c r="H14853" s="2" t="s">
        <v>57350</v>
      </c>
      <c r="I14853" s="2" t="s">
        <v>57351</v>
      </c>
      <c r="K14853" s="2" t="s">
        <v>18559</v>
      </c>
      <c r="L14853" s="2" t="s">
        <v>20</v>
      </c>
      <c r="M14853" s="2">
        <v>27501.0</v>
      </c>
      <c r="N14853" s="2" t="s">
        <v>21</v>
      </c>
    </row>
    <row r="14854" ht="15.75" customHeight="1">
      <c r="A14854" s="2">
        <v>2021.0</v>
      </c>
      <c r="B14854" s="2" t="s">
        <v>57352</v>
      </c>
      <c r="C14854" s="2" t="s">
        <v>57352</v>
      </c>
      <c r="D14854" s="2" t="str">
        <f>"7854458964"</f>
        <v>7854458964</v>
      </c>
      <c r="E14854" s="2" t="s">
        <v>288</v>
      </c>
      <c r="F14854" s="2" t="s">
        <v>57353</v>
      </c>
      <c r="G14854" s="2" t="str">
        <f>"SR-21611"</f>
        <v>SR-21611</v>
      </c>
      <c r="H14854" s="2" t="s">
        <v>57354</v>
      </c>
      <c r="I14854" s="2" t="s">
        <v>57355</v>
      </c>
      <c r="K14854" s="2" t="s">
        <v>448</v>
      </c>
      <c r="L14854" s="2" t="s">
        <v>272</v>
      </c>
      <c r="M14854" s="2">
        <v>67665.0</v>
      </c>
      <c r="N14854" s="2" t="s">
        <v>21</v>
      </c>
    </row>
    <row r="14855" ht="15.75" customHeight="1">
      <c r="A14855" s="2">
        <v>2021.0</v>
      </c>
      <c r="B14855" s="2" t="s">
        <v>57356</v>
      </c>
      <c r="C14855" s="2" t="s">
        <v>57357</v>
      </c>
      <c r="D14855" s="2" t="str">
        <f>"76653372113"</f>
        <v>76653372113</v>
      </c>
      <c r="E14855" s="2" t="s">
        <v>6526</v>
      </c>
      <c r="F14855" s="2" t="s">
        <v>57358</v>
      </c>
      <c r="G14855" s="2" t="str">
        <f>"SR-21664"</f>
        <v>SR-21664</v>
      </c>
      <c r="H14855" s="2" t="s">
        <v>57359</v>
      </c>
      <c r="I14855" s="2" t="s">
        <v>57360</v>
      </c>
      <c r="K14855" s="2" t="s">
        <v>3229</v>
      </c>
      <c r="L14855" s="2" t="s">
        <v>149</v>
      </c>
      <c r="M14855" s="2">
        <v>46052.0</v>
      </c>
      <c r="N14855" s="2" t="s">
        <v>21</v>
      </c>
    </row>
    <row r="14856" ht="15.75" customHeight="1">
      <c r="A14856" s="2">
        <v>2021.0</v>
      </c>
      <c r="B14856" s="2" t="s">
        <v>37453</v>
      </c>
      <c r="C14856" s="2" t="s">
        <v>37453</v>
      </c>
      <c r="D14856" s="2" t="str">
        <f>"8597391830"</f>
        <v>8597391830</v>
      </c>
      <c r="E14856" s="2" t="s">
        <v>8386</v>
      </c>
      <c r="F14856" s="2" t="s">
        <v>14664</v>
      </c>
      <c r="G14856" s="2" t="str">
        <f>"SR-12780"</f>
        <v>SR-12780</v>
      </c>
      <c r="H14856" s="2" t="s">
        <v>37454</v>
      </c>
      <c r="I14856" s="2" t="s">
        <v>37455</v>
      </c>
      <c r="K14856" s="2" t="s">
        <v>14667</v>
      </c>
      <c r="L14856" s="2" t="s">
        <v>1236</v>
      </c>
      <c r="M14856" s="2">
        <v>41091.0</v>
      </c>
      <c r="N14856" s="2" t="s">
        <v>21</v>
      </c>
    </row>
    <row r="14857" ht="15.75" customHeight="1">
      <c r="A14857" s="2">
        <v>2021.0</v>
      </c>
      <c r="B14857" s="2" t="s">
        <v>57361</v>
      </c>
      <c r="C14857" s="2" t="s">
        <v>57362</v>
      </c>
      <c r="D14857" s="2" t="str">
        <f>"3182784578"</f>
        <v>3182784578</v>
      </c>
      <c r="E14857" s="2" t="s">
        <v>50</v>
      </c>
      <c r="F14857" s="2" t="s">
        <v>57363</v>
      </c>
      <c r="G14857" s="2" t="str">
        <f>"SR-21669"</f>
        <v>SR-21669</v>
      </c>
      <c r="H14857" s="2" t="s">
        <v>57364</v>
      </c>
      <c r="I14857" s="2" t="s">
        <v>57365</v>
      </c>
      <c r="K14857" s="2" t="s">
        <v>714</v>
      </c>
      <c r="L14857" s="2" t="s">
        <v>715</v>
      </c>
      <c r="M14857" s="2">
        <v>71270.0</v>
      </c>
      <c r="N14857" s="2" t="s">
        <v>21</v>
      </c>
    </row>
    <row r="14858" ht="15.75" customHeight="1">
      <c r="A14858" s="2">
        <v>2021.0</v>
      </c>
      <c r="B14858" s="2" t="s">
        <v>57366</v>
      </c>
      <c r="C14858" s="2" t="s">
        <v>57366</v>
      </c>
      <c r="D14858" s="2" t="str">
        <f>"8433686560"</f>
        <v>8433686560</v>
      </c>
      <c r="E14858" s="2" t="s">
        <v>3878</v>
      </c>
      <c r="F14858" s="2" t="s">
        <v>6597</v>
      </c>
      <c r="G14858" s="2" t="str">
        <f>"SR-21671"</f>
        <v>SR-21671</v>
      </c>
      <c r="H14858" s="2" t="s">
        <v>57367</v>
      </c>
      <c r="I14858" s="2" t="s">
        <v>57368</v>
      </c>
      <c r="K14858" s="2" t="s">
        <v>4552</v>
      </c>
      <c r="L14858" s="2" t="s">
        <v>55</v>
      </c>
      <c r="M14858" s="2">
        <v>29910.0</v>
      </c>
      <c r="N14858" s="2" t="s">
        <v>21</v>
      </c>
    </row>
    <row r="14859" ht="15.75" customHeight="1">
      <c r="A14859" s="2">
        <v>2021.0</v>
      </c>
      <c r="B14859" s="2" t="s">
        <v>57369</v>
      </c>
      <c r="C14859" s="2" t="s">
        <v>57370</v>
      </c>
      <c r="D14859" s="2" t="str">
        <f>"9286427823"</f>
        <v>9286427823</v>
      </c>
      <c r="E14859" s="2" t="s">
        <v>2147</v>
      </c>
      <c r="F14859" s="2" t="s">
        <v>57371</v>
      </c>
      <c r="G14859" s="2" t="str">
        <f>"SR-20807"</f>
        <v>SR-20807</v>
      </c>
      <c r="H14859" s="2" t="s">
        <v>57372</v>
      </c>
      <c r="I14859" s="2" t="s">
        <v>57373</v>
      </c>
      <c r="K14859" s="2" t="s">
        <v>57374</v>
      </c>
      <c r="L14859" s="2" t="s">
        <v>422</v>
      </c>
      <c r="M14859" s="2">
        <v>86323.0</v>
      </c>
      <c r="N14859" s="2" t="s">
        <v>21</v>
      </c>
    </row>
    <row r="14860" ht="15.75" customHeight="1">
      <c r="A14860" s="2">
        <v>2021.0</v>
      </c>
      <c r="B14860" s="2" t="s">
        <v>51404</v>
      </c>
      <c r="C14860" s="2" t="s">
        <v>51404</v>
      </c>
      <c r="D14860" s="2" t="str">
        <f>"9132926783"</f>
        <v>9132926783</v>
      </c>
      <c r="E14860" s="2" t="s">
        <v>1803</v>
      </c>
      <c r="F14860" s="2" t="s">
        <v>9975</v>
      </c>
      <c r="G14860" s="2" t="str">
        <f>"SR-18359"</f>
        <v>SR-18359</v>
      </c>
      <c r="H14860" s="2" t="s">
        <v>51405</v>
      </c>
      <c r="I14860" s="2" t="s">
        <v>51406</v>
      </c>
      <c r="K14860" s="2" t="s">
        <v>1067</v>
      </c>
      <c r="L14860" s="2" t="s">
        <v>272</v>
      </c>
      <c r="M14860" s="2">
        <v>66062.0</v>
      </c>
      <c r="N14860" s="2" t="s">
        <v>21</v>
      </c>
    </row>
    <row r="14861" ht="15.75" customHeight="1">
      <c r="A14861" s="2">
        <v>2021.0</v>
      </c>
      <c r="B14861" s="2" t="s">
        <v>52102</v>
      </c>
      <c r="C14861" s="2" t="s">
        <v>52102</v>
      </c>
      <c r="D14861" s="2" t="str">
        <f>"9138086414"</f>
        <v>9138086414</v>
      </c>
      <c r="E14861" s="2" t="s">
        <v>2361</v>
      </c>
      <c r="F14861" s="2" t="s">
        <v>9975</v>
      </c>
      <c r="G14861" s="2" t="str">
        <f>"SR-18604"</f>
        <v>SR-18604</v>
      </c>
      <c r="H14861" s="2" t="s">
        <v>52103</v>
      </c>
      <c r="I14861" s="2" t="s">
        <v>52104</v>
      </c>
      <c r="K14861" s="2" t="s">
        <v>1067</v>
      </c>
      <c r="L14861" s="2" t="s">
        <v>272</v>
      </c>
      <c r="M14861" s="2">
        <v>66062.0</v>
      </c>
      <c r="N14861" s="2" t="s">
        <v>21</v>
      </c>
    </row>
    <row r="14862" ht="15.75" customHeight="1">
      <c r="A14862" s="2">
        <v>2021.0</v>
      </c>
      <c r="B14862" s="2" t="s">
        <v>53708</v>
      </c>
      <c r="C14862" s="2" t="s">
        <v>53708</v>
      </c>
      <c r="D14862" s="2" t="str">
        <f>"904-422-8791"</f>
        <v>904-422-8791</v>
      </c>
      <c r="E14862" s="2" t="s">
        <v>678</v>
      </c>
      <c r="F14862" s="2" t="s">
        <v>51</v>
      </c>
      <c r="G14862" s="2" t="str">
        <f>"SR-19361"</f>
        <v>SR-19361</v>
      </c>
      <c r="H14862" s="2" t="s">
        <v>53709</v>
      </c>
      <c r="I14862" s="2" t="s">
        <v>53710</v>
      </c>
      <c r="K14862" s="2" t="s">
        <v>451</v>
      </c>
      <c r="L14862" s="2" t="s">
        <v>208</v>
      </c>
      <c r="M14862" s="2">
        <v>32225.0</v>
      </c>
      <c r="N14862" s="2" t="s">
        <v>21</v>
      </c>
    </row>
    <row r="14863" ht="15.75" customHeight="1">
      <c r="A14863" s="2">
        <v>2021.0</v>
      </c>
      <c r="B14863" s="2" t="s">
        <v>39372</v>
      </c>
      <c r="C14863" s="2" t="s">
        <v>57375</v>
      </c>
      <c r="D14863" s="2" t="str">
        <f>"4022193884"</f>
        <v>4022193884</v>
      </c>
      <c r="E14863" s="2" t="s">
        <v>72</v>
      </c>
      <c r="F14863" s="2" t="s">
        <v>417</v>
      </c>
      <c r="G14863" s="2" t="str">
        <f>"SR-21673"</f>
        <v>SR-21673</v>
      </c>
      <c r="H14863" s="2" t="s">
        <v>57376</v>
      </c>
      <c r="I14863" s="2" t="s">
        <v>57377</v>
      </c>
      <c r="K14863" s="2" t="s">
        <v>572</v>
      </c>
      <c r="L14863" s="2" t="s">
        <v>757</v>
      </c>
      <c r="M14863" s="2">
        <v>68521.0</v>
      </c>
      <c r="N14863" s="2" t="s">
        <v>21</v>
      </c>
    </row>
    <row r="14864" ht="15.75" customHeight="1">
      <c r="A14864" s="2">
        <v>2021.0</v>
      </c>
      <c r="B14864" s="2" t="s">
        <v>57378</v>
      </c>
      <c r="D14864" s="2" t="str">
        <f>""</f>
        <v/>
      </c>
      <c r="E14864" s="2" t="s">
        <v>3650</v>
      </c>
      <c r="F14864" s="2" t="s">
        <v>57379</v>
      </c>
      <c r="G14864" s="2" t="str">
        <f>"SR-21577"</f>
        <v>SR-21577</v>
      </c>
      <c r="H14864" s="2" t="s">
        <v>57380</v>
      </c>
      <c r="N14864" s="2" t="s">
        <v>21</v>
      </c>
    </row>
    <row r="14865" ht="15.75" customHeight="1">
      <c r="A14865" s="2">
        <v>2021.0</v>
      </c>
      <c r="B14865" s="2" t="s">
        <v>47954</v>
      </c>
      <c r="C14865" s="2" t="s">
        <v>47955</v>
      </c>
      <c r="D14865" s="2" t="str">
        <f>"740-417-1886"</f>
        <v>740-417-1886</v>
      </c>
      <c r="E14865" s="2" t="s">
        <v>100</v>
      </c>
      <c r="F14865" s="2" t="s">
        <v>47956</v>
      </c>
      <c r="G14865" s="2" t="str">
        <f>"SR-16680"</f>
        <v>SR-16680</v>
      </c>
      <c r="H14865" s="2" t="s">
        <v>47957</v>
      </c>
      <c r="I14865" s="2" t="s">
        <v>47958</v>
      </c>
      <c r="K14865" s="2" t="s">
        <v>10756</v>
      </c>
      <c r="L14865" s="2" t="s">
        <v>344</v>
      </c>
      <c r="M14865" s="2">
        <v>43015.0</v>
      </c>
      <c r="N14865" s="2" t="s">
        <v>21</v>
      </c>
    </row>
    <row r="14866" ht="15.75" customHeight="1">
      <c r="A14866" s="2">
        <v>2021.0</v>
      </c>
      <c r="B14866" s="2" t="s">
        <v>47954</v>
      </c>
      <c r="C14866" s="2" t="s">
        <v>57381</v>
      </c>
      <c r="D14866" s="2" t="str">
        <f>"614-519-9690"</f>
        <v>614-519-9690</v>
      </c>
      <c r="E14866" s="2" t="s">
        <v>160</v>
      </c>
      <c r="F14866" s="2" t="s">
        <v>47956</v>
      </c>
      <c r="G14866" s="2" t="str">
        <f>"SR-21676"</f>
        <v>SR-21676</v>
      </c>
      <c r="H14866" s="2" t="s">
        <v>57382</v>
      </c>
      <c r="I14866" s="2" t="s">
        <v>57383</v>
      </c>
      <c r="K14866" s="2" t="s">
        <v>10756</v>
      </c>
      <c r="L14866" s="2" t="s">
        <v>344</v>
      </c>
      <c r="M14866" s="2">
        <v>43015.0</v>
      </c>
      <c r="N14866" s="2" t="s">
        <v>21</v>
      </c>
    </row>
    <row r="14867" ht="15.75" customHeight="1">
      <c r="A14867" s="2">
        <v>2021.0</v>
      </c>
      <c r="B14867" s="2" t="s">
        <v>57384</v>
      </c>
      <c r="C14867" s="2" t="s">
        <v>57385</v>
      </c>
      <c r="D14867" s="2" t="str">
        <f>"4026494022"</f>
        <v>4026494022</v>
      </c>
      <c r="E14867" s="2" t="s">
        <v>4584</v>
      </c>
      <c r="F14867" s="2" t="s">
        <v>57386</v>
      </c>
      <c r="G14867" s="2" t="str">
        <f>"SR-20803"</f>
        <v>SR-20803</v>
      </c>
      <c r="H14867" s="2" t="s">
        <v>57387</v>
      </c>
      <c r="I14867" s="2" t="s">
        <v>57388</v>
      </c>
      <c r="K14867" s="2" t="s">
        <v>11726</v>
      </c>
      <c r="L14867" s="2" t="s">
        <v>757</v>
      </c>
      <c r="M14867" s="2">
        <v>68701.0</v>
      </c>
      <c r="N14867" s="2" t="s">
        <v>21</v>
      </c>
    </row>
    <row r="14868" ht="15.75" customHeight="1">
      <c r="A14868" s="2">
        <v>2021.0</v>
      </c>
      <c r="B14868" s="2" t="s">
        <v>57389</v>
      </c>
      <c r="C14868" s="2" t="s">
        <v>57389</v>
      </c>
      <c r="D14868" s="2" t="str">
        <f>"(720) 930-1487"</f>
        <v>(720) 930-1487</v>
      </c>
      <c r="E14868" s="2" t="s">
        <v>2851</v>
      </c>
      <c r="F14868" s="2" t="s">
        <v>57390</v>
      </c>
      <c r="G14868" s="2" t="str">
        <f>"SR-21378"</f>
        <v>SR-21378</v>
      </c>
      <c r="H14868" s="2" t="s">
        <v>57391</v>
      </c>
      <c r="I14868" s="2" t="s">
        <v>57392</v>
      </c>
      <c r="K14868" s="2" t="s">
        <v>10673</v>
      </c>
      <c r="L14868" s="2" t="s">
        <v>157</v>
      </c>
      <c r="M14868" s="2">
        <v>80124.0</v>
      </c>
      <c r="N14868" s="2" t="s">
        <v>21</v>
      </c>
    </row>
    <row r="14869" ht="15.75" customHeight="1">
      <c r="A14869" s="2">
        <v>2021.0</v>
      </c>
      <c r="B14869" s="2" t="s">
        <v>57393</v>
      </c>
      <c r="C14869" s="2" t="s">
        <v>57394</v>
      </c>
      <c r="D14869" s="2" t="str">
        <f>"402-822-0024"</f>
        <v>402-822-0024</v>
      </c>
      <c r="E14869" s="2" t="s">
        <v>29062</v>
      </c>
      <c r="F14869" s="2" t="s">
        <v>57395</v>
      </c>
      <c r="G14869" s="2" t="str">
        <f>"SR-21677"</f>
        <v>SR-21677</v>
      </c>
      <c r="H14869" s="2" t="s">
        <v>57396</v>
      </c>
      <c r="I14869" s="2" t="s">
        <v>57397</v>
      </c>
      <c r="K14869" s="2" t="s">
        <v>543</v>
      </c>
      <c r="L14869" s="2" t="s">
        <v>757</v>
      </c>
      <c r="M14869" s="2">
        <v>68329.0</v>
      </c>
      <c r="N14869" s="2" t="s">
        <v>21</v>
      </c>
    </row>
    <row r="14870" ht="15.75" customHeight="1">
      <c r="A14870" s="2">
        <v>2021.0</v>
      </c>
      <c r="B14870" s="2" t="s">
        <v>57398</v>
      </c>
      <c r="C14870" s="2" t="s">
        <v>57398</v>
      </c>
      <c r="D14870" s="2" t="str">
        <f>"(919) 808 7915"</f>
        <v>(919) 808 7915</v>
      </c>
      <c r="E14870" s="2" t="s">
        <v>217</v>
      </c>
      <c r="F14870" s="2" t="s">
        <v>57399</v>
      </c>
      <c r="G14870" s="2" t="str">
        <f>"SR-21657"</f>
        <v>SR-21657</v>
      </c>
      <c r="H14870" s="2" t="s">
        <v>57400</v>
      </c>
      <c r="I14870" s="2" t="s">
        <v>57401</v>
      </c>
      <c r="K14870" s="2" t="s">
        <v>57402</v>
      </c>
      <c r="L14870" s="2" t="s">
        <v>4108</v>
      </c>
      <c r="M14870" s="2">
        <v>2026.0</v>
      </c>
      <c r="N14870" s="2" t="s">
        <v>21</v>
      </c>
    </row>
    <row r="14871" ht="15.75" customHeight="1">
      <c r="A14871" s="2">
        <v>2021.0</v>
      </c>
      <c r="B14871" s="2" t="s">
        <v>57403</v>
      </c>
      <c r="C14871" s="2" t="s">
        <v>57404</v>
      </c>
      <c r="D14871" s="2" t="str">
        <f>"8433714061"</f>
        <v>8433714061</v>
      </c>
      <c r="E14871" s="2" t="s">
        <v>1001</v>
      </c>
      <c r="F14871" s="2" t="s">
        <v>14916</v>
      </c>
      <c r="G14871" s="2" t="str">
        <f>"SR-21678"</f>
        <v>SR-21678</v>
      </c>
      <c r="H14871" s="2" t="s">
        <v>57405</v>
      </c>
      <c r="I14871" s="2" t="s">
        <v>57406</v>
      </c>
      <c r="K14871" s="2" t="s">
        <v>57407</v>
      </c>
      <c r="L14871" s="2" t="s">
        <v>55</v>
      </c>
      <c r="M14871" s="2">
        <v>29451.0</v>
      </c>
      <c r="N14871" s="2" t="s">
        <v>21</v>
      </c>
    </row>
    <row r="14872" ht="15.75" customHeight="1">
      <c r="A14872" s="2">
        <v>2021.0</v>
      </c>
      <c r="B14872" s="2" t="s">
        <v>57408</v>
      </c>
      <c r="C14872" s="2" t="s">
        <v>57408</v>
      </c>
      <c r="D14872" s="2" t="str">
        <f>"3373095400"</f>
        <v>3373095400</v>
      </c>
      <c r="E14872" s="2" t="s">
        <v>4322</v>
      </c>
      <c r="F14872" s="2" t="s">
        <v>57409</v>
      </c>
      <c r="G14872" s="2" t="str">
        <f>"SR-21680"</f>
        <v>SR-21680</v>
      </c>
      <c r="H14872" s="2" t="s">
        <v>57410</v>
      </c>
      <c r="I14872" s="2" t="s">
        <v>57411</v>
      </c>
      <c r="K14872" s="2" t="s">
        <v>57412</v>
      </c>
      <c r="L14872" s="2" t="s">
        <v>715</v>
      </c>
      <c r="M14872" s="2">
        <v>71367.0</v>
      </c>
      <c r="N14872" s="2" t="s">
        <v>21</v>
      </c>
    </row>
    <row r="14873" ht="15.75" customHeight="1">
      <c r="A14873" s="2">
        <v>2021.0</v>
      </c>
      <c r="B14873" s="2" t="s">
        <v>43138</v>
      </c>
      <c r="C14873" s="2" t="s">
        <v>57413</v>
      </c>
      <c r="D14873" s="2" t="str">
        <f>"4094994939"</f>
        <v>4094994939</v>
      </c>
      <c r="E14873" s="2" t="s">
        <v>2053</v>
      </c>
      <c r="F14873" s="2" t="s">
        <v>13604</v>
      </c>
      <c r="G14873" s="2" t="str">
        <f>"SR-21591"</f>
        <v>SR-21591</v>
      </c>
      <c r="H14873" s="2" t="s">
        <v>57414</v>
      </c>
      <c r="I14873" s="2" t="s">
        <v>43141</v>
      </c>
      <c r="K14873" s="2" t="s">
        <v>43142</v>
      </c>
      <c r="L14873" s="2" t="s">
        <v>172</v>
      </c>
      <c r="M14873" s="2">
        <v>77706.0</v>
      </c>
      <c r="N14873" s="2" t="s">
        <v>21</v>
      </c>
    </row>
    <row r="14874" ht="15.75" customHeight="1">
      <c r="A14874" s="2">
        <v>2021.0</v>
      </c>
      <c r="B14874" s="2" t="s">
        <v>57415</v>
      </c>
      <c r="D14874" s="2" t="str">
        <f>""</f>
        <v/>
      </c>
      <c r="E14874" s="2" t="s">
        <v>3650</v>
      </c>
      <c r="F14874" s="2" t="s">
        <v>18421</v>
      </c>
      <c r="G14874" s="2" t="str">
        <f>"SR-21625"</f>
        <v>SR-21625</v>
      </c>
      <c r="H14874" s="2" t="s">
        <v>57416</v>
      </c>
    </row>
    <row r="14875" ht="15.75" customHeight="1">
      <c r="A14875" s="2">
        <v>2021.0</v>
      </c>
      <c r="B14875" s="2" t="s">
        <v>57417</v>
      </c>
      <c r="C14875" s="2" t="s">
        <v>57417</v>
      </c>
      <c r="D14875" s="2" t="str">
        <f>"8604614095"</f>
        <v>8604614095</v>
      </c>
      <c r="E14875" s="2" t="s">
        <v>57418</v>
      </c>
      <c r="F14875" s="2" t="s">
        <v>57419</v>
      </c>
      <c r="G14875" s="2" t="str">
        <f>"SR-17625"</f>
        <v>SR-17625</v>
      </c>
      <c r="H14875" s="2" t="s">
        <v>57420</v>
      </c>
      <c r="I14875" s="2" t="s">
        <v>57421</v>
      </c>
      <c r="K14875" s="2" t="s">
        <v>1632</v>
      </c>
      <c r="L14875" s="2" t="s">
        <v>4836</v>
      </c>
      <c r="M14875" s="2">
        <v>6095.0</v>
      </c>
      <c r="N14875" s="2" t="s">
        <v>21</v>
      </c>
    </row>
    <row r="14876" ht="15.75" customHeight="1">
      <c r="A14876" s="2">
        <v>2021.0</v>
      </c>
      <c r="B14876" s="2" t="s">
        <v>54907</v>
      </c>
      <c r="C14876" s="2" t="s">
        <v>54908</v>
      </c>
      <c r="D14876" s="2" t="str">
        <f>"9368286345"</f>
        <v>9368286345</v>
      </c>
      <c r="E14876" s="2" t="s">
        <v>9828</v>
      </c>
      <c r="F14876" s="2" t="s">
        <v>29780</v>
      </c>
      <c r="G14876" s="2" t="str">
        <f>"SR-20449"</f>
        <v>SR-20449</v>
      </c>
      <c r="H14876" s="2" t="s">
        <v>54909</v>
      </c>
      <c r="I14876" s="2" t="s">
        <v>54910</v>
      </c>
      <c r="K14876" s="2" t="s">
        <v>9614</v>
      </c>
      <c r="L14876" s="2" t="s">
        <v>172</v>
      </c>
      <c r="M14876" s="2">
        <v>77304.0</v>
      </c>
      <c r="N14876" s="2" t="s">
        <v>21</v>
      </c>
    </row>
    <row r="14877" ht="15.75" customHeight="1">
      <c r="A14877" s="2">
        <v>2021.0</v>
      </c>
      <c r="B14877" s="2" t="s">
        <v>44998</v>
      </c>
      <c r="C14877" s="2" t="s">
        <v>57422</v>
      </c>
      <c r="D14877" s="2" t="str">
        <f>"4109467704"</f>
        <v>4109467704</v>
      </c>
      <c r="E14877" s="2" t="s">
        <v>14038</v>
      </c>
      <c r="F14877" s="2" t="s">
        <v>45000</v>
      </c>
      <c r="G14877" s="2" t="str">
        <f>"SR-21686"</f>
        <v>SR-21686</v>
      </c>
      <c r="H14877" s="2" t="s">
        <v>57423</v>
      </c>
      <c r="I14877" s="2" t="s">
        <v>57424</v>
      </c>
      <c r="K14877" s="2" t="s">
        <v>57425</v>
      </c>
      <c r="L14877" s="2" t="s">
        <v>1868</v>
      </c>
      <c r="M14877" s="2">
        <v>21032.0</v>
      </c>
      <c r="N14877" s="2" t="s">
        <v>21</v>
      </c>
    </row>
    <row r="14878" ht="15.75" customHeight="1">
      <c r="A14878" s="2">
        <v>2021.0</v>
      </c>
      <c r="B14878" s="2" t="s">
        <v>49786</v>
      </c>
      <c r="C14878" s="2" t="s">
        <v>49787</v>
      </c>
      <c r="D14878" s="2" t="str">
        <f>"540-750-6772"</f>
        <v>540-750-6772</v>
      </c>
      <c r="E14878" s="2" t="s">
        <v>26087</v>
      </c>
      <c r="F14878" s="2" t="s">
        <v>38027</v>
      </c>
      <c r="G14878" s="2" t="str">
        <f>"SR-17781"</f>
        <v>SR-17781</v>
      </c>
      <c r="H14878" s="2" t="s">
        <v>49788</v>
      </c>
      <c r="I14878" s="2" t="s">
        <v>49789</v>
      </c>
      <c r="K14878" s="2" t="s">
        <v>28154</v>
      </c>
      <c r="L14878" s="2" t="s">
        <v>165</v>
      </c>
      <c r="M14878" s="2">
        <v>24073.0</v>
      </c>
      <c r="N14878" s="2" t="s">
        <v>21</v>
      </c>
    </row>
    <row r="14879" ht="15.75" customHeight="1">
      <c r="A14879" s="2">
        <v>2021.0</v>
      </c>
      <c r="B14879" s="2" t="s">
        <v>2451</v>
      </c>
      <c r="C14879" s="2" t="s">
        <v>46482</v>
      </c>
      <c r="D14879" s="2" t="str">
        <f>"4026897565"</f>
        <v>4026897565</v>
      </c>
      <c r="E14879" s="2" t="s">
        <v>46483</v>
      </c>
      <c r="F14879" s="2" t="s">
        <v>2453</v>
      </c>
      <c r="G14879" s="2" t="str">
        <f>"SR-16287"</f>
        <v>SR-16287</v>
      </c>
      <c r="H14879" s="2" t="s">
        <v>46484</v>
      </c>
      <c r="I14879" s="2" t="s">
        <v>2455</v>
      </c>
      <c r="K14879" s="2" t="s">
        <v>1470</v>
      </c>
      <c r="L14879" s="2" t="s">
        <v>757</v>
      </c>
      <c r="M14879" s="2">
        <v>68116.0</v>
      </c>
      <c r="N14879" s="2" t="s">
        <v>21</v>
      </c>
    </row>
    <row r="14880" ht="15.75" customHeight="1">
      <c r="A14880" s="2">
        <v>2021.0</v>
      </c>
      <c r="B14880" s="2" t="s">
        <v>2451</v>
      </c>
      <c r="C14880" s="2" t="s">
        <v>57426</v>
      </c>
      <c r="D14880" s="2" t="str">
        <f>"4027097676"</f>
        <v>4027097676</v>
      </c>
      <c r="E14880" s="2" t="s">
        <v>3002</v>
      </c>
      <c r="F14880" s="2" t="s">
        <v>2453</v>
      </c>
      <c r="G14880" s="2" t="str">
        <f>"SR-17959"</f>
        <v>SR-17959</v>
      </c>
      <c r="H14880" s="2" t="s">
        <v>57427</v>
      </c>
      <c r="I14880" s="2" t="s">
        <v>2455</v>
      </c>
      <c r="K14880" s="2" t="s">
        <v>1470</v>
      </c>
      <c r="L14880" s="2" t="s">
        <v>757</v>
      </c>
      <c r="M14880" s="2">
        <v>68116.0</v>
      </c>
      <c r="N14880" s="2" t="s">
        <v>21</v>
      </c>
    </row>
    <row r="14881" ht="15.75" customHeight="1">
      <c r="A14881" s="2">
        <v>2021.0</v>
      </c>
      <c r="B14881" s="2" t="s">
        <v>49513</v>
      </c>
      <c r="C14881" s="2" t="s">
        <v>49513</v>
      </c>
      <c r="D14881" s="2" t="str">
        <f>"7205309856"</f>
        <v>7205309856</v>
      </c>
      <c r="E14881" s="2" t="s">
        <v>843</v>
      </c>
      <c r="F14881" s="2" t="s">
        <v>8844</v>
      </c>
      <c r="G14881" s="2" t="str">
        <f>"SR-17653"</f>
        <v>SR-17653</v>
      </c>
      <c r="H14881" s="2" t="s">
        <v>49514</v>
      </c>
      <c r="I14881" s="2" t="s">
        <v>49515</v>
      </c>
      <c r="K14881" s="2" t="s">
        <v>18005</v>
      </c>
      <c r="L14881" s="2" t="s">
        <v>157</v>
      </c>
      <c r="M14881" s="2">
        <v>80108.0</v>
      </c>
      <c r="N14881" s="2" t="s">
        <v>21</v>
      </c>
    </row>
    <row r="14882" ht="15.75" customHeight="1">
      <c r="A14882" s="2">
        <v>2021.0</v>
      </c>
      <c r="B14882" s="2" t="s">
        <v>57428</v>
      </c>
      <c r="C14882" s="2" t="s">
        <v>57429</v>
      </c>
      <c r="D14882" s="2" t="str">
        <f>"8432276031"</f>
        <v>8432276031</v>
      </c>
      <c r="E14882" s="2" t="s">
        <v>57430</v>
      </c>
      <c r="F14882" s="2" t="s">
        <v>2954</v>
      </c>
      <c r="G14882" s="2" t="str">
        <f>"SR-21688"</f>
        <v>SR-21688</v>
      </c>
      <c r="H14882" s="2" t="s">
        <v>57431</v>
      </c>
      <c r="I14882" s="2" t="s">
        <v>57432</v>
      </c>
      <c r="K14882" s="2" t="s">
        <v>57433</v>
      </c>
      <c r="L14882" s="2" t="s">
        <v>1868</v>
      </c>
      <c r="M14882" s="2">
        <v>21061.0</v>
      </c>
      <c r="N14882" s="2" t="s">
        <v>21</v>
      </c>
    </row>
    <row r="14883" ht="15.75" customHeight="1">
      <c r="A14883" s="2">
        <v>2021.0</v>
      </c>
      <c r="B14883" s="2" t="s">
        <v>57434</v>
      </c>
      <c r="C14883" s="2" t="s">
        <v>57434</v>
      </c>
      <c r="D14883" s="2" t="str">
        <f>"3039039474"</f>
        <v>3039039474</v>
      </c>
      <c r="E14883" s="2" t="s">
        <v>2851</v>
      </c>
      <c r="F14883" s="2" t="s">
        <v>309</v>
      </c>
      <c r="G14883" s="2" t="str">
        <f>"SR-21691"</f>
        <v>SR-21691</v>
      </c>
      <c r="H14883" s="2" t="s">
        <v>57435</v>
      </c>
      <c r="I14883" s="2" t="s">
        <v>57436</v>
      </c>
      <c r="K14883" s="2" t="s">
        <v>1889</v>
      </c>
      <c r="L14883" s="2" t="s">
        <v>157</v>
      </c>
      <c r="M14883" s="2">
        <v>80128.0</v>
      </c>
      <c r="N14883" s="2" t="s">
        <v>21</v>
      </c>
    </row>
    <row r="14884" ht="15.75" customHeight="1">
      <c r="A14884" s="2">
        <v>2021.0</v>
      </c>
      <c r="B14884" s="2" t="s">
        <v>57437</v>
      </c>
      <c r="C14884" s="2" t="s">
        <v>57438</v>
      </c>
      <c r="D14884" s="2" t="str">
        <f>"7195985266"</f>
        <v>7195985266</v>
      </c>
      <c r="E14884" s="2" t="s">
        <v>26657</v>
      </c>
      <c r="F14884" s="2" t="s">
        <v>57439</v>
      </c>
      <c r="G14884" s="2" t="str">
        <f>"SR-21694"</f>
        <v>SR-21694</v>
      </c>
      <c r="H14884" s="2" t="s">
        <v>57440</v>
      </c>
      <c r="I14884" s="2" t="s">
        <v>57441</v>
      </c>
      <c r="K14884" s="2" t="s">
        <v>809</v>
      </c>
      <c r="L14884" s="2" t="s">
        <v>157</v>
      </c>
      <c r="M14884" s="2">
        <v>80923.0</v>
      </c>
      <c r="N14884" s="2" t="s">
        <v>21</v>
      </c>
    </row>
    <row r="14885" ht="15.75" customHeight="1">
      <c r="A14885" s="2">
        <v>2021.0</v>
      </c>
      <c r="B14885" s="2" t="s">
        <v>57442</v>
      </c>
      <c r="C14885" s="2" t="s">
        <v>57442</v>
      </c>
      <c r="D14885" s="2" t="str">
        <f>"913-952-9925"</f>
        <v>913-952-9925</v>
      </c>
      <c r="E14885" s="2" t="s">
        <v>57443</v>
      </c>
      <c r="F14885" s="2" t="s">
        <v>57444</v>
      </c>
      <c r="G14885" s="2" t="str">
        <f>"SR-21689"</f>
        <v>SR-21689</v>
      </c>
      <c r="H14885" s="2" t="s">
        <v>57445</v>
      </c>
      <c r="I14885" s="2" t="s">
        <v>57446</v>
      </c>
      <c r="K14885" s="2" t="s">
        <v>3103</v>
      </c>
      <c r="L14885" s="2" t="s">
        <v>272</v>
      </c>
      <c r="M14885" s="2">
        <v>66221.0</v>
      </c>
      <c r="N14885" s="2" t="s">
        <v>21</v>
      </c>
    </row>
    <row r="14886" ht="15.75" customHeight="1">
      <c r="A14886" s="2">
        <v>2021.0</v>
      </c>
      <c r="B14886" s="2" t="s">
        <v>57447</v>
      </c>
      <c r="C14886" s="2" t="s">
        <v>57447</v>
      </c>
      <c r="D14886" s="2" t="str">
        <f>"913-272-7429"</f>
        <v>913-272-7429</v>
      </c>
      <c r="E14886" s="2" t="s">
        <v>57448</v>
      </c>
      <c r="F14886" s="2" t="s">
        <v>57444</v>
      </c>
      <c r="G14886" s="2" t="str">
        <f>"SR-21695"</f>
        <v>SR-21695</v>
      </c>
      <c r="H14886" s="2" t="s">
        <v>57449</v>
      </c>
      <c r="I14886" s="2" t="s">
        <v>57446</v>
      </c>
      <c r="K14886" s="2" t="s">
        <v>3103</v>
      </c>
      <c r="L14886" s="2" t="s">
        <v>272</v>
      </c>
      <c r="M14886" s="2">
        <v>66221.0</v>
      </c>
      <c r="N14886" s="2" t="s">
        <v>21</v>
      </c>
    </row>
    <row r="14887" ht="15.75" customHeight="1">
      <c r="A14887" s="2">
        <v>2021.0</v>
      </c>
      <c r="B14887" s="2" t="s">
        <v>57450</v>
      </c>
      <c r="C14887" s="2" t="s">
        <v>57451</v>
      </c>
      <c r="D14887" s="2" t="str">
        <f>"3179224115"</f>
        <v>3179224115</v>
      </c>
      <c r="E14887" s="2" t="s">
        <v>1278</v>
      </c>
      <c r="F14887" s="2" t="s">
        <v>5558</v>
      </c>
      <c r="G14887" s="2" t="str">
        <f>"SR-21692"</f>
        <v>SR-21692</v>
      </c>
      <c r="H14887" s="2" t="s">
        <v>57452</v>
      </c>
      <c r="I14887" s="2" t="s">
        <v>57453</v>
      </c>
      <c r="K14887" s="2" t="s">
        <v>10407</v>
      </c>
      <c r="L14887" s="2" t="s">
        <v>149</v>
      </c>
      <c r="M14887" s="2">
        <v>46033.0</v>
      </c>
      <c r="N14887" s="2" t="s">
        <v>21</v>
      </c>
    </row>
    <row r="14888" ht="15.75" customHeight="1">
      <c r="A14888" s="2">
        <v>2021.0</v>
      </c>
      <c r="B14888" s="2" t="s">
        <v>57450</v>
      </c>
      <c r="C14888" s="2" t="s">
        <v>57454</v>
      </c>
      <c r="D14888" s="2" t="str">
        <f>"3179224116"</f>
        <v>3179224116</v>
      </c>
      <c r="E14888" s="2" t="s">
        <v>282</v>
      </c>
      <c r="F14888" s="2" t="s">
        <v>5558</v>
      </c>
      <c r="G14888" s="2" t="str">
        <f>"SR-21698"</f>
        <v>SR-21698</v>
      </c>
      <c r="H14888" s="2" t="s">
        <v>57455</v>
      </c>
      <c r="I14888" s="2" t="s">
        <v>57453</v>
      </c>
      <c r="K14888" s="2" t="s">
        <v>10407</v>
      </c>
      <c r="L14888" s="2" t="s">
        <v>149</v>
      </c>
      <c r="M14888" s="2">
        <v>46033.0</v>
      </c>
      <c r="N14888" s="2" t="s">
        <v>21</v>
      </c>
    </row>
    <row r="14889" ht="15.75" customHeight="1">
      <c r="A14889" s="2">
        <v>2021.0</v>
      </c>
      <c r="B14889" s="2" t="s">
        <v>57456</v>
      </c>
      <c r="C14889" s="2" t="s">
        <v>57456</v>
      </c>
      <c r="D14889" s="2" t="str">
        <f>"864-630-3862"</f>
        <v>864-630-3862</v>
      </c>
      <c r="E14889" s="2" t="s">
        <v>15626</v>
      </c>
      <c r="F14889" s="2" t="s">
        <v>8501</v>
      </c>
      <c r="G14889" s="2" t="str">
        <f>"SR-21701"</f>
        <v>SR-21701</v>
      </c>
      <c r="H14889" s="2" t="s">
        <v>57457</v>
      </c>
      <c r="I14889" s="2" t="s">
        <v>57458</v>
      </c>
      <c r="K14889" s="2" t="s">
        <v>57459</v>
      </c>
      <c r="L14889" s="2" t="s">
        <v>55</v>
      </c>
      <c r="M14889" s="2">
        <v>29322.0</v>
      </c>
      <c r="N14889" s="2" t="s">
        <v>21</v>
      </c>
    </row>
    <row r="14890" ht="15.75" customHeight="1">
      <c r="A14890" s="2">
        <v>2021.0</v>
      </c>
      <c r="B14890" s="2" t="s">
        <v>50615</v>
      </c>
      <c r="C14890" s="2" t="s">
        <v>50616</v>
      </c>
      <c r="D14890" s="2" t="str">
        <f>"6266290530"</f>
        <v>6266290530</v>
      </c>
      <c r="E14890" s="2" t="s">
        <v>11981</v>
      </c>
      <c r="F14890" s="2" t="s">
        <v>41174</v>
      </c>
      <c r="G14890" s="2" t="str">
        <f>"SR-17928"</f>
        <v>SR-17928</v>
      </c>
      <c r="H14890" s="2" t="s">
        <v>50617</v>
      </c>
      <c r="I14890" s="2" t="s">
        <v>41176</v>
      </c>
      <c r="K14890" s="2" t="s">
        <v>7320</v>
      </c>
      <c r="L14890" s="2" t="s">
        <v>222</v>
      </c>
      <c r="M14890" s="2">
        <v>91740.0</v>
      </c>
      <c r="N14890" s="2" t="s">
        <v>21</v>
      </c>
    </row>
    <row r="14891" ht="15.75" customHeight="1">
      <c r="A14891" s="2">
        <v>2021.0</v>
      </c>
      <c r="B14891" s="2" t="s">
        <v>57460</v>
      </c>
      <c r="C14891" s="2" t="s">
        <v>57461</v>
      </c>
      <c r="D14891" s="2" t="str">
        <f>"7654311556"</f>
        <v>7654311556</v>
      </c>
      <c r="E14891" s="2" t="s">
        <v>225</v>
      </c>
      <c r="F14891" s="2" t="s">
        <v>33044</v>
      </c>
      <c r="G14891" s="2" t="str">
        <f>"SR-21702"</f>
        <v>SR-21702</v>
      </c>
      <c r="H14891" s="2" t="s">
        <v>57462</v>
      </c>
      <c r="I14891" s="2" t="s">
        <v>57463</v>
      </c>
      <c r="K14891" s="2" t="s">
        <v>340</v>
      </c>
      <c r="L14891" s="2" t="s">
        <v>560</v>
      </c>
      <c r="M14891" s="2">
        <v>50111.0</v>
      </c>
      <c r="N14891" s="2" t="s">
        <v>21</v>
      </c>
    </row>
    <row r="14892" ht="15.75" customHeight="1">
      <c r="A14892" s="2">
        <v>2021.0</v>
      </c>
      <c r="B14892" s="2" t="s">
        <v>57464</v>
      </c>
      <c r="C14892" s="2" t="s">
        <v>57464</v>
      </c>
      <c r="D14892" s="2" t="str">
        <f>"2816209772"</f>
        <v>2816209772</v>
      </c>
      <c r="E14892" s="2" t="s">
        <v>453</v>
      </c>
      <c r="F14892" s="2" t="s">
        <v>10530</v>
      </c>
      <c r="G14892" s="2" t="str">
        <f>"SR-21520"</f>
        <v>SR-21520</v>
      </c>
      <c r="H14892" s="2" t="s">
        <v>10547</v>
      </c>
      <c r="I14892" s="2" t="s">
        <v>32371</v>
      </c>
      <c r="K14892" s="2" t="s">
        <v>32372</v>
      </c>
      <c r="L14892" s="2" t="s">
        <v>172</v>
      </c>
      <c r="M14892" s="2">
        <v>77401.0</v>
      </c>
      <c r="N14892" s="2" t="s">
        <v>21</v>
      </c>
    </row>
    <row r="14893" ht="15.75" customHeight="1">
      <c r="A14893" s="2">
        <v>2021.0</v>
      </c>
      <c r="B14893" s="2" t="s">
        <v>57465</v>
      </c>
      <c r="C14893" s="2" t="s">
        <v>57465</v>
      </c>
      <c r="D14893" s="2" t="str">
        <f>"8322480714"</f>
        <v>8322480714</v>
      </c>
      <c r="E14893" s="2" t="s">
        <v>167</v>
      </c>
      <c r="F14893" s="2" t="s">
        <v>10530</v>
      </c>
      <c r="G14893" s="2" t="str">
        <f>"SR-21519"</f>
        <v>SR-21519</v>
      </c>
      <c r="H14893" s="2" t="s">
        <v>57466</v>
      </c>
      <c r="I14893" s="2" t="s">
        <v>32371</v>
      </c>
      <c r="K14893" s="2" t="s">
        <v>32372</v>
      </c>
      <c r="L14893" s="2" t="s">
        <v>172</v>
      </c>
      <c r="M14893" s="2">
        <v>77401.0</v>
      </c>
      <c r="N14893" s="2" t="s">
        <v>21</v>
      </c>
    </row>
    <row r="14894" ht="15.75" customHeight="1">
      <c r="A14894" s="2">
        <v>2021.0</v>
      </c>
      <c r="B14894" s="2" t="s">
        <v>57467</v>
      </c>
      <c r="C14894" s="2" t="s">
        <v>57468</v>
      </c>
      <c r="D14894" s="2" t="str">
        <f>"708-770-4745"</f>
        <v>708-770-4745</v>
      </c>
      <c r="E14894" s="2" t="s">
        <v>57469</v>
      </c>
      <c r="F14894" s="2" t="s">
        <v>57470</v>
      </c>
      <c r="G14894" s="2" t="str">
        <f>"SR-21703"</f>
        <v>SR-21703</v>
      </c>
      <c r="H14894" s="2" t="s">
        <v>57471</v>
      </c>
      <c r="I14894" s="2" t="s">
        <v>57472</v>
      </c>
      <c r="K14894" s="2" t="s">
        <v>1188</v>
      </c>
      <c r="L14894" s="2" t="s">
        <v>149</v>
      </c>
      <c r="M14894" s="2">
        <v>46237.0</v>
      </c>
      <c r="N14894" s="2" t="s">
        <v>21</v>
      </c>
    </row>
    <row r="14895" ht="15.75" customHeight="1">
      <c r="A14895" s="2">
        <v>2021.0</v>
      </c>
      <c r="B14895" s="2" t="s">
        <v>57473</v>
      </c>
      <c r="C14895" s="2" t="s">
        <v>57473</v>
      </c>
      <c r="D14895" s="2" t="str">
        <f>"7042180478"</f>
        <v>7042180478</v>
      </c>
      <c r="E14895" s="2" t="s">
        <v>1767</v>
      </c>
      <c r="F14895" s="2" t="s">
        <v>26564</v>
      </c>
      <c r="G14895" s="2" t="str">
        <f>"SR-21704"</f>
        <v>SR-21704</v>
      </c>
      <c r="H14895" s="2" t="s">
        <v>57474</v>
      </c>
      <c r="I14895" s="2" t="s">
        <v>57475</v>
      </c>
      <c r="K14895" s="2" t="s">
        <v>19</v>
      </c>
      <c r="L14895" s="2" t="s">
        <v>20</v>
      </c>
      <c r="M14895" s="2">
        <v>28269.0</v>
      </c>
      <c r="N14895" s="2" t="s">
        <v>21</v>
      </c>
    </row>
    <row r="14896" ht="15.75" customHeight="1">
      <c r="A14896" s="2">
        <v>2021.0</v>
      </c>
      <c r="B14896" s="2" t="s">
        <v>57476</v>
      </c>
      <c r="C14896" s="2" t="s">
        <v>57477</v>
      </c>
      <c r="D14896" s="2" t="str">
        <f>"8326527738"</f>
        <v>8326527738</v>
      </c>
      <c r="E14896" s="2" t="s">
        <v>1000</v>
      </c>
      <c r="F14896" s="2" t="s">
        <v>639</v>
      </c>
      <c r="G14896" s="2" t="str">
        <f>"SR-21550"</f>
        <v>SR-21550</v>
      </c>
      <c r="H14896" s="2" t="s">
        <v>57478</v>
      </c>
      <c r="I14896" s="2" t="s">
        <v>57479</v>
      </c>
      <c r="K14896" s="2" t="s">
        <v>444</v>
      </c>
      <c r="L14896" s="2" t="s">
        <v>172</v>
      </c>
      <c r="M14896" s="2">
        <v>77018.0</v>
      </c>
      <c r="N14896" s="2" t="s">
        <v>21</v>
      </c>
    </row>
    <row r="14897" ht="15.75" customHeight="1">
      <c r="A14897" s="2">
        <v>2021.0</v>
      </c>
      <c r="B14897" s="2" t="s">
        <v>57480</v>
      </c>
      <c r="C14897" s="2" t="s">
        <v>57481</v>
      </c>
      <c r="D14897" s="2" t="str">
        <f>"720-556-8916"</f>
        <v>720-556-8916</v>
      </c>
      <c r="E14897" s="2" t="s">
        <v>373</v>
      </c>
      <c r="F14897" s="2" t="s">
        <v>57482</v>
      </c>
      <c r="G14897" s="2" t="str">
        <f>"SR-21708"</f>
        <v>SR-21708</v>
      </c>
      <c r="H14897" s="2" t="s">
        <v>57483</v>
      </c>
      <c r="I14897" s="2" t="s">
        <v>57484</v>
      </c>
      <c r="K14897" s="2" t="s">
        <v>1889</v>
      </c>
      <c r="L14897" s="2" t="s">
        <v>157</v>
      </c>
      <c r="M14897" s="2">
        <v>80124.0</v>
      </c>
      <c r="N14897" s="2" t="s">
        <v>21</v>
      </c>
    </row>
    <row r="14898" ht="15.75" customHeight="1">
      <c r="A14898" s="2">
        <v>2021.0</v>
      </c>
      <c r="B14898" s="2" t="s">
        <v>57485</v>
      </c>
      <c r="C14898" s="2" t="s">
        <v>57485</v>
      </c>
      <c r="D14898" s="2" t="str">
        <f>"971-284-8191"</f>
        <v>971-284-8191</v>
      </c>
      <c r="E14898" s="2" t="s">
        <v>19261</v>
      </c>
      <c r="F14898" s="2" t="s">
        <v>701</v>
      </c>
      <c r="G14898" s="2" t="str">
        <f>"SR-21707"</f>
        <v>SR-21707</v>
      </c>
      <c r="H14898" s="2" t="s">
        <v>51677</v>
      </c>
      <c r="I14898" s="2" t="s">
        <v>57486</v>
      </c>
      <c r="K14898" s="2" t="s">
        <v>57487</v>
      </c>
      <c r="L14898" s="2" t="s">
        <v>2389</v>
      </c>
      <c r="M14898" s="2">
        <v>97060.0</v>
      </c>
      <c r="N14898" s="2" t="s">
        <v>21</v>
      </c>
    </row>
    <row r="14899" ht="15.75" customHeight="1">
      <c r="A14899" s="2">
        <v>2021.0</v>
      </c>
      <c r="B14899" s="2" t="s">
        <v>57488</v>
      </c>
      <c r="C14899" s="2" t="s">
        <v>57488</v>
      </c>
      <c r="D14899" s="2" t="str">
        <f>"9713322913"</f>
        <v>9713322913</v>
      </c>
      <c r="E14899" s="2" t="s">
        <v>29677</v>
      </c>
      <c r="F14899" s="2" t="s">
        <v>701</v>
      </c>
      <c r="G14899" s="2" t="str">
        <f>"SR-21709"</f>
        <v>SR-21709</v>
      </c>
      <c r="H14899" s="2" t="s">
        <v>41644</v>
      </c>
      <c r="I14899" s="2" t="s">
        <v>57489</v>
      </c>
      <c r="K14899" s="2" t="s">
        <v>57490</v>
      </c>
      <c r="L14899" s="2" t="s">
        <v>2389</v>
      </c>
      <c r="M14899" s="2">
        <v>97080.0</v>
      </c>
      <c r="N14899" s="2" t="s">
        <v>21</v>
      </c>
    </row>
    <row r="14900" ht="15.75" customHeight="1">
      <c r="A14900" s="2">
        <v>2021.0</v>
      </c>
      <c r="B14900" s="2" t="s">
        <v>57491</v>
      </c>
      <c r="C14900" s="2" t="s">
        <v>57491</v>
      </c>
      <c r="D14900" s="2" t="str">
        <f>"7204026551"</f>
        <v>7204026551</v>
      </c>
      <c r="E14900" s="2" t="s">
        <v>57492</v>
      </c>
      <c r="F14900" s="2" t="s">
        <v>4501</v>
      </c>
      <c r="G14900" s="2" t="str">
        <f>"SR-21710"</f>
        <v>SR-21710</v>
      </c>
      <c r="H14900" s="2" t="s">
        <v>57493</v>
      </c>
      <c r="I14900" s="2" t="s">
        <v>57494</v>
      </c>
      <c r="K14900" s="2" t="s">
        <v>11556</v>
      </c>
      <c r="L14900" s="2" t="s">
        <v>157</v>
      </c>
      <c r="M14900" s="2">
        <v>80021.0</v>
      </c>
      <c r="N14900" s="2" t="s">
        <v>21</v>
      </c>
    </row>
    <row r="14901" ht="15.75" customHeight="1">
      <c r="A14901" s="2">
        <v>2021.0</v>
      </c>
      <c r="B14901" s="2" t="s">
        <v>52408</v>
      </c>
      <c r="C14901" s="2" t="s">
        <v>52409</v>
      </c>
      <c r="D14901" s="2" t="str">
        <f>"7193529501"</f>
        <v>7193529501</v>
      </c>
      <c r="E14901" s="2" t="s">
        <v>1007</v>
      </c>
      <c r="F14901" s="2" t="s">
        <v>1726</v>
      </c>
      <c r="G14901" s="2" t="str">
        <f>"SR-18731"</f>
        <v>SR-18731</v>
      </c>
      <c r="H14901" s="2" t="s">
        <v>52410</v>
      </c>
      <c r="I14901" s="2" t="s">
        <v>52411</v>
      </c>
      <c r="K14901" s="2" t="s">
        <v>809</v>
      </c>
      <c r="L14901" s="2" t="s">
        <v>157</v>
      </c>
      <c r="M14901" s="2">
        <v>80911.0</v>
      </c>
      <c r="N14901" s="2" t="s">
        <v>21</v>
      </c>
    </row>
    <row r="14902" ht="15.75" customHeight="1">
      <c r="A14902" s="2">
        <v>2021.0</v>
      </c>
      <c r="B14902" s="2" t="s">
        <v>52408</v>
      </c>
      <c r="C14902" s="2" t="s">
        <v>57495</v>
      </c>
      <c r="D14902" s="2" t="str">
        <f>"7194994991"</f>
        <v>7194994991</v>
      </c>
      <c r="E14902" s="2" t="s">
        <v>261</v>
      </c>
      <c r="F14902" s="2" t="s">
        <v>1726</v>
      </c>
      <c r="G14902" s="2" t="str">
        <f>"SR-21711"</f>
        <v>SR-21711</v>
      </c>
      <c r="H14902" s="2" t="s">
        <v>57496</v>
      </c>
      <c r="I14902" s="2" t="s">
        <v>52411</v>
      </c>
      <c r="K14902" s="2" t="s">
        <v>809</v>
      </c>
      <c r="L14902" s="2" t="s">
        <v>157</v>
      </c>
      <c r="M14902" s="2">
        <v>80911.0</v>
      </c>
      <c r="N14902" s="2" t="s">
        <v>21</v>
      </c>
    </row>
    <row r="14903" ht="15.75" customHeight="1">
      <c r="A14903" s="2">
        <v>2021.0</v>
      </c>
      <c r="B14903" s="2" t="s">
        <v>57497</v>
      </c>
      <c r="C14903" s="2" t="s">
        <v>57497</v>
      </c>
      <c r="D14903" s="2" t="str">
        <f>"4079129304"</f>
        <v>4079129304</v>
      </c>
      <c r="E14903" s="2" t="s">
        <v>167</v>
      </c>
      <c r="F14903" s="2" t="s">
        <v>57498</v>
      </c>
      <c r="G14903" s="2" t="str">
        <f>"SR-21601"</f>
        <v>SR-21601</v>
      </c>
      <c r="H14903" s="2" t="s">
        <v>57499</v>
      </c>
      <c r="I14903" s="2" t="s">
        <v>57500</v>
      </c>
      <c r="K14903" s="2" t="s">
        <v>4724</v>
      </c>
      <c r="L14903" s="2" t="s">
        <v>208</v>
      </c>
      <c r="M14903" s="2">
        <v>32825.0</v>
      </c>
      <c r="N14903" s="2" t="s">
        <v>21</v>
      </c>
    </row>
    <row r="14904" ht="15.75" customHeight="1">
      <c r="A14904" s="2">
        <v>2021.0</v>
      </c>
      <c r="B14904" s="2" t="s">
        <v>57501</v>
      </c>
      <c r="C14904" s="2" t="s">
        <v>57501</v>
      </c>
      <c r="D14904" s="2" t="str">
        <f>"8593144125"</f>
        <v>8593144125</v>
      </c>
      <c r="E14904" s="2" t="s">
        <v>57502</v>
      </c>
      <c r="F14904" s="2" t="s">
        <v>6527</v>
      </c>
      <c r="G14904" s="2" t="str">
        <f>"SR-21716"</f>
        <v>SR-21716</v>
      </c>
      <c r="H14904" s="2" t="s">
        <v>57503</v>
      </c>
      <c r="I14904" s="2" t="s">
        <v>54569</v>
      </c>
      <c r="K14904" s="2" t="s">
        <v>4216</v>
      </c>
      <c r="L14904" s="2" t="s">
        <v>1236</v>
      </c>
      <c r="M14904" s="2">
        <v>40475.0</v>
      </c>
      <c r="N14904" s="2" t="s">
        <v>21</v>
      </c>
    </row>
    <row r="14905" ht="15.75" customHeight="1">
      <c r="A14905" s="2">
        <v>2021.0</v>
      </c>
      <c r="B14905" s="2" t="s">
        <v>49214</v>
      </c>
      <c r="C14905" s="2" t="s">
        <v>49215</v>
      </c>
      <c r="D14905" s="2" t="str">
        <f>"260 402 4212"</f>
        <v>260 402 4212</v>
      </c>
      <c r="E14905" s="2" t="s">
        <v>2306</v>
      </c>
      <c r="F14905" s="2" t="s">
        <v>9467</v>
      </c>
      <c r="G14905" s="2" t="str">
        <f>"SR-17472"</f>
        <v>SR-17472</v>
      </c>
      <c r="H14905" s="2" t="s">
        <v>49216</v>
      </c>
      <c r="I14905" s="2" t="s">
        <v>49217</v>
      </c>
      <c r="K14905" s="2" t="s">
        <v>4298</v>
      </c>
      <c r="L14905" s="2" t="s">
        <v>149</v>
      </c>
      <c r="M14905" s="2">
        <v>46814.0</v>
      </c>
      <c r="N14905" s="2" t="s">
        <v>21</v>
      </c>
    </row>
    <row r="14906" ht="15.75" customHeight="1">
      <c r="A14906" s="2">
        <v>2021.0</v>
      </c>
      <c r="B14906" s="2" t="s">
        <v>54567</v>
      </c>
      <c r="C14906" s="2" t="s">
        <v>54567</v>
      </c>
      <c r="D14906" s="2" t="str">
        <f>"4434515061"</f>
        <v>4434515061</v>
      </c>
      <c r="E14906" s="2" t="s">
        <v>3693</v>
      </c>
      <c r="F14906" s="2" t="s">
        <v>6527</v>
      </c>
      <c r="G14906" s="2" t="str">
        <f>"SR-21717"</f>
        <v>SR-21717</v>
      </c>
      <c r="H14906" s="2" t="s">
        <v>54568</v>
      </c>
      <c r="I14906" s="2" t="s">
        <v>54569</v>
      </c>
      <c r="K14906" s="2" t="s">
        <v>4216</v>
      </c>
      <c r="L14906" s="2" t="s">
        <v>1236</v>
      </c>
      <c r="M14906" s="2">
        <v>40475.0</v>
      </c>
      <c r="N14906" s="2" t="s">
        <v>21</v>
      </c>
    </row>
    <row r="14907" ht="15.75" customHeight="1">
      <c r="A14907" s="2">
        <v>2021.0</v>
      </c>
      <c r="B14907" s="2" t="s">
        <v>57504</v>
      </c>
      <c r="C14907" s="2" t="s">
        <v>57504</v>
      </c>
      <c r="D14907" s="2" t="str">
        <f>"501-592-3796"</f>
        <v>501-592-3796</v>
      </c>
      <c r="E14907" s="2" t="s">
        <v>4322</v>
      </c>
      <c r="F14907" s="2" t="s">
        <v>57505</v>
      </c>
      <c r="G14907" s="2" t="str">
        <f>"SR-21718"</f>
        <v>SR-21718</v>
      </c>
      <c r="H14907" s="2" t="s">
        <v>57506</v>
      </c>
      <c r="I14907" s="2" t="s">
        <v>57507</v>
      </c>
      <c r="K14907" s="2" t="s">
        <v>1408</v>
      </c>
      <c r="L14907" s="2" t="s">
        <v>1012</v>
      </c>
      <c r="M14907" s="2">
        <v>72030.0</v>
      </c>
      <c r="N14907" s="2" t="s">
        <v>21</v>
      </c>
    </row>
    <row r="14908" ht="15.75" customHeight="1">
      <c r="A14908" s="2">
        <v>2021.0</v>
      </c>
      <c r="B14908" s="2" t="s">
        <v>49280</v>
      </c>
      <c r="C14908" s="2" t="s">
        <v>49281</v>
      </c>
      <c r="D14908" s="2" t="str">
        <f>"6162270363"</f>
        <v>6162270363</v>
      </c>
      <c r="E14908" s="2" t="s">
        <v>890</v>
      </c>
      <c r="F14908" s="2" t="s">
        <v>49282</v>
      </c>
      <c r="G14908" s="2" t="str">
        <f>"SR-17545"</f>
        <v>SR-17545</v>
      </c>
      <c r="H14908" s="2" t="s">
        <v>49283</v>
      </c>
      <c r="I14908" s="2" t="s">
        <v>49284</v>
      </c>
      <c r="K14908" s="2" t="s">
        <v>5264</v>
      </c>
      <c r="L14908" s="2" t="s">
        <v>29</v>
      </c>
      <c r="M14908" s="2">
        <v>49315.0</v>
      </c>
      <c r="N14908" s="2" t="s">
        <v>21</v>
      </c>
    </row>
    <row r="14909" ht="15.75" customHeight="1">
      <c r="A14909" s="2">
        <v>2021.0</v>
      </c>
      <c r="B14909" s="2" t="s">
        <v>57508</v>
      </c>
      <c r="C14909" s="2" t="s">
        <v>57509</v>
      </c>
      <c r="D14909" s="2" t="str">
        <f>"406-551-5092"</f>
        <v>406-551-5092</v>
      </c>
      <c r="E14909" s="2" t="s">
        <v>301</v>
      </c>
      <c r="F14909" s="2" t="s">
        <v>5244</v>
      </c>
      <c r="G14909" s="2" t="str">
        <f>"SR-21720"</f>
        <v>SR-21720</v>
      </c>
      <c r="H14909" s="2" t="s">
        <v>57510</v>
      </c>
      <c r="I14909" s="2" t="s">
        <v>57511</v>
      </c>
      <c r="K14909" s="2" t="s">
        <v>12644</v>
      </c>
      <c r="L14909" s="2" t="s">
        <v>2696</v>
      </c>
      <c r="M14909" s="2">
        <v>59718.0</v>
      </c>
      <c r="N14909" s="2" t="s">
        <v>21</v>
      </c>
    </row>
    <row r="14910" ht="15.75" customHeight="1">
      <c r="A14910" s="2">
        <v>2021.0</v>
      </c>
      <c r="B14910" s="2" t="s">
        <v>54199</v>
      </c>
      <c r="C14910" s="2" t="s">
        <v>54199</v>
      </c>
      <c r="D14910" s="2" t="str">
        <f>"3183064287"</f>
        <v>3183064287</v>
      </c>
      <c r="E14910" s="2" t="s">
        <v>659</v>
      </c>
      <c r="F14910" s="2" t="s">
        <v>53262</v>
      </c>
      <c r="G14910" s="2" t="str">
        <f>"SR-19173"</f>
        <v>SR-19173</v>
      </c>
      <c r="H14910" s="2" t="s">
        <v>54200</v>
      </c>
      <c r="I14910" s="2" t="s">
        <v>54201</v>
      </c>
      <c r="K14910" s="2" t="s">
        <v>3037</v>
      </c>
      <c r="L14910" s="2" t="s">
        <v>715</v>
      </c>
      <c r="M14910" s="2">
        <v>70644.0</v>
      </c>
      <c r="N14910" s="2" t="s">
        <v>21</v>
      </c>
    </row>
    <row r="14911" ht="15.75" customHeight="1">
      <c r="A14911" s="2">
        <v>2021.0</v>
      </c>
      <c r="B14911" s="2" t="s">
        <v>57512</v>
      </c>
      <c r="C14911" s="2" t="s">
        <v>57513</v>
      </c>
      <c r="D14911" s="2" t="str">
        <f>"704-644-9420"</f>
        <v>704-644-9420</v>
      </c>
      <c r="E14911" s="2" t="s">
        <v>2162</v>
      </c>
      <c r="F14911" s="2" t="s">
        <v>57514</v>
      </c>
      <c r="G14911" s="2" t="str">
        <f>"SR-20962"</f>
        <v>SR-20962</v>
      </c>
      <c r="H14911" s="2" t="s">
        <v>57515</v>
      </c>
      <c r="I14911" s="2" t="s">
        <v>57516</v>
      </c>
      <c r="K14911" s="2" t="s">
        <v>19</v>
      </c>
      <c r="L14911" s="2" t="s">
        <v>20</v>
      </c>
      <c r="M14911" s="2">
        <v>28207.0</v>
      </c>
      <c r="N14911" s="2" t="s">
        <v>21</v>
      </c>
    </row>
    <row r="14912" ht="15.75" customHeight="1">
      <c r="A14912" s="2">
        <v>2021.0</v>
      </c>
      <c r="B14912" s="2" t="s">
        <v>57517</v>
      </c>
      <c r="C14912" s="2" t="s">
        <v>57517</v>
      </c>
      <c r="D14912" s="2" t="str">
        <f>"7633503011"</f>
        <v>7633503011</v>
      </c>
      <c r="E14912" s="2" t="s">
        <v>18752</v>
      </c>
      <c r="F14912" s="2" t="s">
        <v>57518</v>
      </c>
      <c r="G14912" s="2" t="str">
        <f>"SR-21722"</f>
        <v>SR-21722</v>
      </c>
      <c r="H14912" s="2" t="s">
        <v>57519</v>
      </c>
      <c r="I14912" s="2" t="s">
        <v>57520</v>
      </c>
      <c r="K14912" s="2" t="s">
        <v>7340</v>
      </c>
      <c r="L14912" s="2" t="s">
        <v>62</v>
      </c>
      <c r="M14912" s="2">
        <v>55356.0</v>
      </c>
      <c r="N14912" s="2" t="s">
        <v>21</v>
      </c>
    </row>
    <row r="14913" ht="15.75" customHeight="1">
      <c r="A14913" s="2">
        <v>2021.0</v>
      </c>
      <c r="B14913" s="2" t="s">
        <v>57521</v>
      </c>
      <c r="C14913" s="2" t="s">
        <v>57522</v>
      </c>
      <c r="D14913" s="2" t="str">
        <f>"2623374207"</f>
        <v>2623374207</v>
      </c>
      <c r="E14913" s="2" t="s">
        <v>14745</v>
      </c>
      <c r="F14913" s="2" t="s">
        <v>23018</v>
      </c>
      <c r="G14913" s="2" t="str">
        <f>"SR-21719"</f>
        <v>SR-21719</v>
      </c>
      <c r="H14913" s="2" t="s">
        <v>57523</v>
      </c>
      <c r="I14913" s="2" t="s">
        <v>57524</v>
      </c>
      <c r="K14913" s="2" t="s">
        <v>14956</v>
      </c>
      <c r="L14913" s="2" t="s">
        <v>193</v>
      </c>
      <c r="M14913" s="2">
        <v>53029.0</v>
      </c>
      <c r="N14913" s="2" t="s">
        <v>21</v>
      </c>
    </row>
    <row r="14914" ht="15.75" customHeight="1">
      <c r="A14914" s="2">
        <v>2021.0</v>
      </c>
      <c r="B14914" s="2" t="s">
        <v>57525</v>
      </c>
      <c r="C14914" s="2" t="s">
        <v>57526</v>
      </c>
      <c r="D14914" s="2" t="str">
        <f>"(936) 900-2248"</f>
        <v>(936) 900-2248</v>
      </c>
      <c r="E14914" s="2" t="s">
        <v>57527</v>
      </c>
      <c r="F14914" s="2" t="s">
        <v>444</v>
      </c>
      <c r="G14914" s="2" t="str">
        <f>"SR-20927"</f>
        <v>SR-20927</v>
      </c>
      <c r="H14914" s="2" t="s">
        <v>57528</v>
      </c>
      <c r="I14914" s="2" t="s">
        <v>57529</v>
      </c>
      <c r="K14914" s="2" t="s">
        <v>538</v>
      </c>
      <c r="L14914" s="2" t="s">
        <v>172</v>
      </c>
      <c r="M14914" s="2">
        <v>77316.0</v>
      </c>
      <c r="N14914" s="2" t="s">
        <v>21</v>
      </c>
    </row>
    <row r="14915" ht="15.75" customHeight="1">
      <c r="A14915" s="2">
        <v>2021.0</v>
      </c>
      <c r="B14915" s="2" t="s">
        <v>57525</v>
      </c>
      <c r="C14915" s="2" t="s">
        <v>57530</v>
      </c>
      <c r="D14915" s="2" t="str">
        <f>"(936) 588-9183"</f>
        <v>(936) 588-9183</v>
      </c>
      <c r="E14915" s="2" t="s">
        <v>6030</v>
      </c>
      <c r="F14915" s="2" t="s">
        <v>444</v>
      </c>
      <c r="G14915" s="2" t="str">
        <f>"SR-21724"</f>
        <v>SR-21724</v>
      </c>
      <c r="H14915" s="2" t="s">
        <v>57531</v>
      </c>
      <c r="I14915" s="2" t="s">
        <v>57529</v>
      </c>
      <c r="K14915" s="2" t="s">
        <v>538</v>
      </c>
      <c r="L14915" s="2" t="s">
        <v>172</v>
      </c>
      <c r="M14915" s="2">
        <v>77316.0</v>
      </c>
      <c r="N14915" s="2" t="s">
        <v>21</v>
      </c>
    </row>
    <row r="14916" ht="15.75" customHeight="1">
      <c r="A14916" s="2">
        <v>2021.0</v>
      </c>
      <c r="B14916" s="2" t="s">
        <v>52497</v>
      </c>
      <c r="D14916" s="2" t="str">
        <f>""</f>
        <v/>
      </c>
      <c r="E14916" s="2" t="s">
        <v>52498</v>
      </c>
      <c r="F14916" s="2" t="s">
        <v>580</v>
      </c>
      <c r="G14916" s="2" t="str">
        <f>"SR-18759"</f>
        <v>SR-18759</v>
      </c>
      <c r="H14916" s="2" t="s">
        <v>52499</v>
      </c>
      <c r="N14916" s="2" t="s">
        <v>21</v>
      </c>
    </row>
    <row r="14917" ht="15.75" customHeight="1">
      <c r="A14917" s="2">
        <v>2021.0</v>
      </c>
      <c r="B14917" s="2" t="s">
        <v>53128</v>
      </c>
      <c r="C14917" s="2" t="s">
        <v>53128</v>
      </c>
      <c r="D14917" s="2" t="str">
        <f>"(337)-349-1398"</f>
        <v>(337)-349-1398</v>
      </c>
      <c r="E14917" s="2" t="s">
        <v>37022</v>
      </c>
      <c r="F14917" s="2" t="s">
        <v>37798</v>
      </c>
      <c r="G14917" s="2" t="str">
        <f>"SR-19014"</f>
        <v>SR-19014</v>
      </c>
      <c r="H14917" s="2" t="s">
        <v>53129</v>
      </c>
      <c r="I14917" s="2" t="s">
        <v>40223</v>
      </c>
      <c r="K14917" s="2" t="s">
        <v>3037</v>
      </c>
      <c r="L14917" s="2" t="s">
        <v>715</v>
      </c>
      <c r="M14917" s="2">
        <v>70644.0</v>
      </c>
      <c r="N14917" s="2" t="s">
        <v>21</v>
      </c>
    </row>
    <row r="14918" ht="15.75" customHeight="1">
      <c r="A14918" s="2">
        <v>2021.0</v>
      </c>
      <c r="B14918" s="2" t="s">
        <v>53151</v>
      </c>
      <c r="C14918" s="2" t="s">
        <v>53152</v>
      </c>
      <c r="D14918" s="2" t="str">
        <f>"3373963668"</f>
        <v>3373963668</v>
      </c>
      <c r="E14918" s="2" t="s">
        <v>53153</v>
      </c>
      <c r="F14918" s="2" t="s">
        <v>4358</v>
      </c>
      <c r="G14918" s="2" t="str">
        <f>"SR-19027"</f>
        <v>SR-19027</v>
      </c>
      <c r="H14918" s="2" t="s">
        <v>53154</v>
      </c>
      <c r="I14918" s="2" t="s">
        <v>53155</v>
      </c>
      <c r="K14918" s="2" t="s">
        <v>35688</v>
      </c>
      <c r="L14918" s="2" t="s">
        <v>715</v>
      </c>
      <c r="M14918" s="2">
        <v>70662.0</v>
      </c>
      <c r="N14918" s="2" t="s">
        <v>21</v>
      </c>
    </row>
    <row r="14919" ht="15.75" customHeight="1">
      <c r="A14919" s="2">
        <v>2021.0</v>
      </c>
      <c r="B14919" s="2" t="s">
        <v>30570</v>
      </c>
      <c r="C14919" s="2" t="s">
        <v>30571</v>
      </c>
      <c r="D14919" s="2" t="str">
        <f>"3369530914"</f>
        <v>3369530914</v>
      </c>
      <c r="E14919" s="2" t="s">
        <v>5548</v>
      </c>
      <c r="F14919" s="2" t="s">
        <v>30572</v>
      </c>
      <c r="G14919" s="2" t="str">
        <f>"SR-9655"</f>
        <v>SR-9655</v>
      </c>
      <c r="H14919" s="2" t="s">
        <v>30573</v>
      </c>
      <c r="I14919" s="2" t="s">
        <v>30574</v>
      </c>
      <c r="K14919" s="2" t="s">
        <v>30575</v>
      </c>
      <c r="L14919" s="2" t="s">
        <v>20</v>
      </c>
      <c r="M14919" s="2">
        <v>28450.0</v>
      </c>
      <c r="N14919" s="2" t="s">
        <v>21</v>
      </c>
    </row>
    <row r="14920" ht="15.75" customHeight="1">
      <c r="A14920" s="2">
        <v>2021.0</v>
      </c>
      <c r="B14920" s="2" t="s">
        <v>55132</v>
      </c>
      <c r="C14920" s="2" t="s">
        <v>55132</v>
      </c>
      <c r="D14920" s="2" t="str">
        <f>"510-826-8703"</f>
        <v>510-826-8703</v>
      </c>
      <c r="E14920" s="2" t="s">
        <v>373</v>
      </c>
      <c r="F14920" s="2" t="s">
        <v>1756</v>
      </c>
      <c r="G14920" s="2" t="str">
        <f>"SR-20602"</f>
        <v>SR-20602</v>
      </c>
      <c r="H14920" s="2" t="s">
        <v>55133</v>
      </c>
      <c r="I14920" s="2" t="s">
        <v>55134</v>
      </c>
      <c r="K14920" s="2" t="s">
        <v>50433</v>
      </c>
      <c r="L14920" s="2" t="s">
        <v>222</v>
      </c>
      <c r="M14920" s="2">
        <v>94552.0</v>
      </c>
      <c r="N14920" s="2" t="s">
        <v>21</v>
      </c>
    </row>
    <row r="14921" ht="15.75" customHeight="1">
      <c r="A14921" s="2">
        <v>2021.0</v>
      </c>
      <c r="B14921" s="2" t="s">
        <v>57532</v>
      </c>
      <c r="C14921" s="2" t="s">
        <v>57533</v>
      </c>
      <c r="D14921" s="2" t="str">
        <f>"9099421831"</f>
        <v>9099421831</v>
      </c>
      <c r="E14921" s="2" t="s">
        <v>678</v>
      </c>
      <c r="F14921" s="2" t="s">
        <v>57534</v>
      </c>
      <c r="G14921" s="2" t="str">
        <f>"SR-21725"</f>
        <v>SR-21725</v>
      </c>
      <c r="H14921" s="2" t="s">
        <v>57535</v>
      </c>
      <c r="I14921" s="2" t="s">
        <v>57536</v>
      </c>
      <c r="K14921" s="2" t="s">
        <v>11731</v>
      </c>
      <c r="L14921" s="2" t="s">
        <v>222</v>
      </c>
      <c r="M14921" s="2">
        <v>91784.0</v>
      </c>
      <c r="N14921" s="2" t="s">
        <v>21</v>
      </c>
    </row>
    <row r="14922" ht="15.75" customHeight="1">
      <c r="A14922" s="2">
        <v>2021.0</v>
      </c>
      <c r="B14922" s="2" t="s">
        <v>42036</v>
      </c>
      <c r="C14922" s="2" t="s">
        <v>42037</v>
      </c>
      <c r="D14922" s="2" t="str">
        <f>"7197224040"</f>
        <v>7197224040</v>
      </c>
      <c r="E14922" s="2" t="s">
        <v>1713</v>
      </c>
      <c r="F14922" s="2" t="s">
        <v>42038</v>
      </c>
      <c r="G14922" s="2" t="str">
        <f>"SR-13009"</f>
        <v>SR-13009</v>
      </c>
      <c r="H14922" s="2" t="s">
        <v>42039</v>
      </c>
      <c r="I14922" s="2" t="s">
        <v>42040</v>
      </c>
      <c r="K14922" s="2" t="s">
        <v>507</v>
      </c>
      <c r="L14922" s="2" t="s">
        <v>157</v>
      </c>
      <c r="M14922" s="2">
        <v>80132.0</v>
      </c>
      <c r="N14922" s="2" t="s">
        <v>21</v>
      </c>
    </row>
    <row r="14923" ht="15.75" customHeight="1">
      <c r="A14923" s="2">
        <v>2021.0</v>
      </c>
      <c r="B14923" s="2" t="s">
        <v>51799</v>
      </c>
      <c r="C14923" s="2" t="s">
        <v>51800</v>
      </c>
      <c r="D14923" s="2" t="str">
        <f>"(707) 317-5733"</f>
        <v>(707) 317-5733</v>
      </c>
      <c r="E14923" s="2" t="s">
        <v>137</v>
      </c>
      <c r="F14923" s="2" t="s">
        <v>4627</v>
      </c>
      <c r="G14923" s="2" t="str">
        <f>"SR-18510"</f>
        <v>SR-18510</v>
      </c>
      <c r="H14923" s="2" t="s">
        <v>51801</v>
      </c>
      <c r="I14923" s="2" t="s">
        <v>51802</v>
      </c>
      <c r="K14923" s="2" t="s">
        <v>51803</v>
      </c>
      <c r="L14923" s="2" t="s">
        <v>222</v>
      </c>
      <c r="M14923" s="2">
        <v>95687.0</v>
      </c>
      <c r="N14923" s="2" t="s">
        <v>21</v>
      </c>
    </row>
    <row r="14924" ht="15.75" customHeight="1">
      <c r="A14924" s="2">
        <v>2021.0</v>
      </c>
      <c r="B14924" s="2" t="s">
        <v>43877</v>
      </c>
      <c r="C14924" s="2" t="s">
        <v>57537</v>
      </c>
      <c r="D14924" s="2" t="str">
        <f>"505-582-8952"</f>
        <v>505-582-8952</v>
      </c>
      <c r="E14924" s="2" t="s">
        <v>57538</v>
      </c>
      <c r="F14924" s="2" t="s">
        <v>23292</v>
      </c>
      <c r="G14924" s="2" t="str">
        <f>"SR-21728"</f>
        <v>SR-21728</v>
      </c>
      <c r="H14924" s="2" t="s">
        <v>57539</v>
      </c>
      <c r="I14924" s="2" t="s">
        <v>23294</v>
      </c>
      <c r="K14924" s="2" t="s">
        <v>3705</v>
      </c>
      <c r="L14924" s="2" t="s">
        <v>789</v>
      </c>
      <c r="M14924" s="2">
        <v>87109.0</v>
      </c>
      <c r="N14924" s="2" t="s">
        <v>21</v>
      </c>
    </row>
    <row r="14925" ht="15.75" customHeight="1">
      <c r="A14925" s="2">
        <v>2021.0</v>
      </c>
      <c r="B14925" s="2" t="s">
        <v>49477</v>
      </c>
      <c r="C14925" s="2" t="s">
        <v>49478</v>
      </c>
      <c r="D14925" s="2" t="str">
        <f>"7656350175"</f>
        <v>7656350175</v>
      </c>
      <c r="E14925" s="2" t="s">
        <v>862</v>
      </c>
      <c r="F14925" s="2" t="s">
        <v>49479</v>
      </c>
      <c r="G14925" s="2" t="str">
        <f>"SR-17427"</f>
        <v>SR-17427</v>
      </c>
      <c r="H14925" s="2" t="s">
        <v>49480</v>
      </c>
      <c r="I14925" s="2" t="s">
        <v>49481</v>
      </c>
      <c r="K14925" s="2" t="s">
        <v>16434</v>
      </c>
      <c r="L14925" s="2" t="s">
        <v>149</v>
      </c>
      <c r="M14925" s="2">
        <v>47304.0</v>
      </c>
      <c r="N14925" s="2" t="s">
        <v>21</v>
      </c>
    </row>
    <row r="14926" ht="15.75" customHeight="1">
      <c r="A14926" s="2">
        <v>2021.0</v>
      </c>
      <c r="B14926" s="2" t="s">
        <v>57540</v>
      </c>
      <c r="C14926" s="2" t="s">
        <v>57541</v>
      </c>
      <c r="D14926" s="2" t="str">
        <f>"9012335322"</f>
        <v>9012335322</v>
      </c>
      <c r="E14926" s="2" t="s">
        <v>7517</v>
      </c>
      <c r="F14926" s="2" t="s">
        <v>57542</v>
      </c>
      <c r="G14926" s="2" t="str">
        <f>"SR-21729"</f>
        <v>SR-21729</v>
      </c>
      <c r="H14926" s="2" t="s">
        <v>57543</v>
      </c>
      <c r="I14926" s="2" t="s">
        <v>57544</v>
      </c>
      <c r="K14926" s="2" t="s">
        <v>26748</v>
      </c>
      <c r="L14926" s="2" t="s">
        <v>279</v>
      </c>
      <c r="M14926" s="2">
        <v>38053.0</v>
      </c>
      <c r="N14926" s="2" t="s">
        <v>21</v>
      </c>
    </row>
    <row r="14927" ht="15.75" customHeight="1">
      <c r="A14927" s="2">
        <v>2021.0</v>
      </c>
      <c r="B14927" s="2" t="s">
        <v>57545</v>
      </c>
      <c r="D14927" s="2" t="str">
        <f>""</f>
        <v/>
      </c>
      <c r="E14927" s="2" t="s">
        <v>57546</v>
      </c>
      <c r="F14927" s="2" t="s">
        <v>57542</v>
      </c>
      <c r="G14927" s="2" t="str">
        <f>"SR-21733"</f>
        <v>SR-21733</v>
      </c>
      <c r="H14927" s="2" t="s">
        <v>57547</v>
      </c>
    </row>
    <row r="14928" ht="15.75" customHeight="1">
      <c r="A14928" s="2">
        <v>2021.0</v>
      </c>
      <c r="B14928" s="2" t="s">
        <v>50467</v>
      </c>
      <c r="C14928" s="2" t="s">
        <v>50468</v>
      </c>
      <c r="D14928" s="2" t="str">
        <f>"260-920-0087"</f>
        <v>260-920-0087</v>
      </c>
      <c r="E14928" s="2" t="s">
        <v>2162</v>
      </c>
      <c r="F14928" s="2" t="s">
        <v>33938</v>
      </c>
      <c r="G14928" s="2" t="str">
        <f>"SR-17980"</f>
        <v>SR-17980</v>
      </c>
      <c r="H14928" s="2" t="s">
        <v>50469</v>
      </c>
      <c r="I14928" s="2" t="s">
        <v>50470</v>
      </c>
      <c r="K14928" s="2" t="s">
        <v>4298</v>
      </c>
      <c r="L14928" s="2" t="s">
        <v>149</v>
      </c>
      <c r="M14928" s="2">
        <v>46845.0</v>
      </c>
      <c r="N14928" s="2" t="s">
        <v>21</v>
      </c>
    </row>
    <row r="14929" ht="15.75" customHeight="1">
      <c r="A14929" s="2">
        <v>2021.0</v>
      </c>
      <c r="B14929" s="2" t="s">
        <v>50475</v>
      </c>
      <c r="C14929" s="2" t="s">
        <v>50475</v>
      </c>
      <c r="D14929" s="2" t="str">
        <f>"(260)402-5290"</f>
        <v>(260)402-5290</v>
      </c>
      <c r="E14929" s="2" t="s">
        <v>4437</v>
      </c>
      <c r="F14929" s="2" t="s">
        <v>31837</v>
      </c>
      <c r="G14929" s="2" t="str">
        <f>"SR-17986"</f>
        <v>SR-17986</v>
      </c>
      <c r="H14929" s="2" t="s">
        <v>50476</v>
      </c>
      <c r="I14929" s="2" t="s">
        <v>50477</v>
      </c>
      <c r="K14929" s="2" t="s">
        <v>4298</v>
      </c>
      <c r="L14929" s="2" t="s">
        <v>149</v>
      </c>
      <c r="M14929" s="2">
        <v>46825.0</v>
      </c>
      <c r="N14929" s="2" t="s">
        <v>21</v>
      </c>
    </row>
    <row r="14930" ht="15.75" customHeight="1">
      <c r="A14930" s="2">
        <v>2021.0</v>
      </c>
      <c r="B14930" s="2" t="s">
        <v>57548</v>
      </c>
      <c r="C14930" s="2" t="s">
        <v>57548</v>
      </c>
      <c r="D14930" s="2" t="str">
        <f>"260-312-0726"</f>
        <v>260-312-0726</v>
      </c>
      <c r="E14930" s="2" t="s">
        <v>22628</v>
      </c>
      <c r="F14930" s="2" t="s">
        <v>50472</v>
      </c>
      <c r="G14930" s="2" t="str">
        <f>"SR-21646"</f>
        <v>SR-21646</v>
      </c>
      <c r="H14930" s="2" t="s">
        <v>50473</v>
      </c>
      <c r="I14930" s="2" t="s">
        <v>57549</v>
      </c>
      <c r="K14930" s="2" t="s">
        <v>4298</v>
      </c>
      <c r="L14930" s="2" t="s">
        <v>149</v>
      </c>
      <c r="M14930" s="2">
        <v>46835.0</v>
      </c>
      <c r="N14930" s="2" t="s">
        <v>21</v>
      </c>
    </row>
    <row r="14931" ht="15.75" customHeight="1">
      <c r="A14931" s="2">
        <v>2021.0</v>
      </c>
      <c r="B14931" s="2" t="s">
        <v>57550</v>
      </c>
      <c r="C14931" s="2" t="s">
        <v>57551</v>
      </c>
      <c r="D14931" s="2" t="str">
        <f>"+1 (913) 333-2871"</f>
        <v>+1 (913) 333-2871</v>
      </c>
      <c r="E14931" s="2" t="s">
        <v>485</v>
      </c>
      <c r="F14931" s="2" t="s">
        <v>4011</v>
      </c>
      <c r="G14931" s="2" t="str">
        <f>"SR-21736"</f>
        <v>SR-21736</v>
      </c>
      <c r="H14931" s="2" t="s">
        <v>57552</v>
      </c>
      <c r="I14931" s="2" t="s">
        <v>57553</v>
      </c>
      <c r="K14931" s="2" t="s">
        <v>3103</v>
      </c>
      <c r="L14931" s="2" t="s">
        <v>272</v>
      </c>
      <c r="M14931" s="2">
        <v>66213.0</v>
      </c>
      <c r="N14931" s="2" t="s">
        <v>21</v>
      </c>
    </row>
    <row r="14932" ht="15.75" customHeight="1">
      <c r="A14932" s="2">
        <v>2021.0</v>
      </c>
      <c r="B14932" s="2" t="s">
        <v>57554</v>
      </c>
      <c r="C14932" s="2" t="s">
        <v>57555</v>
      </c>
      <c r="D14932" s="2" t="str">
        <f>"+1 (913) 333-2911"</f>
        <v>+1 (913) 333-2911</v>
      </c>
      <c r="E14932" s="2" t="s">
        <v>534</v>
      </c>
      <c r="F14932" s="2" t="s">
        <v>4011</v>
      </c>
      <c r="G14932" s="2" t="str">
        <f>"SR-21738"</f>
        <v>SR-21738</v>
      </c>
      <c r="H14932" s="2" t="s">
        <v>57556</v>
      </c>
      <c r="I14932" s="2" t="s">
        <v>57553</v>
      </c>
      <c r="K14932" s="2" t="s">
        <v>3103</v>
      </c>
      <c r="L14932" s="2" t="s">
        <v>272</v>
      </c>
      <c r="M14932" s="2">
        <v>66213.0</v>
      </c>
      <c r="N14932" s="2" t="s">
        <v>21</v>
      </c>
    </row>
    <row r="14933" ht="15.75" customHeight="1">
      <c r="A14933" s="2">
        <v>2021.0</v>
      </c>
      <c r="B14933" s="2" t="s">
        <v>57557</v>
      </c>
      <c r="C14933" s="2" t="s">
        <v>57558</v>
      </c>
      <c r="D14933" s="2" t="str">
        <f>"8163927095"</f>
        <v>8163927095</v>
      </c>
      <c r="E14933" s="2" t="s">
        <v>50</v>
      </c>
      <c r="F14933" s="2" t="s">
        <v>4011</v>
      </c>
      <c r="G14933" s="2" t="str">
        <f>"SR-21740"</f>
        <v>SR-21740</v>
      </c>
      <c r="H14933" s="2" t="s">
        <v>57559</v>
      </c>
      <c r="I14933" s="2" t="s">
        <v>57553</v>
      </c>
      <c r="K14933" s="2" t="s">
        <v>3103</v>
      </c>
      <c r="L14933" s="2" t="s">
        <v>272</v>
      </c>
      <c r="M14933" s="2">
        <v>66213.0</v>
      </c>
      <c r="N14933" s="2" t="s">
        <v>21</v>
      </c>
    </row>
    <row r="14934" ht="15.75" customHeight="1">
      <c r="A14934" s="2">
        <v>2021.0</v>
      </c>
      <c r="B14934" s="2" t="s">
        <v>57560</v>
      </c>
      <c r="C14934" s="2" t="s">
        <v>57561</v>
      </c>
      <c r="D14934" s="2" t="str">
        <f>"81627095"</f>
        <v>81627095</v>
      </c>
      <c r="E14934" s="2" t="s">
        <v>250</v>
      </c>
      <c r="F14934" s="2" t="s">
        <v>4011</v>
      </c>
      <c r="G14934" s="2" t="str">
        <f>"SR-21739"</f>
        <v>SR-21739</v>
      </c>
      <c r="H14934" s="2" t="s">
        <v>57562</v>
      </c>
      <c r="I14934" s="2" t="s">
        <v>57553</v>
      </c>
      <c r="K14934" s="2" t="s">
        <v>3103</v>
      </c>
      <c r="L14934" s="2" t="s">
        <v>272</v>
      </c>
      <c r="M14934" s="2">
        <v>66213.0</v>
      </c>
      <c r="N14934" s="2" t="s">
        <v>21</v>
      </c>
    </row>
    <row r="14935" ht="15.75" customHeight="1">
      <c r="A14935" s="2">
        <v>2021.0</v>
      </c>
      <c r="B14935" s="2" t="s">
        <v>57563</v>
      </c>
      <c r="C14935" s="2" t="s">
        <v>57563</v>
      </c>
      <c r="D14935" s="2" t="str">
        <f>"+34 685402690"</f>
        <v>+34 685402690</v>
      </c>
      <c r="E14935" s="2" t="s">
        <v>19797</v>
      </c>
      <c r="F14935" s="2" t="s">
        <v>30201</v>
      </c>
      <c r="G14935" s="2" t="str">
        <f>"SR-21713"</f>
        <v>SR-21713</v>
      </c>
      <c r="H14935" s="2" t="s">
        <v>57564</v>
      </c>
      <c r="I14935" s="2" t="s">
        <v>57565</v>
      </c>
      <c r="K14935" s="2" t="s">
        <v>57566</v>
      </c>
      <c r="L14935" s="2" t="s">
        <v>279</v>
      </c>
      <c r="M14935" s="2">
        <v>3560.0</v>
      </c>
      <c r="N14935" s="2" t="s">
        <v>33843</v>
      </c>
    </row>
    <row r="14936" ht="15.75" customHeight="1">
      <c r="A14936" s="2">
        <v>2021.0</v>
      </c>
      <c r="B14936" s="2" t="s">
        <v>50583</v>
      </c>
      <c r="C14936" s="2" t="s">
        <v>50583</v>
      </c>
      <c r="D14936" s="2" t="str">
        <f>"812-929-1507"</f>
        <v>812-929-1507</v>
      </c>
      <c r="E14936" s="2" t="s">
        <v>29808</v>
      </c>
      <c r="F14936" s="2" t="s">
        <v>728</v>
      </c>
      <c r="G14936" s="2" t="str">
        <f>"SR-18055"</f>
        <v>SR-18055</v>
      </c>
      <c r="H14936" s="2" t="s">
        <v>50584</v>
      </c>
      <c r="I14936" s="2" t="s">
        <v>50585</v>
      </c>
      <c r="K14936" s="2" t="s">
        <v>731</v>
      </c>
      <c r="L14936" s="2" t="s">
        <v>149</v>
      </c>
      <c r="M14936" s="2">
        <v>47448.0</v>
      </c>
      <c r="N14936" s="2" t="s">
        <v>21</v>
      </c>
    </row>
    <row r="14937" ht="15.75" customHeight="1">
      <c r="A14937" s="2">
        <v>2021.0</v>
      </c>
      <c r="B14937" s="2" t="s">
        <v>57567</v>
      </c>
      <c r="C14937" s="2" t="s">
        <v>57567</v>
      </c>
      <c r="D14937" s="2" t="str">
        <f>"2102323199"</f>
        <v>2102323199</v>
      </c>
      <c r="E14937" s="2" t="s">
        <v>57568</v>
      </c>
      <c r="F14937" s="2" t="s">
        <v>24150</v>
      </c>
      <c r="G14937" s="2" t="str">
        <f>"SR-21742"</f>
        <v>SR-21742</v>
      </c>
      <c r="H14937" s="2" t="s">
        <v>57569</v>
      </c>
      <c r="I14937" s="2" t="s">
        <v>57570</v>
      </c>
      <c r="K14937" s="2" t="s">
        <v>632</v>
      </c>
      <c r="L14937" s="2" t="s">
        <v>172</v>
      </c>
      <c r="M14937" s="2">
        <v>78213.0</v>
      </c>
      <c r="N14937" s="2" t="s">
        <v>21</v>
      </c>
    </row>
    <row r="14938" ht="15.75" customHeight="1">
      <c r="A14938" s="2">
        <v>2021.0</v>
      </c>
      <c r="B14938" s="2" t="s">
        <v>57571</v>
      </c>
      <c r="C14938" s="2" t="s">
        <v>57571</v>
      </c>
      <c r="D14938" s="2" t="str">
        <f>"2105178466"</f>
        <v>2105178466</v>
      </c>
      <c r="E14938" s="2" t="s">
        <v>301</v>
      </c>
      <c r="F14938" s="2" t="s">
        <v>18583</v>
      </c>
      <c r="G14938" s="2" t="str">
        <f>"SR-21679"</f>
        <v>SR-21679</v>
      </c>
      <c r="H14938" s="2" t="s">
        <v>38744</v>
      </c>
      <c r="I14938" s="2" t="s">
        <v>57572</v>
      </c>
      <c r="K14938" s="2" t="s">
        <v>1292</v>
      </c>
      <c r="L14938" s="2" t="s">
        <v>172</v>
      </c>
      <c r="M14938" s="2">
        <v>78006.0</v>
      </c>
      <c r="N14938" s="2" t="s">
        <v>21</v>
      </c>
    </row>
    <row r="14939" ht="15.75" customHeight="1">
      <c r="A14939" s="2">
        <v>2021.0</v>
      </c>
      <c r="B14939" s="2" t="s">
        <v>57573</v>
      </c>
      <c r="C14939" s="2" t="s">
        <v>57574</v>
      </c>
      <c r="D14939" s="2" t="str">
        <f>"9079536786"</f>
        <v>9079536786</v>
      </c>
      <c r="E14939" s="2" t="s">
        <v>1022</v>
      </c>
      <c r="F14939" s="2" t="s">
        <v>57575</v>
      </c>
      <c r="G14939" s="2" t="str">
        <f>"SR-21743"</f>
        <v>SR-21743</v>
      </c>
      <c r="H14939" s="2" t="s">
        <v>57576</v>
      </c>
      <c r="I14939" s="2" t="s">
        <v>57577</v>
      </c>
      <c r="K14939" s="2" t="s">
        <v>1336</v>
      </c>
      <c r="L14939" s="2" t="s">
        <v>70</v>
      </c>
      <c r="M14939" s="2">
        <v>99669.0</v>
      </c>
      <c r="N14939" s="2" t="s">
        <v>21</v>
      </c>
    </row>
    <row r="14940" ht="15.75" customHeight="1">
      <c r="A14940" s="2">
        <v>2021.0</v>
      </c>
      <c r="B14940" s="2" t="s">
        <v>57578</v>
      </c>
      <c r="C14940" s="2" t="s">
        <v>57579</v>
      </c>
      <c r="D14940" s="2" t="str">
        <f>"7173241172"</f>
        <v>7173241172</v>
      </c>
      <c r="E14940" s="2" t="s">
        <v>417</v>
      </c>
      <c r="F14940" s="2" t="s">
        <v>57580</v>
      </c>
      <c r="G14940" s="2" t="str">
        <f>"SR-21726"</f>
        <v>SR-21726</v>
      </c>
      <c r="H14940" s="2" t="s">
        <v>57581</v>
      </c>
      <c r="I14940" s="2" t="s">
        <v>57582</v>
      </c>
      <c r="K14940" s="2" t="s">
        <v>44368</v>
      </c>
      <c r="L14940" s="2" t="s">
        <v>179</v>
      </c>
      <c r="M14940" s="2">
        <v>19341.0</v>
      </c>
      <c r="N14940" s="2" t="s">
        <v>21</v>
      </c>
    </row>
    <row r="14941" ht="15.75" customHeight="1">
      <c r="A14941" s="2">
        <v>2021.0</v>
      </c>
      <c r="B14941" s="2" t="s">
        <v>57583</v>
      </c>
      <c r="C14941" s="2" t="s">
        <v>57583</v>
      </c>
      <c r="D14941" s="2" t="str">
        <f>"6102202451"</f>
        <v>6102202451</v>
      </c>
      <c r="E14941" s="2" t="s">
        <v>938</v>
      </c>
      <c r="F14941" s="2" t="s">
        <v>57584</v>
      </c>
      <c r="G14941" s="2" t="str">
        <f>"SR-21745"</f>
        <v>SR-21745</v>
      </c>
      <c r="H14941" s="2" t="s">
        <v>57585</v>
      </c>
      <c r="I14941" s="2" t="s">
        <v>57586</v>
      </c>
      <c r="K14941" s="2" t="s">
        <v>48566</v>
      </c>
      <c r="L14941" s="2" t="s">
        <v>179</v>
      </c>
      <c r="M14941" s="2">
        <v>19425.0</v>
      </c>
      <c r="N14941" s="2" t="s">
        <v>21</v>
      </c>
    </row>
    <row r="14942" ht="15.75" customHeight="1">
      <c r="A14942" s="2">
        <v>2021.0</v>
      </c>
      <c r="B14942" s="2" t="s">
        <v>57587</v>
      </c>
      <c r="C14942" s="2" t="s">
        <v>57587</v>
      </c>
      <c r="D14942" s="2" t="str">
        <f>"813-523-5682"</f>
        <v>813-523-5682</v>
      </c>
      <c r="E14942" s="2" t="s">
        <v>778</v>
      </c>
      <c r="F14942" s="2" t="s">
        <v>850</v>
      </c>
      <c r="G14942" s="2" t="str">
        <f>"SR-21747"</f>
        <v>SR-21747</v>
      </c>
      <c r="H14942" s="2" t="s">
        <v>57588</v>
      </c>
      <c r="I14942" s="2" t="s">
        <v>57589</v>
      </c>
      <c r="K14942" s="2" t="s">
        <v>11726</v>
      </c>
      <c r="L14942" s="2" t="s">
        <v>165</v>
      </c>
      <c r="M14942" s="2">
        <v>23505.0</v>
      </c>
      <c r="N14942" s="2" t="s">
        <v>21</v>
      </c>
    </row>
    <row r="14943" ht="15.75" customHeight="1">
      <c r="A14943" s="2">
        <v>2021.0</v>
      </c>
      <c r="B14943" s="2" t="s">
        <v>57590</v>
      </c>
      <c r="C14943" s="2" t="s">
        <v>57591</v>
      </c>
      <c r="D14943" s="2" t="str">
        <f>"803-504-4069"</f>
        <v>803-504-4069</v>
      </c>
      <c r="E14943" s="2" t="s">
        <v>72</v>
      </c>
      <c r="F14943" s="2" t="s">
        <v>33263</v>
      </c>
      <c r="G14943" s="2" t="str">
        <f>"SR-21748"</f>
        <v>SR-21748</v>
      </c>
      <c r="H14943" s="2" t="s">
        <v>57592</v>
      </c>
      <c r="I14943" s="2" t="s">
        <v>57593</v>
      </c>
      <c r="K14943" s="2" t="s">
        <v>16541</v>
      </c>
      <c r="L14943" s="2" t="s">
        <v>55</v>
      </c>
      <c r="M14943" s="2">
        <v>29745.0</v>
      </c>
      <c r="N14943" s="2" t="s">
        <v>21</v>
      </c>
    </row>
    <row r="14944" ht="15.75" customHeight="1">
      <c r="A14944" s="2">
        <v>2021.0</v>
      </c>
      <c r="B14944" s="2" t="s">
        <v>57594</v>
      </c>
      <c r="C14944" s="2" t="s">
        <v>57594</v>
      </c>
      <c r="D14944" s="2" t="str">
        <f>"317-316-2168"</f>
        <v>317-316-2168</v>
      </c>
      <c r="E14944" s="2" t="s">
        <v>908</v>
      </c>
      <c r="F14944" s="2" t="s">
        <v>57595</v>
      </c>
      <c r="G14944" s="2" t="str">
        <f>"SR-21749"</f>
        <v>SR-21749</v>
      </c>
      <c r="H14944" s="2" t="s">
        <v>57596</v>
      </c>
      <c r="I14944" s="2" t="s">
        <v>57597</v>
      </c>
      <c r="K14944" s="2" t="s">
        <v>10407</v>
      </c>
      <c r="L14944" s="2" t="s">
        <v>149</v>
      </c>
      <c r="M14944" s="2">
        <v>46032.0</v>
      </c>
      <c r="N14944" s="2" t="s">
        <v>21</v>
      </c>
    </row>
    <row r="14945" ht="15.75" customHeight="1">
      <c r="A14945" s="2">
        <v>2021.0</v>
      </c>
      <c r="B14945" s="2" t="s">
        <v>52636</v>
      </c>
      <c r="C14945" s="2" t="s">
        <v>52637</v>
      </c>
      <c r="D14945" s="2" t="str">
        <f>"9419283493"</f>
        <v>9419283493</v>
      </c>
      <c r="E14945" s="2" t="s">
        <v>428</v>
      </c>
      <c r="F14945" s="2" t="s">
        <v>5128</v>
      </c>
      <c r="G14945" s="2" t="str">
        <f>"SR-18811"</f>
        <v>SR-18811</v>
      </c>
      <c r="H14945" s="2" t="s">
        <v>52638</v>
      </c>
      <c r="I14945" s="2" t="s">
        <v>52639</v>
      </c>
      <c r="K14945" s="2" t="s">
        <v>29636</v>
      </c>
      <c r="L14945" s="2" t="s">
        <v>165</v>
      </c>
      <c r="M14945" s="2">
        <v>20176.0</v>
      </c>
      <c r="N14945" s="2" t="s">
        <v>21</v>
      </c>
    </row>
    <row r="14946" ht="15.75" customHeight="1">
      <c r="A14946" s="2">
        <v>2021.0</v>
      </c>
      <c r="B14946" s="2" t="s">
        <v>39717</v>
      </c>
      <c r="C14946" s="2" t="s">
        <v>39717</v>
      </c>
      <c r="D14946" s="2" t="str">
        <f>"6124330088"</f>
        <v>6124330088</v>
      </c>
      <c r="E14946" s="2" t="s">
        <v>2031</v>
      </c>
      <c r="F14946" s="2" t="s">
        <v>1209</v>
      </c>
      <c r="G14946" s="2" t="str">
        <f>"SR-13659"</f>
        <v>SR-13659</v>
      </c>
      <c r="H14946" s="2" t="s">
        <v>39718</v>
      </c>
      <c r="I14946" s="2" t="s">
        <v>39719</v>
      </c>
      <c r="J14946" s="2" t="s">
        <v>39720</v>
      </c>
      <c r="K14946" s="2" t="s">
        <v>39721</v>
      </c>
      <c r="L14946" s="2" t="s">
        <v>62</v>
      </c>
      <c r="M14946" s="2">
        <v>55428.0</v>
      </c>
      <c r="N14946" s="2" t="s">
        <v>21</v>
      </c>
    </row>
    <row r="14947" ht="15.75" customHeight="1">
      <c r="A14947" s="2">
        <v>2021.0</v>
      </c>
      <c r="B14947" s="2" t="s">
        <v>57598</v>
      </c>
      <c r="C14947" s="2" t="s">
        <v>57598</v>
      </c>
      <c r="D14947" s="2" t="str">
        <f>"2606026588"</f>
        <v>2606026588</v>
      </c>
      <c r="E14947" s="2" t="s">
        <v>2314</v>
      </c>
      <c r="F14947" s="2" t="s">
        <v>57599</v>
      </c>
      <c r="G14947" s="2" t="str">
        <f>"SR-21634"</f>
        <v>SR-21634</v>
      </c>
      <c r="H14947" s="2" t="s">
        <v>57600</v>
      </c>
      <c r="I14947" s="2" t="s">
        <v>57601</v>
      </c>
      <c r="K14947" s="2" t="s">
        <v>4298</v>
      </c>
      <c r="L14947" s="2" t="s">
        <v>149</v>
      </c>
      <c r="M14947" s="2">
        <v>46804.0</v>
      </c>
      <c r="N14947" s="2" t="s">
        <v>21</v>
      </c>
    </row>
    <row r="14948" ht="15.75" customHeight="1">
      <c r="A14948" s="2">
        <v>2021.0</v>
      </c>
      <c r="B14948" s="2" t="s">
        <v>57602</v>
      </c>
      <c r="C14948" s="2" t="s">
        <v>57603</v>
      </c>
      <c r="D14948" s="2" t="str">
        <f>"7036291906"</f>
        <v>7036291906</v>
      </c>
      <c r="E14948" s="2" t="s">
        <v>15919</v>
      </c>
      <c r="F14948" s="2" t="s">
        <v>57604</v>
      </c>
      <c r="G14948" s="2" t="str">
        <f>"SR-21697"</f>
        <v>SR-21697</v>
      </c>
      <c r="H14948" s="2" t="s">
        <v>57605</v>
      </c>
      <c r="I14948" s="2" t="s">
        <v>57606</v>
      </c>
      <c r="K14948" s="2" t="s">
        <v>572</v>
      </c>
      <c r="L14948" s="2" t="s">
        <v>222</v>
      </c>
      <c r="M14948" s="2">
        <v>95648.0</v>
      </c>
      <c r="N14948" s="2" t="s">
        <v>21</v>
      </c>
    </row>
    <row r="14949" ht="15.75" customHeight="1">
      <c r="A14949" s="2">
        <v>2021.0</v>
      </c>
      <c r="B14949" s="2" t="s">
        <v>46331</v>
      </c>
      <c r="C14949" s="2" t="s">
        <v>46737</v>
      </c>
      <c r="D14949" s="2" t="str">
        <f>"720-755-7152"</f>
        <v>720-755-7152</v>
      </c>
      <c r="E14949" s="2" t="s">
        <v>385</v>
      </c>
      <c r="F14949" s="2" t="s">
        <v>46333</v>
      </c>
      <c r="G14949" s="2" t="str">
        <f>"SR-16156"</f>
        <v>SR-16156</v>
      </c>
      <c r="H14949" s="2" t="s">
        <v>46738</v>
      </c>
      <c r="I14949" s="2" t="s">
        <v>46739</v>
      </c>
      <c r="K14949" s="2" t="s">
        <v>992</v>
      </c>
      <c r="L14949" s="2" t="s">
        <v>157</v>
      </c>
      <c r="M14949" s="2">
        <v>80015.0</v>
      </c>
      <c r="N14949" s="2" t="s">
        <v>21</v>
      </c>
    </row>
    <row r="14950" ht="15.75" customHeight="1">
      <c r="A14950" s="2">
        <v>2021.0</v>
      </c>
      <c r="B14950" s="2" t="s">
        <v>57607</v>
      </c>
      <c r="C14950" s="2" t="s">
        <v>57608</v>
      </c>
      <c r="D14950" s="2" t="str">
        <f>"4046681601"</f>
        <v>4046681601</v>
      </c>
      <c r="E14950" s="2" t="s">
        <v>4300</v>
      </c>
      <c r="F14950" s="2" t="s">
        <v>57609</v>
      </c>
      <c r="G14950" s="2" t="str">
        <f>"SR-20699"</f>
        <v>SR-20699</v>
      </c>
      <c r="H14950" s="2" t="s">
        <v>57610</v>
      </c>
      <c r="I14950" s="2" t="s">
        <v>57611</v>
      </c>
      <c r="K14950" s="2" t="s">
        <v>4250</v>
      </c>
      <c r="L14950" s="2" t="s">
        <v>200</v>
      </c>
      <c r="M14950" s="2">
        <v>30238.0</v>
      </c>
      <c r="N14950" s="2" t="s">
        <v>21</v>
      </c>
    </row>
    <row r="14951" ht="15.75" customHeight="1">
      <c r="A14951" s="2">
        <v>2021.0</v>
      </c>
      <c r="B14951" s="2" t="s">
        <v>30570</v>
      </c>
      <c r="C14951" s="2" t="s">
        <v>57612</v>
      </c>
      <c r="D14951" s="2" t="str">
        <f>"3363017858"</f>
        <v>3363017858</v>
      </c>
      <c r="E14951" s="2" t="s">
        <v>2941</v>
      </c>
      <c r="F14951" s="2" t="s">
        <v>3481</v>
      </c>
      <c r="G14951" s="2" t="str">
        <f>"SR-21754"</f>
        <v>SR-21754</v>
      </c>
      <c r="H14951" s="2" t="s">
        <v>57613</v>
      </c>
      <c r="I14951" s="2" t="s">
        <v>57614</v>
      </c>
      <c r="K14951" s="2" t="s">
        <v>21841</v>
      </c>
      <c r="L14951" s="2" t="s">
        <v>20</v>
      </c>
      <c r="M14951" s="2">
        <v>27205.0</v>
      </c>
      <c r="N14951" s="2" t="s">
        <v>21</v>
      </c>
    </row>
    <row r="14952" ht="15.75" customHeight="1">
      <c r="A14952" s="2">
        <v>2021.0</v>
      </c>
      <c r="B14952" s="2" t="s">
        <v>10256</v>
      </c>
      <c r="C14952" s="2" t="s">
        <v>57615</v>
      </c>
      <c r="D14952" s="2" t="str">
        <f>"703-713-2373"</f>
        <v>703-713-2373</v>
      </c>
      <c r="E14952" s="2" t="s">
        <v>453</v>
      </c>
      <c r="F14952" s="2" t="s">
        <v>10257</v>
      </c>
      <c r="G14952" s="2" t="str">
        <f>"SR-21755"</f>
        <v>SR-21755</v>
      </c>
      <c r="H14952" s="2" t="s">
        <v>57616</v>
      </c>
      <c r="I14952" s="2" t="s">
        <v>10259</v>
      </c>
      <c r="K14952" s="2" t="s">
        <v>3239</v>
      </c>
      <c r="L14952" s="2" t="s">
        <v>165</v>
      </c>
      <c r="M14952" s="2">
        <v>22152.0</v>
      </c>
      <c r="N14952" s="2" t="s">
        <v>21</v>
      </c>
    </row>
    <row r="14953" ht="15.75" customHeight="1">
      <c r="A14953" s="2">
        <v>2021.0</v>
      </c>
      <c r="B14953" s="2" t="s">
        <v>55829</v>
      </c>
      <c r="C14953" s="2" t="s">
        <v>57617</v>
      </c>
      <c r="D14953" s="2" t="str">
        <f>"6029782839"</f>
        <v>6029782839</v>
      </c>
      <c r="E14953" s="2" t="s">
        <v>4763</v>
      </c>
      <c r="F14953" s="2" t="s">
        <v>55831</v>
      </c>
      <c r="G14953" s="2" t="str">
        <f>"SR-21534"</f>
        <v>SR-21534</v>
      </c>
      <c r="H14953" s="2" t="s">
        <v>57618</v>
      </c>
      <c r="I14953" s="2" t="s">
        <v>55833</v>
      </c>
      <c r="K14953" s="2" t="s">
        <v>1133</v>
      </c>
      <c r="L14953" s="2" t="s">
        <v>422</v>
      </c>
      <c r="M14953" s="2">
        <v>85306.0</v>
      </c>
      <c r="N14953" s="2" t="s">
        <v>21</v>
      </c>
    </row>
    <row r="14954" ht="15.75" customHeight="1">
      <c r="A14954" s="2">
        <v>2021.0</v>
      </c>
      <c r="B14954" s="2" t="s">
        <v>57619</v>
      </c>
      <c r="C14954" s="2" t="s">
        <v>57619</v>
      </c>
      <c r="D14954" s="2" t="str">
        <f>"3202246743"</f>
        <v>3202246743</v>
      </c>
      <c r="E14954" s="2" t="s">
        <v>1208</v>
      </c>
      <c r="F14954" s="2" t="s">
        <v>37225</v>
      </c>
      <c r="G14954" s="2" t="str">
        <f>"SR-21602"</f>
        <v>SR-21602</v>
      </c>
      <c r="H14954" s="2" t="s">
        <v>57620</v>
      </c>
      <c r="I14954" s="2" t="s">
        <v>37227</v>
      </c>
      <c r="K14954" s="2" t="s">
        <v>11526</v>
      </c>
      <c r="L14954" s="2" t="s">
        <v>62</v>
      </c>
      <c r="M14954" s="2">
        <v>56304.0</v>
      </c>
      <c r="N14954" s="2" t="s">
        <v>21</v>
      </c>
    </row>
    <row r="14955" ht="15.75" customHeight="1">
      <c r="A14955" s="2">
        <v>2021.0</v>
      </c>
      <c r="B14955" s="2" t="s">
        <v>57621</v>
      </c>
      <c r="C14955" s="2" t="s">
        <v>57621</v>
      </c>
      <c r="D14955" s="2" t="str">
        <f>"320-237-7285"</f>
        <v>320-237-7285</v>
      </c>
      <c r="E14955" s="2" t="s">
        <v>57622</v>
      </c>
      <c r="F14955" s="2" t="s">
        <v>37225</v>
      </c>
      <c r="G14955" s="2" t="str">
        <f>"SR-21756"</f>
        <v>SR-21756</v>
      </c>
      <c r="H14955" s="2" t="s">
        <v>57623</v>
      </c>
      <c r="I14955" s="2" t="s">
        <v>37227</v>
      </c>
      <c r="K14955" s="2" t="s">
        <v>11526</v>
      </c>
      <c r="L14955" s="2" t="s">
        <v>62</v>
      </c>
      <c r="M14955" s="2">
        <v>56304.0</v>
      </c>
      <c r="N14955" s="2" t="s">
        <v>21</v>
      </c>
    </row>
    <row r="14956" ht="15.75" customHeight="1">
      <c r="A14956" s="2">
        <v>2021.0</v>
      </c>
      <c r="B14956" s="2" t="s">
        <v>57624</v>
      </c>
      <c r="C14956" s="2" t="s">
        <v>57625</v>
      </c>
      <c r="D14956" s="2" t="str">
        <f>"303-944-9827"</f>
        <v>303-944-9827</v>
      </c>
      <c r="E14956" s="2" t="s">
        <v>485</v>
      </c>
      <c r="F14956" s="2" t="s">
        <v>57626</v>
      </c>
      <c r="G14956" s="2" t="str">
        <f>"SR-21758"</f>
        <v>SR-21758</v>
      </c>
      <c r="H14956" s="2" t="s">
        <v>57627</v>
      </c>
      <c r="I14956" s="2" t="s">
        <v>57628</v>
      </c>
      <c r="K14956" s="2" t="s">
        <v>1889</v>
      </c>
      <c r="L14956" s="2" t="s">
        <v>157</v>
      </c>
      <c r="M14956" s="2">
        <v>80120.0</v>
      </c>
      <c r="N14956" s="2" t="s">
        <v>21</v>
      </c>
    </row>
    <row r="14957" ht="15.75" customHeight="1">
      <c r="A14957" s="2">
        <v>2021.0</v>
      </c>
      <c r="B14957" s="2" t="s">
        <v>57629</v>
      </c>
      <c r="C14957" s="2" t="s">
        <v>57629</v>
      </c>
      <c r="D14957" s="2" t="str">
        <f>"8168857003"</f>
        <v>8168857003</v>
      </c>
      <c r="E14957" s="2" t="s">
        <v>471</v>
      </c>
      <c r="F14957" s="2" t="s">
        <v>57630</v>
      </c>
      <c r="G14957" s="2" t="str">
        <f>"SR-21759"</f>
        <v>SR-21759</v>
      </c>
      <c r="H14957" s="2" t="s">
        <v>57631</v>
      </c>
      <c r="I14957" s="2" t="s">
        <v>57632</v>
      </c>
      <c r="K14957" s="2" t="s">
        <v>57633</v>
      </c>
      <c r="L14957" s="2" t="s">
        <v>214</v>
      </c>
      <c r="M14957" s="2">
        <v>64118.0</v>
      </c>
      <c r="N14957" s="2" t="s">
        <v>21</v>
      </c>
    </row>
    <row r="14958" ht="15.75" customHeight="1">
      <c r="A14958" s="2">
        <v>2021.0</v>
      </c>
      <c r="B14958" s="2" t="s">
        <v>57634</v>
      </c>
      <c r="C14958" s="2" t="s">
        <v>57635</v>
      </c>
      <c r="D14958" s="2" t="str">
        <f>"682-582-5599"</f>
        <v>682-582-5599</v>
      </c>
      <c r="E14958" s="2" t="s">
        <v>456</v>
      </c>
      <c r="F14958" s="2" t="s">
        <v>28142</v>
      </c>
      <c r="G14958" s="2" t="str">
        <f>"SR-21767"</f>
        <v>SR-21767</v>
      </c>
      <c r="H14958" s="2" t="s">
        <v>57636</v>
      </c>
      <c r="I14958" s="2" t="s">
        <v>57637</v>
      </c>
      <c r="K14958" s="2" t="s">
        <v>9461</v>
      </c>
      <c r="L14958" s="2" t="s">
        <v>172</v>
      </c>
      <c r="M14958" s="2">
        <v>76226.0</v>
      </c>
      <c r="N14958" s="2" t="s">
        <v>21</v>
      </c>
    </row>
    <row r="14959" ht="15.75" customHeight="1">
      <c r="A14959" s="2">
        <v>2021.0</v>
      </c>
      <c r="B14959" s="2" t="s">
        <v>54920</v>
      </c>
      <c r="D14959" s="2" t="str">
        <f>""</f>
        <v/>
      </c>
      <c r="E14959" s="2" t="s">
        <v>15048</v>
      </c>
      <c r="F14959" s="2" t="s">
        <v>54922</v>
      </c>
      <c r="G14959" s="2" t="str">
        <f>"SR-21768"</f>
        <v>SR-21768</v>
      </c>
      <c r="H14959" s="2" t="s">
        <v>57638</v>
      </c>
      <c r="N14959" s="2" t="s">
        <v>21</v>
      </c>
    </row>
    <row r="14960" ht="15.75" customHeight="1">
      <c r="A14960" s="2">
        <v>2021.0</v>
      </c>
      <c r="B14960" s="2" t="s">
        <v>57639</v>
      </c>
      <c r="C14960" s="2" t="s">
        <v>57640</v>
      </c>
      <c r="D14960" s="2" t="str">
        <f>"7193101889"</f>
        <v>7193101889</v>
      </c>
      <c r="E14960" s="2" t="s">
        <v>471</v>
      </c>
      <c r="F14960" s="2" t="s">
        <v>57641</v>
      </c>
      <c r="G14960" s="2" t="str">
        <f>"SR-21769"</f>
        <v>SR-21769</v>
      </c>
      <c r="H14960" s="2" t="s">
        <v>57642</v>
      </c>
      <c r="I14960" s="2" t="s">
        <v>57643</v>
      </c>
      <c r="K14960" s="2" t="s">
        <v>809</v>
      </c>
      <c r="L14960" s="2" t="s">
        <v>157</v>
      </c>
      <c r="M14960" s="2">
        <v>80919.0</v>
      </c>
      <c r="N14960" s="2" t="s">
        <v>21</v>
      </c>
    </row>
    <row r="14961" ht="15.75" customHeight="1">
      <c r="A14961" s="2">
        <v>2021.0</v>
      </c>
      <c r="B14961" s="2" t="s">
        <v>57644</v>
      </c>
      <c r="C14961" s="2" t="s">
        <v>57644</v>
      </c>
      <c r="D14961" s="2" t="str">
        <f>"7036283179"</f>
        <v>7036283179</v>
      </c>
      <c r="E14961" s="2" t="s">
        <v>12269</v>
      </c>
      <c r="F14961" s="2" t="s">
        <v>57645</v>
      </c>
      <c r="G14961" s="2" t="str">
        <f>"SR-21770"</f>
        <v>SR-21770</v>
      </c>
      <c r="H14961" s="2" t="s">
        <v>57646</v>
      </c>
      <c r="I14961" s="2" t="s">
        <v>57647</v>
      </c>
      <c r="K14961" s="2" t="s">
        <v>20843</v>
      </c>
      <c r="L14961" s="2" t="s">
        <v>165</v>
      </c>
      <c r="M14961" s="2">
        <v>20147.0</v>
      </c>
      <c r="N14961" s="2" t="s">
        <v>21</v>
      </c>
    </row>
    <row r="14962" ht="15.75" customHeight="1">
      <c r="A14962" s="2">
        <v>2021.0</v>
      </c>
      <c r="B14962" s="2" t="s">
        <v>55039</v>
      </c>
      <c r="C14962" s="2" t="s">
        <v>55040</v>
      </c>
      <c r="D14962" s="2" t="str">
        <f>"706-860-9784"</f>
        <v>706-860-9784</v>
      </c>
      <c r="E14962" s="2" t="s">
        <v>428</v>
      </c>
      <c r="F14962" s="2" t="s">
        <v>3576</v>
      </c>
      <c r="G14962" s="2" t="str">
        <f>"SR-20512"</f>
        <v>SR-20512</v>
      </c>
      <c r="H14962" s="2" t="s">
        <v>55041</v>
      </c>
      <c r="I14962" s="2" t="s">
        <v>55042</v>
      </c>
      <c r="K14962" s="2" t="s">
        <v>1756</v>
      </c>
      <c r="L14962" s="2" t="s">
        <v>200</v>
      </c>
      <c r="M14962" s="2">
        <v>30809.0</v>
      </c>
      <c r="N14962" s="2" t="s">
        <v>21</v>
      </c>
    </row>
    <row r="14963" ht="15.75" customHeight="1">
      <c r="A14963" s="2">
        <v>2021.0</v>
      </c>
      <c r="B14963" s="2" t="s">
        <v>47833</v>
      </c>
      <c r="C14963" s="2" t="s">
        <v>57648</v>
      </c>
      <c r="D14963" s="2" t="str">
        <f>"314-952-5870"</f>
        <v>314-952-5870</v>
      </c>
      <c r="E14963" s="2" t="s">
        <v>2752</v>
      </c>
      <c r="F14963" s="2" t="s">
        <v>3816</v>
      </c>
      <c r="G14963" s="2" t="str">
        <f>"SR-21773"</f>
        <v>SR-21773</v>
      </c>
      <c r="H14963" s="2" t="s">
        <v>57649</v>
      </c>
      <c r="I14963" s="2" t="s">
        <v>47836</v>
      </c>
      <c r="K14963" s="2" t="s">
        <v>8122</v>
      </c>
      <c r="L14963" s="2" t="s">
        <v>214</v>
      </c>
      <c r="M14963" s="2">
        <v>63005.0</v>
      </c>
      <c r="N14963" s="2" t="s">
        <v>21</v>
      </c>
    </row>
    <row r="14964" ht="15.75" customHeight="1">
      <c r="A14964" s="2">
        <v>2021.0</v>
      </c>
      <c r="B14964" s="2" t="s">
        <v>34167</v>
      </c>
      <c r="C14964" s="2" t="s">
        <v>57650</v>
      </c>
      <c r="D14964" s="2" t="str">
        <f>"9492911867"</f>
        <v>9492911867</v>
      </c>
      <c r="E14964" s="2" t="s">
        <v>4763</v>
      </c>
      <c r="F14964" s="2" t="s">
        <v>16181</v>
      </c>
      <c r="G14964" s="2" t="str">
        <f>"SR-21774"</f>
        <v>SR-21774</v>
      </c>
      <c r="H14964" s="2" t="s">
        <v>57651</v>
      </c>
      <c r="I14964" s="2" t="s">
        <v>34170</v>
      </c>
      <c r="K14964" s="2" t="s">
        <v>9670</v>
      </c>
      <c r="L14964" s="2" t="s">
        <v>222</v>
      </c>
      <c r="M14964" s="2">
        <v>92673.0</v>
      </c>
      <c r="N14964" s="2" t="s">
        <v>21</v>
      </c>
    </row>
    <row r="14965" ht="15.75" customHeight="1">
      <c r="A14965" s="2">
        <v>2021.0</v>
      </c>
      <c r="B14965" s="2" t="s">
        <v>57652</v>
      </c>
      <c r="C14965" s="2" t="s">
        <v>57653</v>
      </c>
      <c r="D14965" s="2" t="str">
        <f>"8438011027"</f>
        <v>8438011027</v>
      </c>
      <c r="E14965" s="2" t="s">
        <v>3978</v>
      </c>
      <c r="F14965" s="2" t="s">
        <v>1151</v>
      </c>
      <c r="G14965" s="2" t="str">
        <f>"SR-21775"</f>
        <v>SR-21775</v>
      </c>
      <c r="H14965" s="2" t="s">
        <v>57654</v>
      </c>
      <c r="I14965" s="2" t="s">
        <v>57655</v>
      </c>
      <c r="K14965" s="2" t="s">
        <v>57656</v>
      </c>
      <c r="L14965" s="2" t="s">
        <v>55</v>
      </c>
      <c r="M14965" s="2">
        <v>29429.0</v>
      </c>
      <c r="N14965" s="2" t="s">
        <v>21</v>
      </c>
    </row>
    <row r="14966" ht="15.75" customHeight="1">
      <c r="A14966" s="2">
        <v>2021.0</v>
      </c>
      <c r="B14966" s="2" t="s">
        <v>52887</v>
      </c>
      <c r="C14966" s="2" t="s">
        <v>52888</v>
      </c>
      <c r="D14966" s="2" t="str">
        <f>"5743837690"</f>
        <v>5743837690</v>
      </c>
      <c r="E14966" s="2" t="s">
        <v>5858</v>
      </c>
      <c r="F14966" s="2" t="s">
        <v>26445</v>
      </c>
      <c r="G14966" s="2" t="str">
        <f>"SR-18879"</f>
        <v>SR-18879</v>
      </c>
      <c r="H14966" s="2" t="s">
        <v>52889</v>
      </c>
      <c r="I14966" s="2" t="s">
        <v>52890</v>
      </c>
      <c r="K14966" s="2" t="s">
        <v>17947</v>
      </c>
      <c r="L14966" s="2" t="s">
        <v>20</v>
      </c>
      <c r="M14966" s="2">
        <v>28730.0</v>
      </c>
      <c r="N14966" s="2" t="s">
        <v>21</v>
      </c>
    </row>
    <row r="14967" ht="15.75" customHeight="1">
      <c r="A14967" s="2">
        <v>2021.0</v>
      </c>
      <c r="B14967" s="2" t="s">
        <v>57657</v>
      </c>
      <c r="C14967" s="2" t="s">
        <v>57658</v>
      </c>
      <c r="D14967" s="2" t="str">
        <f>"6622512304"</f>
        <v>6622512304</v>
      </c>
      <c r="E14967" s="2" t="s">
        <v>718</v>
      </c>
      <c r="F14967" s="2" t="s">
        <v>1151</v>
      </c>
      <c r="G14967" s="2" t="str">
        <f>"SR-21620"</f>
        <v>SR-21620</v>
      </c>
      <c r="H14967" s="2" t="s">
        <v>14979</v>
      </c>
      <c r="I14967" s="2" t="s">
        <v>57659</v>
      </c>
      <c r="K14967" s="2" t="s">
        <v>52147</v>
      </c>
      <c r="L14967" s="2" t="s">
        <v>1722</v>
      </c>
      <c r="M14967" s="2">
        <v>39755.0</v>
      </c>
      <c r="N14967" s="2" t="s">
        <v>21</v>
      </c>
    </row>
    <row r="14968" ht="15.75" customHeight="1">
      <c r="A14968" s="2">
        <v>2021.0</v>
      </c>
      <c r="B14968" s="2" t="s">
        <v>57660</v>
      </c>
      <c r="C14968" s="2" t="s">
        <v>57661</v>
      </c>
      <c r="D14968" s="2" t="str">
        <f t="shared" ref="D14968:D14969" si="243">"207 667-7475"</f>
        <v>207 667-7475</v>
      </c>
      <c r="E14968" s="2" t="s">
        <v>485</v>
      </c>
      <c r="F14968" s="2" t="s">
        <v>14778</v>
      </c>
      <c r="G14968" s="2" t="str">
        <f>"SR-21778"</f>
        <v>SR-21778</v>
      </c>
      <c r="H14968" s="2" t="s">
        <v>57662</v>
      </c>
      <c r="I14968" s="2">
        <v>47.0</v>
      </c>
      <c r="J14968" s="2" t="s">
        <v>57663</v>
      </c>
      <c r="K14968" s="2" t="s">
        <v>57664</v>
      </c>
      <c r="L14968" s="2" t="s">
        <v>3737</v>
      </c>
      <c r="M14968" s="2">
        <v>4605.0</v>
      </c>
      <c r="N14968" s="2" t="s">
        <v>21</v>
      </c>
    </row>
    <row r="14969" ht="15.75" customHeight="1">
      <c r="A14969" s="2">
        <v>2021.0</v>
      </c>
      <c r="B14969" s="2" t="s">
        <v>57660</v>
      </c>
      <c r="C14969" s="2" t="s">
        <v>57665</v>
      </c>
      <c r="D14969" s="2" t="str">
        <f t="shared" si="243"/>
        <v>207 667-7475</v>
      </c>
      <c r="E14969" s="2" t="s">
        <v>353</v>
      </c>
      <c r="F14969" s="2" t="s">
        <v>14778</v>
      </c>
      <c r="G14969" s="2" t="str">
        <f>"SR-21780"</f>
        <v>SR-21780</v>
      </c>
      <c r="H14969" s="2" t="s">
        <v>57666</v>
      </c>
      <c r="I14969" s="2">
        <v>47.0</v>
      </c>
      <c r="J14969" s="2" t="s">
        <v>57663</v>
      </c>
      <c r="K14969" s="2" t="s">
        <v>57664</v>
      </c>
      <c r="L14969" s="2" t="s">
        <v>3737</v>
      </c>
      <c r="M14969" s="2">
        <v>4605.0</v>
      </c>
      <c r="N14969" s="2" t="s">
        <v>21</v>
      </c>
    </row>
    <row r="14970" ht="15.75" customHeight="1">
      <c r="A14970" s="2">
        <v>2021.0</v>
      </c>
      <c r="B14970" s="2" t="s">
        <v>57667</v>
      </c>
      <c r="C14970" s="2" t="s">
        <v>57667</v>
      </c>
      <c r="D14970" s="2" t="str">
        <f>"7636890800"</f>
        <v>7636890800</v>
      </c>
      <c r="E14970" s="2" t="s">
        <v>3878</v>
      </c>
      <c r="F14970" s="2" t="s">
        <v>6655</v>
      </c>
      <c r="G14970" s="2" t="str">
        <f>"SR-21786"</f>
        <v>SR-21786</v>
      </c>
      <c r="H14970" s="2" t="s">
        <v>57668</v>
      </c>
      <c r="I14970" s="2" t="s">
        <v>57669</v>
      </c>
      <c r="K14970" s="2" t="s">
        <v>3420</v>
      </c>
      <c r="L14970" s="2" t="s">
        <v>62</v>
      </c>
      <c r="M14970" s="2">
        <v>55008.0</v>
      </c>
      <c r="N14970" s="2" t="s">
        <v>21</v>
      </c>
    </row>
    <row r="14971" ht="15.75" customHeight="1">
      <c r="A14971" s="2">
        <v>2021.0</v>
      </c>
      <c r="B14971" s="2" t="s">
        <v>57670</v>
      </c>
      <c r="C14971" s="2" t="s">
        <v>57670</v>
      </c>
      <c r="D14971" s="2" t="str">
        <f>"484-704-5087"</f>
        <v>484-704-5087</v>
      </c>
      <c r="E14971" s="2" t="s">
        <v>752</v>
      </c>
      <c r="F14971" s="2" t="s">
        <v>24578</v>
      </c>
      <c r="G14971" s="2" t="str">
        <f>"SR-21787"</f>
        <v>SR-21787</v>
      </c>
      <c r="H14971" s="2" t="s">
        <v>57671</v>
      </c>
      <c r="I14971" s="2" t="s">
        <v>57672</v>
      </c>
      <c r="K14971" s="2" t="s">
        <v>26894</v>
      </c>
      <c r="L14971" s="2" t="s">
        <v>179</v>
      </c>
      <c r="M14971" s="2">
        <v>19460.0</v>
      </c>
      <c r="N14971" s="2" t="s">
        <v>21</v>
      </c>
    </row>
    <row r="14972" ht="15.75" customHeight="1">
      <c r="A14972" s="2">
        <v>2021.0</v>
      </c>
      <c r="B14972" s="2" t="s">
        <v>42000</v>
      </c>
      <c r="C14972" s="2" t="s">
        <v>49742</v>
      </c>
      <c r="D14972" s="2" t="str">
        <f>"4029922338"</f>
        <v>4029922338</v>
      </c>
      <c r="E14972" s="2" t="s">
        <v>11885</v>
      </c>
      <c r="F14972" s="2" t="s">
        <v>42002</v>
      </c>
      <c r="G14972" s="2" t="str">
        <f>"SR-17773"</f>
        <v>SR-17773</v>
      </c>
      <c r="H14972" s="2" t="s">
        <v>49743</v>
      </c>
      <c r="I14972" s="2" t="s">
        <v>49744</v>
      </c>
      <c r="K14972" s="2" t="s">
        <v>11726</v>
      </c>
      <c r="L14972" s="2" t="s">
        <v>757</v>
      </c>
      <c r="M14972" s="2">
        <v>68701.0</v>
      </c>
      <c r="N14972" s="2" t="s">
        <v>21</v>
      </c>
    </row>
    <row r="14973" ht="15.75" customHeight="1">
      <c r="A14973" s="2">
        <v>2021.0</v>
      </c>
      <c r="B14973" s="2" t="s">
        <v>49736</v>
      </c>
      <c r="C14973" s="2" t="s">
        <v>49736</v>
      </c>
      <c r="D14973" s="2" t="str">
        <f>"(402) 316-8915"</f>
        <v>(402) 316-8915</v>
      </c>
      <c r="E14973" s="2" t="s">
        <v>301</v>
      </c>
      <c r="F14973" s="2" t="s">
        <v>49737</v>
      </c>
      <c r="G14973" s="2" t="str">
        <f>"SR-17575"</f>
        <v>SR-17575</v>
      </c>
      <c r="H14973" s="2" t="s">
        <v>49738</v>
      </c>
      <c r="I14973" s="2" t="s">
        <v>49739</v>
      </c>
      <c r="K14973" s="2" t="s">
        <v>11726</v>
      </c>
      <c r="L14973" s="2" t="s">
        <v>757</v>
      </c>
      <c r="M14973" s="2">
        <v>68701.0</v>
      </c>
      <c r="N14973" s="2" t="s">
        <v>21</v>
      </c>
    </row>
    <row r="14974" ht="15.75" customHeight="1">
      <c r="A14974" s="2">
        <v>2021.0</v>
      </c>
      <c r="B14974" s="2" t="s">
        <v>57673</v>
      </c>
      <c r="C14974" s="2" t="s">
        <v>57673</v>
      </c>
      <c r="D14974" s="2" t="str">
        <f>"541 251 0939"</f>
        <v>541 251 0939</v>
      </c>
      <c r="E14974" s="2" t="s">
        <v>250</v>
      </c>
      <c r="F14974" s="2" t="s">
        <v>5476</v>
      </c>
      <c r="G14974" s="2" t="str">
        <f>"SR-21789"</f>
        <v>SR-21789</v>
      </c>
      <c r="H14974" s="2" t="s">
        <v>57674</v>
      </c>
      <c r="I14974" s="2" t="s">
        <v>57675</v>
      </c>
      <c r="K14974" s="2" t="s">
        <v>54728</v>
      </c>
      <c r="L14974" s="2" t="s">
        <v>2389</v>
      </c>
      <c r="M14974" s="2">
        <v>97415.0</v>
      </c>
      <c r="N14974" s="2" t="s">
        <v>21</v>
      </c>
    </row>
    <row r="14975" ht="15.75" customHeight="1">
      <c r="A14975" s="2">
        <v>2021.0</v>
      </c>
      <c r="B14975" s="2" t="s">
        <v>57676</v>
      </c>
      <c r="C14975" s="2" t="s">
        <v>57677</v>
      </c>
      <c r="D14975" s="2" t="str">
        <f>"9077403487"</f>
        <v>9077403487</v>
      </c>
      <c r="E14975" s="2" t="s">
        <v>282</v>
      </c>
      <c r="F14975" s="2" t="s">
        <v>1648</v>
      </c>
      <c r="G14975" s="2" t="str">
        <f>"SR-21791"</f>
        <v>SR-21791</v>
      </c>
      <c r="H14975" s="2" t="s">
        <v>1649</v>
      </c>
      <c r="I14975" s="2" t="s">
        <v>57678</v>
      </c>
      <c r="K14975" s="2" t="s">
        <v>1336</v>
      </c>
      <c r="L14975" s="2" t="s">
        <v>70</v>
      </c>
      <c r="M14975" s="2">
        <v>99669.0</v>
      </c>
      <c r="N14975" s="2" t="s">
        <v>21</v>
      </c>
    </row>
    <row r="14976" ht="15.75" customHeight="1">
      <c r="A14976" s="2">
        <v>2021.0</v>
      </c>
      <c r="B14976" s="2" t="s">
        <v>5730</v>
      </c>
      <c r="C14976" s="2" t="s">
        <v>5730</v>
      </c>
      <c r="D14976" s="2" t="str">
        <f t="shared" ref="D14976:D14977" si="244">"813 684 3583"</f>
        <v>813 684 3583</v>
      </c>
      <c r="E14976" s="2" t="s">
        <v>339</v>
      </c>
      <c r="F14976" s="2" t="s">
        <v>543</v>
      </c>
      <c r="G14976" s="2" t="str">
        <f>"SR-21793"</f>
        <v>SR-21793</v>
      </c>
      <c r="H14976" s="2" t="s">
        <v>42898</v>
      </c>
      <c r="I14976" s="2" t="s">
        <v>5753</v>
      </c>
      <c r="K14976" s="2" t="s">
        <v>5683</v>
      </c>
      <c r="L14976" s="2" t="s">
        <v>208</v>
      </c>
      <c r="M14976" s="2">
        <v>33596.0</v>
      </c>
      <c r="N14976" s="2" t="s">
        <v>21</v>
      </c>
    </row>
    <row r="14977" ht="15.75" customHeight="1">
      <c r="A14977" s="2">
        <v>2021.0</v>
      </c>
      <c r="B14977" s="2" t="s">
        <v>5730</v>
      </c>
      <c r="C14977" s="2" t="s">
        <v>5730</v>
      </c>
      <c r="D14977" s="2" t="str">
        <f t="shared" si="244"/>
        <v>813 684 3583</v>
      </c>
      <c r="E14977" s="2" t="s">
        <v>751</v>
      </c>
      <c r="F14977" s="2" t="s">
        <v>543</v>
      </c>
      <c r="G14977" s="2" t="str">
        <f>"SR-21795"</f>
        <v>SR-21795</v>
      </c>
      <c r="H14977" s="2" t="s">
        <v>57679</v>
      </c>
      <c r="I14977" s="2" t="s">
        <v>5753</v>
      </c>
      <c r="K14977" s="2" t="s">
        <v>5683</v>
      </c>
      <c r="L14977" s="2" t="s">
        <v>208</v>
      </c>
      <c r="M14977" s="2">
        <v>33596.0</v>
      </c>
      <c r="N14977" s="2" t="s">
        <v>21</v>
      </c>
    </row>
    <row r="14978" ht="15.75" customHeight="1">
      <c r="A14978" s="2">
        <v>2021.0</v>
      </c>
      <c r="B14978" s="2" t="s">
        <v>57680</v>
      </c>
      <c r="C14978" s="2" t="s">
        <v>57680</v>
      </c>
      <c r="D14978" s="2" t="str">
        <f>"615-310-5583"</f>
        <v>615-310-5583</v>
      </c>
      <c r="E14978" s="2" t="s">
        <v>2851</v>
      </c>
      <c r="F14978" s="2" t="s">
        <v>850</v>
      </c>
      <c r="G14978" s="2" t="str">
        <f>"SR-21642"</f>
        <v>SR-21642</v>
      </c>
      <c r="H14978" s="2" t="s">
        <v>57681</v>
      </c>
      <c r="I14978" s="2" t="s">
        <v>43543</v>
      </c>
      <c r="K14978" s="2" t="s">
        <v>57682</v>
      </c>
      <c r="L14978" s="2" t="s">
        <v>279</v>
      </c>
      <c r="M14978" s="2">
        <v>37179.0</v>
      </c>
      <c r="N14978" s="2" t="s">
        <v>21</v>
      </c>
    </row>
    <row r="14979" ht="15.75" customHeight="1">
      <c r="A14979" s="2">
        <v>2021.0</v>
      </c>
      <c r="B14979" s="2" t="s">
        <v>57683</v>
      </c>
      <c r="C14979" s="2" t="s">
        <v>57684</v>
      </c>
      <c r="D14979" s="2" t="str">
        <f>"2052130075"</f>
        <v>2052130075</v>
      </c>
      <c r="E14979" s="2" t="s">
        <v>89</v>
      </c>
      <c r="F14979" s="2" t="s">
        <v>984</v>
      </c>
      <c r="G14979" s="2" t="str">
        <f>"SR-21798"</f>
        <v>SR-21798</v>
      </c>
      <c r="H14979" s="2" t="s">
        <v>57685</v>
      </c>
      <c r="I14979" s="2" t="s">
        <v>57686</v>
      </c>
      <c r="K14979" s="2" t="s">
        <v>1173</v>
      </c>
      <c r="L14979" s="2" t="s">
        <v>539</v>
      </c>
      <c r="M14979" s="2">
        <v>35242.0</v>
      </c>
      <c r="N14979" s="2" t="s">
        <v>21</v>
      </c>
    </row>
    <row r="14980" ht="15.75" customHeight="1">
      <c r="A14980" s="2">
        <v>2021.0</v>
      </c>
      <c r="B14980" s="2" t="s">
        <v>57687</v>
      </c>
      <c r="C14980" s="2" t="s">
        <v>57688</v>
      </c>
      <c r="D14980" s="2" t="str">
        <f t="shared" ref="D14980:D14981" si="245">"4054885726"</f>
        <v>4054885726</v>
      </c>
      <c r="E14980" s="2" t="s">
        <v>6081</v>
      </c>
      <c r="F14980" s="2" t="s">
        <v>57689</v>
      </c>
      <c r="G14980" s="2" t="str">
        <f>"SR-21799"</f>
        <v>SR-21799</v>
      </c>
      <c r="H14980" s="2" t="s">
        <v>57690</v>
      </c>
      <c r="I14980" s="2" t="s">
        <v>57691</v>
      </c>
      <c r="K14980" s="2" t="s">
        <v>2126</v>
      </c>
      <c r="L14980" s="2" t="s">
        <v>840</v>
      </c>
      <c r="M14980" s="2">
        <v>73008.0</v>
      </c>
      <c r="N14980" s="2" t="s">
        <v>21</v>
      </c>
    </row>
    <row r="14981" ht="15.75" customHeight="1">
      <c r="A14981" s="2">
        <v>2021.0</v>
      </c>
      <c r="B14981" s="2" t="s">
        <v>57687</v>
      </c>
      <c r="C14981" s="2" t="s">
        <v>57692</v>
      </c>
      <c r="D14981" s="2" t="str">
        <f t="shared" si="245"/>
        <v>4054885726</v>
      </c>
      <c r="E14981" s="2" t="s">
        <v>2361</v>
      </c>
      <c r="F14981" s="2" t="s">
        <v>57689</v>
      </c>
      <c r="G14981" s="2" t="str">
        <f>"SR-21800"</f>
        <v>SR-21800</v>
      </c>
      <c r="H14981" s="2" t="s">
        <v>57693</v>
      </c>
      <c r="I14981" s="2" t="s">
        <v>57691</v>
      </c>
      <c r="K14981" s="2" t="s">
        <v>2126</v>
      </c>
      <c r="L14981" s="2" t="s">
        <v>840</v>
      </c>
      <c r="M14981" s="2">
        <v>73008.0</v>
      </c>
      <c r="N14981" s="2" t="s">
        <v>21</v>
      </c>
    </row>
    <row r="14982" ht="15.75" customHeight="1">
      <c r="A14982" s="2">
        <v>2021.0</v>
      </c>
      <c r="B14982" s="2" t="s">
        <v>19226</v>
      </c>
      <c r="C14982" s="2" t="s">
        <v>49349</v>
      </c>
      <c r="D14982" s="2" t="str">
        <f>"6787872416"</f>
        <v>6787872416</v>
      </c>
      <c r="E14982" s="2" t="s">
        <v>49350</v>
      </c>
      <c r="F14982" s="2" t="s">
        <v>3161</v>
      </c>
      <c r="G14982" s="2" t="str">
        <f>"SR-17570"</f>
        <v>SR-17570</v>
      </c>
      <c r="H14982" s="2" t="s">
        <v>49351</v>
      </c>
      <c r="I14982" s="2" t="s">
        <v>3163</v>
      </c>
      <c r="K14982" s="2" t="s">
        <v>3164</v>
      </c>
      <c r="L14982" s="2" t="s">
        <v>200</v>
      </c>
      <c r="M14982" s="2">
        <v>30215.0</v>
      </c>
      <c r="N14982" s="2" t="s">
        <v>21</v>
      </c>
    </row>
    <row r="14983" ht="15.75" customHeight="1">
      <c r="A14983" s="2">
        <v>2021.0</v>
      </c>
      <c r="B14983" s="2" t="s">
        <v>57694</v>
      </c>
      <c r="C14983" s="2" t="s">
        <v>57695</v>
      </c>
      <c r="D14983" s="2" t="str">
        <f>"417-257-4203"</f>
        <v>417-257-4203</v>
      </c>
      <c r="E14983" s="2" t="s">
        <v>57696</v>
      </c>
      <c r="F14983" s="2" t="s">
        <v>57697</v>
      </c>
      <c r="G14983" s="2" t="str">
        <f>"SR-21802"</f>
        <v>SR-21802</v>
      </c>
      <c r="H14983" s="2" t="s">
        <v>57698</v>
      </c>
      <c r="I14983" s="2" t="s">
        <v>57699</v>
      </c>
      <c r="K14983" s="2" t="s">
        <v>229</v>
      </c>
      <c r="L14983" s="2" t="s">
        <v>214</v>
      </c>
      <c r="M14983" s="2">
        <v>65775.0</v>
      </c>
      <c r="N14983" s="2" t="s">
        <v>21</v>
      </c>
    </row>
    <row r="14984" ht="15.75" customHeight="1">
      <c r="A14984" s="2">
        <v>2021.0</v>
      </c>
      <c r="B14984" s="2" t="s">
        <v>49290</v>
      </c>
      <c r="C14984" s="2" t="s">
        <v>49291</v>
      </c>
      <c r="D14984" s="2" t="str">
        <f>"7865593379"</f>
        <v>7865593379</v>
      </c>
      <c r="E14984" s="2" t="s">
        <v>25668</v>
      </c>
      <c r="F14984" s="2" t="s">
        <v>49292</v>
      </c>
      <c r="G14984" s="2" t="str">
        <f>"SR-17459"</f>
        <v>SR-17459</v>
      </c>
      <c r="H14984" s="2" t="s">
        <v>49293</v>
      </c>
      <c r="I14984" s="2" t="s">
        <v>49294</v>
      </c>
      <c r="K14984" s="2" t="s">
        <v>49295</v>
      </c>
      <c r="L14984" s="2" t="s">
        <v>208</v>
      </c>
      <c r="M14984" s="2">
        <v>33146.0</v>
      </c>
      <c r="N14984" s="2" t="s">
        <v>21</v>
      </c>
    </row>
    <row r="14985" ht="15.75" customHeight="1">
      <c r="A14985" s="2">
        <v>2021.0</v>
      </c>
      <c r="B14985" s="2" t="s">
        <v>57700</v>
      </c>
      <c r="C14985" s="2" t="s">
        <v>57700</v>
      </c>
      <c r="D14985" s="2" t="str">
        <f>"4849019224"</f>
        <v>4849019224</v>
      </c>
      <c r="E14985" s="2" t="s">
        <v>25108</v>
      </c>
      <c r="F14985" s="2" t="s">
        <v>12891</v>
      </c>
      <c r="G14985" s="2" t="str">
        <f>"SR-21803"</f>
        <v>SR-21803</v>
      </c>
      <c r="H14985" s="2" t="s">
        <v>57701</v>
      </c>
      <c r="I14985" s="2" t="s">
        <v>57702</v>
      </c>
      <c r="K14985" s="2" t="s">
        <v>53247</v>
      </c>
      <c r="L14985" s="2" t="s">
        <v>179</v>
      </c>
      <c r="M14985" s="2">
        <v>19344.0</v>
      </c>
      <c r="N14985" s="2" t="s">
        <v>21</v>
      </c>
    </row>
    <row r="14986" ht="15.75" customHeight="1">
      <c r="A14986" s="2">
        <v>2021.0</v>
      </c>
      <c r="B14986" s="2" t="s">
        <v>49290</v>
      </c>
      <c r="C14986" s="2" t="s">
        <v>57703</v>
      </c>
      <c r="D14986" s="2" t="str">
        <f>"3058499299"</f>
        <v>3058499299</v>
      </c>
      <c r="E14986" s="2" t="s">
        <v>12774</v>
      </c>
      <c r="F14986" s="2" t="s">
        <v>49292</v>
      </c>
      <c r="G14986" s="2" t="str">
        <f>"SR-21804"</f>
        <v>SR-21804</v>
      </c>
      <c r="H14986" s="2" t="s">
        <v>57704</v>
      </c>
      <c r="I14986" s="2" t="s">
        <v>49294</v>
      </c>
      <c r="K14986" s="2" t="s">
        <v>49295</v>
      </c>
      <c r="L14986" s="2" t="s">
        <v>208</v>
      </c>
      <c r="M14986" s="2">
        <v>33146.0</v>
      </c>
      <c r="N14986" s="2" t="s">
        <v>21</v>
      </c>
    </row>
    <row r="14987" ht="15.75" customHeight="1">
      <c r="A14987" s="2">
        <v>2021.0</v>
      </c>
      <c r="B14987" s="2" t="s">
        <v>57705</v>
      </c>
      <c r="C14987" s="2" t="s">
        <v>57705</v>
      </c>
      <c r="D14987" s="2" t="str">
        <f>"2566063300"</f>
        <v>2566063300</v>
      </c>
      <c r="E14987" s="2" t="s">
        <v>385</v>
      </c>
      <c r="F14987" s="2" t="s">
        <v>57706</v>
      </c>
      <c r="G14987" s="2" t="str">
        <f>"SR-21760"</f>
        <v>SR-21760</v>
      </c>
      <c r="H14987" s="2" t="s">
        <v>57707</v>
      </c>
      <c r="I14987" s="2" t="s">
        <v>57708</v>
      </c>
      <c r="K14987" s="2" t="s">
        <v>8231</v>
      </c>
      <c r="L14987" s="2" t="s">
        <v>539</v>
      </c>
      <c r="M14987" s="2">
        <v>35603.0</v>
      </c>
      <c r="N14987" s="2" t="s">
        <v>21</v>
      </c>
    </row>
    <row r="14988" ht="15.75" customHeight="1">
      <c r="A14988" s="2">
        <v>2021.0</v>
      </c>
      <c r="B14988" s="2" t="s">
        <v>33613</v>
      </c>
      <c r="C14988" s="2" t="s">
        <v>49975</v>
      </c>
      <c r="D14988" s="2" t="str">
        <f>"940-594-9592"</f>
        <v>940-594-9592</v>
      </c>
      <c r="E14988" s="2" t="s">
        <v>34156</v>
      </c>
      <c r="F14988" s="2" t="s">
        <v>29796</v>
      </c>
      <c r="G14988" s="2" t="str">
        <f>"SR-17569"</f>
        <v>SR-17569</v>
      </c>
      <c r="H14988" s="2" t="s">
        <v>49976</v>
      </c>
      <c r="I14988" s="2" t="s">
        <v>49977</v>
      </c>
      <c r="K14988" s="2" t="s">
        <v>49978</v>
      </c>
      <c r="L14988" s="2" t="s">
        <v>172</v>
      </c>
      <c r="M14988" s="2">
        <v>76262.0</v>
      </c>
      <c r="N14988" s="2" t="s">
        <v>21</v>
      </c>
    </row>
    <row r="14989" ht="15.75" customHeight="1">
      <c r="A14989" s="2">
        <v>2021.0</v>
      </c>
      <c r="B14989" s="2" t="s">
        <v>33613</v>
      </c>
      <c r="C14989" s="2" t="s">
        <v>49981</v>
      </c>
      <c r="D14989" s="2" t="str">
        <f>"469-381-9028"</f>
        <v>469-381-9028</v>
      </c>
      <c r="E14989" s="2" t="s">
        <v>1197</v>
      </c>
      <c r="F14989" s="2" t="s">
        <v>11248</v>
      </c>
      <c r="G14989" s="2" t="str">
        <f>"SR-17855"</f>
        <v>SR-17855</v>
      </c>
      <c r="H14989" s="2" t="s">
        <v>49982</v>
      </c>
      <c r="I14989" s="2" t="s">
        <v>49983</v>
      </c>
      <c r="K14989" s="2" t="s">
        <v>3677</v>
      </c>
      <c r="L14989" s="2" t="s">
        <v>172</v>
      </c>
      <c r="M14989" s="2">
        <v>75167.0</v>
      </c>
      <c r="N14989" s="2" t="s">
        <v>21</v>
      </c>
    </row>
    <row r="14990" ht="15.75" customHeight="1">
      <c r="A14990" s="2">
        <v>2021.0</v>
      </c>
      <c r="B14990" s="2" t="s">
        <v>57709</v>
      </c>
      <c r="C14990" s="2" t="s">
        <v>57710</v>
      </c>
      <c r="D14990" s="2" t="str">
        <f>"205 905 9928"</f>
        <v>205 905 9928</v>
      </c>
      <c r="E14990" s="2" t="s">
        <v>6019</v>
      </c>
      <c r="F14990" s="2" t="s">
        <v>4532</v>
      </c>
      <c r="G14990" s="2" t="str">
        <f>"SR-21807"</f>
        <v>SR-21807</v>
      </c>
      <c r="H14990" s="2" t="s">
        <v>57711</v>
      </c>
      <c r="I14990" s="2" t="s">
        <v>57712</v>
      </c>
      <c r="K14990" s="2" t="s">
        <v>1173</v>
      </c>
      <c r="L14990" s="2" t="s">
        <v>539</v>
      </c>
      <c r="M14990" s="2">
        <v>35215.0</v>
      </c>
      <c r="N14990" s="2" t="s">
        <v>21</v>
      </c>
    </row>
    <row r="14991" ht="15.75" customHeight="1">
      <c r="A14991" s="2">
        <v>2021.0</v>
      </c>
      <c r="B14991" s="2" t="s">
        <v>57713</v>
      </c>
      <c r="C14991" s="2" t="s">
        <v>57713</v>
      </c>
      <c r="D14991" s="2" t="str">
        <f>"7204535731"</f>
        <v>7204535731</v>
      </c>
      <c r="E14991" s="2" t="s">
        <v>1974</v>
      </c>
      <c r="F14991" s="2" t="s">
        <v>27693</v>
      </c>
      <c r="G14991" s="2" t="str">
        <f>"SR-21808"</f>
        <v>SR-21808</v>
      </c>
      <c r="H14991" s="2" t="s">
        <v>57714</v>
      </c>
      <c r="I14991" s="2" t="s">
        <v>57715</v>
      </c>
      <c r="K14991" s="2" t="s">
        <v>2317</v>
      </c>
      <c r="L14991" s="2" t="s">
        <v>157</v>
      </c>
      <c r="M14991" s="2">
        <v>80501.0</v>
      </c>
      <c r="N14991" s="2" t="s">
        <v>21</v>
      </c>
    </row>
    <row r="14992" ht="15.75" customHeight="1">
      <c r="A14992" s="2">
        <v>2021.0</v>
      </c>
      <c r="B14992" s="2" t="s">
        <v>24308</v>
      </c>
      <c r="C14992" s="2" t="s">
        <v>57716</v>
      </c>
      <c r="D14992" s="2" t="str">
        <f>"8173958339"</f>
        <v>8173958339</v>
      </c>
      <c r="E14992" s="2" t="s">
        <v>1725</v>
      </c>
      <c r="F14992" s="2" t="s">
        <v>24310</v>
      </c>
      <c r="G14992" s="2" t="str">
        <f>"SR-21806"</f>
        <v>SR-21806</v>
      </c>
      <c r="H14992" s="2" t="s">
        <v>57717</v>
      </c>
      <c r="I14992" s="2" t="s">
        <v>57718</v>
      </c>
      <c r="K14992" s="2" t="s">
        <v>6017</v>
      </c>
      <c r="L14992" s="2" t="s">
        <v>172</v>
      </c>
      <c r="M14992" s="2">
        <v>76008.0</v>
      </c>
      <c r="N14992" s="2" t="s">
        <v>21</v>
      </c>
    </row>
    <row r="14993" ht="15.75" customHeight="1">
      <c r="A14993" s="2">
        <v>2021.0</v>
      </c>
      <c r="B14993" s="2" t="s">
        <v>57719</v>
      </c>
      <c r="C14993" s="2" t="s">
        <v>57719</v>
      </c>
      <c r="D14993" s="2" t="str">
        <f>"7194934307"</f>
        <v>7194934307</v>
      </c>
      <c r="E14993" s="2" t="s">
        <v>57720</v>
      </c>
      <c r="F14993" s="2" t="s">
        <v>57721</v>
      </c>
      <c r="G14993" s="2" t="str">
        <f>"SR-21810"</f>
        <v>SR-21810</v>
      </c>
      <c r="H14993" s="2" t="s">
        <v>57722</v>
      </c>
      <c r="I14993" s="2" t="s">
        <v>57723</v>
      </c>
      <c r="K14993" s="2" t="s">
        <v>2317</v>
      </c>
      <c r="L14993" s="2" t="s">
        <v>157</v>
      </c>
      <c r="M14993" s="2">
        <v>80501.0</v>
      </c>
      <c r="N14993" s="2" t="s">
        <v>21</v>
      </c>
    </row>
    <row r="14994" ht="15.75" customHeight="1">
      <c r="A14994" s="2">
        <v>2021.0</v>
      </c>
      <c r="B14994" s="2" t="s">
        <v>57724</v>
      </c>
      <c r="C14994" s="2" t="s">
        <v>57725</v>
      </c>
      <c r="D14994" s="2" t="str">
        <f>"8603878240"</f>
        <v>8603878240</v>
      </c>
      <c r="E14994" s="2" t="s">
        <v>7476</v>
      </c>
      <c r="F14994" s="2" t="s">
        <v>39613</v>
      </c>
      <c r="G14994" s="2" t="str">
        <f>"SR-21812"</f>
        <v>SR-21812</v>
      </c>
      <c r="H14994" s="2" t="s">
        <v>57726</v>
      </c>
      <c r="I14994" s="2" t="s">
        <v>57727</v>
      </c>
      <c r="K14994" s="2" t="s">
        <v>39616</v>
      </c>
      <c r="L14994" s="2" t="s">
        <v>4836</v>
      </c>
      <c r="M14994" s="2">
        <v>6791.0</v>
      </c>
      <c r="N14994" s="2" t="s">
        <v>21</v>
      </c>
    </row>
    <row r="14995" ht="15.75" customHeight="1">
      <c r="A14995" s="2">
        <v>2021.0</v>
      </c>
      <c r="B14995" s="2" t="s">
        <v>52631</v>
      </c>
      <c r="C14995" s="2" t="s">
        <v>52631</v>
      </c>
      <c r="D14995" s="2" t="str">
        <f>"360-581-3027"</f>
        <v>360-581-3027</v>
      </c>
      <c r="E14995" s="2" t="s">
        <v>261</v>
      </c>
      <c r="F14995" s="2" t="s">
        <v>52632</v>
      </c>
      <c r="G14995" s="2" t="str">
        <f>"SR-17760"</f>
        <v>SR-17760</v>
      </c>
      <c r="H14995" s="2" t="s">
        <v>52633</v>
      </c>
      <c r="I14995" s="2" t="s">
        <v>52634</v>
      </c>
      <c r="K14995" s="2" t="s">
        <v>16552</v>
      </c>
      <c r="L14995" s="2" t="s">
        <v>86</v>
      </c>
      <c r="M14995" s="2">
        <v>98520.0</v>
      </c>
      <c r="N14995" s="2" t="s">
        <v>21</v>
      </c>
    </row>
    <row r="14996" ht="15.75" customHeight="1">
      <c r="A14996" s="2">
        <v>2021.0</v>
      </c>
      <c r="B14996" s="2" t="s">
        <v>57728</v>
      </c>
      <c r="C14996" s="2" t="s">
        <v>57729</v>
      </c>
      <c r="D14996" s="2" t="str">
        <f>"8647109742"</f>
        <v>8647109742</v>
      </c>
      <c r="E14996" s="2" t="s">
        <v>6121</v>
      </c>
      <c r="F14996" s="2" t="s">
        <v>7508</v>
      </c>
      <c r="G14996" s="2" t="str">
        <f>"SR-21687"</f>
        <v>SR-21687</v>
      </c>
      <c r="H14996" s="2" t="s">
        <v>57730</v>
      </c>
      <c r="I14996" s="2" t="s">
        <v>57731</v>
      </c>
      <c r="K14996" s="2" t="s">
        <v>6915</v>
      </c>
      <c r="L14996" s="2" t="s">
        <v>55</v>
      </c>
      <c r="M14996" s="2">
        <v>29693.0</v>
      </c>
      <c r="N14996" s="2" t="s">
        <v>21</v>
      </c>
    </row>
    <row r="14997" ht="15.75" customHeight="1">
      <c r="A14997" s="2">
        <v>2021.0</v>
      </c>
      <c r="B14997" s="2" t="s">
        <v>57732</v>
      </c>
      <c r="C14997" s="2" t="s">
        <v>57732</v>
      </c>
      <c r="D14997" s="2" t="str">
        <f>"864-973-1706"</f>
        <v>864-973-1706</v>
      </c>
      <c r="E14997" s="2" t="s">
        <v>239</v>
      </c>
      <c r="F14997" s="2" t="s">
        <v>7508</v>
      </c>
      <c r="G14997" s="2" t="str">
        <f>"SR-21753"</f>
        <v>SR-21753</v>
      </c>
      <c r="H14997" s="2" t="s">
        <v>57733</v>
      </c>
      <c r="I14997" s="2" t="s">
        <v>57734</v>
      </c>
      <c r="K14997" s="2" t="s">
        <v>6915</v>
      </c>
      <c r="L14997" s="2" t="s">
        <v>55</v>
      </c>
      <c r="M14997" s="2">
        <v>29693.0</v>
      </c>
      <c r="N14997" s="2" t="s">
        <v>21</v>
      </c>
    </row>
    <row r="14998" ht="15.75" customHeight="1">
      <c r="A14998" s="2">
        <v>2021.0</v>
      </c>
      <c r="B14998" s="2" t="s">
        <v>52848</v>
      </c>
      <c r="C14998" s="2" t="s">
        <v>52899</v>
      </c>
      <c r="D14998" s="2" t="str">
        <f>"9703444484"</f>
        <v>9703444484</v>
      </c>
      <c r="E14998" s="2" t="s">
        <v>282</v>
      </c>
      <c r="F14998" s="2" t="s">
        <v>15549</v>
      </c>
      <c r="G14998" s="2" t="str">
        <f>"SR-18862"</f>
        <v>SR-18862</v>
      </c>
      <c r="H14998" s="2" t="s">
        <v>52900</v>
      </c>
      <c r="I14998" s="2" t="s">
        <v>52852</v>
      </c>
      <c r="K14998" s="2" t="s">
        <v>1048</v>
      </c>
      <c r="L14998" s="2" t="s">
        <v>157</v>
      </c>
      <c r="M14998" s="2">
        <v>80538.0</v>
      </c>
      <c r="N14998" s="2" t="s">
        <v>21</v>
      </c>
    </row>
    <row r="14999" ht="15.75" customHeight="1">
      <c r="A14999" s="2">
        <v>2021.0</v>
      </c>
      <c r="B14999" s="2" t="s">
        <v>57735</v>
      </c>
      <c r="C14999" s="2" t="s">
        <v>57736</v>
      </c>
      <c r="D14999" s="2" t="str">
        <f>"8706137810"</f>
        <v>8706137810</v>
      </c>
      <c r="E14999" s="2" t="s">
        <v>1076</v>
      </c>
      <c r="F14999" s="2" t="s">
        <v>417</v>
      </c>
      <c r="G14999" s="2" t="str">
        <f>"SR-21815"</f>
        <v>SR-21815</v>
      </c>
      <c r="H14999" s="2" t="s">
        <v>57737</v>
      </c>
      <c r="I14999" s="2" t="s">
        <v>57738</v>
      </c>
      <c r="K14999" s="2" t="s">
        <v>31301</v>
      </c>
      <c r="L14999" s="2" t="s">
        <v>214</v>
      </c>
      <c r="M14999" s="2">
        <v>65775.0</v>
      </c>
      <c r="N14999" s="2" t="s">
        <v>21</v>
      </c>
    </row>
    <row r="15000" ht="15.75" customHeight="1">
      <c r="A15000" s="2">
        <v>2021.0</v>
      </c>
      <c r="B15000" s="2" t="s">
        <v>57739</v>
      </c>
      <c r="C15000" s="2" t="s">
        <v>57739</v>
      </c>
      <c r="D15000" s="2" t="str">
        <f>"417-372-3721"</f>
        <v>417-372-3721</v>
      </c>
      <c r="E15000" s="2" t="s">
        <v>2259</v>
      </c>
      <c r="F15000" s="2" t="s">
        <v>57740</v>
      </c>
      <c r="G15000" s="2" t="str">
        <f>"SR-21816"</f>
        <v>SR-21816</v>
      </c>
      <c r="H15000" s="2" t="s">
        <v>57741</v>
      </c>
      <c r="I15000" s="2" t="s">
        <v>57742</v>
      </c>
      <c r="K15000" s="2" t="s">
        <v>229</v>
      </c>
      <c r="L15000" s="2" t="s">
        <v>214</v>
      </c>
      <c r="M15000" s="2">
        <v>65775.0</v>
      </c>
      <c r="N15000" s="2" t="s">
        <v>21</v>
      </c>
    </row>
    <row r="15001" ht="15.75" customHeight="1">
      <c r="A15001" s="2">
        <v>2021.0</v>
      </c>
      <c r="B15001" s="2" t="s">
        <v>53272</v>
      </c>
      <c r="C15001" s="2" t="s">
        <v>53272</v>
      </c>
      <c r="D15001" s="2" t="str">
        <f>"(734) 262-4085"</f>
        <v>(734) 262-4085</v>
      </c>
      <c r="E15001" s="2" t="s">
        <v>137</v>
      </c>
      <c r="F15001" s="2" t="s">
        <v>53273</v>
      </c>
      <c r="G15001" s="2" t="str">
        <f>"SR-19104"</f>
        <v>SR-19104</v>
      </c>
      <c r="H15001" s="2" t="s">
        <v>53274</v>
      </c>
      <c r="I15001" s="2" t="s">
        <v>53275</v>
      </c>
      <c r="K15001" s="2" t="s">
        <v>14210</v>
      </c>
      <c r="L15001" s="2" t="s">
        <v>29</v>
      </c>
      <c r="M15001" s="2">
        <v>49198.0</v>
      </c>
      <c r="N15001" s="2" t="s">
        <v>21</v>
      </c>
    </row>
    <row r="15002" ht="15.75" customHeight="1">
      <c r="A15002" s="2">
        <v>2021.0</v>
      </c>
      <c r="B15002" s="2" t="s">
        <v>57743</v>
      </c>
      <c r="C15002" s="2" t="s">
        <v>57743</v>
      </c>
      <c r="D15002" s="2" t="str">
        <f>"210-419-2284"</f>
        <v>210-419-2284</v>
      </c>
      <c r="E15002" s="2" t="s">
        <v>72</v>
      </c>
      <c r="F15002" s="2" t="s">
        <v>850</v>
      </c>
      <c r="G15002" s="2" t="str">
        <f>"SR-21631"</f>
        <v>SR-21631</v>
      </c>
      <c r="H15002" s="2" t="s">
        <v>57744</v>
      </c>
      <c r="I15002" s="2" t="s">
        <v>57745</v>
      </c>
      <c r="K15002" s="2" t="s">
        <v>57746</v>
      </c>
      <c r="L15002" s="2" t="s">
        <v>172</v>
      </c>
      <c r="M15002" s="2">
        <v>78065.0</v>
      </c>
      <c r="N15002" s="2" t="s">
        <v>21</v>
      </c>
    </row>
    <row r="15003" ht="15.75" customHeight="1">
      <c r="A15003" s="2">
        <v>2021.0</v>
      </c>
      <c r="B15003" s="2" t="s">
        <v>57747</v>
      </c>
      <c r="C15003" s="2" t="s">
        <v>57748</v>
      </c>
      <c r="D15003" s="2" t="str">
        <f>"8134407620"</f>
        <v>8134407620</v>
      </c>
      <c r="E15003" s="2" t="s">
        <v>511</v>
      </c>
      <c r="F15003" s="2" t="s">
        <v>4507</v>
      </c>
      <c r="G15003" s="2" t="str">
        <f>"SR-21822"</f>
        <v>SR-21822</v>
      </c>
      <c r="H15003" s="2" t="s">
        <v>57749</v>
      </c>
      <c r="I15003" s="2" t="s">
        <v>57750</v>
      </c>
      <c r="K15003" s="2" t="s">
        <v>6658</v>
      </c>
      <c r="L15003" s="2" t="s">
        <v>20</v>
      </c>
      <c r="M15003" s="2">
        <v>28027.0</v>
      </c>
      <c r="N15003" s="2" t="s">
        <v>21</v>
      </c>
    </row>
    <row r="15004" ht="15.75" customHeight="1">
      <c r="A15004" s="2">
        <v>2021.0</v>
      </c>
      <c r="B15004" s="2" t="s">
        <v>47959</v>
      </c>
      <c r="C15004" s="2" t="s">
        <v>57751</v>
      </c>
      <c r="D15004" s="2" t="str">
        <f>"4052307931"</f>
        <v>4052307931</v>
      </c>
      <c r="E15004" s="2" t="s">
        <v>16852</v>
      </c>
      <c r="F15004" s="2" t="s">
        <v>23486</v>
      </c>
      <c r="G15004" s="2" t="str">
        <f>"SR-21819"</f>
        <v>SR-21819</v>
      </c>
      <c r="H15004" s="2" t="s">
        <v>57752</v>
      </c>
      <c r="I15004" s="2" t="s">
        <v>57753</v>
      </c>
      <c r="K15004" s="2" t="s">
        <v>13776</v>
      </c>
      <c r="L15004" s="2" t="s">
        <v>840</v>
      </c>
      <c r="M15004" s="2">
        <v>73044.0</v>
      </c>
      <c r="N15004" s="2" t="s">
        <v>21</v>
      </c>
    </row>
    <row r="15005" ht="15.75" customHeight="1">
      <c r="A15005" s="2">
        <v>2021.0</v>
      </c>
      <c r="B15005" s="2" t="s">
        <v>57754</v>
      </c>
      <c r="C15005" s="2" t="s">
        <v>57755</v>
      </c>
      <c r="D15005" s="2" t="str">
        <f>"9729009522"</f>
        <v>9729009522</v>
      </c>
      <c r="E15005" s="2" t="s">
        <v>57756</v>
      </c>
      <c r="F15005" s="2" t="s">
        <v>44754</v>
      </c>
      <c r="G15005" s="2" t="str">
        <f>"SR-21825"</f>
        <v>SR-21825</v>
      </c>
      <c r="H15005" s="2" t="s">
        <v>57757</v>
      </c>
      <c r="I15005" s="2" t="s">
        <v>57758</v>
      </c>
      <c r="K15005" s="2" t="s">
        <v>44158</v>
      </c>
      <c r="L15005" s="2" t="s">
        <v>172</v>
      </c>
      <c r="M15005" s="2">
        <v>75019.0</v>
      </c>
      <c r="N15005" s="2" t="s">
        <v>21</v>
      </c>
    </row>
    <row r="15006" ht="15.75" customHeight="1">
      <c r="A15006" s="2">
        <v>2021.0</v>
      </c>
      <c r="B15006" s="2" t="s">
        <v>47606</v>
      </c>
      <c r="C15006" s="2" t="s">
        <v>47607</v>
      </c>
      <c r="D15006" s="2" t="str">
        <f>"2104599115"</f>
        <v>2104599115</v>
      </c>
      <c r="E15006" s="2" t="s">
        <v>160</v>
      </c>
      <c r="F15006" s="2" t="s">
        <v>13995</v>
      </c>
      <c r="G15006" s="2" t="str">
        <f>"SR-16696"</f>
        <v>SR-16696</v>
      </c>
      <c r="H15006" s="2" t="s">
        <v>47608</v>
      </c>
      <c r="I15006" s="2" t="s">
        <v>47609</v>
      </c>
      <c r="K15006" s="2" t="s">
        <v>632</v>
      </c>
      <c r="L15006" s="2" t="s">
        <v>172</v>
      </c>
      <c r="M15006" s="2">
        <v>78258.0</v>
      </c>
      <c r="N15006" s="2" t="s">
        <v>21</v>
      </c>
    </row>
    <row r="15007" ht="15.75" customHeight="1">
      <c r="A15007" s="2">
        <v>2021.0</v>
      </c>
      <c r="B15007" s="2" t="s">
        <v>49627</v>
      </c>
      <c r="C15007" s="2" t="s">
        <v>49628</v>
      </c>
      <c r="D15007" s="2" t="str">
        <f>"+1 (470) 808-9064"</f>
        <v>+1 (470) 808-9064</v>
      </c>
      <c r="E15007" s="2" t="s">
        <v>3196</v>
      </c>
      <c r="F15007" s="2" t="s">
        <v>4171</v>
      </c>
      <c r="G15007" s="2" t="str">
        <f>"SR-17730"</f>
        <v>SR-17730</v>
      </c>
      <c r="H15007" s="2" t="s">
        <v>49629</v>
      </c>
      <c r="I15007" s="2" t="s">
        <v>49630</v>
      </c>
      <c r="K15007" s="2" t="s">
        <v>16743</v>
      </c>
      <c r="L15007" s="2" t="s">
        <v>200</v>
      </c>
      <c r="M15007" s="2">
        <v>30040.0</v>
      </c>
      <c r="N15007" s="2" t="s">
        <v>21</v>
      </c>
    </row>
    <row r="15008" ht="15.75" customHeight="1">
      <c r="A15008" s="2">
        <v>2021.0</v>
      </c>
      <c r="B15008" s="2" t="s">
        <v>57759</v>
      </c>
      <c r="C15008" s="2" t="s">
        <v>57759</v>
      </c>
      <c r="D15008" s="2" t="str">
        <f>"2603183727"</f>
        <v>2603183727</v>
      </c>
      <c r="E15008" s="2" t="s">
        <v>12555</v>
      </c>
      <c r="F15008" s="2" t="s">
        <v>16668</v>
      </c>
      <c r="G15008" s="2" t="str">
        <f>"SR-21826"</f>
        <v>SR-21826</v>
      </c>
      <c r="H15008" s="2" t="s">
        <v>57760</v>
      </c>
      <c r="I15008" s="2" t="s">
        <v>57761</v>
      </c>
      <c r="K15008" s="2" t="s">
        <v>18868</v>
      </c>
      <c r="L15008" s="2" t="s">
        <v>149</v>
      </c>
      <c r="M15008" s="2">
        <v>46755.0</v>
      </c>
      <c r="N15008" s="2" t="s">
        <v>21</v>
      </c>
    </row>
    <row r="15009" ht="15.75" customHeight="1">
      <c r="A15009" s="2">
        <v>2021.0</v>
      </c>
      <c r="B15009" s="2" t="s">
        <v>57762</v>
      </c>
      <c r="C15009" s="2" t="s">
        <v>57763</v>
      </c>
      <c r="D15009" s="2" t="str">
        <f>"7635873613"</f>
        <v>7635873613</v>
      </c>
      <c r="E15009" s="2" t="s">
        <v>57764</v>
      </c>
      <c r="F15009" s="2" t="s">
        <v>89</v>
      </c>
      <c r="G15009" s="2" t="str">
        <f>"SR-21828"</f>
        <v>SR-21828</v>
      </c>
      <c r="H15009" s="2" t="s">
        <v>57765</v>
      </c>
      <c r="I15009" s="2" t="s">
        <v>57766</v>
      </c>
      <c r="K15009" s="2" t="s">
        <v>8609</v>
      </c>
      <c r="L15009" s="2" t="s">
        <v>62</v>
      </c>
      <c r="M15009" s="2">
        <v>55369.0</v>
      </c>
      <c r="N15009" s="2" t="s">
        <v>21</v>
      </c>
    </row>
    <row r="15010" ht="15.75" customHeight="1">
      <c r="A15010" s="2">
        <v>2021.0</v>
      </c>
      <c r="B15010" s="2" t="s">
        <v>57767</v>
      </c>
      <c r="C15010" s="2" t="s">
        <v>57768</v>
      </c>
      <c r="D15010" s="2" t="str">
        <f>"7075145045"</f>
        <v>7075145045</v>
      </c>
      <c r="E15010" s="2" t="s">
        <v>1088</v>
      </c>
      <c r="F15010" s="2" t="s">
        <v>17780</v>
      </c>
      <c r="G15010" s="2" t="str">
        <f>"SR-21772"</f>
        <v>SR-21772</v>
      </c>
      <c r="H15010" s="2" t="s">
        <v>57769</v>
      </c>
      <c r="I15010" s="2" t="s">
        <v>57770</v>
      </c>
      <c r="K15010" s="2" t="s">
        <v>57771</v>
      </c>
      <c r="L15010" s="2" t="s">
        <v>172</v>
      </c>
      <c r="M15010" s="2">
        <v>78877.0</v>
      </c>
      <c r="N15010" s="2" t="s">
        <v>21</v>
      </c>
    </row>
    <row r="15011" ht="15.75" customHeight="1">
      <c r="A15011" s="2">
        <v>2021.0</v>
      </c>
      <c r="B15011" s="2" t="s">
        <v>57767</v>
      </c>
      <c r="C15011" s="2" t="s">
        <v>57772</v>
      </c>
      <c r="D15011" s="2" t="str">
        <f>"830-213-5027"</f>
        <v>830-213-5027</v>
      </c>
      <c r="E15011" s="2" t="s">
        <v>824</v>
      </c>
      <c r="F15011" s="2" t="s">
        <v>17780</v>
      </c>
      <c r="G15011" s="2" t="str">
        <f>"SR-21830"</f>
        <v>SR-21830</v>
      </c>
      <c r="H15011" s="2" t="s">
        <v>57773</v>
      </c>
      <c r="I15011" s="2" t="s">
        <v>57770</v>
      </c>
      <c r="K15011" s="2" t="s">
        <v>57774</v>
      </c>
      <c r="L15011" s="2" t="s">
        <v>172</v>
      </c>
      <c r="M15011" s="2">
        <v>78877.0</v>
      </c>
      <c r="N15011" s="2" t="s">
        <v>21</v>
      </c>
    </row>
    <row r="15012" ht="15.75" customHeight="1">
      <c r="A15012" s="2">
        <v>2021.0</v>
      </c>
      <c r="B15012" s="2" t="s">
        <v>57775</v>
      </c>
      <c r="C15012" s="2" t="s">
        <v>57776</v>
      </c>
      <c r="D15012" s="2" t="str">
        <f>"763-312-6407"</f>
        <v>763-312-6407</v>
      </c>
      <c r="E15012" s="2" t="s">
        <v>1548</v>
      </c>
      <c r="F15012" s="2" t="s">
        <v>320</v>
      </c>
      <c r="G15012" s="2" t="str">
        <f>"SR-21827"</f>
        <v>SR-21827</v>
      </c>
      <c r="H15012" s="2" t="s">
        <v>32807</v>
      </c>
      <c r="I15012" s="2" t="s">
        <v>57777</v>
      </c>
      <c r="K15012" s="2" t="s">
        <v>1765</v>
      </c>
      <c r="L15012" s="2" t="s">
        <v>62</v>
      </c>
      <c r="M15012" s="2">
        <v>55378.0</v>
      </c>
      <c r="N15012" s="2" t="s">
        <v>21</v>
      </c>
    </row>
    <row r="15013" ht="15.75" customHeight="1">
      <c r="A15013" s="2">
        <v>2021.0</v>
      </c>
      <c r="B15013" s="2" t="s">
        <v>52953</v>
      </c>
      <c r="C15013" s="2" t="s">
        <v>52954</v>
      </c>
      <c r="D15013" s="2" t="str">
        <f>"253-303-1523"</f>
        <v>253-303-1523</v>
      </c>
      <c r="E15013" s="2" t="s">
        <v>534</v>
      </c>
      <c r="F15013" s="2" t="s">
        <v>52955</v>
      </c>
      <c r="G15013" s="2" t="str">
        <f>"SR-18908"</f>
        <v>SR-18908</v>
      </c>
      <c r="H15013" s="2" t="s">
        <v>52956</v>
      </c>
      <c r="I15013" s="2" t="s">
        <v>52957</v>
      </c>
      <c r="K15013" s="2" t="s">
        <v>14632</v>
      </c>
      <c r="L15013" s="2" t="s">
        <v>86</v>
      </c>
      <c r="M15013" s="2">
        <v>98466.0</v>
      </c>
      <c r="N15013" s="2" t="s">
        <v>21</v>
      </c>
    </row>
    <row r="15014" ht="15.75" customHeight="1">
      <c r="A15014" s="2">
        <v>2021.0</v>
      </c>
      <c r="B15014" s="2" t="s">
        <v>27573</v>
      </c>
      <c r="C15014" s="2" t="s">
        <v>52978</v>
      </c>
      <c r="D15014" s="2" t="str">
        <f>"3135502786"</f>
        <v>3135502786</v>
      </c>
      <c r="E15014" s="2" t="s">
        <v>100</v>
      </c>
      <c r="F15014" s="2" t="s">
        <v>718</v>
      </c>
      <c r="G15014" s="2" t="str">
        <f>"SR-18924"</f>
        <v>SR-18924</v>
      </c>
      <c r="H15014" s="2" t="s">
        <v>52979</v>
      </c>
      <c r="I15014" s="2" t="s">
        <v>52980</v>
      </c>
      <c r="K15014" s="2" t="s">
        <v>52981</v>
      </c>
      <c r="L15014" s="2" t="s">
        <v>29</v>
      </c>
      <c r="M15014" s="2">
        <v>48240.0</v>
      </c>
      <c r="N15014" s="2" t="s">
        <v>21</v>
      </c>
    </row>
    <row r="15015" ht="15.75" customHeight="1">
      <c r="A15015" s="2">
        <v>2021.0</v>
      </c>
      <c r="B15015" s="2" t="s">
        <v>27573</v>
      </c>
      <c r="C15015" s="2" t="s">
        <v>57778</v>
      </c>
      <c r="D15015" s="2" t="str">
        <f>"3135306645"</f>
        <v>3135306645</v>
      </c>
      <c r="E15015" s="2" t="s">
        <v>15247</v>
      </c>
      <c r="F15015" s="2" t="s">
        <v>718</v>
      </c>
      <c r="G15015" s="2" t="str">
        <f>"SR-21833"</f>
        <v>SR-21833</v>
      </c>
      <c r="H15015" s="2" t="s">
        <v>57779</v>
      </c>
      <c r="I15015" s="2" t="s">
        <v>52980</v>
      </c>
      <c r="K15015" s="2" t="s">
        <v>52981</v>
      </c>
      <c r="L15015" s="2" t="s">
        <v>29</v>
      </c>
      <c r="M15015" s="2">
        <v>48240.0</v>
      </c>
      <c r="N15015" s="2" t="s">
        <v>21</v>
      </c>
    </row>
    <row r="15016" ht="15.75" customHeight="1">
      <c r="A15016" s="2">
        <v>2021.0</v>
      </c>
      <c r="B15016" s="2" t="s">
        <v>3224</v>
      </c>
      <c r="C15016" s="2" t="s">
        <v>57780</v>
      </c>
      <c r="D15016" s="2" t="str">
        <f>"513-282-9776"</f>
        <v>513-282-9776</v>
      </c>
      <c r="E15016" s="2" t="s">
        <v>27752</v>
      </c>
      <c r="F15016" s="2" t="s">
        <v>3226</v>
      </c>
      <c r="G15016" s="2" t="str">
        <f>"SR-21836"</f>
        <v>SR-21836</v>
      </c>
      <c r="H15016" s="2" t="s">
        <v>57781</v>
      </c>
      <c r="I15016" s="2" t="s">
        <v>18474</v>
      </c>
      <c r="K15016" s="2" t="s">
        <v>3229</v>
      </c>
      <c r="L15016" s="2" t="s">
        <v>344</v>
      </c>
      <c r="M15016" s="2">
        <v>45036.0</v>
      </c>
      <c r="N15016" s="2" t="s">
        <v>21</v>
      </c>
    </row>
    <row r="15017" ht="15.75" customHeight="1">
      <c r="A15017" s="2">
        <v>2021.0</v>
      </c>
      <c r="B15017" s="2" t="s">
        <v>57782</v>
      </c>
      <c r="C15017" s="2" t="s">
        <v>57782</v>
      </c>
      <c r="D15017" s="2" t="str">
        <f>"(319) 412-6105"</f>
        <v>(319) 412-6105</v>
      </c>
      <c r="E15017" s="2" t="s">
        <v>678</v>
      </c>
      <c r="F15017" s="2" t="s">
        <v>57783</v>
      </c>
      <c r="G15017" s="2" t="str">
        <f>"SR-21834"</f>
        <v>SR-21834</v>
      </c>
      <c r="H15017" s="2" t="s">
        <v>57784</v>
      </c>
      <c r="I15017" s="2" t="s">
        <v>57785</v>
      </c>
      <c r="K15017" s="2" t="s">
        <v>3273</v>
      </c>
      <c r="L15017" s="2" t="s">
        <v>560</v>
      </c>
      <c r="M15017" s="2">
        <v>52402.0</v>
      </c>
      <c r="N15017" s="2" t="s">
        <v>21</v>
      </c>
    </row>
    <row r="15018" ht="15.75" customHeight="1">
      <c r="A15018" s="2">
        <v>2021.0</v>
      </c>
      <c r="B15018" s="2" t="s">
        <v>57786</v>
      </c>
      <c r="C15018" s="2" t="s">
        <v>49855</v>
      </c>
      <c r="D15018" s="2" t="str">
        <f>"346-368-4138"</f>
        <v>346-368-4138</v>
      </c>
      <c r="E15018" s="2" t="s">
        <v>339</v>
      </c>
      <c r="F15018" s="2" t="s">
        <v>24969</v>
      </c>
      <c r="G15018" s="2" t="str">
        <f>"SR-21837"</f>
        <v>SR-21837</v>
      </c>
      <c r="H15018" s="2" t="s">
        <v>49856</v>
      </c>
      <c r="I15018" s="2" t="s">
        <v>24971</v>
      </c>
      <c r="K15018" s="2" t="s">
        <v>2182</v>
      </c>
      <c r="L15018" s="2" t="s">
        <v>172</v>
      </c>
      <c r="M15018" s="2">
        <v>77479.0</v>
      </c>
      <c r="N15018" s="2" t="s">
        <v>21</v>
      </c>
    </row>
    <row r="15019" ht="15.75" customHeight="1">
      <c r="A15019" s="2">
        <v>2021.0</v>
      </c>
      <c r="B15019" s="2" t="s">
        <v>57787</v>
      </c>
      <c r="C15019" s="2" t="s">
        <v>57788</v>
      </c>
      <c r="D15019" s="2" t="str">
        <f>"4243104636"</f>
        <v>4243104636</v>
      </c>
      <c r="E15019" s="2" t="s">
        <v>225</v>
      </c>
      <c r="F15019" s="2" t="s">
        <v>57789</v>
      </c>
      <c r="G15019" s="2" t="str">
        <f>"SR-18748"</f>
        <v>SR-18748</v>
      </c>
      <c r="H15019" s="2" t="s">
        <v>57790</v>
      </c>
      <c r="I15019" s="2" t="s">
        <v>57791</v>
      </c>
      <c r="K15019" s="2" t="s">
        <v>5955</v>
      </c>
      <c r="L15019" s="2" t="s">
        <v>222</v>
      </c>
      <c r="M15019" s="2">
        <v>90505.0</v>
      </c>
      <c r="N15019" s="2" t="s">
        <v>21</v>
      </c>
    </row>
    <row r="15020" ht="15.75" customHeight="1">
      <c r="A15020" s="2">
        <v>2021.0</v>
      </c>
      <c r="B15020" s="2" t="s">
        <v>57792</v>
      </c>
      <c r="C15020" s="2" t="s">
        <v>57793</v>
      </c>
      <c r="D15020" s="2" t="str">
        <f>"402-710-6940"</f>
        <v>402-710-6940</v>
      </c>
      <c r="E15020" s="2" t="s">
        <v>57794</v>
      </c>
      <c r="F15020" s="2" t="s">
        <v>10090</v>
      </c>
      <c r="G15020" s="2" t="str">
        <f>"SR-21839"</f>
        <v>SR-21839</v>
      </c>
      <c r="H15020" s="2" t="s">
        <v>57795</v>
      </c>
      <c r="I15020" s="2" t="s">
        <v>57796</v>
      </c>
      <c r="K15020" s="2" t="s">
        <v>16541</v>
      </c>
      <c r="L15020" s="2" t="s">
        <v>757</v>
      </c>
      <c r="M15020" s="2">
        <v>68467.0</v>
      </c>
      <c r="N15020" s="2" t="s">
        <v>21</v>
      </c>
    </row>
    <row r="15021" ht="15.75" customHeight="1">
      <c r="A15021" s="2">
        <v>2021.0</v>
      </c>
      <c r="B15021" s="2" t="s">
        <v>53261</v>
      </c>
      <c r="C15021" s="2" t="s">
        <v>53261</v>
      </c>
      <c r="D15021" s="2" t="str">
        <f>"3184910150"</f>
        <v>3184910150</v>
      </c>
      <c r="E15021" s="2" t="s">
        <v>9010</v>
      </c>
      <c r="F15021" s="2" t="s">
        <v>53262</v>
      </c>
      <c r="G15021" s="2" t="str">
        <f>"SR-19101"</f>
        <v>SR-19101</v>
      </c>
      <c r="H15021" s="2" t="s">
        <v>53263</v>
      </c>
      <c r="I15021" s="2" t="s">
        <v>53264</v>
      </c>
      <c r="K15021" s="2" t="s">
        <v>3037</v>
      </c>
      <c r="L15021" s="2" t="s">
        <v>715</v>
      </c>
      <c r="M15021" s="2">
        <v>70644.0</v>
      </c>
      <c r="N15021" s="2" t="s">
        <v>21</v>
      </c>
    </row>
    <row r="15022" ht="15.75" customHeight="1">
      <c r="A15022" s="2">
        <v>2021.0</v>
      </c>
      <c r="B15022" s="2" t="s">
        <v>57797</v>
      </c>
      <c r="C15022" s="2" t="s">
        <v>57798</v>
      </c>
      <c r="D15022" s="2" t="str">
        <f>"918-313-6976"</f>
        <v>918-313-6976</v>
      </c>
      <c r="E15022" s="2" t="s">
        <v>2053</v>
      </c>
      <c r="F15022" s="2" t="s">
        <v>5637</v>
      </c>
      <c r="G15022" s="2" t="str">
        <f>"SR-21840"</f>
        <v>SR-21840</v>
      </c>
      <c r="H15022" s="2" t="s">
        <v>57799</v>
      </c>
      <c r="I15022" s="2" t="s">
        <v>57800</v>
      </c>
      <c r="K15022" s="2" t="s">
        <v>20517</v>
      </c>
      <c r="L15022" s="2" t="s">
        <v>840</v>
      </c>
      <c r="M15022" s="2">
        <v>74107.0</v>
      </c>
      <c r="N15022" s="2" t="s">
        <v>21</v>
      </c>
    </row>
    <row r="15023" ht="15.75" customHeight="1">
      <c r="A15023" s="2">
        <v>2021.0</v>
      </c>
      <c r="B15023" s="2" t="s">
        <v>26271</v>
      </c>
      <c r="C15023" s="2" t="s">
        <v>26271</v>
      </c>
      <c r="D15023" s="2" t="str">
        <f>"7157021892"</f>
        <v>7157021892</v>
      </c>
      <c r="E15023" s="2" t="s">
        <v>21985</v>
      </c>
      <c r="F15023" s="2" t="s">
        <v>1451</v>
      </c>
      <c r="G15023" s="2" t="str">
        <f>"SR-21841"</f>
        <v>SR-21841</v>
      </c>
      <c r="H15023" s="2" t="s">
        <v>57801</v>
      </c>
      <c r="I15023" s="2" t="s">
        <v>26274</v>
      </c>
      <c r="K15023" s="2" t="s">
        <v>26275</v>
      </c>
      <c r="L15023" s="2" t="s">
        <v>193</v>
      </c>
      <c r="M15023" s="2">
        <v>54725.0</v>
      </c>
      <c r="N15023" s="2" t="s">
        <v>21</v>
      </c>
    </row>
    <row r="15024" ht="15.75" customHeight="1">
      <c r="A15024" s="2">
        <v>2021.0</v>
      </c>
      <c r="B15024" s="2" t="s">
        <v>57802</v>
      </c>
      <c r="C15024" s="2" t="s">
        <v>57803</v>
      </c>
      <c r="D15024" s="2" t="str">
        <f>"613-395-1816"</f>
        <v>613-395-1816</v>
      </c>
      <c r="E15024" s="2" t="s">
        <v>25253</v>
      </c>
      <c r="F15024" s="2" t="s">
        <v>57804</v>
      </c>
      <c r="G15024" s="2" t="str">
        <f>"SR-21149"</f>
        <v>SR-21149</v>
      </c>
      <c r="H15024" s="2" t="s">
        <v>57805</v>
      </c>
      <c r="I15024" s="2" t="s">
        <v>57806</v>
      </c>
      <c r="K15024" s="2" t="s">
        <v>57807</v>
      </c>
      <c r="L15024" s="2" t="s">
        <v>2022</v>
      </c>
      <c r="M15024" s="2" t="s">
        <v>57808</v>
      </c>
      <c r="N15024" s="2" t="s">
        <v>1602</v>
      </c>
    </row>
    <row r="15025" ht="15.75" customHeight="1">
      <c r="A15025" s="2">
        <v>2021.0</v>
      </c>
      <c r="B15025" s="2" t="s">
        <v>57809</v>
      </c>
      <c r="C15025" s="2" t="s">
        <v>57810</v>
      </c>
      <c r="D15025" s="2" t="str">
        <f>"5053311885"</f>
        <v>5053311885</v>
      </c>
      <c r="E15025" s="2" t="s">
        <v>1208</v>
      </c>
      <c r="F15025" s="2" t="s">
        <v>57811</v>
      </c>
      <c r="G15025" s="2" t="str">
        <f>"SR-21843"</f>
        <v>SR-21843</v>
      </c>
      <c r="H15025" s="2" t="s">
        <v>57812</v>
      </c>
      <c r="I15025" s="2" t="s">
        <v>57813</v>
      </c>
      <c r="K15025" s="2" t="s">
        <v>3705</v>
      </c>
      <c r="L15025" s="2" t="s">
        <v>789</v>
      </c>
      <c r="M15025" s="2">
        <v>87114.0</v>
      </c>
      <c r="N15025" s="2" t="s">
        <v>21</v>
      </c>
    </row>
    <row r="15026" ht="15.75" customHeight="1">
      <c r="A15026" s="2">
        <v>2021.0</v>
      </c>
      <c r="B15026" s="2" t="s">
        <v>54291</v>
      </c>
      <c r="C15026" s="2" t="s">
        <v>54291</v>
      </c>
      <c r="D15026" s="2" t="str">
        <f>"2154293418"</f>
        <v>2154293418</v>
      </c>
      <c r="E15026" s="2" t="s">
        <v>3196</v>
      </c>
      <c r="F15026" s="2" t="s">
        <v>54292</v>
      </c>
      <c r="G15026" s="2" t="str">
        <f>"SR-19269"</f>
        <v>SR-19269</v>
      </c>
      <c r="H15026" s="2" t="s">
        <v>54293</v>
      </c>
      <c r="I15026" s="2" t="s">
        <v>54294</v>
      </c>
      <c r="K15026" s="2" t="s">
        <v>54295</v>
      </c>
      <c r="L15026" s="2" t="s">
        <v>179</v>
      </c>
      <c r="M15026" s="2">
        <v>19454.0</v>
      </c>
      <c r="N15026" s="2" t="s">
        <v>21</v>
      </c>
    </row>
    <row r="15027" ht="15.75" customHeight="1">
      <c r="A15027" s="2">
        <v>2021.0</v>
      </c>
      <c r="B15027" s="2" t="s">
        <v>51370</v>
      </c>
      <c r="C15027" s="2" t="s">
        <v>51371</v>
      </c>
      <c r="D15027" s="2" t="str">
        <f>"2146092876"</f>
        <v>2146092876</v>
      </c>
      <c r="E15027" s="2" t="s">
        <v>17623</v>
      </c>
      <c r="F15027" s="2" t="s">
        <v>10393</v>
      </c>
      <c r="G15027" s="2" t="str">
        <f>"SR-18354"</f>
        <v>SR-18354</v>
      </c>
      <c r="H15027" s="2" t="s">
        <v>51372</v>
      </c>
      <c r="I15027" s="2" t="s">
        <v>51373</v>
      </c>
      <c r="K15027" s="2" t="s">
        <v>3677</v>
      </c>
      <c r="L15027" s="2" t="s">
        <v>172</v>
      </c>
      <c r="M15027" s="2">
        <v>75167.0</v>
      </c>
      <c r="N15027" s="2" t="s">
        <v>21</v>
      </c>
    </row>
    <row r="15028" ht="15.75" customHeight="1">
      <c r="A15028" s="2">
        <v>2021.0</v>
      </c>
      <c r="B15028" s="2" t="s">
        <v>57814</v>
      </c>
      <c r="C15028" s="2" t="s">
        <v>57814</v>
      </c>
      <c r="D15028" s="2" t="str">
        <f>"4698340760"</f>
        <v>4698340760</v>
      </c>
      <c r="E15028" s="2" t="s">
        <v>2243</v>
      </c>
      <c r="F15028" s="2" t="s">
        <v>57815</v>
      </c>
      <c r="G15028" s="2" t="str">
        <f>"SR-21844"</f>
        <v>SR-21844</v>
      </c>
      <c r="H15028" s="2" t="s">
        <v>57816</v>
      </c>
      <c r="I15028" s="2" t="s">
        <v>57817</v>
      </c>
      <c r="K15028" s="2" t="s">
        <v>2046</v>
      </c>
      <c r="L15028" s="2" t="s">
        <v>172</v>
      </c>
      <c r="M15028" s="2">
        <v>76049.0</v>
      </c>
      <c r="N15028" s="2" t="s">
        <v>21</v>
      </c>
    </row>
    <row r="15029" ht="15.75" customHeight="1">
      <c r="A15029" s="2">
        <v>2021.0</v>
      </c>
      <c r="B15029" s="2" t="s">
        <v>57818</v>
      </c>
      <c r="C15029" s="2" t="s">
        <v>57819</v>
      </c>
      <c r="D15029" s="2" t="str">
        <f>"(402)604-0146"</f>
        <v>(402)604-0146</v>
      </c>
      <c r="E15029" s="2" t="s">
        <v>132</v>
      </c>
      <c r="F15029" s="2" t="s">
        <v>57820</v>
      </c>
      <c r="G15029" s="2" t="str">
        <f>"SR-21845"</f>
        <v>SR-21845</v>
      </c>
      <c r="H15029" s="2" t="s">
        <v>57821</v>
      </c>
      <c r="I15029" s="2" t="s">
        <v>57822</v>
      </c>
      <c r="K15029" s="2" t="s">
        <v>1520</v>
      </c>
      <c r="L15029" s="2" t="s">
        <v>757</v>
      </c>
      <c r="M15029" s="2">
        <v>68818.0</v>
      </c>
      <c r="N15029" s="2" t="s">
        <v>21</v>
      </c>
    </row>
    <row r="15030" ht="15.75" customHeight="1">
      <c r="A15030" s="2">
        <v>2021.0</v>
      </c>
      <c r="B15030" s="2" t="s">
        <v>49410</v>
      </c>
      <c r="C15030" s="2" t="s">
        <v>49411</v>
      </c>
      <c r="D15030" s="2" t="str">
        <f>"719-761-6809"</f>
        <v>719-761-6809</v>
      </c>
      <c r="E15030" s="2" t="s">
        <v>49412</v>
      </c>
      <c r="F15030" s="2" t="s">
        <v>49413</v>
      </c>
      <c r="G15030" s="2" t="str">
        <f>"SR-17436"</f>
        <v>SR-17436</v>
      </c>
      <c r="H15030" s="2" t="s">
        <v>49414</v>
      </c>
      <c r="I15030" s="2" t="s">
        <v>49415</v>
      </c>
      <c r="K15030" s="2" t="s">
        <v>975</v>
      </c>
      <c r="L15030" s="2" t="s">
        <v>157</v>
      </c>
      <c r="M15030" s="2">
        <v>80831.0</v>
      </c>
      <c r="N15030" s="2" t="s">
        <v>21</v>
      </c>
    </row>
    <row r="15031" ht="15.75" customHeight="1">
      <c r="A15031" s="2">
        <v>2021.0</v>
      </c>
      <c r="B15031" s="2" t="s">
        <v>49410</v>
      </c>
      <c r="C15031" s="2" t="s">
        <v>49416</v>
      </c>
      <c r="D15031" s="2" t="str">
        <f>"719-351-6244"</f>
        <v>719-351-6244</v>
      </c>
      <c r="E15031" s="2" t="s">
        <v>49417</v>
      </c>
      <c r="F15031" s="2" t="s">
        <v>49413</v>
      </c>
      <c r="G15031" s="2" t="str">
        <f>"SR-17602"</f>
        <v>SR-17602</v>
      </c>
      <c r="H15031" s="2" t="s">
        <v>49418</v>
      </c>
      <c r="I15031" s="2" t="s">
        <v>49415</v>
      </c>
      <c r="K15031" s="2" t="s">
        <v>975</v>
      </c>
      <c r="L15031" s="2" t="s">
        <v>157</v>
      </c>
      <c r="M15031" s="2">
        <v>80831.0</v>
      </c>
      <c r="N15031" s="2" t="s">
        <v>21</v>
      </c>
    </row>
    <row r="15032" ht="15.75" customHeight="1">
      <c r="A15032" s="2">
        <v>2021.0</v>
      </c>
      <c r="B15032" s="2" t="s">
        <v>57823</v>
      </c>
      <c r="C15032" s="2" t="s">
        <v>57824</v>
      </c>
      <c r="D15032" s="2" t="str">
        <f>"4697342139"</f>
        <v>4697342139</v>
      </c>
      <c r="E15032" s="2" t="s">
        <v>3743</v>
      </c>
      <c r="F15032" s="2" t="s">
        <v>57825</v>
      </c>
      <c r="G15032" s="2" t="str">
        <f>"SR-21727"</f>
        <v>SR-21727</v>
      </c>
      <c r="H15032" s="2" t="s">
        <v>57826</v>
      </c>
      <c r="I15032" s="2" t="s">
        <v>57827</v>
      </c>
      <c r="K15032" s="2" t="s">
        <v>475</v>
      </c>
      <c r="L15032" s="2" t="s">
        <v>172</v>
      </c>
      <c r="M15032" s="2">
        <v>75098.0</v>
      </c>
      <c r="N15032" s="2" t="s">
        <v>21</v>
      </c>
    </row>
    <row r="15033" ht="15.75" customHeight="1">
      <c r="A15033" s="2">
        <v>2021.0</v>
      </c>
      <c r="B15033" s="2" t="s">
        <v>44203</v>
      </c>
      <c r="C15033" s="2" t="s">
        <v>57828</v>
      </c>
      <c r="D15033" s="2" t="str">
        <f>"5204038112"</f>
        <v>5204038112</v>
      </c>
      <c r="E15033" s="2" t="s">
        <v>1725</v>
      </c>
      <c r="F15033" s="2" t="s">
        <v>44205</v>
      </c>
      <c r="G15033" s="2" t="str">
        <f>"SR-21847"</f>
        <v>SR-21847</v>
      </c>
      <c r="H15033" s="2" t="s">
        <v>57829</v>
      </c>
      <c r="I15033" s="2" t="s">
        <v>44207</v>
      </c>
      <c r="K15033" s="2" t="s">
        <v>5946</v>
      </c>
      <c r="L15033" s="2" t="s">
        <v>422</v>
      </c>
      <c r="M15033" s="2">
        <v>85718.0</v>
      </c>
      <c r="N15033" s="2" t="s">
        <v>21</v>
      </c>
    </row>
    <row r="15034" ht="15.75" customHeight="1">
      <c r="A15034" s="2">
        <v>2021.0</v>
      </c>
      <c r="B15034" s="2" t="s">
        <v>47782</v>
      </c>
      <c r="C15034" s="2" t="s">
        <v>57830</v>
      </c>
      <c r="D15034" s="2" t="str">
        <f>"5205913164"</f>
        <v>5205913164</v>
      </c>
      <c r="E15034" s="2" t="s">
        <v>453</v>
      </c>
      <c r="F15034" s="2" t="s">
        <v>3028</v>
      </c>
      <c r="G15034" s="2" t="str">
        <f>"SR-21090"</f>
        <v>SR-21090</v>
      </c>
      <c r="H15034" s="2" t="s">
        <v>57831</v>
      </c>
      <c r="I15034" s="2" t="s">
        <v>57832</v>
      </c>
      <c r="K15034" s="2" t="s">
        <v>5946</v>
      </c>
      <c r="L15034" s="2" t="s">
        <v>422</v>
      </c>
      <c r="M15034" s="2">
        <v>85710.0</v>
      </c>
      <c r="N15034" s="2" t="s">
        <v>21</v>
      </c>
    </row>
    <row r="15035" ht="15.75" customHeight="1">
      <c r="A15035" s="2">
        <v>2021.0</v>
      </c>
      <c r="B15035" s="2" t="s">
        <v>52815</v>
      </c>
      <c r="C15035" s="2" t="s">
        <v>52816</v>
      </c>
      <c r="D15035" s="2" t="str">
        <f>"8657702160"</f>
        <v>8657702160</v>
      </c>
      <c r="E15035" s="2" t="s">
        <v>23106</v>
      </c>
      <c r="F15035" s="2" t="s">
        <v>24286</v>
      </c>
      <c r="G15035" s="2" t="str">
        <f>"SR-18855"</f>
        <v>SR-18855</v>
      </c>
      <c r="H15035" s="2" t="s">
        <v>52817</v>
      </c>
      <c r="I15035" s="2" t="s">
        <v>52818</v>
      </c>
      <c r="K15035" s="2" t="s">
        <v>6168</v>
      </c>
      <c r="L15035" s="2" t="s">
        <v>279</v>
      </c>
      <c r="M15035" s="2">
        <v>37934.0</v>
      </c>
      <c r="N15035" s="2" t="s">
        <v>21</v>
      </c>
    </row>
    <row r="15036" ht="15.75" customHeight="1">
      <c r="A15036" s="2">
        <v>2021.0</v>
      </c>
      <c r="B15036" s="2" t="s">
        <v>57833</v>
      </c>
      <c r="C15036" s="2" t="s">
        <v>57834</v>
      </c>
      <c r="D15036" s="2" t="str">
        <f>"5204099680"</f>
        <v>5204099680</v>
      </c>
      <c r="E15036" s="2" t="s">
        <v>57835</v>
      </c>
      <c r="F15036" s="2" t="s">
        <v>57836</v>
      </c>
      <c r="G15036" s="2" t="str">
        <f>"SR-21848"</f>
        <v>SR-21848</v>
      </c>
      <c r="H15036" s="2" t="s">
        <v>57837</v>
      </c>
      <c r="I15036" s="2" t="s">
        <v>57838</v>
      </c>
      <c r="K15036" s="2" t="s">
        <v>5946</v>
      </c>
      <c r="L15036" s="2" t="s">
        <v>422</v>
      </c>
      <c r="M15036" s="2">
        <v>85710.0</v>
      </c>
      <c r="N15036" s="2" t="s">
        <v>21</v>
      </c>
    </row>
    <row r="15037" ht="15.75" customHeight="1">
      <c r="A15037" s="2">
        <v>2021.0</v>
      </c>
      <c r="B15037" s="2" t="s">
        <v>57839</v>
      </c>
      <c r="C15037" s="2" t="s">
        <v>57840</v>
      </c>
      <c r="D15037" s="2" t="str">
        <f>"907-598-8000"</f>
        <v>907-598-8000</v>
      </c>
      <c r="E15037" s="2" t="s">
        <v>24039</v>
      </c>
      <c r="F15037" s="2" t="s">
        <v>57841</v>
      </c>
      <c r="G15037" s="2" t="str">
        <f>"SR-21846"</f>
        <v>SR-21846</v>
      </c>
      <c r="H15037" s="2" t="s">
        <v>57842</v>
      </c>
      <c r="I15037" s="2" t="s">
        <v>57843</v>
      </c>
      <c r="K15037" s="2" t="s">
        <v>1336</v>
      </c>
      <c r="L15037" s="2" t="s">
        <v>70</v>
      </c>
      <c r="M15037" s="2">
        <v>99669.0</v>
      </c>
      <c r="N15037" s="2" t="s">
        <v>21</v>
      </c>
    </row>
    <row r="15038" ht="15.75" customHeight="1">
      <c r="A15038" s="2">
        <v>2021.0</v>
      </c>
      <c r="B15038" s="2" t="s">
        <v>35097</v>
      </c>
      <c r="C15038" s="2" t="s">
        <v>53881</v>
      </c>
      <c r="D15038" s="2" t="str">
        <f>"5013981593"</f>
        <v>5013981593</v>
      </c>
      <c r="E15038" s="2" t="s">
        <v>1094</v>
      </c>
      <c r="F15038" s="2" t="s">
        <v>35099</v>
      </c>
      <c r="G15038" s="2" t="str">
        <f>"SR-19373"</f>
        <v>SR-19373</v>
      </c>
      <c r="H15038" s="2" t="s">
        <v>53882</v>
      </c>
      <c r="I15038" s="2" t="s">
        <v>35113</v>
      </c>
      <c r="K15038" s="2" t="s">
        <v>1759</v>
      </c>
      <c r="L15038" s="2" t="s">
        <v>1012</v>
      </c>
      <c r="M15038" s="2">
        <v>72206.0</v>
      </c>
      <c r="N15038" s="2" t="s">
        <v>21</v>
      </c>
    </row>
    <row r="15039" ht="15.75" customHeight="1">
      <c r="A15039" s="2">
        <v>2021.0</v>
      </c>
      <c r="B15039" s="2" t="s">
        <v>35097</v>
      </c>
      <c r="C15039" s="2" t="s">
        <v>53883</v>
      </c>
      <c r="D15039" s="2" t="str">
        <f>"501.288.4047"</f>
        <v>501.288.4047</v>
      </c>
      <c r="E15039" s="2" t="s">
        <v>53884</v>
      </c>
      <c r="F15039" s="2" t="s">
        <v>35099</v>
      </c>
      <c r="G15039" s="2" t="str">
        <f>"SR-19374"</f>
        <v>SR-19374</v>
      </c>
      <c r="H15039" s="2" t="s">
        <v>53885</v>
      </c>
      <c r="I15039" s="2">
        <v>10717.0</v>
      </c>
      <c r="J15039" s="2" t="s">
        <v>53886</v>
      </c>
      <c r="K15039" s="2" t="s">
        <v>1759</v>
      </c>
      <c r="L15039" s="2" t="s">
        <v>1012</v>
      </c>
      <c r="M15039" s="2">
        <v>72206.0</v>
      </c>
      <c r="N15039" s="2" t="s">
        <v>21</v>
      </c>
    </row>
    <row r="15040" ht="15.75" customHeight="1">
      <c r="A15040" s="2">
        <v>2021.0</v>
      </c>
      <c r="B15040" s="2" t="s">
        <v>57844</v>
      </c>
      <c r="C15040" s="2" t="s">
        <v>51247</v>
      </c>
      <c r="D15040" s="2" t="str">
        <f>"2623487986"</f>
        <v>2623487986</v>
      </c>
      <c r="E15040" s="2" t="s">
        <v>705</v>
      </c>
      <c r="F15040" s="2" t="s">
        <v>18888</v>
      </c>
      <c r="G15040" s="2" t="str">
        <f>"SR-17955"</f>
        <v>SR-17955</v>
      </c>
      <c r="H15040" s="2" t="s">
        <v>51248</v>
      </c>
      <c r="I15040" s="2">
        <v>1735.0</v>
      </c>
      <c r="K15040" s="2" t="s">
        <v>51250</v>
      </c>
      <c r="L15040" s="2" t="s">
        <v>193</v>
      </c>
      <c r="M15040" s="2">
        <v>53147.0</v>
      </c>
      <c r="N15040" s="2" t="s">
        <v>21</v>
      </c>
    </row>
    <row r="15041" ht="15.75" customHeight="1">
      <c r="A15041" s="2">
        <v>2021.0</v>
      </c>
      <c r="B15041" s="2" t="s">
        <v>57845</v>
      </c>
      <c r="C15041" s="2" t="s">
        <v>57846</v>
      </c>
      <c r="D15041" s="2" t="str">
        <f>"214-385-0298"</f>
        <v>214-385-0298</v>
      </c>
      <c r="E15041" s="2" t="s">
        <v>2760</v>
      </c>
      <c r="F15041" s="2" t="s">
        <v>57847</v>
      </c>
      <c r="G15041" s="2" t="str">
        <f>"SR-21849"</f>
        <v>SR-21849</v>
      </c>
      <c r="H15041" s="2" t="s">
        <v>57848</v>
      </c>
      <c r="I15041" s="2" t="s">
        <v>57849</v>
      </c>
      <c r="K15041" s="2" t="s">
        <v>615</v>
      </c>
      <c r="L15041" s="2" t="s">
        <v>172</v>
      </c>
      <c r="M15041" s="2">
        <v>75072.0</v>
      </c>
      <c r="N15041" s="2" t="s">
        <v>21</v>
      </c>
    </row>
    <row r="15042" ht="15.75" customHeight="1">
      <c r="A15042" s="2">
        <v>2021.0</v>
      </c>
      <c r="B15042" s="2" t="s">
        <v>57845</v>
      </c>
      <c r="C15042" s="2" t="s">
        <v>57850</v>
      </c>
      <c r="D15042" s="2" t="str">
        <f>"469-534-1338"</f>
        <v>469-534-1338</v>
      </c>
      <c r="E15042" s="2" t="s">
        <v>57851</v>
      </c>
      <c r="F15042" s="2" t="s">
        <v>57847</v>
      </c>
      <c r="G15042" s="2" t="str">
        <f>"SR-21850"</f>
        <v>SR-21850</v>
      </c>
      <c r="H15042" s="2" t="s">
        <v>57852</v>
      </c>
      <c r="I15042" s="2" t="s">
        <v>57849</v>
      </c>
      <c r="K15042" s="2" t="s">
        <v>615</v>
      </c>
      <c r="L15042" s="2" t="s">
        <v>172</v>
      </c>
      <c r="M15042" s="2">
        <v>75072.0</v>
      </c>
      <c r="N15042" s="2" t="s">
        <v>21</v>
      </c>
    </row>
    <row r="15043" ht="15.75" customHeight="1">
      <c r="A15043" s="2">
        <v>2021.0</v>
      </c>
      <c r="B15043" s="2" t="s">
        <v>57845</v>
      </c>
      <c r="C15043" s="2" t="s">
        <v>57853</v>
      </c>
      <c r="D15043" s="2" t="str">
        <f>"469-534-2113"</f>
        <v>469-534-2113</v>
      </c>
      <c r="E15043" s="2" t="s">
        <v>5732</v>
      </c>
      <c r="F15043" s="2" t="s">
        <v>57847</v>
      </c>
      <c r="G15043" s="2" t="str">
        <f>"SR-21851"</f>
        <v>SR-21851</v>
      </c>
      <c r="H15043" s="2" t="s">
        <v>57854</v>
      </c>
      <c r="I15043" s="2" t="s">
        <v>57849</v>
      </c>
      <c r="K15043" s="2" t="s">
        <v>615</v>
      </c>
      <c r="L15043" s="2" t="s">
        <v>172</v>
      </c>
      <c r="M15043" s="2">
        <v>75072.0</v>
      </c>
      <c r="N15043" s="2" t="s">
        <v>21</v>
      </c>
    </row>
    <row r="15044" ht="15.75" customHeight="1">
      <c r="A15044" s="2">
        <v>2021.0</v>
      </c>
      <c r="B15044" s="2" t="s">
        <v>57855</v>
      </c>
      <c r="C15044" s="2" t="s">
        <v>57855</v>
      </c>
      <c r="D15044" s="2" t="str">
        <f>"941-451-3780"</f>
        <v>941-451-3780</v>
      </c>
      <c r="E15044" s="2" t="s">
        <v>5760</v>
      </c>
      <c r="F15044" s="2" t="s">
        <v>21030</v>
      </c>
      <c r="G15044" s="2" t="str">
        <f>"SR-21356"</f>
        <v>SR-21356</v>
      </c>
      <c r="H15044" s="2" t="s">
        <v>57856</v>
      </c>
      <c r="I15044" s="2" t="s">
        <v>57857</v>
      </c>
      <c r="K15044" s="2" t="s">
        <v>330</v>
      </c>
      <c r="L15044" s="2" t="s">
        <v>208</v>
      </c>
      <c r="M15044" s="2">
        <v>34293.0</v>
      </c>
      <c r="N15044" s="2" t="s">
        <v>21</v>
      </c>
    </row>
    <row r="15045" ht="15.75" customHeight="1">
      <c r="A15045" s="2">
        <v>2021.0</v>
      </c>
      <c r="B15045" s="2" t="s">
        <v>57858</v>
      </c>
      <c r="C15045" s="2" t="s">
        <v>57859</v>
      </c>
      <c r="D15045" s="2" t="str">
        <f>"360-904-8346"</f>
        <v>360-904-8346</v>
      </c>
      <c r="E15045" s="2" t="s">
        <v>4637</v>
      </c>
      <c r="F15045" s="2" t="s">
        <v>57860</v>
      </c>
      <c r="G15045" s="2" t="str">
        <f>"SR-21852"</f>
        <v>SR-21852</v>
      </c>
      <c r="H15045" s="2" t="s">
        <v>57861</v>
      </c>
      <c r="I15045" s="2" t="s">
        <v>57862</v>
      </c>
      <c r="K15045" s="2" t="s">
        <v>13145</v>
      </c>
      <c r="L15045" s="2" t="s">
        <v>86</v>
      </c>
      <c r="M15045" s="2">
        <v>98682.0</v>
      </c>
      <c r="N15045" s="2" t="s">
        <v>21</v>
      </c>
    </row>
    <row r="15046" ht="15.75" customHeight="1">
      <c r="A15046" s="2">
        <v>2021.0</v>
      </c>
      <c r="B15046" s="2" t="s">
        <v>57863</v>
      </c>
      <c r="C15046" s="2" t="s">
        <v>57864</v>
      </c>
      <c r="D15046" s="2" t="str">
        <f>"2259210336"</f>
        <v>2259210336</v>
      </c>
      <c r="E15046" s="2" t="s">
        <v>4775</v>
      </c>
      <c r="F15046" s="2" t="s">
        <v>57865</v>
      </c>
      <c r="G15046" s="2" t="str">
        <f>"SR-21024"</f>
        <v>SR-21024</v>
      </c>
      <c r="H15046" s="2" t="s">
        <v>57866</v>
      </c>
      <c r="I15046" s="2" t="s">
        <v>57867</v>
      </c>
      <c r="K15046" s="2" t="s">
        <v>57868</v>
      </c>
      <c r="L15046" s="2" t="s">
        <v>715</v>
      </c>
      <c r="M15046" s="2">
        <v>70706.0</v>
      </c>
      <c r="N15046" s="2" t="s">
        <v>21</v>
      </c>
    </row>
    <row r="15047" ht="15.75" customHeight="1">
      <c r="A15047" s="2">
        <v>2021.0</v>
      </c>
      <c r="B15047" s="2" t="s">
        <v>57869</v>
      </c>
      <c r="C15047" s="2" t="s">
        <v>57870</v>
      </c>
      <c r="D15047" s="2" t="str">
        <f>"4696513317"</f>
        <v>4696513317</v>
      </c>
      <c r="E15047" s="2" t="s">
        <v>12249</v>
      </c>
      <c r="F15047" s="2" t="s">
        <v>55742</v>
      </c>
      <c r="G15047" s="2" t="str">
        <f>"SR-21854"</f>
        <v>SR-21854</v>
      </c>
      <c r="H15047" s="2" t="s">
        <v>57871</v>
      </c>
      <c r="I15047" s="2" t="s">
        <v>55744</v>
      </c>
      <c r="K15047" s="2" t="s">
        <v>54842</v>
      </c>
      <c r="L15047" s="2" t="s">
        <v>172</v>
      </c>
      <c r="M15047" s="2">
        <v>78163.0</v>
      </c>
      <c r="N15047" s="2" t="s">
        <v>21</v>
      </c>
    </row>
    <row r="15048" ht="15.75" customHeight="1">
      <c r="A15048" s="2">
        <v>2021.0</v>
      </c>
      <c r="B15048" s="2" t="s">
        <v>53847</v>
      </c>
      <c r="C15048" s="2" t="s">
        <v>53848</v>
      </c>
      <c r="D15048" s="2" t="str">
        <f>"484-473-4042"</f>
        <v>484-473-4042</v>
      </c>
      <c r="E15048" s="2" t="s">
        <v>3743</v>
      </c>
      <c r="F15048" s="2" t="s">
        <v>31</v>
      </c>
      <c r="G15048" s="2" t="str">
        <f>"SR-19415"</f>
        <v>SR-19415</v>
      </c>
      <c r="H15048" s="2" t="s">
        <v>53849</v>
      </c>
      <c r="I15048" s="2" t="s">
        <v>53850</v>
      </c>
      <c r="K15048" s="2" t="s">
        <v>47625</v>
      </c>
      <c r="L15048" s="2" t="s">
        <v>179</v>
      </c>
      <c r="M15048" s="2">
        <v>19330.0</v>
      </c>
      <c r="N15048" s="2" t="s">
        <v>21</v>
      </c>
    </row>
    <row r="15049" ht="15.75" customHeight="1">
      <c r="A15049" s="2">
        <v>2021.0</v>
      </c>
      <c r="B15049" s="2" t="s">
        <v>57762</v>
      </c>
      <c r="C15049" s="2" t="s">
        <v>57872</v>
      </c>
      <c r="D15049" s="2" t="str">
        <f>"7637101354"</f>
        <v>7637101354</v>
      </c>
      <c r="E15049" s="2" t="s">
        <v>57873</v>
      </c>
      <c r="F15049" s="2" t="s">
        <v>89</v>
      </c>
      <c r="G15049" s="2" t="str">
        <f>"SR-21829"</f>
        <v>SR-21829</v>
      </c>
      <c r="H15049" s="2" t="s">
        <v>57874</v>
      </c>
      <c r="I15049" s="2" t="s">
        <v>57766</v>
      </c>
      <c r="K15049" s="2" t="s">
        <v>8609</v>
      </c>
      <c r="L15049" s="2" t="s">
        <v>62</v>
      </c>
      <c r="M15049" s="2">
        <v>55369.0</v>
      </c>
      <c r="N15049" s="2" t="s">
        <v>21</v>
      </c>
    </row>
    <row r="15050" ht="15.75" customHeight="1">
      <c r="A15050" s="2">
        <v>2021.0</v>
      </c>
      <c r="B15050" s="2" t="s">
        <v>57875</v>
      </c>
      <c r="C15050" s="2" t="s">
        <v>57876</v>
      </c>
      <c r="D15050" s="2" t="str">
        <f>"614-704-6933"</f>
        <v>614-704-6933</v>
      </c>
      <c r="E15050" s="2" t="s">
        <v>4111</v>
      </c>
      <c r="F15050" s="2" t="s">
        <v>57877</v>
      </c>
      <c r="G15050" s="2" t="str">
        <f>"SR-21856"</f>
        <v>SR-21856</v>
      </c>
      <c r="H15050" s="2" t="s">
        <v>57878</v>
      </c>
      <c r="I15050" s="2" t="s">
        <v>57879</v>
      </c>
      <c r="K15050" s="2" t="s">
        <v>57880</v>
      </c>
      <c r="L15050" s="2" t="s">
        <v>344</v>
      </c>
      <c r="M15050" s="2">
        <v>43147.0</v>
      </c>
      <c r="N15050" s="2" t="s">
        <v>21</v>
      </c>
    </row>
    <row r="15051" ht="15.75" customHeight="1">
      <c r="A15051" s="2">
        <v>2021.0</v>
      </c>
      <c r="B15051" s="2" t="s">
        <v>51132</v>
      </c>
      <c r="C15051" s="2" t="s">
        <v>51133</v>
      </c>
      <c r="D15051" s="2" t="str">
        <f>"7148036580"</f>
        <v>7148036580</v>
      </c>
      <c r="E15051" s="2" t="s">
        <v>51134</v>
      </c>
      <c r="F15051" s="2" t="s">
        <v>51135</v>
      </c>
      <c r="G15051" s="2" t="str">
        <f>"SR-18159"</f>
        <v>SR-18159</v>
      </c>
      <c r="H15051" s="2" t="s">
        <v>51136</v>
      </c>
      <c r="I15051" s="2" t="s">
        <v>51137</v>
      </c>
      <c r="K15051" s="2" t="s">
        <v>8454</v>
      </c>
      <c r="L15051" s="2" t="s">
        <v>222</v>
      </c>
      <c r="M15051" s="2">
        <v>92821.0</v>
      </c>
      <c r="N15051" s="2" t="s">
        <v>21</v>
      </c>
    </row>
    <row r="15052" ht="15.75" customHeight="1">
      <c r="A15052" s="2">
        <v>2021.0</v>
      </c>
      <c r="B15052" s="2" t="s">
        <v>57881</v>
      </c>
      <c r="C15052" s="2" t="s">
        <v>57881</v>
      </c>
      <c r="D15052" s="2" t="str">
        <f>"7143576494"</f>
        <v>7143576494</v>
      </c>
      <c r="E15052" s="2" t="s">
        <v>144</v>
      </c>
      <c r="F15052" s="2" t="s">
        <v>44060</v>
      </c>
      <c r="G15052" s="2" t="str">
        <f>"SR-21857"</f>
        <v>SR-21857</v>
      </c>
      <c r="H15052" s="2" t="s">
        <v>57882</v>
      </c>
      <c r="I15052" s="2" t="s">
        <v>57883</v>
      </c>
      <c r="K15052" s="2" t="s">
        <v>12334</v>
      </c>
      <c r="L15052" s="2" t="s">
        <v>222</v>
      </c>
      <c r="M15052" s="2">
        <v>92886.0</v>
      </c>
      <c r="N15052" s="2" t="s">
        <v>21</v>
      </c>
    </row>
    <row r="15053" ht="15.75" customHeight="1">
      <c r="A15053" s="2">
        <v>2021.0</v>
      </c>
      <c r="B15053" s="2" t="s">
        <v>57884</v>
      </c>
      <c r="C15053" s="2" t="s">
        <v>57884</v>
      </c>
      <c r="D15053" s="2" t="str">
        <f>"614-940-0323"</f>
        <v>614-940-0323</v>
      </c>
      <c r="E15053" s="2" t="s">
        <v>3743</v>
      </c>
      <c r="F15053" s="2" t="s">
        <v>57885</v>
      </c>
      <c r="G15053" s="2" t="str">
        <f>"SR-21858"</f>
        <v>SR-21858</v>
      </c>
      <c r="H15053" s="2" t="s">
        <v>57886</v>
      </c>
      <c r="I15053" s="2" t="s">
        <v>57887</v>
      </c>
      <c r="K15053" s="2" t="s">
        <v>9868</v>
      </c>
      <c r="L15053" s="2" t="s">
        <v>279</v>
      </c>
      <c r="M15053" s="2">
        <v>37027.0</v>
      </c>
      <c r="N15053" s="2" t="s">
        <v>21</v>
      </c>
    </row>
    <row r="15054" ht="15.75" customHeight="1">
      <c r="A15054" s="2">
        <v>2021.0</v>
      </c>
      <c r="B15054" s="2" t="s">
        <v>57888</v>
      </c>
      <c r="C15054" s="2" t="s">
        <v>57888</v>
      </c>
      <c r="D15054" s="2" t="str">
        <f>"5152037559"</f>
        <v>5152037559</v>
      </c>
      <c r="E15054" s="2" t="s">
        <v>1263</v>
      </c>
      <c r="F15054" s="2" t="s">
        <v>8294</v>
      </c>
      <c r="G15054" s="2" t="str">
        <f>"SR-21861"</f>
        <v>SR-21861</v>
      </c>
      <c r="H15054" s="2" t="s">
        <v>51782</v>
      </c>
      <c r="I15054" s="2" t="s">
        <v>51787</v>
      </c>
      <c r="K15054" s="2" t="s">
        <v>45261</v>
      </c>
      <c r="L15054" s="2" t="s">
        <v>560</v>
      </c>
      <c r="M15054" s="2">
        <v>50124.0</v>
      </c>
      <c r="N15054" s="2" t="s">
        <v>21</v>
      </c>
    </row>
    <row r="15055" ht="15.75" customHeight="1">
      <c r="A15055" s="2">
        <v>2021.0</v>
      </c>
      <c r="B15055" s="2" t="s">
        <v>57889</v>
      </c>
      <c r="C15055" s="2" t="s">
        <v>57889</v>
      </c>
      <c r="D15055" s="2" t="str">
        <f>"4026712151"</f>
        <v>4026712151</v>
      </c>
      <c r="E15055" s="2" t="s">
        <v>404</v>
      </c>
      <c r="F15055" s="2" t="s">
        <v>984</v>
      </c>
      <c r="G15055" s="2" t="str">
        <f>"SR-21762"</f>
        <v>SR-21762</v>
      </c>
      <c r="H15055" s="2" t="s">
        <v>57890</v>
      </c>
      <c r="I15055" s="2" t="s">
        <v>57891</v>
      </c>
      <c r="K15055" s="2" t="s">
        <v>1398</v>
      </c>
      <c r="L15055" s="2" t="s">
        <v>157</v>
      </c>
      <c r="M15055" s="2">
        <v>80104.0</v>
      </c>
      <c r="N15055" s="2" t="s">
        <v>21</v>
      </c>
    </row>
    <row r="15056" ht="15.75" customHeight="1">
      <c r="A15056" s="2">
        <v>2021.0</v>
      </c>
      <c r="B15056" s="2" t="s">
        <v>57892</v>
      </c>
      <c r="C15056" s="2" t="s">
        <v>57892</v>
      </c>
      <c r="D15056" s="2" t="str">
        <f>"585-285-1047"</f>
        <v>585-285-1047</v>
      </c>
      <c r="E15056" s="2" t="s">
        <v>503</v>
      </c>
      <c r="F15056" s="2" t="s">
        <v>8115</v>
      </c>
      <c r="G15056" s="2" t="str">
        <f>"SR-21862"</f>
        <v>SR-21862</v>
      </c>
      <c r="H15056" s="2" t="s">
        <v>57893</v>
      </c>
      <c r="I15056" s="2" t="s">
        <v>50002</v>
      </c>
      <c r="K15056" s="2" t="s">
        <v>2804</v>
      </c>
      <c r="L15056" s="2" t="s">
        <v>142</v>
      </c>
      <c r="M15056" s="2">
        <v>14624.0</v>
      </c>
      <c r="N15056" s="2" t="s">
        <v>21</v>
      </c>
    </row>
    <row r="15057" ht="15.75" customHeight="1">
      <c r="A15057" s="2">
        <v>2021.0</v>
      </c>
      <c r="B15057" s="2" t="s">
        <v>57894</v>
      </c>
      <c r="C15057" s="2" t="s">
        <v>57894</v>
      </c>
      <c r="D15057" s="2" t="str">
        <f>"(585)766-3786"</f>
        <v>(585)766-3786</v>
      </c>
      <c r="E15057" s="2" t="s">
        <v>6121</v>
      </c>
      <c r="F15057" s="2" t="s">
        <v>8115</v>
      </c>
      <c r="G15057" s="2" t="str">
        <f>"SR-21863"</f>
        <v>SR-21863</v>
      </c>
      <c r="H15057" s="2" t="s">
        <v>57895</v>
      </c>
      <c r="I15057" s="2" t="s">
        <v>57896</v>
      </c>
      <c r="K15057" s="2" t="s">
        <v>2804</v>
      </c>
      <c r="L15057" s="2" t="s">
        <v>142</v>
      </c>
      <c r="M15057" s="2">
        <v>14624.0</v>
      </c>
      <c r="N15057" s="2" t="s">
        <v>21</v>
      </c>
    </row>
    <row r="15058" ht="15.75" customHeight="1">
      <c r="A15058" s="2">
        <v>2021.0</v>
      </c>
      <c r="B15058" s="2" t="s">
        <v>57897</v>
      </c>
      <c r="C15058" s="2" t="s">
        <v>57897</v>
      </c>
      <c r="D15058" s="2" t="str">
        <f>"(505)304-2122"</f>
        <v>(505)304-2122</v>
      </c>
      <c r="E15058" s="2" t="s">
        <v>57898</v>
      </c>
      <c r="F15058" s="2" t="s">
        <v>3131</v>
      </c>
      <c r="G15058" s="2" t="str">
        <f>"SR-21864"</f>
        <v>SR-21864</v>
      </c>
      <c r="H15058" s="2" t="s">
        <v>57899</v>
      </c>
      <c r="I15058" s="2" t="s">
        <v>57900</v>
      </c>
      <c r="K15058" s="2" t="s">
        <v>3705</v>
      </c>
      <c r="L15058" s="2" t="s">
        <v>789</v>
      </c>
      <c r="M15058" s="2">
        <v>87113.0</v>
      </c>
      <c r="N15058" s="2" t="s">
        <v>21</v>
      </c>
    </row>
    <row r="15059" ht="15.75" customHeight="1">
      <c r="A15059" s="2">
        <v>2021.0</v>
      </c>
      <c r="B15059" s="2" t="s">
        <v>57901</v>
      </c>
      <c r="C15059" s="2" t="s">
        <v>57902</v>
      </c>
      <c r="D15059" s="2" t="str">
        <f>"3037982095"</f>
        <v>3037982095</v>
      </c>
      <c r="E15059" s="2" t="s">
        <v>2031</v>
      </c>
      <c r="F15059" s="2" t="s">
        <v>57903</v>
      </c>
      <c r="G15059" s="2" t="str">
        <f>"SR-21865"</f>
        <v>SR-21865</v>
      </c>
      <c r="H15059" s="2" t="s">
        <v>57904</v>
      </c>
      <c r="I15059" s="2" t="s">
        <v>57905</v>
      </c>
      <c r="K15059" s="2" t="s">
        <v>5412</v>
      </c>
      <c r="L15059" s="2" t="s">
        <v>157</v>
      </c>
      <c r="M15059" s="2">
        <v>80135.0</v>
      </c>
      <c r="N15059" s="2" t="s">
        <v>21</v>
      </c>
    </row>
    <row r="15060" ht="15.75" customHeight="1">
      <c r="A15060" s="2">
        <v>2021.0</v>
      </c>
      <c r="B15060" s="2" t="s">
        <v>54736</v>
      </c>
      <c r="C15060" s="2" t="s">
        <v>54737</v>
      </c>
      <c r="D15060" s="2" t="str">
        <f>"8303024179"</f>
        <v>8303024179</v>
      </c>
      <c r="E15060" s="2" t="s">
        <v>2243</v>
      </c>
      <c r="F15060" s="2" t="s">
        <v>54738</v>
      </c>
      <c r="G15060" s="2" t="str">
        <f>"SR-20216"</f>
        <v>SR-20216</v>
      </c>
      <c r="H15060" s="2" t="s">
        <v>54739</v>
      </c>
      <c r="I15060" s="2" t="s">
        <v>54740</v>
      </c>
      <c r="K15060" s="2" t="s">
        <v>15363</v>
      </c>
      <c r="L15060" s="2" t="s">
        <v>172</v>
      </c>
      <c r="M15060" s="2">
        <v>78606.0</v>
      </c>
      <c r="N15060" s="2" t="s">
        <v>21</v>
      </c>
    </row>
    <row r="15061" ht="15.75" customHeight="1">
      <c r="A15061" s="2">
        <v>2021.0</v>
      </c>
      <c r="B15061" s="2" t="s">
        <v>57906</v>
      </c>
      <c r="C15061" s="2" t="s">
        <v>57907</v>
      </c>
      <c r="D15061" s="2" t="str">
        <f>"912-659-9276"</f>
        <v>912-659-9276</v>
      </c>
      <c r="E15061" s="2" t="s">
        <v>908</v>
      </c>
      <c r="F15061" s="2" t="s">
        <v>57908</v>
      </c>
      <c r="G15061" s="2" t="str">
        <f>"SR-21866"</f>
        <v>SR-21866</v>
      </c>
      <c r="H15061" s="2" t="s">
        <v>57909</v>
      </c>
      <c r="I15061" s="2" t="s">
        <v>57910</v>
      </c>
      <c r="K15061" s="2" t="s">
        <v>1583</v>
      </c>
      <c r="L15061" s="2" t="s">
        <v>200</v>
      </c>
      <c r="M15061" s="2">
        <v>31408.0</v>
      </c>
      <c r="N15061" s="2" t="s">
        <v>21</v>
      </c>
    </row>
    <row r="15062" ht="15.75" customHeight="1">
      <c r="A15062" s="2">
        <v>2021.0</v>
      </c>
      <c r="B15062" s="2" t="s">
        <v>47680</v>
      </c>
      <c r="C15062" s="2" t="s">
        <v>47681</v>
      </c>
      <c r="D15062" s="2" t="str">
        <f>"9513781658"</f>
        <v>9513781658</v>
      </c>
      <c r="E15062" s="2" t="s">
        <v>1529</v>
      </c>
      <c r="F15062" s="2" t="s">
        <v>47666</v>
      </c>
      <c r="G15062" s="2" t="str">
        <f>"SR-16725"</f>
        <v>SR-16725</v>
      </c>
      <c r="H15062" s="2" t="s">
        <v>47682</v>
      </c>
      <c r="I15062" s="2" t="s">
        <v>47683</v>
      </c>
      <c r="K15062" s="2" t="s">
        <v>47669</v>
      </c>
      <c r="L15062" s="2" t="s">
        <v>29</v>
      </c>
      <c r="M15062" s="2">
        <v>48438.0</v>
      </c>
      <c r="N15062" s="2" t="s">
        <v>21</v>
      </c>
    </row>
    <row r="15063" ht="15.75" customHeight="1">
      <c r="A15063" s="2">
        <v>2021.0</v>
      </c>
      <c r="B15063" s="2" t="s">
        <v>51757</v>
      </c>
      <c r="C15063" s="2" t="s">
        <v>51758</v>
      </c>
      <c r="D15063" s="2" t="str">
        <f>"4846493622"</f>
        <v>4846493622</v>
      </c>
      <c r="E15063" s="2" t="s">
        <v>678</v>
      </c>
      <c r="F15063" s="2" t="s">
        <v>51759</v>
      </c>
      <c r="G15063" s="2" t="str">
        <f>"SR-18501"</f>
        <v>SR-18501</v>
      </c>
      <c r="H15063" s="2" t="s">
        <v>51760</v>
      </c>
      <c r="I15063" s="2" t="s">
        <v>51761</v>
      </c>
      <c r="K15063" s="2" t="s">
        <v>51762</v>
      </c>
      <c r="L15063" s="2" t="s">
        <v>179</v>
      </c>
      <c r="M15063" s="2">
        <v>19530.0</v>
      </c>
      <c r="N15063" s="2" t="s">
        <v>21</v>
      </c>
    </row>
    <row r="15064" ht="15.75" customHeight="1">
      <c r="A15064" s="2">
        <v>2021.0</v>
      </c>
      <c r="B15064" s="2" t="s">
        <v>41400</v>
      </c>
      <c r="C15064" s="2" t="s">
        <v>57911</v>
      </c>
      <c r="D15064" s="2" t="str">
        <f>"9729004133"</f>
        <v>9729004133</v>
      </c>
      <c r="E15064" s="2" t="s">
        <v>14150</v>
      </c>
      <c r="F15064" s="2" t="s">
        <v>2429</v>
      </c>
      <c r="G15064" s="2" t="str">
        <f>"SR-21869"</f>
        <v>SR-21869</v>
      </c>
      <c r="H15064" s="2" t="s">
        <v>57912</v>
      </c>
      <c r="I15064" s="2" t="s">
        <v>41403</v>
      </c>
      <c r="K15064" s="2" t="s">
        <v>2643</v>
      </c>
      <c r="L15064" s="2" t="s">
        <v>172</v>
      </c>
      <c r="M15064" s="2">
        <v>75028.0</v>
      </c>
      <c r="N15064" s="2" t="s">
        <v>21</v>
      </c>
    </row>
    <row r="15065" ht="15.75" customHeight="1">
      <c r="A15065" s="2">
        <v>2021.0</v>
      </c>
      <c r="B15065" s="2" t="s">
        <v>7341</v>
      </c>
      <c r="C15065" s="2" t="s">
        <v>53075</v>
      </c>
      <c r="D15065" s="2" t="str">
        <f>"5172602112"</f>
        <v>5172602112</v>
      </c>
      <c r="E15065" s="2" t="s">
        <v>7892</v>
      </c>
      <c r="F15065" s="2" t="s">
        <v>7343</v>
      </c>
      <c r="G15065" s="2" t="str">
        <f>"SR-18962"</f>
        <v>SR-18962</v>
      </c>
      <c r="H15065" s="2" t="s">
        <v>53076</v>
      </c>
      <c r="I15065" s="2" t="s">
        <v>53077</v>
      </c>
      <c r="K15065" s="2" t="s">
        <v>47</v>
      </c>
      <c r="L15065" s="2" t="s">
        <v>29</v>
      </c>
      <c r="M15065" s="2">
        <v>49221.0</v>
      </c>
      <c r="N15065" s="2" t="s">
        <v>21</v>
      </c>
    </row>
    <row r="15066" ht="15.75" customHeight="1">
      <c r="A15066" s="2">
        <v>2021.0</v>
      </c>
      <c r="B15066" s="2" t="s">
        <v>38197</v>
      </c>
      <c r="C15066" s="2" t="s">
        <v>49826</v>
      </c>
      <c r="D15066" s="2" t="str">
        <f>"5154514472"</f>
        <v>5154514472</v>
      </c>
      <c r="E15066" s="2" t="s">
        <v>6520</v>
      </c>
      <c r="F15066" s="2" t="s">
        <v>25630</v>
      </c>
      <c r="G15066" s="2" t="str">
        <f>"SR-17801"</f>
        <v>SR-17801</v>
      </c>
      <c r="H15066" s="2" t="s">
        <v>49827</v>
      </c>
      <c r="I15066" s="2" t="s">
        <v>49828</v>
      </c>
      <c r="K15066" s="2" t="s">
        <v>6354</v>
      </c>
      <c r="L15066" s="2" t="s">
        <v>560</v>
      </c>
      <c r="M15066" s="2">
        <v>50014.0</v>
      </c>
      <c r="N15066" s="2" t="s">
        <v>21</v>
      </c>
    </row>
    <row r="15067" ht="15.75" customHeight="1">
      <c r="A15067" s="2">
        <v>2021.0</v>
      </c>
      <c r="B15067" s="2" t="s">
        <v>57913</v>
      </c>
      <c r="C15067" s="2" t="s">
        <v>57914</v>
      </c>
      <c r="D15067" s="2" t="str">
        <f>"912-3419260"</f>
        <v>912-3419260</v>
      </c>
      <c r="E15067" s="2" t="s">
        <v>36331</v>
      </c>
      <c r="F15067" s="2" t="s">
        <v>3106</v>
      </c>
      <c r="G15067" s="2" t="str">
        <f>"SR-21870"</f>
        <v>SR-21870</v>
      </c>
      <c r="H15067" s="2" t="s">
        <v>57915</v>
      </c>
      <c r="I15067" s="2" t="s">
        <v>57916</v>
      </c>
      <c r="K15067" s="2" t="s">
        <v>57917</v>
      </c>
      <c r="L15067" s="2" t="s">
        <v>200</v>
      </c>
      <c r="M15067" s="2">
        <v>31411.0</v>
      </c>
      <c r="N15067" s="2" t="s">
        <v>21</v>
      </c>
    </row>
    <row r="15068" ht="15.75" customHeight="1">
      <c r="A15068" s="2">
        <v>2021.0</v>
      </c>
      <c r="B15068" s="2" t="s">
        <v>57918</v>
      </c>
      <c r="C15068" s="2" t="s">
        <v>57919</v>
      </c>
      <c r="D15068" s="2" t="str">
        <f>"703-389-2226"</f>
        <v>703-389-2226</v>
      </c>
      <c r="E15068" s="2" t="s">
        <v>37022</v>
      </c>
      <c r="F15068" s="2" t="s">
        <v>57920</v>
      </c>
      <c r="G15068" s="2" t="str">
        <f>"SR-20745"</f>
        <v>SR-20745</v>
      </c>
      <c r="H15068" s="2" t="s">
        <v>57921</v>
      </c>
      <c r="I15068" s="2" t="s">
        <v>57922</v>
      </c>
      <c r="K15068" s="2" t="s">
        <v>12516</v>
      </c>
      <c r="L15068" s="2" t="s">
        <v>165</v>
      </c>
      <c r="M15068" s="2">
        <v>20143.0</v>
      </c>
      <c r="N15068" s="2" t="s">
        <v>21</v>
      </c>
    </row>
    <row r="15069" ht="15.75" customHeight="1">
      <c r="A15069" s="2">
        <v>2021.0</v>
      </c>
      <c r="B15069" s="2" t="s">
        <v>57923</v>
      </c>
      <c r="C15069" s="2" t="s">
        <v>57923</v>
      </c>
      <c r="D15069" s="2" t="str">
        <f>"940-395-4461"</f>
        <v>940-395-4461</v>
      </c>
      <c r="E15069" s="2" t="s">
        <v>453</v>
      </c>
      <c r="F15069" s="2" t="s">
        <v>57924</v>
      </c>
      <c r="G15069" s="2" t="str">
        <f>"SR-21871"</f>
        <v>SR-21871</v>
      </c>
      <c r="H15069" s="2" t="s">
        <v>57925</v>
      </c>
      <c r="I15069" s="2" t="s">
        <v>57926</v>
      </c>
      <c r="K15069" s="2" t="s">
        <v>2643</v>
      </c>
      <c r="L15069" s="2" t="s">
        <v>172</v>
      </c>
      <c r="M15069" s="2">
        <v>75022.0</v>
      </c>
      <c r="N15069" s="2" t="s">
        <v>21</v>
      </c>
    </row>
    <row r="15070" ht="15.75" customHeight="1">
      <c r="A15070" s="2">
        <v>2021.0</v>
      </c>
      <c r="B15070" s="2" t="s">
        <v>57927</v>
      </c>
      <c r="C15070" s="2" t="s">
        <v>57927</v>
      </c>
      <c r="D15070" s="2" t="str">
        <f>"9077408977"</f>
        <v>9077408977</v>
      </c>
      <c r="E15070" s="2" t="s">
        <v>72</v>
      </c>
      <c r="F15070" s="2" t="s">
        <v>57928</v>
      </c>
      <c r="G15070" s="2" t="str">
        <f>"SR-21872"</f>
        <v>SR-21872</v>
      </c>
      <c r="H15070" s="2" t="s">
        <v>57929</v>
      </c>
      <c r="I15070" s="2" t="s">
        <v>57930</v>
      </c>
      <c r="K15070" s="2" t="s">
        <v>57931</v>
      </c>
      <c r="L15070" s="2" t="s">
        <v>70</v>
      </c>
      <c r="M15070" s="2">
        <v>99635.0</v>
      </c>
      <c r="N15070" s="2" t="s">
        <v>21</v>
      </c>
    </row>
    <row r="15071" ht="15.75" customHeight="1">
      <c r="A15071" s="2">
        <v>2021.0</v>
      </c>
      <c r="B15071" s="2" t="s">
        <v>57932</v>
      </c>
      <c r="C15071" s="2" t="s">
        <v>57933</v>
      </c>
      <c r="D15071" s="2" t="str">
        <f>"3392031868"</f>
        <v>3392031868</v>
      </c>
      <c r="E15071" s="2" t="s">
        <v>373</v>
      </c>
      <c r="F15071" s="2" t="s">
        <v>11388</v>
      </c>
      <c r="G15071" s="2" t="str">
        <f>"SR-21126"</f>
        <v>SR-21126</v>
      </c>
      <c r="H15071" s="2" t="s">
        <v>57934</v>
      </c>
      <c r="I15071" s="2" t="s">
        <v>57935</v>
      </c>
      <c r="K15071" s="2" t="s">
        <v>57936</v>
      </c>
      <c r="L15071" s="2" t="s">
        <v>4108</v>
      </c>
      <c r="M15071" s="2">
        <v>1906.0</v>
      </c>
      <c r="N15071" s="2" t="s">
        <v>21</v>
      </c>
    </row>
    <row r="15072" ht="15.75" customHeight="1">
      <c r="A15072" s="2">
        <v>2021.0</v>
      </c>
      <c r="B15072" s="2" t="s">
        <v>57932</v>
      </c>
      <c r="D15072" s="2" t="str">
        <f>""</f>
        <v/>
      </c>
      <c r="E15072" s="2" t="s">
        <v>651</v>
      </c>
      <c r="F15072" s="2" t="s">
        <v>11388</v>
      </c>
      <c r="G15072" s="2" t="str">
        <f>"SR-21873"</f>
        <v>SR-21873</v>
      </c>
      <c r="H15072" s="2" t="s">
        <v>57937</v>
      </c>
    </row>
    <row r="15073" ht="15.75" customHeight="1">
      <c r="A15073" s="2">
        <v>2021.0</v>
      </c>
      <c r="B15073" s="2" t="s">
        <v>57938</v>
      </c>
      <c r="C15073" s="2" t="s">
        <v>57939</v>
      </c>
      <c r="D15073" s="2" t="str">
        <f>"9077813072"</f>
        <v>9077813072</v>
      </c>
      <c r="E15073" s="2" t="s">
        <v>30058</v>
      </c>
      <c r="F15073" s="2" t="s">
        <v>12373</v>
      </c>
      <c r="G15073" s="2" t="str">
        <f>"SR-21875"</f>
        <v>SR-21875</v>
      </c>
      <c r="H15073" s="2" t="s">
        <v>57940</v>
      </c>
      <c r="I15073" s="2" t="s">
        <v>57941</v>
      </c>
      <c r="K15073" s="2" t="s">
        <v>1336</v>
      </c>
      <c r="L15073" s="2" t="s">
        <v>70</v>
      </c>
      <c r="M15073" s="2">
        <v>99669.0</v>
      </c>
      <c r="N15073" s="2" t="s">
        <v>21</v>
      </c>
    </row>
    <row r="15074" ht="15.75" customHeight="1">
      <c r="A15074" s="2">
        <v>2021.0</v>
      </c>
      <c r="B15074" s="2" t="s">
        <v>57942</v>
      </c>
      <c r="C15074" s="2" t="s">
        <v>57943</v>
      </c>
      <c r="D15074" s="2" t="str">
        <f>"2067246673"</f>
        <v>2067246673</v>
      </c>
      <c r="E15074" s="2" t="s">
        <v>5906</v>
      </c>
      <c r="F15074" s="2" t="s">
        <v>57944</v>
      </c>
      <c r="G15074" s="2" t="str">
        <f>"SR-21876"</f>
        <v>SR-21876</v>
      </c>
      <c r="H15074" s="2" t="s">
        <v>57945</v>
      </c>
      <c r="I15074" s="2" t="s">
        <v>57946</v>
      </c>
      <c r="J15074" s="2" t="s">
        <v>57947</v>
      </c>
      <c r="K15074" s="2" t="s">
        <v>57948</v>
      </c>
      <c r="L15074" s="2" t="s">
        <v>70</v>
      </c>
      <c r="M15074" s="2">
        <v>99610.0</v>
      </c>
      <c r="N15074" s="2" t="s">
        <v>21</v>
      </c>
    </row>
    <row r="15075" ht="15.75" customHeight="1">
      <c r="A15075" s="2">
        <v>2021.0</v>
      </c>
      <c r="B15075" s="2" t="s">
        <v>57949</v>
      </c>
      <c r="C15075" s="2" t="s">
        <v>57950</v>
      </c>
      <c r="D15075" s="2" t="str">
        <f>"+491717475204"</f>
        <v>+491717475204</v>
      </c>
      <c r="E15075" s="2" t="s">
        <v>4300</v>
      </c>
      <c r="F15075" s="2" t="s">
        <v>5439</v>
      </c>
      <c r="G15075" s="2" t="str">
        <f>"SR-21667"</f>
        <v>SR-21667</v>
      </c>
      <c r="H15075" s="2" t="s">
        <v>57951</v>
      </c>
      <c r="I15075" s="2" t="s">
        <v>57952</v>
      </c>
      <c r="K15075" s="2" t="s">
        <v>221</v>
      </c>
      <c r="L15075" s="2" t="s">
        <v>30007</v>
      </c>
      <c r="M15075" s="2">
        <v>9128.0</v>
      </c>
      <c r="N15075" s="2" t="s">
        <v>21</v>
      </c>
    </row>
    <row r="15076" ht="15.75" customHeight="1">
      <c r="A15076" s="2">
        <v>2021.0</v>
      </c>
      <c r="B15076" s="2" t="s">
        <v>57953</v>
      </c>
      <c r="C15076" s="2" t="s">
        <v>57954</v>
      </c>
      <c r="D15076" s="2" t="str">
        <f>"9203137773"</f>
        <v>9203137773</v>
      </c>
      <c r="E15076" s="2" t="s">
        <v>580</v>
      </c>
      <c r="F15076" s="2" t="s">
        <v>21205</v>
      </c>
      <c r="G15076" s="2" t="str">
        <f>"SR-21878"</f>
        <v>SR-21878</v>
      </c>
      <c r="H15076" s="2" t="s">
        <v>57955</v>
      </c>
      <c r="I15076" s="2" t="s">
        <v>57956</v>
      </c>
      <c r="K15076" s="2" t="s">
        <v>192</v>
      </c>
      <c r="L15076" s="2" t="s">
        <v>193</v>
      </c>
      <c r="M15076" s="2">
        <v>54935.0</v>
      </c>
      <c r="N15076" s="2" t="s">
        <v>21</v>
      </c>
    </row>
    <row r="15077" ht="15.75" customHeight="1">
      <c r="A15077" s="2">
        <v>2021.0</v>
      </c>
      <c r="B15077" s="2" t="s">
        <v>57957</v>
      </c>
      <c r="C15077" s="2" t="s">
        <v>57958</v>
      </c>
      <c r="D15077" s="2" t="str">
        <f>"9205398324"</f>
        <v>9205398324</v>
      </c>
      <c r="E15077" s="2" t="s">
        <v>5116</v>
      </c>
      <c r="F15077" s="2" t="s">
        <v>27229</v>
      </c>
      <c r="G15077" s="2" t="str">
        <f>"SR-21879"</f>
        <v>SR-21879</v>
      </c>
      <c r="H15077" s="2" t="s">
        <v>57959</v>
      </c>
      <c r="I15077" s="2" t="s">
        <v>57960</v>
      </c>
      <c r="K15077" s="2" t="s">
        <v>57961</v>
      </c>
      <c r="L15077" s="2" t="s">
        <v>193</v>
      </c>
      <c r="M15077" s="2">
        <v>54935.0</v>
      </c>
      <c r="N15077" s="2" t="s">
        <v>21</v>
      </c>
    </row>
    <row r="15078" ht="15.75" customHeight="1">
      <c r="A15078" s="2">
        <v>2021.0</v>
      </c>
      <c r="B15078" s="2" t="s">
        <v>57962</v>
      </c>
      <c r="C15078" s="2" t="s">
        <v>57962</v>
      </c>
      <c r="D15078" s="2" t="str">
        <f>"7128998876"</f>
        <v>7128998876</v>
      </c>
      <c r="E15078" s="2" t="s">
        <v>46500</v>
      </c>
      <c r="F15078" s="2" t="s">
        <v>57963</v>
      </c>
      <c r="G15078" s="2" t="str">
        <f>"SR-21352"</f>
        <v>SR-21352</v>
      </c>
      <c r="H15078" s="2" t="s">
        <v>57964</v>
      </c>
      <c r="I15078" s="2" t="s">
        <v>57965</v>
      </c>
      <c r="K15078" s="2" t="s">
        <v>572</v>
      </c>
      <c r="L15078" s="2" t="s">
        <v>757</v>
      </c>
      <c r="M15078" s="2">
        <v>68503.0</v>
      </c>
      <c r="N15078" s="2" t="s">
        <v>21</v>
      </c>
    </row>
    <row r="15079" ht="15.75" customHeight="1">
      <c r="A15079" s="2">
        <v>2021.0</v>
      </c>
      <c r="B15079" s="2" t="s">
        <v>57966</v>
      </c>
      <c r="C15079" s="2" t="s">
        <v>57967</v>
      </c>
      <c r="D15079" s="2" t="str">
        <f>"484 252 6345"</f>
        <v>484 252 6345</v>
      </c>
      <c r="E15079" s="2" t="s">
        <v>8386</v>
      </c>
      <c r="F15079" s="2" t="s">
        <v>57968</v>
      </c>
      <c r="G15079" s="2" t="str">
        <f>"SR-21779"</f>
        <v>SR-21779</v>
      </c>
      <c r="H15079" s="2" t="s">
        <v>57969</v>
      </c>
      <c r="I15079" s="2" t="s">
        <v>57970</v>
      </c>
      <c r="K15079" s="2" t="s">
        <v>44368</v>
      </c>
      <c r="L15079" s="2" t="s">
        <v>179</v>
      </c>
      <c r="M15079" s="2">
        <v>19341.0</v>
      </c>
      <c r="N15079" s="2" t="s">
        <v>21</v>
      </c>
    </row>
    <row r="15080" ht="15.75" customHeight="1">
      <c r="A15080" s="2">
        <v>2021.0</v>
      </c>
      <c r="B15080" s="2" t="s">
        <v>57971</v>
      </c>
      <c r="C15080" s="2" t="s">
        <v>57972</v>
      </c>
      <c r="D15080" s="2" t="str">
        <f>"4026991776"</f>
        <v>4026991776</v>
      </c>
      <c r="E15080" s="2" t="s">
        <v>16375</v>
      </c>
      <c r="F15080" s="2" t="s">
        <v>57973</v>
      </c>
      <c r="G15080" s="2" t="str">
        <f>"SR-21821"</f>
        <v>SR-21821</v>
      </c>
      <c r="H15080" s="2" t="s">
        <v>57974</v>
      </c>
      <c r="I15080" s="2" t="s">
        <v>57975</v>
      </c>
      <c r="K15080" s="2" t="s">
        <v>1470</v>
      </c>
      <c r="L15080" s="2" t="s">
        <v>757</v>
      </c>
      <c r="M15080" s="2">
        <v>68112.0</v>
      </c>
      <c r="N15080" s="2" t="s">
        <v>21</v>
      </c>
    </row>
    <row r="15081" ht="15.75" customHeight="1">
      <c r="A15081" s="2">
        <v>2021.0</v>
      </c>
      <c r="B15081" s="2" t="s">
        <v>57976</v>
      </c>
      <c r="C15081" s="2" t="s">
        <v>57976</v>
      </c>
      <c r="D15081" s="2" t="str">
        <f>"405 658 9823"</f>
        <v>405 658 9823</v>
      </c>
      <c r="E15081" s="2" t="s">
        <v>843</v>
      </c>
      <c r="F15081" s="2" t="s">
        <v>29534</v>
      </c>
      <c r="G15081" s="2" t="str">
        <f>"SR-21880"</f>
        <v>SR-21880</v>
      </c>
      <c r="H15081" s="2" t="s">
        <v>57977</v>
      </c>
      <c r="I15081" s="2" t="s">
        <v>29536</v>
      </c>
      <c r="K15081" s="2" t="s">
        <v>1546</v>
      </c>
      <c r="L15081" s="2" t="s">
        <v>840</v>
      </c>
      <c r="M15081" s="2">
        <v>73025.0</v>
      </c>
      <c r="N15081" s="2" t="s">
        <v>21</v>
      </c>
    </row>
    <row r="15082" ht="15.75" customHeight="1">
      <c r="A15082" s="2">
        <v>2021.0</v>
      </c>
      <c r="B15082" s="2" t="s">
        <v>57978</v>
      </c>
      <c r="C15082" s="2" t="s">
        <v>57979</v>
      </c>
      <c r="D15082" s="2" t="str">
        <f>"7246132767"</f>
        <v>7246132767</v>
      </c>
      <c r="E15082" s="2" t="s">
        <v>17011</v>
      </c>
      <c r="F15082" s="2" t="s">
        <v>57980</v>
      </c>
      <c r="G15082" s="2" t="str">
        <f>"SR-21881"</f>
        <v>SR-21881</v>
      </c>
      <c r="H15082" s="2" t="s">
        <v>57981</v>
      </c>
      <c r="I15082" s="2" t="s">
        <v>57982</v>
      </c>
      <c r="K15082" s="2" t="s">
        <v>8297</v>
      </c>
      <c r="L15082" s="2" t="s">
        <v>214</v>
      </c>
      <c r="M15082" s="2">
        <v>65548.0</v>
      </c>
      <c r="N15082" s="2" t="s">
        <v>21</v>
      </c>
    </row>
    <row r="15083" ht="15.75" customHeight="1">
      <c r="A15083" s="2">
        <v>2021.0</v>
      </c>
      <c r="B15083" s="2" t="s">
        <v>55853</v>
      </c>
      <c r="C15083" s="2" t="s">
        <v>55853</v>
      </c>
      <c r="D15083" s="2" t="str">
        <f>"4697158696"</f>
        <v>4697158696</v>
      </c>
      <c r="E15083" s="2" t="s">
        <v>57983</v>
      </c>
      <c r="F15083" s="2" t="s">
        <v>57984</v>
      </c>
      <c r="G15083" s="2" t="str">
        <f>"SR-20915"</f>
        <v>SR-20915</v>
      </c>
      <c r="H15083" s="2" t="s">
        <v>57985</v>
      </c>
      <c r="I15083" s="2" t="s">
        <v>55856</v>
      </c>
      <c r="K15083" s="2" t="s">
        <v>8398</v>
      </c>
      <c r="L15083" s="2" t="s">
        <v>172</v>
      </c>
      <c r="M15083" s="2">
        <v>75078.0</v>
      </c>
      <c r="N15083" s="2" t="s">
        <v>21</v>
      </c>
    </row>
    <row r="15084" ht="15.75" customHeight="1">
      <c r="A15084" s="2">
        <v>2021.0</v>
      </c>
      <c r="B15084" s="2" t="s">
        <v>57986</v>
      </c>
      <c r="C15084" s="2" t="s">
        <v>57987</v>
      </c>
      <c r="D15084" s="2" t="str">
        <f>"9525002436"</f>
        <v>9525002436</v>
      </c>
      <c r="E15084" s="2" t="s">
        <v>57988</v>
      </c>
      <c r="F15084" s="2" t="s">
        <v>57989</v>
      </c>
      <c r="G15084" s="2" t="str">
        <f>"SR-21882"</f>
        <v>SR-21882</v>
      </c>
      <c r="H15084" s="2" t="s">
        <v>57990</v>
      </c>
      <c r="I15084" s="2" t="s">
        <v>57991</v>
      </c>
      <c r="K15084" s="2" t="s">
        <v>2811</v>
      </c>
      <c r="L15084" s="2" t="s">
        <v>62</v>
      </c>
      <c r="M15084" s="2">
        <v>55124.0</v>
      </c>
      <c r="N15084" s="2" t="s">
        <v>21</v>
      </c>
    </row>
    <row r="15085" ht="15.75" customHeight="1">
      <c r="A15085" s="2">
        <v>2021.0</v>
      </c>
      <c r="B15085" s="2" t="s">
        <v>52728</v>
      </c>
      <c r="C15085" s="2" t="s">
        <v>52728</v>
      </c>
      <c r="D15085" s="2" t="str">
        <f>"4065513452"</f>
        <v>4065513452</v>
      </c>
      <c r="E15085" s="2" t="s">
        <v>8757</v>
      </c>
      <c r="F15085" s="2" t="s">
        <v>48022</v>
      </c>
      <c r="G15085" s="2" t="str">
        <f>"SR-18845"</f>
        <v>SR-18845</v>
      </c>
      <c r="H15085" s="2" t="s">
        <v>52729</v>
      </c>
      <c r="I15085" s="2" t="s">
        <v>48024</v>
      </c>
      <c r="K15085" s="2" t="s">
        <v>1807</v>
      </c>
      <c r="L15085" s="2" t="s">
        <v>2696</v>
      </c>
      <c r="M15085" s="2">
        <v>59741.0</v>
      </c>
      <c r="N15085" s="2" t="s">
        <v>21</v>
      </c>
    </row>
    <row r="15086" ht="15.75" customHeight="1">
      <c r="A15086" s="2">
        <v>2021.0</v>
      </c>
      <c r="B15086" s="2" t="s">
        <v>57992</v>
      </c>
      <c r="C15086" s="2" t="s">
        <v>57992</v>
      </c>
      <c r="D15086" s="2" t="str">
        <f>"8103102750"</f>
        <v>8103102750</v>
      </c>
      <c r="E15086" s="2" t="s">
        <v>14988</v>
      </c>
      <c r="F15086" s="2" t="s">
        <v>81</v>
      </c>
      <c r="G15086" s="2" t="str">
        <f>"SR-21885"</f>
        <v>SR-21885</v>
      </c>
      <c r="H15086" s="2" t="s">
        <v>20975</v>
      </c>
      <c r="I15086" s="2" t="s">
        <v>57993</v>
      </c>
      <c r="K15086" s="2" t="s">
        <v>57994</v>
      </c>
      <c r="L15086" s="2" t="s">
        <v>29</v>
      </c>
      <c r="M15086" s="2">
        <v>48002.0</v>
      </c>
      <c r="N15086" s="2" t="s">
        <v>21</v>
      </c>
    </row>
    <row r="15087" ht="15.75" customHeight="1">
      <c r="A15087" s="2">
        <v>2021.0</v>
      </c>
      <c r="B15087" s="2" t="s">
        <v>48020</v>
      </c>
      <c r="C15087" s="2" t="s">
        <v>48021</v>
      </c>
      <c r="D15087" s="2" t="str">
        <f>"4064513706"</f>
        <v>4064513706</v>
      </c>
      <c r="E15087" s="2" t="s">
        <v>2361</v>
      </c>
      <c r="F15087" s="2" t="s">
        <v>48022</v>
      </c>
      <c r="G15087" s="2" t="str">
        <f>"SR-16826"</f>
        <v>SR-16826</v>
      </c>
      <c r="H15087" s="2" t="s">
        <v>48023</v>
      </c>
      <c r="I15087" s="2" t="s">
        <v>48024</v>
      </c>
      <c r="K15087" s="2" t="s">
        <v>1807</v>
      </c>
      <c r="L15087" s="2" t="s">
        <v>2696</v>
      </c>
      <c r="M15087" s="2">
        <v>59741.0</v>
      </c>
      <c r="N15087" s="2" t="s">
        <v>21</v>
      </c>
    </row>
    <row r="15088" ht="15.75" customHeight="1">
      <c r="A15088" s="2">
        <v>2021.0</v>
      </c>
      <c r="B15088" s="2" t="s">
        <v>51781</v>
      </c>
      <c r="C15088" s="2" t="s">
        <v>51785</v>
      </c>
      <c r="D15088" s="2" t="str">
        <f>"5154807873"</f>
        <v>5154807873</v>
      </c>
      <c r="E15088" s="2" t="s">
        <v>1548</v>
      </c>
      <c r="F15088" s="2" t="s">
        <v>8294</v>
      </c>
      <c r="G15088" s="2" t="str">
        <f>"SR-18515"</f>
        <v>SR-18515</v>
      </c>
      <c r="H15088" s="2" t="s">
        <v>51786</v>
      </c>
      <c r="I15088" s="2" t="s">
        <v>51787</v>
      </c>
      <c r="K15088" s="2" t="s">
        <v>45261</v>
      </c>
      <c r="L15088" s="2" t="s">
        <v>560</v>
      </c>
      <c r="M15088" s="2">
        <v>50124.0</v>
      </c>
      <c r="N15088" s="2" t="s">
        <v>21</v>
      </c>
    </row>
    <row r="15089" ht="15.75" customHeight="1">
      <c r="A15089" s="2">
        <v>2021.0</v>
      </c>
      <c r="B15089" s="2" t="s">
        <v>57995</v>
      </c>
      <c r="C15089" s="2" t="s">
        <v>57996</v>
      </c>
      <c r="D15089" s="2" t="str">
        <f>"937-550-4641"</f>
        <v>937-550-4641</v>
      </c>
      <c r="E15089" s="2" t="s">
        <v>6202</v>
      </c>
      <c r="F15089" s="2" t="s">
        <v>57997</v>
      </c>
      <c r="G15089" s="2" t="str">
        <f>"SR-21457"</f>
        <v>SR-21457</v>
      </c>
      <c r="H15089" s="2" t="s">
        <v>57998</v>
      </c>
      <c r="I15089" s="2" t="s">
        <v>57999</v>
      </c>
      <c r="K15089" s="2" t="s">
        <v>30588</v>
      </c>
      <c r="L15089" s="2" t="s">
        <v>344</v>
      </c>
      <c r="M15089" s="2">
        <v>45066.0</v>
      </c>
      <c r="N15089" s="2" t="s">
        <v>21</v>
      </c>
    </row>
    <row r="15090" ht="15.75" customHeight="1">
      <c r="A15090" s="2">
        <v>2021.0</v>
      </c>
      <c r="B15090" s="2" t="s">
        <v>58000</v>
      </c>
      <c r="C15090" s="2" t="s">
        <v>58001</v>
      </c>
      <c r="D15090" s="2" t="str">
        <f>"803-922-7703"</f>
        <v>803-922-7703</v>
      </c>
      <c r="E15090" s="2" t="s">
        <v>6266</v>
      </c>
      <c r="F15090" s="2" t="s">
        <v>58002</v>
      </c>
      <c r="G15090" s="2" t="str">
        <f>"SR-21887"</f>
        <v>SR-21887</v>
      </c>
      <c r="H15090" s="2" t="s">
        <v>58003</v>
      </c>
      <c r="I15090" s="2" t="s">
        <v>58004</v>
      </c>
      <c r="K15090" s="2" t="s">
        <v>2750</v>
      </c>
      <c r="L15090" s="2" t="s">
        <v>55</v>
      </c>
      <c r="M15090" s="2">
        <v>29202.0</v>
      </c>
      <c r="N15090" s="2" t="s">
        <v>21</v>
      </c>
    </row>
    <row r="15091" ht="15.75" customHeight="1">
      <c r="A15091" s="2">
        <v>2021.0</v>
      </c>
      <c r="B15091" s="2" t="s">
        <v>45861</v>
      </c>
      <c r="C15091" s="2" t="s">
        <v>58005</v>
      </c>
      <c r="D15091" s="2" t="str">
        <f>"6167805239"</f>
        <v>6167805239</v>
      </c>
      <c r="E15091" s="2" t="s">
        <v>14661</v>
      </c>
      <c r="F15091" s="2" t="s">
        <v>45863</v>
      </c>
      <c r="G15091" s="2" t="str">
        <f>"SR-21886"</f>
        <v>SR-21886</v>
      </c>
      <c r="H15091" s="2" t="s">
        <v>58006</v>
      </c>
      <c r="I15091" s="2" t="s">
        <v>58007</v>
      </c>
      <c r="K15091" s="2" t="s">
        <v>7204</v>
      </c>
      <c r="L15091" s="2" t="s">
        <v>29</v>
      </c>
      <c r="M15091" s="2">
        <v>49316.0</v>
      </c>
      <c r="N15091" s="2" t="s">
        <v>21</v>
      </c>
    </row>
    <row r="15092" ht="15.75" customHeight="1">
      <c r="A15092" s="2">
        <v>2021.0</v>
      </c>
      <c r="B15092" s="2" t="s">
        <v>49127</v>
      </c>
      <c r="C15092" s="2" t="s">
        <v>49127</v>
      </c>
      <c r="D15092" s="2" t="str">
        <f>"6158868494"</f>
        <v>6158868494</v>
      </c>
      <c r="E15092" s="2" t="s">
        <v>49128</v>
      </c>
      <c r="F15092" s="2" t="s">
        <v>49129</v>
      </c>
      <c r="G15092" s="2" t="str">
        <f>"SR-21268"</f>
        <v>SR-21268</v>
      </c>
      <c r="H15092" s="2" t="s">
        <v>49130</v>
      </c>
      <c r="I15092" s="2" t="s">
        <v>58008</v>
      </c>
      <c r="K15092" s="2" t="s">
        <v>40251</v>
      </c>
      <c r="L15092" s="2" t="s">
        <v>279</v>
      </c>
      <c r="M15092" s="2">
        <v>37013.0</v>
      </c>
      <c r="N15092" s="2" t="s">
        <v>21</v>
      </c>
    </row>
    <row r="15093" ht="15.75" customHeight="1">
      <c r="A15093" s="2">
        <v>2021.0</v>
      </c>
      <c r="B15093" s="2" t="s">
        <v>52110</v>
      </c>
      <c r="C15093" s="2" t="s">
        <v>52110</v>
      </c>
      <c r="D15093" s="2" t="str">
        <f>"317-3401"</f>
        <v>317-3401</v>
      </c>
      <c r="E15093" s="2" t="s">
        <v>843</v>
      </c>
      <c r="F15093" s="2" t="s">
        <v>7102</v>
      </c>
      <c r="G15093" s="2" t="str">
        <f>"SR-18522"</f>
        <v>SR-18522</v>
      </c>
      <c r="H15093" s="2" t="s">
        <v>52111</v>
      </c>
      <c r="I15093" s="2" t="s">
        <v>52112</v>
      </c>
      <c r="K15093" s="2" t="s">
        <v>9717</v>
      </c>
      <c r="L15093" s="2" t="s">
        <v>2696</v>
      </c>
      <c r="M15093" s="2">
        <v>59870.0</v>
      </c>
      <c r="N15093" s="2" t="s">
        <v>21</v>
      </c>
    </row>
    <row r="15094" ht="15.75" customHeight="1">
      <c r="A15094" s="2">
        <v>2021.0</v>
      </c>
      <c r="B15094" s="2" t="s">
        <v>58009</v>
      </c>
      <c r="C15094" s="2" t="s">
        <v>58010</v>
      </c>
      <c r="D15094" s="2" t="str">
        <f>"4348132214"</f>
        <v>4348132214</v>
      </c>
      <c r="E15094" s="2" t="s">
        <v>21870</v>
      </c>
      <c r="F15094" s="2" t="s">
        <v>10024</v>
      </c>
      <c r="G15094" s="2" t="str">
        <f>"SR-21889"</f>
        <v>SR-21889</v>
      </c>
      <c r="H15094" s="2" t="s">
        <v>58011</v>
      </c>
      <c r="I15094" s="2" t="s">
        <v>58012</v>
      </c>
      <c r="J15094" s="2" t="s">
        <v>58013</v>
      </c>
      <c r="K15094" s="2" t="s">
        <v>58014</v>
      </c>
      <c r="L15094" s="2" t="s">
        <v>165</v>
      </c>
      <c r="M15094" s="2">
        <v>23055.0</v>
      </c>
      <c r="N15094" s="2" t="s">
        <v>21</v>
      </c>
    </row>
    <row r="15095" ht="15.75" customHeight="1">
      <c r="A15095" s="2">
        <v>2021.0</v>
      </c>
      <c r="B15095" s="2" t="s">
        <v>58015</v>
      </c>
      <c r="C15095" s="2" t="s">
        <v>58015</v>
      </c>
      <c r="D15095" s="2" t="str">
        <f>"9416003370"</f>
        <v>9416003370</v>
      </c>
      <c r="E15095" s="2" t="s">
        <v>824</v>
      </c>
      <c r="F15095" s="2" t="s">
        <v>4706</v>
      </c>
      <c r="G15095" s="2" t="str">
        <f>"SR-21891"</f>
        <v>SR-21891</v>
      </c>
      <c r="H15095" s="2" t="s">
        <v>58016</v>
      </c>
      <c r="I15095" s="2" t="s">
        <v>58017</v>
      </c>
      <c r="K15095" s="2" t="s">
        <v>21150</v>
      </c>
      <c r="L15095" s="2" t="s">
        <v>208</v>
      </c>
      <c r="M15095" s="2">
        <v>33952.0</v>
      </c>
      <c r="N15095" s="2" t="s">
        <v>21</v>
      </c>
    </row>
    <row r="15096" ht="15.75" customHeight="1">
      <c r="A15096" s="2">
        <v>2021.0</v>
      </c>
      <c r="B15096" s="2" t="s">
        <v>58018</v>
      </c>
      <c r="C15096" s="2" t="s">
        <v>58019</v>
      </c>
      <c r="D15096" s="2" t="str">
        <f>"6055693141"</f>
        <v>6055693141</v>
      </c>
      <c r="E15096" s="2" t="s">
        <v>32730</v>
      </c>
      <c r="F15096" s="2" t="s">
        <v>39575</v>
      </c>
      <c r="G15096" s="2" t="str">
        <f>"SR-21893"</f>
        <v>SR-21893</v>
      </c>
      <c r="H15096" s="2" t="s">
        <v>58020</v>
      </c>
      <c r="I15096" s="2" t="s">
        <v>58021</v>
      </c>
      <c r="K15096" s="2" t="s">
        <v>58022</v>
      </c>
      <c r="L15096" s="2" t="s">
        <v>920</v>
      </c>
      <c r="M15096" s="2">
        <v>57762.0</v>
      </c>
      <c r="N15096" s="2" t="s">
        <v>21</v>
      </c>
    </row>
    <row r="15097" ht="15.75" customHeight="1">
      <c r="A15097" s="2">
        <v>2021.0</v>
      </c>
      <c r="B15097" s="2" t="s">
        <v>58023</v>
      </c>
      <c r="C15097" s="2" t="s">
        <v>58023</v>
      </c>
      <c r="D15097" s="2" t="str">
        <f>"2534681968"</f>
        <v>2534681968</v>
      </c>
      <c r="E15097" s="2" t="s">
        <v>326</v>
      </c>
      <c r="F15097" s="2" t="s">
        <v>58024</v>
      </c>
      <c r="G15097" s="2" t="str">
        <f>"SR-21894"</f>
        <v>SR-21894</v>
      </c>
      <c r="H15097" s="2" t="s">
        <v>58025</v>
      </c>
      <c r="I15097" s="2" t="s">
        <v>58026</v>
      </c>
      <c r="K15097" s="2" t="s">
        <v>17321</v>
      </c>
      <c r="L15097" s="2" t="s">
        <v>86</v>
      </c>
      <c r="M15097" s="2">
        <v>98372.0</v>
      </c>
      <c r="N15097" s="2" t="s">
        <v>21</v>
      </c>
    </row>
    <row r="15098" ht="15.75" customHeight="1">
      <c r="A15098" s="2">
        <v>2021.0</v>
      </c>
      <c r="B15098" s="2" t="s">
        <v>58018</v>
      </c>
      <c r="C15098" s="2" t="s">
        <v>58027</v>
      </c>
      <c r="D15098" s="2" t="str">
        <f>"6055692421"</f>
        <v>6055692421</v>
      </c>
      <c r="E15098" s="2" t="s">
        <v>58028</v>
      </c>
      <c r="F15098" s="2" t="s">
        <v>39575</v>
      </c>
      <c r="G15098" s="2" t="str">
        <f>"SR-21895"</f>
        <v>SR-21895</v>
      </c>
      <c r="H15098" s="2" t="s">
        <v>58029</v>
      </c>
      <c r="I15098" s="2" t="s">
        <v>58021</v>
      </c>
      <c r="K15098" s="2" t="s">
        <v>58022</v>
      </c>
      <c r="L15098" s="2" t="s">
        <v>920</v>
      </c>
      <c r="M15098" s="2">
        <v>57762.0</v>
      </c>
      <c r="N15098" s="2" t="s">
        <v>21</v>
      </c>
    </row>
    <row r="15099" ht="15.75" customHeight="1">
      <c r="A15099" s="2">
        <v>2021.0</v>
      </c>
      <c r="B15099" s="2" t="s">
        <v>58030</v>
      </c>
      <c r="C15099" s="2" t="s">
        <v>58031</v>
      </c>
      <c r="D15099" s="2" t="str">
        <f>"817-676-4009"</f>
        <v>817-676-4009</v>
      </c>
      <c r="E15099" s="2" t="s">
        <v>58032</v>
      </c>
      <c r="F15099" s="2" t="s">
        <v>58033</v>
      </c>
      <c r="G15099" s="2" t="str">
        <f>"SR-21896"</f>
        <v>SR-21896</v>
      </c>
      <c r="H15099" s="2" t="s">
        <v>58034</v>
      </c>
      <c r="I15099" s="2" t="s">
        <v>58035</v>
      </c>
      <c r="K15099" s="2" t="s">
        <v>1260</v>
      </c>
      <c r="L15099" s="2" t="s">
        <v>172</v>
      </c>
      <c r="M15099" s="2">
        <v>76108.0</v>
      </c>
      <c r="N15099" s="2" t="s">
        <v>21</v>
      </c>
    </row>
    <row r="15100" ht="15.75" customHeight="1">
      <c r="A15100" s="2">
        <v>2021.0</v>
      </c>
      <c r="B15100" s="2" t="s">
        <v>58036</v>
      </c>
      <c r="C15100" s="2" t="s">
        <v>58036</v>
      </c>
      <c r="D15100" s="2" t="str">
        <f>"817-995-3941"</f>
        <v>817-995-3941</v>
      </c>
      <c r="E15100" s="2" t="s">
        <v>705</v>
      </c>
      <c r="F15100" s="2" t="s">
        <v>639</v>
      </c>
      <c r="G15100" s="2" t="str">
        <f>"SR-21868"</f>
        <v>SR-21868</v>
      </c>
      <c r="H15100" s="2" t="s">
        <v>58037</v>
      </c>
      <c r="I15100" s="2" t="s">
        <v>58038</v>
      </c>
      <c r="K15100" s="2" t="s">
        <v>1260</v>
      </c>
      <c r="L15100" s="2" t="s">
        <v>172</v>
      </c>
      <c r="M15100" s="2">
        <v>76120.0</v>
      </c>
      <c r="N15100" s="2" t="s">
        <v>21</v>
      </c>
    </row>
    <row r="15101" ht="15.75" customHeight="1">
      <c r="A15101" s="2">
        <v>2021.0</v>
      </c>
      <c r="B15101" s="2" t="s">
        <v>45223</v>
      </c>
      <c r="C15101" s="2" t="s">
        <v>45224</v>
      </c>
      <c r="D15101" s="2" t="str">
        <f>"3165584222"</f>
        <v>3165584222</v>
      </c>
      <c r="E15101" s="2" t="s">
        <v>3191</v>
      </c>
      <c r="F15101" s="2" t="s">
        <v>45225</v>
      </c>
      <c r="G15101" s="2" t="str">
        <f>"SR-15890"</f>
        <v>SR-15890</v>
      </c>
      <c r="H15101" s="2" t="s">
        <v>45226</v>
      </c>
      <c r="I15101" s="2" t="s">
        <v>45227</v>
      </c>
      <c r="K15101" s="2" t="s">
        <v>11436</v>
      </c>
      <c r="L15101" s="2" t="s">
        <v>272</v>
      </c>
      <c r="M15101" s="2">
        <v>67010.0</v>
      </c>
      <c r="N15101" s="2" t="s">
        <v>21</v>
      </c>
    </row>
    <row r="15102" ht="15.75" customHeight="1">
      <c r="A15102" s="2">
        <v>2021.0</v>
      </c>
      <c r="B15102" s="2" t="s">
        <v>50134</v>
      </c>
      <c r="C15102" s="2" t="s">
        <v>50135</v>
      </c>
      <c r="D15102" s="2" t="str">
        <f>"509-822-9344"</f>
        <v>509-822-9344</v>
      </c>
      <c r="E15102" s="2" t="s">
        <v>2306</v>
      </c>
      <c r="F15102" s="2" t="s">
        <v>4657</v>
      </c>
      <c r="G15102" s="2" t="str">
        <f>"SR-17902"</f>
        <v>SR-17902</v>
      </c>
      <c r="H15102" s="2" t="s">
        <v>50136</v>
      </c>
      <c r="I15102" s="2" t="s">
        <v>50137</v>
      </c>
      <c r="K15102" s="2" t="s">
        <v>1413</v>
      </c>
      <c r="L15102" s="2" t="s">
        <v>86</v>
      </c>
      <c r="M15102" s="2">
        <v>99218.0</v>
      </c>
      <c r="N15102" s="2" t="s">
        <v>21</v>
      </c>
    </row>
    <row r="15103" ht="15.75" customHeight="1">
      <c r="A15103" s="2">
        <v>2021.0</v>
      </c>
      <c r="B15103" s="2" t="s">
        <v>58039</v>
      </c>
      <c r="C15103" s="2" t="s">
        <v>58039</v>
      </c>
      <c r="D15103" s="2" t="str">
        <f>"8643957054"</f>
        <v>8643957054</v>
      </c>
      <c r="E15103" s="2" t="s">
        <v>42540</v>
      </c>
      <c r="F15103" s="2" t="s">
        <v>48363</v>
      </c>
      <c r="G15103" s="2" t="str">
        <f>"SR-21899"</f>
        <v>SR-21899</v>
      </c>
      <c r="H15103" s="2" t="s">
        <v>58040</v>
      </c>
      <c r="I15103" s="2" t="s">
        <v>58041</v>
      </c>
      <c r="K15103" s="2" t="s">
        <v>1878</v>
      </c>
      <c r="L15103" s="2" t="s">
        <v>55</v>
      </c>
      <c r="M15103" s="2">
        <v>29681.0</v>
      </c>
      <c r="N15103" s="2" t="s">
        <v>21</v>
      </c>
    </row>
    <row r="15104" ht="15.75" customHeight="1">
      <c r="A15104" s="2">
        <v>2021.0</v>
      </c>
      <c r="B15104" s="2" t="s">
        <v>50825</v>
      </c>
      <c r="C15104" s="2" t="s">
        <v>50825</v>
      </c>
      <c r="D15104" s="2" t="str">
        <f>"916-835-0859"</f>
        <v>916-835-0859</v>
      </c>
      <c r="E15104" s="2" t="s">
        <v>15187</v>
      </c>
      <c r="F15104" s="2" t="s">
        <v>50817</v>
      </c>
      <c r="G15104" s="2" t="str">
        <f>"SR-18134"</f>
        <v>SR-18134</v>
      </c>
      <c r="H15104" s="2" t="s">
        <v>50826</v>
      </c>
      <c r="I15104" s="2" t="s">
        <v>50827</v>
      </c>
      <c r="K15104" s="2" t="s">
        <v>50828</v>
      </c>
      <c r="L15104" s="2" t="s">
        <v>222</v>
      </c>
      <c r="M15104" s="2">
        <v>95829.0</v>
      </c>
      <c r="N15104" s="2" t="s">
        <v>21</v>
      </c>
    </row>
    <row r="15105" ht="15.75" customHeight="1">
      <c r="A15105" s="2">
        <v>2021.0</v>
      </c>
      <c r="B15105" s="2" t="s">
        <v>58042</v>
      </c>
      <c r="C15105" s="2" t="s">
        <v>58043</v>
      </c>
      <c r="D15105" s="2" t="str">
        <f>"3373177090"</f>
        <v>3373177090</v>
      </c>
      <c r="E15105" s="2" t="s">
        <v>503</v>
      </c>
      <c r="F15105" s="2" t="s">
        <v>58044</v>
      </c>
      <c r="G15105" s="2" t="str">
        <f>"SR-21898"</f>
        <v>SR-21898</v>
      </c>
      <c r="H15105" s="2" t="s">
        <v>58045</v>
      </c>
      <c r="I15105" s="2" t="s">
        <v>58046</v>
      </c>
      <c r="K15105" s="2" t="s">
        <v>18097</v>
      </c>
      <c r="L15105" s="2" t="s">
        <v>715</v>
      </c>
      <c r="M15105" s="2">
        <v>70652.0</v>
      </c>
      <c r="N15105" s="2" t="s">
        <v>21</v>
      </c>
    </row>
    <row r="15106" ht="15.75" customHeight="1">
      <c r="A15106" s="2">
        <v>2021.0</v>
      </c>
      <c r="B15106" s="2" t="s">
        <v>50829</v>
      </c>
      <c r="C15106" s="2" t="s">
        <v>50829</v>
      </c>
      <c r="D15106" s="2" t="str">
        <f>"916-873-2684"</f>
        <v>916-873-2684</v>
      </c>
      <c r="E15106" s="2" t="s">
        <v>50830</v>
      </c>
      <c r="F15106" s="2" t="s">
        <v>50817</v>
      </c>
      <c r="G15106" s="2" t="str">
        <f>"SR-18135"</f>
        <v>SR-18135</v>
      </c>
      <c r="H15106" s="2" t="s">
        <v>50831</v>
      </c>
      <c r="I15106" s="2" t="s">
        <v>50827</v>
      </c>
      <c r="K15106" s="2" t="s">
        <v>50828</v>
      </c>
      <c r="L15106" s="2" t="s">
        <v>222</v>
      </c>
      <c r="M15106" s="2">
        <v>95829.0</v>
      </c>
      <c r="N15106" s="2" t="s">
        <v>21</v>
      </c>
    </row>
    <row r="15107" ht="15.75" customHeight="1">
      <c r="A15107" s="2">
        <v>2021.0</v>
      </c>
      <c r="B15107" s="2" t="s">
        <v>58047</v>
      </c>
      <c r="C15107" s="2" t="s">
        <v>58047</v>
      </c>
      <c r="D15107" s="2" t="str">
        <f>"925-457-0557"</f>
        <v>925-457-0557</v>
      </c>
      <c r="E15107" s="2" t="s">
        <v>2912</v>
      </c>
      <c r="F15107" s="2" t="s">
        <v>81</v>
      </c>
      <c r="G15107" s="2" t="str">
        <f>"SR-21901"</f>
        <v>SR-21901</v>
      </c>
      <c r="H15107" s="2" t="s">
        <v>58048</v>
      </c>
      <c r="I15107" s="2" t="s">
        <v>58049</v>
      </c>
      <c r="K15107" s="2" t="s">
        <v>20321</v>
      </c>
      <c r="L15107" s="2" t="s">
        <v>222</v>
      </c>
      <c r="M15107" s="2">
        <v>94565.0</v>
      </c>
      <c r="N15107" s="2" t="s">
        <v>21</v>
      </c>
    </row>
    <row r="15108" ht="15.75" customHeight="1">
      <c r="A15108" s="2">
        <v>2021.0</v>
      </c>
      <c r="B15108" s="2" t="s">
        <v>58050</v>
      </c>
      <c r="C15108" s="2" t="s">
        <v>58050</v>
      </c>
      <c r="D15108" s="2" t="str">
        <f>"916-752-6319"</f>
        <v>916-752-6319</v>
      </c>
      <c r="E15108" s="2" t="s">
        <v>72</v>
      </c>
      <c r="F15108" s="2" t="s">
        <v>58051</v>
      </c>
      <c r="G15108" s="2" t="str">
        <f>"SR-21902"</f>
        <v>SR-21902</v>
      </c>
      <c r="H15108" s="2" t="s">
        <v>58052</v>
      </c>
      <c r="I15108" s="2" t="s">
        <v>58053</v>
      </c>
      <c r="K15108" s="2" t="s">
        <v>5924</v>
      </c>
      <c r="L15108" s="2" t="s">
        <v>222</v>
      </c>
      <c r="M15108" s="2">
        <v>95757.0</v>
      </c>
      <c r="N15108" s="2" t="s">
        <v>21</v>
      </c>
    </row>
    <row r="15109" ht="15.75" customHeight="1">
      <c r="A15109" s="2">
        <v>2021.0</v>
      </c>
      <c r="B15109" s="2" t="s">
        <v>33490</v>
      </c>
      <c r="C15109" s="2" t="s">
        <v>58054</v>
      </c>
      <c r="D15109" s="2" t="str">
        <f>"9195183067"</f>
        <v>9195183067</v>
      </c>
      <c r="E15109" s="2" t="s">
        <v>1682</v>
      </c>
      <c r="F15109" s="2" t="s">
        <v>10775</v>
      </c>
      <c r="G15109" s="2" t="str">
        <f>"SR-21906"</f>
        <v>SR-21906</v>
      </c>
      <c r="H15109" s="2" t="s">
        <v>58055</v>
      </c>
      <c r="I15109" s="2" t="s">
        <v>33493</v>
      </c>
      <c r="K15109" s="2" t="s">
        <v>13569</v>
      </c>
      <c r="L15109" s="2" t="s">
        <v>20</v>
      </c>
      <c r="M15109" s="2">
        <v>27526.0</v>
      </c>
      <c r="N15109" s="2" t="s">
        <v>21</v>
      </c>
    </row>
    <row r="15110" ht="15.75" customHeight="1">
      <c r="A15110" s="2">
        <v>2021.0</v>
      </c>
      <c r="B15110" s="2" t="s">
        <v>58056</v>
      </c>
      <c r="C15110" s="2" t="s">
        <v>58057</v>
      </c>
      <c r="D15110" s="2" t="str">
        <f>"470-871-4821"</f>
        <v>470-871-4821</v>
      </c>
      <c r="E15110" s="2" t="s">
        <v>678</v>
      </c>
      <c r="F15110" s="2" t="s">
        <v>1151</v>
      </c>
      <c r="G15110" s="2" t="str">
        <f>"SR-21564"</f>
        <v>SR-21564</v>
      </c>
      <c r="H15110" s="2" t="s">
        <v>4817</v>
      </c>
      <c r="I15110" s="2" t="s">
        <v>58058</v>
      </c>
      <c r="K15110" s="2" t="s">
        <v>12250</v>
      </c>
      <c r="L15110" s="2" t="s">
        <v>200</v>
      </c>
      <c r="M15110" s="2">
        <v>30519.0</v>
      </c>
      <c r="N15110" s="2" t="s">
        <v>21</v>
      </c>
    </row>
    <row r="15111" ht="15.75" customHeight="1">
      <c r="A15111" s="2">
        <v>2021.0</v>
      </c>
      <c r="B15111" s="2" t="s">
        <v>58059</v>
      </c>
      <c r="C15111" s="2" t="s">
        <v>58060</v>
      </c>
      <c r="D15111" s="2" t="str">
        <f>"9374993153"</f>
        <v>9374993153</v>
      </c>
      <c r="E15111" s="2" t="s">
        <v>1946</v>
      </c>
      <c r="F15111" s="2" t="s">
        <v>11642</v>
      </c>
      <c r="G15111" s="2" t="str">
        <f>"SR-21908"</f>
        <v>SR-21908</v>
      </c>
      <c r="H15111" s="2" t="s">
        <v>58061</v>
      </c>
      <c r="I15111" s="2" t="s">
        <v>58062</v>
      </c>
      <c r="K15111" s="2" t="s">
        <v>498</v>
      </c>
      <c r="L15111" s="2" t="s">
        <v>344</v>
      </c>
      <c r="M15111" s="2">
        <v>45320.0</v>
      </c>
      <c r="N15111" s="2" t="s">
        <v>21</v>
      </c>
    </row>
    <row r="15112" ht="15.75" customHeight="1">
      <c r="A15112" s="2">
        <v>2021.0</v>
      </c>
      <c r="B15112" s="2" t="s">
        <v>56968</v>
      </c>
      <c r="C15112" s="2" t="s">
        <v>58063</v>
      </c>
      <c r="D15112" s="2" t="str">
        <f>"6822281395"</f>
        <v>6822281395</v>
      </c>
      <c r="E15112" s="2" t="s">
        <v>301</v>
      </c>
      <c r="F15112" s="2" t="s">
        <v>3320</v>
      </c>
      <c r="G15112" s="2" t="str">
        <f>"SR-21741"</f>
        <v>SR-21741</v>
      </c>
      <c r="H15112" s="2" t="s">
        <v>58064</v>
      </c>
      <c r="I15112" s="2" t="s">
        <v>56971</v>
      </c>
      <c r="K15112" s="2" t="s">
        <v>8956</v>
      </c>
      <c r="L15112" s="2" t="s">
        <v>172</v>
      </c>
      <c r="M15112" s="2">
        <v>76033.0</v>
      </c>
      <c r="N15112" s="2" t="s">
        <v>21</v>
      </c>
    </row>
    <row r="15113" ht="15.75" customHeight="1">
      <c r="A15113" s="2">
        <v>2021.0</v>
      </c>
      <c r="B15113" s="2" t="s">
        <v>58065</v>
      </c>
      <c r="C15113" s="2" t="s">
        <v>58066</v>
      </c>
      <c r="D15113" s="2" t="str">
        <f>"320-260-6584"</f>
        <v>320-260-6584</v>
      </c>
      <c r="E15113" s="2" t="s">
        <v>25495</v>
      </c>
      <c r="F15113" s="2" t="s">
        <v>32467</v>
      </c>
      <c r="G15113" s="2" t="str">
        <f>"SR-21910"</f>
        <v>SR-21910</v>
      </c>
      <c r="H15113" s="2" t="s">
        <v>58067</v>
      </c>
      <c r="I15113" s="2" t="s">
        <v>32469</v>
      </c>
      <c r="K15113" s="2" t="s">
        <v>11526</v>
      </c>
      <c r="L15113" s="2" t="s">
        <v>62</v>
      </c>
      <c r="M15113" s="2">
        <v>56303.0</v>
      </c>
      <c r="N15113" s="2" t="s">
        <v>21</v>
      </c>
    </row>
    <row r="15114" ht="15.75" customHeight="1">
      <c r="A15114" s="2">
        <v>2021.0</v>
      </c>
      <c r="B15114" s="2" t="s">
        <v>58068</v>
      </c>
      <c r="C15114" s="2" t="s">
        <v>58069</v>
      </c>
      <c r="D15114" s="2" t="str">
        <f>"8595335481"</f>
        <v>8595335481</v>
      </c>
      <c r="E15114" s="2" t="s">
        <v>72</v>
      </c>
      <c r="F15114" s="2" t="s">
        <v>3028</v>
      </c>
      <c r="G15114" s="2" t="str">
        <f>"SR-21766"</f>
        <v>SR-21766</v>
      </c>
      <c r="H15114" s="2" t="s">
        <v>58070</v>
      </c>
      <c r="I15114" s="2" t="s">
        <v>58071</v>
      </c>
      <c r="K15114" s="2" t="s">
        <v>4482</v>
      </c>
      <c r="L15114" s="2" t="s">
        <v>1236</v>
      </c>
      <c r="M15114" s="2">
        <v>40324.0</v>
      </c>
      <c r="N15114" s="2" t="s">
        <v>21</v>
      </c>
    </row>
    <row r="15115" ht="15.75" customHeight="1">
      <c r="A15115" s="2">
        <v>2021.0</v>
      </c>
      <c r="B15115" s="2" t="s">
        <v>58072</v>
      </c>
      <c r="C15115" s="2" t="s">
        <v>58072</v>
      </c>
      <c r="D15115" s="2" t="str">
        <f>"7326329697"</f>
        <v>7326329697</v>
      </c>
      <c r="E15115" s="2" t="s">
        <v>7145</v>
      </c>
      <c r="F15115" s="2" t="s">
        <v>2310</v>
      </c>
      <c r="G15115" s="2" t="str">
        <f>"SR-21914"</f>
        <v>SR-21914</v>
      </c>
      <c r="H15115" s="2" t="s">
        <v>58073</v>
      </c>
      <c r="I15115" s="2" t="s">
        <v>58074</v>
      </c>
      <c r="K15115" s="2" t="s">
        <v>53386</v>
      </c>
      <c r="L15115" s="2" t="s">
        <v>3618</v>
      </c>
      <c r="M15115" s="2">
        <v>8820.0</v>
      </c>
      <c r="N15115" s="2" t="s">
        <v>21</v>
      </c>
    </row>
    <row r="15116" ht="15.75" customHeight="1">
      <c r="A15116" s="2">
        <v>2021.0</v>
      </c>
      <c r="B15116" s="2" t="s">
        <v>58075</v>
      </c>
      <c r="C15116" s="2" t="s">
        <v>58076</v>
      </c>
      <c r="D15116" s="2" t="str">
        <f>"8433680953"</f>
        <v>8433680953</v>
      </c>
      <c r="E15116" s="2" t="s">
        <v>2306</v>
      </c>
      <c r="F15116" s="2" t="s">
        <v>27831</v>
      </c>
      <c r="G15116" s="2" t="str">
        <f>"SR-21909"</f>
        <v>SR-21909</v>
      </c>
      <c r="H15116" s="2" t="s">
        <v>27832</v>
      </c>
      <c r="I15116" s="2" t="s">
        <v>58077</v>
      </c>
      <c r="K15116" s="2" t="s">
        <v>26737</v>
      </c>
      <c r="L15116" s="2" t="s">
        <v>55</v>
      </c>
      <c r="M15116" s="2">
        <v>29901.0</v>
      </c>
      <c r="N15116" s="2" t="s">
        <v>21</v>
      </c>
    </row>
    <row r="15117" ht="15.75" customHeight="1">
      <c r="A15117" s="2">
        <v>2021.0</v>
      </c>
      <c r="B15117" s="2" t="s">
        <v>44116</v>
      </c>
      <c r="C15117" s="2" t="s">
        <v>58078</v>
      </c>
      <c r="D15117" s="2" t="str">
        <f>"1 618 830 8410"</f>
        <v>1 618 830 8410</v>
      </c>
      <c r="E15117" s="2" t="s">
        <v>58079</v>
      </c>
      <c r="F15117" s="2" t="s">
        <v>4011</v>
      </c>
      <c r="G15117" s="2" t="str">
        <f>"SR-21917"</f>
        <v>SR-21917</v>
      </c>
      <c r="H15117" s="2" t="s">
        <v>58080</v>
      </c>
      <c r="I15117" s="2" t="s">
        <v>58081</v>
      </c>
      <c r="K15117" s="2" t="s">
        <v>18018</v>
      </c>
      <c r="L15117" s="2" t="s">
        <v>105</v>
      </c>
      <c r="M15117" s="2">
        <v>62258.0</v>
      </c>
      <c r="N15117" s="2" t="s">
        <v>21</v>
      </c>
    </row>
    <row r="15118" ht="15.75" customHeight="1">
      <c r="A15118" s="2">
        <v>2021.0</v>
      </c>
      <c r="B15118" s="2" t="s">
        <v>58082</v>
      </c>
      <c r="C15118" s="2" t="s">
        <v>58083</v>
      </c>
      <c r="D15118" s="2" t="str">
        <f>"5409087667"</f>
        <v>5409087667</v>
      </c>
      <c r="E15118" s="2" t="s">
        <v>250</v>
      </c>
      <c r="F15118" s="2" t="s">
        <v>2063</v>
      </c>
      <c r="G15118" s="2" t="str">
        <f>"SR-21913"</f>
        <v>SR-21913</v>
      </c>
      <c r="H15118" s="2" t="s">
        <v>58084</v>
      </c>
      <c r="I15118" s="2" t="s">
        <v>58085</v>
      </c>
      <c r="K15118" s="2" t="s">
        <v>24488</v>
      </c>
      <c r="L15118" s="2" t="s">
        <v>165</v>
      </c>
      <c r="M15118" s="2">
        <v>22801.0</v>
      </c>
      <c r="N15118" s="2" t="s">
        <v>21</v>
      </c>
    </row>
    <row r="15119" ht="15.75" customHeight="1">
      <c r="A15119" s="2">
        <v>2021.0</v>
      </c>
      <c r="B15119" s="2" t="s">
        <v>30843</v>
      </c>
      <c r="C15119" s="2" t="s">
        <v>30844</v>
      </c>
      <c r="D15119" s="2" t="str">
        <f>"7276419517"</f>
        <v>7276419517</v>
      </c>
      <c r="E15119" s="2" t="s">
        <v>261</v>
      </c>
      <c r="F15119" s="2" t="s">
        <v>744</v>
      </c>
      <c r="G15119" s="2" t="str">
        <f>"SR-9749"</f>
        <v>SR-9749</v>
      </c>
      <c r="H15119" s="2" t="s">
        <v>30845</v>
      </c>
      <c r="I15119" s="2" t="s">
        <v>30846</v>
      </c>
      <c r="K15119" s="2" t="s">
        <v>30847</v>
      </c>
      <c r="L15119" s="2" t="s">
        <v>208</v>
      </c>
      <c r="M15119" s="2">
        <v>33709.0</v>
      </c>
      <c r="N15119" s="2" t="s">
        <v>21</v>
      </c>
    </row>
    <row r="15120" ht="15.75" customHeight="1">
      <c r="A15120" s="2">
        <v>2021.0</v>
      </c>
      <c r="B15120" s="2" t="s">
        <v>30843</v>
      </c>
      <c r="C15120" s="2" t="s">
        <v>50321</v>
      </c>
      <c r="D15120" s="2" t="str">
        <f>"7274584858"</f>
        <v>7274584858</v>
      </c>
      <c r="E15120" s="2" t="s">
        <v>137</v>
      </c>
      <c r="F15120" s="2" t="s">
        <v>744</v>
      </c>
      <c r="G15120" s="2" t="str">
        <f>"SR-17971"</f>
        <v>SR-17971</v>
      </c>
      <c r="H15120" s="2" t="s">
        <v>50322</v>
      </c>
      <c r="I15120" s="2" t="s">
        <v>30846</v>
      </c>
      <c r="K15120" s="2" t="s">
        <v>30847</v>
      </c>
      <c r="L15120" s="2" t="s">
        <v>208</v>
      </c>
      <c r="M15120" s="2">
        <v>33709.0</v>
      </c>
      <c r="N15120" s="2" t="s">
        <v>21</v>
      </c>
    </row>
    <row r="15121" ht="15.75" customHeight="1">
      <c r="A15121" s="2">
        <v>2021.0</v>
      </c>
      <c r="B15121" s="2" t="s">
        <v>50770</v>
      </c>
      <c r="C15121" s="2" t="s">
        <v>50771</v>
      </c>
      <c r="D15121" s="2" t="str">
        <f>"574-312-3665"</f>
        <v>574-312-3665</v>
      </c>
      <c r="E15121" s="2" t="s">
        <v>705</v>
      </c>
      <c r="F15121" s="2" t="s">
        <v>7508</v>
      </c>
      <c r="G15121" s="2" t="str">
        <f>"SR-17890"</f>
        <v>SR-17890</v>
      </c>
      <c r="H15121" s="2" t="s">
        <v>50772</v>
      </c>
      <c r="I15121" s="2" t="s">
        <v>50773</v>
      </c>
      <c r="K15121" s="2" t="s">
        <v>7248</v>
      </c>
      <c r="L15121" s="2" t="s">
        <v>272</v>
      </c>
      <c r="M15121" s="2">
        <v>46540.0</v>
      </c>
      <c r="N15121" s="2" t="s">
        <v>21</v>
      </c>
    </row>
    <row r="15122" ht="15.75" customHeight="1">
      <c r="A15122" s="2">
        <v>2021.0</v>
      </c>
      <c r="B15122" s="2" t="s">
        <v>58086</v>
      </c>
      <c r="C15122" s="2" t="s">
        <v>58086</v>
      </c>
      <c r="D15122" s="2" t="str">
        <f>"8108772702"</f>
        <v>8108772702</v>
      </c>
      <c r="E15122" s="2" t="s">
        <v>6266</v>
      </c>
      <c r="F15122" s="2" t="s">
        <v>58087</v>
      </c>
      <c r="G15122" s="2" t="str">
        <f>"SR-21867"</f>
        <v>SR-21867</v>
      </c>
      <c r="H15122" s="2" t="s">
        <v>58088</v>
      </c>
      <c r="I15122" s="2" t="s">
        <v>58089</v>
      </c>
      <c r="K15122" s="2" t="s">
        <v>34867</v>
      </c>
      <c r="L15122" s="2" t="s">
        <v>29</v>
      </c>
      <c r="M15122" s="2">
        <v>48439.0</v>
      </c>
      <c r="N15122" s="2" t="s">
        <v>21</v>
      </c>
    </row>
    <row r="15123" ht="15.75" customHeight="1">
      <c r="A15123" s="2">
        <v>2021.0</v>
      </c>
      <c r="B15123" s="2" t="s">
        <v>58090</v>
      </c>
      <c r="C15123" s="2" t="s">
        <v>58090</v>
      </c>
      <c r="D15123" s="2" t="str">
        <f>"4238954731"</f>
        <v>4238954731</v>
      </c>
      <c r="E15123" s="2" t="s">
        <v>5858</v>
      </c>
      <c r="F15123" s="2" t="s">
        <v>1648</v>
      </c>
      <c r="G15123" s="2" t="str">
        <f>"SR-21921"</f>
        <v>SR-21921</v>
      </c>
      <c r="H15123" s="2" t="s">
        <v>58091</v>
      </c>
      <c r="I15123" s="2" t="s">
        <v>58092</v>
      </c>
      <c r="K15123" s="2" t="s">
        <v>58093</v>
      </c>
      <c r="L15123" s="2" t="s">
        <v>279</v>
      </c>
      <c r="M15123" s="2">
        <v>37643.0</v>
      </c>
      <c r="N15123" s="2" t="s">
        <v>21</v>
      </c>
    </row>
    <row r="15124" ht="15.75" customHeight="1">
      <c r="A15124" s="2">
        <v>2021.0</v>
      </c>
      <c r="B15124" s="2" t="s">
        <v>58094</v>
      </c>
      <c r="C15124" s="2" t="s">
        <v>58095</v>
      </c>
      <c r="D15124" s="2" t="str">
        <f>"631-965-9092"</f>
        <v>631-965-9092</v>
      </c>
      <c r="E15124" s="2" t="s">
        <v>385</v>
      </c>
      <c r="F15124" s="2" t="s">
        <v>58096</v>
      </c>
      <c r="G15124" s="2" t="str">
        <f>"SR-21918"</f>
        <v>SR-21918</v>
      </c>
      <c r="H15124" s="2" t="s">
        <v>58097</v>
      </c>
      <c r="I15124" s="2" t="s">
        <v>58098</v>
      </c>
      <c r="K15124" s="2" t="s">
        <v>58099</v>
      </c>
      <c r="L15124" s="2" t="s">
        <v>142</v>
      </c>
      <c r="M15124" s="2">
        <v>11940.0</v>
      </c>
      <c r="N15124" s="2" t="s">
        <v>21</v>
      </c>
    </row>
    <row r="15125" ht="15.75" customHeight="1">
      <c r="A15125" s="2">
        <v>2021.0</v>
      </c>
      <c r="B15125" s="2" t="s">
        <v>51260</v>
      </c>
      <c r="D15125" s="2" t="str">
        <f>""</f>
        <v/>
      </c>
      <c r="E15125" s="2" t="s">
        <v>6170</v>
      </c>
      <c r="F15125" s="2" t="s">
        <v>9406</v>
      </c>
      <c r="G15125" s="2" t="str">
        <f>"SR-18268"</f>
        <v>SR-18268</v>
      </c>
      <c r="H15125" s="2" t="s">
        <v>51261</v>
      </c>
      <c r="N15125" s="2" t="s">
        <v>21</v>
      </c>
    </row>
    <row r="15126" ht="15.75" customHeight="1">
      <c r="A15126" s="2">
        <v>2021.0</v>
      </c>
      <c r="B15126" s="2" t="s">
        <v>50107</v>
      </c>
      <c r="C15126" s="2" t="s">
        <v>50108</v>
      </c>
      <c r="D15126" s="2" t="str">
        <f>"719-493-4357"</f>
        <v>719-493-4357</v>
      </c>
      <c r="E15126" s="2" t="s">
        <v>4775</v>
      </c>
      <c r="F15126" s="2" t="s">
        <v>50109</v>
      </c>
      <c r="G15126" s="2" t="str">
        <f>"SR-17574"</f>
        <v>SR-17574</v>
      </c>
      <c r="H15126" s="2" t="s">
        <v>50110</v>
      </c>
      <c r="I15126" s="2" t="s">
        <v>50111</v>
      </c>
      <c r="K15126" s="2" t="s">
        <v>809</v>
      </c>
      <c r="L15126" s="2" t="s">
        <v>157</v>
      </c>
      <c r="M15126" s="2">
        <v>80921.0</v>
      </c>
      <c r="N15126" s="2" t="s">
        <v>21</v>
      </c>
    </row>
    <row r="15127" ht="15.75" customHeight="1">
      <c r="A15127" s="2">
        <v>2021.0</v>
      </c>
      <c r="B15127" s="2" t="s">
        <v>49814</v>
      </c>
      <c r="C15127" s="2" t="s">
        <v>49815</v>
      </c>
      <c r="D15127" s="2" t="str">
        <f>"352.665.0485"</f>
        <v>352.665.0485</v>
      </c>
      <c r="E15127" s="2" t="s">
        <v>385</v>
      </c>
      <c r="F15127" s="2" t="s">
        <v>2063</v>
      </c>
      <c r="G15127" s="2" t="str">
        <f>"SR-17798"</f>
        <v>SR-17798</v>
      </c>
      <c r="H15127" s="2" t="s">
        <v>49816</v>
      </c>
      <c r="I15127" s="2" t="s">
        <v>49817</v>
      </c>
      <c r="K15127" s="2" t="s">
        <v>2007</v>
      </c>
      <c r="L15127" s="2" t="s">
        <v>208</v>
      </c>
      <c r="M15127" s="2">
        <v>32312.0</v>
      </c>
      <c r="N15127" s="2" t="s">
        <v>21</v>
      </c>
    </row>
    <row r="15128" ht="15.75" customHeight="1">
      <c r="A15128" s="2">
        <v>2021.0</v>
      </c>
      <c r="B15128" s="2" t="s">
        <v>58100</v>
      </c>
      <c r="D15128" s="2" t="str">
        <f>""</f>
        <v/>
      </c>
      <c r="E15128" s="2" t="s">
        <v>15041</v>
      </c>
      <c r="F15128" s="2" t="s">
        <v>58101</v>
      </c>
      <c r="G15128" s="2" t="str">
        <f>"SR-21923"</f>
        <v>SR-21923</v>
      </c>
      <c r="H15128" s="2" t="s">
        <v>58102</v>
      </c>
      <c r="N15128" s="2" t="s">
        <v>21</v>
      </c>
    </row>
    <row r="15129" ht="15.75" customHeight="1">
      <c r="A15129" s="2">
        <v>2021.0</v>
      </c>
      <c r="B15129" s="2" t="s">
        <v>58103</v>
      </c>
      <c r="C15129" s="2" t="s">
        <v>58103</v>
      </c>
      <c r="D15129" s="2" t="str">
        <f>"2602730363"</f>
        <v>2602730363</v>
      </c>
      <c r="E15129" s="2" t="s">
        <v>58104</v>
      </c>
      <c r="F15129" s="2" t="s">
        <v>5506</v>
      </c>
      <c r="G15129" s="2" t="str">
        <f>"SR-21925"</f>
        <v>SR-21925</v>
      </c>
      <c r="H15129" s="2" t="s">
        <v>58105</v>
      </c>
      <c r="I15129" s="2" t="s">
        <v>58106</v>
      </c>
      <c r="K15129" s="2" t="s">
        <v>58107</v>
      </c>
      <c r="L15129" s="2" t="s">
        <v>344</v>
      </c>
      <c r="M15129" s="2">
        <v>45068.0</v>
      </c>
      <c r="N15129" s="2" t="s">
        <v>21</v>
      </c>
    </row>
    <row r="15130" ht="15.75" customHeight="1">
      <c r="A15130" s="2">
        <v>2021.0</v>
      </c>
      <c r="B15130" s="2" t="s">
        <v>51374</v>
      </c>
      <c r="C15130" s="2" t="s">
        <v>58108</v>
      </c>
      <c r="D15130" s="2" t="str">
        <f>"9803492020"</f>
        <v>9803492020</v>
      </c>
      <c r="E15130" s="2" t="s">
        <v>137</v>
      </c>
      <c r="F15130" s="2" t="s">
        <v>51376</v>
      </c>
      <c r="G15130" s="2" t="str">
        <f>"SR-21668"</f>
        <v>SR-21668</v>
      </c>
      <c r="H15130" s="2" t="s">
        <v>58109</v>
      </c>
      <c r="I15130" s="2" t="s">
        <v>51378</v>
      </c>
      <c r="K15130" s="2" t="s">
        <v>19</v>
      </c>
      <c r="L15130" s="2" t="s">
        <v>20</v>
      </c>
      <c r="M15130" s="2">
        <v>28210.0</v>
      </c>
      <c r="N15130" s="2" t="s">
        <v>21</v>
      </c>
    </row>
    <row r="15131" ht="15.75" customHeight="1">
      <c r="A15131" s="2">
        <v>2021.0</v>
      </c>
      <c r="B15131" s="2" t="s">
        <v>51714</v>
      </c>
      <c r="C15131" s="2" t="s">
        <v>51714</v>
      </c>
      <c r="D15131" s="2" t="str">
        <f>"407-620-3529"</f>
        <v>407-620-3529</v>
      </c>
      <c r="E15131" s="2" t="s">
        <v>1088</v>
      </c>
      <c r="F15131" s="2" t="s">
        <v>3656</v>
      </c>
      <c r="G15131" s="2" t="str">
        <f>"SR-18493"</f>
        <v>SR-18493</v>
      </c>
      <c r="H15131" s="2" t="s">
        <v>51715</v>
      </c>
      <c r="I15131" s="2" t="s">
        <v>51716</v>
      </c>
      <c r="K15131" s="2" t="s">
        <v>51717</v>
      </c>
      <c r="L15131" s="2" t="s">
        <v>208</v>
      </c>
      <c r="M15131" s="2">
        <v>33823.0</v>
      </c>
      <c r="N15131" s="2" t="s">
        <v>21</v>
      </c>
    </row>
    <row r="15132" ht="15.75" customHeight="1">
      <c r="A15132" s="2">
        <v>2021.0</v>
      </c>
      <c r="B15132" s="2" t="s">
        <v>58110</v>
      </c>
      <c r="C15132" s="2" t="s">
        <v>58111</v>
      </c>
      <c r="D15132" s="2" t="str">
        <f>"470-354-6735"</f>
        <v>470-354-6735</v>
      </c>
      <c r="E15132" s="2" t="s">
        <v>58112</v>
      </c>
      <c r="F15132" s="2" t="s">
        <v>58113</v>
      </c>
      <c r="G15132" s="2" t="str">
        <f>"SR-19018"</f>
        <v>SR-19018</v>
      </c>
      <c r="H15132" s="2" t="s">
        <v>58114</v>
      </c>
      <c r="I15132" s="2" t="s">
        <v>58115</v>
      </c>
      <c r="K15132" s="2" t="s">
        <v>21389</v>
      </c>
      <c r="L15132" s="2" t="s">
        <v>200</v>
      </c>
      <c r="M15132" s="2">
        <v>30507.0</v>
      </c>
      <c r="N15132" s="2" t="s">
        <v>21</v>
      </c>
    </row>
    <row r="15133" ht="15.75" customHeight="1">
      <c r="A15133" s="2">
        <v>2021.0</v>
      </c>
      <c r="B15133" s="2" t="s">
        <v>51331</v>
      </c>
      <c r="C15133" s="2" t="s">
        <v>51331</v>
      </c>
      <c r="D15133" s="2" t="str">
        <f>"6822193926"</f>
        <v>6822193926</v>
      </c>
      <c r="E15133" s="2" t="s">
        <v>39039</v>
      </c>
      <c r="F15133" s="2" t="s">
        <v>23399</v>
      </c>
      <c r="G15133" s="2" t="str">
        <f>"SR-18338"</f>
        <v>SR-18338</v>
      </c>
      <c r="H15133" s="2" t="s">
        <v>51332</v>
      </c>
      <c r="I15133" s="2" t="s">
        <v>51333</v>
      </c>
      <c r="K15133" s="2" t="s">
        <v>882</v>
      </c>
      <c r="L15133" s="2" t="s">
        <v>172</v>
      </c>
      <c r="M15133" s="2">
        <v>76001.0</v>
      </c>
      <c r="N15133" s="2" t="s">
        <v>21</v>
      </c>
    </row>
    <row r="15134" ht="15.75" customHeight="1">
      <c r="A15134" s="2">
        <v>2021.0</v>
      </c>
      <c r="B15134" s="2" t="s">
        <v>58116</v>
      </c>
      <c r="C15134" s="2" t="s">
        <v>58116</v>
      </c>
      <c r="D15134" s="2" t="str">
        <f>"512-694-2354"</f>
        <v>512-694-2354</v>
      </c>
      <c r="E15134" s="2" t="s">
        <v>2306</v>
      </c>
      <c r="F15134" s="2" t="s">
        <v>12320</v>
      </c>
      <c r="G15134" s="2" t="str">
        <f>"SR-21936"</f>
        <v>SR-21936</v>
      </c>
      <c r="H15134" s="2" t="s">
        <v>58117</v>
      </c>
      <c r="I15134" s="2" t="s">
        <v>58118</v>
      </c>
      <c r="K15134" s="2" t="s">
        <v>1141</v>
      </c>
      <c r="L15134" s="2" t="s">
        <v>172</v>
      </c>
      <c r="M15134" s="2">
        <v>78737.0</v>
      </c>
      <c r="N15134" s="2" t="s">
        <v>21</v>
      </c>
    </row>
    <row r="15135" ht="15.75" customHeight="1">
      <c r="A15135" s="2">
        <v>2021.0</v>
      </c>
      <c r="B15135" s="2" t="s">
        <v>58119</v>
      </c>
      <c r="C15135" s="2" t="s">
        <v>58120</v>
      </c>
      <c r="D15135" s="2" t="str">
        <f>"2095025914"</f>
        <v>2095025914</v>
      </c>
      <c r="E15135" s="2" t="s">
        <v>7512</v>
      </c>
      <c r="F15135" s="2" t="s">
        <v>58121</v>
      </c>
      <c r="G15135" s="2" t="str">
        <f>"SR-21562"</f>
        <v>SR-21562</v>
      </c>
      <c r="H15135" s="2" t="s">
        <v>58122</v>
      </c>
      <c r="I15135" s="2" t="s">
        <v>58123</v>
      </c>
      <c r="K15135" s="2" t="s">
        <v>11667</v>
      </c>
      <c r="L15135" s="2" t="s">
        <v>149</v>
      </c>
      <c r="M15135" s="2">
        <v>46902.0</v>
      </c>
      <c r="N15135" s="2" t="s">
        <v>21</v>
      </c>
    </row>
    <row r="15136" ht="15.75" customHeight="1">
      <c r="A15136" s="2">
        <v>2021.0</v>
      </c>
      <c r="B15136" s="2" t="s">
        <v>58124</v>
      </c>
      <c r="C15136" s="2" t="s">
        <v>58124</v>
      </c>
      <c r="D15136" s="2" t="str">
        <f>"7192462825"</f>
        <v>7192462825</v>
      </c>
      <c r="E15136" s="2" t="s">
        <v>11455</v>
      </c>
      <c r="F15136" s="2" t="s">
        <v>639</v>
      </c>
      <c r="G15136" s="2" t="str">
        <f>"SR-21937"</f>
        <v>SR-21937</v>
      </c>
      <c r="H15136" s="2" t="s">
        <v>58125</v>
      </c>
      <c r="I15136" s="2" t="s">
        <v>58126</v>
      </c>
      <c r="K15136" s="2" t="s">
        <v>809</v>
      </c>
      <c r="L15136" s="2" t="s">
        <v>157</v>
      </c>
      <c r="M15136" s="2">
        <v>80923.0</v>
      </c>
      <c r="N15136" s="2" t="s">
        <v>21</v>
      </c>
    </row>
    <row r="15137" ht="15.75" customHeight="1">
      <c r="A15137" s="2">
        <v>2021.0</v>
      </c>
      <c r="B15137" s="2" t="s">
        <v>58127</v>
      </c>
      <c r="C15137" s="2" t="s">
        <v>58128</v>
      </c>
      <c r="D15137" s="2" t="str">
        <f>"9289510979"</f>
        <v>9289510979</v>
      </c>
      <c r="E15137" s="2" t="s">
        <v>9010</v>
      </c>
      <c r="F15137" s="2" t="s">
        <v>58129</v>
      </c>
      <c r="G15137" s="2" t="str">
        <f>"SR-21940"</f>
        <v>SR-21940</v>
      </c>
      <c r="H15137" s="2" t="s">
        <v>58130</v>
      </c>
      <c r="I15137" s="2" t="s">
        <v>58131</v>
      </c>
      <c r="K15137" s="2" t="s">
        <v>58132</v>
      </c>
      <c r="L15137" s="2" t="s">
        <v>422</v>
      </c>
      <c r="M15137" s="2">
        <v>85541.0</v>
      </c>
      <c r="N15137" s="2" t="s">
        <v>21</v>
      </c>
    </row>
    <row r="15138" ht="15.75" customHeight="1">
      <c r="A15138" s="2">
        <v>2021.0</v>
      </c>
      <c r="B15138" s="2" t="s">
        <v>48467</v>
      </c>
      <c r="C15138" s="2" t="s">
        <v>58133</v>
      </c>
      <c r="D15138" s="2" t="str">
        <f>"915-781-8972"</f>
        <v>915-781-8972</v>
      </c>
      <c r="E15138" s="2" t="s">
        <v>58134</v>
      </c>
      <c r="F15138" s="2" t="s">
        <v>48469</v>
      </c>
      <c r="G15138" s="2" t="str">
        <f>"SR-21939"</f>
        <v>SR-21939</v>
      </c>
      <c r="H15138" s="2" t="s">
        <v>58135</v>
      </c>
      <c r="I15138" s="2" t="s">
        <v>48471</v>
      </c>
      <c r="K15138" s="2" t="s">
        <v>21247</v>
      </c>
      <c r="L15138" s="2" t="s">
        <v>172</v>
      </c>
      <c r="M15138" s="2">
        <v>79925.0</v>
      </c>
      <c r="N15138" s="2" t="s">
        <v>21</v>
      </c>
    </row>
    <row r="15139" ht="15.75" customHeight="1">
      <c r="A15139" s="2">
        <v>2021.0</v>
      </c>
      <c r="B15139" s="2" t="s">
        <v>58127</v>
      </c>
      <c r="C15139" s="2" t="s">
        <v>58136</v>
      </c>
      <c r="D15139" s="2" t="str">
        <f>"9289781356"</f>
        <v>9289781356</v>
      </c>
      <c r="E15139" s="2" t="s">
        <v>261</v>
      </c>
      <c r="F15139" s="2" t="s">
        <v>58129</v>
      </c>
      <c r="G15139" s="2" t="str">
        <f>"SR-21941"</f>
        <v>SR-21941</v>
      </c>
      <c r="H15139" s="2" t="s">
        <v>58137</v>
      </c>
      <c r="I15139" s="2" t="s">
        <v>58131</v>
      </c>
      <c r="K15139" s="2" t="s">
        <v>58132</v>
      </c>
      <c r="L15139" s="2" t="s">
        <v>422</v>
      </c>
      <c r="M15139" s="2">
        <v>85541.0</v>
      </c>
      <c r="N15139" s="2" t="s">
        <v>21</v>
      </c>
    </row>
    <row r="15140" ht="15.75" customHeight="1">
      <c r="A15140" s="2">
        <v>2021.0</v>
      </c>
      <c r="B15140" s="2" t="s">
        <v>58138</v>
      </c>
      <c r="C15140" s="2" t="s">
        <v>58139</v>
      </c>
      <c r="D15140" s="2" t="str">
        <f>"5304153818"</f>
        <v>5304153818</v>
      </c>
      <c r="E15140" s="2" t="s">
        <v>718</v>
      </c>
      <c r="F15140" s="2" t="s">
        <v>8565</v>
      </c>
      <c r="G15140" s="2" t="str">
        <f>"SR-21943"</f>
        <v>SR-21943</v>
      </c>
      <c r="H15140" s="2" t="s">
        <v>58140</v>
      </c>
      <c r="I15140" s="2" t="s">
        <v>58141</v>
      </c>
      <c r="J15140" s="2" t="s">
        <v>58142</v>
      </c>
      <c r="K15140" s="2" t="s">
        <v>58143</v>
      </c>
      <c r="L15140" s="2" t="s">
        <v>222</v>
      </c>
      <c r="M15140" s="2">
        <v>95918.0</v>
      </c>
      <c r="N15140" s="2" t="s">
        <v>21</v>
      </c>
    </row>
    <row r="15141" ht="15.75" customHeight="1">
      <c r="A15141" s="2">
        <v>2021.0</v>
      </c>
      <c r="B15141" s="2" t="s">
        <v>58144</v>
      </c>
      <c r="C15141" s="2" t="s">
        <v>58145</v>
      </c>
      <c r="D15141" s="2" t="str">
        <f>"7272424606"</f>
        <v>7272424606</v>
      </c>
      <c r="E15141" s="2" t="s">
        <v>239</v>
      </c>
      <c r="F15141" s="2" t="s">
        <v>3070</v>
      </c>
      <c r="G15141" s="2" t="str">
        <f>"SR-21942"</f>
        <v>SR-21942</v>
      </c>
      <c r="H15141" s="2" t="s">
        <v>58146</v>
      </c>
      <c r="I15141" s="2" t="s">
        <v>58147</v>
      </c>
      <c r="K15141" s="2" t="s">
        <v>58148</v>
      </c>
      <c r="L15141" s="2" t="s">
        <v>208</v>
      </c>
      <c r="M15141" s="2">
        <v>33709.0</v>
      </c>
      <c r="N15141" s="2" t="s">
        <v>21</v>
      </c>
    </row>
    <row r="15142" ht="15.75" customHeight="1">
      <c r="A15142" s="2">
        <v>2021.0</v>
      </c>
      <c r="B15142" s="2" t="s">
        <v>38466</v>
      </c>
      <c r="C15142" s="2" t="s">
        <v>48449</v>
      </c>
      <c r="D15142" s="2" t="str">
        <f>"9154334887"</f>
        <v>9154334887</v>
      </c>
      <c r="E15142" s="2" t="s">
        <v>48450</v>
      </c>
      <c r="F15142" s="2" t="s">
        <v>38467</v>
      </c>
      <c r="G15142" s="2" t="str">
        <f>"SR-17023"</f>
        <v>SR-17023</v>
      </c>
      <c r="H15142" s="2" t="s">
        <v>48451</v>
      </c>
      <c r="I15142" s="2" t="s">
        <v>48452</v>
      </c>
      <c r="K15142" s="2" t="s">
        <v>21247</v>
      </c>
      <c r="L15142" s="2" t="s">
        <v>172</v>
      </c>
      <c r="M15142" s="2">
        <v>79938.0</v>
      </c>
      <c r="N15142" s="2" t="s">
        <v>21</v>
      </c>
    </row>
    <row r="15143" ht="15.75" customHeight="1">
      <c r="A15143" s="2">
        <v>2021.0</v>
      </c>
      <c r="B15143" s="2" t="s">
        <v>58149</v>
      </c>
      <c r="C15143" s="2" t="s">
        <v>58150</v>
      </c>
      <c r="D15143" s="2" t="str">
        <f>"657-258-7643"</f>
        <v>657-258-7643</v>
      </c>
      <c r="E15143" s="2" t="s">
        <v>580</v>
      </c>
      <c r="F15143" s="2" t="s">
        <v>58151</v>
      </c>
      <c r="G15143" s="2" t="str">
        <f>"SR-21712"</f>
        <v>SR-21712</v>
      </c>
      <c r="H15143" s="2" t="s">
        <v>58152</v>
      </c>
      <c r="I15143" s="2" t="s">
        <v>58153</v>
      </c>
      <c r="K15143" s="2" t="s">
        <v>8398</v>
      </c>
      <c r="L15143" s="2" t="s">
        <v>172</v>
      </c>
      <c r="M15143" s="2">
        <v>75078.0</v>
      </c>
      <c r="N15143" s="2" t="s">
        <v>21</v>
      </c>
    </row>
    <row r="15144" ht="15.75" customHeight="1">
      <c r="A15144" s="2">
        <v>2021.0</v>
      </c>
      <c r="B15144" s="2" t="s">
        <v>55223</v>
      </c>
      <c r="C15144" s="2" t="s">
        <v>55224</v>
      </c>
      <c r="D15144" s="2" t="str">
        <f>"6623611082"</f>
        <v>6623611082</v>
      </c>
      <c r="E15144" s="2" t="s">
        <v>2243</v>
      </c>
      <c r="F15144" s="2" t="s">
        <v>16291</v>
      </c>
      <c r="G15144" s="2" t="str">
        <f>"SR-20653"</f>
        <v>SR-20653</v>
      </c>
      <c r="H15144" s="2" t="s">
        <v>55225</v>
      </c>
      <c r="I15144" s="2" t="s">
        <v>55226</v>
      </c>
      <c r="K15144" s="2" t="s">
        <v>55227</v>
      </c>
      <c r="L15144" s="2" t="s">
        <v>1722</v>
      </c>
      <c r="M15144" s="2">
        <v>39452.0</v>
      </c>
      <c r="N15144" s="2" t="s">
        <v>21</v>
      </c>
    </row>
    <row r="15145" ht="15.75" customHeight="1">
      <c r="A15145" s="2">
        <v>2021.0</v>
      </c>
      <c r="B15145" s="2" t="s">
        <v>58154</v>
      </c>
      <c r="C15145" s="2" t="s">
        <v>58155</v>
      </c>
      <c r="D15145" s="2" t="str">
        <f>"9037806494"</f>
        <v>9037806494</v>
      </c>
      <c r="E15145" s="2" t="s">
        <v>2361</v>
      </c>
      <c r="F15145" s="2" t="s">
        <v>14819</v>
      </c>
      <c r="G15145" s="2" t="str">
        <f>"SR-21820"</f>
        <v>SR-21820</v>
      </c>
      <c r="H15145" s="2" t="s">
        <v>58156</v>
      </c>
      <c r="I15145" s="2" t="s">
        <v>58157</v>
      </c>
      <c r="K15145" s="2" t="s">
        <v>465</v>
      </c>
      <c r="L15145" s="2" t="s">
        <v>172</v>
      </c>
      <c r="M15145" s="2">
        <v>75703.0</v>
      </c>
      <c r="N15145" s="2" t="s">
        <v>21</v>
      </c>
    </row>
    <row r="15146" ht="15.75" customHeight="1">
      <c r="A15146" s="2">
        <v>2021.0</v>
      </c>
      <c r="B15146" s="2" t="s">
        <v>58158</v>
      </c>
      <c r="C15146" s="2" t="s">
        <v>58158</v>
      </c>
      <c r="D15146" s="2" t="str">
        <f>"9196165818"</f>
        <v>9196165818</v>
      </c>
      <c r="E15146" s="2" t="s">
        <v>50</v>
      </c>
      <c r="F15146" s="2" t="s">
        <v>33263</v>
      </c>
      <c r="G15146" s="2" t="str">
        <f>"SR-21948"</f>
        <v>SR-21948</v>
      </c>
      <c r="H15146" s="2" t="s">
        <v>58159</v>
      </c>
      <c r="I15146" s="2" t="s">
        <v>33265</v>
      </c>
      <c r="K15146" s="2" t="s">
        <v>14454</v>
      </c>
      <c r="L15146" s="2" t="s">
        <v>20</v>
      </c>
      <c r="M15146" s="2">
        <v>27539.0</v>
      </c>
      <c r="N15146" s="2" t="s">
        <v>21</v>
      </c>
    </row>
    <row r="15147" ht="15.75" customHeight="1">
      <c r="A15147" s="2">
        <v>2021.0</v>
      </c>
      <c r="B15147" s="2" t="s">
        <v>41329</v>
      </c>
      <c r="C15147" s="2" t="s">
        <v>41330</v>
      </c>
      <c r="D15147" s="2" t="str">
        <f>"202-657-8822"</f>
        <v>202-657-8822</v>
      </c>
      <c r="E15147" s="2" t="s">
        <v>4769</v>
      </c>
      <c r="F15147" s="2" t="s">
        <v>1864</v>
      </c>
      <c r="G15147" s="2" t="str">
        <f>"SR-13991"</f>
        <v>SR-13991</v>
      </c>
      <c r="H15147" s="2" t="s">
        <v>41331</v>
      </c>
      <c r="I15147" s="2" t="s">
        <v>1866</v>
      </c>
      <c r="K15147" s="2" t="s">
        <v>1867</v>
      </c>
      <c r="L15147" s="2" t="s">
        <v>1868</v>
      </c>
      <c r="M15147" s="2">
        <v>20705.0</v>
      </c>
      <c r="N15147" s="2" t="s">
        <v>21</v>
      </c>
    </row>
    <row r="15148" ht="15.75" customHeight="1">
      <c r="A15148" s="2">
        <v>2021.0</v>
      </c>
      <c r="B15148" s="2" t="s">
        <v>50962</v>
      </c>
      <c r="C15148" s="2" t="s">
        <v>50962</v>
      </c>
      <c r="D15148" s="2" t="str">
        <f>"202-641-8898"</f>
        <v>202-641-8898</v>
      </c>
      <c r="E15148" s="2" t="s">
        <v>339</v>
      </c>
      <c r="F15148" s="2" t="s">
        <v>1864</v>
      </c>
      <c r="G15148" s="2" t="str">
        <f>"SR-17894"</f>
        <v>SR-17894</v>
      </c>
      <c r="H15148" s="2" t="s">
        <v>50963</v>
      </c>
      <c r="I15148" s="2" t="s">
        <v>1866</v>
      </c>
      <c r="K15148" s="2" t="s">
        <v>1867</v>
      </c>
      <c r="L15148" s="2" t="s">
        <v>1868</v>
      </c>
      <c r="M15148" s="2">
        <v>20705.0</v>
      </c>
      <c r="N15148" s="2" t="s">
        <v>21</v>
      </c>
    </row>
    <row r="15149" ht="15.75" customHeight="1">
      <c r="A15149" s="2">
        <v>2021.0</v>
      </c>
      <c r="B15149" s="2" t="s">
        <v>58160</v>
      </c>
      <c r="C15149" s="2" t="s">
        <v>58160</v>
      </c>
      <c r="D15149" s="2" t="str">
        <f>"7202372738"</f>
        <v>7202372738</v>
      </c>
      <c r="E15149" s="2" t="s">
        <v>1054</v>
      </c>
      <c r="F15149" s="2" t="s">
        <v>58161</v>
      </c>
      <c r="G15149" s="2" t="str">
        <f>"SR-18581"</f>
        <v>SR-18581</v>
      </c>
      <c r="H15149" s="2" t="s">
        <v>58162</v>
      </c>
      <c r="I15149" s="2" t="s">
        <v>58163</v>
      </c>
      <c r="K15149" s="2" t="s">
        <v>1054</v>
      </c>
      <c r="L15149" s="2" t="s">
        <v>157</v>
      </c>
      <c r="M15149" s="2">
        <v>80134.0</v>
      </c>
      <c r="N15149" s="2" t="s">
        <v>21</v>
      </c>
    </row>
    <row r="15150" ht="15.75" customHeight="1">
      <c r="A15150" s="2">
        <v>2021.0</v>
      </c>
      <c r="B15150" s="2" t="s">
        <v>58164</v>
      </c>
      <c r="C15150" s="2" t="s">
        <v>58164</v>
      </c>
      <c r="D15150" s="2" t="str">
        <f>"9196165818"</f>
        <v>9196165818</v>
      </c>
      <c r="E15150" s="2" t="s">
        <v>2259</v>
      </c>
      <c r="F15150" s="2" t="s">
        <v>33263</v>
      </c>
      <c r="G15150" s="2" t="str">
        <f>"SR-21951"</f>
        <v>SR-21951</v>
      </c>
      <c r="H15150" s="2" t="s">
        <v>58165</v>
      </c>
      <c r="I15150" s="2" t="s">
        <v>33265</v>
      </c>
      <c r="K15150" s="2" t="s">
        <v>14454</v>
      </c>
      <c r="L15150" s="2" t="s">
        <v>20</v>
      </c>
      <c r="M15150" s="2">
        <v>27539.0</v>
      </c>
      <c r="N15150" s="2" t="s">
        <v>21</v>
      </c>
    </row>
    <row r="15151" ht="15.75" customHeight="1">
      <c r="A15151" s="2">
        <v>2021.0</v>
      </c>
      <c r="B15151" s="2" t="s">
        <v>58166</v>
      </c>
      <c r="C15151" s="2" t="s">
        <v>58167</v>
      </c>
      <c r="D15151" s="2" t="str">
        <f>"906-428-6363"</f>
        <v>906-428-6363</v>
      </c>
      <c r="E15151" s="2" t="s">
        <v>8887</v>
      </c>
      <c r="F15151" s="2" t="s">
        <v>13233</v>
      </c>
      <c r="G15151" s="2" t="str">
        <f>"SR-21949"</f>
        <v>SR-21949</v>
      </c>
      <c r="H15151" s="2" t="s">
        <v>58168</v>
      </c>
      <c r="I15151" s="2" t="s">
        <v>58169</v>
      </c>
      <c r="K15151" s="2" t="s">
        <v>2985</v>
      </c>
      <c r="L15151" s="2" t="s">
        <v>29</v>
      </c>
      <c r="M15151" s="2">
        <v>49423.0</v>
      </c>
      <c r="N15151" s="2" t="s">
        <v>21</v>
      </c>
    </row>
    <row r="15152" ht="15.75" customHeight="1">
      <c r="A15152" s="2">
        <v>2021.0</v>
      </c>
      <c r="B15152" s="2" t="s">
        <v>58170</v>
      </c>
      <c r="C15152" s="2" t="s">
        <v>58171</v>
      </c>
      <c r="D15152" s="2" t="str">
        <f>"4699686408"</f>
        <v>4699686408</v>
      </c>
      <c r="E15152" s="2" t="s">
        <v>17798</v>
      </c>
      <c r="F15152" s="2" t="s">
        <v>54363</v>
      </c>
      <c r="G15152" s="2" t="str">
        <f>"SR-21955"</f>
        <v>SR-21955</v>
      </c>
      <c r="H15152" s="2" t="s">
        <v>58172</v>
      </c>
      <c r="I15152" s="2" t="s">
        <v>58173</v>
      </c>
      <c r="K15152" s="2" t="s">
        <v>44158</v>
      </c>
      <c r="L15152" s="2" t="s">
        <v>172</v>
      </c>
      <c r="M15152" s="2">
        <v>75019.0</v>
      </c>
      <c r="N15152" s="2" t="s">
        <v>21</v>
      </c>
    </row>
    <row r="15153" ht="15.75" customHeight="1">
      <c r="A15153" s="2">
        <v>2021.0</v>
      </c>
      <c r="B15153" s="2" t="s">
        <v>58174</v>
      </c>
      <c r="C15153" s="2" t="s">
        <v>58174</v>
      </c>
      <c r="D15153" s="2" t="str">
        <f>"4846122144"</f>
        <v>4846122144</v>
      </c>
      <c r="E15153" s="2" t="s">
        <v>373</v>
      </c>
      <c r="F15153" s="2" t="s">
        <v>58175</v>
      </c>
      <c r="G15153" s="2" t="str">
        <f>"SR-21952"</f>
        <v>SR-21952</v>
      </c>
      <c r="H15153" s="2" t="s">
        <v>58176</v>
      </c>
      <c r="I15153" s="2" t="s">
        <v>58177</v>
      </c>
      <c r="K15153" s="2" t="s">
        <v>26894</v>
      </c>
      <c r="L15153" s="2" t="s">
        <v>179</v>
      </c>
      <c r="M15153" s="2">
        <v>19460.0</v>
      </c>
      <c r="N15153" s="2" t="s">
        <v>21</v>
      </c>
    </row>
    <row r="15154" ht="15.75" customHeight="1">
      <c r="A15154" s="2">
        <v>2021.0</v>
      </c>
      <c r="B15154" s="2" t="s">
        <v>58178</v>
      </c>
      <c r="C15154" s="2" t="s">
        <v>58179</v>
      </c>
      <c r="D15154" s="2" t="str">
        <f>"863-274-0328"</f>
        <v>863-274-0328</v>
      </c>
      <c r="E15154" s="2" t="s">
        <v>3555</v>
      </c>
      <c r="F15154" s="2" t="s">
        <v>58180</v>
      </c>
      <c r="G15154" s="2" t="str">
        <f>"SR-21959"</f>
        <v>SR-21959</v>
      </c>
      <c r="H15154" s="2" t="s">
        <v>58181</v>
      </c>
      <c r="I15154" s="2" t="s">
        <v>58182</v>
      </c>
      <c r="K15154" s="2" t="s">
        <v>1570</v>
      </c>
      <c r="L15154" s="2" t="s">
        <v>208</v>
      </c>
      <c r="M15154" s="2">
        <v>33811.0</v>
      </c>
      <c r="N15154" s="2" t="s">
        <v>21</v>
      </c>
    </row>
    <row r="15155" ht="15.75" customHeight="1">
      <c r="A15155" s="2">
        <v>2021.0</v>
      </c>
      <c r="B15155" s="2" t="s">
        <v>44700</v>
      </c>
      <c r="C15155" s="2" t="s">
        <v>44700</v>
      </c>
      <c r="D15155" s="2" t="str">
        <f>"8067812281"</f>
        <v>8067812281</v>
      </c>
      <c r="E15155" s="2" t="s">
        <v>485</v>
      </c>
      <c r="F15155" s="2" t="s">
        <v>44701</v>
      </c>
      <c r="G15155" s="2" t="str">
        <f>"SR-15666"</f>
        <v>SR-15666</v>
      </c>
      <c r="H15155" s="2" t="s">
        <v>44702</v>
      </c>
      <c r="I15155" s="2" t="s">
        <v>44703</v>
      </c>
      <c r="K15155" s="2" t="s">
        <v>1121</v>
      </c>
      <c r="L15155" s="2" t="s">
        <v>172</v>
      </c>
      <c r="M15155" s="2">
        <v>79413.0</v>
      </c>
      <c r="N15155" s="2" t="s">
        <v>21</v>
      </c>
    </row>
    <row r="15156" ht="15.75" customHeight="1">
      <c r="A15156" s="2">
        <v>2021.0</v>
      </c>
      <c r="B15156" s="2" t="s">
        <v>58183</v>
      </c>
      <c r="C15156" s="2" t="s">
        <v>58184</v>
      </c>
      <c r="D15156" s="2" t="str">
        <f>"(657) 319-8260"</f>
        <v>(657) 319-8260</v>
      </c>
      <c r="E15156" s="2" t="s">
        <v>261</v>
      </c>
      <c r="F15156" s="2" t="s">
        <v>1461</v>
      </c>
      <c r="G15156" s="2" t="str">
        <f>"SR-21964"</f>
        <v>SR-21964</v>
      </c>
      <c r="H15156" s="2" t="s">
        <v>58185</v>
      </c>
      <c r="I15156" s="2" t="s">
        <v>58186</v>
      </c>
      <c r="K15156" s="2" t="s">
        <v>29780</v>
      </c>
      <c r="L15156" s="2" t="s">
        <v>222</v>
      </c>
      <c r="M15156" s="2">
        <v>92831.0</v>
      </c>
      <c r="N15156" s="2" t="s">
        <v>21</v>
      </c>
    </row>
    <row r="15157" ht="15.75" customHeight="1">
      <c r="A15157" s="2">
        <v>2021.0</v>
      </c>
      <c r="B15157" s="2" t="s">
        <v>58187</v>
      </c>
      <c r="C15157" s="2" t="s">
        <v>58187</v>
      </c>
      <c r="D15157" s="2" t="str">
        <f>"319-364-2240"</f>
        <v>319-364-2240</v>
      </c>
      <c r="E15157" s="2" t="s">
        <v>485</v>
      </c>
      <c r="F15157" s="2" t="s">
        <v>35239</v>
      </c>
      <c r="G15157" s="2" t="str">
        <f>"SR-21965"</f>
        <v>SR-21965</v>
      </c>
      <c r="H15157" s="2" t="s">
        <v>58188</v>
      </c>
      <c r="I15157" s="2" t="s">
        <v>58189</v>
      </c>
      <c r="K15157" s="2" t="s">
        <v>3493</v>
      </c>
      <c r="L15157" s="2" t="s">
        <v>560</v>
      </c>
      <c r="M15157" s="2">
        <v>52302.0</v>
      </c>
      <c r="N15157" s="2" t="s">
        <v>21</v>
      </c>
    </row>
    <row r="15158" ht="15.75" customHeight="1">
      <c r="A15158" s="2">
        <v>2021.0</v>
      </c>
      <c r="B15158" s="2" t="s">
        <v>58190</v>
      </c>
      <c r="C15158" s="2" t="s">
        <v>58190</v>
      </c>
      <c r="D15158" s="2" t="str">
        <f>"8145066091"</f>
        <v>8145066091</v>
      </c>
      <c r="E15158" s="2" t="s">
        <v>705</v>
      </c>
      <c r="F15158" s="2" t="s">
        <v>9021</v>
      </c>
      <c r="G15158" s="2" t="str">
        <f>"SR-21966"</f>
        <v>SR-21966</v>
      </c>
      <c r="H15158" s="2" t="s">
        <v>58191</v>
      </c>
      <c r="I15158" s="2" t="s">
        <v>39027</v>
      </c>
      <c r="K15158" s="2" t="s">
        <v>9904</v>
      </c>
      <c r="L15158" s="2" t="s">
        <v>179</v>
      </c>
      <c r="M15158" s="2">
        <v>16685.0</v>
      </c>
      <c r="N15158" s="2" t="s">
        <v>21</v>
      </c>
    </row>
    <row r="15159" ht="15.75" customHeight="1">
      <c r="A15159" s="2">
        <v>2021.0</v>
      </c>
      <c r="B15159" s="2" t="s">
        <v>58192</v>
      </c>
      <c r="C15159" s="2" t="s">
        <v>58192</v>
      </c>
      <c r="D15159" s="2" t="str">
        <f>"3196938864"</f>
        <v>3196938864</v>
      </c>
      <c r="E15159" s="2" t="s">
        <v>38102</v>
      </c>
      <c r="F15159" s="2" t="s">
        <v>34065</v>
      </c>
      <c r="G15159" s="2" t="str">
        <f>"SR-21956"</f>
        <v>SR-21956</v>
      </c>
      <c r="H15159" s="2" t="s">
        <v>58193</v>
      </c>
      <c r="I15159" s="2" t="s">
        <v>34067</v>
      </c>
      <c r="K15159" s="2" t="s">
        <v>3273</v>
      </c>
      <c r="L15159" s="2" t="s">
        <v>560</v>
      </c>
      <c r="M15159" s="2">
        <v>52411.0</v>
      </c>
      <c r="N15159" s="2" t="s">
        <v>21</v>
      </c>
    </row>
    <row r="15160" ht="15.75" customHeight="1">
      <c r="A15160" s="2">
        <v>2021.0</v>
      </c>
      <c r="B15160" s="2" t="s">
        <v>52052</v>
      </c>
      <c r="C15160" s="2" t="s">
        <v>52053</v>
      </c>
      <c r="D15160" s="2" t="str">
        <f>"2085761377"</f>
        <v>2085761377</v>
      </c>
      <c r="E15160" s="2" t="s">
        <v>9828</v>
      </c>
      <c r="F15160" s="2" t="s">
        <v>52054</v>
      </c>
      <c r="G15160" s="2" t="str">
        <f>"SR-18597"</f>
        <v>SR-18597</v>
      </c>
      <c r="H15160" s="2" t="s">
        <v>52055</v>
      </c>
      <c r="I15160" s="2" t="s">
        <v>52056</v>
      </c>
      <c r="K15160" s="2" t="s">
        <v>52057</v>
      </c>
      <c r="L15160" s="2" t="s">
        <v>157</v>
      </c>
      <c r="M15160" s="2">
        <v>80126.0</v>
      </c>
      <c r="N15160" s="2" t="s">
        <v>21</v>
      </c>
    </row>
    <row r="15161" ht="15.75" customHeight="1">
      <c r="A15161" s="2">
        <v>2021.0</v>
      </c>
      <c r="B15161" s="2" t="s">
        <v>58194</v>
      </c>
      <c r="C15161" s="2" t="s">
        <v>58194</v>
      </c>
      <c r="D15161" s="2" t="str">
        <f>"6304499134"</f>
        <v>6304499134</v>
      </c>
      <c r="E15161" s="2" t="s">
        <v>485</v>
      </c>
      <c r="F15161" s="2" t="s">
        <v>58195</v>
      </c>
      <c r="G15161" s="2" t="str">
        <f>"SR-21967"</f>
        <v>SR-21967</v>
      </c>
      <c r="H15161" s="2" t="s">
        <v>58196</v>
      </c>
      <c r="I15161" s="2" t="s">
        <v>58197</v>
      </c>
      <c r="K15161" s="2" t="s">
        <v>1520</v>
      </c>
      <c r="L15161" s="2" t="s">
        <v>105</v>
      </c>
      <c r="M15161" s="2">
        <v>60504.0</v>
      </c>
      <c r="N15161" s="2" t="s">
        <v>21</v>
      </c>
    </row>
    <row r="15162" ht="15.75" customHeight="1">
      <c r="A15162" s="2">
        <v>2021.0</v>
      </c>
      <c r="B15162" s="2" t="s">
        <v>58198</v>
      </c>
      <c r="C15162" s="2" t="s">
        <v>58199</v>
      </c>
      <c r="D15162" s="2" t="str">
        <f>"919-971-6635"</f>
        <v>919-971-6635</v>
      </c>
      <c r="E15162" s="2" t="s">
        <v>27873</v>
      </c>
      <c r="F15162" s="2" t="s">
        <v>7087</v>
      </c>
      <c r="G15162" s="2" t="str">
        <f>"SR-21968"</f>
        <v>SR-21968</v>
      </c>
      <c r="H15162" s="2" t="s">
        <v>58200</v>
      </c>
      <c r="I15162" s="2" t="s">
        <v>58201</v>
      </c>
      <c r="K15162" s="2" t="s">
        <v>14916</v>
      </c>
      <c r="L15162" s="2" t="s">
        <v>20</v>
      </c>
      <c r="M15162" s="2">
        <v>27529.0</v>
      </c>
      <c r="N15162" s="2" t="s">
        <v>21</v>
      </c>
    </row>
    <row r="15163" ht="15.75" customHeight="1">
      <c r="A15163" s="2">
        <v>2021.0</v>
      </c>
      <c r="B15163" s="2" t="s">
        <v>52295</v>
      </c>
      <c r="C15163" s="2" t="s">
        <v>52296</v>
      </c>
      <c r="D15163" s="2" t="str">
        <f>"5716608898"</f>
        <v>5716608898</v>
      </c>
      <c r="E15163" s="2" t="s">
        <v>239</v>
      </c>
      <c r="F15163" s="2" t="s">
        <v>52297</v>
      </c>
      <c r="G15163" s="2" t="str">
        <f>"SR-18688"</f>
        <v>SR-18688</v>
      </c>
      <c r="H15163" s="2" t="s">
        <v>52298</v>
      </c>
      <c r="I15163" s="2" t="s">
        <v>52299</v>
      </c>
      <c r="K15163" s="2" t="s">
        <v>10664</v>
      </c>
      <c r="L15163" s="2" t="s">
        <v>165</v>
      </c>
      <c r="M15163" s="2">
        <v>22192.0</v>
      </c>
      <c r="N15163" s="2" t="s">
        <v>21</v>
      </c>
    </row>
    <row r="15164" ht="15.75" customHeight="1">
      <c r="A15164" s="2">
        <v>2021.0</v>
      </c>
      <c r="B15164" s="2" t="s">
        <v>58202</v>
      </c>
      <c r="C15164" s="2" t="s">
        <v>58202</v>
      </c>
      <c r="D15164" s="2" t="str">
        <f>"9196340937"</f>
        <v>9196340937</v>
      </c>
      <c r="E15164" s="2" t="s">
        <v>9975</v>
      </c>
      <c r="F15164" s="2" t="s">
        <v>58203</v>
      </c>
      <c r="G15164" s="2" t="str">
        <f>"SR-21969"</f>
        <v>SR-21969</v>
      </c>
      <c r="H15164" s="2" t="s">
        <v>58204</v>
      </c>
      <c r="I15164" s="2" t="s">
        <v>58205</v>
      </c>
      <c r="K15164" s="2" t="s">
        <v>2378</v>
      </c>
      <c r="L15164" s="2" t="s">
        <v>20</v>
      </c>
      <c r="M15164" s="2">
        <v>27527.0</v>
      </c>
      <c r="N15164" s="2" t="s">
        <v>21</v>
      </c>
    </row>
    <row r="15165" ht="15.75" customHeight="1">
      <c r="A15165" s="2">
        <v>2021.0</v>
      </c>
      <c r="B15165" s="2" t="s">
        <v>58206</v>
      </c>
      <c r="C15165" s="2" t="s">
        <v>58207</v>
      </c>
      <c r="D15165" s="2" t="str">
        <f>"3212002997"</f>
        <v>3212002997</v>
      </c>
      <c r="E15165" s="2" t="s">
        <v>160</v>
      </c>
      <c r="F15165" s="2" t="s">
        <v>34559</v>
      </c>
      <c r="G15165" s="2" t="str">
        <f>"SR-21971"</f>
        <v>SR-21971</v>
      </c>
      <c r="H15165" s="2" t="s">
        <v>58208</v>
      </c>
      <c r="I15165" s="2" t="s">
        <v>34561</v>
      </c>
      <c r="K15165" s="2" t="s">
        <v>4724</v>
      </c>
      <c r="L15165" s="2" t="s">
        <v>208</v>
      </c>
      <c r="M15165" s="2">
        <v>32812.0</v>
      </c>
      <c r="N15165" s="2" t="s">
        <v>21</v>
      </c>
    </row>
    <row r="15166" ht="15.75" customHeight="1">
      <c r="A15166" s="2">
        <v>2021.0</v>
      </c>
      <c r="B15166" s="2" t="s">
        <v>58209</v>
      </c>
      <c r="C15166" s="2" t="s">
        <v>58209</v>
      </c>
      <c r="D15166" s="2" t="str">
        <f>"3196939857"</f>
        <v>3196939857</v>
      </c>
      <c r="E15166" s="2" t="s">
        <v>4716</v>
      </c>
      <c r="F15166" s="2" t="s">
        <v>55574</v>
      </c>
      <c r="G15166" s="2" t="str">
        <f>"SR-21973"</f>
        <v>SR-21973</v>
      </c>
      <c r="H15166" s="2" t="s">
        <v>58210</v>
      </c>
      <c r="I15166" s="2" t="s">
        <v>58211</v>
      </c>
      <c r="K15166" s="2" t="s">
        <v>3493</v>
      </c>
      <c r="L15166" s="2" t="s">
        <v>560</v>
      </c>
      <c r="M15166" s="2">
        <v>52032.0</v>
      </c>
      <c r="N15166" s="2" t="s">
        <v>21</v>
      </c>
    </row>
    <row r="15167" ht="15.75" customHeight="1">
      <c r="A15167" s="2">
        <v>2021.0</v>
      </c>
      <c r="B15167" s="2" t="s">
        <v>58212</v>
      </c>
      <c r="C15167" s="2" t="s">
        <v>58213</v>
      </c>
      <c r="D15167" s="2" t="str">
        <f>"9492454394"</f>
        <v>9492454394</v>
      </c>
      <c r="E15167" s="2" t="s">
        <v>282</v>
      </c>
      <c r="F15167" s="2" t="s">
        <v>58214</v>
      </c>
      <c r="G15167" s="2" t="str">
        <f>"SR-21975"</f>
        <v>SR-21975</v>
      </c>
      <c r="H15167" s="2" t="s">
        <v>58215</v>
      </c>
      <c r="I15167" s="2" t="s">
        <v>58216</v>
      </c>
      <c r="K15167" s="2" t="s">
        <v>25641</v>
      </c>
      <c r="L15167" s="2" t="s">
        <v>222</v>
      </c>
      <c r="M15167" s="2">
        <v>92679.0</v>
      </c>
      <c r="N15167" s="2" t="s">
        <v>21</v>
      </c>
    </row>
    <row r="15168" ht="15.75" customHeight="1">
      <c r="A15168" s="2">
        <v>2021.0</v>
      </c>
      <c r="B15168" s="2" t="s">
        <v>58217</v>
      </c>
      <c r="C15168" s="2" t="s">
        <v>58218</v>
      </c>
      <c r="D15168" s="2" t="str">
        <f>"443-334-7879"</f>
        <v>443-334-7879</v>
      </c>
      <c r="E15168" s="2" t="s">
        <v>58219</v>
      </c>
      <c r="F15168" s="2" t="s">
        <v>58220</v>
      </c>
      <c r="G15168" s="2" t="str">
        <f>"SR-21976"</f>
        <v>SR-21976</v>
      </c>
      <c r="H15168" s="2" t="s">
        <v>58221</v>
      </c>
      <c r="I15168" s="2" t="s">
        <v>58222</v>
      </c>
      <c r="K15168" s="2" t="s">
        <v>6360</v>
      </c>
      <c r="L15168" s="2" t="s">
        <v>208</v>
      </c>
      <c r="M15168" s="2">
        <v>33896.0</v>
      </c>
      <c r="N15168" s="2" t="s">
        <v>21</v>
      </c>
    </row>
    <row r="15169" ht="15.75" customHeight="1">
      <c r="A15169" s="2">
        <v>2021.0</v>
      </c>
      <c r="B15169" s="2" t="s">
        <v>58217</v>
      </c>
      <c r="C15169" s="2" t="s">
        <v>58223</v>
      </c>
      <c r="D15169" s="2" t="str">
        <f>"443-641-4475"</f>
        <v>443-641-4475</v>
      </c>
      <c r="E15169" s="2" t="s">
        <v>37022</v>
      </c>
      <c r="F15169" s="2" t="s">
        <v>58220</v>
      </c>
      <c r="G15169" s="2" t="str">
        <f>"SR-21980"</f>
        <v>SR-21980</v>
      </c>
      <c r="H15169" s="2" t="s">
        <v>58224</v>
      </c>
      <c r="I15169" s="2" t="s">
        <v>58222</v>
      </c>
      <c r="K15169" s="2" t="s">
        <v>6360</v>
      </c>
      <c r="L15169" s="2" t="s">
        <v>208</v>
      </c>
      <c r="M15169" s="2">
        <v>33896.0</v>
      </c>
      <c r="N15169" s="2" t="s">
        <v>21</v>
      </c>
    </row>
    <row r="15170" ht="15.75" customHeight="1">
      <c r="A15170" s="2">
        <v>2021.0</v>
      </c>
      <c r="B15170" s="2" t="s">
        <v>58225</v>
      </c>
      <c r="C15170" s="2" t="s">
        <v>58226</v>
      </c>
      <c r="D15170" s="2" t="str">
        <f>"713-438-5676"</f>
        <v>713-438-5676</v>
      </c>
      <c r="E15170" s="2" t="s">
        <v>1243</v>
      </c>
      <c r="F15170" s="2" t="s">
        <v>58227</v>
      </c>
      <c r="G15170" s="2" t="str">
        <f>"SR-21979"</f>
        <v>SR-21979</v>
      </c>
      <c r="H15170" s="2" t="s">
        <v>58228</v>
      </c>
      <c r="I15170" s="2" t="s">
        <v>58229</v>
      </c>
      <c r="K15170" s="2" t="s">
        <v>6499</v>
      </c>
      <c r="L15170" s="2" t="s">
        <v>172</v>
      </c>
      <c r="M15170" s="2">
        <v>77494.0</v>
      </c>
      <c r="N15170" s="2" t="s">
        <v>21</v>
      </c>
    </row>
    <row r="15171" ht="15.75" customHeight="1">
      <c r="A15171" s="2">
        <v>2021.0</v>
      </c>
      <c r="B15171" s="2" t="s">
        <v>50618</v>
      </c>
      <c r="C15171" s="2" t="s">
        <v>50618</v>
      </c>
      <c r="D15171" s="2" t="str">
        <f>"(864)986-2064"</f>
        <v>(864)986-2064</v>
      </c>
      <c r="E15171" s="2" t="s">
        <v>373</v>
      </c>
      <c r="F15171" s="2" t="s">
        <v>12872</v>
      </c>
      <c r="G15171" s="2" t="str">
        <f>"SR-18068"</f>
        <v>SR-18068</v>
      </c>
      <c r="H15171" s="2" t="s">
        <v>50619</v>
      </c>
      <c r="I15171" s="2" t="s">
        <v>50620</v>
      </c>
      <c r="K15171" s="2" t="s">
        <v>19801</v>
      </c>
      <c r="L15171" s="2" t="s">
        <v>55</v>
      </c>
      <c r="M15171" s="2">
        <v>29642.0</v>
      </c>
      <c r="N15171" s="2" t="s">
        <v>21</v>
      </c>
    </row>
    <row r="15172" ht="15.75" customHeight="1">
      <c r="A15172" s="2">
        <v>2021.0</v>
      </c>
      <c r="B15172" s="2" t="s">
        <v>58230</v>
      </c>
      <c r="C15172" s="2" t="s">
        <v>58231</v>
      </c>
      <c r="D15172" s="2" t="str">
        <f>"480-490-1815"</f>
        <v>480-490-1815</v>
      </c>
      <c r="E15172" s="2" t="s">
        <v>1088</v>
      </c>
      <c r="F15172" s="2" t="s">
        <v>58232</v>
      </c>
      <c r="G15172" s="2" t="str">
        <f>"SR-21984"</f>
        <v>SR-21984</v>
      </c>
      <c r="H15172" s="2" t="s">
        <v>58233</v>
      </c>
      <c r="I15172" s="2" t="s">
        <v>58234</v>
      </c>
      <c r="K15172" s="2" t="s">
        <v>1593</v>
      </c>
      <c r="L15172" s="2" t="s">
        <v>422</v>
      </c>
      <c r="M15172" s="2">
        <v>85254.0</v>
      </c>
      <c r="N15172" s="2" t="s">
        <v>21</v>
      </c>
    </row>
    <row r="15173" ht="15.75" customHeight="1">
      <c r="A15173" s="2">
        <v>2021.0</v>
      </c>
      <c r="B15173" s="2" t="s">
        <v>58235</v>
      </c>
      <c r="C15173" s="2" t="s">
        <v>58236</v>
      </c>
      <c r="D15173" s="2" t="str">
        <f>"7408023649"</f>
        <v>7408023649</v>
      </c>
      <c r="E15173" s="2" t="s">
        <v>217</v>
      </c>
      <c r="F15173" s="2" t="s">
        <v>58237</v>
      </c>
      <c r="G15173" s="2" t="str">
        <f>"SR-21824"</f>
        <v>SR-21824</v>
      </c>
      <c r="H15173" s="2" t="s">
        <v>58238</v>
      </c>
      <c r="I15173" s="2" t="s">
        <v>58239</v>
      </c>
      <c r="K15173" s="2" t="s">
        <v>3493</v>
      </c>
      <c r="L15173" s="2" t="s">
        <v>344</v>
      </c>
      <c r="M15173" s="2">
        <v>43302.0</v>
      </c>
      <c r="N15173" s="2" t="s">
        <v>21</v>
      </c>
    </row>
    <row r="15174" ht="15.75" customHeight="1">
      <c r="A15174" s="2">
        <v>2021.0</v>
      </c>
      <c r="B15174" s="2" t="s">
        <v>4430</v>
      </c>
      <c r="C15174" s="2" t="s">
        <v>58240</v>
      </c>
      <c r="D15174" s="2" t="str">
        <f>"6266895627"</f>
        <v>6266895627</v>
      </c>
      <c r="E15174" s="2" t="s">
        <v>1529</v>
      </c>
      <c r="F15174" s="2" t="s">
        <v>4432</v>
      </c>
      <c r="G15174" s="2" t="str">
        <f>"SR-21986"</f>
        <v>SR-21986</v>
      </c>
      <c r="H15174" s="2" t="s">
        <v>58241</v>
      </c>
      <c r="I15174" s="2" t="s">
        <v>21238</v>
      </c>
      <c r="K15174" s="2" t="s">
        <v>4435</v>
      </c>
      <c r="L15174" s="2" t="s">
        <v>222</v>
      </c>
      <c r="M15174" s="2">
        <v>91001.0</v>
      </c>
      <c r="N15174" s="2" t="s">
        <v>21</v>
      </c>
    </row>
    <row r="15175" ht="15.75" customHeight="1">
      <c r="A15175" s="2">
        <v>2021.0</v>
      </c>
      <c r="B15175" s="2" t="s">
        <v>58242</v>
      </c>
      <c r="D15175" s="2" t="str">
        <f>""</f>
        <v/>
      </c>
      <c r="E15175" s="2" t="s">
        <v>58243</v>
      </c>
      <c r="F15175" s="2" t="s">
        <v>7466</v>
      </c>
      <c r="G15175" s="2" t="str">
        <f>"SR-21987"</f>
        <v>SR-21987</v>
      </c>
      <c r="H15175" s="2" t="s">
        <v>58244</v>
      </c>
      <c r="N15175" s="2" t="s">
        <v>21</v>
      </c>
    </row>
    <row r="15176" ht="15.75" customHeight="1">
      <c r="A15176" s="2">
        <v>2021.0</v>
      </c>
      <c r="B15176" s="2" t="s">
        <v>58245</v>
      </c>
      <c r="C15176" s="2" t="s">
        <v>58245</v>
      </c>
      <c r="D15176" s="2" t="str">
        <f>"5306913330"</f>
        <v>5306913330</v>
      </c>
      <c r="E15176" s="2" t="s">
        <v>2306</v>
      </c>
      <c r="F15176" s="2" t="s">
        <v>11517</v>
      </c>
      <c r="G15176" s="2" t="str">
        <f>"SR-21988"</f>
        <v>SR-21988</v>
      </c>
      <c r="H15176" s="2" t="s">
        <v>58246</v>
      </c>
      <c r="I15176" s="2" t="s">
        <v>58247</v>
      </c>
      <c r="K15176" s="2" t="s">
        <v>58248</v>
      </c>
      <c r="L15176" s="2" t="s">
        <v>222</v>
      </c>
      <c r="M15176" s="2">
        <v>96002.0</v>
      </c>
      <c r="N15176" s="2" t="s">
        <v>21</v>
      </c>
    </row>
    <row r="15177" ht="15.75" customHeight="1">
      <c r="A15177" s="2">
        <v>2021.0</v>
      </c>
      <c r="B15177" s="2" t="s">
        <v>58242</v>
      </c>
      <c r="C15177" s="2" t="s">
        <v>58249</v>
      </c>
      <c r="D15177" s="2" t="str">
        <f>"740-541-6960"</f>
        <v>740-541-6960</v>
      </c>
      <c r="E15177" s="2" t="s">
        <v>1455</v>
      </c>
      <c r="F15177" s="2" t="s">
        <v>10173</v>
      </c>
      <c r="G15177" s="2" t="str">
        <f>"SR-21989"</f>
        <v>SR-21989</v>
      </c>
      <c r="H15177" s="2" t="s">
        <v>58250</v>
      </c>
      <c r="I15177" s="2" t="s">
        <v>58251</v>
      </c>
      <c r="K15177" s="2" t="s">
        <v>5108</v>
      </c>
      <c r="L15177" s="2" t="s">
        <v>344</v>
      </c>
      <c r="M15177" s="2">
        <v>45701.0</v>
      </c>
      <c r="N15177" s="2" t="s">
        <v>21</v>
      </c>
    </row>
    <row r="15178" ht="15.75" customHeight="1">
      <c r="A15178" s="2">
        <v>2021.0</v>
      </c>
      <c r="B15178" s="2" t="s">
        <v>58252</v>
      </c>
      <c r="C15178" s="2" t="s">
        <v>58253</v>
      </c>
      <c r="D15178" s="2" t="str">
        <f>"(317) 965-0301"</f>
        <v>(317) 965-0301</v>
      </c>
      <c r="E15178" s="2" t="s">
        <v>2433</v>
      </c>
      <c r="F15178" s="2" t="s">
        <v>58254</v>
      </c>
      <c r="G15178" s="2" t="str">
        <f>"SR-21985"</f>
        <v>SR-21985</v>
      </c>
      <c r="H15178" s="2" t="s">
        <v>58255</v>
      </c>
      <c r="I15178" s="2" t="s">
        <v>58256</v>
      </c>
      <c r="K15178" s="2" t="s">
        <v>1188</v>
      </c>
      <c r="L15178" s="2" t="s">
        <v>149</v>
      </c>
      <c r="M15178" s="2">
        <v>46236.0</v>
      </c>
      <c r="N15178" s="2" t="s">
        <v>21</v>
      </c>
    </row>
    <row r="15179" ht="15.75" customHeight="1">
      <c r="A15179" s="2">
        <v>2021.0</v>
      </c>
      <c r="B15179" s="2" t="s">
        <v>58257</v>
      </c>
      <c r="C15179" s="2" t="s">
        <v>58257</v>
      </c>
      <c r="D15179" s="2" t="str">
        <f>"5127834183"</f>
        <v>5127834183</v>
      </c>
      <c r="E15179" s="2" t="s">
        <v>58258</v>
      </c>
      <c r="F15179" s="2" t="s">
        <v>40105</v>
      </c>
      <c r="G15179" s="2" t="str">
        <f>"SR-21990"</f>
        <v>SR-21990</v>
      </c>
      <c r="H15179" s="2" t="s">
        <v>58259</v>
      </c>
      <c r="I15179" s="2" t="s">
        <v>58260</v>
      </c>
      <c r="K15179" s="2" t="s">
        <v>1141</v>
      </c>
      <c r="L15179" s="2" t="s">
        <v>172</v>
      </c>
      <c r="M15179" s="2">
        <v>78749.0</v>
      </c>
      <c r="N15179" s="2" t="s">
        <v>21</v>
      </c>
    </row>
    <row r="15180" ht="15.75" customHeight="1">
      <c r="A15180" s="2">
        <v>2021.0</v>
      </c>
      <c r="B15180" s="2" t="s">
        <v>58261</v>
      </c>
      <c r="C15180" s="2" t="s">
        <v>58262</v>
      </c>
      <c r="D15180" s="2" t="str">
        <f>"6208855566"</f>
        <v>6208855566</v>
      </c>
      <c r="E15180" s="2" t="s">
        <v>167</v>
      </c>
      <c r="F15180" s="2" t="s">
        <v>8623</v>
      </c>
      <c r="G15180" s="2" t="str">
        <f>"SR-20748"</f>
        <v>SR-20748</v>
      </c>
      <c r="H15180" s="2" t="s">
        <v>8624</v>
      </c>
      <c r="I15180" s="2" t="s">
        <v>58263</v>
      </c>
      <c r="J15180" s="2" t="s">
        <v>58264</v>
      </c>
      <c r="K15180" s="2" t="s">
        <v>58265</v>
      </c>
      <c r="L15180" s="2" t="s">
        <v>272</v>
      </c>
      <c r="M15180" s="2">
        <v>67865.0</v>
      </c>
      <c r="N15180" s="2" t="s">
        <v>21</v>
      </c>
    </row>
    <row r="15181" ht="15.75" customHeight="1">
      <c r="A15181" s="2">
        <v>2021.0</v>
      </c>
      <c r="B15181" s="2" t="s">
        <v>49575</v>
      </c>
      <c r="C15181" s="2" t="s">
        <v>49576</v>
      </c>
      <c r="D15181" s="2" t="str">
        <f>"(786)508-8245"</f>
        <v>(786)508-8245</v>
      </c>
      <c r="E15181" s="2" t="s">
        <v>167</v>
      </c>
      <c r="F15181" s="2" t="s">
        <v>49577</v>
      </c>
      <c r="G15181" s="2" t="str">
        <f>"SR-17690"</f>
        <v>SR-17690</v>
      </c>
      <c r="H15181" s="2" t="s">
        <v>49578</v>
      </c>
      <c r="I15181" s="2" t="s">
        <v>49579</v>
      </c>
      <c r="K15181" s="2" t="s">
        <v>2211</v>
      </c>
      <c r="L15181" s="2" t="s">
        <v>208</v>
      </c>
      <c r="M15181" s="2">
        <v>33165.0</v>
      </c>
      <c r="N15181" s="2" t="s">
        <v>21</v>
      </c>
    </row>
    <row r="15182" ht="15.75" customHeight="1">
      <c r="A15182" s="2">
        <v>2021.0</v>
      </c>
      <c r="B15182" s="2" t="s">
        <v>58266</v>
      </c>
      <c r="C15182" s="2" t="s">
        <v>58266</v>
      </c>
      <c r="D15182" s="2" t="str">
        <f>"651-895-0153"</f>
        <v>651-895-0153</v>
      </c>
      <c r="E15182" s="2" t="s">
        <v>203</v>
      </c>
      <c r="F15182" s="2" t="s">
        <v>10845</v>
      </c>
      <c r="G15182" s="2" t="str">
        <f>"SR-21992"</f>
        <v>SR-21992</v>
      </c>
      <c r="H15182" s="2" t="s">
        <v>58267</v>
      </c>
      <c r="I15182" s="2" t="s">
        <v>58268</v>
      </c>
      <c r="K15182" s="2" t="s">
        <v>10835</v>
      </c>
      <c r="L15182" s="2" t="s">
        <v>62</v>
      </c>
      <c r="M15182" s="2">
        <v>55016.0</v>
      </c>
      <c r="N15182" s="2" t="s">
        <v>21</v>
      </c>
    </row>
    <row r="15183" ht="15.75" customHeight="1">
      <c r="A15183" s="2">
        <v>2021.0</v>
      </c>
      <c r="B15183" s="2" t="s">
        <v>58269</v>
      </c>
      <c r="C15183" s="2" t="s">
        <v>58269</v>
      </c>
      <c r="D15183" s="2" t="str">
        <f>"4849297224"</f>
        <v>4849297224</v>
      </c>
      <c r="E15183" s="2" t="s">
        <v>922</v>
      </c>
      <c r="F15183" s="2" t="s">
        <v>58270</v>
      </c>
      <c r="G15183" s="2" t="str">
        <f>"SR-21954"</f>
        <v>SR-21954</v>
      </c>
      <c r="H15183" s="2" t="s">
        <v>58271</v>
      </c>
      <c r="I15183" s="2" t="s">
        <v>58272</v>
      </c>
      <c r="K15183" s="2" t="s">
        <v>23124</v>
      </c>
      <c r="L15183" s="2" t="s">
        <v>179</v>
      </c>
      <c r="M15183" s="2">
        <v>19475.0</v>
      </c>
      <c r="N15183" s="2" t="s">
        <v>21</v>
      </c>
    </row>
    <row r="15184" ht="15.75" customHeight="1">
      <c r="A15184" s="2">
        <v>2021.0</v>
      </c>
      <c r="B15184" s="2" t="s">
        <v>58273</v>
      </c>
      <c r="C15184" s="2" t="s">
        <v>58274</v>
      </c>
      <c r="D15184" s="2" t="str">
        <f>"803 920-4410"</f>
        <v>803 920-4410</v>
      </c>
      <c r="E15184" s="2" t="s">
        <v>6121</v>
      </c>
      <c r="F15184" s="2" t="s">
        <v>58275</v>
      </c>
      <c r="G15184" s="2" t="str">
        <f>"SR-21991"</f>
        <v>SR-21991</v>
      </c>
      <c r="H15184" s="2" t="s">
        <v>58276</v>
      </c>
      <c r="I15184" s="2" t="s">
        <v>58277</v>
      </c>
      <c r="K15184" s="2" t="s">
        <v>58278</v>
      </c>
      <c r="L15184" s="2" t="s">
        <v>55</v>
      </c>
      <c r="M15184" s="2">
        <v>29063.0</v>
      </c>
      <c r="N15184" s="2" t="s">
        <v>21</v>
      </c>
    </row>
    <row r="15185" ht="15.75" customHeight="1">
      <c r="A15185" s="2">
        <v>2021.0</v>
      </c>
      <c r="B15185" s="2" t="s">
        <v>49572</v>
      </c>
      <c r="D15185" s="2" t="str">
        <f t="shared" ref="D15185:D15187" si="246">""</f>
        <v/>
      </c>
      <c r="E15185" s="2" t="s">
        <v>938</v>
      </c>
      <c r="F15185" s="2" t="s">
        <v>1045</v>
      </c>
      <c r="G15185" s="2" t="str">
        <f>"SR-21911"</f>
        <v>SR-21911</v>
      </c>
      <c r="H15185" s="2" t="s">
        <v>49573</v>
      </c>
    </row>
    <row r="15186" ht="15.75" customHeight="1">
      <c r="A15186" s="2">
        <v>2021.0</v>
      </c>
      <c r="B15186" s="2" t="s">
        <v>20892</v>
      </c>
      <c r="D15186" s="2" t="str">
        <f t="shared" si="246"/>
        <v/>
      </c>
      <c r="E15186" s="2" t="s">
        <v>5858</v>
      </c>
      <c r="F15186" s="2" t="s">
        <v>2378</v>
      </c>
      <c r="G15186" s="2" t="str">
        <f>"SR-21982"</f>
        <v>SR-21982</v>
      </c>
      <c r="H15186" s="2" t="s">
        <v>58279</v>
      </c>
    </row>
    <row r="15187" ht="15.75" customHeight="1">
      <c r="A15187" s="2">
        <v>2021.0</v>
      </c>
      <c r="B15187" s="2" t="s">
        <v>58280</v>
      </c>
      <c r="D15187" s="2" t="str">
        <f t="shared" si="246"/>
        <v/>
      </c>
      <c r="E15187" s="2" t="s">
        <v>12491</v>
      </c>
      <c r="F15187" s="2" t="s">
        <v>1859</v>
      </c>
      <c r="G15187" s="2" t="str">
        <f>"SR-20841"</f>
        <v>SR-20841</v>
      </c>
      <c r="H15187" s="2" t="s">
        <v>58281</v>
      </c>
    </row>
    <row r="15188" ht="15.75" customHeight="1">
      <c r="A15188" s="2">
        <v>2021.0</v>
      </c>
      <c r="B15188" s="2" t="s">
        <v>58282</v>
      </c>
      <c r="C15188" s="2" t="s">
        <v>58282</v>
      </c>
      <c r="D15188" s="2" t="str">
        <f>"6159247073"</f>
        <v>6159247073</v>
      </c>
      <c r="E15188" s="2" t="s">
        <v>33942</v>
      </c>
      <c r="F15188" s="2" t="s">
        <v>21469</v>
      </c>
      <c r="G15188" s="2" t="str">
        <f>"SR-21693"</f>
        <v>SR-21693</v>
      </c>
      <c r="H15188" s="2" t="s">
        <v>58283</v>
      </c>
      <c r="I15188" s="2" t="s">
        <v>58284</v>
      </c>
      <c r="K15188" s="2" t="s">
        <v>58285</v>
      </c>
      <c r="L15188" s="2" t="s">
        <v>279</v>
      </c>
      <c r="M15188" s="2">
        <v>37013.0</v>
      </c>
      <c r="N15188" s="2" t="s">
        <v>21</v>
      </c>
    </row>
    <row r="15189" ht="15.75" customHeight="1">
      <c r="A15189" s="2">
        <v>2021.0</v>
      </c>
      <c r="B15189" s="2" t="s">
        <v>58286</v>
      </c>
      <c r="C15189" s="2" t="s">
        <v>58287</v>
      </c>
      <c r="D15189" s="2" t="str">
        <f>"8034480105"</f>
        <v>8034480105</v>
      </c>
      <c r="E15189" s="2" t="s">
        <v>25244</v>
      </c>
      <c r="F15189" s="2" t="s">
        <v>58288</v>
      </c>
      <c r="G15189" s="2" t="str">
        <f>"SR-21997"</f>
        <v>SR-21997</v>
      </c>
      <c r="H15189" s="2" t="s">
        <v>58289</v>
      </c>
      <c r="I15189" s="2" t="s">
        <v>58290</v>
      </c>
      <c r="K15189" s="2" t="s">
        <v>29754</v>
      </c>
      <c r="L15189" s="2" t="s">
        <v>55</v>
      </c>
      <c r="M15189" s="2">
        <v>29730.0</v>
      </c>
      <c r="N15189" s="2" t="s">
        <v>21</v>
      </c>
    </row>
    <row r="15190" ht="15.75" customHeight="1">
      <c r="A15190" s="2">
        <v>2021.0</v>
      </c>
      <c r="B15190" s="2" t="s">
        <v>56826</v>
      </c>
      <c r="C15190" s="2" t="s">
        <v>58291</v>
      </c>
      <c r="D15190" s="2" t="str">
        <f>"9517751983"</f>
        <v>9517751983</v>
      </c>
      <c r="E15190" s="2" t="s">
        <v>1810</v>
      </c>
      <c r="F15190" s="2" t="s">
        <v>47418</v>
      </c>
      <c r="G15190" s="2" t="str">
        <f>"SR-21935"</f>
        <v>SR-21935</v>
      </c>
      <c r="H15190" s="2" t="s">
        <v>58292</v>
      </c>
      <c r="I15190" s="2" t="s">
        <v>58293</v>
      </c>
      <c r="K15190" s="2" t="s">
        <v>35198</v>
      </c>
      <c r="L15190" s="2" t="s">
        <v>222</v>
      </c>
      <c r="M15190" s="2">
        <v>92592.0</v>
      </c>
      <c r="N15190" s="2" t="s">
        <v>21</v>
      </c>
    </row>
    <row r="15191" ht="15.75" customHeight="1">
      <c r="A15191" s="2">
        <v>2021.0</v>
      </c>
      <c r="B15191" s="2" t="s">
        <v>58286</v>
      </c>
      <c r="C15191" s="2" t="s">
        <v>58294</v>
      </c>
      <c r="D15191" s="2" t="str">
        <f>"8035544988"</f>
        <v>8035544988</v>
      </c>
      <c r="E15191" s="2" t="s">
        <v>58295</v>
      </c>
      <c r="F15191" s="2" t="s">
        <v>58288</v>
      </c>
      <c r="G15191" s="2" t="str">
        <f>"SR-21998"</f>
        <v>SR-21998</v>
      </c>
      <c r="H15191" s="2" t="s">
        <v>58296</v>
      </c>
      <c r="I15191" s="2" t="s">
        <v>58297</v>
      </c>
      <c r="K15191" s="2" t="s">
        <v>29754</v>
      </c>
      <c r="L15191" s="2" t="s">
        <v>55</v>
      </c>
      <c r="M15191" s="2">
        <v>29730.0</v>
      </c>
      <c r="N15191" s="2" t="s">
        <v>21</v>
      </c>
    </row>
    <row r="15192" ht="15.75" customHeight="1">
      <c r="A15192" s="2">
        <v>2021.0</v>
      </c>
      <c r="B15192" s="2" t="s">
        <v>58298</v>
      </c>
      <c r="D15192" s="2" t="str">
        <f>""</f>
        <v/>
      </c>
      <c r="E15192" s="2" t="s">
        <v>5991</v>
      </c>
      <c r="F15192" s="2" t="s">
        <v>645</v>
      </c>
      <c r="G15192" s="2" t="str">
        <f>"SR-21907"</f>
        <v>SR-21907</v>
      </c>
      <c r="H15192" s="2" t="s">
        <v>58299</v>
      </c>
      <c r="N15192" s="2" t="s">
        <v>21</v>
      </c>
    </row>
    <row r="15193" ht="15.75" customHeight="1">
      <c r="A15193" s="2">
        <v>2021.0</v>
      </c>
      <c r="B15193" s="2" t="s">
        <v>52733</v>
      </c>
      <c r="C15193" s="2" t="s">
        <v>52734</v>
      </c>
      <c r="D15193" s="2" t="str">
        <f>"7045494188"</f>
        <v>7045494188</v>
      </c>
      <c r="E15193" s="2" t="s">
        <v>1263</v>
      </c>
      <c r="F15193" s="2" t="s">
        <v>639</v>
      </c>
      <c r="G15193" s="2" t="str">
        <f>"SR-18816"</f>
        <v>SR-18816</v>
      </c>
      <c r="H15193" s="2" t="s">
        <v>52735</v>
      </c>
      <c r="I15193" s="2" t="s">
        <v>52736</v>
      </c>
      <c r="K15193" s="2" t="s">
        <v>19</v>
      </c>
      <c r="L15193" s="2" t="s">
        <v>20</v>
      </c>
      <c r="M15193" s="2">
        <v>28269.0</v>
      </c>
      <c r="N15193" s="2" t="s">
        <v>21</v>
      </c>
    </row>
    <row r="15194" ht="15.75" customHeight="1">
      <c r="A15194" s="2">
        <v>2021.0</v>
      </c>
      <c r="B15194" s="2" t="s">
        <v>35397</v>
      </c>
      <c r="C15194" s="2" t="s">
        <v>52533</v>
      </c>
      <c r="D15194" s="2" t="str">
        <f>"6614441898"</f>
        <v>6614441898</v>
      </c>
      <c r="E15194" s="2" t="s">
        <v>167</v>
      </c>
      <c r="F15194" s="2" t="s">
        <v>26598</v>
      </c>
      <c r="G15194" s="2" t="str">
        <f>"SR-18776"</f>
        <v>SR-18776</v>
      </c>
      <c r="H15194" s="2" t="s">
        <v>52534</v>
      </c>
      <c r="I15194" s="2" t="s">
        <v>52535</v>
      </c>
      <c r="K15194" s="2" t="s">
        <v>11198</v>
      </c>
      <c r="L15194" s="2" t="s">
        <v>222</v>
      </c>
      <c r="M15194" s="2">
        <v>93308.0</v>
      </c>
      <c r="N15194" s="2" t="s">
        <v>21</v>
      </c>
    </row>
    <row r="15195" ht="15.75" customHeight="1">
      <c r="A15195" s="2">
        <v>2021.0</v>
      </c>
      <c r="B15195" s="2" t="s">
        <v>58300</v>
      </c>
      <c r="C15195" s="2" t="s">
        <v>58301</v>
      </c>
      <c r="D15195" s="2" t="str">
        <f>"6184914220"</f>
        <v>6184914220</v>
      </c>
      <c r="E15195" s="2" t="s">
        <v>25495</v>
      </c>
      <c r="F15195" s="2" t="s">
        <v>58302</v>
      </c>
      <c r="G15195" s="2" t="str">
        <f>"SR-21977"</f>
        <v>SR-21977</v>
      </c>
      <c r="H15195" s="2" t="s">
        <v>58303</v>
      </c>
      <c r="I15195" s="2" t="s">
        <v>58304</v>
      </c>
      <c r="K15195" s="2" t="s">
        <v>58305</v>
      </c>
      <c r="L15195" s="2" t="s">
        <v>105</v>
      </c>
      <c r="M15195" s="2">
        <v>62269.0</v>
      </c>
      <c r="N15195" s="2" t="s">
        <v>21</v>
      </c>
    </row>
    <row r="15196" ht="15.75" customHeight="1">
      <c r="A15196" s="2">
        <v>2021.0</v>
      </c>
      <c r="B15196" s="2" t="s">
        <v>34849</v>
      </c>
      <c r="C15196" s="2" t="s">
        <v>58306</v>
      </c>
      <c r="D15196" s="2" t="str">
        <f>"7203052127"</f>
        <v>7203052127</v>
      </c>
      <c r="E15196" s="2" t="s">
        <v>137</v>
      </c>
      <c r="F15196" s="2" t="s">
        <v>17913</v>
      </c>
      <c r="G15196" s="2" t="str">
        <f>"SR-21838"</f>
        <v>SR-21838</v>
      </c>
      <c r="H15196" s="2" t="s">
        <v>58307</v>
      </c>
      <c r="I15196" s="2" t="s">
        <v>34852</v>
      </c>
      <c r="K15196" s="2" t="s">
        <v>7578</v>
      </c>
      <c r="L15196" s="2" t="s">
        <v>157</v>
      </c>
      <c r="M15196" s="2">
        <v>80118.0</v>
      </c>
      <c r="N15196" s="2" t="s">
        <v>21</v>
      </c>
    </row>
    <row r="15197" ht="15.75" customHeight="1">
      <c r="A15197" s="2">
        <v>2021.0</v>
      </c>
      <c r="B15197" s="2" t="s">
        <v>58308</v>
      </c>
      <c r="C15197" s="2" t="s">
        <v>58308</v>
      </c>
      <c r="D15197" s="2" t="str">
        <f>"309-434-0225"</f>
        <v>309-434-0225</v>
      </c>
      <c r="E15197" s="2" t="s">
        <v>1156</v>
      </c>
      <c r="F15197" s="2" t="s">
        <v>44079</v>
      </c>
      <c r="G15197" s="2" t="str">
        <f>"SR-22002"</f>
        <v>SR-22002</v>
      </c>
      <c r="H15197" s="2" t="s">
        <v>58309</v>
      </c>
      <c r="I15197" s="2" t="s">
        <v>44081</v>
      </c>
      <c r="K15197" s="2" t="s">
        <v>27819</v>
      </c>
      <c r="L15197" s="2" t="s">
        <v>105</v>
      </c>
      <c r="M15197" s="2">
        <v>61744.0</v>
      </c>
      <c r="N15197" s="2" t="s">
        <v>21</v>
      </c>
    </row>
    <row r="15198" ht="15.75" customHeight="1">
      <c r="A15198" s="2">
        <v>2021.0</v>
      </c>
      <c r="B15198" s="2" t="s">
        <v>58310</v>
      </c>
      <c r="C15198" s="2" t="s">
        <v>58311</v>
      </c>
      <c r="D15198" s="2" t="str">
        <f>"5312091048"</f>
        <v>5312091048</v>
      </c>
      <c r="E15198" s="2" t="s">
        <v>824</v>
      </c>
      <c r="F15198" s="2" t="s">
        <v>58312</v>
      </c>
      <c r="G15198" s="2" t="str">
        <f>"SR-21999"</f>
        <v>SR-21999</v>
      </c>
      <c r="H15198" s="2" t="s">
        <v>58313</v>
      </c>
      <c r="I15198" s="2" t="s">
        <v>58314</v>
      </c>
      <c r="K15198" s="2" t="s">
        <v>9635</v>
      </c>
      <c r="L15198" s="2" t="s">
        <v>757</v>
      </c>
      <c r="M15198" s="2">
        <v>68022.0</v>
      </c>
      <c r="N15198" s="2" t="s">
        <v>21</v>
      </c>
    </row>
    <row r="15199" ht="15.75" customHeight="1">
      <c r="A15199" s="2">
        <v>2021.0</v>
      </c>
      <c r="B15199" s="2" t="s">
        <v>58310</v>
      </c>
      <c r="C15199" s="2" t="s">
        <v>58315</v>
      </c>
      <c r="D15199" s="2" t="str">
        <f>"5312091051"</f>
        <v>5312091051</v>
      </c>
      <c r="E15199" s="2" t="s">
        <v>2031</v>
      </c>
      <c r="F15199" s="2" t="s">
        <v>58312</v>
      </c>
      <c r="G15199" s="2" t="str">
        <f>"SR-22005"</f>
        <v>SR-22005</v>
      </c>
      <c r="H15199" s="2" t="s">
        <v>58316</v>
      </c>
      <c r="I15199" s="2" t="s">
        <v>58317</v>
      </c>
      <c r="K15199" s="2" t="s">
        <v>9635</v>
      </c>
      <c r="L15199" s="2" t="s">
        <v>757</v>
      </c>
      <c r="M15199" s="2">
        <v>68022.0</v>
      </c>
      <c r="N15199" s="2" t="s">
        <v>21</v>
      </c>
    </row>
    <row r="15200" ht="15.75" customHeight="1">
      <c r="A15200" s="2">
        <v>2021.0</v>
      </c>
      <c r="B15200" s="2" t="s">
        <v>58318</v>
      </c>
      <c r="C15200" s="2" t="s">
        <v>58318</v>
      </c>
      <c r="D15200" s="2" t="str">
        <f>"3186552997"</f>
        <v>3186552997</v>
      </c>
      <c r="E15200" s="2" t="s">
        <v>428</v>
      </c>
      <c r="F15200" s="2" t="s">
        <v>58319</v>
      </c>
      <c r="G15200" s="2" t="str">
        <f>"SR-19146"</f>
        <v>SR-19146</v>
      </c>
      <c r="H15200" s="2" t="s">
        <v>58320</v>
      </c>
      <c r="I15200" s="2" t="s">
        <v>58321</v>
      </c>
      <c r="K15200" s="2" t="s">
        <v>58322</v>
      </c>
      <c r="L15200" s="2" t="s">
        <v>715</v>
      </c>
      <c r="M15200" s="2">
        <v>71037.0</v>
      </c>
      <c r="N15200" s="2" t="s">
        <v>21</v>
      </c>
    </row>
    <row r="15201" ht="15.75" customHeight="1">
      <c r="A15201" s="2">
        <v>2021.0</v>
      </c>
      <c r="B15201" s="2" t="s">
        <v>58323</v>
      </c>
      <c r="C15201" s="2" t="s">
        <v>58324</v>
      </c>
      <c r="D15201" s="2" t="str">
        <f>"423.664.2972"</f>
        <v>423.664.2972</v>
      </c>
      <c r="E15201" s="2" t="s">
        <v>3493</v>
      </c>
      <c r="F15201" s="2" t="s">
        <v>2636</v>
      </c>
      <c r="G15201" s="2" t="str">
        <f>"SR-21656"</f>
        <v>SR-21656</v>
      </c>
      <c r="H15201" s="2" t="s">
        <v>58325</v>
      </c>
      <c r="I15201" s="2" t="s">
        <v>58326</v>
      </c>
      <c r="K15201" s="2" t="s">
        <v>5671</v>
      </c>
      <c r="L15201" s="2" t="s">
        <v>279</v>
      </c>
      <c r="M15201" s="2">
        <v>37377.0</v>
      </c>
      <c r="N15201" s="2" t="s">
        <v>21</v>
      </c>
    </row>
    <row r="15202" ht="15.75" customHeight="1">
      <c r="A15202" s="2">
        <v>2021.0</v>
      </c>
      <c r="B15202" s="2" t="s">
        <v>58327</v>
      </c>
      <c r="C15202" s="2" t="s">
        <v>58328</v>
      </c>
      <c r="D15202" s="2" t="str">
        <f>"7788828660"</f>
        <v>7788828660</v>
      </c>
      <c r="E15202" s="2" t="s">
        <v>4604</v>
      </c>
      <c r="F15202" s="2" t="s">
        <v>58329</v>
      </c>
      <c r="G15202" s="2" t="str">
        <f>"SR-19365"</f>
        <v>SR-19365</v>
      </c>
      <c r="H15202" s="2" t="s">
        <v>58330</v>
      </c>
      <c r="I15202" s="2" t="s">
        <v>58331</v>
      </c>
      <c r="K15202" s="2" t="s">
        <v>4216</v>
      </c>
      <c r="L15202" s="2" t="s">
        <v>35237</v>
      </c>
      <c r="M15202" s="2" t="s">
        <v>58332</v>
      </c>
      <c r="N15202" s="2" t="s">
        <v>1602</v>
      </c>
    </row>
    <row r="15203" ht="15.75" customHeight="1">
      <c r="A15203" s="2">
        <v>2021.0</v>
      </c>
      <c r="B15203" s="2" t="s">
        <v>51528</v>
      </c>
      <c r="C15203" s="2" t="s">
        <v>51528</v>
      </c>
      <c r="D15203" s="2" t="str">
        <f>"612-964-1215"</f>
        <v>612-964-1215</v>
      </c>
      <c r="E15203" s="2" t="s">
        <v>2089</v>
      </c>
      <c r="F15203" s="2" t="s">
        <v>37241</v>
      </c>
      <c r="G15203" s="2" t="str">
        <f>"SR-22004"</f>
        <v>SR-22004</v>
      </c>
      <c r="H15203" s="2" t="s">
        <v>51529</v>
      </c>
      <c r="I15203" s="2" t="s">
        <v>37243</v>
      </c>
      <c r="K15203" s="2" t="s">
        <v>1321</v>
      </c>
      <c r="L15203" s="2" t="s">
        <v>62</v>
      </c>
      <c r="M15203" s="2">
        <v>55372.0</v>
      </c>
      <c r="N15203" s="2" t="s">
        <v>21</v>
      </c>
    </row>
    <row r="15204" ht="15.75" customHeight="1">
      <c r="A15204" s="2">
        <v>2021.0</v>
      </c>
      <c r="B15204" s="2" t="s">
        <v>58333</v>
      </c>
      <c r="C15204" s="2" t="s">
        <v>58333</v>
      </c>
      <c r="D15204" s="2" t="str">
        <f>"(260) 237-9318"</f>
        <v>(260) 237-9318</v>
      </c>
      <c r="E15204" s="2" t="s">
        <v>58334</v>
      </c>
      <c r="F15204" s="2" t="s">
        <v>58335</v>
      </c>
      <c r="G15204" s="2" t="str">
        <f>"SR-21052"</f>
        <v>SR-21052</v>
      </c>
      <c r="H15204" s="2" t="s">
        <v>58336</v>
      </c>
      <c r="I15204" s="2" t="s">
        <v>58337</v>
      </c>
      <c r="K15204" s="2" t="s">
        <v>58338</v>
      </c>
      <c r="L15204" s="2" t="s">
        <v>149</v>
      </c>
      <c r="M15204" s="2">
        <v>46767.0</v>
      </c>
      <c r="N15204" s="2" t="s">
        <v>21</v>
      </c>
    </row>
    <row r="15205" ht="15.75" customHeight="1">
      <c r="A15205" s="2">
        <v>2021.0</v>
      </c>
      <c r="B15205" s="2" t="s">
        <v>6421</v>
      </c>
      <c r="C15205" s="2" t="s">
        <v>58339</v>
      </c>
      <c r="D15205" s="2" t="str">
        <f>"2148432221"</f>
        <v>2148432221</v>
      </c>
      <c r="E15205" s="2" t="s">
        <v>1034</v>
      </c>
      <c r="F15205" s="2" t="s">
        <v>457</v>
      </c>
      <c r="G15205" s="2" t="str">
        <f>"SR-21483"</f>
        <v>SR-21483</v>
      </c>
      <c r="H15205" s="2" t="s">
        <v>58340</v>
      </c>
      <c r="I15205" s="2" t="s">
        <v>6424</v>
      </c>
      <c r="K15205" s="2" t="s">
        <v>1255</v>
      </c>
      <c r="L15205" s="2" t="s">
        <v>172</v>
      </c>
      <c r="M15205" s="2">
        <v>75243.0</v>
      </c>
      <c r="N15205" s="2" t="s">
        <v>21</v>
      </c>
    </row>
    <row r="15206" ht="15.75" customHeight="1">
      <c r="A15206" s="2">
        <v>2021.0</v>
      </c>
      <c r="B15206" s="2" t="s">
        <v>33399</v>
      </c>
      <c r="C15206" s="2" t="s">
        <v>51520</v>
      </c>
      <c r="D15206" s="2" t="str">
        <f>"9524521236"</f>
        <v>9524521236</v>
      </c>
      <c r="E15206" s="2" t="s">
        <v>1400</v>
      </c>
      <c r="F15206" s="2" t="s">
        <v>33401</v>
      </c>
      <c r="G15206" s="2" t="str">
        <f>"SR-18422"</f>
        <v>SR-18422</v>
      </c>
      <c r="H15206" s="2" t="s">
        <v>51521</v>
      </c>
      <c r="I15206" s="2" t="s">
        <v>51522</v>
      </c>
      <c r="K15206" s="2" t="s">
        <v>1765</v>
      </c>
      <c r="L15206" s="2" t="s">
        <v>62</v>
      </c>
      <c r="M15206" s="2">
        <v>55378.0</v>
      </c>
      <c r="N15206" s="2" t="s">
        <v>21</v>
      </c>
    </row>
    <row r="15207" ht="15.75" customHeight="1">
      <c r="A15207" s="2">
        <v>2021.0</v>
      </c>
      <c r="B15207" s="2" t="s">
        <v>58341</v>
      </c>
      <c r="C15207" s="2" t="s">
        <v>58341</v>
      </c>
      <c r="D15207" s="2" t="str">
        <f>"7048409513"</f>
        <v>7048409513</v>
      </c>
      <c r="E15207" s="2" t="s">
        <v>580</v>
      </c>
      <c r="F15207" s="2" t="s">
        <v>58342</v>
      </c>
      <c r="G15207" s="2" t="str">
        <f>"SR-22013"</f>
        <v>SR-22013</v>
      </c>
      <c r="H15207" s="2" t="s">
        <v>58343</v>
      </c>
      <c r="I15207" s="2" t="s">
        <v>58344</v>
      </c>
      <c r="K15207" s="2" t="s">
        <v>4304</v>
      </c>
      <c r="L15207" s="2" t="s">
        <v>20</v>
      </c>
      <c r="M15207" s="2">
        <v>28173.0</v>
      </c>
      <c r="N15207" s="2" t="s">
        <v>21</v>
      </c>
    </row>
    <row r="15208" ht="15.75" customHeight="1">
      <c r="A15208" s="2">
        <v>2021.0</v>
      </c>
      <c r="B15208" s="2" t="s">
        <v>54247</v>
      </c>
      <c r="C15208" s="2" t="s">
        <v>54248</v>
      </c>
      <c r="D15208" s="2" t="str">
        <f>"906-275-9526"</f>
        <v>906-275-9526</v>
      </c>
      <c r="E15208" s="2" t="s">
        <v>54249</v>
      </c>
      <c r="F15208" s="2" t="s">
        <v>5490</v>
      </c>
      <c r="G15208" s="2" t="str">
        <f>"SR-19674"</f>
        <v>SR-19674</v>
      </c>
      <c r="H15208" s="2" t="s">
        <v>54250</v>
      </c>
      <c r="I15208" s="2" t="s">
        <v>54251</v>
      </c>
      <c r="K15208" s="2" t="s">
        <v>10066</v>
      </c>
      <c r="L15208" s="2" t="s">
        <v>29</v>
      </c>
      <c r="M15208" s="2">
        <v>49931.0</v>
      </c>
      <c r="N15208" s="2" t="s">
        <v>21</v>
      </c>
    </row>
    <row r="15209" ht="15.75" customHeight="1">
      <c r="A15209" s="2">
        <v>2021.0</v>
      </c>
      <c r="B15209" s="2" t="s">
        <v>58345</v>
      </c>
      <c r="C15209" s="2" t="s">
        <v>58345</v>
      </c>
      <c r="D15209" s="2" t="str">
        <f>"3196319392"</f>
        <v>3196319392</v>
      </c>
      <c r="E15209" s="2" t="s">
        <v>456</v>
      </c>
      <c r="F15209" s="2" t="s">
        <v>5661</v>
      </c>
      <c r="G15209" s="2" t="str">
        <f>"SR-22008"</f>
        <v>SR-22008</v>
      </c>
      <c r="H15209" s="2" t="s">
        <v>58346</v>
      </c>
      <c r="I15209" s="2">
        <v>1736.0</v>
      </c>
      <c r="J15209" s="2" t="s">
        <v>58347</v>
      </c>
      <c r="K15209" s="2" t="s">
        <v>5664</v>
      </c>
      <c r="L15209" s="2" t="s">
        <v>560</v>
      </c>
      <c r="M15209" s="2">
        <v>52241.0</v>
      </c>
      <c r="N15209" s="2" t="s">
        <v>21</v>
      </c>
    </row>
    <row r="15210" ht="15.75" customHeight="1">
      <c r="A15210" s="2">
        <v>2021.0</v>
      </c>
      <c r="B15210" s="2" t="s">
        <v>58348</v>
      </c>
      <c r="C15210" s="2" t="s">
        <v>58348</v>
      </c>
      <c r="D15210" s="2" t="str">
        <f>"302-463-2495"</f>
        <v>302-463-2495</v>
      </c>
      <c r="E15210" s="2" t="s">
        <v>6718</v>
      </c>
      <c r="F15210" s="2" t="s">
        <v>9547</v>
      </c>
      <c r="G15210" s="2" t="str">
        <f>"SR-22017"</f>
        <v>SR-22017</v>
      </c>
      <c r="H15210" s="2" t="s">
        <v>58349</v>
      </c>
      <c r="I15210" s="2" t="s">
        <v>58350</v>
      </c>
      <c r="K15210" s="2" t="s">
        <v>4884</v>
      </c>
      <c r="L15210" s="2" t="s">
        <v>4885</v>
      </c>
      <c r="M15210" s="2">
        <v>19711.0</v>
      </c>
      <c r="N15210" s="2" t="s">
        <v>21</v>
      </c>
    </row>
    <row r="15211" ht="15.75" customHeight="1">
      <c r="A15211" s="2">
        <v>2021.0</v>
      </c>
      <c r="B15211" s="2" t="s">
        <v>58351</v>
      </c>
      <c r="C15211" s="2" t="s">
        <v>58352</v>
      </c>
      <c r="D15211" s="2" t="str">
        <f t="shared" ref="D15211:D15212" si="247">"6305127954"</f>
        <v>6305127954</v>
      </c>
      <c r="E15211" s="2" t="s">
        <v>6244</v>
      </c>
      <c r="F15211" s="2" t="s">
        <v>58353</v>
      </c>
      <c r="G15211" s="2" t="str">
        <f>"SR-22016"</f>
        <v>SR-22016</v>
      </c>
      <c r="H15211" s="2" t="s">
        <v>58354</v>
      </c>
      <c r="I15211" s="2" t="s">
        <v>58355</v>
      </c>
      <c r="K15211" s="2" t="s">
        <v>58356</v>
      </c>
      <c r="L15211" s="2" t="s">
        <v>105</v>
      </c>
      <c r="M15211" s="2">
        <v>60185.0</v>
      </c>
      <c r="N15211" s="2" t="s">
        <v>21</v>
      </c>
    </row>
    <row r="15212" ht="15.75" customHeight="1">
      <c r="A15212" s="2">
        <v>2021.0</v>
      </c>
      <c r="B15212" s="2" t="s">
        <v>58351</v>
      </c>
      <c r="C15212" s="2" t="s">
        <v>58357</v>
      </c>
      <c r="D15212" s="2" t="str">
        <f t="shared" si="247"/>
        <v>6305127954</v>
      </c>
      <c r="E15212" s="2" t="s">
        <v>301</v>
      </c>
      <c r="F15212" s="2" t="s">
        <v>58353</v>
      </c>
      <c r="G15212" s="2" t="str">
        <f>"SR-22015"</f>
        <v>SR-22015</v>
      </c>
      <c r="H15212" s="2" t="s">
        <v>58358</v>
      </c>
      <c r="I15212" s="2" t="s">
        <v>58355</v>
      </c>
      <c r="K15212" s="2" t="s">
        <v>58356</v>
      </c>
      <c r="L15212" s="2" t="s">
        <v>105</v>
      </c>
      <c r="M15212" s="2">
        <v>60185.0</v>
      </c>
      <c r="N15212" s="2" t="s">
        <v>21</v>
      </c>
    </row>
    <row r="15213" ht="15.75" customHeight="1">
      <c r="A15213" s="2">
        <v>2021.0</v>
      </c>
      <c r="B15213" s="2" t="s">
        <v>58359</v>
      </c>
      <c r="C15213" s="2" t="s">
        <v>58359</v>
      </c>
      <c r="D15213" s="2" t="str">
        <f>"320-260-4870"</f>
        <v>320-260-4870</v>
      </c>
      <c r="E15213" s="2" t="s">
        <v>7758</v>
      </c>
      <c r="F15213" s="2" t="s">
        <v>25790</v>
      </c>
      <c r="G15213" s="2" t="str">
        <f>"SR-22018"</f>
        <v>SR-22018</v>
      </c>
      <c r="H15213" s="2" t="s">
        <v>58360</v>
      </c>
      <c r="I15213" s="2" t="s">
        <v>58361</v>
      </c>
      <c r="K15213" s="2" t="s">
        <v>25483</v>
      </c>
      <c r="L15213" s="2" t="s">
        <v>62</v>
      </c>
      <c r="M15213" s="2">
        <v>55382.0</v>
      </c>
      <c r="N15213" s="2" t="s">
        <v>21</v>
      </c>
    </row>
    <row r="15214" ht="15.75" customHeight="1">
      <c r="A15214" s="2">
        <v>2021.0</v>
      </c>
      <c r="B15214" s="2" t="s">
        <v>58362</v>
      </c>
      <c r="C15214" s="2" t="s">
        <v>58363</v>
      </c>
      <c r="D15214" s="2" t="str">
        <f>"2143636956"</f>
        <v>2143636956</v>
      </c>
      <c r="E15214" s="2" t="s">
        <v>4092</v>
      </c>
      <c r="F15214" s="2" t="s">
        <v>58364</v>
      </c>
      <c r="G15214" s="2" t="str">
        <f>"SR-22019"</f>
        <v>SR-22019</v>
      </c>
      <c r="H15214" s="2" t="s">
        <v>58365</v>
      </c>
      <c r="I15214" s="2" t="s">
        <v>58366</v>
      </c>
      <c r="K15214" s="2" t="s">
        <v>1255</v>
      </c>
      <c r="L15214" s="2" t="s">
        <v>172</v>
      </c>
      <c r="M15214" s="2">
        <v>75230.0</v>
      </c>
      <c r="N15214" s="2" t="s">
        <v>21</v>
      </c>
    </row>
    <row r="15215" ht="15.75" customHeight="1">
      <c r="A15215" s="2">
        <v>2021.0</v>
      </c>
      <c r="B15215" s="2" t="s">
        <v>58351</v>
      </c>
      <c r="C15215" s="2" t="s">
        <v>58367</v>
      </c>
      <c r="D15215" s="2" t="str">
        <f>"6305465386"</f>
        <v>6305465386</v>
      </c>
      <c r="E15215" s="2" t="s">
        <v>14788</v>
      </c>
      <c r="F15215" s="2" t="s">
        <v>58353</v>
      </c>
      <c r="G15215" s="2" t="str">
        <f>"SR-22014"</f>
        <v>SR-22014</v>
      </c>
      <c r="H15215" s="2" t="s">
        <v>58368</v>
      </c>
      <c r="I15215" s="2" t="s">
        <v>58355</v>
      </c>
      <c r="K15215" s="2" t="s">
        <v>58356</v>
      </c>
      <c r="L15215" s="2" t="s">
        <v>105</v>
      </c>
      <c r="M15215" s="2">
        <v>60185.0</v>
      </c>
      <c r="N15215" s="2" t="s">
        <v>21</v>
      </c>
    </row>
    <row r="15216" ht="15.75" customHeight="1">
      <c r="A15216" s="2">
        <v>2021.0</v>
      </c>
      <c r="B15216" s="2" t="s">
        <v>58369</v>
      </c>
      <c r="C15216" s="2" t="s">
        <v>58370</v>
      </c>
      <c r="D15216" s="2" t="str">
        <f>"9196230266"</f>
        <v>9196230266</v>
      </c>
      <c r="E15216" s="2" t="s">
        <v>611</v>
      </c>
      <c r="F15216" s="2" t="s">
        <v>10530</v>
      </c>
      <c r="G15216" s="2" t="str">
        <f>"SR-21958"</f>
        <v>SR-21958</v>
      </c>
      <c r="H15216" s="2" t="s">
        <v>58371</v>
      </c>
      <c r="I15216" s="2" t="s">
        <v>58372</v>
      </c>
      <c r="K15216" s="2" t="s">
        <v>26041</v>
      </c>
      <c r="L15216" s="2" t="s">
        <v>20</v>
      </c>
      <c r="M15216" s="2">
        <v>27577.0</v>
      </c>
      <c r="N15216" s="2" t="s">
        <v>21</v>
      </c>
    </row>
    <row r="15217" ht="15.75" customHeight="1">
      <c r="A15217" s="2">
        <v>2021.0</v>
      </c>
      <c r="B15217" s="2" t="s">
        <v>58373</v>
      </c>
      <c r="C15217" s="2" t="s">
        <v>58374</v>
      </c>
      <c r="D15217" s="2" t="str">
        <f>"9708527471"</f>
        <v>9708527471</v>
      </c>
      <c r="E15217" s="2" t="s">
        <v>1548</v>
      </c>
      <c r="F15217" s="2" t="s">
        <v>58375</v>
      </c>
      <c r="G15217" s="2" t="str">
        <f>"SR-22020"</f>
        <v>SR-22020</v>
      </c>
      <c r="H15217" s="2" t="s">
        <v>58376</v>
      </c>
      <c r="I15217" s="2" t="s">
        <v>58377</v>
      </c>
      <c r="K15217" s="2" t="s">
        <v>8277</v>
      </c>
      <c r="L15217" s="2" t="s">
        <v>157</v>
      </c>
      <c r="M15217" s="2">
        <v>81612.0</v>
      </c>
      <c r="N15217" s="2" t="s">
        <v>21</v>
      </c>
    </row>
    <row r="15218" ht="15.75" customHeight="1">
      <c r="A15218" s="2">
        <v>2021.0</v>
      </c>
      <c r="B15218" s="2" t="s">
        <v>51630</v>
      </c>
      <c r="C15218" s="2" t="s">
        <v>58378</v>
      </c>
      <c r="D15218" s="2" t="str">
        <f>"2058764516"</f>
        <v>2058764516</v>
      </c>
      <c r="E15218" s="2" t="s">
        <v>1946</v>
      </c>
      <c r="F15218" s="2" t="s">
        <v>13554</v>
      </c>
      <c r="G15218" s="2" t="str">
        <f>"SR-22021"</f>
        <v>SR-22021</v>
      </c>
      <c r="H15218" s="2" t="s">
        <v>58379</v>
      </c>
      <c r="I15218" s="2" t="s">
        <v>51633</v>
      </c>
      <c r="K15218" s="2" t="s">
        <v>3103</v>
      </c>
      <c r="L15218" s="2" t="s">
        <v>272</v>
      </c>
      <c r="M15218" s="2">
        <v>66221.0</v>
      </c>
      <c r="N15218" s="2" t="s">
        <v>21</v>
      </c>
    </row>
    <row r="15219" ht="15.75" customHeight="1">
      <c r="A15219" s="2">
        <v>2021.0</v>
      </c>
      <c r="B15219" s="2" t="s">
        <v>58380</v>
      </c>
      <c r="C15219" s="2" t="s">
        <v>58380</v>
      </c>
      <c r="D15219" s="2" t="str">
        <f>"970 403-9339"</f>
        <v>970 403-9339</v>
      </c>
      <c r="E15219" s="2" t="s">
        <v>144</v>
      </c>
      <c r="F15219" s="2" t="s">
        <v>58375</v>
      </c>
      <c r="G15219" s="2" t="str">
        <f>"SR-22022"</f>
        <v>SR-22022</v>
      </c>
      <c r="H15219" s="2" t="s">
        <v>58381</v>
      </c>
      <c r="I15219" s="2" t="s">
        <v>58382</v>
      </c>
      <c r="K15219" s="2" t="s">
        <v>8277</v>
      </c>
      <c r="L15219" s="2" t="s">
        <v>157</v>
      </c>
      <c r="M15219" s="2">
        <v>81612.0</v>
      </c>
      <c r="N15219" s="2" t="s">
        <v>21</v>
      </c>
    </row>
    <row r="15220" ht="15.75" customHeight="1">
      <c r="A15220" s="2">
        <v>2021.0</v>
      </c>
      <c r="B15220" s="2" t="s">
        <v>58383</v>
      </c>
      <c r="C15220" s="2" t="s">
        <v>58384</v>
      </c>
      <c r="D15220" s="2" t="str">
        <f>"9312731992"</f>
        <v>9312731992</v>
      </c>
      <c r="E15220" s="2" t="s">
        <v>38262</v>
      </c>
      <c r="F15220" s="2" t="s">
        <v>58385</v>
      </c>
      <c r="G15220" s="2" t="str">
        <f>"SR-21897"</f>
        <v>SR-21897</v>
      </c>
      <c r="H15220" s="2" t="s">
        <v>58386</v>
      </c>
      <c r="I15220" s="2" t="s">
        <v>58387</v>
      </c>
      <c r="K15220" s="2" t="s">
        <v>58388</v>
      </c>
      <c r="L15220" s="2" t="s">
        <v>279</v>
      </c>
      <c r="M15220" s="2">
        <v>37110.0</v>
      </c>
      <c r="N15220" s="2" t="s">
        <v>21</v>
      </c>
    </row>
    <row r="15221" ht="15.75" customHeight="1">
      <c r="A15221" s="2">
        <v>2021.0</v>
      </c>
      <c r="B15221" s="2" t="s">
        <v>58389</v>
      </c>
      <c r="C15221" s="2" t="s">
        <v>58389</v>
      </c>
      <c r="D15221" s="2" t="str">
        <f>"5103181412"</f>
        <v>5103181412</v>
      </c>
      <c r="E15221" s="2" t="s">
        <v>417</v>
      </c>
      <c r="F15221" s="2" t="s">
        <v>34750</v>
      </c>
      <c r="G15221" s="2" t="str">
        <f>"SR-22023"</f>
        <v>SR-22023</v>
      </c>
      <c r="H15221" s="2" t="s">
        <v>58390</v>
      </c>
      <c r="I15221" s="2" t="s">
        <v>58391</v>
      </c>
      <c r="K15221" s="2" t="s">
        <v>22040</v>
      </c>
      <c r="L15221" s="2" t="s">
        <v>222</v>
      </c>
      <c r="M15221" s="2">
        <v>94611.0</v>
      </c>
      <c r="N15221" s="2" t="s">
        <v>21</v>
      </c>
    </row>
    <row r="15222" ht="15.75" customHeight="1">
      <c r="A15222" s="2">
        <v>2021.0</v>
      </c>
      <c r="B15222" s="2" t="s">
        <v>52596</v>
      </c>
      <c r="C15222" s="2" t="s">
        <v>52596</v>
      </c>
      <c r="D15222" s="2" t="str">
        <f>"251-888-0096"</f>
        <v>251-888-0096</v>
      </c>
      <c r="E15222" s="2" t="s">
        <v>282</v>
      </c>
      <c r="F15222" s="2" t="s">
        <v>3323</v>
      </c>
      <c r="G15222" s="2" t="str">
        <f>"SR-18766"</f>
        <v>SR-18766</v>
      </c>
      <c r="H15222" s="2" t="s">
        <v>52597</v>
      </c>
      <c r="I15222" s="2" t="s">
        <v>52598</v>
      </c>
      <c r="K15222" s="2" t="s">
        <v>5293</v>
      </c>
      <c r="L15222" s="2" t="s">
        <v>539</v>
      </c>
      <c r="M15222" s="2">
        <v>36695.0</v>
      </c>
      <c r="N15222" s="2" t="s">
        <v>21</v>
      </c>
    </row>
    <row r="15223" ht="15.75" customHeight="1">
      <c r="A15223" s="2">
        <v>2021.0</v>
      </c>
      <c r="B15223" s="2" t="s">
        <v>52844</v>
      </c>
      <c r="C15223" s="2" t="s">
        <v>52845</v>
      </c>
      <c r="D15223" s="2" t="str">
        <f>"+1 (479) 866-4093"</f>
        <v>+1 (479) 866-4093</v>
      </c>
      <c r="E15223" s="2" t="s">
        <v>9605</v>
      </c>
      <c r="F15223" s="2" t="s">
        <v>11248</v>
      </c>
      <c r="G15223" s="2" t="str">
        <f>"SR-18861"</f>
        <v>SR-18861</v>
      </c>
      <c r="H15223" s="2" t="s">
        <v>52846</v>
      </c>
      <c r="I15223" s="2" t="s">
        <v>52847</v>
      </c>
      <c r="K15223" s="2" t="s">
        <v>14516</v>
      </c>
      <c r="L15223" s="2" t="s">
        <v>1012</v>
      </c>
      <c r="M15223" s="2">
        <v>72712.0</v>
      </c>
      <c r="N15223" s="2" t="s">
        <v>21</v>
      </c>
    </row>
    <row r="15224" ht="15.75" customHeight="1">
      <c r="A15224" s="2">
        <v>2021.0</v>
      </c>
      <c r="B15224" s="2" t="s">
        <v>58392</v>
      </c>
      <c r="C15224" s="2" t="s">
        <v>58393</v>
      </c>
      <c r="D15224" s="2" t="str">
        <f>"803-729-0900"</f>
        <v>803-729-0900</v>
      </c>
      <c r="E15224" s="2" t="s">
        <v>51274</v>
      </c>
      <c r="F15224" s="2" t="s">
        <v>1101</v>
      </c>
      <c r="G15224" s="2" t="str">
        <f>"SR-22027"</f>
        <v>SR-22027</v>
      </c>
      <c r="H15224" s="2" t="s">
        <v>58394</v>
      </c>
      <c r="I15224" s="2" t="s">
        <v>58395</v>
      </c>
      <c r="K15224" s="2" t="s">
        <v>46831</v>
      </c>
      <c r="L15224" s="2" t="s">
        <v>55</v>
      </c>
      <c r="M15224" s="2">
        <v>29045.0</v>
      </c>
      <c r="N15224" s="2" t="s">
        <v>21</v>
      </c>
    </row>
    <row r="15225" ht="15.75" customHeight="1">
      <c r="A15225" s="2">
        <v>2021.0</v>
      </c>
      <c r="B15225" s="2" t="s">
        <v>58396</v>
      </c>
      <c r="C15225" s="2" t="s">
        <v>43779</v>
      </c>
      <c r="D15225" s="2" t="str">
        <f>"714-947-6401"</f>
        <v>714-947-6401</v>
      </c>
      <c r="E15225" s="2" t="s">
        <v>1208</v>
      </c>
      <c r="F15225" s="2" t="s">
        <v>17190</v>
      </c>
      <c r="G15225" s="2" t="str">
        <f>"SR-21944"</f>
        <v>SR-21944</v>
      </c>
      <c r="H15225" s="2" t="s">
        <v>43780</v>
      </c>
      <c r="I15225" s="2" t="s">
        <v>58397</v>
      </c>
      <c r="K15225" s="2" t="s">
        <v>12334</v>
      </c>
      <c r="L15225" s="2" t="s">
        <v>222</v>
      </c>
      <c r="M15225" s="2">
        <v>92886.0</v>
      </c>
      <c r="N15225" s="2" t="s">
        <v>21</v>
      </c>
    </row>
    <row r="15226" ht="15.75" customHeight="1">
      <c r="A15226" s="2">
        <v>2021.0</v>
      </c>
      <c r="B15226" s="2" t="s">
        <v>44708</v>
      </c>
      <c r="C15226" s="2" t="s">
        <v>44709</v>
      </c>
      <c r="D15226" s="2" t="str">
        <f>"2812502769"</f>
        <v>2812502769</v>
      </c>
      <c r="E15226" s="2" t="s">
        <v>44710</v>
      </c>
      <c r="F15226" s="2" t="s">
        <v>44711</v>
      </c>
      <c r="G15226" s="2" t="str">
        <f>"SR-15668"</f>
        <v>SR-15668</v>
      </c>
      <c r="H15226" s="2" t="s">
        <v>44712</v>
      </c>
      <c r="I15226" s="2" t="s">
        <v>44713</v>
      </c>
      <c r="K15226" s="2" t="s">
        <v>1141</v>
      </c>
      <c r="L15226" s="2" t="s">
        <v>172</v>
      </c>
      <c r="M15226" s="2">
        <v>78747.0</v>
      </c>
      <c r="N15226" s="2" t="s">
        <v>21</v>
      </c>
    </row>
    <row r="15227" ht="15.75" customHeight="1">
      <c r="A15227" s="2">
        <v>2021.0</v>
      </c>
      <c r="B15227" s="2" t="s">
        <v>58398</v>
      </c>
      <c r="C15227" s="2" t="s">
        <v>58399</v>
      </c>
      <c r="D15227" s="2" t="str">
        <f>"806-281-7523"</f>
        <v>806-281-7523</v>
      </c>
      <c r="E15227" s="2" t="s">
        <v>58400</v>
      </c>
      <c r="F15227" s="2" t="s">
        <v>58401</v>
      </c>
      <c r="G15227" s="2" t="str">
        <f>"SR-21788"</f>
        <v>SR-21788</v>
      </c>
      <c r="H15227" s="2" t="s">
        <v>58402</v>
      </c>
      <c r="I15227" s="2" t="s">
        <v>58403</v>
      </c>
      <c r="K15227" s="2" t="s">
        <v>1121</v>
      </c>
      <c r="L15227" s="2" t="s">
        <v>172</v>
      </c>
      <c r="M15227" s="2">
        <v>79424.0</v>
      </c>
      <c r="N15227" s="2" t="s">
        <v>21</v>
      </c>
    </row>
    <row r="15228" ht="15.75" customHeight="1">
      <c r="A15228" s="2">
        <v>2021.0</v>
      </c>
      <c r="B15228" s="2" t="s">
        <v>58404</v>
      </c>
      <c r="D15228" s="2" t="str">
        <f>""</f>
        <v/>
      </c>
      <c r="E15228" s="2" t="s">
        <v>590</v>
      </c>
      <c r="F15228" s="2" t="s">
        <v>58405</v>
      </c>
      <c r="G15228" s="2" t="str">
        <f>"SR-22024"</f>
        <v>SR-22024</v>
      </c>
      <c r="H15228" s="2" t="s">
        <v>58406</v>
      </c>
      <c r="N15228" s="2" t="s">
        <v>21</v>
      </c>
    </row>
    <row r="15229" ht="15.75" customHeight="1">
      <c r="A15229" s="2">
        <v>2021.0</v>
      </c>
      <c r="B15229" s="2" t="s">
        <v>58407</v>
      </c>
      <c r="C15229" s="2" t="s">
        <v>58408</v>
      </c>
      <c r="D15229" s="2" t="str">
        <f>"4255301676"</f>
        <v>4255301676</v>
      </c>
      <c r="E15229" s="2" t="s">
        <v>580</v>
      </c>
      <c r="F15229" s="2" t="s">
        <v>17591</v>
      </c>
      <c r="G15229" s="2" t="str">
        <f>"SR-22029"</f>
        <v>SR-22029</v>
      </c>
      <c r="H15229" s="2" t="s">
        <v>58409</v>
      </c>
      <c r="I15229" s="2" t="s">
        <v>58410</v>
      </c>
      <c r="K15229" s="2" t="s">
        <v>12661</v>
      </c>
      <c r="L15229" s="2" t="s">
        <v>165</v>
      </c>
      <c r="M15229" s="2">
        <v>98270.0</v>
      </c>
      <c r="N15229" s="2" t="s">
        <v>21</v>
      </c>
    </row>
    <row r="15230" ht="15.75" customHeight="1">
      <c r="A15230" s="2">
        <v>2021.0</v>
      </c>
      <c r="B15230" s="2" t="s">
        <v>29431</v>
      </c>
      <c r="C15230" s="2" t="s">
        <v>58411</v>
      </c>
      <c r="D15230" s="2" t="str">
        <f>"3602040343"</f>
        <v>3602040343</v>
      </c>
      <c r="E15230" s="2" t="s">
        <v>23239</v>
      </c>
      <c r="F15230" s="2" t="s">
        <v>1859</v>
      </c>
      <c r="G15230" s="2" t="str">
        <f>"SR-18477"</f>
        <v>SR-18477</v>
      </c>
      <c r="H15230" s="2" t="s">
        <v>58412</v>
      </c>
      <c r="I15230" s="2" t="s">
        <v>58413</v>
      </c>
      <c r="K15230" s="2" t="s">
        <v>29435</v>
      </c>
      <c r="L15230" s="2" t="s">
        <v>86</v>
      </c>
      <c r="M15230" s="2">
        <v>98370.0</v>
      </c>
      <c r="N15230" s="2" t="s">
        <v>21</v>
      </c>
    </row>
    <row r="15231" ht="15.75" customHeight="1">
      <c r="A15231" s="2">
        <v>2021.0</v>
      </c>
      <c r="B15231" s="2" t="s">
        <v>58414</v>
      </c>
      <c r="C15231" s="2" t="s">
        <v>58415</v>
      </c>
      <c r="D15231" s="2" t="str">
        <f>"5308675747"</f>
        <v>5308675747</v>
      </c>
      <c r="E15231" s="2" t="s">
        <v>19261</v>
      </c>
      <c r="F15231" s="2" t="s">
        <v>16497</v>
      </c>
      <c r="G15231" s="2" t="str">
        <f>"SR-22030"</f>
        <v>SR-22030</v>
      </c>
      <c r="H15231" s="2" t="s">
        <v>58416</v>
      </c>
      <c r="I15231" s="2" t="s">
        <v>58417</v>
      </c>
      <c r="K15231" s="2" t="s">
        <v>11463</v>
      </c>
      <c r="L15231" s="2" t="s">
        <v>222</v>
      </c>
      <c r="M15231" s="2">
        <v>92646.0</v>
      </c>
      <c r="N15231" s="2" t="s">
        <v>21</v>
      </c>
    </row>
    <row r="15232" ht="15.75" customHeight="1">
      <c r="A15232" s="2">
        <v>2021.0</v>
      </c>
      <c r="B15232" s="2" t="s">
        <v>58418</v>
      </c>
      <c r="C15232" s="2" t="s">
        <v>58419</v>
      </c>
      <c r="D15232" s="2" t="str">
        <f>"9183508107"</f>
        <v>9183508107</v>
      </c>
      <c r="E15232" s="2" t="s">
        <v>9047</v>
      </c>
      <c r="F15232" s="2" t="s">
        <v>58420</v>
      </c>
      <c r="G15232" s="2" t="str">
        <f>"SR-22032"</f>
        <v>SR-22032</v>
      </c>
      <c r="H15232" s="2" t="s">
        <v>58421</v>
      </c>
      <c r="I15232" s="2" t="s">
        <v>58422</v>
      </c>
      <c r="K15232" s="2" t="s">
        <v>58423</v>
      </c>
      <c r="L15232" s="2" t="s">
        <v>840</v>
      </c>
      <c r="M15232" s="2">
        <v>74017.0</v>
      </c>
      <c r="N15232" s="2" t="s">
        <v>21</v>
      </c>
    </row>
    <row r="15233" ht="15.75" customHeight="1">
      <c r="A15233" s="2">
        <v>2021.0</v>
      </c>
      <c r="B15233" s="2" t="s">
        <v>58424</v>
      </c>
      <c r="C15233" s="2" t="s">
        <v>58425</v>
      </c>
      <c r="D15233" s="2" t="str">
        <f>"309-838-6023"</f>
        <v>309-838-6023</v>
      </c>
      <c r="E15233" s="2" t="s">
        <v>267</v>
      </c>
      <c r="F15233" s="2" t="s">
        <v>45642</v>
      </c>
      <c r="G15233" s="2" t="str">
        <f>"SR-22006"</f>
        <v>SR-22006</v>
      </c>
      <c r="H15233" s="2" t="s">
        <v>58426</v>
      </c>
      <c r="I15233" s="2" t="s">
        <v>58427</v>
      </c>
      <c r="K15233" s="2" t="s">
        <v>14381</v>
      </c>
      <c r="L15233" s="2" t="s">
        <v>105</v>
      </c>
      <c r="M15233" s="2">
        <v>61761.0</v>
      </c>
      <c r="N15233" s="2" t="s">
        <v>21</v>
      </c>
    </row>
    <row r="15234" ht="15.75" customHeight="1">
      <c r="A15234" s="2">
        <v>2021.0</v>
      </c>
      <c r="B15234" s="2" t="s">
        <v>58428</v>
      </c>
      <c r="C15234" s="2" t="s">
        <v>58429</v>
      </c>
      <c r="D15234" s="2" t="str">
        <f>"8066836407"</f>
        <v>8066836407</v>
      </c>
      <c r="E15234" s="2" t="s">
        <v>58430</v>
      </c>
      <c r="F15234" s="2" t="s">
        <v>2875</v>
      </c>
      <c r="G15234" s="2" t="str">
        <f>"SR-22034"</f>
        <v>SR-22034</v>
      </c>
      <c r="H15234" s="2" t="s">
        <v>58431</v>
      </c>
      <c r="I15234" s="2" t="s">
        <v>58432</v>
      </c>
      <c r="K15234" s="2" t="s">
        <v>3212</v>
      </c>
      <c r="L15234" s="2" t="s">
        <v>172</v>
      </c>
      <c r="M15234" s="2">
        <v>67114.0</v>
      </c>
      <c r="N15234" s="2" t="s">
        <v>21</v>
      </c>
    </row>
    <row r="15235" ht="15.75" customHeight="1">
      <c r="A15235" s="2">
        <v>2021.0</v>
      </c>
      <c r="B15235" s="2" t="s">
        <v>55084</v>
      </c>
      <c r="C15235" s="2" t="s">
        <v>55084</v>
      </c>
      <c r="D15235" s="2" t="str">
        <f>"2014522810"</f>
        <v>2014522810</v>
      </c>
      <c r="E15235" s="2" t="s">
        <v>7543</v>
      </c>
      <c r="F15235" s="2" t="s">
        <v>2429</v>
      </c>
      <c r="G15235" s="2" t="str">
        <f>"SR-20539"</f>
        <v>SR-20539</v>
      </c>
      <c r="H15235" s="2" t="s">
        <v>55085</v>
      </c>
      <c r="I15235" s="2" t="s">
        <v>55086</v>
      </c>
      <c r="K15235" s="2" t="s">
        <v>55087</v>
      </c>
      <c r="L15235" s="2" t="s">
        <v>4836</v>
      </c>
      <c r="M15235" s="2">
        <v>6883.0</v>
      </c>
      <c r="N15235" s="2" t="s">
        <v>21</v>
      </c>
    </row>
    <row r="15236" ht="15.75" customHeight="1">
      <c r="A15236" s="2">
        <v>2021.0</v>
      </c>
      <c r="B15236" s="2" t="s">
        <v>29431</v>
      </c>
      <c r="C15236" s="2" t="s">
        <v>58433</v>
      </c>
      <c r="D15236" s="2" t="str">
        <f>"3603404603"</f>
        <v>3603404603</v>
      </c>
      <c r="E15236" s="2" t="s">
        <v>58434</v>
      </c>
      <c r="F15236" s="2" t="s">
        <v>58435</v>
      </c>
      <c r="G15236" s="2" t="str">
        <f>"SR-22033"</f>
        <v>SR-22033</v>
      </c>
      <c r="H15236" s="2" t="s">
        <v>58436</v>
      </c>
      <c r="I15236" s="2" t="s">
        <v>58437</v>
      </c>
      <c r="K15236" s="2" t="s">
        <v>29435</v>
      </c>
      <c r="L15236" s="2" t="s">
        <v>86</v>
      </c>
      <c r="M15236" s="2">
        <v>98370.0</v>
      </c>
      <c r="N15236" s="2" t="s">
        <v>21</v>
      </c>
    </row>
    <row r="15237" ht="15.75" customHeight="1">
      <c r="A15237" s="2">
        <v>2021.0</v>
      </c>
      <c r="B15237" s="2" t="s">
        <v>22999</v>
      </c>
      <c r="C15237" s="2" t="s">
        <v>47845</v>
      </c>
      <c r="D15237" s="2" t="str">
        <f>"3607612514"</f>
        <v>3607612514</v>
      </c>
      <c r="E15237" s="2" t="s">
        <v>26082</v>
      </c>
      <c r="F15237" s="2" t="s">
        <v>23001</v>
      </c>
      <c r="G15237" s="2" t="str">
        <f>"SR-16153"</f>
        <v>SR-16153</v>
      </c>
      <c r="H15237" s="2" t="s">
        <v>47846</v>
      </c>
      <c r="I15237" s="2" t="s">
        <v>23003</v>
      </c>
      <c r="K15237" s="2" t="s">
        <v>23004</v>
      </c>
      <c r="L15237" s="2" t="s">
        <v>172</v>
      </c>
      <c r="M15237" s="2">
        <v>76935.0</v>
      </c>
      <c r="N15237" s="2" t="s">
        <v>21</v>
      </c>
    </row>
    <row r="15238" ht="15.75" customHeight="1">
      <c r="A15238" s="2">
        <v>2021.0</v>
      </c>
      <c r="B15238" s="2" t="s">
        <v>58438</v>
      </c>
      <c r="C15238" s="2" t="s">
        <v>58438</v>
      </c>
      <c r="D15238" s="2" t="str">
        <f>"5412478216"</f>
        <v>5412478216</v>
      </c>
      <c r="E15238" s="2" t="s">
        <v>217</v>
      </c>
      <c r="F15238" s="2" t="s">
        <v>10561</v>
      </c>
      <c r="G15238" s="2" t="str">
        <f>"SR-21666"</f>
        <v>SR-21666</v>
      </c>
      <c r="H15238" s="2" t="s">
        <v>58439</v>
      </c>
      <c r="I15238" s="2" t="s">
        <v>58440</v>
      </c>
      <c r="K15238" s="2" t="s">
        <v>54360</v>
      </c>
      <c r="L15238" s="2" t="s">
        <v>2389</v>
      </c>
      <c r="M15238" s="2">
        <v>97444.0</v>
      </c>
      <c r="N15238" s="2" t="s">
        <v>21</v>
      </c>
    </row>
    <row r="15239" ht="15.75" customHeight="1">
      <c r="A15239" s="2">
        <v>2021.0</v>
      </c>
      <c r="B15239" s="2" t="s">
        <v>52167</v>
      </c>
      <c r="C15239" s="2" t="s">
        <v>52167</v>
      </c>
      <c r="D15239" s="2" t="str">
        <f>"9034401244"</f>
        <v>9034401244</v>
      </c>
      <c r="E15239" s="2" t="s">
        <v>4224</v>
      </c>
      <c r="F15239" s="2" t="s">
        <v>22680</v>
      </c>
      <c r="G15239" s="2" t="str">
        <f>"SR-18590"</f>
        <v>SR-18590</v>
      </c>
      <c r="H15239" s="2" t="s">
        <v>52168</v>
      </c>
      <c r="I15239" s="2" t="s">
        <v>52169</v>
      </c>
      <c r="K15239" s="2" t="s">
        <v>52170</v>
      </c>
      <c r="L15239" s="2" t="s">
        <v>172</v>
      </c>
      <c r="M15239" s="2">
        <v>75482.0</v>
      </c>
      <c r="N15239" s="2" t="s">
        <v>21</v>
      </c>
    </row>
    <row r="15240" ht="15.75" customHeight="1">
      <c r="A15240" s="2">
        <v>2021.0</v>
      </c>
      <c r="B15240" s="2" t="s">
        <v>58441</v>
      </c>
      <c r="C15240" s="2" t="s">
        <v>58442</v>
      </c>
      <c r="D15240" s="2" t="str">
        <f>"3048907355"</f>
        <v>3048907355</v>
      </c>
      <c r="E15240" s="2" t="s">
        <v>1440</v>
      </c>
      <c r="F15240" s="2" t="s">
        <v>22236</v>
      </c>
      <c r="G15240" s="2" t="str">
        <f>"SR-21161"</f>
        <v>SR-21161</v>
      </c>
      <c r="H15240" s="2" t="s">
        <v>43929</v>
      </c>
      <c r="I15240" s="2" t="s">
        <v>58443</v>
      </c>
      <c r="K15240" s="2" t="s">
        <v>58444</v>
      </c>
      <c r="L15240" s="2" t="s">
        <v>6449</v>
      </c>
      <c r="M15240" s="2">
        <v>25880.0</v>
      </c>
      <c r="N15240" s="2" t="s">
        <v>21</v>
      </c>
    </row>
    <row r="15241" ht="15.75" customHeight="1">
      <c r="A15241" s="2">
        <v>2021.0</v>
      </c>
      <c r="B15241" s="2" t="s">
        <v>50964</v>
      </c>
      <c r="C15241" s="2" t="s">
        <v>58445</v>
      </c>
      <c r="D15241" s="2" t="str">
        <f>"7193393099"</f>
        <v>7193393099</v>
      </c>
      <c r="E15241" s="2" t="s">
        <v>8649</v>
      </c>
      <c r="F15241" s="2" t="s">
        <v>50966</v>
      </c>
      <c r="G15241" s="2" t="str">
        <f>"SR-22038"</f>
        <v>SR-22038</v>
      </c>
      <c r="H15241" s="2" t="s">
        <v>58446</v>
      </c>
      <c r="I15241" s="2" t="s">
        <v>58447</v>
      </c>
      <c r="K15241" s="2" t="s">
        <v>809</v>
      </c>
      <c r="L15241" s="2" t="s">
        <v>157</v>
      </c>
      <c r="M15241" s="2">
        <v>80923.0</v>
      </c>
      <c r="N15241" s="2" t="s">
        <v>21</v>
      </c>
    </row>
    <row r="15242" ht="15.75" customHeight="1">
      <c r="A15242" s="2">
        <v>2021.0</v>
      </c>
      <c r="B15242" s="2" t="s">
        <v>53937</v>
      </c>
      <c r="C15242" s="2" t="s">
        <v>58448</v>
      </c>
      <c r="D15242" s="2" t="str">
        <f>"253-337-3556"</f>
        <v>253-337-3556</v>
      </c>
      <c r="E15242" s="2" t="s">
        <v>6718</v>
      </c>
      <c r="F15242" s="2" t="s">
        <v>53939</v>
      </c>
      <c r="G15242" s="2" t="str">
        <f>"SR-21995"</f>
        <v>SR-21995</v>
      </c>
      <c r="H15242" s="2" t="s">
        <v>58449</v>
      </c>
      <c r="I15242" s="2" t="s">
        <v>53941</v>
      </c>
      <c r="K15242" s="2" t="s">
        <v>22513</v>
      </c>
      <c r="L15242" s="2" t="s">
        <v>86</v>
      </c>
      <c r="M15242" s="2">
        <v>98405.0</v>
      </c>
      <c r="N15242" s="2" t="s">
        <v>21</v>
      </c>
    </row>
    <row r="15243" ht="15.75" customHeight="1">
      <c r="A15243" s="2">
        <v>2021.0</v>
      </c>
      <c r="B15243" s="2" t="s">
        <v>58450</v>
      </c>
      <c r="C15243" s="2" t="s">
        <v>58451</v>
      </c>
      <c r="D15243" s="2" t="str">
        <f>"7326425301"</f>
        <v>7326425301</v>
      </c>
      <c r="E15243" s="2" t="s">
        <v>14229</v>
      </c>
      <c r="F15243" s="2" t="s">
        <v>58452</v>
      </c>
      <c r="G15243" s="2" t="str">
        <f>"SR-22039"</f>
        <v>SR-22039</v>
      </c>
      <c r="H15243" s="2" t="s">
        <v>58453</v>
      </c>
      <c r="I15243" s="2" t="s">
        <v>58454</v>
      </c>
      <c r="K15243" s="2" t="s">
        <v>4532</v>
      </c>
      <c r="L15243" s="2" t="s">
        <v>3618</v>
      </c>
      <c r="M15243" s="2">
        <v>7731.0</v>
      </c>
      <c r="N15243" s="2" t="s">
        <v>21</v>
      </c>
    </row>
    <row r="15244" ht="15.75" customHeight="1">
      <c r="A15244" s="2">
        <v>2021.0</v>
      </c>
      <c r="B15244" s="2" t="s">
        <v>58455</v>
      </c>
      <c r="C15244" s="2" t="s">
        <v>58456</v>
      </c>
      <c r="D15244" s="2" t="str">
        <f>"4086376475"</f>
        <v>4086376475</v>
      </c>
      <c r="E15244" s="2" t="s">
        <v>4213</v>
      </c>
      <c r="F15244" s="2" t="s">
        <v>58457</v>
      </c>
      <c r="G15244" s="2" t="str">
        <f>"SR-22042"</f>
        <v>SR-22042</v>
      </c>
      <c r="H15244" s="2" t="s">
        <v>58458</v>
      </c>
      <c r="I15244" s="2" t="s">
        <v>58459</v>
      </c>
      <c r="K15244" s="2" t="s">
        <v>5179</v>
      </c>
      <c r="L15244" s="2" t="s">
        <v>157</v>
      </c>
      <c r="M15244" s="2">
        <v>80304.0</v>
      </c>
      <c r="N15244" s="2" t="s">
        <v>21</v>
      </c>
    </row>
    <row r="15245" ht="15.75" customHeight="1">
      <c r="A15245" s="2">
        <v>2021.0</v>
      </c>
      <c r="B15245" s="2" t="s">
        <v>58460</v>
      </c>
      <c r="C15245" s="2" t="s">
        <v>58461</v>
      </c>
      <c r="D15245" s="2" t="str">
        <f>"5033186241"</f>
        <v>5033186241</v>
      </c>
      <c r="E15245" s="2" t="s">
        <v>2384</v>
      </c>
      <c r="F15245" s="2" t="s">
        <v>956</v>
      </c>
      <c r="G15245" s="2" t="str">
        <f>"SR-21593"</f>
        <v>SR-21593</v>
      </c>
      <c r="H15245" s="2" t="s">
        <v>58462</v>
      </c>
      <c r="I15245" s="2" t="s">
        <v>58463</v>
      </c>
      <c r="K15245" s="2" t="s">
        <v>58464</v>
      </c>
      <c r="L15245" s="2" t="s">
        <v>2389</v>
      </c>
      <c r="M15245" s="2">
        <v>97062.0</v>
      </c>
      <c r="N15245" s="2" t="s">
        <v>21</v>
      </c>
    </row>
    <row r="15246" ht="15.75" customHeight="1">
      <c r="A15246" s="2">
        <v>2021.0</v>
      </c>
      <c r="B15246" s="2" t="s">
        <v>58465</v>
      </c>
      <c r="C15246" s="2" t="s">
        <v>58465</v>
      </c>
      <c r="D15246" s="2" t="str">
        <f>"2533657566"</f>
        <v>2533657566</v>
      </c>
      <c r="E15246" s="2" t="s">
        <v>1208</v>
      </c>
      <c r="F15246" s="2" t="s">
        <v>58466</v>
      </c>
      <c r="G15246" s="2" t="str">
        <f>"SR-22040"</f>
        <v>SR-22040</v>
      </c>
      <c r="H15246" s="2" t="s">
        <v>58467</v>
      </c>
      <c r="I15246" s="2" t="s">
        <v>58468</v>
      </c>
      <c r="K15246" s="2" t="s">
        <v>14632</v>
      </c>
      <c r="L15246" s="2" t="s">
        <v>86</v>
      </c>
      <c r="M15246" s="2">
        <v>98466.0</v>
      </c>
      <c r="N15246" s="2" t="s">
        <v>21</v>
      </c>
    </row>
    <row r="15247" ht="15.75" customHeight="1">
      <c r="A15247" s="2">
        <v>2021.0</v>
      </c>
      <c r="B15247" s="2" t="s">
        <v>58469</v>
      </c>
      <c r="C15247" s="2" t="s">
        <v>58469</v>
      </c>
      <c r="D15247" s="2" t="str">
        <f>"907-299-3446"</f>
        <v>907-299-3446</v>
      </c>
      <c r="E15247" s="2" t="s">
        <v>19797</v>
      </c>
      <c r="F15247" s="2" t="s">
        <v>58470</v>
      </c>
      <c r="G15247" s="2" t="str">
        <f>"SR-22043"</f>
        <v>SR-22043</v>
      </c>
      <c r="H15247" s="2" t="s">
        <v>58471</v>
      </c>
      <c r="I15247" s="2" t="s">
        <v>41237</v>
      </c>
      <c r="K15247" s="2" t="s">
        <v>57948</v>
      </c>
      <c r="L15247" s="2" t="s">
        <v>70</v>
      </c>
      <c r="M15247" s="2">
        <v>99610.0</v>
      </c>
      <c r="N15247" s="2" t="s">
        <v>21</v>
      </c>
    </row>
    <row r="15248" ht="15.75" customHeight="1">
      <c r="A15248" s="2">
        <v>2021.0</v>
      </c>
      <c r="B15248" s="2" t="s">
        <v>58472</v>
      </c>
      <c r="C15248" s="2" t="s">
        <v>58473</v>
      </c>
      <c r="D15248" s="2" t="str">
        <f>"5104079469"</f>
        <v>5104079469</v>
      </c>
      <c r="E15248" s="2" t="s">
        <v>651</v>
      </c>
      <c r="F15248" s="2" t="s">
        <v>58474</v>
      </c>
      <c r="G15248" s="2" t="str">
        <f>"SR-22044"</f>
        <v>SR-22044</v>
      </c>
      <c r="H15248" s="2" t="s">
        <v>58475</v>
      </c>
      <c r="I15248" s="2" t="s">
        <v>58476</v>
      </c>
      <c r="K15248" s="2" t="s">
        <v>199</v>
      </c>
      <c r="L15248" s="2" t="s">
        <v>222</v>
      </c>
      <c r="M15248" s="2">
        <v>94553.0</v>
      </c>
      <c r="N15248" s="2" t="s">
        <v>21</v>
      </c>
    </row>
    <row r="15249" ht="15.75" customHeight="1">
      <c r="A15249" s="2">
        <v>2021.0</v>
      </c>
      <c r="B15249" s="2" t="s">
        <v>58477</v>
      </c>
      <c r="C15249" s="2" t="s">
        <v>58478</v>
      </c>
      <c r="D15249" s="2" t="str">
        <f>"+4915202580798"</f>
        <v>+4915202580798</v>
      </c>
      <c r="E15249" s="2" t="s">
        <v>456</v>
      </c>
      <c r="F15249" s="2" t="s">
        <v>58479</v>
      </c>
      <c r="G15249" s="2" t="str">
        <f>"SR-22048"</f>
        <v>SR-22048</v>
      </c>
      <c r="H15249" s="2" t="s">
        <v>58480</v>
      </c>
      <c r="I15249" s="2" t="s">
        <v>58481</v>
      </c>
      <c r="K15249" s="2" t="s">
        <v>221</v>
      </c>
      <c r="L15249" s="2" t="s">
        <v>30007</v>
      </c>
      <c r="M15249" s="2">
        <v>9128.0</v>
      </c>
      <c r="N15249" s="2" t="s">
        <v>30008</v>
      </c>
    </row>
    <row r="15250" ht="15.75" customHeight="1">
      <c r="A15250" s="2">
        <v>2021.0</v>
      </c>
      <c r="B15250" s="2" t="s">
        <v>55295</v>
      </c>
      <c r="C15250" s="2" t="s">
        <v>58482</v>
      </c>
      <c r="D15250" s="2" t="str">
        <f>"8505177932"</f>
        <v>8505177932</v>
      </c>
      <c r="E15250" s="2" t="s">
        <v>580</v>
      </c>
      <c r="F15250" s="2" t="s">
        <v>711</v>
      </c>
      <c r="G15250" s="2" t="str">
        <f>"SR-22049"</f>
        <v>SR-22049</v>
      </c>
      <c r="H15250" s="2" t="s">
        <v>58483</v>
      </c>
      <c r="I15250" s="2" t="s">
        <v>55297</v>
      </c>
      <c r="K15250" s="2" t="s">
        <v>55298</v>
      </c>
      <c r="L15250" s="2" t="s">
        <v>208</v>
      </c>
      <c r="M15250" s="2">
        <v>32578.0</v>
      </c>
      <c r="N15250" s="2" t="s">
        <v>21</v>
      </c>
    </row>
    <row r="15251" ht="15.75" customHeight="1">
      <c r="A15251" s="2">
        <v>2021.0</v>
      </c>
      <c r="B15251" s="2" t="s">
        <v>50774</v>
      </c>
      <c r="C15251" s="2" t="s">
        <v>50774</v>
      </c>
      <c r="D15251" s="2" t="str">
        <f>"570-265-3085"</f>
        <v>570-265-3085</v>
      </c>
      <c r="E15251" s="2" t="s">
        <v>2217</v>
      </c>
      <c r="F15251" s="2" t="s">
        <v>40709</v>
      </c>
      <c r="G15251" s="2" t="str">
        <f>"SR-18526"</f>
        <v>SR-18526</v>
      </c>
      <c r="H15251" s="2" t="s">
        <v>51845</v>
      </c>
      <c r="I15251" s="2" t="s">
        <v>51846</v>
      </c>
      <c r="J15251" s="2" t="s">
        <v>51847</v>
      </c>
      <c r="K15251" s="2" t="s">
        <v>40712</v>
      </c>
      <c r="L15251" s="2" t="s">
        <v>179</v>
      </c>
      <c r="M15251" s="2">
        <v>18853.0</v>
      </c>
      <c r="N15251" s="2" t="s">
        <v>21</v>
      </c>
    </row>
    <row r="15252" ht="15.75" customHeight="1">
      <c r="A15252" s="2">
        <v>2021.0</v>
      </c>
      <c r="B15252" s="2" t="s">
        <v>42197</v>
      </c>
      <c r="C15252" s="2" t="s">
        <v>42198</v>
      </c>
      <c r="D15252" s="2" t="str">
        <f>"920-530-4216"</f>
        <v>920-530-4216</v>
      </c>
      <c r="E15252" s="2" t="s">
        <v>32016</v>
      </c>
      <c r="F15252" s="2" t="s">
        <v>42199</v>
      </c>
      <c r="G15252" s="2" t="str">
        <f>"SR-14621"</f>
        <v>SR-14621</v>
      </c>
      <c r="H15252" s="2" t="s">
        <v>42200</v>
      </c>
      <c r="I15252" s="2" t="s">
        <v>42201</v>
      </c>
      <c r="K15252" s="2" t="s">
        <v>42202</v>
      </c>
      <c r="L15252" s="2" t="s">
        <v>193</v>
      </c>
      <c r="M15252" s="2">
        <v>54115.0</v>
      </c>
      <c r="N15252" s="2" t="s">
        <v>21</v>
      </c>
    </row>
    <row r="15253" ht="15.75" customHeight="1">
      <c r="A15253" s="2">
        <v>2021.0</v>
      </c>
      <c r="B15253" s="2" t="s">
        <v>42197</v>
      </c>
      <c r="C15253" s="2" t="s">
        <v>58484</v>
      </c>
      <c r="D15253" s="2" t="str">
        <f>"920-445-9232"</f>
        <v>920-445-9232</v>
      </c>
      <c r="E15253" s="2" t="s">
        <v>7476</v>
      </c>
      <c r="F15253" s="2" t="s">
        <v>42199</v>
      </c>
      <c r="G15253" s="2" t="str">
        <f>"SR-21978"</f>
        <v>SR-21978</v>
      </c>
      <c r="H15253" s="2" t="s">
        <v>58485</v>
      </c>
      <c r="I15253" s="2" t="s">
        <v>42201</v>
      </c>
      <c r="K15253" s="2" t="s">
        <v>42202</v>
      </c>
      <c r="L15253" s="2" t="s">
        <v>193</v>
      </c>
      <c r="M15253" s="2">
        <v>54115.0</v>
      </c>
      <c r="N15253" s="2" t="s">
        <v>21</v>
      </c>
    </row>
    <row r="15254" ht="15.75" customHeight="1">
      <c r="A15254" s="2">
        <v>2021.0</v>
      </c>
      <c r="B15254" s="2" t="s">
        <v>38818</v>
      </c>
      <c r="C15254" s="2" t="s">
        <v>58486</v>
      </c>
      <c r="D15254" s="2" t="str">
        <f>"7854972912"</f>
        <v>7854972912</v>
      </c>
      <c r="E15254" s="2" t="s">
        <v>651</v>
      </c>
      <c r="F15254" s="2" t="s">
        <v>11424</v>
      </c>
      <c r="G15254" s="2" t="str">
        <f>"SR-21831"</f>
        <v>SR-21831</v>
      </c>
      <c r="H15254" s="2" t="s">
        <v>49226</v>
      </c>
      <c r="I15254" s="2" t="s">
        <v>58487</v>
      </c>
      <c r="K15254" s="2" t="s">
        <v>4258</v>
      </c>
      <c r="L15254" s="2" t="s">
        <v>272</v>
      </c>
      <c r="M15254" s="2">
        <v>66838.0</v>
      </c>
      <c r="N15254" s="2" t="s">
        <v>21</v>
      </c>
    </row>
    <row r="15255" ht="15.75" customHeight="1">
      <c r="A15255" s="2">
        <v>2021.0</v>
      </c>
      <c r="B15255" s="2" t="s">
        <v>58488</v>
      </c>
      <c r="C15255" s="2" t="s">
        <v>58489</v>
      </c>
      <c r="D15255" s="2" t="str">
        <f>"361-220-8064"</f>
        <v>361-220-8064</v>
      </c>
      <c r="E15255" s="2" t="s">
        <v>6283</v>
      </c>
      <c r="F15255" s="2" t="s">
        <v>58490</v>
      </c>
      <c r="G15255" s="2" t="str">
        <f>"SR-21884"</f>
        <v>SR-21884</v>
      </c>
      <c r="H15255" s="2" t="s">
        <v>58491</v>
      </c>
      <c r="I15255" s="2" t="s">
        <v>58492</v>
      </c>
      <c r="K15255" s="2" t="s">
        <v>1032</v>
      </c>
      <c r="L15255" s="2" t="s">
        <v>172</v>
      </c>
      <c r="M15255" s="2">
        <v>77904.0</v>
      </c>
      <c r="N15255" s="2" t="s">
        <v>21</v>
      </c>
    </row>
    <row r="15256" ht="15.75" customHeight="1">
      <c r="A15256" s="2">
        <v>2021.0</v>
      </c>
      <c r="B15256" s="2" t="s">
        <v>58493</v>
      </c>
      <c r="C15256" s="2" t="s">
        <v>58494</v>
      </c>
      <c r="D15256" s="2" t="str">
        <f>"707-695-5664"</f>
        <v>707-695-5664</v>
      </c>
      <c r="E15256" s="2" t="s">
        <v>58495</v>
      </c>
      <c r="F15256" s="2" t="s">
        <v>58496</v>
      </c>
      <c r="G15256" s="2" t="str">
        <f>"SR-21715"</f>
        <v>SR-21715</v>
      </c>
      <c r="H15256" s="2" t="s">
        <v>58497</v>
      </c>
      <c r="I15256" s="2" t="s">
        <v>58498</v>
      </c>
      <c r="K15256" s="2" t="s">
        <v>1257</v>
      </c>
      <c r="L15256" s="2" t="s">
        <v>1540</v>
      </c>
      <c r="M15256" s="2">
        <v>83001.0</v>
      </c>
      <c r="N15256" s="2" t="s">
        <v>21</v>
      </c>
    </row>
    <row r="15257" ht="15.75" customHeight="1">
      <c r="A15257" s="2">
        <v>2021.0</v>
      </c>
      <c r="B15257" s="2" t="s">
        <v>58499</v>
      </c>
      <c r="C15257" s="2" t="s">
        <v>58500</v>
      </c>
      <c r="D15257" s="2" t="str">
        <f>"707-331-6770"</f>
        <v>707-331-6770</v>
      </c>
      <c r="E15257" s="2" t="s">
        <v>1288</v>
      </c>
      <c r="F15257" s="2" t="s">
        <v>58501</v>
      </c>
      <c r="G15257" s="2" t="str">
        <f>"SR-21970"</f>
        <v>SR-21970</v>
      </c>
      <c r="H15257" s="2" t="s">
        <v>58502</v>
      </c>
      <c r="I15257" s="2" t="s">
        <v>58503</v>
      </c>
      <c r="K15257" s="2" t="s">
        <v>9695</v>
      </c>
      <c r="L15257" s="2" t="s">
        <v>222</v>
      </c>
      <c r="M15257" s="2">
        <v>95409.0</v>
      </c>
      <c r="N15257" s="2" t="s">
        <v>21</v>
      </c>
    </row>
    <row r="15258" ht="15.75" customHeight="1">
      <c r="A15258" s="2">
        <v>2021.0</v>
      </c>
      <c r="B15258" s="2" t="s">
        <v>58504</v>
      </c>
      <c r="C15258" s="2" t="s">
        <v>58505</v>
      </c>
      <c r="D15258" s="2" t="str">
        <f>"3174607998"</f>
        <v>3174607998</v>
      </c>
      <c r="E15258" s="2" t="s">
        <v>8039</v>
      </c>
      <c r="F15258" s="2" t="s">
        <v>58506</v>
      </c>
      <c r="G15258" s="2" t="str">
        <f>"SR-21853"</f>
        <v>SR-21853</v>
      </c>
      <c r="H15258" s="2" t="s">
        <v>58507</v>
      </c>
      <c r="I15258" s="2" t="s">
        <v>58508</v>
      </c>
      <c r="K15258" s="2" t="s">
        <v>2660</v>
      </c>
      <c r="L15258" s="2" t="s">
        <v>149</v>
      </c>
      <c r="M15258" s="2">
        <v>46037.0</v>
      </c>
      <c r="N15258" s="2" t="s">
        <v>21</v>
      </c>
    </row>
    <row r="15259" ht="15.75" customHeight="1">
      <c r="A15259" s="2">
        <v>2021.0</v>
      </c>
      <c r="B15259" s="2" t="s">
        <v>58509</v>
      </c>
      <c r="C15259" s="2" t="s">
        <v>58509</v>
      </c>
      <c r="D15259" s="2" t="str">
        <f>"6514406354"</f>
        <v>6514406354</v>
      </c>
      <c r="E15259" s="2" t="s">
        <v>485</v>
      </c>
      <c r="F15259" s="2" t="s">
        <v>701</v>
      </c>
      <c r="G15259" s="2" t="str">
        <f>"SR-21938"</f>
        <v>SR-21938</v>
      </c>
      <c r="H15259" s="2" t="s">
        <v>58510</v>
      </c>
      <c r="I15259" s="2" t="s">
        <v>58511</v>
      </c>
      <c r="K15259" s="2" t="s">
        <v>7867</v>
      </c>
      <c r="L15259" s="2" t="s">
        <v>62</v>
      </c>
      <c r="M15259" s="2">
        <v>55113.0</v>
      </c>
      <c r="N15259" s="2" t="s">
        <v>21</v>
      </c>
    </row>
    <row r="15260" ht="15.75" customHeight="1">
      <c r="A15260" s="2">
        <v>2021.0</v>
      </c>
      <c r="B15260" s="2" t="s">
        <v>58512</v>
      </c>
      <c r="C15260" s="2" t="s">
        <v>58512</v>
      </c>
      <c r="D15260" s="2" t="str">
        <f>"4084275651"</f>
        <v>4084275651</v>
      </c>
      <c r="E15260" s="2" t="s">
        <v>955</v>
      </c>
      <c r="F15260" s="2" t="s">
        <v>58513</v>
      </c>
      <c r="G15260" s="2" t="str">
        <f>"SR-21960"</f>
        <v>SR-21960</v>
      </c>
      <c r="H15260" s="2" t="s">
        <v>58514</v>
      </c>
      <c r="I15260" s="2" t="s">
        <v>58515</v>
      </c>
      <c r="K15260" s="2" t="s">
        <v>58248</v>
      </c>
      <c r="L15260" s="2" t="s">
        <v>222</v>
      </c>
      <c r="M15260" s="2">
        <v>96001.0</v>
      </c>
      <c r="N15260" s="2" t="s">
        <v>21</v>
      </c>
    </row>
    <row r="15261" ht="15.75" customHeight="1">
      <c r="A15261" s="2">
        <v>2021.0</v>
      </c>
      <c r="B15261" s="2" t="s">
        <v>58516</v>
      </c>
      <c r="C15261" s="2" t="s">
        <v>58517</v>
      </c>
      <c r="D15261" s="2" t="str">
        <f>"9842554074"</f>
        <v>9842554074</v>
      </c>
      <c r="E15261" s="2" t="s">
        <v>217</v>
      </c>
      <c r="F15261" s="2" t="s">
        <v>13877</v>
      </c>
      <c r="G15261" s="2" t="str">
        <f>"SR-21904"</f>
        <v>SR-21904</v>
      </c>
      <c r="H15261" s="2" t="s">
        <v>58518</v>
      </c>
      <c r="I15261" s="2" t="s">
        <v>58519</v>
      </c>
      <c r="K15261" s="2" t="s">
        <v>14916</v>
      </c>
      <c r="L15261" s="2" t="s">
        <v>20</v>
      </c>
      <c r="M15261" s="2">
        <v>27529.0</v>
      </c>
      <c r="N15261" s="2" t="s">
        <v>21</v>
      </c>
    </row>
    <row r="15262" ht="15.75" customHeight="1">
      <c r="A15262" s="2">
        <v>2021.0</v>
      </c>
      <c r="B15262" s="2" t="s">
        <v>58520</v>
      </c>
      <c r="C15262" s="2" t="s">
        <v>58520</v>
      </c>
      <c r="D15262" s="2" t="str">
        <f>"(406)702-0129"</f>
        <v>(406)702-0129</v>
      </c>
      <c r="E15262" s="2" t="s">
        <v>2598</v>
      </c>
      <c r="F15262" s="2" t="s">
        <v>33678</v>
      </c>
      <c r="G15262" s="2" t="str">
        <f>"SR-21961"</f>
        <v>SR-21961</v>
      </c>
      <c r="H15262" s="2" t="s">
        <v>58521</v>
      </c>
      <c r="I15262" s="2">
        <v>2021.0</v>
      </c>
      <c r="J15262" s="2" t="s">
        <v>58522</v>
      </c>
      <c r="K15262" s="2" t="s">
        <v>5732</v>
      </c>
      <c r="L15262" s="2" t="s">
        <v>2696</v>
      </c>
      <c r="M15262" s="2">
        <v>59044.0</v>
      </c>
      <c r="N15262" s="2" t="s">
        <v>21</v>
      </c>
    </row>
    <row r="15263" ht="15.75" customHeight="1">
      <c r="A15263" s="2">
        <v>2021.0</v>
      </c>
      <c r="B15263" s="2" t="s">
        <v>58523</v>
      </c>
      <c r="C15263" s="2" t="s">
        <v>58523</v>
      </c>
      <c r="D15263" s="2" t="str">
        <f>"4067024410"</f>
        <v>4067024410</v>
      </c>
      <c r="E15263" s="2" t="s">
        <v>58524</v>
      </c>
      <c r="F15263" s="2" t="s">
        <v>2598</v>
      </c>
      <c r="G15263" s="2" t="str">
        <f>"SR-22007"</f>
        <v>SR-22007</v>
      </c>
      <c r="H15263" s="2" t="s">
        <v>58525</v>
      </c>
      <c r="I15263" s="2" t="s">
        <v>58526</v>
      </c>
      <c r="K15263" s="2" t="s">
        <v>3548</v>
      </c>
      <c r="L15263" s="2" t="s">
        <v>2696</v>
      </c>
      <c r="M15263" s="2">
        <v>59106.0</v>
      </c>
      <c r="N15263" s="2" t="s">
        <v>21</v>
      </c>
    </row>
    <row r="15264" ht="15.75" customHeight="1">
      <c r="A15264" s="2">
        <v>2021.0</v>
      </c>
      <c r="B15264" s="2" t="s">
        <v>58527</v>
      </c>
      <c r="C15264" s="2" t="s">
        <v>58528</v>
      </c>
      <c r="D15264" s="2" t="str">
        <f>"+1 (661) 889-1404"</f>
        <v>+1 (661) 889-1404</v>
      </c>
      <c r="E15264" s="2" t="s">
        <v>3037</v>
      </c>
      <c r="F15264" s="2" t="s">
        <v>58529</v>
      </c>
      <c r="G15264" s="2" t="str">
        <f>"SR-22037"</f>
        <v>SR-22037</v>
      </c>
      <c r="H15264" s="2" t="s">
        <v>58530</v>
      </c>
      <c r="I15264" s="2" t="s">
        <v>58531</v>
      </c>
      <c r="K15264" s="2" t="s">
        <v>11198</v>
      </c>
      <c r="L15264" s="2" t="s">
        <v>222</v>
      </c>
      <c r="M15264" s="2">
        <v>93312.0</v>
      </c>
      <c r="N15264" s="2" t="s">
        <v>21</v>
      </c>
    </row>
    <row r="15265" ht="15.75" customHeight="1">
      <c r="A15265" s="2">
        <v>2021.0</v>
      </c>
      <c r="B15265" s="2" t="s">
        <v>36225</v>
      </c>
      <c r="C15265" s="2" t="s">
        <v>36226</v>
      </c>
      <c r="D15265" s="2" t="str">
        <f>"9792195720"</f>
        <v>9792195720</v>
      </c>
      <c r="E15265" s="2" t="s">
        <v>1094</v>
      </c>
      <c r="F15265" s="2" t="s">
        <v>1765</v>
      </c>
      <c r="G15265" s="2" t="str">
        <f>"SR-11673"</f>
        <v>SR-11673</v>
      </c>
      <c r="H15265" s="2" t="s">
        <v>36227</v>
      </c>
      <c r="I15265" s="2" t="s">
        <v>36228</v>
      </c>
      <c r="K15265" s="2" t="s">
        <v>36229</v>
      </c>
      <c r="L15265" s="2" t="s">
        <v>172</v>
      </c>
      <c r="M15265" s="2">
        <v>77845.0</v>
      </c>
      <c r="N15265" s="2" t="s">
        <v>21</v>
      </c>
    </row>
    <row r="15266" ht="15.75" customHeight="1">
      <c r="A15266" s="2">
        <v>2021.0</v>
      </c>
      <c r="B15266" s="2" t="s">
        <v>56826</v>
      </c>
      <c r="C15266" s="2" t="s">
        <v>58532</v>
      </c>
      <c r="D15266" s="2" t="str">
        <f>"9794802596"</f>
        <v>9794802596</v>
      </c>
      <c r="E15266" s="2" t="s">
        <v>6526</v>
      </c>
      <c r="F15266" s="2" t="s">
        <v>26583</v>
      </c>
      <c r="G15266" s="2" t="str">
        <f>"SR-22062"</f>
        <v>SR-22062</v>
      </c>
      <c r="H15266" s="2" t="s">
        <v>58533</v>
      </c>
      <c r="I15266" s="2" t="s">
        <v>58534</v>
      </c>
      <c r="K15266" s="2" t="s">
        <v>58535</v>
      </c>
      <c r="L15266" s="2" t="s">
        <v>172</v>
      </c>
      <c r="M15266" s="2">
        <v>77566.0</v>
      </c>
      <c r="N15266" s="2" t="s">
        <v>21</v>
      </c>
    </row>
    <row r="15267" ht="15.75" customHeight="1">
      <c r="A15267" s="2">
        <v>2021.0</v>
      </c>
      <c r="B15267" s="2" t="s">
        <v>58536</v>
      </c>
      <c r="C15267" s="2" t="s">
        <v>58536</v>
      </c>
      <c r="D15267" s="2" t="str">
        <f>"8037438330"</f>
        <v>8037438330</v>
      </c>
      <c r="E15267" s="2" t="s">
        <v>33882</v>
      </c>
      <c r="F15267" s="2" t="s">
        <v>24368</v>
      </c>
      <c r="G15267" s="2" t="str">
        <f>"SR-22061"</f>
        <v>SR-22061</v>
      </c>
      <c r="H15267" s="2" t="s">
        <v>58537</v>
      </c>
      <c r="I15267" s="2" t="s">
        <v>58538</v>
      </c>
      <c r="K15267" s="2" t="s">
        <v>254</v>
      </c>
      <c r="L15267" s="2" t="s">
        <v>55</v>
      </c>
      <c r="M15267" s="2">
        <v>29072.0</v>
      </c>
      <c r="N15267" s="2" t="s">
        <v>21</v>
      </c>
    </row>
    <row r="15268" ht="15.75" customHeight="1">
      <c r="A15268" s="2">
        <v>2021.0</v>
      </c>
      <c r="B15268" s="2" t="s">
        <v>58539</v>
      </c>
      <c r="C15268" s="2" t="s">
        <v>58539</v>
      </c>
      <c r="D15268" s="2" t="str">
        <f>"803-908-6310"</f>
        <v>803-908-6310</v>
      </c>
      <c r="E15268" s="2" t="s">
        <v>6170</v>
      </c>
      <c r="F15268" s="2" t="s">
        <v>24368</v>
      </c>
      <c r="G15268" s="2" t="str">
        <f>"SR-22063"</f>
        <v>SR-22063</v>
      </c>
      <c r="H15268" s="2" t="s">
        <v>58540</v>
      </c>
      <c r="I15268" s="2">
        <v>1027.0</v>
      </c>
      <c r="J15268" s="2" t="s">
        <v>58541</v>
      </c>
      <c r="K15268" s="2" t="s">
        <v>254</v>
      </c>
      <c r="L15268" s="2" t="s">
        <v>55</v>
      </c>
      <c r="M15268" s="2">
        <v>29072.0</v>
      </c>
      <c r="N15268" s="2" t="s">
        <v>21</v>
      </c>
    </row>
    <row r="15269" ht="15.75" customHeight="1">
      <c r="A15269" s="2">
        <v>2021.0</v>
      </c>
      <c r="B15269" s="2" t="s">
        <v>58542</v>
      </c>
      <c r="C15269" s="2" t="s">
        <v>58542</v>
      </c>
      <c r="D15269" s="2" t="str">
        <f>"3168694077"</f>
        <v>3168694077</v>
      </c>
      <c r="E15269" s="2" t="s">
        <v>2162</v>
      </c>
      <c r="F15269" s="2" t="s">
        <v>4330</v>
      </c>
      <c r="G15269" s="2" t="str">
        <f>"SR-22052"</f>
        <v>SR-22052</v>
      </c>
      <c r="H15269" s="2" t="s">
        <v>58543</v>
      </c>
      <c r="I15269" s="2" t="s">
        <v>21297</v>
      </c>
      <c r="K15269" s="2" t="s">
        <v>606</v>
      </c>
      <c r="L15269" s="2" t="s">
        <v>272</v>
      </c>
      <c r="M15269" s="2">
        <v>67206.0</v>
      </c>
      <c r="N15269" s="2" t="s">
        <v>21</v>
      </c>
    </row>
    <row r="15270" ht="15.75" customHeight="1">
      <c r="A15270" s="2">
        <v>2021.0</v>
      </c>
      <c r="B15270" s="2" t="s">
        <v>58544</v>
      </c>
      <c r="C15270" s="2" t="s">
        <v>58545</v>
      </c>
      <c r="D15270" s="2" t="str">
        <f>"956-515-9859"</f>
        <v>956-515-9859</v>
      </c>
      <c r="E15270" s="2" t="s">
        <v>58546</v>
      </c>
      <c r="F15270" s="2" t="s">
        <v>128</v>
      </c>
      <c r="G15270" s="2" t="str">
        <f>"SR-21963"</f>
        <v>SR-21963</v>
      </c>
      <c r="H15270" s="2" t="s">
        <v>58547</v>
      </c>
      <c r="I15270" s="2" t="s">
        <v>58548</v>
      </c>
      <c r="K15270" s="2" t="s">
        <v>58549</v>
      </c>
      <c r="L15270" s="2" t="s">
        <v>172</v>
      </c>
      <c r="M15270" s="2">
        <v>78503.0</v>
      </c>
      <c r="N15270" s="2" t="s">
        <v>21</v>
      </c>
    </row>
    <row r="15271" ht="15.75" customHeight="1">
      <c r="A15271" s="2">
        <v>2021.0</v>
      </c>
      <c r="B15271" s="2" t="s">
        <v>50033</v>
      </c>
      <c r="C15271" s="2" t="s">
        <v>58550</v>
      </c>
      <c r="D15271" s="2" t="str">
        <f>"6268037019‚Ä¨"</f>
        <v>6268037019‚Ä¨</v>
      </c>
      <c r="E15271" s="2" t="s">
        <v>58551</v>
      </c>
      <c r="F15271" s="2" t="s">
        <v>58552</v>
      </c>
      <c r="G15271" s="2" t="str">
        <f>"SR-22068"</f>
        <v>SR-22068</v>
      </c>
      <c r="H15271" s="2" t="s">
        <v>58553</v>
      </c>
      <c r="I15271" s="2" t="s">
        <v>58554</v>
      </c>
      <c r="K15271" s="2" t="s">
        <v>15671</v>
      </c>
      <c r="L15271" s="2" t="s">
        <v>222</v>
      </c>
      <c r="M15271" s="2">
        <v>91767.0</v>
      </c>
      <c r="N15271" s="2" t="s">
        <v>21</v>
      </c>
    </row>
    <row r="15272" ht="15.75" customHeight="1">
      <c r="A15272" s="2">
        <v>2021.0</v>
      </c>
      <c r="B15272" s="2" t="s">
        <v>58555</v>
      </c>
      <c r="C15272" s="2" t="s">
        <v>58555</v>
      </c>
      <c r="D15272" s="2" t="str">
        <f>"8439867454"</f>
        <v>8439867454</v>
      </c>
      <c r="E15272" s="2" t="s">
        <v>4665</v>
      </c>
      <c r="F15272" s="2" t="s">
        <v>18852</v>
      </c>
      <c r="G15272" s="2" t="str">
        <f>"SR-22071"</f>
        <v>SR-22071</v>
      </c>
      <c r="H15272" s="2" t="s">
        <v>58556</v>
      </c>
      <c r="I15272" s="2" t="s">
        <v>58557</v>
      </c>
      <c r="K15272" s="2" t="s">
        <v>26737</v>
      </c>
      <c r="L15272" s="2" t="s">
        <v>55</v>
      </c>
      <c r="M15272" s="2">
        <v>29902.0</v>
      </c>
      <c r="N15272" s="2" t="s">
        <v>21</v>
      </c>
    </row>
    <row r="15273" ht="15.75" customHeight="1">
      <c r="A15273" s="2">
        <v>2021.0</v>
      </c>
      <c r="B15273" s="2" t="s">
        <v>58558</v>
      </c>
      <c r="C15273" s="2" t="s">
        <v>58559</v>
      </c>
      <c r="D15273" s="2" t="str">
        <f>"6233969052"</f>
        <v>6233969052</v>
      </c>
      <c r="E15273" s="2" t="s">
        <v>22331</v>
      </c>
      <c r="F15273" s="2" t="s">
        <v>58560</v>
      </c>
      <c r="G15273" s="2" t="str">
        <f>"SR-22073"</f>
        <v>SR-22073</v>
      </c>
      <c r="H15273" s="2" t="s">
        <v>58561</v>
      </c>
      <c r="I15273" s="2" t="s">
        <v>58562</v>
      </c>
      <c r="K15273" s="2" t="s">
        <v>9390</v>
      </c>
      <c r="L15273" s="2" t="s">
        <v>422</v>
      </c>
      <c r="M15273" s="2">
        <v>85282.0</v>
      </c>
      <c r="N15273" s="2" t="s">
        <v>21</v>
      </c>
    </row>
    <row r="15274" ht="15.75" customHeight="1">
      <c r="A15274" s="2">
        <v>2021.0</v>
      </c>
      <c r="B15274" s="2" t="s">
        <v>58563</v>
      </c>
      <c r="C15274" s="2" t="s">
        <v>58563</v>
      </c>
      <c r="D15274" s="2" t="str">
        <f>"9193976890"</f>
        <v>9193976890</v>
      </c>
      <c r="E15274" s="2" t="s">
        <v>217</v>
      </c>
      <c r="F15274" s="2" t="s">
        <v>58564</v>
      </c>
      <c r="G15274" s="2" t="str">
        <f>"SR-22075"</f>
        <v>SR-22075</v>
      </c>
      <c r="H15274" s="2" t="s">
        <v>58565</v>
      </c>
      <c r="I15274" s="2" t="s">
        <v>58566</v>
      </c>
      <c r="K15274" s="2" t="s">
        <v>7692</v>
      </c>
      <c r="L15274" s="2" t="s">
        <v>20</v>
      </c>
      <c r="M15274" s="2">
        <v>27504.0</v>
      </c>
      <c r="N15274" s="2" t="s">
        <v>21</v>
      </c>
    </row>
    <row r="15275" ht="15.75" customHeight="1">
      <c r="A15275" s="2">
        <v>2021.0</v>
      </c>
      <c r="B15275" s="2" t="s">
        <v>58567</v>
      </c>
      <c r="C15275" s="2" t="s">
        <v>58568</v>
      </c>
      <c r="D15275" s="2" t="str">
        <f>"+1 (425) 499-9982"</f>
        <v>+1 (425) 499-9982</v>
      </c>
      <c r="E15275" s="2" t="s">
        <v>58569</v>
      </c>
      <c r="F15275" s="2" t="s">
        <v>58570</v>
      </c>
      <c r="G15275" s="2" t="str">
        <f>"SR-22076"</f>
        <v>SR-22076</v>
      </c>
      <c r="H15275" s="2" t="s">
        <v>58571</v>
      </c>
      <c r="I15275" s="2" t="s">
        <v>58572</v>
      </c>
      <c r="K15275" s="2" t="s">
        <v>7873</v>
      </c>
      <c r="L15275" s="2" t="s">
        <v>86</v>
      </c>
      <c r="M15275" s="2">
        <v>98006.0</v>
      </c>
      <c r="N15275" s="2" t="s">
        <v>21</v>
      </c>
    </row>
    <row r="15276" ht="15.75" customHeight="1">
      <c r="A15276" s="2">
        <v>2021.0</v>
      </c>
      <c r="B15276" s="2" t="s">
        <v>58567</v>
      </c>
      <c r="C15276" s="2" t="s">
        <v>58573</v>
      </c>
      <c r="D15276" s="2" t="str">
        <f>"(425) 499-9993"</f>
        <v>(425) 499-9993</v>
      </c>
      <c r="E15276" s="2" t="s">
        <v>24812</v>
      </c>
      <c r="F15276" s="2" t="s">
        <v>58570</v>
      </c>
      <c r="G15276" s="2" t="str">
        <f>"SR-22074"</f>
        <v>SR-22074</v>
      </c>
      <c r="H15276" s="2" t="s">
        <v>58574</v>
      </c>
      <c r="I15276" s="2" t="s">
        <v>58572</v>
      </c>
      <c r="K15276" s="2" t="s">
        <v>7873</v>
      </c>
      <c r="L15276" s="2" t="s">
        <v>86</v>
      </c>
      <c r="M15276" s="2">
        <v>98006.0</v>
      </c>
      <c r="N15276" s="2" t="s">
        <v>21</v>
      </c>
    </row>
    <row r="15277" ht="15.75" customHeight="1">
      <c r="A15277" s="2">
        <v>2021.0</v>
      </c>
      <c r="B15277" s="2" t="s">
        <v>58575</v>
      </c>
      <c r="C15277" s="2" t="s">
        <v>58576</v>
      </c>
      <c r="D15277" s="2" t="str">
        <f>"4806528351"</f>
        <v>4806528351</v>
      </c>
      <c r="E15277" s="2" t="s">
        <v>1664</v>
      </c>
      <c r="F15277" s="2" t="s">
        <v>58577</v>
      </c>
      <c r="G15277" s="2" t="str">
        <f>"SR-22079"</f>
        <v>SR-22079</v>
      </c>
      <c r="H15277" s="2" t="s">
        <v>58578</v>
      </c>
      <c r="I15277" s="2" t="s">
        <v>58579</v>
      </c>
      <c r="K15277" s="2" t="s">
        <v>4675</v>
      </c>
      <c r="L15277" s="2" t="s">
        <v>422</v>
      </c>
      <c r="M15277" s="2">
        <v>85295.0</v>
      </c>
      <c r="N15277" s="2" t="s">
        <v>21</v>
      </c>
    </row>
    <row r="15278" ht="15.75" customHeight="1">
      <c r="A15278" s="2">
        <v>2021.0</v>
      </c>
      <c r="B15278" s="2" t="s">
        <v>58575</v>
      </c>
      <c r="C15278" s="2" t="s">
        <v>58580</v>
      </c>
      <c r="D15278" s="2" t="str">
        <f>"6024754538"</f>
        <v>6024754538</v>
      </c>
      <c r="E15278" s="2" t="s">
        <v>1015</v>
      </c>
      <c r="F15278" s="2" t="s">
        <v>58577</v>
      </c>
      <c r="G15278" s="2" t="str">
        <f>"SR-22080"</f>
        <v>SR-22080</v>
      </c>
      <c r="H15278" s="2" t="s">
        <v>58581</v>
      </c>
      <c r="I15278" s="2" t="s">
        <v>58579</v>
      </c>
      <c r="K15278" s="2" t="s">
        <v>4675</v>
      </c>
      <c r="L15278" s="2" t="s">
        <v>422</v>
      </c>
      <c r="M15278" s="2">
        <v>85295.0</v>
      </c>
      <c r="N15278" s="2" t="s">
        <v>21</v>
      </c>
    </row>
    <row r="15279" ht="15.75" customHeight="1">
      <c r="A15279" s="2">
        <v>2021.0</v>
      </c>
      <c r="B15279" s="2" t="s">
        <v>58582</v>
      </c>
      <c r="C15279" s="2" t="s">
        <v>58583</v>
      </c>
      <c r="D15279" s="2" t="str">
        <f>"4805772216"</f>
        <v>4805772216</v>
      </c>
      <c r="E15279" s="2" t="s">
        <v>2412</v>
      </c>
      <c r="F15279" s="2" t="s">
        <v>58584</v>
      </c>
      <c r="G15279" s="2" t="str">
        <f>"SR-22082"</f>
        <v>SR-22082</v>
      </c>
      <c r="H15279" s="2" t="s">
        <v>58585</v>
      </c>
      <c r="I15279" s="2" t="s">
        <v>58586</v>
      </c>
      <c r="K15279" s="2" t="s">
        <v>2841</v>
      </c>
      <c r="L15279" s="2" t="s">
        <v>422</v>
      </c>
      <c r="M15279" s="2">
        <v>85286.0</v>
      </c>
      <c r="N15279" s="2" t="s">
        <v>21</v>
      </c>
    </row>
    <row r="15280" ht="15.75" customHeight="1">
      <c r="A15280" s="2">
        <v>2021.0</v>
      </c>
      <c r="B15280" s="2" t="s">
        <v>58587</v>
      </c>
      <c r="C15280" s="2" t="s">
        <v>58587</v>
      </c>
      <c r="D15280" s="2" t="str">
        <f>"9702134627"</f>
        <v>9702134627</v>
      </c>
      <c r="E15280" s="2" t="s">
        <v>723</v>
      </c>
      <c r="F15280" s="2" t="s">
        <v>11166</v>
      </c>
      <c r="G15280" s="2" t="str">
        <f>"SR-21981"</f>
        <v>SR-21981</v>
      </c>
      <c r="H15280" s="2" t="s">
        <v>58588</v>
      </c>
      <c r="I15280" s="2" t="s">
        <v>58589</v>
      </c>
      <c r="K15280" s="2" t="s">
        <v>50881</v>
      </c>
      <c r="L15280" s="2" t="s">
        <v>157</v>
      </c>
      <c r="M15280" s="2">
        <v>80504.0</v>
      </c>
      <c r="N15280" s="2" t="s">
        <v>21</v>
      </c>
    </row>
    <row r="15281" ht="15.75" customHeight="1">
      <c r="A15281" s="2">
        <v>2021.0</v>
      </c>
      <c r="B15281" s="2" t="s">
        <v>58441</v>
      </c>
      <c r="C15281" s="2" t="s">
        <v>58590</v>
      </c>
      <c r="D15281" s="2" t="str">
        <f>"50765793438"</f>
        <v>50765793438</v>
      </c>
      <c r="E15281" s="2" t="s">
        <v>2572</v>
      </c>
      <c r="F15281" s="2" t="s">
        <v>58591</v>
      </c>
      <c r="G15281" s="2" t="str">
        <f>"SR-22072"</f>
        <v>SR-22072</v>
      </c>
      <c r="H15281" s="2" t="s">
        <v>58592</v>
      </c>
      <c r="I15281" s="2" t="s">
        <v>58593</v>
      </c>
      <c r="K15281" s="2" t="s">
        <v>1685</v>
      </c>
      <c r="L15281" s="2" t="s">
        <v>9264</v>
      </c>
      <c r="M15281" s="2">
        <v>5091.0</v>
      </c>
      <c r="N15281" s="2" t="s">
        <v>21</v>
      </c>
    </row>
    <row r="15282" ht="15.75" customHeight="1">
      <c r="A15282" s="2">
        <v>2021.0</v>
      </c>
      <c r="B15282" s="2" t="s">
        <v>32361</v>
      </c>
      <c r="C15282" s="2" t="s">
        <v>58594</v>
      </c>
      <c r="D15282" s="2" t="str">
        <f>"9498991207"</f>
        <v>9498991207</v>
      </c>
      <c r="E15282" s="2" t="s">
        <v>417</v>
      </c>
      <c r="F15282" s="2" t="s">
        <v>32363</v>
      </c>
      <c r="G15282" s="2" t="str">
        <f>"SR-21163"</f>
        <v>SR-21163</v>
      </c>
      <c r="H15282" s="2" t="s">
        <v>58595</v>
      </c>
      <c r="I15282" s="2" t="s">
        <v>32365</v>
      </c>
      <c r="K15282" s="2" t="s">
        <v>9670</v>
      </c>
      <c r="L15282" s="2" t="s">
        <v>222</v>
      </c>
      <c r="M15282" s="2">
        <v>92673.0</v>
      </c>
      <c r="N15282" s="2" t="s">
        <v>21</v>
      </c>
    </row>
    <row r="15283" ht="15.75" customHeight="1">
      <c r="A15283" s="2">
        <v>2021.0</v>
      </c>
      <c r="B15283" s="2" t="s">
        <v>58596</v>
      </c>
      <c r="C15283" s="2" t="s">
        <v>58597</v>
      </c>
      <c r="D15283" s="2" t="str">
        <f>"972-900-4991"</f>
        <v>972-900-4991</v>
      </c>
      <c r="E15283" s="2" t="s">
        <v>58598</v>
      </c>
      <c r="F15283" s="2" t="s">
        <v>58599</v>
      </c>
      <c r="G15283" s="2" t="str">
        <f>"SR-22089"</f>
        <v>SR-22089</v>
      </c>
      <c r="H15283" s="2" t="s">
        <v>58600</v>
      </c>
      <c r="I15283" s="2" t="s">
        <v>58601</v>
      </c>
      <c r="K15283" s="2" t="s">
        <v>1929</v>
      </c>
      <c r="L15283" s="2" t="s">
        <v>172</v>
      </c>
      <c r="M15283" s="2">
        <v>75094.0</v>
      </c>
      <c r="N15283" s="2" t="s">
        <v>21</v>
      </c>
    </row>
    <row r="15284" ht="15.75" customHeight="1">
      <c r="A15284" s="2">
        <v>2021.0</v>
      </c>
      <c r="B15284" s="2" t="s">
        <v>58602</v>
      </c>
      <c r="C15284" s="2" t="s">
        <v>58603</v>
      </c>
      <c r="D15284" s="2" t="str">
        <f>"4253441263"</f>
        <v>4253441263</v>
      </c>
      <c r="E15284" s="2" t="s">
        <v>58604</v>
      </c>
      <c r="F15284" s="2" t="s">
        <v>26725</v>
      </c>
      <c r="G15284" s="2" t="str">
        <f>"SR-22084"</f>
        <v>SR-22084</v>
      </c>
      <c r="H15284" s="2" t="s">
        <v>58605</v>
      </c>
      <c r="I15284" s="2" t="s">
        <v>58606</v>
      </c>
      <c r="K15284" s="2" t="s">
        <v>7890</v>
      </c>
      <c r="L15284" s="2" t="s">
        <v>86</v>
      </c>
      <c r="M15284" s="2">
        <v>98074.0</v>
      </c>
      <c r="N15284" s="2" t="s">
        <v>21</v>
      </c>
    </row>
    <row r="15285" ht="15.75" customHeight="1">
      <c r="A15285" s="2">
        <v>2021.0</v>
      </c>
      <c r="B15285" s="2" t="s">
        <v>58607</v>
      </c>
      <c r="C15285" s="2" t="s">
        <v>58608</v>
      </c>
      <c r="D15285" s="2" t="str">
        <f>"619-215-6769"</f>
        <v>619-215-6769</v>
      </c>
      <c r="E15285" s="2" t="s">
        <v>4888</v>
      </c>
      <c r="F15285" s="2" t="s">
        <v>16160</v>
      </c>
      <c r="G15285" s="2" t="str">
        <f>"SR-22087"</f>
        <v>SR-22087</v>
      </c>
      <c r="H15285" s="2" t="s">
        <v>58609</v>
      </c>
      <c r="I15285" s="2" t="s">
        <v>58610</v>
      </c>
      <c r="K15285" s="2" t="s">
        <v>58611</v>
      </c>
      <c r="L15285" s="2" t="s">
        <v>165</v>
      </c>
      <c r="M15285" s="2">
        <v>23454.0</v>
      </c>
      <c r="N15285" s="2" t="s">
        <v>21</v>
      </c>
    </row>
    <row r="15286" ht="15.75" customHeight="1">
      <c r="A15286" s="2">
        <v>2021.0</v>
      </c>
      <c r="B15286" s="2" t="s">
        <v>9572</v>
      </c>
      <c r="C15286" s="2" t="s">
        <v>58612</v>
      </c>
      <c r="D15286" s="2" t="str">
        <f>"7575601146"</f>
        <v>7575601146</v>
      </c>
      <c r="E15286" s="2" t="s">
        <v>132</v>
      </c>
      <c r="F15286" s="2" t="s">
        <v>189</v>
      </c>
      <c r="G15286" s="2" t="str">
        <f>"SR-21883"</f>
        <v>SR-21883</v>
      </c>
      <c r="H15286" s="2" t="s">
        <v>58613</v>
      </c>
      <c r="I15286" s="2" t="s">
        <v>9575</v>
      </c>
      <c r="K15286" s="2" t="s">
        <v>9576</v>
      </c>
      <c r="L15286" s="2" t="s">
        <v>165</v>
      </c>
      <c r="M15286" s="2">
        <v>23322.0</v>
      </c>
      <c r="N15286" s="2" t="s">
        <v>21</v>
      </c>
    </row>
    <row r="15287" ht="15.75" customHeight="1">
      <c r="A15287" s="2">
        <v>2021.0</v>
      </c>
      <c r="B15287" s="2" t="s">
        <v>58614</v>
      </c>
      <c r="C15287" s="2" t="s">
        <v>58614</v>
      </c>
      <c r="D15287" s="2" t="str">
        <f>"8566305110"</f>
        <v>8566305110</v>
      </c>
      <c r="E15287" s="2" t="s">
        <v>584</v>
      </c>
      <c r="F15287" s="2" t="s">
        <v>58615</v>
      </c>
      <c r="G15287" s="2" t="str">
        <f>"SR-22094"</f>
        <v>SR-22094</v>
      </c>
      <c r="H15287" s="2" t="s">
        <v>58616</v>
      </c>
      <c r="I15287" s="2" t="s">
        <v>58617</v>
      </c>
      <c r="K15287" s="2" t="s">
        <v>41988</v>
      </c>
      <c r="L15287" s="2" t="s">
        <v>3618</v>
      </c>
      <c r="M15287" s="2">
        <v>8077.0</v>
      </c>
      <c r="N15287" s="2" t="s">
        <v>21</v>
      </c>
    </row>
    <row r="15288" ht="15.75" customHeight="1">
      <c r="A15288" s="2">
        <v>2021.0</v>
      </c>
      <c r="B15288" s="2" t="s">
        <v>56826</v>
      </c>
      <c r="C15288" s="2" t="s">
        <v>58618</v>
      </c>
      <c r="D15288" s="2" t="str">
        <f>"7199857912"</f>
        <v>7199857912</v>
      </c>
      <c r="E15288" s="2" t="s">
        <v>37479</v>
      </c>
      <c r="F15288" s="2" t="s">
        <v>58619</v>
      </c>
      <c r="G15288" s="2" t="str">
        <f>"SR-22095"</f>
        <v>SR-22095</v>
      </c>
      <c r="H15288" s="2" t="s">
        <v>58620</v>
      </c>
      <c r="I15288" s="2" t="s">
        <v>58621</v>
      </c>
      <c r="K15288" s="2" t="s">
        <v>809</v>
      </c>
      <c r="L15288" s="2" t="s">
        <v>157</v>
      </c>
      <c r="M15288" s="2">
        <v>80918.0</v>
      </c>
      <c r="N15288" s="2" t="s">
        <v>21</v>
      </c>
    </row>
    <row r="15289" ht="15.75" customHeight="1">
      <c r="A15289" s="2">
        <v>2021.0</v>
      </c>
      <c r="B15289" s="2" t="s">
        <v>58622</v>
      </c>
      <c r="C15289" s="2" t="s">
        <v>58622</v>
      </c>
      <c r="D15289" s="2" t="str">
        <f>"3218778644"</f>
        <v>3218778644</v>
      </c>
      <c r="E15289" s="2" t="s">
        <v>39044</v>
      </c>
      <c r="F15289" s="2" t="s">
        <v>13091</v>
      </c>
      <c r="G15289" s="2" t="str">
        <f>"SR-22099"</f>
        <v>SR-22099</v>
      </c>
      <c r="H15289" s="2" t="s">
        <v>58623</v>
      </c>
      <c r="I15289" s="2" t="s">
        <v>58624</v>
      </c>
      <c r="K15289" s="2" t="s">
        <v>809</v>
      </c>
      <c r="L15289" s="2" t="s">
        <v>157</v>
      </c>
      <c r="M15289" s="2">
        <v>80915.0</v>
      </c>
      <c r="N15289" s="2" t="s">
        <v>21</v>
      </c>
    </row>
    <row r="15290" ht="15.75" customHeight="1">
      <c r="A15290" s="2">
        <v>2021.0</v>
      </c>
      <c r="B15290" s="2" t="s">
        <v>58625</v>
      </c>
      <c r="C15290" s="2" t="s">
        <v>58625</v>
      </c>
      <c r="D15290" s="2" t="str">
        <f>"5059172958"</f>
        <v>5059172958</v>
      </c>
      <c r="E15290" s="2" t="s">
        <v>13107</v>
      </c>
      <c r="F15290" s="2" t="s">
        <v>21469</v>
      </c>
      <c r="G15290" s="2" t="str">
        <f>"SR-22100"</f>
        <v>SR-22100</v>
      </c>
      <c r="H15290" s="2" t="s">
        <v>58626</v>
      </c>
      <c r="I15290" s="2" t="s">
        <v>58627</v>
      </c>
      <c r="K15290" s="2" t="s">
        <v>14298</v>
      </c>
      <c r="L15290" s="2" t="s">
        <v>789</v>
      </c>
      <c r="M15290" s="2">
        <v>87031.0</v>
      </c>
      <c r="N15290" s="2" t="s">
        <v>21</v>
      </c>
    </row>
    <row r="15291" ht="15.75" customHeight="1">
      <c r="A15291" s="2">
        <v>2021.0</v>
      </c>
      <c r="B15291" s="2" t="s">
        <v>58628</v>
      </c>
      <c r="C15291" s="2" t="s">
        <v>58628</v>
      </c>
      <c r="D15291" s="2" t="str">
        <f>"8636241936"</f>
        <v>8636241936</v>
      </c>
      <c r="E15291" s="2" t="s">
        <v>15</v>
      </c>
      <c r="F15291" s="2" t="s">
        <v>16894</v>
      </c>
      <c r="G15291" s="2" t="str">
        <f>"SR-22102"</f>
        <v>SR-22102</v>
      </c>
      <c r="H15291" s="2" t="s">
        <v>58629</v>
      </c>
      <c r="I15291" s="2" t="s">
        <v>58630</v>
      </c>
      <c r="K15291" s="2" t="s">
        <v>16571</v>
      </c>
      <c r="L15291" s="2" t="s">
        <v>208</v>
      </c>
      <c r="M15291" s="2">
        <v>32738.0</v>
      </c>
      <c r="N15291" s="2" t="s">
        <v>21</v>
      </c>
    </row>
    <row r="15292" ht="15.75" customHeight="1">
      <c r="A15292" s="2">
        <v>2021.0</v>
      </c>
      <c r="B15292" s="2" t="s">
        <v>58631</v>
      </c>
      <c r="C15292" s="2" t="s">
        <v>58631</v>
      </c>
      <c r="D15292" s="2" t="str">
        <f>"(720)425-0162"</f>
        <v>(720)425-0162</v>
      </c>
      <c r="E15292" s="2" t="s">
        <v>4206</v>
      </c>
      <c r="F15292" s="2" t="s">
        <v>41941</v>
      </c>
      <c r="G15292" s="2" t="str">
        <f>"SR-22103"</f>
        <v>SR-22103</v>
      </c>
      <c r="H15292" s="2" t="s">
        <v>58632</v>
      </c>
      <c r="I15292" s="2">
        <v>15110.0</v>
      </c>
      <c r="J15292" s="2" t="s">
        <v>58633</v>
      </c>
      <c r="K15292" s="2" t="s">
        <v>17147</v>
      </c>
      <c r="L15292" s="2" t="s">
        <v>157</v>
      </c>
      <c r="M15292" s="2">
        <v>80602.0</v>
      </c>
      <c r="N15292" s="2" t="s">
        <v>21</v>
      </c>
    </row>
    <row r="15293" ht="15.75" customHeight="1">
      <c r="A15293" s="2">
        <v>2021.0</v>
      </c>
      <c r="B15293" s="2" t="s">
        <v>58634</v>
      </c>
      <c r="C15293" s="2" t="s">
        <v>58635</v>
      </c>
      <c r="D15293" s="2" t="str">
        <f>"6177976284"</f>
        <v>6177976284</v>
      </c>
      <c r="E15293" s="2" t="s">
        <v>36</v>
      </c>
      <c r="F15293" s="2" t="s">
        <v>58636</v>
      </c>
      <c r="G15293" s="2" t="str">
        <f>"SR-22104"</f>
        <v>SR-22104</v>
      </c>
      <c r="H15293" s="2" t="s">
        <v>58637</v>
      </c>
      <c r="I15293" s="2" t="s">
        <v>58638</v>
      </c>
      <c r="K15293" s="2" t="s">
        <v>58639</v>
      </c>
      <c r="L15293" s="2" t="s">
        <v>4108</v>
      </c>
      <c r="M15293" s="2">
        <v>2356.0</v>
      </c>
      <c r="N15293" s="2" t="s">
        <v>21</v>
      </c>
    </row>
    <row r="15294" ht="15.75" customHeight="1">
      <c r="A15294" s="2">
        <v>2021.0</v>
      </c>
      <c r="B15294" s="2" t="s">
        <v>58640</v>
      </c>
      <c r="C15294" s="2" t="s">
        <v>58641</v>
      </c>
      <c r="D15294" s="2" t="str">
        <f>"17744791479"</f>
        <v>17744791479</v>
      </c>
      <c r="E15294" s="2" t="s">
        <v>705</v>
      </c>
      <c r="F15294" s="2" t="s">
        <v>58642</v>
      </c>
      <c r="G15294" s="2" t="str">
        <f>"SR-22106"</f>
        <v>SR-22106</v>
      </c>
      <c r="H15294" s="2" t="s">
        <v>58643</v>
      </c>
      <c r="I15294" s="2" t="s">
        <v>58644</v>
      </c>
      <c r="K15294" s="2" t="s">
        <v>11166</v>
      </c>
      <c r="L15294" s="2" t="s">
        <v>4108</v>
      </c>
      <c r="M15294" s="2">
        <v>1522.0</v>
      </c>
      <c r="N15294" s="2" t="s">
        <v>21</v>
      </c>
    </row>
    <row r="15295" ht="15.75" customHeight="1">
      <c r="A15295" s="2">
        <v>2021.0</v>
      </c>
      <c r="B15295" s="2" t="s">
        <v>58645</v>
      </c>
      <c r="D15295" s="2" t="str">
        <f>""</f>
        <v/>
      </c>
      <c r="E15295" s="2" t="s">
        <v>651</v>
      </c>
      <c r="F15295" s="2" t="s">
        <v>21136</v>
      </c>
      <c r="G15295" s="2" t="str">
        <f>"SR-21903"</f>
        <v>SR-21903</v>
      </c>
      <c r="H15295" s="2" t="s">
        <v>58646</v>
      </c>
    </row>
    <row r="15296" ht="15.75" customHeight="1">
      <c r="A15296" s="2">
        <v>2021.0</v>
      </c>
      <c r="B15296" s="2" t="s">
        <v>54159</v>
      </c>
      <c r="C15296" s="2" t="s">
        <v>58647</v>
      </c>
      <c r="D15296" s="2" t="str">
        <f>"8032575740"</f>
        <v>8032575740</v>
      </c>
      <c r="E15296" s="2" t="s">
        <v>217</v>
      </c>
      <c r="F15296" s="2" t="s">
        <v>3319</v>
      </c>
      <c r="G15296" s="2" t="str">
        <f>"SR-22107"</f>
        <v>SR-22107</v>
      </c>
      <c r="H15296" s="2" t="s">
        <v>58648</v>
      </c>
      <c r="I15296" s="2" t="s">
        <v>58649</v>
      </c>
      <c r="K15296" s="2" t="s">
        <v>29425</v>
      </c>
      <c r="L15296" s="2" t="s">
        <v>55</v>
      </c>
      <c r="M15296" s="2">
        <v>29830.0</v>
      </c>
      <c r="N15296" s="2" t="s">
        <v>21</v>
      </c>
    </row>
    <row r="15297" ht="15.75" customHeight="1">
      <c r="A15297" s="2">
        <v>2021.0</v>
      </c>
      <c r="B15297" s="2" t="s">
        <v>58650</v>
      </c>
      <c r="C15297" s="2" t="s">
        <v>58651</v>
      </c>
      <c r="D15297" s="2" t="str">
        <f>"7049892261"</f>
        <v>7049892261</v>
      </c>
      <c r="E15297" s="2" t="s">
        <v>843</v>
      </c>
      <c r="F15297" s="2" t="s">
        <v>17677</v>
      </c>
      <c r="G15297" s="2" t="str">
        <f>"SR-22108"</f>
        <v>SR-22108</v>
      </c>
      <c r="H15297" s="2" t="s">
        <v>58652</v>
      </c>
      <c r="I15297" s="2" t="s">
        <v>58653</v>
      </c>
      <c r="K15297" s="2" t="s">
        <v>1612</v>
      </c>
      <c r="L15297" s="2" t="s">
        <v>20</v>
      </c>
      <c r="M15297" s="2">
        <v>28104.0</v>
      </c>
      <c r="N15297" s="2" t="s">
        <v>21</v>
      </c>
    </row>
    <row r="15298" ht="15.75" customHeight="1">
      <c r="A15298" s="2">
        <v>2021.0</v>
      </c>
      <c r="B15298" s="2" t="s">
        <v>51757</v>
      </c>
      <c r="C15298" s="2" t="s">
        <v>58654</v>
      </c>
      <c r="D15298" s="2" t="str">
        <f>"4846469193"</f>
        <v>4846469193</v>
      </c>
      <c r="E15298" s="2" t="s">
        <v>1007</v>
      </c>
      <c r="F15298" s="2" t="s">
        <v>51759</v>
      </c>
      <c r="G15298" s="2" t="str">
        <f>"SR-22057"</f>
        <v>SR-22057</v>
      </c>
      <c r="H15298" s="2" t="s">
        <v>58655</v>
      </c>
      <c r="I15298" s="2" t="s">
        <v>51761</v>
      </c>
      <c r="K15298" s="2" t="s">
        <v>51762</v>
      </c>
      <c r="L15298" s="2" t="s">
        <v>179</v>
      </c>
      <c r="M15298" s="2">
        <v>19530.0</v>
      </c>
      <c r="N15298" s="2" t="s">
        <v>21</v>
      </c>
    </row>
    <row r="15299" ht="15.75" customHeight="1">
      <c r="A15299" s="2">
        <v>2021.0</v>
      </c>
      <c r="B15299" s="2" t="s">
        <v>58656</v>
      </c>
      <c r="C15299" s="2" t="s">
        <v>58656</v>
      </c>
      <c r="D15299" s="2" t="str">
        <f>"8172176219"</f>
        <v>8172176219</v>
      </c>
      <c r="E15299" s="2" t="s">
        <v>12269</v>
      </c>
      <c r="F15299" s="2" t="s">
        <v>8031</v>
      </c>
      <c r="G15299" s="2" t="str">
        <f>"SR-21670"</f>
        <v>SR-21670</v>
      </c>
      <c r="H15299" s="2" t="s">
        <v>58657</v>
      </c>
      <c r="I15299" s="2" t="s">
        <v>58658</v>
      </c>
      <c r="K15299" s="2" t="s">
        <v>5399</v>
      </c>
      <c r="L15299" s="2" t="s">
        <v>172</v>
      </c>
      <c r="M15299" s="2">
        <v>76022.0</v>
      </c>
      <c r="N15299" s="2" t="s">
        <v>21</v>
      </c>
    </row>
    <row r="15300" ht="15.75" customHeight="1">
      <c r="A15300" s="2">
        <v>2021.0</v>
      </c>
      <c r="B15300" s="2" t="s">
        <v>58659</v>
      </c>
      <c r="C15300" s="2" t="s">
        <v>58659</v>
      </c>
      <c r="D15300" s="2" t="str">
        <f>"8068533631"</f>
        <v>8068533631</v>
      </c>
      <c r="E15300" s="2" t="s">
        <v>58660</v>
      </c>
      <c r="F15300" s="2" t="s">
        <v>14432</v>
      </c>
      <c r="G15300" s="2" t="str">
        <f>"SR-22085"</f>
        <v>SR-22085</v>
      </c>
      <c r="H15300" s="2" t="s">
        <v>58661</v>
      </c>
      <c r="I15300" s="2" t="s">
        <v>58662</v>
      </c>
      <c r="K15300" s="2" t="s">
        <v>10933</v>
      </c>
      <c r="L15300" s="2" t="s">
        <v>172</v>
      </c>
      <c r="M15300" s="2">
        <v>78801.0</v>
      </c>
      <c r="N15300" s="2" t="s">
        <v>21</v>
      </c>
    </row>
    <row r="15301" ht="15.75" customHeight="1">
      <c r="A15301" s="2">
        <v>2021.0</v>
      </c>
      <c r="B15301" s="2" t="s">
        <v>58663</v>
      </c>
      <c r="C15301" s="2" t="s">
        <v>58664</v>
      </c>
      <c r="D15301" s="2" t="str">
        <f>"4802498070"</f>
        <v>4802498070</v>
      </c>
      <c r="E15301" s="2" t="s">
        <v>58665</v>
      </c>
      <c r="F15301" s="2" t="s">
        <v>58666</v>
      </c>
      <c r="G15301" s="2" t="str">
        <f>"SR-22110"</f>
        <v>SR-22110</v>
      </c>
      <c r="H15301" s="2" t="s">
        <v>58667</v>
      </c>
      <c r="I15301" s="2" t="s">
        <v>58668</v>
      </c>
      <c r="K15301" s="2" t="s">
        <v>421</v>
      </c>
      <c r="L15301" s="2" t="s">
        <v>422</v>
      </c>
      <c r="M15301" s="2">
        <v>85048.0</v>
      </c>
      <c r="N15301" s="2" t="s">
        <v>21</v>
      </c>
    </row>
    <row r="15302" ht="15.75" customHeight="1">
      <c r="A15302" s="2">
        <v>2021.0</v>
      </c>
      <c r="B15302" s="2" t="s">
        <v>11174</v>
      </c>
      <c r="C15302" s="2" t="s">
        <v>58669</v>
      </c>
      <c r="D15302" s="2" t="str">
        <f>"804-489-1679"</f>
        <v>804-489-1679</v>
      </c>
      <c r="E15302" s="2" t="s">
        <v>167</v>
      </c>
      <c r="F15302" s="2" t="s">
        <v>11176</v>
      </c>
      <c r="G15302" s="2" t="str">
        <f>"SR-21888"</f>
        <v>SR-21888</v>
      </c>
      <c r="H15302" s="2" t="s">
        <v>58670</v>
      </c>
      <c r="I15302" s="2" t="s">
        <v>11178</v>
      </c>
      <c r="K15302" s="2" t="s">
        <v>11179</v>
      </c>
      <c r="L15302" s="2" t="s">
        <v>165</v>
      </c>
      <c r="M15302" s="2">
        <v>23113.0</v>
      </c>
      <c r="N15302" s="2" t="s">
        <v>21</v>
      </c>
    </row>
    <row r="15303" ht="15.75" customHeight="1">
      <c r="A15303" s="2">
        <v>2021.0</v>
      </c>
      <c r="B15303" s="2" t="s">
        <v>58671</v>
      </c>
      <c r="C15303" s="2" t="s">
        <v>58671</v>
      </c>
      <c r="D15303" s="2" t="str">
        <f>"6154999166"</f>
        <v>6154999166</v>
      </c>
      <c r="E15303" s="2" t="s">
        <v>8815</v>
      </c>
      <c r="F15303" s="2" t="s">
        <v>3570</v>
      </c>
      <c r="G15303" s="2" t="str">
        <f>"SR-22056"</f>
        <v>SR-22056</v>
      </c>
      <c r="H15303" s="2" t="s">
        <v>58672</v>
      </c>
      <c r="I15303" s="2" t="s">
        <v>58673</v>
      </c>
      <c r="K15303" s="2" t="s">
        <v>5843</v>
      </c>
      <c r="L15303" s="2" t="s">
        <v>279</v>
      </c>
      <c r="M15303" s="2">
        <v>37179.0</v>
      </c>
      <c r="N15303" s="2" t="s">
        <v>21</v>
      </c>
    </row>
    <row r="15304" ht="15.75" customHeight="1">
      <c r="A15304" s="2">
        <v>2021.0</v>
      </c>
      <c r="B15304" s="2" t="s">
        <v>56934</v>
      </c>
      <c r="C15304" s="2" t="s">
        <v>58674</v>
      </c>
      <c r="D15304" s="2" t="str">
        <f>"561-866-9697"</f>
        <v>561-866-9697</v>
      </c>
      <c r="E15304" s="2" t="s">
        <v>167</v>
      </c>
      <c r="F15304" s="2" t="s">
        <v>56935</v>
      </c>
      <c r="G15304" s="2" t="str">
        <f>"SR-21953"</f>
        <v>SR-21953</v>
      </c>
      <c r="H15304" s="2" t="s">
        <v>58675</v>
      </c>
      <c r="I15304" s="2" t="s">
        <v>56937</v>
      </c>
      <c r="J15304" s="2" t="s">
        <v>56938</v>
      </c>
      <c r="K15304" s="2" t="s">
        <v>2273</v>
      </c>
      <c r="L15304" s="2" t="s">
        <v>208</v>
      </c>
      <c r="M15304" s="2">
        <v>33431.0</v>
      </c>
      <c r="N15304" s="2" t="s">
        <v>21</v>
      </c>
    </row>
    <row r="15305" ht="15.75" customHeight="1">
      <c r="A15305" s="2">
        <v>2021.0</v>
      </c>
      <c r="B15305" s="2" t="s">
        <v>58676</v>
      </c>
      <c r="C15305" s="2" t="s">
        <v>58676</v>
      </c>
      <c r="D15305" s="2" t="str">
        <f>"8137666544"</f>
        <v>8137666544</v>
      </c>
      <c r="E15305" s="2" t="s">
        <v>8472</v>
      </c>
      <c r="F15305" s="2" t="s">
        <v>31759</v>
      </c>
      <c r="G15305" s="2" t="str">
        <f>"SR-22093"</f>
        <v>SR-22093</v>
      </c>
      <c r="H15305" s="2" t="s">
        <v>58677</v>
      </c>
      <c r="I15305" s="2" t="s">
        <v>58678</v>
      </c>
      <c r="K15305" s="2" t="s">
        <v>58679</v>
      </c>
      <c r="L15305" s="2" t="s">
        <v>208</v>
      </c>
      <c r="M15305" s="2">
        <v>33563.0</v>
      </c>
      <c r="N15305" s="2" t="s">
        <v>21</v>
      </c>
    </row>
    <row r="15306" ht="15.75" customHeight="1">
      <c r="A15306" s="2">
        <v>2021.0</v>
      </c>
      <c r="B15306" s="2" t="s">
        <v>31397</v>
      </c>
      <c r="C15306" s="2" t="s">
        <v>58680</v>
      </c>
      <c r="D15306" s="2" t="str">
        <f>"8287353400"</f>
        <v>8287353400</v>
      </c>
      <c r="E15306" s="2" t="s">
        <v>58681</v>
      </c>
      <c r="F15306" s="2" t="s">
        <v>31399</v>
      </c>
      <c r="G15306" s="2" t="str">
        <f>"SR-22112"</f>
        <v>SR-22112</v>
      </c>
      <c r="H15306" s="2" t="s">
        <v>58682</v>
      </c>
      <c r="I15306" s="2" t="s">
        <v>58683</v>
      </c>
      <c r="K15306" s="2" t="s">
        <v>31402</v>
      </c>
      <c r="L15306" s="2" t="s">
        <v>20</v>
      </c>
      <c r="M15306" s="2">
        <v>28771.0</v>
      </c>
      <c r="N15306" s="2" t="s">
        <v>21</v>
      </c>
    </row>
    <row r="15307" ht="15.75" customHeight="1">
      <c r="A15307" s="2">
        <v>2021.0</v>
      </c>
      <c r="B15307" s="2" t="s">
        <v>58684</v>
      </c>
      <c r="C15307" s="2" t="s">
        <v>58685</v>
      </c>
      <c r="D15307" s="2" t="str">
        <f>"972 882 5681"</f>
        <v>972 882 5681</v>
      </c>
      <c r="E15307" s="2" t="s">
        <v>58686</v>
      </c>
      <c r="F15307" s="2" t="s">
        <v>20605</v>
      </c>
      <c r="G15307" s="2" t="str">
        <f>"SR-21295"</f>
        <v>SR-21295</v>
      </c>
      <c r="H15307" s="2" t="s">
        <v>58687</v>
      </c>
      <c r="I15307" s="2" t="s">
        <v>58688</v>
      </c>
      <c r="K15307" s="2" t="s">
        <v>6030</v>
      </c>
      <c r="L15307" s="2" t="s">
        <v>172</v>
      </c>
      <c r="M15307" s="2">
        <v>76248.0</v>
      </c>
      <c r="N15307" s="2" t="s">
        <v>21</v>
      </c>
    </row>
    <row r="15308" ht="15.75" customHeight="1">
      <c r="A15308" s="2">
        <v>2021.0</v>
      </c>
      <c r="B15308" s="2" t="s">
        <v>58689</v>
      </c>
      <c r="C15308" s="2" t="s">
        <v>58690</v>
      </c>
      <c r="D15308" s="2" t="str">
        <f>"478-575-0188"</f>
        <v>478-575-0188</v>
      </c>
      <c r="E15308" s="2" t="s">
        <v>282</v>
      </c>
      <c r="F15308" s="2" t="s">
        <v>543</v>
      </c>
      <c r="G15308" s="2" t="str">
        <f>"SR-22011"</f>
        <v>SR-22011</v>
      </c>
      <c r="H15308" s="2" t="s">
        <v>58691</v>
      </c>
      <c r="I15308" s="2" t="s">
        <v>58692</v>
      </c>
      <c r="K15308" s="2" t="s">
        <v>1352</v>
      </c>
      <c r="L15308" s="2" t="s">
        <v>200</v>
      </c>
      <c r="M15308" s="2">
        <v>30436.0</v>
      </c>
      <c r="N15308" s="2" t="s">
        <v>21</v>
      </c>
    </row>
    <row r="15309" ht="15.75" customHeight="1">
      <c r="A15309" s="2">
        <v>2021.0</v>
      </c>
      <c r="B15309" s="2" t="s">
        <v>58693</v>
      </c>
      <c r="C15309" s="2" t="s">
        <v>58694</v>
      </c>
      <c r="D15309" s="2" t="str">
        <f>"719-238-5810"</f>
        <v>719-238-5810</v>
      </c>
      <c r="E15309" s="2" t="s">
        <v>931</v>
      </c>
      <c r="F15309" s="2" t="s">
        <v>58695</v>
      </c>
      <c r="G15309" s="2" t="str">
        <f>"SR-22101"</f>
        <v>SR-22101</v>
      </c>
      <c r="H15309" s="2" t="s">
        <v>58696</v>
      </c>
      <c r="I15309" s="2" t="s">
        <v>58697</v>
      </c>
      <c r="K15309" s="2" t="s">
        <v>809</v>
      </c>
      <c r="L15309" s="2" t="s">
        <v>157</v>
      </c>
      <c r="M15309" s="2">
        <v>80924.0</v>
      </c>
      <c r="N15309" s="2" t="s">
        <v>21</v>
      </c>
    </row>
    <row r="15310" ht="15.75" customHeight="1">
      <c r="A15310" s="2">
        <v>2021.0</v>
      </c>
      <c r="B15310" s="2" t="s">
        <v>52562</v>
      </c>
      <c r="C15310" s="2" t="s">
        <v>52562</v>
      </c>
      <c r="D15310" s="2" t="str">
        <f>"9107897870"</f>
        <v>9107897870</v>
      </c>
      <c r="E15310" s="2" t="s">
        <v>31435</v>
      </c>
      <c r="F15310" s="2" t="s">
        <v>1054</v>
      </c>
      <c r="G15310" s="2" t="str">
        <f>"SR-18772"</f>
        <v>SR-18772</v>
      </c>
      <c r="H15310" s="2" t="s">
        <v>52563</v>
      </c>
      <c r="I15310" s="2" t="s">
        <v>52564</v>
      </c>
      <c r="K15310" s="2" t="s">
        <v>52565</v>
      </c>
      <c r="L15310" s="2" t="s">
        <v>20</v>
      </c>
      <c r="M15310" s="2">
        <v>28451.0</v>
      </c>
      <c r="N15310" s="2" t="s">
        <v>21</v>
      </c>
    </row>
    <row r="15311" ht="15.75" customHeight="1">
      <c r="A15311" s="2">
        <v>2021.0</v>
      </c>
      <c r="B15311" s="2" t="s">
        <v>21816</v>
      </c>
      <c r="D15311" s="2" t="str">
        <f>""</f>
        <v/>
      </c>
      <c r="E15311" s="2" t="s">
        <v>57983</v>
      </c>
      <c r="F15311" s="2" t="s">
        <v>27521</v>
      </c>
      <c r="G15311" s="2" t="str">
        <f>"SR-21934"</f>
        <v>SR-21934</v>
      </c>
      <c r="H15311" s="2" t="s">
        <v>58698</v>
      </c>
    </row>
    <row r="15312" ht="15.75" customHeight="1">
      <c r="A15312" s="2">
        <v>2021.0</v>
      </c>
      <c r="B15312" s="2" t="s">
        <v>53814</v>
      </c>
      <c r="C15312" s="2" t="s">
        <v>53815</v>
      </c>
      <c r="D15312" s="2" t="str">
        <f>"4054395282"</f>
        <v>4054395282</v>
      </c>
      <c r="E15312" s="2" t="s">
        <v>53816</v>
      </c>
      <c r="F15312" s="2" t="s">
        <v>3037</v>
      </c>
      <c r="G15312" s="2" t="str">
        <f>"SR-19409"</f>
        <v>SR-19409</v>
      </c>
      <c r="H15312" s="2" t="s">
        <v>53817</v>
      </c>
      <c r="I15312" s="2" t="s">
        <v>53818</v>
      </c>
      <c r="K15312" s="2" t="s">
        <v>53819</v>
      </c>
      <c r="L15312" s="2" t="s">
        <v>840</v>
      </c>
      <c r="M15312" s="2">
        <v>73010.0</v>
      </c>
      <c r="N15312" s="2" t="s">
        <v>21</v>
      </c>
    </row>
    <row r="15313" ht="15.75" customHeight="1">
      <c r="A15313" s="2">
        <v>2021.0</v>
      </c>
      <c r="B15313" s="2" t="s">
        <v>53814</v>
      </c>
      <c r="C15313" s="2" t="s">
        <v>53824</v>
      </c>
      <c r="D15313" s="2" t="str">
        <f>"405-771-4138"</f>
        <v>405-771-4138</v>
      </c>
      <c r="E15313" s="2" t="s">
        <v>25433</v>
      </c>
      <c r="F15313" s="2" t="s">
        <v>3037</v>
      </c>
      <c r="G15313" s="2" t="str">
        <f>"SR-19410"</f>
        <v>SR-19410</v>
      </c>
      <c r="H15313" s="2" t="s">
        <v>53825</v>
      </c>
      <c r="I15313" s="2" t="s">
        <v>53818</v>
      </c>
      <c r="K15313" s="2" t="s">
        <v>53819</v>
      </c>
      <c r="L15313" s="2" t="s">
        <v>840</v>
      </c>
      <c r="M15313" s="2">
        <v>73010.0</v>
      </c>
      <c r="N15313" s="2" t="s">
        <v>21</v>
      </c>
    </row>
    <row r="15314" ht="15.75" customHeight="1">
      <c r="A15314" s="2">
        <v>2021.0</v>
      </c>
      <c r="B15314" s="2" t="s">
        <v>52505</v>
      </c>
      <c r="C15314" s="2" t="s">
        <v>52505</v>
      </c>
      <c r="D15314" s="2" t="str">
        <f>"214-548-9448"</f>
        <v>214-548-9448</v>
      </c>
      <c r="E15314" s="2" t="s">
        <v>137</v>
      </c>
      <c r="F15314" s="2" t="s">
        <v>52506</v>
      </c>
      <c r="G15314" s="2" t="str">
        <f>"SR-18765"</f>
        <v>SR-18765</v>
      </c>
      <c r="H15314" s="2" t="s">
        <v>52507</v>
      </c>
      <c r="I15314" s="2" t="s">
        <v>52508</v>
      </c>
      <c r="K15314" s="2" t="s">
        <v>2514</v>
      </c>
      <c r="L15314" s="2" t="s">
        <v>172</v>
      </c>
      <c r="M15314" s="2">
        <v>75009.0</v>
      </c>
      <c r="N15314" s="2" t="s">
        <v>21</v>
      </c>
    </row>
    <row r="15315" ht="15.75" customHeight="1">
      <c r="A15315" s="2">
        <v>2021.0</v>
      </c>
      <c r="B15315" s="2" t="s">
        <v>52654</v>
      </c>
      <c r="C15315" s="2" t="s">
        <v>52654</v>
      </c>
      <c r="D15315" s="2" t="str">
        <f>"830-388-9720"</f>
        <v>830-388-9720</v>
      </c>
      <c r="E15315" s="2" t="s">
        <v>57</v>
      </c>
      <c r="F15315" s="2" t="s">
        <v>20407</v>
      </c>
      <c r="G15315" s="2" t="str">
        <f>"SR-22117"</f>
        <v>SR-22117</v>
      </c>
      <c r="H15315" s="2" t="s">
        <v>52655</v>
      </c>
      <c r="I15315" s="2" t="s">
        <v>52656</v>
      </c>
      <c r="K15315" s="2" t="s">
        <v>29864</v>
      </c>
      <c r="L15315" s="2" t="s">
        <v>172</v>
      </c>
      <c r="M15315" s="2">
        <v>78070.0</v>
      </c>
      <c r="N15315" s="2" t="s">
        <v>21</v>
      </c>
    </row>
    <row r="15316" ht="15.75" customHeight="1">
      <c r="A15316" s="2">
        <v>2021.0</v>
      </c>
      <c r="B15316" s="2" t="s">
        <v>52412</v>
      </c>
      <c r="C15316" s="2" t="s">
        <v>52412</v>
      </c>
      <c r="D15316" s="2" t="str">
        <f>"5734654544"</f>
        <v>5734654544</v>
      </c>
      <c r="E15316" s="2" t="s">
        <v>2378</v>
      </c>
      <c r="F15316" s="2" t="s">
        <v>8787</v>
      </c>
      <c r="G15316" s="2" t="str">
        <f>"SR-18733"</f>
        <v>SR-18733</v>
      </c>
      <c r="H15316" s="2" t="s">
        <v>52413</v>
      </c>
      <c r="I15316" s="2" t="s">
        <v>52414</v>
      </c>
      <c r="K15316" s="2" t="s">
        <v>22002</v>
      </c>
      <c r="L15316" s="2" t="s">
        <v>214</v>
      </c>
      <c r="M15316" s="2">
        <v>65401.0</v>
      </c>
      <c r="N15316" s="2" t="s">
        <v>21</v>
      </c>
    </row>
    <row r="15317" ht="15.75" customHeight="1">
      <c r="A15317" s="2">
        <v>2021.0</v>
      </c>
      <c r="B15317" s="2" t="s">
        <v>52404</v>
      </c>
      <c r="C15317" s="2" t="s">
        <v>52405</v>
      </c>
      <c r="D15317" s="2" t="str">
        <f>"5734666216"</f>
        <v>5734666216</v>
      </c>
      <c r="E15317" s="2" t="s">
        <v>1278</v>
      </c>
      <c r="F15317" s="2" t="s">
        <v>8787</v>
      </c>
      <c r="G15317" s="2" t="str">
        <f>"SR-18730"</f>
        <v>SR-18730</v>
      </c>
      <c r="H15317" s="2" t="s">
        <v>52406</v>
      </c>
      <c r="I15317" s="2" t="s">
        <v>52407</v>
      </c>
      <c r="K15317" s="2" t="s">
        <v>22002</v>
      </c>
      <c r="L15317" s="2" t="s">
        <v>214</v>
      </c>
      <c r="M15317" s="2">
        <v>65401.0</v>
      </c>
      <c r="N15317" s="2" t="s">
        <v>21</v>
      </c>
    </row>
    <row r="15318" ht="15.75" customHeight="1">
      <c r="A15318" s="2">
        <v>2021.0</v>
      </c>
      <c r="B15318" s="2" t="s">
        <v>58699</v>
      </c>
      <c r="C15318" s="2" t="s">
        <v>58700</v>
      </c>
      <c r="D15318" s="2" t="str">
        <f>"3467046617"</f>
        <v>3467046617</v>
      </c>
      <c r="E15318" s="2" t="s">
        <v>261</v>
      </c>
      <c r="F15318" s="2" t="s">
        <v>58701</v>
      </c>
      <c r="G15318" s="2" t="str">
        <f>"SR-21662"</f>
        <v>SR-21662</v>
      </c>
      <c r="H15318" s="2" t="s">
        <v>58702</v>
      </c>
      <c r="I15318" s="2" t="s">
        <v>58703</v>
      </c>
      <c r="K15318" s="2" t="s">
        <v>5855</v>
      </c>
      <c r="L15318" s="2" t="s">
        <v>172</v>
      </c>
      <c r="M15318" s="2">
        <v>77379.0</v>
      </c>
      <c r="N15318" s="2" t="s">
        <v>21</v>
      </c>
    </row>
    <row r="15319" ht="15.75" customHeight="1">
      <c r="A15319" s="2">
        <v>2021.0</v>
      </c>
      <c r="B15319" s="2" t="s">
        <v>58704</v>
      </c>
      <c r="C15319" s="2" t="s">
        <v>58705</v>
      </c>
      <c r="D15319" s="2" t="str">
        <f>"2487568745"</f>
        <v>2487568745</v>
      </c>
      <c r="E15319" s="2" t="s">
        <v>1032</v>
      </c>
      <c r="F15319" s="2" t="s">
        <v>45681</v>
      </c>
      <c r="G15319" s="2" t="str">
        <f>"SR-22120"</f>
        <v>SR-22120</v>
      </c>
      <c r="H15319" s="2" t="s">
        <v>58706</v>
      </c>
      <c r="I15319" s="2" t="s">
        <v>58707</v>
      </c>
      <c r="K15319" s="2" t="s">
        <v>2540</v>
      </c>
      <c r="L15319" s="2" t="s">
        <v>29</v>
      </c>
      <c r="M15319" s="2">
        <v>48178.0</v>
      </c>
      <c r="N15319" s="2" t="s">
        <v>21</v>
      </c>
    </row>
    <row r="15320" ht="15.75" customHeight="1">
      <c r="A15320" s="2">
        <v>2021.0</v>
      </c>
      <c r="B15320" s="2" t="s">
        <v>51468</v>
      </c>
      <c r="C15320" s="2" t="s">
        <v>51469</v>
      </c>
      <c r="D15320" s="2" t="str">
        <f>"3343431022"</f>
        <v>3343431022</v>
      </c>
      <c r="E15320" s="2" t="s">
        <v>1094</v>
      </c>
      <c r="F15320" s="2" t="s">
        <v>51470</v>
      </c>
      <c r="G15320" s="2" t="str">
        <f>"SR-18213"</f>
        <v>SR-18213</v>
      </c>
      <c r="H15320" s="2" t="s">
        <v>51471</v>
      </c>
      <c r="I15320" s="2" t="s">
        <v>51472</v>
      </c>
      <c r="K15320" s="2" t="s">
        <v>51473</v>
      </c>
      <c r="L15320" s="2" t="s">
        <v>539</v>
      </c>
      <c r="M15320" s="2">
        <v>36421.0</v>
      </c>
      <c r="N15320" s="2" t="s">
        <v>21</v>
      </c>
    </row>
    <row r="15321" ht="15.75" customHeight="1">
      <c r="A15321" s="2">
        <v>2021.0</v>
      </c>
      <c r="B15321" s="2" t="s">
        <v>51468</v>
      </c>
      <c r="C15321" s="2" t="s">
        <v>58708</v>
      </c>
      <c r="D15321" s="2" t="str">
        <f>"3344886466"</f>
        <v>3344886466</v>
      </c>
      <c r="E15321" s="2" t="s">
        <v>485</v>
      </c>
      <c r="F15321" s="2" t="s">
        <v>51470</v>
      </c>
      <c r="G15321" s="2" t="str">
        <f>"SR-21900"</f>
        <v>SR-21900</v>
      </c>
      <c r="H15321" s="2" t="s">
        <v>58709</v>
      </c>
      <c r="I15321" s="2" t="s">
        <v>51472</v>
      </c>
      <c r="K15321" s="2" t="s">
        <v>51473</v>
      </c>
      <c r="L15321" s="2" t="s">
        <v>539</v>
      </c>
      <c r="M15321" s="2">
        <v>36421.0</v>
      </c>
      <c r="N15321" s="2" t="s">
        <v>21</v>
      </c>
    </row>
    <row r="15322" ht="15.75" customHeight="1">
      <c r="A15322" s="2">
        <v>2021.0</v>
      </c>
      <c r="B15322" s="2" t="s">
        <v>51474</v>
      </c>
      <c r="C15322" s="2" t="s">
        <v>51474</v>
      </c>
      <c r="D15322" s="2" t="str">
        <f>"3342080217"</f>
        <v>3342080217</v>
      </c>
      <c r="E15322" s="2" t="s">
        <v>3196</v>
      </c>
      <c r="F15322" s="2" t="s">
        <v>51475</v>
      </c>
      <c r="G15322" s="2" t="str">
        <f>"SR-18392"</f>
        <v>SR-18392</v>
      </c>
      <c r="H15322" s="2" t="s">
        <v>51476</v>
      </c>
      <c r="I15322" s="2" t="s">
        <v>51477</v>
      </c>
      <c r="K15322" s="2" t="s">
        <v>51473</v>
      </c>
      <c r="L15322" s="2" t="s">
        <v>539</v>
      </c>
      <c r="M15322" s="2">
        <v>36420.0</v>
      </c>
      <c r="N15322" s="2" t="s">
        <v>21</v>
      </c>
    </row>
    <row r="15323" ht="15.75" customHeight="1">
      <c r="A15323" s="2">
        <v>2021.0</v>
      </c>
      <c r="B15323" s="2" t="s">
        <v>58710</v>
      </c>
      <c r="D15323" s="2" t="str">
        <f>""</f>
        <v/>
      </c>
      <c r="E15323" s="2" t="s">
        <v>4990</v>
      </c>
      <c r="F15323" s="2" t="s">
        <v>30201</v>
      </c>
      <c r="G15323" s="2" t="str">
        <f>"SR-21764"</f>
        <v>SR-21764</v>
      </c>
      <c r="H15323" s="2" t="s">
        <v>58711</v>
      </c>
      <c r="N15323" s="2" t="s">
        <v>21</v>
      </c>
    </row>
    <row r="15324" ht="15.75" customHeight="1">
      <c r="A15324" s="2">
        <v>2021.0</v>
      </c>
      <c r="B15324" s="2" t="s">
        <v>53814</v>
      </c>
      <c r="C15324" s="2" t="s">
        <v>53814</v>
      </c>
      <c r="D15324" s="2" t="str">
        <f>"405-771-4138"</f>
        <v>405-771-4138</v>
      </c>
      <c r="E15324" s="2" t="s">
        <v>47481</v>
      </c>
      <c r="F15324" s="2" t="s">
        <v>3037</v>
      </c>
      <c r="G15324" s="2" t="str">
        <f>"SR-22116"</f>
        <v>SR-22116</v>
      </c>
      <c r="H15324" s="2" t="s">
        <v>58712</v>
      </c>
      <c r="I15324" s="2" t="s">
        <v>53818</v>
      </c>
      <c r="K15324" s="2" t="s">
        <v>53819</v>
      </c>
      <c r="L15324" s="2" t="s">
        <v>840</v>
      </c>
      <c r="M15324" s="2">
        <v>73010.0</v>
      </c>
      <c r="N15324" s="2" t="s">
        <v>21</v>
      </c>
    </row>
    <row r="15325" ht="15.75" customHeight="1">
      <c r="A15325" s="2">
        <v>2021.0</v>
      </c>
      <c r="B15325" s="2" t="s">
        <v>58713</v>
      </c>
      <c r="C15325" s="2" t="s">
        <v>58714</v>
      </c>
      <c r="D15325" s="2" t="str">
        <f>"253-281-3674"</f>
        <v>253-281-3674</v>
      </c>
      <c r="E15325" s="2" t="s">
        <v>58715</v>
      </c>
      <c r="F15325" s="2" t="s">
        <v>6824</v>
      </c>
      <c r="G15325" s="2" t="str">
        <f>"SR-21994"</f>
        <v>SR-21994</v>
      </c>
      <c r="H15325" s="2" t="s">
        <v>58716</v>
      </c>
      <c r="I15325" s="2" t="s">
        <v>58717</v>
      </c>
      <c r="K15325" s="2" t="s">
        <v>22513</v>
      </c>
      <c r="L15325" s="2" t="s">
        <v>86</v>
      </c>
      <c r="M15325" s="2">
        <v>98498.0</v>
      </c>
      <c r="N15325" s="2" t="s">
        <v>21</v>
      </c>
    </row>
    <row r="15326" ht="15.75" customHeight="1">
      <c r="A15326" s="2">
        <v>2021.0</v>
      </c>
      <c r="B15326" s="2" t="s">
        <v>58718</v>
      </c>
      <c r="C15326" s="2" t="s">
        <v>58718</v>
      </c>
      <c r="D15326" s="2" t="str">
        <f>"3035982176"</f>
        <v>3035982176</v>
      </c>
      <c r="E15326" s="2" t="s">
        <v>7996</v>
      </c>
      <c r="F15326" s="2" t="s">
        <v>256</v>
      </c>
      <c r="G15326" s="2" t="str">
        <f>"SR-22124"</f>
        <v>SR-22124</v>
      </c>
      <c r="H15326" s="2" t="s">
        <v>58719</v>
      </c>
      <c r="I15326" s="2" t="s">
        <v>58720</v>
      </c>
      <c r="K15326" s="2" t="s">
        <v>1889</v>
      </c>
      <c r="L15326" s="2" t="s">
        <v>157</v>
      </c>
      <c r="M15326" s="2">
        <v>80127.0</v>
      </c>
      <c r="N15326" s="2" t="s">
        <v>21</v>
      </c>
    </row>
    <row r="15327" ht="15.75" customHeight="1">
      <c r="A15327" s="2">
        <v>2021.0</v>
      </c>
      <c r="B15327" s="2" t="s">
        <v>52661</v>
      </c>
      <c r="C15327" s="2" t="s">
        <v>52661</v>
      </c>
      <c r="D15327" s="2" t="str">
        <f>"9319815737"</f>
        <v>9319815737</v>
      </c>
      <c r="E15327" s="2" t="s">
        <v>12166</v>
      </c>
      <c r="F15327" s="2" t="s">
        <v>24787</v>
      </c>
      <c r="G15327" s="2" t="str">
        <f>"SR-18746"</f>
        <v>SR-18746</v>
      </c>
      <c r="H15327" s="2" t="s">
        <v>52662</v>
      </c>
      <c r="I15327" s="2" t="s">
        <v>52663</v>
      </c>
      <c r="K15327" s="2" t="s">
        <v>24415</v>
      </c>
      <c r="L15327" s="2" t="s">
        <v>279</v>
      </c>
      <c r="M15327" s="2">
        <v>38451.0</v>
      </c>
      <c r="N15327" s="2" t="s">
        <v>21</v>
      </c>
    </row>
    <row r="15328" ht="15.75" customHeight="1">
      <c r="A15328" s="2">
        <v>2021.0</v>
      </c>
      <c r="B15328" s="2" t="s">
        <v>54336</v>
      </c>
      <c r="C15328" s="2" t="s">
        <v>54336</v>
      </c>
      <c r="D15328" s="2" t="str">
        <f>"503-358-7242"</f>
        <v>503-358-7242</v>
      </c>
      <c r="E15328" s="2" t="s">
        <v>792</v>
      </c>
      <c r="F15328" s="2" t="s">
        <v>275</v>
      </c>
      <c r="G15328" s="2" t="str">
        <f>"SR-19705"</f>
        <v>SR-19705</v>
      </c>
      <c r="H15328" s="2" t="s">
        <v>54337</v>
      </c>
      <c r="I15328" s="2" t="s">
        <v>54338</v>
      </c>
      <c r="K15328" s="2" t="s">
        <v>22576</v>
      </c>
      <c r="L15328" s="2" t="s">
        <v>2389</v>
      </c>
      <c r="M15328" s="2">
        <v>97070.0</v>
      </c>
      <c r="N15328" s="2" t="s">
        <v>21</v>
      </c>
    </row>
    <row r="15329" ht="15.75" customHeight="1">
      <c r="A15329" s="2">
        <v>2021.0</v>
      </c>
      <c r="B15329" s="2" t="s">
        <v>58721</v>
      </c>
      <c r="C15329" s="2" t="s">
        <v>58721</v>
      </c>
      <c r="D15329" s="2" t="str">
        <f>"2242029273"</f>
        <v>2242029273</v>
      </c>
      <c r="E15329" s="2" t="s">
        <v>58722</v>
      </c>
      <c r="F15329" s="2" t="s">
        <v>3283</v>
      </c>
      <c r="G15329" s="2" t="str">
        <f>"SR-22126"</f>
        <v>SR-22126</v>
      </c>
      <c r="H15329" s="2" t="s">
        <v>58723</v>
      </c>
      <c r="I15329" s="2" t="s">
        <v>58724</v>
      </c>
      <c r="K15329" s="2" t="s">
        <v>10088</v>
      </c>
      <c r="L15329" s="2" t="s">
        <v>105</v>
      </c>
      <c r="M15329" s="2">
        <v>60034.0</v>
      </c>
      <c r="N15329" s="2" t="s">
        <v>21</v>
      </c>
    </row>
    <row r="15330" ht="15.75" customHeight="1">
      <c r="A15330" s="2">
        <v>2021.0</v>
      </c>
      <c r="B15330" s="2" t="s">
        <v>58725</v>
      </c>
      <c r="C15330" s="2" t="s">
        <v>58725</v>
      </c>
      <c r="D15330" s="2" t="str">
        <f>"480-255-3355"</f>
        <v>480-255-3355</v>
      </c>
      <c r="E15330" s="2" t="s">
        <v>217</v>
      </c>
      <c r="F15330" s="2" t="s">
        <v>58726</v>
      </c>
      <c r="G15330" s="2" t="str">
        <f>"SR-22046"</f>
        <v>SR-22046</v>
      </c>
      <c r="H15330" s="2" t="s">
        <v>58727</v>
      </c>
      <c r="I15330" s="2" t="s">
        <v>58728</v>
      </c>
      <c r="K15330" s="2" t="s">
        <v>5531</v>
      </c>
      <c r="L15330" s="2" t="s">
        <v>422</v>
      </c>
      <c r="M15330" s="2">
        <v>85213.0</v>
      </c>
      <c r="N15330" s="2" t="s">
        <v>21</v>
      </c>
    </row>
    <row r="15331" ht="15.75" customHeight="1">
      <c r="A15331" s="2">
        <v>2021.0</v>
      </c>
      <c r="B15331" s="2" t="s">
        <v>52382</v>
      </c>
      <c r="C15331" s="2" t="s">
        <v>58729</v>
      </c>
      <c r="D15331" s="2" t="str">
        <f>"9564664584"</f>
        <v>9564664584</v>
      </c>
      <c r="E15331" s="2" t="s">
        <v>1288</v>
      </c>
      <c r="F15331" s="2" t="s">
        <v>52383</v>
      </c>
      <c r="G15331" s="2" t="str">
        <f>"SR-22127"</f>
        <v>SR-22127</v>
      </c>
      <c r="H15331" s="2" t="s">
        <v>58730</v>
      </c>
      <c r="I15331" s="2" t="s">
        <v>52385</v>
      </c>
      <c r="K15331" s="2" t="s">
        <v>46506</v>
      </c>
      <c r="L15331" s="2" t="s">
        <v>172</v>
      </c>
      <c r="M15331" s="2">
        <v>78520.0</v>
      </c>
      <c r="N15331" s="2" t="s">
        <v>21</v>
      </c>
    </row>
    <row r="15332" ht="15.75" customHeight="1">
      <c r="A15332" s="2">
        <v>2021.0</v>
      </c>
      <c r="B15332" s="2" t="s">
        <v>52365</v>
      </c>
      <c r="C15332" s="2" t="s">
        <v>52365</v>
      </c>
      <c r="D15332" s="2" t="str">
        <f>"8638012891"</f>
        <v>8638012891</v>
      </c>
      <c r="E15332" s="2" t="s">
        <v>10350</v>
      </c>
      <c r="F15332" s="2" t="s">
        <v>16714</v>
      </c>
      <c r="G15332" s="2" t="str">
        <f>"SR-18722"</f>
        <v>SR-18722</v>
      </c>
      <c r="H15332" s="2" t="s">
        <v>52366</v>
      </c>
      <c r="I15332" s="2">
        <v>506.0</v>
      </c>
      <c r="K15332" s="2" t="s">
        <v>16717</v>
      </c>
      <c r="L15332" s="2" t="s">
        <v>208</v>
      </c>
      <c r="M15332" s="2">
        <v>34974.0</v>
      </c>
      <c r="N15332" s="2" t="s">
        <v>21</v>
      </c>
    </row>
    <row r="15333" ht="15.75" customHeight="1">
      <c r="A15333" s="2">
        <v>2021.0</v>
      </c>
      <c r="B15333" s="2" t="s">
        <v>58731</v>
      </c>
      <c r="C15333" s="2" t="s">
        <v>58732</v>
      </c>
      <c r="D15333" s="2" t="str">
        <f>"9122458227"</f>
        <v>9122458227</v>
      </c>
      <c r="E15333" s="2" t="s">
        <v>58733</v>
      </c>
      <c r="F15333" s="2" t="s">
        <v>645</v>
      </c>
      <c r="G15333" s="2" t="str">
        <f>"SR-22130"</f>
        <v>SR-22130</v>
      </c>
      <c r="H15333" s="2" t="s">
        <v>58734</v>
      </c>
      <c r="I15333" s="2" t="s">
        <v>58735</v>
      </c>
      <c r="K15333" s="2" t="s">
        <v>6817</v>
      </c>
      <c r="L15333" s="2" t="s">
        <v>200</v>
      </c>
      <c r="M15333" s="2">
        <v>30474.0</v>
      </c>
      <c r="N15333" s="2" t="s">
        <v>21</v>
      </c>
    </row>
    <row r="15334" ht="15.75" customHeight="1">
      <c r="A15334" s="2">
        <v>2021.0</v>
      </c>
      <c r="B15334" s="2" t="s">
        <v>29557</v>
      </c>
      <c r="C15334" s="2" t="s">
        <v>53610</v>
      </c>
      <c r="D15334" s="2" t="str">
        <f>"669-204-8903"</f>
        <v>669-204-8903</v>
      </c>
      <c r="E15334" s="2" t="s">
        <v>7145</v>
      </c>
      <c r="F15334" s="2" t="s">
        <v>29559</v>
      </c>
      <c r="G15334" s="2" t="str">
        <f>"SR-19304"</f>
        <v>SR-19304</v>
      </c>
      <c r="H15334" s="2" t="s">
        <v>53611</v>
      </c>
      <c r="I15334" s="2" t="s">
        <v>53612</v>
      </c>
      <c r="K15334" s="2" t="s">
        <v>5826</v>
      </c>
      <c r="L15334" s="2" t="s">
        <v>222</v>
      </c>
      <c r="M15334" s="2">
        <v>95129.0</v>
      </c>
      <c r="N15334" s="2" t="s">
        <v>21</v>
      </c>
    </row>
    <row r="15335" ht="15.75" customHeight="1">
      <c r="A15335" s="2">
        <v>2021.0</v>
      </c>
      <c r="B15335" s="2" t="s">
        <v>58736</v>
      </c>
      <c r="C15335" s="2" t="s">
        <v>58737</v>
      </c>
      <c r="D15335" s="2" t="str">
        <f>"3177712321"</f>
        <v>3177712321</v>
      </c>
      <c r="E15335" s="2" t="s">
        <v>144</v>
      </c>
      <c r="F15335" s="2" t="s">
        <v>58738</v>
      </c>
      <c r="G15335" s="2" t="str">
        <f>"SR-22096"</f>
        <v>SR-22096</v>
      </c>
      <c r="H15335" s="2" t="s">
        <v>58739</v>
      </c>
      <c r="I15335" s="2" t="s">
        <v>58740</v>
      </c>
      <c r="K15335" s="2" t="s">
        <v>408</v>
      </c>
      <c r="L15335" s="2" t="s">
        <v>149</v>
      </c>
      <c r="M15335" s="2">
        <v>46077.0</v>
      </c>
      <c r="N15335" s="2" t="s">
        <v>21</v>
      </c>
    </row>
    <row r="15336" ht="15.75" customHeight="1">
      <c r="A15336" s="2">
        <v>2021.0</v>
      </c>
      <c r="B15336" s="2" t="s">
        <v>58736</v>
      </c>
      <c r="C15336" s="2" t="s">
        <v>58741</v>
      </c>
      <c r="D15336" s="2" t="str">
        <f>"317-437-0468"</f>
        <v>317-437-0468</v>
      </c>
      <c r="E15336" s="2" t="s">
        <v>3460</v>
      </c>
      <c r="F15336" s="2" t="s">
        <v>1209</v>
      </c>
      <c r="G15336" s="2" t="str">
        <f>"SR-22097"</f>
        <v>SR-22097</v>
      </c>
      <c r="H15336" s="2" t="s">
        <v>58742</v>
      </c>
      <c r="I15336" s="2" t="s">
        <v>58743</v>
      </c>
      <c r="K15336" s="2" t="s">
        <v>408</v>
      </c>
      <c r="L15336" s="2" t="s">
        <v>149</v>
      </c>
      <c r="M15336" s="2">
        <v>46077.0</v>
      </c>
      <c r="N15336" s="2" t="s">
        <v>21</v>
      </c>
    </row>
    <row r="15337" ht="15.75" customHeight="1">
      <c r="A15337" s="2">
        <v>2021.0</v>
      </c>
      <c r="B15337" s="2" t="s">
        <v>52913</v>
      </c>
      <c r="C15337" s="2" t="s">
        <v>52914</v>
      </c>
      <c r="D15337" s="2" t="str">
        <f>"3019048080"</f>
        <v>3019048080</v>
      </c>
      <c r="E15337" s="2" t="s">
        <v>1032</v>
      </c>
      <c r="F15337" s="2" t="s">
        <v>1151</v>
      </c>
      <c r="G15337" s="2" t="str">
        <f>"SR-18895"</f>
        <v>SR-18895</v>
      </c>
      <c r="H15337" s="2" t="s">
        <v>52915</v>
      </c>
      <c r="I15337" s="2" t="s">
        <v>52916</v>
      </c>
      <c r="K15337" s="2" t="s">
        <v>7313</v>
      </c>
      <c r="L15337" s="2" t="s">
        <v>1868</v>
      </c>
      <c r="M15337" s="2">
        <v>20636.0</v>
      </c>
      <c r="N15337" s="2" t="s">
        <v>21</v>
      </c>
    </row>
    <row r="15338" ht="15.75" customHeight="1">
      <c r="A15338" s="2">
        <v>2021.0</v>
      </c>
      <c r="B15338" s="2" t="s">
        <v>49841</v>
      </c>
      <c r="C15338" s="2" t="s">
        <v>49842</v>
      </c>
      <c r="D15338" s="2" t="str">
        <f>"5672424422"</f>
        <v>5672424422</v>
      </c>
      <c r="E15338" s="2" t="s">
        <v>485</v>
      </c>
      <c r="F15338" s="2" t="s">
        <v>7724</v>
      </c>
      <c r="G15338" s="2" t="str">
        <f>"SR-17805"</f>
        <v>SR-17805</v>
      </c>
      <c r="H15338" s="2" t="s">
        <v>44766</v>
      </c>
      <c r="I15338" s="2" t="s">
        <v>49843</v>
      </c>
      <c r="K15338" s="2" t="s">
        <v>12179</v>
      </c>
      <c r="L15338" s="2" t="s">
        <v>344</v>
      </c>
      <c r="M15338" s="2">
        <v>45805.0</v>
      </c>
      <c r="N15338" s="2" t="s">
        <v>21</v>
      </c>
    </row>
    <row r="15339" ht="15.75" customHeight="1">
      <c r="A15339" s="2">
        <v>2021.0</v>
      </c>
      <c r="B15339" s="2" t="s">
        <v>52617</v>
      </c>
      <c r="C15339" s="2" t="s">
        <v>53177</v>
      </c>
      <c r="D15339" s="2" t="str">
        <f>"757-708-3043"</f>
        <v>757-708-3043</v>
      </c>
      <c r="E15339" s="2" t="s">
        <v>718</v>
      </c>
      <c r="F15339" s="2" t="s">
        <v>962</v>
      </c>
      <c r="G15339" s="2" t="str">
        <f>"SR-18988"</f>
        <v>SR-18988</v>
      </c>
      <c r="H15339" s="2" t="s">
        <v>53178</v>
      </c>
      <c r="I15339" s="2" t="s">
        <v>52621</v>
      </c>
      <c r="K15339" s="2" t="s">
        <v>6988</v>
      </c>
      <c r="L15339" s="2" t="s">
        <v>165</v>
      </c>
      <c r="M15339" s="2">
        <v>23456.0</v>
      </c>
      <c r="N15339" s="2" t="s">
        <v>21</v>
      </c>
    </row>
    <row r="15340" ht="15.75" customHeight="1">
      <c r="A15340" s="2">
        <v>2021.0</v>
      </c>
      <c r="B15340" s="2" t="s">
        <v>58744</v>
      </c>
      <c r="C15340" s="2" t="s">
        <v>58744</v>
      </c>
      <c r="D15340" s="2" t="str">
        <f>"276-693-3855"</f>
        <v>276-693-3855</v>
      </c>
      <c r="E15340" s="2" t="s">
        <v>13107</v>
      </c>
      <c r="F15340" s="2" t="s">
        <v>38045</v>
      </c>
      <c r="G15340" s="2" t="str">
        <f>"SR-22132"</f>
        <v>SR-22132</v>
      </c>
      <c r="H15340" s="2" t="s">
        <v>58745</v>
      </c>
      <c r="I15340" s="2" t="s">
        <v>58746</v>
      </c>
      <c r="K15340" s="2" t="s">
        <v>504</v>
      </c>
      <c r="L15340" s="2" t="s">
        <v>165</v>
      </c>
      <c r="M15340" s="2">
        <v>24171.0</v>
      </c>
      <c r="N15340" s="2" t="s">
        <v>21</v>
      </c>
    </row>
    <row r="15341" ht="15.75" customHeight="1">
      <c r="A15341" s="2">
        <v>2021.0</v>
      </c>
      <c r="B15341" s="2" t="s">
        <v>58747</v>
      </c>
      <c r="C15341" s="2" t="s">
        <v>58747</v>
      </c>
      <c r="D15341" s="2" t="str">
        <f>"7194943080"</f>
        <v>7194943080</v>
      </c>
      <c r="E15341" s="2" t="s">
        <v>453</v>
      </c>
      <c r="F15341" s="2" t="s">
        <v>3320</v>
      </c>
      <c r="G15341" s="2" t="str">
        <f>"SR-22144"</f>
        <v>SR-22144</v>
      </c>
      <c r="H15341" s="2" t="s">
        <v>56970</v>
      </c>
      <c r="I15341" s="2" t="s">
        <v>58748</v>
      </c>
      <c r="K15341" s="2" t="s">
        <v>507</v>
      </c>
      <c r="L15341" s="2" t="s">
        <v>157</v>
      </c>
      <c r="M15341" s="2">
        <v>80132.0</v>
      </c>
      <c r="N15341" s="2" t="s">
        <v>21</v>
      </c>
    </row>
    <row r="15342" ht="15.75" customHeight="1">
      <c r="A15342" s="2">
        <v>2021.0</v>
      </c>
      <c r="B15342" s="2" t="s">
        <v>58749</v>
      </c>
      <c r="C15342" s="2" t="s">
        <v>58750</v>
      </c>
      <c r="D15342" s="2" t="str">
        <f>"6782580598"</f>
        <v>6782580598</v>
      </c>
      <c r="E15342" s="2" t="s">
        <v>705</v>
      </c>
      <c r="F15342" s="2" t="s">
        <v>58751</v>
      </c>
      <c r="G15342" s="2" t="str">
        <f>"SR-22119"</f>
        <v>SR-22119</v>
      </c>
      <c r="H15342" s="2" t="s">
        <v>58752</v>
      </c>
      <c r="I15342" s="2" t="s">
        <v>58753</v>
      </c>
      <c r="K15342" s="2" t="s">
        <v>17339</v>
      </c>
      <c r="L15342" s="2" t="s">
        <v>200</v>
      </c>
      <c r="M15342" s="2">
        <v>30179.0</v>
      </c>
      <c r="N15342" s="2" t="s">
        <v>21</v>
      </c>
    </row>
    <row r="15343" ht="15.75" customHeight="1">
      <c r="A15343" s="2">
        <v>2021.0</v>
      </c>
      <c r="B15343" s="2" t="s">
        <v>58754</v>
      </c>
      <c r="C15343" s="2" t="s">
        <v>58755</v>
      </c>
      <c r="D15343" s="2" t="str">
        <f>"6782585525"</f>
        <v>6782585525</v>
      </c>
      <c r="E15343" s="2" t="s">
        <v>2355</v>
      </c>
      <c r="F15343" s="2" t="s">
        <v>58751</v>
      </c>
      <c r="G15343" s="2" t="str">
        <f>"SR-22118"</f>
        <v>SR-22118</v>
      </c>
      <c r="H15343" s="2" t="s">
        <v>58756</v>
      </c>
      <c r="I15343" s="2" t="s">
        <v>58757</v>
      </c>
      <c r="K15343" s="2" t="s">
        <v>17339</v>
      </c>
      <c r="L15343" s="2" t="s">
        <v>200</v>
      </c>
      <c r="M15343" s="2">
        <v>30179.0</v>
      </c>
      <c r="N15343" s="2" t="s">
        <v>21</v>
      </c>
    </row>
    <row r="15344" ht="15.75" customHeight="1">
      <c r="A15344" s="2">
        <v>2021.0</v>
      </c>
      <c r="B15344" s="2" t="s">
        <v>58758</v>
      </c>
      <c r="C15344" s="2" t="s">
        <v>58759</v>
      </c>
      <c r="D15344" s="2" t="str">
        <f>"3042505894"</f>
        <v>3042505894</v>
      </c>
      <c r="E15344" s="2" t="s">
        <v>160</v>
      </c>
      <c r="F15344" s="2" t="s">
        <v>16749</v>
      </c>
      <c r="G15344" s="2" t="str">
        <f>"SR-22111"</f>
        <v>SR-22111</v>
      </c>
      <c r="H15344" s="2" t="s">
        <v>58760</v>
      </c>
      <c r="I15344" s="2" t="s">
        <v>58761</v>
      </c>
      <c r="K15344" s="2" t="s">
        <v>45841</v>
      </c>
      <c r="L15344" s="2" t="s">
        <v>6449</v>
      </c>
      <c r="M15344" s="2">
        <v>25801.0</v>
      </c>
      <c r="N15344" s="2" t="s">
        <v>21</v>
      </c>
    </row>
    <row r="15345" ht="15.75" customHeight="1">
      <c r="A15345" s="2">
        <v>2021.0</v>
      </c>
      <c r="B15345" s="2" t="s">
        <v>58762</v>
      </c>
      <c r="C15345" s="2" t="s">
        <v>52982</v>
      </c>
      <c r="D15345" s="2" t="str">
        <f>"4235981843"</f>
        <v>4235981843</v>
      </c>
      <c r="E15345" s="2" t="s">
        <v>15415</v>
      </c>
      <c r="F15345" s="2" t="s">
        <v>12373</v>
      </c>
      <c r="G15345" s="2" t="str">
        <f>"SR-22150"</f>
        <v>SR-22150</v>
      </c>
      <c r="H15345" s="2" t="s">
        <v>52983</v>
      </c>
      <c r="I15345" s="2" t="s">
        <v>58763</v>
      </c>
      <c r="K15345" s="2" t="s">
        <v>58764</v>
      </c>
      <c r="L15345" s="2" t="s">
        <v>279</v>
      </c>
      <c r="M15345" s="2">
        <v>37403.0</v>
      </c>
      <c r="N15345" s="2" t="s">
        <v>21</v>
      </c>
    </row>
    <row r="15346" ht="15.75" customHeight="1">
      <c r="A15346" s="2">
        <v>2021.0</v>
      </c>
      <c r="B15346" s="2" t="s">
        <v>12104</v>
      </c>
      <c r="D15346" s="2" t="str">
        <f>"803-215-7456"</f>
        <v>803-215-7456</v>
      </c>
      <c r="E15346" s="2" t="s">
        <v>93</v>
      </c>
      <c r="F15346" s="2" t="s">
        <v>12105</v>
      </c>
      <c r="G15346" s="2" t="str">
        <f>"SR-18460"</f>
        <v>SR-18460</v>
      </c>
      <c r="H15346" s="2" t="s">
        <v>52835</v>
      </c>
      <c r="I15346" s="2" t="s">
        <v>52836</v>
      </c>
      <c r="K15346" s="2" t="s">
        <v>13414</v>
      </c>
      <c r="L15346" s="2" t="s">
        <v>200</v>
      </c>
      <c r="M15346" s="2">
        <v>30082.0</v>
      </c>
      <c r="N15346" s="2" t="s">
        <v>21</v>
      </c>
    </row>
    <row r="15347" ht="15.75" customHeight="1">
      <c r="A15347" s="2">
        <v>2021.0</v>
      </c>
      <c r="B15347" s="2" t="s">
        <v>58765</v>
      </c>
      <c r="C15347" s="2" t="s">
        <v>58766</v>
      </c>
      <c r="D15347" s="2" t="str">
        <f>"720-397-8122"</f>
        <v>720-397-8122</v>
      </c>
      <c r="E15347" s="2" t="s">
        <v>17011</v>
      </c>
      <c r="F15347" s="2" t="s">
        <v>3052</v>
      </c>
      <c r="G15347" s="2" t="str">
        <f>"SR-22067"</f>
        <v>SR-22067</v>
      </c>
      <c r="H15347" s="2" t="s">
        <v>58767</v>
      </c>
      <c r="I15347" s="2" t="s">
        <v>58768</v>
      </c>
      <c r="K15347" s="2" t="s">
        <v>6514</v>
      </c>
      <c r="L15347" s="2" t="s">
        <v>157</v>
      </c>
      <c r="M15347" s="2">
        <v>80226.0</v>
      </c>
      <c r="N15347" s="2" t="s">
        <v>21</v>
      </c>
    </row>
    <row r="15348" ht="15.75" customHeight="1">
      <c r="A15348" s="2">
        <v>2021.0</v>
      </c>
      <c r="B15348" s="2" t="s">
        <v>31242</v>
      </c>
      <c r="C15348" s="2" t="s">
        <v>58769</v>
      </c>
      <c r="D15348" s="2" t="str">
        <f>"6616452708"</f>
        <v>6616452708</v>
      </c>
      <c r="E15348" s="2" t="s">
        <v>4865</v>
      </c>
      <c r="F15348" s="2" t="s">
        <v>58770</v>
      </c>
      <c r="G15348" s="2" t="str">
        <f>"SR-22152"</f>
        <v>SR-22152</v>
      </c>
      <c r="H15348" s="2" t="s">
        <v>58771</v>
      </c>
      <c r="I15348" s="2" t="s">
        <v>58772</v>
      </c>
      <c r="K15348" s="2" t="s">
        <v>58773</v>
      </c>
      <c r="L15348" s="2" t="s">
        <v>222</v>
      </c>
      <c r="M15348" s="2">
        <v>91384.0</v>
      </c>
      <c r="N15348" s="2" t="s">
        <v>21</v>
      </c>
    </row>
    <row r="15349" ht="15.75" customHeight="1">
      <c r="A15349" s="2">
        <v>2021.0</v>
      </c>
      <c r="B15349" s="2" t="s">
        <v>58774</v>
      </c>
      <c r="C15349" s="2" t="s">
        <v>58775</v>
      </c>
      <c r="D15349" s="2" t="str">
        <f>"312-860-4414"</f>
        <v>312-860-4414</v>
      </c>
      <c r="E15349" s="2" t="s">
        <v>824</v>
      </c>
      <c r="F15349" s="2" t="s">
        <v>58776</v>
      </c>
      <c r="G15349" s="2" t="str">
        <f>"SR-21461"</f>
        <v>SR-21461</v>
      </c>
      <c r="H15349" s="2" t="s">
        <v>58777</v>
      </c>
      <c r="I15349" s="2" t="s">
        <v>58778</v>
      </c>
      <c r="K15349" s="2" t="s">
        <v>58779</v>
      </c>
      <c r="L15349" s="2" t="s">
        <v>105</v>
      </c>
      <c r="M15349" s="2">
        <v>60176.0</v>
      </c>
      <c r="N15349" s="2" t="s">
        <v>21</v>
      </c>
    </row>
    <row r="15350" ht="15.75" customHeight="1">
      <c r="A15350" s="2">
        <v>2021.0</v>
      </c>
      <c r="B15350" s="2" t="s">
        <v>35106</v>
      </c>
      <c r="C15350" s="2" t="s">
        <v>52256</v>
      </c>
      <c r="D15350" s="2" t="str">
        <f>"719-999-5082"</f>
        <v>719-999-5082</v>
      </c>
      <c r="E15350" s="2" t="s">
        <v>217</v>
      </c>
      <c r="F15350" s="2" t="s">
        <v>35108</v>
      </c>
      <c r="G15350" s="2" t="str">
        <f>"SR-18673"</f>
        <v>SR-18673</v>
      </c>
      <c r="H15350" s="2" t="s">
        <v>52257</v>
      </c>
      <c r="I15350" s="2" t="s">
        <v>35110</v>
      </c>
      <c r="K15350" s="2" t="s">
        <v>507</v>
      </c>
      <c r="L15350" s="2" t="s">
        <v>157</v>
      </c>
      <c r="M15350" s="2">
        <v>80132.0</v>
      </c>
      <c r="N15350" s="2" t="s">
        <v>21</v>
      </c>
    </row>
    <row r="15351" ht="15.75" customHeight="1">
      <c r="A15351" s="2">
        <v>2021.0</v>
      </c>
      <c r="B15351" s="2" t="s">
        <v>58780</v>
      </c>
      <c r="C15351" s="2" t="s">
        <v>58781</v>
      </c>
      <c r="D15351" s="2" t="str">
        <f>"3463475605"</f>
        <v>3463475605</v>
      </c>
      <c r="E15351" s="2" t="s">
        <v>938</v>
      </c>
      <c r="F15351" s="2" t="s">
        <v>2174</v>
      </c>
      <c r="G15351" s="2" t="str">
        <f>"SR-22160"</f>
        <v>SR-22160</v>
      </c>
      <c r="H15351" s="2" t="s">
        <v>58782</v>
      </c>
      <c r="I15351" s="2" t="s">
        <v>58783</v>
      </c>
      <c r="K15351" s="2" t="s">
        <v>1889</v>
      </c>
      <c r="L15351" s="2" t="s">
        <v>157</v>
      </c>
      <c r="M15351" s="2">
        <v>80128.0</v>
      </c>
      <c r="N15351" s="2" t="s">
        <v>21</v>
      </c>
    </row>
    <row r="15352" ht="15.75" customHeight="1">
      <c r="A15352" s="2">
        <v>2021.0</v>
      </c>
      <c r="B15352" s="2" t="s">
        <v>58784</v>
      </c>
      <c r="C15352" s="2" t="s">
        <v>58785</v>
      </c>
      <c r="D15352" s="2" t="str">
        <f>"9286423844"</f>
        <v>9286423844</v>
      </c>
      <c r="E15352" s="2" t="s">
        <v>1208</v>
      </c>
      <c r="F15352" s="2" t="s">
        <v>58786</v>
      </c>
      <c r="G15352" s="2" t="str">
        <f>"SR-22025"</f>
        <v>SR-22025</v>
      </c>
      <c r="H15352" s="2" t="s">
        <v>58787</v>
      </c>
      <c r="I15352" s="2" t="s">
        <v>58788</v>
      </c>
      <c r="K15352" s="2" t="s">
        <v>58789</v>
      </c>
      <c r="L15352" s="2" t="s">
        <v>422</v>
      </c>
      <c r="M15352" s="2">
        <v>86305.0</v>
      </c>
      <c r="N15352" s="2" t="s">
        <v>21</v>
      </c>
    </row>
    <row r="15353" ht="15.75" customHeight="1">
      <c r="A15353" s="2">
        <v>2021.0</v>
      </c>
      <c r="B15353" s="2" t="s">
        <v>44363</v>
      </c>
      <c r="C15353" s="2" t="s">
        <v>58790</v>
      </c>
      <c r="D15353" s="2" t="str">
        <f>"610.504.5997"</f>
        <v>610.504.5997</v>
      </c>
      <c r="E15353" s="2" t="s">
        <v>10740</v>
      </c>
      <c r="F15353" s="2" t="s">
        <v>44365</v>
      </c>
      <c r="G15353" s="2" t="str">
        <f>"SR-22167"</f>
        <v>SR-22167</v>
      </c>
      <c r="H15353" s="2" t="s">
        <v>58791</v>
      </c>
      <c r="I15353" s="2" t="s">
        <v>58792</v>
      </c>
      <c r="K15353" s="2" t="s">
        <v>44368</v>
      </c>
      <c r="L15353" s="2" t="s">
        <v>179</v>
      </c>
      <c r="M15353" s="2">
        <v>19341.0</v>
      </c>
      <c r="N15353" s="2" t="s">
        <v>21</v>
      </c>
    </row>
    <row r="15354" ht="15.75" customHeight="1">
      <c r="A15354" s="2">
        <v>2021.0</v>
      </c>
      <c r="B15354" s="2" t="s">
        <v>58793</v>
      </c>
      <c r="C15354" s="2" t="s">
        <v>58794</v>
      </c>
      <c r="D15354" s="2" t="str">
        <f>"93979352"</f>
        <v>93979352</v>
      </c>
      <c r="E15354" s="2" t="s">
        <v>2243</v>
      </c>
      <c r="F15354" s="2" t="s">
        <v>4519</v>
      </c>
      <c r="G15354" s="2" t="str">
        <f>"SR-19544"</f>
        <v>SR-19544</v>
      </c>
      <c r="H15354" s="2" t="s">
        <v>58795</v>
      </c>
      <c r="I15354" s="2" t="s">
        <v>58796</v>
      </c>
      <c r="K15354" s="2" t="s">
        <v>8433</v>
      </c>
      <c r="N15354" s="2" t="s">
        <v>8433</v>
      </c>
    </row>
    <row r="15355" ht="15.75" customHeight="1">
      <c r="A15355" s="2">
        <v>2021.0</v>
      </c>
      <c r="B15355" s="2" t="s">
        <v>58797</v>
      </c>
      <c r="C15355" s="2" t="s">
        <v>58798</v>
      </c>
      <c r="D15355" s="2" t="str">
        <f>"980-328-0244"</f>
        <v>980-328-0244</v>
      </c>
      <c r="E15355" s="2" t="s">
        <v>261</v>
      </c>
      <c r="F15355" s="2" t="s">
        <v>19453</v>
      </c>
      <c r="G15355" s="2" t="str">
        <f>"SR-22176"</f>
        <v>SR-22176</v>
      </c>
      <c r="H15355" s="2" t="s">
        <v>58799</v>
      </c>
      <c r="I15355" s="2" t="s">
        <v>58800</v>
      </c>
      <c r="K15355" s="2" t="s">
        <v>4304</v>
      </c>
      <c r="L15355" s="2" t="s">
        <v>20</v>
      </c>
      <c r="M15355" s="2">
        <v>28173.0</v>
      </c>
      <c r="N15355" s="2" t="s">
        <v>21</v>
      </c>
    </row>
    <row r="15356" ht="15.75" customHeight="1">
      <c r="A15356" s="2">
        <v>2021.0</v>
      </c>
      <c r="B15356" s="2" t="s">
        <v>45930</v>
      </c>
      <c r="C15356" s="2" t="s">
        <v>45951</v>
      </c>
      <c r="D15356" s="2" t="str">
        <f>"308-730-7144"</f>
        <v>308-730-7144</v>
      </c>
      <c r="E15356" s="2" t="s">
        <v>666</v>
      </c>
      <c r="F15356" s="2" t="s">
        <v>4154</v>
      </c>
      <c r="G15356" s="2" t="str">
        <f>"SR-16118"</f>
        <v>SR-16118</v>
      </c>
      <c r="H15356" s="2" t="s">
        <v>45952</v>
      </c>
      <c r="I15356" s="2" t="s">
        <v>45933</v>
      </c>
      <c r="K15356" s="2" t="s">
        <v>23851</v>
      </c>
      <c r="L15356" s="2" t="s">
        <v>757</v>
      </c>
      <c r="M15356" s="2">
        <v>68862.0</v>
      </c>
      <c r="N15356" s="2" t="s">
        <v>21</v>
      </c>
    </row>
    <row r="15357" ht="15.75" customHeight="1">
      <c r="A15357" s="2">
        <v>2021.0</v>
      </c>
      <c r="B15357" s="2" t="s">
        <v>24331</v>
      </c>
      <c r="C15357" s="2" t="s">
        <v>58801</v>
      </c>
      <c r="D15357" s="2" t="str">
        <f>"9073907191"</f>
        <v>9073907191</v>
      </c>
      <c r="E15357" s="2" t="s">
        <v>58802</v>
      </c>
      <c r="F15357" s="2" t="s">
        <v>2429</v>
      </c>
      <c r="G15357" s="2" t="str">
        <f>"SR-21922"</f>
        <v>SR-21922</v>
      </c>
      <c r="H15357" s="2" t="s">
        <v>58803</v>
      </c>
      <c r="I15357" s="2" t="s">
        <v>58804</v>
      </c>
      <c r="K15357" s="2" t="s">
        <v>1729</v>
      </c>
      <c r="L15357" s="2" t="s">
        <v>70</v>
      </c>
      <c r="M15357" s="2">
        <v>99577.0</v>
      </c>
      <c r="N15357" s="2" t="s">
        <v>21</v>
      </c>
    </row>
    <row r="15358" ht="15.75" customHeight="1">
      <c r="A15358" s="2">
        <v>2021.0</v>
      </c>
      <c r="B15358" s="2" t="s">
        <v>58805</v>
      </c>
      <c r="C15358" s="2" t="s">
        <v>58805</v>
      </c>
      <c r="D15358" s="2" t="str">
        <f>"308-730-2264"</f>
        <v>308-730-2264</v>
      </c>
      <c r="E15358" s="2" t="s">
        <v>58806</v>
      </c>
      <c r="F15358" s="2" t="s">
        <v>58807</v>
      </c>
      <c r="G15358" s="2" t="str">
        <f>"SR-22125"</f>
        <v>SR-22125</v>
      </c>
      <c r="H15358" s="2" t="s">
        <v>58808</v>
      </c>
      <c r="I15358" s="2" t="s">
        <v>58809</v>
      </c>
      <c r="J15358" s="2" t="s">
        <v>58809</v>
      </c>
      <c r="K15358" s="2" t="s">
        <v>23851</v>
      </c>
      <c r="L15358" s="2" t="s">
        <v>757</v>
      </c>
      <c r="M15358" s="2">
        <v>68862.0</v>
      </c>
      <c r="N15358" s="2" t="s">
        <v>21</v>
      </c>
    </row>
    <row r="15359" ht="15.75" customHeight="1">
      <c r="A15359" s="2">
        <v>2021.0</v>
      </c>
      <c r="B15359" s="2" t="s">
        <v>58810</v>
      </c>
      <c r="C15359" s="2" t="s">
        <v>58811</v>
      </c>
      <c r="D15359" s="2" t="str">
        <f>"406-750-2310"</f>
        <v>406-750-2310</v>
      </c>
      <c r="E15359" s="2" t="s">
        <v>30894</v>
      </c>
      <c r="F15359" s="2" t="s">
        <v>57217</v>
      </c>
      <c r="G15359" s="2" t="str">
        <f>"SR-22153"</f>
        <v>SR-22153</v>
      </c>
      <c r="H15359" s="2" t="s">
        <v>58812</v>
      </c>
      <c r="I15359" s="2" t="s">
        <v>58813</v>
      </c>
      <c r="K15359" s="2" t="s">
        <v>11586</v>
      </c>
      <c r="L15359" s="2" t="s">
        <v>55</v>
      </c>
      <c r="M15359" s="2">
        <v>29349.0</v>
      </c>
      <c r="N15359" s="2" t="s">
        <v>21</v>
      </c>
    </row>
    <row r="15360" ht="15.75" customHeight="1">
      <c r="A15360" s="2">
        <v>2021.0</v>
      </c>
      <c r="B15360" s="2" t="s">
        <v>58814</v>
      </c>
      <c r="C15360" s="2" t="s">
        <v>58815</v>
      </c>
      <c r="D15360" s="2" t="str">
        <f>"7194009338"</f>
        <v>7194009338</v>
      </c>
      <c r="E15360" s="2" t="s">
        <v>58816</v>
      </c>
      <c r="F15360" s="2" t="s">
        <v>19404</v>
      </c>
      <c r="G15360" s="2" t="str">
        <f>"SR-22182"</f>
        <v>SR-22182</v>
      </c>
      <c r="H15360" s="2" t="s">
        <v>58817</v>
      </c>
      <c r="I15360" s="2" t="s">
        <v>58818</v>
      </c>
      <c r="K15360" s="2" t="s">
        <v>809</v>
      </c>
      <c r="L15360" s="2" t="s">
        <v>157</v>
      </c>
      <c r="M15360" s="2">
        <v>80921.0</v>
      </c>
      <c r="N15360" s="2" t="s">
        <v>21</v>
      </c>
    </row>
    <row r="15361" ht="15.75" customHeight="1">
      <c r="A15361" s="2">
        <v>2021.0</v>
      </c>
      <c r="B15361" s="2" t="s">
        <v>58819</v>
      </c>
      <c r="C15361" s="2" t="s">
        <v>58819</v>
      </c>
      <c r="D15361" s="2" t="str">
        <f>"7726462186"</f>
        <v>7726462186</v>
      </c>
      <c r="E15361" s="2" t="s">
        <v>3555</v>
      </c>
      <c r="F15361" s="2" t="s">
        <v>55636</v>
      </c>
      <c r="G15361" s="2" t="str">
        <f>"SR-20869"</f>
        <v>SR-20869</v>
      </c>
      <c r="H15361" s="2" t="s">
        <v>58820</v>
      </c>
      <c r="I15361" s="2" t="s">
        <v>55638</v>
      </c>
      <c r="K15361" s="2" t="s">
        <v>43735</v>
      </c>
      <c r="L15361" s="2" t="s">
        <v>208</v>
      </c>
      <c r="M15361" s="2">
        <v>32958.0</v>
      </c>
      <c r="N15361" s="2" t="s">
        <v>21</v>
      </c>
    </row>
    <row r="15362" ht="15.75" customHeight="1">
      <c r="A15362" s="2">
        <v>2021.0</v>
      </c>
      <c r="B15362" s="2" t="s">
        <v>58821</v>
      </c>
      <c r="C15362" s="2" t="s">
        <v>58822</v>
      </c>
      <c r="D15362" s="2" t="str">
        <f>"8586839638"</f>
        <v>8586839638</v>
      </c>
      <c r="E15362" s="2" t="s">
        <v>7389</v>
      </c>
      <c r="F15362" s="2" t="s">
        <v>13946</v>
      </c>
      <c r="G15362" s="2" t="str">
        <f>"SR-22186"</f>
        <v>SR-22186</v>
      </c>
      <c r="H15362" s="2" t="s">
        <v>58823</v>
      </c>
      <c r="I15362" s="2" t="s">
        <v>58824</v>
      </c>
      <c r="K15362" s="2" t="s">
        <v>1054</v>
      </c>
      <c r="L15362" s="2" t="s">
        <v>157</v>
      </c>
      <c r="M15362" s="2">
        <v>80138.0</v>
      </c>
      <c r="N15362" s="2" t="s">
        <v>21</v>
      </c>
    </row>
    <row r="15363" ht="15.75" customHeight="1">
      <c r="A15363" s="2">
        <v>2021.0</v>
      </c>
      <c r="B15363" s="2" t="s">
        <v>30594</v>
      </c>
      <c r="C15363" s="2" t="s">
        <v>52864</v>
      </c>
      <c r="D15363" s="2" t="str">
        <f>"817-899-5030"</f>
        <v>817-899-5030</v>
      </c>
      <c r="E15363" s="2" t="s">
        <v>137</v>
      </c>
      <c r="F15363" s="2" t="s">
        <v>30596</v>
      </c>
      <c r="G15363" s="2" t="str">
        <f>"SR-18868"</f>
        <v>SR-18868</v>
      </c>
      <c r="H15363" s="2" t="s">
        <v>52865</v>
      </c>
      <c r="I15363" s="2" t="s">
        <v>30598</v>
      </c>
      <c r="K15363" s="2" t="s">
        <v>6245</v>
      </c>
      <c r="L15363" s="2" t="s">
        <v>172</v>
      </c>
      <c r="M15363" s="2">
        <v>76054.0</v>
      </c>
      <c r="N15363" s="2" t="s">
        <v>21</v>
      </c>
    </row>
    <row r="15364" ht="15.75" customHeight="1">
      <c r="A15364" s="2">
        <v>2021.0</v>
      </c>
      <c r="B15364" s="2" t="s">
        <v>58825</v>
      </c>
      <c r="C15364" s="2" t="s">
        <v>58826</v>
      </c>
      <c r="D15364" s="2" t="str">
        <f>"940-345-0828"</f>
        <v>940-345-0828</v>
      </c>
      <c r="E15364" s="2" t="s">
        <v>6526</v>
      </c>
      <c r="F15364" s="2" t="s">
        <v>53433</v>
      </c>
      <c r="G15364" s="2" t="str">
        <f>"SR-20703"</f>
        <v>SR-20703</v>
      </c>
      <c r="H15364" s="2" t="s">
        <v>58827</v>
      </c>
      <c r="I15364" s="2" t="s">
        <v>58828</v>
      </c>
      <c r="K15364" s="2" t="s">
        <v>58829</v>
      </c>
      <c r="L15364" s="2" t="s">
        <v>142</v>
      </c>
      <c r="M15364" s="2">
        <v>13676.0</v>
      </c>
      <c r="N15364" s="2" t="s">
        <v>21</v>
      </c>
    </row>
    <row r="15365" ht="15.75" customHeight="1">
      <c r="A15365" s="2">
        <v>2021.0</v>
      </c>
      <c r="B15365" s="2" t="s">
        <v>58830</v>
      </c>
      <c r="D15365" s="2" t="str">
        <f>""</f>
        <v/>
      </c>
      <c r="E15365" s="2" t="s">
        <v>2572</v>
      </c>
      <c r="F15365" s="2" t="s">
        <v>58831</v>
      </c>
      <c r="G15365" s="2" t="str">
        <f>"SR-20135"</f>
        <v>SR-20135</v>
      </c>
      <c r="H15365" s="2" t="s">
        <v>58832</v>
      </c>
    </row>
    <row r="15366" ht="15.75" customHeight="1">
      <c r="A15366" s="2">
        <v>2021.0</v>
      </c>
      <c r="B15366" s="2" t="s">
        <v>58833</v>
      </c>
      <c r="C15366" s="2" t="s">
        <v>58834</v>
      </c>
      <c r="D15366" s="2" t="str">
        <f>"316-358-1058"</f>
        <v>316-358-1058</v>
      </c>
      <c r="E15366" s="2" t="s">
        <v>11423</v>
      </c>
      <c r="F15366" s="2" t="s">
        <v>58835</v>
      </c>
      <c r="G15366" s="2" t="str">
        <f>"SR-17492"</f>
        <v>SR-17492</v>
      </c>
      <c r="H15366" s="2" t="s">
        <v>58836</v>
      </c>
      <c r="I15366" s="2" t="s">
        <v>58837</v>
      </c>
      <c r="K15366" s="2" t="s">
        <v>58838</v>
      </c>
      <c r="L15366" s="2" t="s">
        <v>272</v>
      </c>
      <c r="M15366" s="2">
        <v>67133.0</v>
      </c>
      <c r="N15366" s="2" t="s">
        <v>21</v>
      </c>
    </row>
    <row r="15367" ht="15.75" customHeight="1">
      <c r="A15367" s="2">
        <v>2021.0</v>
      </c>
      <c r="B15367" s="2" t="s">
        <v>58839</v>
      </c>
      <c r="C15367" s="2" t="s">
        <v>58840</v>
      </c>
      <c r="D15367" s="2" t="str">
        <f>"3072135102"</f>
        <v>3072135102</v>
      </c>
      <c r="E15367" s="2" t="s">
        <v>40412</v>
      </c>
      <c r="F15367" s="2" t="s">
        <v>58841</v>
      </c>
      <c r="G15367" s="2" t="str">
        <f>"SR-22190"</f>
        <v>SR-22190</v>
      </c>
      <c r="H15367" s="2" t="s">
        <v>58842</v>
      </c>
      <c r="I15367" s="2" t="s">
        <v>58843</v>
      </c>
      <c r="K15367" s="2" t="s">
        <v>88</v>
      </c>
      <c r="L15367" s="2" t="s">
        <v>1540</v>
      </c>
      <c r="M15367" s="2">
        <v>82414.0</v>
      </c>
      <c r="N15367" s="2" t="s">
        <v>21</v>
      </c>
    </row>
    <row r="15368" ht="15.75" customHeight="1">
      <c r="A15368" s="2">
        <v>2021.0</v>
      </c>
      <c r="B15368" s="2" t="s">
        <v>58844</v>
      </c>
      <c r="C15368" s="2" t="s">
        <v>58845</v>
      </c>
      <c r="D15368" s="2" t="str">
        <f>"8284348498"</f>
        <v>8284348498</v>
      </c>
      <c r="E15368" s="2" t="s">
        <v>580</v>
      </c>
      <c r="F15368" s="2" t="s">
        <v>58846</v>
      </c>
      <c r="G15368" s="2" t="str">
        <f>"SR-22189"</f>
        <v>SR-22189</v>
      </c>
      <c r="H15368" s="2" t="s">
        <v>58847</v>
      </c>
      <c r="I15368" s="2" t="s">
        <v>58848</v>
      </c>
      <c r="K15368" s="2" t="s">
        <v>58849</v>
      </c>
      <c r="L15368" s="2" t="s">
        <v>20</v>
      </c>
      <c r="M15368" s="2">
        <v>28679.0</v>
      </c>
      <c r="N15368" s="2" t="s">
        <v>21</v>
      </c>
    </row>
    <row r="15369" ht="15.75" customHeight="1">
      <c r="A15369" s="2">
        <v>2021.0</v>
      </c>
      <c r="B15369" s="2" t="s">
        <v>50383</v>
      </c>
      <c r="C15369" s="2" t="s">
        <v>50383</v>
      </c>
      <c r="D15369" s="2" t="str">
        <f>"6362951662"</f>
        <v>6362951662</v>
      </c>
      <c r="E15369" s="2" t="s">
        <v>1197</v>
      </c>
      <c r="F15369" s="2" t="s">
        <v>40547</v>
      </c>
      <c r="G15369" s="2" t="str">
        <f>"SR-22197"</f>
        <v>SR-22197</v>
      </c>
      <c r="H15369" s="2" t="s">
        <v>50384</v>
      </c>
      <c r="I15369" s="2" t="s">
        <v>58850</v>
      </c>
      <c r="K15369" s="2" t="s">
        <v>1141</v>
      </c>
      <c r="L15369" s="2" t="s">
        <v>172</v>
      </c>
      <c r="M15369" s="2">
        <v>78737.0</v>
      </c>
      <c r="N15369" s="2" t="s">
        <v>21</v>
      </c>
    </row>
    <row r="15370" ht="15.75" customHeight="1">
      <c r="A15370" s="2">
        <v>2021.0</v>
      </c>
      <c r="B15370" s="2" t="s">
        <v>58851</v>
      </c>
      <c r="C15370" s="2" t="s">
        <v>58852</v>
      </c>
      <c r="D15370" s="2" t="str">
        <f>"530-647-6756"</f>
        <v>530-647-6756</v>
      </c>
      <c r="E15370" s="2" t="s">
        <v>27484</v>
      </c>
      <c r="F15370" s="2" t="s">
        <v>3445</v>
      </c>
      <c r="G15370" s="2" t="str">
        <f>"SR-22196"</f>
        <v>SR-22196</v>
      </c>
      <c r="H15370" s="2" t="s">
        <v>58853</v>
      </c>
      <c r="I15370" s="2" t="s">
        <v>58854</v>
      </c>
      <c r="K15370" s="2" t="s">
        <v>58855</v>
      </c>
      <c r="L15370" s="2" t="s">
        <v>222</v>
      </c>
      <c r="M15370" s="2">
        <v>95667.0</v>
      </c>
      <c r="N15370" s="2" t="s">
        <v>21</v>
      </c>
    </row>
    <row r="15371" ht="15.75" customHeight="1">
      <c r="A15371" s="2">
        <v>2021.0</v>
      </c>
      <c r="B15371" s="2" t="s">
        <v>43619</v>
      </c>
      <c r="C15371" s="2" t="s">
        <v>58856</v>
      </c>
      <c r="D15371" s="2" t="str">
        <f>"6027513484"</f>
        <v>6027513484</v>
      </c>
      <c r="E15371" s="2" t="s">
        <v>2162</v>
      </c>
      <c r="F15371" s="2" t="s">
        <v>43621</v>
      </c>
      <c r="G15371" s="2" t="str">
        <f>"SR-22203"</f>
        <v>SR-22203</v>
      </c>
      <c r="H15371" s="2" t="s">
        <v>58857</v>
      </c>
      <c r="I15371" s="2" t="s">
        <v>58858</v>
      </c>
      <c r="K15371" s="2" t="s">
        <v>2841</v>
      </c>
      <c r="L15371" s="2" t="s">
        <v>422</v>
      </c>
      <c r="M15371" s="2">
        <v>85248.0</v>
      </c>
      <c r="N15371" s="2" t="s">
        <v>21</v>
      </c>
    </row>
    <row r="15372" ht="15.75" customHeight="1">
      <c r="A15372" s="2">
        <v>2021.0</v>
      </c>
      <c r="B15372" s="2" t="s">
        <v>58859</v>
      </c>
      <c r="C15372" s="2" t="s">
        <v>58860</v>
      </c>
      <c r="D15372" s="2" t="str">
        <f>"4803990128"</f>
        <v>4803990128</v>
      </c>
      <c r="E15372" s="2" t="s">
        <v>58861</v>
      </c>
      <c r="F15372" s="2" t="s">
        <v>4507</v>
      </c>
      <c r="G15372" s="2" t="str">
        <f>"SR-22205"</f>
        <v>SR-22205</v>
      </c>
      <c r="H15372" s="2" t="s">
        <v>58862</v>
      </c>
      <c r="I15372" s="2" t="s">
        <v>58863</v>
      </c>
      <c r="K15372" s="2" t="s">
        <v>2841</v>
      </c>
      <c r="L15372" s="2" t="s">
        <v>422</v>
      </c>
      <c r="M15372" s="2">
        <v>85286.0</v>
      </c>
      <c r="N15372" s="2" t="s">
        <v>21</v>
      </c>
    </row>
    <row r="15373" ht="15.75" customHeight="1">
      <c r="A15373" s="2">
        <v>2021.0</v>
      </c>
      <c r="B15373" s="2" t="s">
        <v>58864</v>
      </c>
      <c r="C15373" s="2" t="s">
        <v>58865</v>
      </c>
      <c r="D15373" s="2" t="str">
        <f>"6123910477"</f>
        <v>6123910477</v>
      </c>
      <c r="E15373" s="2" t="s">
        <v>2412</v>
      </c>
      <c r="F15373" s="2" t="s">
        <v>962</v>
      </c>
      <c r="G15373" s="2" t="str">
        <f>"SR-22204"</f>
        <v>SR-22204</v>
      </c>
      <c r="H15373" s="2" t="s">
        <v>58866</v>
      </c>
      <c r="I15373" s="2">
        <v>1372.0</v>
      </c>
      <c r="J15373" s="2" t="s">
        <v>58867</v>
      </c>
      <c r="K15373" s="2" t="s">
        <v>16624</v>
      </c>
      <c r="L15373" s="2" t="s">
        <v>62</v>
      </c>
      <c r="M15373" s="2">
        <v>55112.0</v>
      </c>
      <c r="N15373" s="2" t="s">
        <v>21</v>
      </c>
    </row>
    <row r="15374" ht="15.75" customHeight="1">
      <c r="A15374" s="2">
        <v>2021.0</v>
      </c>
      <c r="B15374" s="2" t="s">
        <v>37679</v>
      </c>
      <c r="C15374" s="2" t="s">
        <v>58868</v>
      </c>
      <c r="D15374" s="2" t="str">
        <f>"308-730-7265"</f>
        <v>308-730-7265</v>
      </c>
      <c r="E15374" s="2" t="s">
        <v>6966</v>
      </c>
      <c r="F15374" s="2" t="s">
        <v>37684</v>
      </c>
      <c r="G15374" s="2" t="str">
        <f>"SR-22202"</f>
        <v>SR-22202</v>
      </c>
      <c r="H15374" s="2" t="s">
        <v>58869</v>
      </c>
      <c r="I15374" s="2" t="s">
        <v>58870</v>
      </c>
      <c r="K15374" s="2" t="s">
        <v>23851</v>
      </c>
      <c r="L15374" s="2" t="s">
        <v>757</v>
      </c>
      <c r="M15374" s="2">
        <v>68862.0</v>
      </c>
      <c r="N15374" s="2" t="s">
        <v>21</v>
      </c>
    </row>
    <row r="15375" ht="15.75" customHeight="1">
      <c r="A15375" s="2">
        <v>2021.0</v>
      </c>
      <c r="B15375" s="2" t="s">
        <v>58871</v>
      </c>
      <c r="C15375" s="2" t="s">
        <v>58871</v>
      </c>
      <c r="D15375" s="2" t="str">
        <f>"(805) 952-3145"</f>
        <v>(805) 952-3145</v>
      </c>
      <c r="E15375" s="2" t="s">
        <v>1015</v>
      </c>
      <c r="F15375" s="2" t="s">
        <v>58872</v>
      </c>
      <c r="G15375" s="2" t="str">
        <f>"SR-22177"</f>
        <v>SR-22177</v>
      </c>
      <c r="H15375" s="2" t="s">
        <v>58873</v>
      </c>
      <c r="I15375" s="2" t="s">
        <v>58874</v>
      </c>
      <c r="K15375" s="2" t="s">
        <v>10498</v>
      </c>
      <c r="L15375" s="2" t="s">
        <v>222</v>
      </c>
      <c r="M15375" s="2">
        <v>93422.0</v>
      </c>
      <c r="N15375" s="2" t="s">
        <v>21</v>
      </c>
    </row>
    <row r="15376" ht="15.75" customHeight="1">
      <c r="A15376" s="2">
        <v>2021.0</v>
      </c>
      <c r="B15376" s="2" t="s">
        <v>37169</v>
      </c>
      <c r="C15376" s="2" t="s">
        <v>58875</v>
      </c>
      <c r="D15376" s="2" t="str">
        <f>"609-575-4060"</f>
        <v>609-575-4060</v>
      </c>
      <c r="E15376" s="2" t="s">
        <v>225</v>
      </c>
      <c r="F15376" s="2" t="s">
        <v>1151</v>
      </c>
      <c r="G15376" s="2" t="str">
        <f>"SR-22208"</f>
        <v>SR-22208</v>
      </c>
      <c r="H15376" s="2" t="s">
        <v>33182</v>
      </c>
      <c r="I15376" s="2" t="s">
        <v>58876</v>
      </c>
      <c r="K15376" s="2" t="s">
        <v>3654</v>
      </c>
      <c r="L15376" s="2" t="s">
        <v>715</v>
      </c>
      <c r="M15376" s="2">
        <v>70817.0</v>
      </c>
      <c r="N15376" s="2" t="s">
        <v>21</v>
      </c>
    </row>
    <row r="15377" ht="15.75" customHeight="1">
      <c r="A15377" s="2">
        <v>2021.0</v>
      </c>
      <c r="B15377" s="2" t="s">
        <v>58877</v>
      </c>
      <c r="C15377" s="2" t="s">
        <v>58877</v>
      </c>
      <c r="D15377" s="2" t="str">
        <f>"5742654882"</f>
        <v>5742654882</v>
      </c>
      <c r="E15377" s="2" t="s">
        <v>2433</v>
      </c>
      <c r="F15377" s="2" t="s">
        <v>58878</v>
      </c>
      <c r="G15377" s="2" t="str">
        <f>"SR-22216"</f>
        <v>SR-22216</v>
      </c>
      <c r="H15377" s="2" t="s">
        <v>58879</v>
      </c>
      <c r="I15377" s="2" t="s">
        <v>58880</v>
      </c>
      <c r="K15377" s="2" t="s">
        <v>58881</v>
      </c>
      <c r="L15377" s="2" t="s">
        <v>149</v>
      </c>
      <c r="M15377" s="2">
        <v>46590.0</v>
      </c>
      <c r="N15377" s="2" t="s">
        <v>21</v>
      </c>
    </row>
    <row r="15378" ht="15.75" customHeight="1">
      <c r="A15378" s="2">
        <v>2021.0</v>
      </c>
      <c r="B15378" s="2" t="s">
        <v>53932</v>
      </c>
      <c r="C15378" s="2" t="s">
        <v>53933</v>
      </c>
      <c r="D15378" s="2" t="str">
        <f>"251.302.9930"</f>
        <v>251.302.9930</v>
      </c>
      <c r="E15378" s="2" t="s">
        <v>1682</v>
      </c>
      <c r="F15378" s="2" t="s">
        <v>13635</v>
      </c>
      <c r="G15378" s="2" t="str">
        <f>"SR-19461"</f>
        <v>SR-19461</v>
      </c>
      <c r="H15378" s="2" t="s">
        <v>53934</v>
      </c>
      <c r="I15378" s="2" t="s">
        <v>53935</v>
      </c>
      <c r="K15378" s="2" t="s">
        <v>53936</v>
      </c>
      <c r="L15378" s="2" t="s">
        <v>539</v>
      </c>
      <c r="M15378" s="2">
        <v>36460.0</v>
      </c>
      <c r="N15378" s="2" t="s">
        <v>21</v>
      </c>
    </row>
    <row r="15379" ht="15.75" customHeight="1">
      <c r="A15379" s="2">
        <v>2021.0</v>
      </c>
      <c r="B15379" s="2" t="s">
        <v>58882</v>
      </c>
      <c r="C15379" s="2" t="s">
        <v>58882</v>
      </c>
      <c r="D15379" s="2" t="str">
        <f>"9139098599"</f>
        <v>9139098599</v>
      </c>
      <c r="E15379" s="2" t="s">
        <v>301</v>
      </c>
      <c r="F15379" s="2" t="s">
        <v>58883</v>
      </c>
      <c r="G15379" s="2" t="str">
        <f>"SR-22185"</f>
        <v>SR-22185</v>
      </c>
      <c r="H15379" s="2" t="s">
        <v>58884</v>
      </c>
      <c r="I15379" s="2" t="s">
        <v>58885</v>
      </c>
      <c r="K15379" s="2" t="s">
        <v>992</v>
      </c>
      <c r="L15379" s="2" t="s">
        <v>157</v>
      </c>
      <c r="M15379" s="2">
        <v>80121.0</v>
      </c>
      <c r="N15379" s="2" t="s">
        <v>21</v>
      </c>
    </row>
    <row r="15380" ht="15.75" customHeight="1">
      <c r="A15380" s="2">
        <v>2021.0</v>
      </c>
      <c r="B15380" s="2" t="s">
        <v>58886</v>
      </c>
      <c r="C15380" s="2" t="s">
        <v>58887</v>
      </c>
      <c r="D15380" s="2" t="str">
        <f>"805-202-6694"</f>
        <v>805-202-6694</v>
      </c>
      <c r="E15380" s="2" t="s">
        <v>58888</v>
      </c>
      <c r="F15380" s="2" t="s">
        <v>33934</v>
      </c>
      <c r="G15380" s="2" t="str">
        <f>"SR-22163"</f>
        <v>SR-22163</v>
      </c>
      <c r="H15380" s="2" t="s">
        <v>58889</v>
      </c>
      <c r="I15380" s="2" t="s">
        <v>58890</v>
      </c>
      <c r="K15380" s="2" t="s">
        <v>809</v>
      </c>
      <c r="L15380" s="2" t="s">
        <v>157</v>
      </c>
      <c r="M15380" s="2">
        <v>80921.0</v>
      </c>
      <c r="N15380" s="2" t="s">
        <v>21</v>
      </c>
    </row>
    <row r="15381" ht="15.75" customHeight="1">
      <c r="A15381" s="2">
        <v>2021.0</v>
      </c>
      <c r="B15381" s="2" t="s">
        <v>58891</v>
      </c>
      <c r="C15381" s="2" t="s">
        <v>58892</v>
      </c>
      <c r="D15381" s="2" t="str">
        <f>"5416683425"</f>
        <v>5416683425</v>
      </c>
      <c r="E15381" s="2" t="s">
        <v>2243</v>
      </c>
      <c r="F15381" s="2" t="s">
        <v>58893</v>
      </c>
      <c r="G15381" s="2" t="str">
        <f>"SR-22114"</f>
        <v>SR-22114</v>
      </c>
      <c r="H15381" s="2" t="s">
        <v>58894</v>
      </c>
      <c r="I15381" s="2" t="s">
        <v>58895</v>
      </c>
      <c r="K15381" s="2" t="s">
        <v>104</v>
      </c>
      <c r="L15381" s="2" t="s">
        <v>422</v>
      </c>
      <c r="M15381" s="2">
        <v>85383.0</v>
      </c>
      <c r="N15381" s="2" t="s">
        <v>21</v>
      </c>
    </row>
    <row r="15382" ht="15.75" customHeight="1">
      <c r="A15382" s="2">
        <v>2021.0</v>
      </c>
      <c r="B15382" s="2" t="s">
        <v>58472</v>
      </c>
      <c r="C15382" s="2" t="s">
        <v>58472</v>
      </c>
      <c r="D15382" s="2" t="str">
        <f>"5107340550"</f>
        <v>5107340550</v>
      </c>
      <c r="E15382" s="2" t="s">
        <v>1810</v>
      </c>
      <c r="F15382" s="2" t="s">
        <v>58474</v>
      </c>
      <c r="G15382" s="2" t="str">
        <f>"SR-22045"</f>
        <v>SR-22045</v>
      </c>
      <c r="H15382" s="2" t="s">
        <v>58896</v>
      </c>
      <c r="I15382" s="2" t="s">
        <v>58897</v>
      </c>
      <c r="K15382" s="2" t="s">
        <v>199</v>
      </c>
      <c r="L15382" s="2" t="s">
        <v>222</v>
      </c>
      <c r="M15382" s="2">
        <v>94553.0</v>
      </c>
      <c r="N15382" s="2" t="s">
        <v>21</v>
      </c>
    </row>
    <row r="15383" ht="15.75" customHeight="1">
      <c r="A15383" s="2">
        <v>2021.0</v>
      </c>
      <c r="B15383" s="2" t="s">
        <v>24827</v>
      </c>
      <c r="C15383" s="2" t="s">
        <v>58898</v>
      </c>
      <c r="D15383" s="2" t="str">
        <f>"4243123245"</f>
        <v>4243123245</v>
      </c>
      <c r="E15383" s="2" t="s">
        <v>167</v>
      </c>
      <c r="F15383" s="2" t="s">
        <v>1151</v>
      </c>
      <c r="G15383" s="2" t="str">
        <f>"SR-22222"</f>
        <v>SR-22222</v>
      </c>
      <c r="H15383" s="2" t="s">
        <v>50988</v>
      </c>
      <c r="I15383" s="2" t="s">
        <v>58899</v>
      </c>
      <c r="K15383" s="2" t="s">
        <v>40515</v>
      </c>
      <c r="L15383" s="2" t="s">
        <v>222</v>
      </c>
      <c r="M15383" s="2">
        <v>91101.0</v>
      </c>
      <c r="N15383" s="2" t="s">
        <v>21</v>
      </c>
    </row>
    <row r="15384" ht="15.75" customHeight="1">
      <c r="A15384" s="2">
        <v>2021.0</v>
      </c>
      <c r="B15384" s="2" t="s">
        <v>58900</v>
      </c>
      <c r="C15384" s="2" t="s">
        <v>58901</v>
      </c>
      <c r="D15384" s="2" t="str">
        <f>"6307775614"</f>
        <v>6307775614</v>
      </c>
      <c r="E15384" s="2" t="s">
        <v>2243</v>
      </c>
      <c r="F15384" s="2" t="s">
        <v>58902</v>
      </c>
      <c r="G15384" s="2" t="str">
        <f>"SR-22226"</f>
        <v>SR-22226</v>
      </c>
      <c r="H15384" s="2" t="s">
        <v>58903</v>
      </c>
      <c r="I15384" s="2" t="s">
        <v>58904</v>
      </c>
      <c r="K15384" s="2" t="s">
        <v>984</v>
      </c>
      <c r="L15384" s="2" t="s">
        <v>55</v>
      </c>
      <c r="M15384" s="2">
        <v>29621.0</v>
      </c>
      <c r="N15384" s="2" t="s">
        <v>21</v>
      </c>
    </row>
    <row r="15385" ht="15.75" customHeight="1">
      <c r="A15385" s="2">
        <v>2021.0</v>
      </c>
      <c r="B15385" s="2" t="s">
        <v>58905</v>
      </c>
      <c r="C15385" s="2" t="s">
        <v>58905</v>
      </c>
      <c r="D15385" s="2" t="str">
        <f>"484 857 1177"</f>
        <v>484 857 1177</v>
      </c>
      <c r="E15385" s="2" t="s">
        <v>1015</v>
      </c>
      <c r="F15385" s="2" t="s">
        <v>13983</v>
      </c>
      <c r="G15385" s="2" t="str">
        <f>"SR-22231"</f>
        <v>SR-22231</v>
      </c>
      <c r="H15385" s="2" t="s">
        <v>58906</v>
      </c>
      <c r="I15385" s="2" t="s">
        <v>58907</v>
      </c>
      <c r="K15385" s="2" t="s">
        <v>58908</v>
      </c>
      <c r="L15385" s="2" t="s">
        <v>179</v>
      </c>
      <c r="M15385" s="2">
        <v>19529.0</v>
      </c>
      <c r="N15385" s="2" t="s">
        <v>21</v>
      </c>
    </row>
    <row r="15386" ht="15.75" customHeight="1">
      <c r="A15386" s="2">
        <v>2021.0</v>
      </c>
      <c r="B15386" s="2" t="s">
        <v>58909</v>
      </c>
      <c r="C15386" s="2" t="s">
        <v>58910</v>
      </c>
      <c r="D15386" s="2" t="str">
        <f>"(719)243-9611"</f>
        <v>(719)243-9611</v>
      </c>
      <c r="E15386" s="2" t="s">
        <v>58911</v>
      </c>
      <c r="F15386" s="2" t="s">
        <v>10983</v>
      </c>
      <c r="G15386" s="2" t="str">
        <f>"SR-22236"</f>
        <v>SR-22236</v>
      </c>
      <c r="H15386" s="2" t="s">
        <v>58912</v>
      </c>
      <c r="I15386" s="2" t="s">
        <v>58913</v>
      </c>
      <c r="K15386" s="2" t="s">
        <v>809</v>
      </c>
      <c r="L15386" s="2" t="s">
        <v>157</v>
      </c>
      <c r="M15386" s="2">
        <v>80923.0</v>
      </c>
      <c r="N15386" s="2" t="s">
        <v>21</v>
      </c>
    </row>
    <row r="15387" ht="15.75" customHeight="1">
      <c r="A15387" s="2">
        <v>2021.0</v>
      </c>
      <c r="B15387" s="2" t="s">
        <v>54847</v>
      </c>
      <c r="C15387" s="2" t="s">
        <v>54847</v>
      </c>
      <c r="D15387" s="2" t="str">
        <f>"423-585-7096"</f>
        <v>423-585-7096</v>
      </c>
      <c r="E15387" s="2" t="s">
        <v>385</v>
      </c>
      <c r="F15387" s="2" t="s">
        <v>4516</v>
      </c>
      <c r="G15387" s="2" t="str">
        <f>"SR-20405"</f>
        <v>SR-20405</v>
      </c>
      <c r="H15387" s="2" t="s">
        <v>54848</v>
      </c>
      <c r="I15387" s="2" t="s">
        <v>54849</v>
      </c>
      <c r="K15387" s="2" t="s">
        <v>54850</v>
      </c>
      <c r="L15387" s="2" t="s">
        <v>165</v>
      </c>
      <c r="M15387" s="2">
        <v>37713.0</v>
      </c>
      <c r="N15387" s="2" t="s">
        <v>21</v>
      </c>
    </row>
    <row r="15388" ht="15.75" customHeight="1">
      <c r="A15388" s="2">
        <v>2021.0</v>
      </c>
      <c r="B15388" s="2" t="s">
        <v>58914</v>
      </c>
      <c r="C15388" s="2" t="s">
        <v>58914</v>
      </c>
      <c r="D15388" s="2" t="str">
        <f>"5203330209"</f>
        <v>5203330209</v>
      </c>
      <c r="E15388" s="2" t="s">
        <v>217</v>
      </c>
      <c r="F15388" s="2" t="s">
        <v>58915</v>
      </c>
      <c r="G15388" s="2" t="str">
        <f>"SR-22238"</f>
        <v>SR-22238</v>
      </c>
      <c r="H15388" s="2" t="s">
        <v>58916</v>
      </c>
      <c r="I15388" s="2" t="s">
        <v>58917</v>
      </c>
      <c r="K15388" s="2" t="s">
        <v>5946</v>
      </c>
      <c r="L15388" s="2" t="s">
        <v>422</v>
      </c>
      <c r="M15388" s="2">
        <v>85749.0</v>
      </c>
      <c r="N15388" s="2" t="s">
        <v>21</v>
      </c>
    </row>
    <row r="15389" ht="15.75" customHeight="1">
      <c r="A15389" s="2">
        <v>2021.0</v>
      </c>
      <c r="B15389" s="2" t="s">
        <v>56826</v>
      </c>
      <c r="C15389" s="2" t="s">
        <v>58918</v>
      </c>
      <c r="D15389" s="2" t="str">
        <f>"7852948373"</f>
        <v>7852948373</v>
      </c>
      <c r="E15389" s="2" t="s">
        <v>3043</v>
      </c>
      <c r="F15389" s="2" t="s">
        <v>58919</v>
      </c>
      <c r="G15389" s="2" t="str">
        <f>"SR-22240"</f>
        <v>SR-22240</v>
      </c>
      <c r="H15389" s="2" t="s">
        <v>58920</v>
      </c>
      <c r="I15389" s="2" t="s">
        <v>58921</v>
      </c>
      <c r="K15389" s="2" t="s">
        <v>58922</v>
      </c>
      <c r="L15389" s="2" t="s">
        <v>272</v>
      </c>
      <c r="M15389" s="2">
        <v>66547.0</v>
      </c>
      <c r="N15389" s="2" t="s">
        <v>21</v>
      </c>
    </row>
    <row r="15390" ht="15.75" customHeight="1">
      <c r="A15390" s="2">
        <v>2021.0</v>
      </c>
      <c r="B15390" s="2" t="s">
        <v>58923</v>
      </c>
      <c r="C15390" s="2" t="s">
        <v>58923</v>
      </c>
      <c r="D15390" s="2" t="str">
        <f>"2605714755"</f>
        <v>2605714755</v>
      </c>
      <c r="E15390" s="2" t="s">
        <v>824</v>
      </c>
      <c r="F15390" s="2" t="s">
        <v>30762</v>
      </c>
      <c r="G15390" s="2" t="str">
        <f>"SR-22242"</f>
        <v>SR-22242</v>
      </c>
      <c r="H15390" s="2" t="s">
        <v>58924</v>
      </c>
      <c r="I15390" s="2" t="s">
        <v>58925</v>
      </c>
      <c r="K15390" s="2" t="s">
        <v>58926</v>
      </c>
      <c r="L15390" s="2" t="s">
        <v>149</v>
      </c>
      <c r="M15390" s="2">
        <v>46992.0</v>
      </c>
      <c r="N15390" s="2" t="s">
        <v>21</v>
      </c>
    </row>
    <row r="15391" ht="15.75" customHeight="1">
      <c r="A15391" s="2">
        <v>2021.0</v>
      </c>
      <c r="B15391" s="2" t="s">
        <v>58927</v>
      </c>
      <c r="C15391" s="2" t="s">
        <v>58927</v>
      </c>
      <c r="D15391" s="2" t="str">
        <f>"540-771-0074"</f>
        <v>540-771-0074</v>
      </c>
      <c r="E15391" s="2" t="s">
        <v>1094</v>
      </c>
      <c r="F15391" s="2" t="s">
        <v>226</v>
      </c>
      <c r="G15391" s="2" t="str">
        <f>"SR-22241"</f>
        <v>SR-22241</v>
      </c>
      <c r="H15391" s="2" t="s">
        <v>58928</v>
      </c>
      <c r="I15391" s="2" t="s">
        <v>58929</v>
      </c>
      <c r="K15391" s="2" t="s">
        <v>594</v>
      </c>
      <c r="L15391" s="2" t="s">
        <v>165</v>
      </c>
      <c r="M15391" s="2">
        <v>22601.0</v>
      </c>
      <c r="N15391" s="2" t="s">
        <v>21</v>
      </c>
    </row>
    <row r="15392" ht="15.75" customHeight="1">
      <c r="A15392" s="2">
        <v>2021.0</v>
      </c>
      <c r="B15392" s="2" t="s">
        <v>58930</v>
      </c>
      <c r="C15392" s="2" t="s">
        <v>58931</v>
      </c>
      <c r="D15392" s="2" t="str">
        <f>"5406649948"</f>
        <v>5406649948</v>
      </c>
      <c r="E15392" s="2" t="s">
        <v>651</v>
      </c>
      <c r="F15392" s="2" t="s">
        <v>39990</v>
      </c>
      <c r="G15392" s="2" t="str">
        <f>"SR-22243"</f>
        <v>SR-22243</v>
      </c>
      <c r="H15392" s="2" t="s">
        <v>58932</v>
      </c>
      <c r="I15392" s="2" t="s">
        <v>58933</v>
      </c>
      <c r="K15392" s="2" t="s">
        <v>594</v>
      </c>
      <c r="L15392" s="2" t="s">
        <v>165</v>
      </c>
      <c r="M15392" s="2">
        <v>22601.0</v>
      </c>
      <c r="N15392" s="2" t="s">
        <v>21</v>
      </c>
    </row>
    <row r="15393" ht="15.75" customHeight="1">
      <c r="A15393" s="2">
        <v>2021.0</v>
      </c>
      <c r="B15393" s="2" t="s">
        <v>58934</v>
      </c>
      <c r="C15393" s="2" t="s">
        <v>58934</v>
      </c>
      <c r="D15393" s="2" t="str">
        <f>"6107623213"</f>
        <v>6107623213</v>
      </c>
      <c r="E15393" s="2" t="s">
        <v>6202</v>
      </c>
      <c r="F15393" s="2" t="s">
        <v>58935</v>
      </c>
      <c r="G15393" s="2" t="str">
        <f>"SR-22140"</f>
        <v>SR-22140</v>
      </c>
      <c r="H15393" s="2" t="s">
        <v>58936</v>
      </c>
      <c r="I15393" s="2" t="s">
        <v>58937</v>
      </c>
      <c r="K15393" s="2" t="s">
        <v>2449</v>
      </c>
      <c r="L15393" s="2" t="s">
        <v>179</v>
      </c>
      <c r="M15393" s="2">
        <v>17601.0</v>
      </c>
      <c r="N15393" s="2" t="s">
        <v>21</v>
      </c>
    </row>
    <row r="15394" ht="15.75" customHeight="1">
      <c r="A15394" s="2">
        <v>2021.0</v>
      </c>
      <c r="B15394" s="2" t="s">
        <v>58938</v>
      </c>
      <c r="C15394" s="2" t="s">
        <v>58939</v>
      </c>
      <c r="D15394" s="2" t="str">
        <f>"8043460232"</f>
        <v>8043460232</v>
      </c>
      <c r="E15394" s="2" t="s">
        <v>751</v>
      </c>
      <c r="F15394" s="2" t="s">
        <v>58940</v>
      </c>
      <c r="G15394" s="2" t="str">
        <f>"SR-22230"</f>
        <v>SR-22230</v>
      </c>
      <c r="H15394" s="2" t="s">
        <v>58941</v>
      </c>
      <c r="I15394" s="2" t="s">
        <v>58942</v>
      </c>
      <c r="K15394" s="2" t="s">
        <v>7966</v>
      </c>
      <c r="L15394" s="2" t="s">
        <v>165</v>
      </c>
      <c r="M15394" s="2">
        <v>23059.0</v>
      </c>
      <c r="N15394" s="2" t="s">
        <v>21</v>
      </c>
    </row>
    <row r="15395" ht="15.75" customHeight="1">
      <c r="A15395" s="2">
        <v>2021.0</v>
      </c>
      <c r="B15395" s="2" t="s">
        <v>45960</v>
      </c>
      <c r="C15395" s="2" t="s">
        <v>45968</v>
      </c>
      <c r="D15395" s="2" t="str">
        <f>"3087300497"</f>
        <v>3087300497</v>
      </c>
      <c r="E15395" s="2" t="s">
        <v>386</v>
      </c>
      <c r="F15395" s="2" t="s">
        <v>6760</v>
      </c>
      <c r="G15395" s="2" t="str">
        <f>"SR-16119"</f>
        <v>SR-16119</v>
      </c>
      <c r="H15395" s="2" t="s">
        <v>45969</v>
      </c>
      <c r="I15395" s="2" t="s">
        <v>45963</v>
      </c>
      <c r="K15395" s="2" t="s">
        <v>23851</v>
      </c>
      <c r="L15395" s="2" t="s">
        <v>757</v>
      </c>
      <c r="M15395" s="2">
        <v>68862.0</v>
      </c>
      <c r="N15395" s="2" t="s">
        <v>21</v>
      </c>
    </row>
    <row r="15396" ht="15.75" customHeight="1">
      <c r="A15396" s="2">
        <v>2021.0</v>
      </c>
      <c r="B15396" s="2" t="s">
        <v>58943</v>
      </c>
      <c r="C15396" s="2" t="s">
        <v>58944</v>
      </c>
      <c r="D15396" s="2" t="str">
        <f>"8177297383"</f>
        <v>8177297383</v>
      </c>
      <c r="E15396" s="2" t="s">
        <v>3037</v>
      </c>
      <c r="F15396" s="2" t="s">
        <v>11152</v>
      </c>
      <c r="G15396" s="2" t="str">
        <f>"SR-22250"</f>
        <v>SR-22250</v>
      </c>
      <c r="H15396" s="2" t="s">
        <v>58945</v>
      </c>
      <c r="I15396" s="2" t="s">
        <v>58946</v>
      </c>
      <c r="K15396" s="2" t="s">
        <v>1260</v>
      </c>
      <c r="L15396" s="2" t="s">
        <v>172</v>
      </c>
      <c r="M15396" s="2">
        <v>76109.0</v>
      </c>
      <c r="N15396" s="2" t="s">
        <v>21</v>
      </c>
    </row>
    <row r="15397" ht="15.75" customHeight="1">
      <c r="A15397" s="2">
        <v>2021.0</v>
      </c>
      <c r="B15397" s="2" t="s">
        <v>58947</v>
      </c>
      <c r="C15397" s="2" t="s">
        <v>58948</v>
      </c>
      <c r="D15397" s="2" t="str">
        <f>"2394046396"</f>
        <v>2394046396</v>
      </c>
      <c r="E15397" s="2" t="s">
        <v>385</v>
      </c>
      <c r="F15397" s="2" t="s">
        <v>2771</v>
      </c>
      <c r="G15397" s="2" t="str">
        <f>"SR-22260"</f>
        <v>SR-22260</v>
      </c>
      <c r="H15397" s="2" t="s">
        <v>58949</v>
      </c>
      <c r="I15397" s="2" t="s">
        <v>58950</v>
      </c>
      <c r="K15397" s="2" t="s">
        <v>5046</v>
      </c>
      <c r="L15397" s="2" t="s">
        <v>208</v>
      </c>
      <c r="M15397" s="2">
        <v>34112.0</v>
      </c>
      <c r="N15397" s="2" t="s">
        <v>21</v>
      </c>
    </row>
    <row r="15398" ht="15.75" customHeight="1">
      <c r="A15398" s="2">
        <v>2021.0</v>
      </c>
      <c r="B15398" s="2" t="s">
        <v>58951</v>
      </c>
      <c r="C15398" s="2" t="s">
        <v>58952</v>
      </c>
      <c r="D15398" s="2" t="str">
        <f>"817-229-5082"</f>
        <v>817-229-5082</v>
      </c>
      <c r="E15398" s="2" t="s">
        <v>863</v>
      </c>
      <c r="F15398" s="2" t="s">
        <v>58953</v>
      </c>
      <c r="G15398" s="2" t="str">
        <f>"SR-22261"</f>
        <v>SR-22261</v>
      </c>
      <c r="H15398" s="2" t="s">
        <v>58954</v>
      </c>
      <c r="I15398" s="2" t="s">
        <v>58955</v>
      </c>
      <c r="K15398" s="2" t="s">
        <v>1260</v>
      </c>
      <c r="L15398" s="2" t="s">
        <v>172</v>
      </c>
      <c r="M15398" s="2">
        <v>76109.0</v>
      </c>
      <c r="N15398" s="2" t="s">
        <v>21</v>
      </c>
    </row>
    <row r="15399" ht="15.75" customHeight="1">
      <c r="A15399" s="2">
        <v>2021.0</v>
      </c>
      <c r="B15399" s="2" t="s">
        <v>58956</v>
      </c>
      <c r="C15399" s="2" t="s">
        <v>58956</v>
      </c>
      <c r="D15399" s="2" t="str">
        <f>"7204502921"</f>
        <v>7204502921</v>
      </c>
      <c r="E15399" s="2" t="s">
        <v>456</v>
      </c>
      <c r="F15399" s="2" t="s">
        <v>48890</v>
      </c>
      <c r="G15399" s="2" t="str">
        <f>"SR-21256"</f>
        <v>SR-21256</v>
      </c>
      <c r="H15399" s="2" t="s">
        <v>58957</v>
      </c>
      <c r="I15399" s="2" t="s">
        <v>58958</v>
      </c>
      <c r="K15399" s="2" t="s">
        <v>1520</v>
      </c>
      <c r="L15399" s="2" t="s">
        <v>157</v>
      </c>
      <c r="M15399" s="2">
        <v>80016.0</v>
      </c>
      <c r="N15399" s="2" t="s">
        <v>21</v>
      </c>
    </row>
    <row r="15400" ht="15.75" customHeight="1">
      <c r="A15400" s="2">
        <v>2021.0</v>
      </c>
      <c r="B15400" s="2" t="s">
        <v>58959</v>
      </c>
      <c r="C15400" s="2" t="s">
        <v>58959</v>
      </c>
      <c r="D15400" s="2" t="str">
        <f>"732-991-3299"</f>
        <v>732-991-3299</v>
      </c>
      <c r="E15400" s="2" t="s">
        <v>7754</v>
      </c>
      <c r="F15400" s="2" t="s">
        <v>58960</v>
      </c>
      <c r="G15400" s="2" t="str">
        <f>"SR-21933"</f>
        <v>SR-21933</v>
      </c>
      <c r="H15400" s="2" t="s">
        <v>58961</v>
      </c>
      <c r="I15400" s="2" t="s">
        <v>58962</v>
      </c>
      <c r="K15400" s="2" t="s">
        <v>58963</v>
      </c>
      <c r="L15400" s="2" t="s">
        <v>3618</v>
      </c>
      <c r="M15400" s="2">
        <v>8831.0</v>
      </c>
      <c r="N15400" s="2" t="s">
        <v>21</v>
      </c>
    </row>
    <row r="15401" ht="15.75" customHeight="1">
      <c r="A15401" s="2">
        <v>2021.0</v>
      </c>
      <c r="B15401" s="2" t="s">
        <v>58964</v>
      </c>
      <c r="C15401" s="2" t="s">
        <v>58965</v>
      </c>
      <c r="D15401" s="2" t="str">
        <f>"484-280-0822"</f>
        <v>484-280-0822</v>
      </c>
      <c r="E15401" s="2" t="s">
        <v>1088</v>
      </c>
      <c r="F15401" s="2" t="s">
        <v>3028</v>
      </c>
      <c r="G15401" s="2" t="str">
        <f>"SR-17707"</f>
        <v>SR-17707</v>
      </c>
      <c r="H15401" s="2" t="s">
        <v>58966</v>
      </c>
      <c r="I15401" s="2" t="s">
        <v>58967</v>
      </c>
      <c r="K15401" s="2" t="s">
        <v>44368</v>
      </c>
      <c r="L15401" s="2" t="s">
        <v>179</v>
      </c>
      <c r="M15401" s="2">
        <v>19341.0</v>
      </c>
      <c r="N15401" s="2" t="s">
        <v>21</v>
      </c>
    </row>
    <row r="15402" ht="15.75" customHeight="1">
      <c r="A15402" s="2">
        <v>2021.0</v>
      </c>
      <c r="B15402" s="2" t="s">
        <v>58968</v>
      </c>
      <c r="C15402" s="2" t="s">
        <v>58969</v>
      </c>
      <c r="D15402" s="2" t="str">
        <f>"770.364.0413"</f>
        <v>770.364.0413</v>
      </c>
      <c r="E15402" s="2" t="s">
        <v>58970</v>
      </c>
      <c r="F15402" s="2" t="s">
        <v>2598</v>
      </c>
      <c r="G15402" s="2" t="str">
        <f>"SR-22145"</f>
        <v>SR-22145</v>
      </c>
      <c r="H15402" s="2" t="s">
        <v>58971</v>
      </c>
      <c r="I15402" s="2" t="s">
        <v>58972</v>
      </c>
      <c r="K15402" s="2" t="s">
        <v>36880</v>
      </c>
      <c r="L15402" s="2" t="s">
        <v>200</v>
      </c>
      <c r="M15402" s="2">
        <v>30097.0</v>
      </c>
      <c r="N15402" s="2" t="s">
        <v>21</v>
      </c>
    </row>
    <row r="15403" ht="15.75" customHeight="1">
      <c r="A15403" s="2">
        <v>2021.0</v>
      </c>
      <c r="B15403" s="2" t="s">
        <v>58973</v>
      </c>
      <c r="C15403" s="2" t="s">
        <v>58974</v>
      </c>
      <c r="D15403" s="2" t="str">
        <f>"7192296709"</f>
        <v>7192296709</v>
      </c>
      <c r="E15403" s="2" t="s">
        <v>23576</v>
      </c>
      <c r="F15403" s="2" t="s">
        <v>34157</v>
      </c>
      <c r="G15403" s="2" t="str">
        <f>"SR-22227"</f>
        <v>SR-22227</v>
      </c>
      <c r="H15403" s="2" t="s">
        <v>58975</v>
      </c>
      <c r="I15403" s="2" t="s">
        <v>58976</v>
      </c>
      <c r="K15403" s="2" t="s">
        <v>809</v>
      </c>
      <c r="L15403" s="2" t="s">
        <v>157</v>
      </c>
      <c r="M15403" s="2">
        <v>80908.0</v>
      </c>
      <c r="N15403" s="2" t="s">
        <v>21</v>
      </c>
    </row>
    <row r="15404" ht="15.75" customHeight="1">
      <c r="A15404" s="2">
        <v>2021.0</v>
      </c>
      <c r="B15404" s="2" t="s">
        <v>58977</v>
      </c>
      <c r="C15404" s="2" t="s">
        <v>58978</v>
      </c>
      <c r="D15404" s="2" t="str">
        <f>"(970)8800719"</f>
        <v>(970)8800719</v>
      </c>
      <c r="E15404" s="2" t="s">
        <v>1324</v>
      </c>
      <c r="F15404" s="2" t="s">
        <v>58979</v>
      </c>
      <c r="G15404" s="2" t="str">
        <f>"SR-19707"</f>
        <v>SR-19707</v>
      </c>
      <c r="H15404" s="2" t="s">
        <v>58980</v>
      </c>
      <c r="I15404" s="2" t="s">
        <v>58981</v>
      </c>
      <c r="K15404" s="2" t="s">
        <v>58982</v>
      </c>
      <c r="L15404" s="2" t="s">
        <v>157</v>
      </c>
      <c r="M15404" s="2">
        <v>81301.0</v>
      </c>
      <c r="N15404" s="2" t="s">
        <v>21</v>
      </c>
    </row>
    <row r="15405" ht="15.75" customHeight="1">
      <c r="A15405" s="2">
        <v>2021.0</v>
      </c>
      <c r="B15405" s="2" t="s">
        <v>58983</v>
      </c>
      <c r="C15405" s="2" t="s">
        <v>58984</v>
      </c>
      <c r="D15405" s="2" t="str">
        <f>"9494105368"</f>
        <v>9494105368</v>
      </c>
      <c r="E15405" s="2" t="s">
        <v>2306</v>
      </c>
      <c r="F15405" s="2" t="s">
        <v>58985</v>
      </c>
      <c r="G15405" s="2" t="str">
        <f>"SR-22159"</f>
        <v>SR-22159</v>
      </c>
      <c r="H15405" s="2" t="s">
        <v>58986</v>
      </c>
      <c r="I15405" s="2" t="s">
        <v>58987</v>
      </c>
      <c r="K15405" s="2" t="s">
        <v>10926</v>
      </c>
      <c r="L15405" s="2" t="s">
        <v>222</v>
      </c>
      <c r="M15405" s="2">
        <v>92091.0</v>
      </c>
      <c r="N15405" s="2" t="s">
        <v>21</v>
      </c>
    </row>
    <row r="15406" ht="15.75" customHeight="1">
      <c r="A15406" s="2">
        <v>2021.0</v>
      </c>
      <c r="B15406" s="2" t="s">
        <v>58988</v>
      </c>
      <c r="C15406" s="2" t="s">
        <v>58989</v>
      </c>
      <c r="D15406" s="2" t="str">
        <f>"6614764791"</f>
        <v>6614764791</v>
      </c>
      <c r="E15406" s="2" t="s">
        <v>5732</v>
      </c>
      <c r="F15406" s="2" t="s">
        <v>28910</v>
      </c>
      <c r="G15406" s="2" t="str">
        <f>"SR-22174"</f>
        <v>SR-22174</v>
      </c>
      <c r="H15406" s="2" t="s">
        <v>58990</v>
      </c>
      <c r="I15406" s="2" t="s">
        <v>58991</v>
      </c>
      <c r="K15406" s="2" t="s">
        <v>58773</v>
      </c>
      <c r="L15406" s="2" t="s">
        <v>222</v>
      </c>
      <c r="M15406" s="2">
        <v>91384.0</v>
      </c>
      <c r="N15406" s="2" t="s">
        <v>21</v>
      </c>
    </row>
    <row r="15407" ht="15.75" customHeight="1">
      <c r="A15407" s="2">
        <v>2021.0</v>
      </c>
      <c r="B15407" s="2" t="s">
        <v>50837</v>
      </c>
      <c r="C15407" s="2" t="s">
        <v>50837</v>
      </c>
      <c r="D15407" s="2" t="str">
        <f>"916-710-0259"</f>
        <v>916-710-0259</v>
      </c>
      <c r="E15407" s="2" t="s">
        <v>50838</v>
      </c>
      <c r="F15407" s="2" t="s">
        <v>50839</v>
      </c>
      <c r="G15407" s="2" t="str">
        <f>"SR-18139"</f>
        <v>SR-18139</v>
      </c>
      <c r="H15407" s="2" t="s">
        <v>50840</v>
      </c>
      <c r="I15407" s="2" t="s">
        <v>50841</v>
      </c>
      <c r="K15407" s="2" t="s">
        <v>24816</v>
      </c>
      <c r="L15407" s="2" t="s">
        <v>222</v>
      </c>
      <c r="M15407" s="2">
        <v>95605.0</v>
      </c>
      <c r="N15407" s="2" t="s">
        <v>21</v>
      </c>
    </row>
    <row r="15408" ht="15.75" customHeight="1">
      <c r="A15408" s="2">
        <v>2021.0</v>
      </c>
      <c r="B15408" s="2" t="s">
        <v>50832</v>
      </c>
      <c r="C15408" s="2" t="s">
        <v>50832</v>
      </c>
      <c r="D15408" s="2" t="str">
        <f>"916-230-9190"</f>
        <v>916-230-9190</v>
      </c>
      <c r="E15408" s="2" t="s">
        <v>50833</v>
      </c>
      <c r="F15408" s="2" t="s">
        <v>50834</v>
      </c>
      <c r="G15408" s="2" t="str">
        <f>"SR-18137"</f>
        <v>SR-18137</v>
      </c>
      <c r="H15408" s="2" t="s">
        <v>50835</v>
      </c>
      <c r="I15408" s="2" t="s">
        <v>50836</v>
      </c>
      <c r="K15408" s="2" t="s">
        <v>10305</v>
      </c>
      <c r="L15408" s="2" t="s">
        <v>222</v>
      </c>
      <c r="M15408" s="2">
        <v>95827.0</v>
      </c>
      <c r="N15408" s="2" t="s">
        <v>21</v>
      </c>
    </row>
    <row r="15409" ht="15.75" customHeight="1">
      <c r="A15409" s="2">
        <v>2021.0</v>
      </c>
      <c r="B15409" s="2" t="s">
        <v>58992</v>
      </c>
      <c r="C15409" s="2" t="s">
        <v>58993</v>
      </c>
      <c r="D15409" s="2" t="str">
        <f>"469-974-4810"</f>
        <v>469-974-4810</v>
      </c>
      <c r="E15409" s="2" t="s">
        <v>58994</v>
      </c>
      <c r="F15409" s="2" t="s">
        <v>58995</v>
      </c>
      <c r="G15409" s="2" t="str">
        <f>"SR-22115"</f>
        <v>SR-22115</v>
      </c>
      <c r="H15409" s="2" t="s">
        <v>58996</v>
      </c>
      <c r="I15409" s="2" t="s">
        <v>58997</v>
      </c>
      <c r="K15409" s="2" t="s">
        <v>58998</v>
      </c>
      <c r="L15409" s="2" t="s">
        <v>172</v>
      </c>
      <c r="M15409" s="2">
        <v>75023.0</v>
      </c>
      <c r="N15409" s="2" t="s">
        <v>21</v>
      </c>
    </row>
    <row r="15410" ht="15.75" customHeight="1">
      <c r="A15410" s="2">
        <v>2021.0</v>
      </c>
      <c r="B15410" s="2" t="s">
        <v>30081</v>
      </c>
      <c r="C15410" s="2" t="s">
        <v>33171</v>
      </c>
      <c r="D15410" s="2" t="str">
        <f>"936-219-4787"</f>
        <v>936-219-4787</v>
      </c>
      <c r="E15410" s="2" t="s">
        <v>33172</v>
      </c>
      <c r="F15410" s="2" t="s">
        <v>30083</v>
      </c>
      <c r="G15410" s="2" t="str">
        <f>"SR-10707"</f>
        <v>SR-10707</v>
      </c>
      <c r="H15410" s="2" t="s">
        <v>33173</v>
      </c>
      <c r="I15410" s="2" t="s">
        <v>30085</v>
      </c>
      <c r="K15410" s="2" t="s">
        <v>7113</v>
      </c>
      <c r="L15410" s="2" t="s">
        <v>172</v>
      </c>
      <c r="M15410" s="2">
        <v>75904.0</v>
      </c>
      <c r="N15410" s="2" t="s">
        <v>21</v>
      </c>
    </row>
    <row r="15411" ht="15.75" customHeight="1">
      <c r="A15411" s="2">
        <v>2021.0</v>
      </c>
      <c r="B15411" s="2" t="s">
        <v>58983</v>
      </c>
      <c r="C15411" s="2" t="s">
        <v>58999</v>
      </c>
      <c r="D15411" s="2" t="str">
        <f>"949 586 7122"</f>
        <v>949 586 7122</v>
      </c>
      <c r="E15411" s="2" t="s">
        <v>32615</v>
      </c>
      <c r="F15411" s="2" t="s">
        <v>59000</v>
      </c>
      <c r="G15411" s="2" t="str">
        <f>"SR-22155"</f>
        <v>SR-22155</v>
      </c>
      <c r="H15411" s="2" t="s">
        <v>59001</v>
      </c>
      <c r="I15411" s="2" t="s">
        <v>59002</v>
      </c>
      <c r="K15411" s="2" t="s">
        <v>59003</v>
      </c>
      <c r="L15411" s="2" t="s">
        <v>222</v>
      </c>
      <c r="M15411" s="2">
        <v>92610.0</v>
      </c>
      <c r="N15411" s="2" t="s">
        <v>21</v>
      </c>
    </row>
    <row r="15412" ht="15.75" customHeight="1">
      <c r="A15412" s="2">
        <v>2021.0</v>
      </c>
      <c r="B15412" s="2" t="s">
        <v>52907</v>
      </c>
      <c r="C15412" s="2" t="s">
        <v>52907</v>
      </c>
      <c r="D15412" s="2" t="str">
        <f>"2604427623"</f>
        <v>2604427623</v>
      </c>
      <c r="E15412" s="2" t="s">
        <v>11423</v>
      </c>
      <c r="F15412" s="2" t="s">
        <v>22227</v>
      </c>
      <c r="G15412" s="2" t="str">
        <f>"SR-18889"</f>
        <v>SR-18889</v>
      </c>
      <c r="H15412" s="2" t="s">
        <v>52908</v>
      </c>
      <c r="I15412" s="2" t="s">
        <v>22229</v>
      </c>
      <c r="K15412" s="2" t="s">
        <v>4298</v>
      </c>
      <c r="L15412" s="2" t="s">
        <v>149</v>
      </c>
      <c r="M15412" s="2">
        <v>46804.0</v>
      </c>
      <c r="N15412" s="2" t="s">
        <v>21</v>
      </c>
    </row>
    <row r="15413" ht="15.75" customHeight="1">
      <c r="A15413" s="2">
        <v>2021.0</v>
      </c>
      <c r="B15413" s="2" t="s">
        <v>59004</v>
      </c>
      <c r="C15413" s="2" t="s">
        <v>59005</v>
      </c>
      <c r="D15413" s="2" t="str">
        <f>"817-609-6529"</f>
        <v>817-609-6529</v>
      </c>
      <c r="E15413" s="2" t="s">
        <v>160</v>
      </c>
      <c r="F15413" s="2" t="s">
        <v>1054</v>
      </c>
      <c r="G15413" s="2" t="str">
        <f>"SR-22270"</f>
        <v>SR-22270</v>
      </c>
      <c r="H15413" s="2" t="s">
        <v>13857</v>
      </c>
      <c r="I15413" s="2" t="s">
        <v>59006</v>
      </c>
      <c r="K15413" s="2" t="s">
        <v>43477</v>
      </c>
      <c r="L15413" s="2" t="s">
        <v>172</v>
      </c>
      <c r="M15413" s="2">
        <v>76109.0</v>
      </c>
      <c r="N15413" s="2" t="s">
        <v>21</v>
      </c>
    </row>
    <row r="15414" ht="15.75" customHeight="1">
      <c r="A15414" s="2">
        <v>2021.0</v>
      </c>
      <c r="B15414" s="2" t="s">
        <v>59007</v>
      </c>
      <c r="C15414" s="2" t="s">
        <v>59008</v>
      </c>
      <c r="D15414" s="2" t="str">
        <f>"7013407686"</f>
        <v>7013407686</v>
      </c>
      <c r="E15414" s="2" t="s">
        <v>6555</v>
      </c>
      <c r="F15414" s="2" t="s">
        <v>59009</v>
      </c>
      <c r="G15414" s="2" t="str">
        <f>"SR-22219"</f>
        <v>SR-22219</v>
      </c>
      <c r="H15414" s="2" t="s">
        <v>59010</v>
      </c>
      <c r="I15414" s="2" t="s">
        <v>59011</v>
      </c>
      <c r="K15414" s="2" t="s">
        <v>5965</v>
      </c>
      <c r="L15414" s="2" t="s">
        <v>2534</v>
      </c>
      <c r="M15414" s="2">
        <v>58701.0</v>
      </c>
      <c r="N15414" s="2" t="s">
        <v>21</v>
      </c>
    </row>
    <row r="15415" ht="15.75" customHeight="1">
      <c r="A15415" s="2">
        <v>2021.0</v>
      </c>
      <c r="B15415" s="2" t="s">
        <v>59012</v>
      </c>
      <c r="C15415" s="2" t="s">
        <v>59012</v>
      </c>
      <c r="D15415" s="2" t="str">
        <f>"651-470-8826"</f>
        <v>651-470-8826</v>
      </c>
      <c r="E15415" s="2" t="s">
        <v>938</v>
      </c>
      <c r="F15415" s="2" t="s">
        <v>59013</v>
      </c>
      <c r="G15415" s="2" t="str">
        <f>"SR-22122"</f>
        <v>SR-22122</v>
      </c>
      <c r="H15415" s="2" t="s">
        <v>59014</v>
      </c>
      <c r="I15415" s="2" t="s">
        <v>59015</v>
      </c>
      <c r="K15415" s="2" t="s">
        <v>834</v>
      </c>
      <c r="L15415" s="2" t="s">
        <v>62</v>
      </c>
      <c r="M15415" s="2">
        <v>55024.0</v>
      </c>
      <c r="N15415" s="2" t="s">
        <v>21</v>
      </c>
    </row>
    <row r="15416" ht="15.75" customHeight="1">
      <c r="A15416" s="2">
        <v>2021.0</v>
      </c>
      <c r="B15416" s="2" t="s">
        <v>51320</v>
      </c>
      <c r="C15416" s="2" t="s">
        <v>51320</v>
      </c>
      <c r="D15416" s="2" t="str">
        <f>"863-840-5615"</f>
        <v>863-840-5615</v>
      </c>
      <c r="E15416" s="2" t="s">
        <v>908</v>
      </c>
      <c r="F15416" s="2" t="s">
        <v>51321</v>
      </c>
      <c r="G15416" s="2" t="str">
        <f>"SR-22184"</f>
        <v>SR-22184</v>
      </c>
      <c r="H15416" s="2" t="s">
        <v>51322</v>
      </c>
      <c r="I15416" s="2" t="s">
        <v>59016</v>
      </c>
      <c r="K15416" s="2" t="s">
        <v>26300</v>
      </c>
      <c r="L15416" s="2" t="s">
        <v>208</v>
      </c>
      <c r="M15416" s="2">
        <v>33852.0</v>
      </c>
      <c r="N15416" s="2" t="s">
        <v>21</v>
      </c>
    </row>
    <row r="15417" ht="15.75" customHeight="1">
      <c r="A15417" s="2">
        <v>2021.0</v>
      </c>
      <c r="B15417" s="2" t="s">
        <v>59017</v>
      </c>
      <c r="C15417" s="2" t="s">
        <v>59018</v>
      </c>
      <c r="D15417" s="2" t="str">
        <f>"9183997156"</f>
        <v>9183997156</v>
      </c>
      <c r="E15417" s="2" t="s">
        <v>12392</v>
      </c>
      <c r="F15417" s="2" t="s">
        <v>26730</v>
      </c>
      <c r="G15417" s="2" t="str">
        <f>"SR-22279"</f>
        <v>SR-22279</v>
      </c>
      <c r="H15417" s="2" t="s">
        <v>59019</v>
      </c>
      <c r="I15417" s="2" t="s">
        <v>59020</v>
      </c>
      <c r="K15417" s="2" t="s">
        <v>1408</v>
      </c>
      <c r="L15417" s="2" t="s">
        <v>840</v>
      </c>
      <c r="M15417" s="2">
        <v>74020.0</v>
      </c>
      <c r="N15417" s="2" t="s">
        <v>21</v>
      </c>
    </row>
    <row r="15418" ht="15.75" customHeight="1">
      <c r="A15418" s="2">
        <v>2021.0</v>
      </c>
      <c r="B15418" s="2" t="s">
        <v>59021</v>
      </c>
      <c r="C15418" s="2" t="s">
        <v>59021</v>
      </c>
      <c r="D15418" s="2" t="str">
        <f>"8593279498"</f>
        <v>8593279498</v>
      </c>
      <c r="E15418" s="2" t="s">
        <v>3111</v>
      </c>
      <c r="F15418" s="2" t="s">
        <v>31224</v>
      </c>
      <c r="G15418" s="2" t="str">
        <f>"SR-22277"</f>
        <v>SR-22277</v>
      </c>
      <c r="H15418" s="2" t="s">
        <v>51777</v>
      </c>
      <c r="I15418" s="2" t="s">
        <v>59022</v>
      </c>
      <c r="K15418" s="2" t="s">
        <v>31227</v>
      </c>
      <c r="L15418" s="2" t="s">
        <v>1236</v>
      </c>
      <c r="M15418" s="2">
        <v>40327.0</v>
      </c>
      <c r="N15418" s="2" t="s">
        <v>21</v>
      </c>
    </row>
    <row r="15419" ht="15.75" customHeight="1">
      <c r="A15419" s="2">
        <v>2021.0</v>
      </c>
      <c r="B15419" s="2" t="s">
        <v>50793</v>
      </c>
      <c r="C15419" s="2" t="s">
        <v>50794</v>
      </c>
      <c r="D15419" s="2" t="str">
        <f>"7719-651-6880"</f>
        <v>7719-651-6880</v>
      </c>
      <c r="E15419" s="2" t="s">
        <v>301</v>
      </c>
      <c r="F15419" s="2" t="s">
        <v>50795</v>
      </c>
      <c r="G15419" s="2" t="str">
        <f>"SR-17740"</f>
        <v>SR-17740</v>
      </c>
      <c r="H15419" s="2" t="s">
        <v>50796</v>
      </c>
      <c r="I15419" s="2" t="s">
        <v>50797</v>
      </c>
      <c r="K15419" s="2" t="s">
        <v>809</v>
      </c>
      <c r="L15419" s="2" t="s">
        <v>157</v>
      </c>
      <c r="M15419" s="2">
        <v>80920.0</v>
      </c>
      <c r="N15419" s="2" t="s">
        <v>21</v>
      </c>
    </row>
    <row r="15420" ht="15.75" customHeight="1">
      <c r="A15420" s="2">
        <v>2021.0</v>
      </c>
      <c r="B15420" s="2" t="s">
        <v>59023</v>
      </c>
      <c r="C15420" s="2" t="s">
        <v>59024</v>
      </c>
      <c r="D15420" s="2" t="str">
        <f>"9013259911"</f>
        <v>9013259911</v>
      </c>
      <c r="E15420" s="2" t="s">
        <v>32471</v>
      </c>
      <c r="F15420" s="2" t="s">
        <v>250</v>
      </c>
      <c r="G15420" s="2" t="str">
        <f>"SR-22282"</f>
        <v>SR-22282</v>
      </c>
      <c r="H15420" s="2" t="s">
        <v>59025</v>
      </c>
      <c r="I15420" s="2" t="s">
        <v>59026</v>
      </c>
      <c r="K15420" s="2" t="s">
        <v>5437</v>
      </c>
      <c r="L15420" s="2" t="s">
        <v>279</v>
      </c>
      <c r="M15420" s="2">
        <v>38133.0</v>
      </c>
      <c r="N15420" s="2" t="s">
        <v>21</v>
      </c>
    </row>
    <row r="15421" ht="15.75" customHeight="1">
      <c r="A15421" s="2">
        <v>2021.0</v>
      </c>
      <c r="B15421" s="2" t="s">
        <v>59027</v>
      </c>
      <c r="C15421" s="2" t="s">
        <v>59028</v>
      </c>
      <c r="D15421" s="2" t="str">
        <f>"8632733056"</f>
        <v>8632733056</v>
      </c>
      <c r="E15421" s="2" t="s">
        <v>4782</v>
      </c>
      <c r="F15421" s="2" t="s">
        <v>59029</v>
      </c>
      <c r="G15421" s="2" t="str">
        <f>"SR-22168"</f>
        <v>SR-22168</v>
      </c>
      <c r="H15421" s="2" t="s">
        <v>59030</v>
      </c>
      <c r="I15421" s="2" t="s">
        <v>59031</v>
      </c>
      <c r="K15421" s="2" t="s">
        <v>59032</v>
      </c>
      <c r="L15421" s="2" t="s">
        <v>208</v>
      </c>
      <c r="M15421" s="2">
        <v>33852.0</v>
      </c>
      <c r="N15421" s="2" t="s">
        <v>21</v>
      </c>
    </row>
    <row r="15422" ht="15.75" customHeight="1">
      <c r="A15422" s="2">
        <v>2021.0</v>
      </c>
      <c r="B15422" s="2" t="s">
        <v>59033</v>
      </c>
      <c r="C15422" s="2" t="s">
        <v>59033</v>
      </c>
      <c r="D15422" s="2" t="str">
        <f>"910 741 6610"</f>
        <v>910 741 6610</v>
      </c>
      <c r="E15422" s="2" t="s">
        <v>2361</v>
      </c>
      <c r="F15422" s="2" t="s">
        <v>19742</v>
      </c>
      <c r="G15422" s="2" t="str">
        <f>"SR-22235"</f>
        <v>SR-22235</v>
      </c>
      <c r="H15422" s="2" t="s">
        <v>59034</v>
      </c>
      <c r="I15422" s="2" t="s">
        <v>59035</v>
      </c>
      <c r="K15422" s="2" t="s">
        <v>404</v>
      </c>
      <c r="L15422" s="2" t="s">
        <v>165</v>
      </c>
      <c r="M15422" s="2">
        <v>22309.0</v>
      </c>
      <c r="N15422" s="2" t="s">
        <v>21</v>
      </c>
    </row>
    <row r="15423" ht="15.75" customHeight="1">
      <c r="A15423" s="2">
        <v>2021.0</v>
      </c>
      <c r="B15423" s="2" t="s">
        <v>59036</v>
      </c>
      <c r="C15423" s="2" t="s">
        <v>59037</v>
      </c>
      <c r="D15423" s="2" t="str">
        <f>"6787568483"</f>
        <v>6787568483</v>
      </c>
      <c r="E15423" s="2" t="s">
        <v>1208</v>
      </c>
      <c r="F15423" s="2" t="s">
        <v>59038</v>
      </c>
      <c r="G15423" s="2" t="str">
        <f>"SR-22283"</f>
        <v>SR-22283</v>
      </c>
      <c r="H15423" s="2" t="s">
        <v>59039</v>
      </c>
      <c r="I15423" s="2" t="s">
        <v>59040</v>
      </c>
      <c r="K15423" s="2" t="s">
        <v>3164</v>
      </c>
      <c r="L15423" s="2" t="s">
        <v>200</v>
      </c>
      <c r="M15423" s="2">
        <v>30215.0</v>
      </c>
      <c r="N15423" s="2" t="s">
        <v>21</v>
      </c>
    </row>
    <row r="15424" ht="15.75" customHeight="1">
      <c r="A15424" s="2">
        <v>2021.0</v>
      </c>
      <c r="B15424" s="2" t="s">
        <v>57602</v>
      </c>
      <c r="C15424" s="2" t="s">
        <v>59041</v>
      </c>
      <c r="D15424" s="2" t="str">
        <f>"7036291906"</f>
        <v>7036291906</v>
      </c>
      <c r="E15424" s="2" t="s">
        <v>59042</v>
      </c>
      <c r="F15424" s="2" t="s">
        <v>57604</v>
      </c>
      <c r="G15424" s="2" t="str">
        <f>"SR-22162"</f>
        <v>SR-22162</v>
      </c>
      <c r="H15424" s="2" t="s">
        <v>59043</v>
      </c>
      <c r="I15424" s="2" t="s">
        <v>57606</v>
      </c>
      <c r="K15424" s="2" t="s">
        <v>572</v>
      </c>
      <c r="L15424" s="2" t="s">
        <v>222</v>
      </c>
      <c r="M15424" s="2">
        <v>95648.0</v>
      </c>
      <c r="N15424" s="2" t="s">
        <v>21</v>
      </c>
    </row>
    <row r="15425" ht="15.75" customHeight="1">
      <c r="A15425" s="2">
        <v>2021.0</v>
      </c>
      <c r="B15425" s="2" t="s">
        <v>59044</v>
      </c>
      <c r="C15425" s="2" t="s">
        <v>59045</v>
      </c>
      <c r="D15425" s="2" t="str">
        <f>"2818839203"</f>
        <v>2818839203</v>
      </c>
      <c r="E15425" s="2" t="s">
        <v>6170</v>
      </c>
      <c r="F15425" s="2" t="s">
        <v>59046</v>
      </c>
      <c r="G15425" s="2" t="str">
        <f>"SR-22284"</f>
        <v>SR-22284</v>
      </c>
      <c r="H15425" s="2" t="s">
        <v>59047</v>
      </c>
      <c r="I15425" s="2" t="s">
        <v>59048</v>
      </c>
      <c r="K15425" s="2" t="s">
        <v>1173</v>
      </c>
      <c r="L15425" s="2" t="s">
        <v>539</v>
      </c>
      <c r="M15425" s="2">
        <v>35242.0</v>
      </c>
      <c r="N15425" s="2" t="s">
        <v>21</v>
      </c>
    </row>
    <row r="15426" ht="15.75" customHeight="1">
      <c r="A15426" s="2">
        <v>2021.0</v>
      </c>
      <c r="B15426" s="2" t="s">
        <v>59049</v>
      </c>
      <c r="C15426" s="2" t="s">
        <v>59050</v>
      </c>
      <c r="D15426" s="2" t="str">
        <f>"928-978-4763"</f>
        <v>928-978-4763</v>
      </c>
      <c r="E15426" s="2" t="s">
        <v>59051</v>
      </c>
      <c r="F15426" s="2" t="s">
        <v>59052</v>
      </c>
      <c r="G15426" s="2" t="str">
        <f>"SR-22287"</f>
        <v>SR-22287</v>
      </c>
      <c r="H15426" s="2" t="s">
        <v>59053</v>
      </c>
      <c r="I15426" s="2" t="s">
        <v>59054</v>
      </c>
      <c r="K15426" s="2" t="s">
        <v>58132</v>
      </c>
      <c r="L15426" s="2" t="s">
        <v>422</v>
      </c>
      <c r="M15426" s="2">
        <v>85541.0</v>
      </c>
      <c r="N15426" s="2" t="s">
        <v>21</v>
      </c>
    </row>
    <row r="15427" ht="15.75" customHeight="1">
      <c r="A15427" s="2">
        <v>2021.0</v>
      </c>
      <c r="B15427" s="2" t="s">
        <v>58762</v>
      </c>
      <c r="C15427" s="2" t="s">
        <v>59055</v>
      </c>
      <c r="D15427" s="2" t="str">
        <f>"423-635-5781"</f>
        <v>423-635-5781</v>
      </c>
      <c r="E15427" s="2" t="s">
        <v>26826</v>
      </c>
      <c r="F15427" s="2" t="s">
        <v>12373</v>
      </c>
      <c r="G15427" s="2" t="str">
        <f>"SR-22151"</f>
        <v>SR-22151</v>
      </c>
      <c r="H15427" s="2" t="s">
        <v>59056</v>
      </c>
      <c r="I15427" s="2" t="s">
        <v>52984</v>
      </c>
      <c r="K15427" s="2" t="s">
        <v>23449</v>
      </c>
      <c r="L15427" s="2" t="s">
        <v>279</v>
      </c>
      <c r="M15427" s="2">
        <v>37343.0</v>
      </c>
      <c r="N15427" s="2" t="s">
        <v>21</v>
      </c>
    </row>
    <row r="15428" ht="15.75" customHeight="1">
      <c r="A15428" s="2">
        <v>2021.0</v>
      </c>
      <c r="B15428" s="2" t="s">
        <v>59057</v>
      </c>
      <c r="C15428" s="2" t="s">
        <v>59058</v>
      </c>
      <c r="D15428" s="2" t="str">
        <f>"3217957742"</f>
        <v>3217957742</v>
      </c>
      <c r="E15428" s="2" t="s">
        <v>7754</v>
      </c>
      <c r="F15428" s="2" t="s">
        <v>59059</v>
      </c>
      <c r="G15428" s="2" t="str">
        <f>"SR-22289"</f>
        <v>SR-22289</v>
      </c>
      <c r="H15428" s="2" t="s">
        <v>59060</v>
      </c>
      <c r="I15428" s="2" t="s">
        <v>59061</v>
      </c>
      <c r="K15428" s="2" t="s">
        <v>1953</v>
      </c>
      <c r="L15428" s="2" t="s">
        <v>539</v>
      </c>
      <c r="M15428" s="2">
        <v>35806.0</v>
      </c>
      <c r="N15428" s="2" t="s">
        <v>21</v>
      </c>
    </row>
    <row r="15429" ht="15.75" customHeight="1">
      <c r="A15429" s="2">
        <v>2021.0</v>
      </c>
      <c r="B15429" s="2" t="s">
        <v>59062</v>
      </c>
      <c r="C15429" s="2" t="s">
        <v>59062</v>
      </c>
      <c r="D15429" s="2" t="str">
        <f>"7255026935"</f>
        <v>7255026935</v>
      </c>
      <c r="E15429" s="2" t="s">
        <v>3693</v>
      </c>
      <c r="F15429" s="2" t="s">
        <v>56733</v>
      </c>
      <c r="G15429" s="2" t="str">
        <f>"SR-22290"</f>
        <v>SR-22290</v>
      </c>
      <c r="H15429" s="2" t="s">
        <v>59063</v>
      </c>
      <c r="I15429" s="2" t="s">
        <v>59064</v>
      </c>
      <c r="K15429" s="2" t="s">
        <v>1239</v>
      </c>
      <c r="L15429" s="2" t="s">
        <v>200</v>
      </c>
      <c r="M15429" s="2">
        <v>31419.0</v>
      </c>
      <c r="N15429" s="2" t="s">
        <v>21</v>
      </c>
    </row>
    <row r="15430" ht="15.75" customHeight="1">
      <c r="A15430" s="2">
        <v>2021.0</v>
      </c>
      <c r="B15430" s="2" t="s">
        <v>59065</v>
      </c>
      <c r="C15430" s="2" t="s">
        <v>59066</v>
      </c>
      <c r="D15430" s="2" t="str">
        <f>"954 412 0774"</f>
        <v>954 412 0774</v>
      </c>
      <c r="E15430" s="2" t="s">
        <v>2480</v>
      </c>
      <c r="F15430" s="2" t="s">
        <v>3533</v>
      </c>
      <c r="G15430" s="2" t="str">
        <f>"SR-22291"</f>
        <v>SR-22291</v>
      </c>
      <c r="H15430" s="2" t="s">
        <v>59067</v>
      </c>
      <c r="I15430" s="2" t="s">
        <v>59068</v>
      </c>
      <c r="K15430" s="2" t="s">
        <v>15800</v>
      </c>
      <c r="L15430" s="2" t="s">
        <v>208</v>
      </c>
      <c r="M15430" s="2">
        <v>33028.0</v>
      </c>
      <c r="N15430" s="2" t="s">
        <v>21</v>
      </c>
    </row>
    <row r="15431" ht="15.75" customHeight="1">
      <c r="A15431" s="2">
        <v>2021.0</v>
      </c>
      <c r="B15431" s="2" t="s">
        <v>40561</v>
      </c>
      <c r="C15431" s="2" t="s">
        <v>59069</v>
      </c>
      <c r="D15431" s="2" t="str">
        <f>"208-882-0423"</f>
        <v>208-882-0423</v>
      </c>
      <c r="E15431" s="2" t="s">
        <v>2954</v>
      </c>
      <c r="F15431" s="2" t="s">
        <v>40564</v>
      </c>
      <c r="G15431" s="2" t="str">
        <f>"SR-17078"</f>
        <v>SR-17078</v>
      </c>
      <c r="H15431" s="2" t="s">
        <v>59070</v>
      </c>
      <c r="I15431" s="2" t="s">
        <v>40566</v>
      </c>
      <c r="K15431" s="2" t="s">
        <v>17102</v>
      </c>
      <c r="L15431" s="2" t="s">
        <v>2613</v>
      </c>
      <c r="M15431" s="2">
        <v>83843.0</v>
      </c>
      <c r="N15431" s="2" t="s">
        <v>21</v>
      </c>
    </row>
    <row r="15432" ht="15.75" customHeight="1">
      <c r="A15432" s="2">
        <v>2021.0</v>
      </c>
      <c r="B15432" s="2" t="s">
        <v>59071</v>
      </c>
      <c r="C15432" s="2" t="s">
        <v>59072</v>
      </c>
      <c r="D15432" s="2" t="str">
        <f>"205-617-4151"</f>
        <v>205-617-4151</v>
      </c>
      <c r="E15432" s="2" t="s">
        <v>24317</v>
      </c>
      <c r="F15432" s="2" t="s">
        <v>2725</v>
      </c>
      <c r="G15432" s="2" t="str">
        <f>"SR-22187"</f>
        <v>SR-22187</v>
      </c>
      <c r="H15432" s="2" t="s">
        <v>59073</v>
      </c>
      <c r="I15432" s="2" t="s">
        <v>59074</v>
      </c>
      <c r="K15432" s="2" t="s">
        <v>49289</v>
      </c>
      <c r="L15432" s="2" t="s">
        <v>539</v>
      </c>
      <c r="M15432" s="2">
        <v>35216.0</v>
      </c>
      <c r="N15432" s="2" t="s">
        <v>21</v>
      </c>
    </row>
    <row r="15433" ht="15.75" customHeight="1">
      <c r="A15433" s="2">
        <v>2021.0</v>
      </c>
      <c r="B15433" s="2" t="s">
        <v>59075</v>
      </c>
      <c r="C15433" s="2" t="s">
        <v>59076</v>
      </c>
      <c r="D15433" s="2" t="str">
        <f>"9033482004"</f>
        <v>9033482004</v>
      </c>
      <c r="E15433" s="2" t="s">
        <v>81</v>
      </c>
      <c r="F15433" s="2" t="s">
        <v>59077</v>
      </c>
      <c r="G15433" s="2" t="str">
        <f>"SR-22297"</f>
        <v>SR-22297</v>
      </c>
      <c r="H15433" s="2" t="s">
        <v>59078</v>
      </c>
      <c r="I15433" s="2" t="s">
        <v>59079</v>
      </c>
      <c r="K15433" s="2" t="s">
        <v>59080</v>
      </c>
      <c r="L15433" s="2" t="s">
        <v>172</v>
      </c>
      <c r="M15433" s="2">
        <v>76437.0</v>
      </c>
      <c r="N15433" s="2" t="s">
        <v>21</v>
      </c>
    </row>
    <row r="15434" ht="15.75" customHeight="1">
      <c r="A15434" s="2">
        <v>2021.0</v>
      </c>
      <c r="B15434" s="2" t="s">
        <v>59081</v>
      </c>
      <c r="C15434" s="2" t="s">
        <v>59082</v>
      </c>
      <c r="D15434" s="2" t="str">
        <f>"2543340776"</f>
        <v>2543340776</v>
      </c>
      <c r="E15434" s="2" t="s">
        <v>137</v>
      </c>
      <c r="F15434" s="2" t="s">
        <v>5808</v>
      </c>
      <c r="G15434" s="2" t="str">
        <f>"SR-22294"</f>
        <v>SR-22294</v>
      </c>
      <c r="H15434" s="2" t="s">
        <v>59083</v>
      </c>
      <c r="I15434" s="2" t="s">
        <v>59084</v>
      </c>
      <c r="K15434" s="2" t="s">
        <v>59080</v>
      </c>
      <c r="L15434" s="2" t="s">
        <v>172</v>
      </c>
      <c r="M15434" s="2">
        <v>76437.0</v>
      </c>
      <c r="N15434" s="2" t="s">
        <v>21</v>
      </c>
    </row>
    <row r="15435" ht="15.75" customHeight="1">
      <c r="A15435" s="2">
        <v>2021.0</v>
      </c>
      <c r="B15435" s="2" t="s">
        <v>51429</v>
      </c>
      <c r="C15435" s="2" t="s">
        <v>51430</v>
      </c>
      <c r="D15435" s="2" t="str">
        <f>"419-351-3489"</f>
        <v>419-351-3489</v>
      </c>
      <c r="E15435" s="2" t="s">
        <v>9010</v>
      </c>
      <c r="F15435" s="2" t="s">
        <v>283</v>
      </c>
      <c r="G15435" s="2" t="str">
        <f>"SR-17388"</f>
        <v>SR-17388</v>
      </c>
      <c r="H15435" s="2" t="s">
        <v>51431</v>
      </c>
      <c r="I15435" s="2" t="s">
        <v>51432</v>
      </c>
      <c r="K15435" s="2" t="s">
        <v>51318</v>
      </c>
      <c r="L15435" s="2" t="s">
        <v>344</v>
      </c>
      <c r="M15435" s="2">
        <v>43623.0</v>
      </c>
      <c r="N15435" s="2" t="s">
        <v>21</v>
      </c>
    </row>
    <row r="15436" ht="15.75" customHeight="1">
      <c r="A15436" s="2">
        <v>2021.0</v>
      </c>
      <c r="B15436" s="2" t="s">
        <v>59085</v>
      </c>
      <c r="C15436" s="2" t="s">
        <v>59085</v>
      </c>
      <c r="D15436" s="2" t="str">
        <f>"3038153200"</f>
        <v>3038153200</v>
      </c>
      <c r="E15436" s="2" t="s">
        <v>45571</v>
      </c>
      <c r="F15436" s="2" t="s">
        <v>59086</v>
      </c>
      <c r="G15436" s="2" t="str">
        <f>"SR-22298"</f>
        <v>SR-22298</v>
      </c>
      <c r="H15436" s="2" t="s">
        <v>59087</v>
      </c>
      <c r="I15436" s="2" t="s">
        <v>59088</v>
      </c>
      <c r="K15436" s="2" t="s">
        <v>1889</v>
      </c>
      <c r="L15436" s="2" t="s">
        <v>157</v>
      </c>
      <c r="M15436" s="2">
        <v>80123.0</v>
      </c>
      <c r="N15436" s="2" t="s">
        <v>21</v>
      </c>
    </row>
    <row r="15437" ht="15.75" customHeight="1">
      <c r="A15437" s="2">
        <v>2021.0</v>
      </c>
      <c r="B15437" s="2" t="s">
        <v>49516</v>
      </c>
      <c r="C15437" s="2" t="s">
        <v>49517</v>
      </c>
      <c r="D15437" s="2" t="str">
        <f>"4064612885"</f>
        <v>4064612885</v>
      </c>
      <c r="E15437" s="2" t="s">
        <v>24</v>
      </c>
      <c r="F15437" s="2" t="s">
        <v>49242</v>
      </c>
      <c r="G15437" s="2" t="str">
        <f>"SR-17717"</f>
        <v>SR-17717</v>
      </c>
      <c r="H15437" s="2" t="s">
        <v>49518</v>
      </c>
      <c r="I15437" s="2" t="s">
        <v>49519</v>
      </c>
      <c r="K15437" s="2" t="s">
        <v>49245</v>
      </c>
      <c r="L15437" s="2" t="s">
        <v>2696</v>
      </c>
      <c r="M15437" s="2">
        <v>59635.0</v>
      </c>
      <c r="N15437" s="2" t="s">
        <v>21</v>
      </c>
    </row>
    <row r="15438" ht="15.75" customHeight="1">
      <c r="A15438" s="2">
        <v>2021.0</v>
      </c>
      <c r="B15438" s="2" t="s">
        <v>59089</v>
      </c>
      <c r="C15438" s="2" t="s">
        <v>59089</v>
      </c>
      <c r="D15438" s="2" t="str">
        <f>"2107808231"</f>
        <v>2107808231</v>
      </c>
      <c r="E15438" s="2" t="s">
        <v>1190</v>
      </c>
      <c r="F15438" s="2" t="s">
        <v>850</v>
      </c>
      <c r="G15438" s="2" t="str">
        <f>"SR-22259"</f>
        <v>SR-22259</v>
      </c>
      <c r="H15438" s="2" t="s">
        <v>59090</v>
      </c>
      <c r="I15438" s="2" t="s">
        <v>59091</v>
      </c>
      <c r="K15438" s="2" t="s">
        <v>632</v>
      </c>
      <c r="L15438" s="2" t="s">
        <v>172</v>
      </c>
      <c r="M15438" s="2">
        <v>78261.0</v>
      </c>
      <c r="N15438" s="2" t="s">
        <v>21</v>
      </c>
    </row>
    <row r="15439" ht="15.75" customHeight="1">
      <c r="A15439" s="2">
        <v>2021.0</v>
      </c>
      <c r="B15439" s="2" t="s">
        <v>30830</v>
      </c>
      <c r="C15439" s="2" t="s">
        <v>30830</v>
      </c>
      <c r="D15439" s="2" t="str">
        <f>"406-850-5046"</f>
        <v>406-850-5046</v>
      </c>
      <c r="E15439" s="2" t="s">
        <v>15</v>
      </c>
      <c r="F15439" s="2" t="s">
        <v>30832</v>
      </c>
      <c r="G15439" s="2" t="str">
        <f>"SR-22244"</f>
        <v>SR-22244</v>
      </c>
      <c r="H15439" s="2" t="s">
        <v>59092</v>
      </c>
      <c r="I15439" s="2" t="s">
        <v>59093</v>
      </c>
      <c r="K15439" s="2" t="s">
        <v>3548</v>
      </c>
      <c r="L15439" s="2" t="s">
        <v>2696</v>
      </c>
      <c r="M15439" s="2">
        <v>59105.0</v>
      </c>
      <c r="N15439" s="2" t="s">
        <v>21</v>
      </c>
    </row>
    <row r="15440" ht="15.75" customHeight="1">
      <c r="A15440" s="2">
        <v>2021.0</v>
      </c>
      <c r="B15440" s="2" t="s">
        <v>59094</v>
      </c>
      <c r="D15440" s="2" t="str">
        <f>""</f>
        <v/>
      </c>
      <c r="E15440" s="2" t="s">
        <v>59095</v>
      </c>
      <c r="F15440" s="2" t="s">
        <v>59096</v>
      </c>
      <c r="G15440" s="2" t="str">
        <f>"SR-22271"</f>
        <v>SR-22271</v>
      </c>
      <c r="H15440" s="2" t="s">
        <v>59097</v>
      </c>
      <c r="N15440" s="2" t="s">
        <v>21</v>
      </c>
    </row>
    <row r="15441" ht="15.75" customHeight="1">
      <c r="A15441" s="2">
        <v>2021.0</v>
      </c>
      <c r="B15441" s="2" t="s">
        <v>59098</v>
      </c>
      <c r="C15441" s="2" t="s">
        <v>59099</v>
      </c>
      <c r="D15441" s="2" t="str">
        <f>"9122454126"</f>
        <v>9122454126</v>
      </c>
      <c r="E15441" s="2" t="s">
        <v>59100</v>
      </c>
      <c r="F15441" s="2" t="s">
        <v>53811</v>
      </c>
      <c r="G15441" s="2" t="str">
        <f>"SR-22213"</f>
        <v>SR-22213</v>
      </c>
      <c r="H15441" s="2" t="s">
        <v>59101</v>
      </c>
      <c r="I15441" s="2" t="s">
        <v>59102</v>
      </c>
      <c r="K15441" s="2" t="s">
        <v>6817</v>
      </c>
      <c r="L15441" s="2" t="s">
        <v>200</v>
      </c>
      <c r="M15441" s="2">
        <v>30474.0</v>
      </c>
      <c r="N15441" s="2" t="s">
        <v>21</v>
      </c>
    </row>
    <row r="15442" ht="15.75" customHeight="1">
      <c r="A15442" s="2">
        <v>2021.0</v>
      </c>
      <c r="B15442" s="2" t="s">
        <v>52500</v>
      </c>
      <c r="C15442" s="2" t="s">
        <v>52501</v>
      </c>
      <c r="D15442" s="2" t="str">
        <f>"7077586554"</f>
        <v>7077586554</v>
      </c>
      <c r="E15442" s="2" t="s">
        <v>373</v>
      </c>
      <c r="F15442" s="2" t="s">
        <v>1130</v>
      </c>
      <c r="G15442" s="2" t="str">
        <f>"SR-18714"</f>
        <v>SR-18714</v>
      </c>
      <c r="H15442" s="2" t="s">
        <v>52502</v>
      </c>
      <c r="I15442" s="2" t="s">
        <v>52503</v>
      </c>
      <c r="K15442" s="2" t="s">
        <v>52504</v>
      </c>
      <c r="L15442" s="2" t="s">
        <v>222</v>
      </c>
      <c r="M15442" s="2">
        <v>94928.0</v>
      </c>
      <c r="N15442" s="2" t="s">
        <v>21</v>
      </c>
    </row>
    <row r="15443" ht="15.75" customHeight="1">
      <c r="A15443" s="2">
        <v>2021.0</v>
      </c>
      <c r="B15443" s="2" t="s">
        <v>59103</v>
      </c>
      <c r="C15443" s="2" t="s">
        <v>59103</v>
      </c>
      <c r="D15443" s="2" t="str">
        <f>"4048845566"</f>
        <v>4048845566</v>
      </c>
      <c r="E15443" s="2" t="s">
        <v>1263</v>
      </c>
      <c r="F15443" s="2" t="s">
        <v>49189</v>
      </c>
      <c r="G15443" s="2" t="str">
        <f>"SR-22303"</f>
        <v>SR-22303</v>
      </c>
      <c r="H15443" s="2" t="s">
        <v>59104</v>
      </c>
      <c r="I15443" s="2" t="s">
        <v>59105</v>
      </c>
      <c r="K15443" s="2" t="s">
        <v>7938</v>
      </c>
      <c r="L15443" s="2" t="s">
        <v>200</v>
      </c>
      <c r="M15443" s="2">
        <v>30102.0</v>
      </c>
      <c r="N15443" s="2" t="s">
        <v>21</v>
      </c>
    </row>
    <row r="15444" ht="15.75" customHeight="1">
      <c r="A15444" s="2">
        <v>2021.0</v>
      </c>
      <c r="B15444" s="2" t="s">
        <v>59106</v>
      </c>
      <c r="C15444" s="2" t="s">
        <v>59107</v>
      </c>
      <c r="D15444" s="2" t="str">
        <f>"6263279334"</f>
        <v>6263279334</v>
      </c>
      <c r="E15444" s="2" t="s">
        <v>6555</v>
      </c>
      <c r="F15444" s="2" t="s">
        <v>59108</v>
      </c>
      <c r="G15444" s="2" t="str">
        <f>"SR-20858"</f>
        <v>SR-20858</v>
      </c>
      <c r="H15444" s="2" t="s">
        <v>59109</v>
      </c>
      <c r="I15444" s="2" t="s">
        <v>59110</v>
      </c>
      <c r="K15444" s="2" t="s">
        <v>992</v>
      </c>
      <c r="L15444" s="2" t="s">
        <v>157</v>
      </c>
      <c r="M15444" s="2">
        <v>80122.0</v>
      </c>
      <c r="N15444" s="2" t="s">
        <v>21</v>
      </c>
    </row>
    <row r="15445" ht="15.75" customHeight="1">
      <c r="A15445" s="2">
        <v>2021.0</v>
      </c>
      <c r="B15445" s="2" t="s">
        <v>59111</v>
      </c>
      <c r="C15445" s="2" t="s">
        <v>59112</v>
      </c>
      <c r="D15445" s="2" t="str">
        <f>"6012780508"</f>
        <v>6012780508</v>
      </c>
      <c r="E15445" s="2" t="s">
        <v>1141</v>
      </c>
      <c r="F15445" s="2" t="s">
        <v>45111</v>
      </c>
      <c r="G15445" s="2" t="str">
        <f>"SR-22307"</f>
        <v>SR-22307</v>
      </c>
      <c r="H15445" s="2" t="s">
        <v>59113</v>
      </c>
      <c r="I15445" s="2" t="s">
        <v>59114</v>
      </c>
      <c r="K15445" s="2" t="s">
        <v>1257</v>
      </c>
      <c r="L15445" s="2" t="s">
        <v>1722</v>
      </c>
      <c r="M15445" s="2">
        <v>39211.0</v>
      </c>
      <c r="N15445" s="2" t="s">
        <v>21</v>
      </c>
    </row>
    <row r="15446" ht="15.75" customHeight="1">
      <c r="A15446" s="2">
        <v>2021.0</v>
      </c>
      <c r="B15446" s="2" t="s">
        <v>50849</v>
      </c>
      <c r="C15446" s="2" t="s">
        <v>50850</v>
      </c>
      <c r="D15446" s="2" t="str">
        <f>"6154789457"</f>
        <v>6154789457</v>
      </c>
      <c r="E15446" s="2" t="s">
        <v>2861</v>
      </c>
      <c r="F15446" s="2" t="s">
        <v>44774</v>
      </c>
      <c r="G15446" s="2" t="str">
        <f>"SR-18128"</f>
        <v>SR-18128</v>
      </c>
      <c r="H15446" s="2" t="s">
        <v>50851</v>
      </c>
      <c r="I15446" s="2" t="s">
        <v>50852</v>
      </c>
      <c r="K15446" s="2" t="s">
        <v>731</v>
      </c>
      <c r="L15446" s="2" t="s">
        <v>279</v>
      </c>
      <c r="M15446" s="2">
        <v>37211.0</v>
      </c>
      <c r="N15446" s="2" t="s">
        <v>21</v>
      </c>
    </row>
    <row r="15447" ht="15.75" customHeight="1">
      <c r="A15447" s="2">
        <v>2021.0</v>
      </c>
      <c r="B15447" s="2" t="s">
        <v>59115</v>
      </c>
      <c r="C15447" s="2" t="s">
        <v>59116</v>
      </c>
      <c r="D15447" s="2" t="str">
        <f>"8036874149"</f>
        <v>8036874149</v>
      </c>
      <c r="E15447" s="2" t="s">
        <v>2306</v>
      </c>
      <c r="F15447" s="2" t="s">
        <v>457</v>
      </c>
      <c r="G15447" s="2" t="str">
        <f>"SR-22221"</f>
        <v>SR-22221</v>
      </c>
      <c r="H15447" s="2" t="s">
        <v>59117</v>
      </c>
      <c r="I15447" s="2" t="s">
        <v>59118</v>
      </c>
      <c r="K15447" s="2" t="s">
        <v>254</v>
      </c>
      <c r="L15447" s="2" t="s">
        <v>55</v>
      </c>
      <c r="M15447" s="2">
        <v>29072.0</v>
      </c>
      <c r="N15447" s="2" t="s">
        <v>21</v>
      </c>
    </row>
    <row r="15448" ht="15.75" customHeight="1">
      <c r="A15448" s="2">
        <v>2021.0</v>
      </c>
      <c r="B15448" s="2" t="s">
        <v>59119</v>
      </c>
      <c r="C15448" s="2" t="s">
        <v>59119</v>
      </c>
      <c r="D15448" s="2" t="str">
        <f>"8638401250"</f>
        <v>8638401250</v>
      </c>
      <c r="E15448" s="2" t="s">
        <v>14038</v>
      </c>
      <c r="F15448" s="2" t="s">
        <v>59120</v>
      </c>
      <c r="G15448" s="2" t="str">
        <f>"SR-22172"</f>
        <v>SR-22172</v>
      </c>
      <c r="H15448" s="2" t="s">
        <v>59121</v>
      </c>
      <c r="I15448" s="2" t="s">
        <v>59122</v>
      </c>
      <c r="K15448" s="2" t="s">
        <v>26300</v>
      </c>
      <c r="L15448" s="2" t="s">
        <v>208</v>
      </c>
      <c r="M15448" s="2">
        <v>33852.0</v>
      </c>
      <c r="N15448" s="2" t="s">
        <v>21</v>
      </c>
    </row>
    <row r="15449" ht="15.75" customHeight="1">
      <c r="A15449" s="2">
        <v>2021.0</v>
      </c>
      <c r="B15449" s="2" t="s">
        <v>59123</v>
      </c>
      <c r="C15449" s="2" t="s">
        <v>59124</v>
      </c>
      <c r="D15449" s="2" t="str">
        <f>"8178296072"</f>
        <v>8178296072</v>
      </c>
      <c r="E15449" s="2" t="s">
        <v>1150</v>
      </c>
      <c r="F15449" s="2" t="s">
        <v>11107</v>
      </c>
      <c r="G15449" s="2" t="str">
        <f>"SR-22317"</f>
        <v>SR-22317</v>
      </c>
      <c r="H15449" s="2" t="s">
        <v>59125</v>
      </c>
      <c r="I15449" s="2" t="s">
        <v>59126</v>
      </c>
      <c r="K15449" s="2" t="s">
        <v>1260</v>
      </c>
      <c r="L15449" s="2" t="s">
        <v>172</v>
      </c>
      <c r="M15449" s="2">
        <v>76109.0</v>
      </c>
      <c r="N15449" s="2" t="s">
        <v>21</v>
      </c>
    </row>
    <row r="15450" ht="15.75" customHeight="1">
      <c r="A15450" s="2">
        <v>2021.0</v>
      </c>
      <c r="B15450" s="2" t="s">
        <v>59127</v>
      </c>
      <c r="C15450" s="2" t="s">
        <v>59128</v>
      </c>
      <c r="D15450" s="2" t="str">
        <f>"7205571424"</f>
        <v>7205571424</v>
      </c>
      <c r="E15450" s="2" t="s">
        <v>217</v>
      </c>
      <c r="F15450" s="2" t="s">
        <v>11424</v>
      </c>
      <c r="G15450" s="2" t="str">
        <f>"SR-22318"</f>
        <v>SR-22318</v>
      </c>
      <c r="H15450" s="2" t="s">
        <v>59129</v>
      </c>
      <c r="I15450" s="2" t="s">
        <v>59130</v>
      </c>
      <c r="K15450" s="2" t="s">
        <v>1520</v>
      </c>
      <c r="L15450" s="2" t="s">
        <v>157</v>
      </c>
      <c r="M15450" s="2">
        <v>80012.0</v>
      </c>
      <c r="N15450" s="2" t="s">
        <v>21</v>
      </c>
    </row>
    <row r="15451" ht="15.75" customHeight="1">
      <c r="A15451" s="2">
        <v>2021.0</v>
      </c>
      <c r="B15451" s="2" t="s">
        <v>59127</v>
      </c>
      <c r="C15451" s="2" t="s">
        <v>59131</v>
      </c>
      <c r="D15451" s="2" t="str">
        <f>"3037451720"</f>
        <v>3037451720</v>
      </c>
      <c r="E15451" s="2" t="s">
        <v>705</v>
      </c>
      <c r="F15451" s="2" t="s">
        <v>11424</v>
      </c>
      <c r="G15451" s="2" t="str">
        <f>"SR-22319"</f>
        <v>SR-22319</v>
      </c>
      <c r="H15451" s="2" t="s">
        <v>59132</v>
      </c>
      <c r="I15451" s="2" t="s">
        <v>59130</v>
      </c>
      <c r="K15451" s="2" t="s">
        <v>1520</v>
      </c>
      <c r="L15451" s="2" t="s">
        <v>157</v>
      </c>
      <c r="M15451" s="2">
        <v>80012.0</v>
      </c>
      <c r="N15451" s="2" t="s">
        <v>21</v>
      </c>
    </row>
    <row r="15452" ht="15.75" customHeight="1">
      <c r="A15452" s="2">
        <v>2021.0</v>
      </c>
      <c r="B15452" s="2" t="s">
        <v>59133</v>
      </c>
      <c r="C15452" s="2" t="s">
        <v>59133</v>
      </c>
      <c r="D15452" s="2" t="str">
        <f>"6822482372"</f>
        <v>6822482372</v>
      </c>
      <c r="E15452" s="2" t="s">
        <v>21625</v>
      </c>
      <c r="F15452" s="2" t="s">
        <v>59134</v>
      </c>
      <c r="G15452" s="2" t="str">
        <f>"SR-22257"</f>
        <v>SR-22257</v>
      </c>
      <c r="H15452" s="2" t="s">
        <v>59135</v>
      </c>
      <c r="I15452" s="2" t="s">
        <v>59136</v>
      </c>
      <c r="K15452" s="2" t="s">
        <v>1260</v>
      </c>
      <c r="L15452" s="2" t="s">
        <v>172</v>
      </c>
      <c r="M15452" s="2">
        <v>76134.0</v>
      </c>
      <c r="N15452" s="2" t="s">
        <v>21</v>
      </c>
    </row>
    <row r="15453" ht="15.75" customHeight="1">
      <c r="A15453" s="2">
        <v>2021.0</v>
      </c>
      <c r="B15453" s="2" t="s">
        <v>59137</v>
      </c>
      <c r="C15453" s="2" t="s">
        <v>59138</v>
      </c>
      <c r="D15453" s="2" t="str">
        <f>"8174540531"</f>
        <v>8174540531</v>
      </c>
      <c r="E15453" s="2" t="s">
        <v>59139</v>
      </c>
      <c r="F15453" s="2" t="s">
        <v>9568</v>
      </c>
      <c r="G15453" s="2" t="str">
        <f>"SR-22251"</f>
        <v>SR-22251</v>
      </c>
      <c r="H15453" s="2" t="s">
        <v>59140</v>
      </c>
      <c r="I15453" s="2" t="s">
        <v>59141</v>
      </c>
      <c r="K15453" s="2" t="s">
        <v>1260</v>
      </c>
      <c r="L15453" s="2" t="s">
        <v>172</v>
      </c>
      <c r="M15453" s="2">
        <v>76107.0</v>
      </c>
      <c r="N15453" s="2" t="s">
        <v>21</v>
      </c>
    </row>
    <row r="15454" ht="15.75" customHeight="1">
      <c r="A15454" s="2">
        <v>2021.0</v>
      </c>
      <c r="B15454" s="2" t="s">
        <v>59142</v>
      </c>
      <c r="C15454" s="2" t="s">
        <v>59143</v>
      </c>
      <c r="D15454" s="2" t="str">
        <f>"4178495039"</f>
        <v>4178495039</v>
      </c>
      <c r="E15454" s="2" t="s">
        <v>456</v>
      </c>
      <c r="F15454" s="2" t="s">
        <v>3903</v>
      </c>
      <c r="G15454" s="2" t="str">
        <f>"SR-22325"</f>
        <v>SR-22325</v>
      </c>
      <c r="H15454" s="2" t="s">
        <v>59144</v>
      </c>
      <c r="I15454" s="2" t="s">
        <v>59145</v>
      </c>
      <c r="K15454" s="2" t="s">
        <v>3239</v>
      </c>
      <c r="L15454" s="2" t="s">
        <v>214</v>
      </c>
      <c r="M15454" s="2">
        <v>65809.0</v>
      </c>
      <c r="N15454" s="2" t="s">
        <v>21</v>
      </c>
    </row>
    <row r="15455" ht="15.75" customHeight="1">
      <c r="A15455" s="2">
        <v>2021.0</v>
      </c>
      <c r="B15455" s="2" t="s">
        <v>59146</v>
      </c>
      <c r="C15455" s="2" t="s">
        <v>59146</v>
      </c>
      <c r="D15455" s="2" t="str">
        <f>"9524600535"</f>
        <v>9524600535</v>
      </c>
      <c r="E15455" s="2" t="s">
        <v>18187</v>
      </c>
      <c r="F15455" s="2" t="s">
        <v>59147</v>
      </c>
      <c r="G15455" s="2" t="str">
        <f>"SR-22326"</f>
        <v>SR-22326</v>
      </c>
      <c r="H15455" s="2" t="s">
        <v>59148</v>
      </c>
      <c r="I15455" s="2" t="s">
        <v>59149</v>
      </c>
      <c r="K15455" s="2" t="s">
        <v>7340</v>
      </c>
      <c r="L15455" s="2" t="s">
        <v>62</v>
      </c>
      <c r="M15455" s="2">
        <v>55356.0</v>
      </c>
      <c r="N15455" s="2" t="s">
        <v>21</v>
      </c>
    </row>
    <row r="15456" ht="15.75" customHeight="1">
      <c r="A15456" s="2">
        <v>2021.0</v>
      </c>
      <c r="B15456" s="2" t="s">
        <v>59150</v>
      </c>
      <c r="C15456" s="2" t="s">
        <v>59150</v>
      </c>
      <c r="D15456" s="2" t="str">
        <f>"4342583203"</f>
        <v>4342583203</v>
      </c>
      <c r="E15456" s="2" t="s">
        <v>1088</v>
      </c>
      <c r="F15456" s="2" t="s">
        <v>45514</v>
      </c>
      <c r="G15456" s="2" t="str">
        <f>"SR-22327"</f>
        <v>SR-22327</v>
      </c>
      <c r="H15456" s="2" t="s">
        <v>59151</v>
      </c>
      <c r="I15456" s="2" t="s">
        <v>59152</v>
      </c>
      <c r="K15456" s="2" t="s">
        <v>4126</v>
      </c>
      <c r="L15456" s="2" t="s">
        <v>165</v>
      </c>
      <c r="M15456" s="2">
        <v>24502.0</v>
      </c>
      <c r="N15456" s="2" t="s">
        <v>21</v>
      </c>
    </row>
    <row r="15457" ht="15.75" customHeight="1">
      <c r="A15457" s="2">
        <v>2021.0</v>
      </c>
      <c r="B15457" s="2" t="s">
        <v>59153</v>
      </c>
      <c r="C15457" s="2" t="s">
        <v>59153</v>
      </c>
      <c r="D15457" s="2" t="str">
        <f>"704-912-7049"</f>
        <v>704-912-7049</v>
      </c>
      <c r="E15457" s="2" t="s">
        <v>261</v>
      </c>
      <c r="F15457" s="2" t="s">
        <v>4065</v>
      </c>
      <c r="G15457" s="2" t="str">
        <f>"SR-22330"</f>
        <v>SR-22330</v>
      </c>
      <c r="H15457" s="2" t="s">
        <v>59154</v>
      </c>
      <c r="I15457" s="2" t="s">
        <v>59155</v>
      </c>
      <c r="K15457" s="2" t="s">
        <v>21429</v>
      </c>
      <c r="L15457" s="2" t="s">
        <v>20</v>
      </c>
      <c r="M15457" s="2">
        <v>28036.0</v>
      </c>
      <c r="N15457" s="2" t="s">
        <v>21</v>
      </c>
    </row>
    <row r="15458" ht="15.75" customHeight="1">
      <c r="A15458" s="2">
        <v>2021.0</v>
      </c>
      <c r="B15458" s="2" t="s">
        <v>59156</v>
      </c>
      <c r="C15458" s="2" t="s">
        <v>59157</v>
      </c>
      <c r="D15458" s="2" t="str">
        <f>"864-380-6625"</f>
        <v>864-380-6625</v>
      </c>
      <c r="E15458" s="2" t="s">
        <v>59158</v>
      </c>
      <c r="F15458" s="2" t="s">
        <v>59159</v>
      </c>
      <c r="G15458" s="2" t="str">
        <f>"SR-22335"</f>
        <v>SR-22335</v>
      </c>
      <c r="H15458" s="2" t="s">
        <v>59160</v>
      </c>
      <c r="I15458" s="2" t="s">
        <v>59161</v>
      </c>
      <c r="K15458" s="2" t="s">
        <v>1878</v>
      </c>
      <c r="L15458" s="2" t="s">
        <v>55</v>
      </c>
      <c r="M15458" s="2">
        <v>29681.0</v>
      </c>
      <c r="N15458" s="2" t="s">
        <v>21</v>
      </c>
    </row>
    <row r="15459" ht="15.75" customHeight="1">
      <c r="A15459" s="2">
        <v>2021.0</v>
      </c>
      <c r="B15459" s="2" t="s">
        <v>59162</v>
      </c>
      <c r="C15459" s="2" t="s">
        <v>59162</v>
      </c>
      <c r="D15459" s="2" t="str">
        <f>"919 812 7535"</f>
        <v>919 812 7535</v>
      </c>
      <c r="E15459" s="2" t="s">
        <v>59163</v>
      </c>
      <c r="F15459" s="2" t="s">
        <v>1101</v>
      </c>
      <c r="G15459" s="2" t="str">
        <f>"SR-22336"</f>
        <v>SR-22336</v>
      </c>
      <c r="H15459" s="2" t="s">
        <v>59164</v>
      </c>
      <c r="I15459" s="2" t="s">
        <v>59165</v>
      </c>
      <c r="K15459" s="2" t="s">
        <v>13569</v>
      </c>
      <c r="L15459" s="2" t="s">
        <v>20</v>
      </c>
      <c r="M15459" s="2">
        <v>27526.0</v>
      </c>
      <c r="N15459" s="2" t="s">
        <v>21</v>
      </c>
    </row>
    <row r="15460" ht="15.75" customHeight="1">
      <c r="A15460" s="2">
        <v>2021.0</v>
      </c>
      <c r="B15460" s="2" t="s">
        <v>59166</v>
      </c>
      <c r="C15460" s="2" t="s">
        <v>59167</v>
      </c>
      <c r="D15460" s="2" t="str">
        <f>"8136015216"</f>
        <v>8136015216</v>
      </c>
      <c r="E15460" s="2" t="s">
        <v>751</v>
      </c>
      <c r="F15460" s="2" t="s">
        <v>59168</v>
      </c>
      <c r="G15460" s="2" t="str">
        <f>"SR-22338"</f>
        <v>SR-22338</v>
      </c>
      <c r="H15460" s="2" t="s">
        <v>59169</v>
      </c>
      <c r="I15460" s="2" t="s">
        <v>59170</v>
      </c>
      <c r="K15460" s="2" t="s">
        <v>3431</v>
      </c>
      <c r="L15460" s="2" t="s">
        <v>208</v>
      </c>
      <c r="M15460" s="2">
        <v>33618.0</v>
      </c>
      <c r="N15460" s="2" t="s">
        <v>21</v>
      </c>
    </row>
    <row r="15461" ht="15.75" customHeight="1">
      <c r="A15461" s="2">
        <v>2021.0</v>
      </c>
      <c r="B15461" s="2" t="s">
        <v>59171</v>
      </c>
      <c r="C15461" s="2" t="s">
        <v>59171</v>
      </c>
      <c r="D15461" s="2" t="str">
        <f t="shared" ref="D15461:D15463" si="248">"3037665636"</f>
        <v>3037665636</v>
      </c>
      <c r="E15461" s="2" t="s">
        <v>7996</v>
      </c>
      <c r="F15461" s="2" t="s">
        <v>59172</v>
      </c>
      <c r="G15461" s="2" t="str">
        <f>"SR-22342"</f>
        <v>SR-22342</v>
      </c>
      <c r="H15461" s="2" t="s">
        <v>59173</v>
      </c>
      <c r="I15461" s="2" t="s">
        <v>59174</v>
      </c>
      <c r="K15461" s="2" t="s">
        <v>992</v>
      </c>
      <c r="L15461" s="2" t="s">
        <v>157</v>
      </c>
      <c r="M15461" s="2">
        <v>80015.0</v>
      </c>
      <c r="N15461" s="2" t="s">
        <v>21</v>
      </c>
    </row>
    <row r="15462" ht="15.75" customHeight="1">
      <c r="A15462" s="2">
        <v>2021.0</v>
      </c>
      <c r="B15462" s="2" t="s">
        <v>59171</v>
      </c>
      <c r="C15462" s="2" t="s">
        <v>59171</v>
      </c>
      <c r="D15462" s="2" t="str">
        <f t="shared" si="248"/>
        <v>3037665636</v>
      </c>
      <c r="E15462" s="2" t="s">
        <v>282</v>
      </c>
      <c r="F15462" s="2" t="s">
        <v>59172</v>
      </c>
      <c r="G15462" s="2" t="str">
        <f>"SR-22343"</f>
        <v>SR-22343</v>
      </c>
      <c r="H15462" s="2" t="s">
        <v>59175</v>
      </c>
      <c r="I15462" s="2" t="s">
        <v>59174</v>
      </c>
      <c r="K15462" s="2" t="s">
        <v>992</v>
      </c>
      <c r="L15462" s="2" t="s">
        <v>157</v>
      </c>
      <c r="M15462" s="2">
        <v>80015.0</v>
      </c>
      <c r="N15462" s="2" t="s">
        <v>21</v>
      </c>
    </row>
    <row r="15463" ht="15.75" customHeight="1">
      <c r="A15463" s="2">
        <v>2021.0</v>
      </c>
      <c r="B15463" s="2" t="s">
        <v>59171</v>
      </c>
      <c r="C15463" s="2" t="s">
        <v>59171</v>
      </c>
      <c r="D15463" s="2" t="str">
        <f t="shared" si="248"/>
        <v>3037665636</v>
      </c>
      <c r="E15463" s="2" t="s">
        <v>1257</v>
      </c>
      <c r="F15463" s="2" t="s">
        <v>59172</v>
      </c>
      <c r="G15463" s="2" t="str">
        <f>"SR-22344"</f>
        <v>SR-22344</v>
      </c>
      <c r="H15463" s="2" t="s">
        <v>59176</v>
      </c>
      <c r="I15463" s="2" t="s">
        <v>59174</v>
      </c>
      <c r="K15463" s="2" t="s">
        <v>992</v>
      </c>
      <c r="L15463" s="2" t="s">
        <v>157</v>
      </c>
      <c r="M15463" s="2">
        <v>80015.0</v>
      </c>
      <c r="N15463" s="2" t="s">
        <v>21</v>
      </c>
    </row>
    <row r="15464" ht="15.75" customHeight="1">
      <c r="A15464" s="2">
        <v>2021.0</v>
      </c>
      <c r="B15464" s="2" t="s">
        <v>53391</v>
      </c>
      <c r="C15464" s="2" t="s">
        <v>53392</v>
      </c>
      <c r="D15464" s="2" t="str">
        <f>"216-346-8370"</f>
        <v>216-346-8370</v>
      </c>
      <c r="E15464" s="2" t="s">
        <v>225</v>
      </c>
      <c r="F15464" s="2" t="s">
        <v>53393</v>
      </c>
      <c r="G15464" s="2" t="str">
        <f>"SR-19198"</f>
        <v>SR-19198</v>
      </c>
      <c r="H15464" s="2" t="s">
        <v>53394</v>
      </c>
      <c r="I15464" s="2" t="s">
        <v>53395</v>
      </c>
      <c r="K15464" s="2" t="s">
        <v>53396</v>
      </c>
      <c r="L15464" s="2" t="s">
        <v>344</v>
      </c>
      <c r="M15464" s="2">
        <v>44146.0</v>
      </c>
      <c r="N15464" s="2" t="s">
        <v>21</v>
      </c>
    </row>
    <row r="15465" ht="15.75" customHeight="1">
      <c r="A15465" s="2">
        <v>2021.0</v>
      </c>
      <c r="B15465" s="2" t="s">
        <v>53391</v>
      </c>
      <c r="C15465" s="2" t="s">
        <v>53397</v>
      </c>
      <c r="D15465" s="2" t="str">
        <f>"216-401-1258"</f>
        <v>216-401-1258</v>
      </c>
      <c r="E15465" s="2" t="s">
        <v>1803</v>
      </c>
      <c r="F15465" s="2" t="s">
        <v>53393</v>
      </c>
      <c r="G15465" s="2" t="str">
        <f>"SR-19199"</f>
        <v>SR-19199</v>
      </c>
      <c r="H15465" s="2" t="s">
        <v>53398</v>
      </c>
      <c r="I15465" s="2" t="s">
        <v>53395</v>
      </c>
      <c r="K15465" s="2" t="s">
        <v>53396</v>
      </c>
      <c r="L15465" s="2" t="s">
        <v>344</v>
      </c>
      <c r="M15465" s="2">
        <v>44146.0</v>
      </c>
      <c r="N15465" s="2" t="s">
        <v>21</v>
      </c>
    </row>
    <row r="15466" ht="15.75" customHeight="1">
      <c r="A15466" s="2">
        <v>2021.0</v>
      </c>
      <c r="B15466" s="2" t="s">
        <v>53391</v>
      </c>
      <c r="C15466" s="2" t="s">
        <v>59177</v>
      </c>
      <c r="D15466" s="2" t="str">
        <f>"216-346-4252"</f>
        <v>216-346-4252</v>
      </c>
      <c r="E15466" s="2" t="s">
        <v>9052</v>
      </c>
      <c r="F15466" s="2" t="s">
        <v>53393</v>
      </c>
      <c r="G15466" s="2" t="str">
        <f>"SR-22345"</f>
        <v>SR-22345</v>
      </c>
      <c r="H15466" s="2" t="s">
        <v>59178</v>
      </c>
      <c r="I15466" s="2" t="s">
        <v>53395</v>
      </c>
      <c r="K15466" s="2" t="s">
        <v>53396</v>
      </c>
      <c r="L15466" s="2" t="s">
        <v>344</v>
      </c>
      <c r="M15466" s="2">
        <v>44146.0</v>
      </c>
      <c r="N15466" s="2" t="s">
        <v>21</v>
      </c>
    </row>
    <row r="15467" ht="15.75" customHeight="1">
      <c r="A15467" s="2">
        <v>2021.0</v>
      </c>
      <c r="B15467" s="2" t="s">
        <v>41951</v>
      </c>
      <c r="C15467" s="2" t="s">
        <v>59179</v>
      </c>
      <c r="D15467" s="2" t="str">
        <f>"813-858-1151"</f>
        <v>813-858-1151</v>
      </c>
      <c r="E15467" s="2" t="s">
        <v>59180</v>
      </c>
      <c r="F15467" s="2" t="s">
        <v>5808</v>
      </c>
      <c r="G15467" s="2" t="str">
        <f>"SR-22347"</f>
        <v>SR-22347</v>
      </c>
      <c r="H15467" s="2" t="s">
        <v>59181</v>
      </c>
      <c r="I15467" s="2" t="s">
        <v>41955</v>
      </c>
      <c r="K15467" s="2" t="s">
        <v>3431</v>
      </c>
      <c r="L15467" s="2" t="s">
        <v>208</v>
      </c>
      <c r="M15467" s="2">
        <v>33624.0</v>
      </c>
      <c r="N15467" s="2" t="s">
        <v>21</v>
      </c>
    </row>
    <row r="15468" ht="15.75" customHeight="1">
      <c r="A15468" s="2">
        <v>2021.0</v>
      </c>
      <c r="B15468" s="2" t="s">
        <v>59182</v>
      </c>
      <c r="D15468" s="2" t="str">
        <f>""</f>
        <v/>
      </c>
      <c r="E15468" s="2" t="s">
        <v>2988</v>
      </c>
      <c r="F15468" s="2" t="s">
        <v>15797</v>
      </c>
      <c r="G15468" s="2" t="str">
        <f>"SR-22035"</f>
        <v>SR-22035</v>
      </c>
      <c r="H15468" s="2" t="s">
        <v>59183</v>
      </c>
    </row>
    <row r="15469" ht="15.75" customHeight="1">
      <c r="A15469" s="2">
        <v>2021.0</v>
      </c>
      <c r="B15469" s="2" t="s">
        <v>59184</v>
      </c>
      <c r="C15469" s="2" t="s">
        <v>59184</v>
      </c>
      <c r="D15469" s="2" t="str">
        <f>"8645674254"</f>
        <v>8645674254</v>
      </c>
      <c r="E15469" s="2" t="s">
        <v>339</v>
      </c>
      <c r="F15469" s="2" t="s">
        <v>22979</v>
      </c>
      <c r="G15469" s="2" t="str">
        <f>"SR-22353"</f>
        <v>SR-22353</v>
      </c>
      <c r="H15469" s="2" t="s">
        <v>59185</v>
      </c>
      <c r="I15469" s="2" t="s">
        <v>59186</v>
      </c>
      <c r="K15469" s="2" t="s">
        <v>1878</v>
      </c>
      <c r="L15469" s="2" t="s">
        <v>55</v>
      </c>
      <c r="M15469" s="2">
        <v>29681.0</v>
      </c>
      <c r="N15469" s="2" t="s">
        <v>21</v>
      </c>
    </row>
    <row r="15470" ht="15.75" customHeight="1">
      <c r="A15470" s="2">
        <v>2021.0</v>
      </c>
      <c r="B15470" s="2" t="s">
        <v>14957</v>
      </c>
      <c r="C15470" s="2" t="s">
        <v>59187</v>
      </c>
      <c r="D15470" s="2" t="str">
        <f>"5738646067"</f>
        <v>5738646067</v>
      </c>
      <c r="E15470" s="2" t="s">
        <v>50</v>
      </c>
      <c r="F15470" s="2" t="s">
        <v>14958</v>
      </c>
      <c r="G15470" s="2" t="str">
        <f>"SR-22354"</f>
        <v>SR-22354</v>
      </c>
      <c r="H15470" s="2" t="s">
        <v>59188</v>
      </c>
      <c r="I15470" s="2" t="s">
        <v>59189</v>
      </c>
      <c r="K15470" s="2" t="s">
        <v>14961</v>
      </c>
      <c r="L15470" s="2" t="s">
        <v>214</v>
      </c>
      <c r="M15470" s="2">
        <v>65201.0</v>
      </c>
      <c r="N15470" s="2" t="s">
        <v>21</v>
      </c>
    </row>
    <row r="15471" ht="15.75" customHeight="1">
      <c r="A15471" s="2">
        <v>2021.0</v>
      </c>
      <c r="B15471" s="2" t="s">
        <v>59190</v>
      </c>
      <c r="C15471" s="2" t="s">
        <v>59191</v>
      </c>
      <c r="D15471" s="2" t="str">
        <f>"9124143426"</f>
        <v>9124143426</v>
      </c>
      <c r="E15471" s="2" t="s">
        <v>14150</v>
      </c>
      <c r="F15471" s="2" t="s">
        <v>15730</v>
      </c>
      <c r="G15471" s="2" t="str">
        <f>"SR-22359"</f>
        <v>SR-22359</v>
      </c>
      <c r="H15471" s="2" t="s">
        <v>59192</v>
      </c>
      <c r="I15471" s="2" t="s">
        <v>59193</v>
      </c>
      <c r="K15471" s="2" t="s">
        <v>13140</v>
      </c>
      <c r="L15471" s="2" t="s">
        <v>200</v>
      </c>
      <c r="M15471" s="2">
        <v>31312.0</v>
      </c>
      <c r="N15471" s="2" t="s">
        <v>21</v>
      </c>
    </row>
    <row r="15472" ht="15.75" customHeight="1">
      <c r="A15472" s="2">
        <v>2021.0</v>
      </c>
      <c r="B15472" s="2" t="s">
        <v>59194</v>
      </c>
      <c r="C15472" s="2" t="s">
        <v>59194</v>
      </c>
      <c r="D15472" s="2" t="str">
        <f>"717-491-4446"</f>
        <v>717-491-4446</v>
      </c>
      <c r="E15472" s="2" t="s">
        <v>59195</v>
      </c>
      <c r="F15472" s="2" t="s">
        <v>6245</v>
      </c>
      <c r="G15472" s="2" t="str">
        <f>"SR-22181"</f>
        <v>SR-22181</v>
      </c>
      <c r="H15472" s="2" t="s">
        <v>59196</v>
      </c>
      <c r="I15472" s="2" t="s">
        <v>59197</v>
      </c>
      <c r="K15472" s="2" t="s">
        <v>59198</v>
      </c>
      <c r="L15472" s="2" t="s">
        <v>179</v>
      </c>
      <c r="M15472" s="2">
        <v>17244.0</v>
      </c>
      <c r="N15472" s="2" t="s">
        <v>21</v>
      </c>
    </row>
    <row r="15473" ht="15.75" customHeight="1">
      <c r="A15473" s="2">
        <v>2021.0</v>
      </c>
      <c r="B15473" s="2" t="s">
        <v>59199</v>
      </c>
      <c r="C15473" s="2" t="s">
        <v>59199</v>
      </c>
      <c r="D15473" s="2" t="str">
        <f>"2603304785"</f>
        <v>2603304785</v>
      </c>
      <c r="E15473" s="2" t="s">
        <v>1400</v>
      </c>
      <c r="F15473" s="2" t="s">
        <v>32112</v>
      </c>
      <c r="G15473" s="2" t="str">
        <f>"SR-22165"</f>
        <v>SR-22165</v>
      </c>
      <c r="H15473" s="2" t="s">
        <v>59200</v>
      </c>
      <c r="I15473" s="2" t="s">
        <v>59201</v>
      </c>
      <c r="K15473" s="2" t="s">
        <v>59202</v>
      </c>
      <c r="L15473" s="2" t="s">
        <v>149</v>
      </c>
      <c r="M15473" s="2">
        <v>46974.0</v>
      </c>
      <c r="N15473" s="2" t="s">
        <v>21</v>
      </c>
    </row>
    <row r="15474" ht="15.75" customHeight="1">
      <c r="A15474" s="2">
        <v>2021.0</v>
      </c>
      <c r="B15474" s="2" t="s">
        <v>59203</v>
      </c>
      <c r="C15474" s="2" t="s">
        <v>59204</v>
      </c>
      <c r="D15474" s="2" t="str">
        <f>"5636072960"</f>
        <v>5636072960</v>
      </c>
      <c r="E15474" s="2" t="s">
        <v>261</v>
      </c>
      <c r="F15474" s="2" t="s">
        <v>386</v>
      </c>
      <c r="G15474" s="2" t="str">
        <f>"SR-22362"</f>
        <v>SR-22362</v>
      </c>
      <c r="H15474" s="2" t="s">
        <v>59205</v>
      </c>
      <c r="I15474" s="2" t="s">
        <v>59206</v>
      </c>
      <c r="K15474" s="2" t="s">
        <v>59207</v>
      </c>
      <c r="L15474" s="2" t="s">
        <v>560</v>
      </c>
      <c r="M15474" s="2">
        <v>52761.0</v>
      </c>
      <c r="N15474" s="2" t="s">
        <v>21</v>
      </c>
    </row>
    <row r="15475" ht="15.75" customHeight="1">
      <c r="A15475" s="2">
        <v>2021.0</v>
      </c>
      <c r="B15475" s="2" t="s">
        <v>59208</v>
      </c>
      <c r="C15475" s="2" t="s">
        <v>59208</v>
      </c>
      <c r="D15475" s="2" t="str">
        <f>"615-916-7775"</f>
        <v>615-916-7775</v>
      </c>
      <c r="E15475" s="2" t="s">
        <v>59209</v>
      </c>
      <c r="F15475" s="2" t="s">
        <v>4941</v>
      </c>
      <c r="G15475" s="2" t="str">
        <f>"SR-22363"</f>
        <v>SR-22363</v>
      </c>
      <c r="H15475" s="2" t="s">
        <v>59210</v>
      </c>
      <c r="I15475" s="2" t="s">
        <v>59211</v>
      </c>
      <c r="J15475" s="2" t="s">
        <v>59212</v>
      </c>
      <c r="K15475" s="2" t="s">
        <v>15498</v>
      </c>
      <c r="L15475" s="2" t="s">
        <v>142</v>
      </c>
      <c r="M15475" s="2">
        <v>11209.0</v>
      </c>
      <c r="N15475" s="2" t="s">
        <v>21</v>
      </c>
    </row>
    <row r="15476" ht="15.75" customHeight="1">
      <c r="A15476" s="2">
        <v>2021.0</v>
      </c>
      <c r="B15476" s="2" t="s">
        <v>59213</v>
      </c>
      <c r="C15476" s="2" t="s">
        <v>59214</v>
      </c>
      <c r="D15476" s="2" t="str">
        <f>"2085446632"</f>
        <v>2085446632</v>
      </c>
      <c r="E15476" s="2" t="s">
        <v>38874</v>
      </c>
      <c r="F15476" s="2" t="s">
        <v>59215</v>
      </c>
      <c r="G15476" s="2" t="str">
        <f>"SR-22368"</f>
        <v>SR-22368</v>
      </c>
      <c r="H15476" s="2" t="s">
        <v>59216</v>
      </c>
      <c r="I15476" s="2" t="s">
        <v>59217</v>
      </c>
      <c r="K15476" s="2" t="s">
        <v>20172</v>
      </c>
      <c r="L15476" s="2" t="s">
        <v>2613</v>
      </c>
      <c r="M15476" s="2">
        <v>83301.0</v>
      </c>
      <c r="N15476" s="2" t="s">
        <v>21</v>
      </c>
    </row>
    <row r="15477" ht="15.75" customHeight="1">
      <c r="A15477" s="2">
        <v>2021.0</v>
      </c>
      <c r="B15477" s="2" t="s">
        <v>59218</v>
      </c>
      <c r="C15477" s="2" t="s">
        <v>59219</v>
      </c>
      <c r="D15477" s="2" t="str">
        <f>"5025508628"</f>
        <v>5025508628</v>
      </c>
      <c r="E15477" s="2" t="s">
        <v>373</v>
      </c>
      <c r="F15477" s="2" t="s">
        <v>1799</v>
      </c>
      <c r="G15477" s="2" t="str">
        <f>"SR-22371"</f>
        <v>SR-22371</v>
      </c>
      <c r="H15477" s="2" t="s">
        <v>59220</v>
      </c>
      <c r="I15477" s="2" t="s">
        <v>59221</v>
      </c>
      <c r="K15477" s="2" t="s">
        <v>5288</v>
      </c>
      <c r="L15477" s="2" t="s">
        <v>1236</v>
      </c>
      <c r="M15477" s="2">
        <v>40241.0</v>
      </c>
      <c r="N15477" s="2" t="s">
        <v>21</v>
      </c>
    </row>
    <row r="15478" ht="15.75" customHeight="1">
      <c r="A15478" s="2">
        <v>2021.0</v>
      </c>
      <c r="B15478" s="2" t="s">
        <v>59222</v>
      </c>
      <c r="C15478" s="2" t="s">
        <v>59223</v>
      </c>
      <c r="D15478" s="2" t="str">
        <f>"2895883199"</f>
        <v>2895883199</v>
      </c>
      <c r="E15478" s="2" t="s">
        <v>3778</v>
      </c>
      <c r="F15478" s="2" t="s">
        <v>59224</v>
      </c>
      <c r="G15478" s="2" t="str">
        <f>"SR-22372"</f>
        <v>SR-22372</v>
      </c>
      <c r="H15478" s="2" t="s">
        <v>59225</v>
      </c>
      <c r="I15478" s="2" t="s">
        <v>59226</v>
      </c>
      <c r="K15478" s="2" t="s">
        <v>45681</v>
      </c>
      <c r="L15478" s="2" t="s">
        <v>2022</v>
      </c>
      <c r="M15478" s="2" t="s">
        <v>59227</v>
      </c>
      <c r="N15478" s="2" t="s">
        <v>1602</v>
      </c>
    </row>
    <row r="15479" ht="15.75" customHeight="1">
      <c r="A15479" s="2">
        <v>2021.0</v>
      </c>
      <c r="B15479" s="2" t="s">
        <v>59228</v>
      </c>
      <c r="C15479" s="2" t="s">
        <v>59229</v>
      </c>
      <c r="D15479" s="2" t="str">
        <f>"8648887203"</f>
        <v>8648887203</v>
      </c>
      <c r="E15479" s="2" t="s">
        <v>256</v>
      </c>
      <c r="F15479" s="2" t="s">
        <v>3106</v>
      </c>
      <c r="G15479" s="2" t="str">
        <f>"SR-22369"</f>
        <v>SR-22369</v>
      </c>
      <c r="H15479" s="2" t="s">
        <v>59230</v>
      </c>
      <c r="I15479" s="2" t="s">
        <v>59231</v>
      </c>
      <c r="K15479" s="2" t="s">
        <v>59232</v>
      </c>
      <c r="L15479" s="2" t="s">
        <v>20</v>
      </c>
      <c r="M15479" s="2">
        <v>28759.0</v>
      </c>
      <c r="N15479" s="2" t="s">
        <v>21</v>
      </c>
    </row>
    <row r="15480" ht="15.75" customHeight="1">
      <c r="A15480" s="2">
        <v>2021.0</v>
      </c>
      <c r="B15480" s="2" t="s">
        <v>59233</v>
      </c>
      <c r="C15480" s="2" t="s">
        <v>59234</v>
      </c>
      <c r="D15480" s="2" t="str">
        <f>"4072796513"</f>
        <v>4072796513</v>
      </c>
      <c r="E15480" s="2" t="s">
        <v>59235</v>
      </c>
      <c r="F15480" s="2" t="s">
        <v>42798</v>
      </c>
      <c r="G15480" s="2" t="str">
        <f>"SR-22296"</f>
        <v>SR-22296</v>
      </c>
      <c r="H15480" s="2" t="s">
        <v>59236</v>
      </c>
      <c r="I15480" s="2" t="s">
        <v>58222</v>
      </c>
      <c r="K15480" s="2" t="s">
        <v>6360</v>
      </c>
      <c r="L15480" s="2" t="s">
        <v>208</v>
      </c>
      <c r="M15480" s="2">
        <v>33896.0</v>
      </c>
      <c r="N15480" s="2" t="s">
        <v>21</v>
      </c>
    </row>
    <row r="15481" ht="15.75" customHeight="1">
      <c r="A15481" s="2">
        <v>2021.0</v>
      </c>
      <c r="B15481" s="2" t="s">
        <v>53235</v>
      </c>
      <c r="C15481" s="2" t="s">
        <v>53236</v>
      </c>
      <c r="D15481" s="2" t="str">
        <f>"7814604452"</f>
        <v>7814604452</v>
      </c>
      <c r="E15481" s="2" t="s">
        <v>12135</v>
      </c>
      <c r="F15481" s="2" t="s">
        <v>48717</v>
      </c>
      <c r="G15481" s="2" t="str">
        <f>"SR-19082"</f>
        <v>SR-19082</v>
      </c>
      <c r="H15481" s="2" t="s">
        <v>53237</v>
      </c>
      <c r="I15481" s="2" t="s">
        <v>53238</v>
      </c>
      <c r="K15481" s="2" t="s">
        <v>6075</v>
      </c>
      <c r="L15481" s="2" t="s">
        <v>4108</v>
      </c>
      <c r="M15481" s="2">
        <v>1803.0</v>
      </c>
      <c r="N15481" s="2" t="s">
        <v>21</v>
      </c>
    </row>
    <row r="15482" ht="15.75" customHeight="1">
      <c r="A15482" s="2">
        <v>2021.0</v>
      </c>
      <c r="B15482" s="2" t="s">
        <v>53235</v>
      </c>
      <c r="C15482" s="2" t="s">
        <v>59237</v>
      </c>
      <c r="D15482" s="2" t="str">
        <f>"7812726984"</f>
        <v>7812726984</v>
      </c>
      <c r="E15482" s="2" t="s">
        <v>10949</v>
      </c>
      <c r="F15482" s="2" t="s">
        <v>48717</v>
      </c>
      <c r="G15482" s="2" t="str">
        <f>"SR-22295"</f>
        <v>SR-22295</v>
      </c>
      <c r="H15482" s="2" t="s">
        <v>59238</v>
      </c>
      <c r="I15482" s="2" t="s">
        <v>59239</v>
      </c>
      <c r="K15482" s="2" t="s">
        <v>6075</v>
      </c>
      <c r="L15482" s="2" t="s">
        <v>4108</v>
      </c>
      <c r="M15482" s="2">
        <v>1803.0</v>
      </c>
      <c r="N15482" s="2" t="s">
        <v>21</v>
      </c>
    </row>
    <row r="15483" ht="15.75" customHeight="1">
      <c r="A15483" s="2">
        <v>2021.0</v>
      </c>
      <c r="B15483" s="2" t="s">
        <v>20966</v>
      </c>
      <c r="C15483" s="2" t="s">
        <v>59240</v>
      </c>
      <c r="D15483" s="2" t="str">
        <f>"7028433602"</f>
        <v>7028433602</v>
      </c>
      <c r="E15483" s="2" t="s">
        <v>59241</v>
      </c>
      <c r="F15483" s="2" t="s">
        <v>20967</v>
      </c>
      <c r="G15483" s="2" t="str">
        <f>"SR-22281"</f>
        <v>SR-22281</v>
      </c>
      <c r="H15483" s="2" t="s">
        <v>59242</v>
      </c>
      <c r="I15483" s="2" t="s">
        <v>59243</v>
      </c>
      <c r="K15483" s="2" t="s">
        <v>3128</v>
      </c>
      <c r="L15483" s="2" t="s">
        <v>1419</v>
      </c>
      <c r="M15483" s="2">
        <v>89118.0</v>
      </c>
      <c r="N15483" s="2" t="s">
        <v>21</v>
      </c>
    </row>
    <row r="15484" ht="15.75" customHeight="1">
      <c r="A15484" s="2">
        <v>2021.0</v>
      </c>
      <c r="B15484" s="2" t="s">
        <v>59244</v>
      </c>
      <c r="C15484" s="2" t="s">
        <v>59244</v>
      </c>
      <c r="D15484" s="2" t="str">
        <f>"3472046172"</f>
        <v>3472046172</v>
      </c>
      <c r="E15484" s="2" t="s">
        <v>59245</v>
      </c>
      <c r="F15484" s="2" t="s">
        <v>4941</v>
      </c>
      <c r="G15484" s="2" t="str">
        <f>"SR-22381"</f>
        <v>SR-22381</v>
      </c>
      <c r="H15484" s="2" t="s">
        <v>59246</v>
      </c>
      <c r="I15484" s="2" t="s">
        <v>59247</v>
      </c>
      <c r="J15484" s="2" t="s">
        <v>59212</v>
      </c>
      <c r="K15484" s="2" t="s">
        <v>15498</v>
      </c>
      <c r="L15484" s="2" t="s">
        <v>142</v>
      </c>
      <c r="M15484" s="2">
        <v>11209.0</v>
      </c>
      <c r="N15484" s="2" t="s">
        <v>21</v>
      </c>
    </row>
    <row r="15485" ht="15.75" customHeight="1">
      <c r="A15485" s="2">
        <v>2021.0</v>
      </c>
      <c r="B15485" s="2" t="s">
        <v>59248</v>
      </c>
      <c r="C15485" s="2" t="s">
        <v>59248</v>
      </c>
      <c r="D15485" s="2" t="str">
        <f>"940-391-4484"</f>
        <v>940-391-4484</v>
      </c>
      <c r="E15485" s="2" t="s">
        <v>843</v>
      </c>
      <c r="F15485" s="2" t="s">
        <v>2954</v>
      </c>
      <c r="G15485" s="2" t="str">
        <f>"SR-22340"</f>
        <v>SR-22340</v>
      </c>
      <c r="H15485" s="2" t="s">
        <v>59249</v>
      </c>
      <c r="I15485" s="2" t="s">
        <v>59250</v>
      </c>
      <c r="K15485" s="2" t="s">
        <v>59251</v>
      </c>
      <c r="L15485" s="2" t="s">
        <v>172</v>
      </c>
      <c r="M15485" s="2">
        <v>75077.0</v>
      </c>
      <c r="N15485" s="2" t="s">
        <v>21</v>
      </c>
    </row>
    <row r="15486" ht="15.75" customHeight="1">
      <c r="A15486" s="2">
        <v>2021.0</v>
      </c>
      <c r="B15486" s="2" t="s">
        <v>59252</v>
      </c>
      <c r="C15486" s="2" t="s">
        <v>59252</v>
      </c>
      <c r="D15486" s="2" t="str">
        <f>"6129910051"</f>
        <v>6129910051</v>
      </c>
      <c r="E15486" s="2" t="s">
        <v>282</v>
      </c>
      <c r="F15486" s="2" t="s">
        <v>33044</v>
      </c>
      <c r="G15486" s="2" t="str">
        <f>"SR-22332"</f>
        <v>SR-22332</v>
      </c>
      <c r="H15486" s="2" t="s">
        <v>59253</v>
      </c>
      <c r="I15486" s="2" t="s">
        <v>59254</v>
      </c>
      <c r="K15486" s="2" t="s">
        <v>7867</v>
      </c>
      <c r="L15486" s="2" t="s">
        <v>62</v>
      </c>
      <c r="M15486" s="2">
        <v>55113.0</v>
      </c>
      <c r="N15486" s="2" t="s">
        <v>21</v>
      </c>
    </row>
    <row r="15487" ht="15.75" customHeight="1">
      <c r="A15487" s="2">
        <v>2021.0</v>
      </c>
      <c r="B15487" s="2" t="s">
        <v>59255</v>
      </c>
      <c r="C15487" s="2" t="s">
        <v>59256</v>
      </c>
      <c r="D15487" s="2" t="str">
        <f>"2176488912"</f>
        <v>2176488912</v>
      </c>
      <c r="E15487" s="2" t="s">
        <v>2988</v>
      </c>
      <c r="F15487" s="2" t="s">
        <v>22702</v>
      </c>
      <c r="G15487" s="2" t="str">
        <f>"SR-22379"</f>
        <v>SR-22379</v>
      </c>
      <c r="H15487" s="2" t="s">
        <v>59257</v>
      </c>
      <c r="I15487" s="2" t="s">
        <v>59258</v>
      </c>
      <c r="K15487" s="2" t="s">
        <v>5946</v>
      </c>
      <c r="L15487" s="2" t="s">
        <v>422</v>
      </c>
      <c r="M15487" s="2">
        <v>85743.0</v>
      </c>
      <c r="N15487" s="2" t="s">
        <v>21</v>
      </c>
    </row>
    <row r="15488" ht="15.75" customHeight="1">
      <c r="A15488" s="2">
        <v>2021.0</v>
      </c>
      <c r="B15488" s="2" t="s">
        <v>59259</v>
      </c>
      <c r="C15488" s="2" t="s">
        <v>59260</v>
      </c>
      <c r="D15488" s="2" t="str">
        <f>"2602739910"</f>
        <v>2602739910</v>
      </c>
      <c r="E15488" s="2" t="s">
        <v>1076</v>
      </c>
      <c r="F15488" s="2" t="s">
        <v>12676</v>
      </c>
      <c r="G15488" s="2" t="str">
        <f>"SR-15054"</f>
        <v>SR-15054</v>
      </c>
      <c r="H15488" s="2" t="s">
        <v>59261</v>
      </c>
      <c r="I15488" s="2" t="s">
        <v>59262</v>
      </c>
      <c r="K15488" s="2" t="s">
        <v>20612</v>
      </c>
      <c r="L15488" s="2" t="s">
        <v>149</v>
      </c>
      <c r="M15488" s="2">
        <v>46777.0</v>
      </c>
      <c r="N15488" s="2" t="s">
        <v>21</v>
      </c>
    </row>
    <row r="15489" ht="15.75" customHeight="1">
      <c r="A15489" s="2">
        <v>2021.0</v>
      </c>
      <c r="B15489" s="2" t="s">
        <v>59263</v>
      </c>
      <c r="C15489" s="2" t="s">
        <v>59263</v>
      </c>
      <c r="D15489" s="2" t="str">
        <f>"3863384726"</f>
        <v>3863384726</v>
      </c>
      <c r="E15489" s="2" t="s">
        <v>1713</v>
      </c>
      <c r="F15489" s="2" t="s">
        <v>59264</v>
      </c>
      <c r="G15489" s="2" t="str">
        <f>"SR-22389"</f>
        <v>SR-22389</v>
      </c>
      <c r="H15489" s="2" t="s">
        <v>59265</v>
      </c>
      <c r="I15489" s="2" t="s">
        <v>59266</v>
      </c>
      <c r="K15489" s="2" t="s">
        <v>59267</v>
      </c>
      <c r="L15489" s="2" t="s">
        <v>208</v>
      </c>
      <c r="M15489" s="2">
        <v>32136.0</v>
      </c>
      <c r="N15489" s="2" t="s">
        <v>21</v>
      </c>
    </row>
    <row r="15490" ht="15.75" customHeight="1">
      <c r="A15490" s="2">
        <v>2021.0</v>
      </c>
      <c r="B15490" s="2" t="s">
        <v>59268</v>
      </c>
      <c r="C15490" s="2" t="s">
        <v>59269</v>
      </c>
      <c r="D15490" s="2" t="str">
        <f>"3202904015"</f>
        <v>3202904015</v>
      </c>
      <c r="E15490" s="2" t="s">
        <v>59270</v>
      </c>
      <c r="F15490" s="2" t="s">
        <v>10358</v>
      </c>
      <c r="G15490" s="2" t="str">
        <f>"SR-22390"</f>
        <v>SR-22390</v>
      </c>
      <c r="H15490" s="2" t="s">
        <v>59271</v>
      </c>
      <c r="I15490" s="2" t="s">
        <v>59272</v>
      </c>
      <c r="K15490" s="2" t="s">
        <v>6075</v>
      </c>
      <c r="L15490" s="2" t="s">
        <v>560</v>
      </c>
      <c r="M15490" s="2">
        <v>52601.0</v>
      </c>
      <c r="N15490" s="2" t="s">
        <v>21</v>
      </c>
    </row>
    <row r="15491" ht="15.75" customHeight="1">
      <c r="A15491" s="2">
        <v>2021.0</v>
      </c>
      <c r="B15491" s="2" t="s">
        <v>59273</v>
      </c>
      <c r="C15491" s="2" t="s">
        <v>59273</v>
      </c>
      <c r="D15491" s="2" t="str">
        <f>"2059085402"</f>
        <v>2059085402</v>
      </c>
      <c r="E15491" s="2" t="s">
        <v>59274</v>
      </c>
      <c r="F15491" s="2" t="s">
        <v>950</v>
      </c>
      <c r="G15491" s="2" t="str">
        <f>"SR-22401"</f>
        <v>SR-22401</v>
      </c>
      <c r="H15491" s="2" t="s">
        <v>59275</v>
      </c>
      <c r="I15491" s="2" t="s">
        <v>59276</v>
      </c>
      <c r="K15491" s="2" t="s">
        <v>59277</v>
      </c>
      <c r="L15491" s="2" t="s">
        <v>539</v>
      </c>
      <c r="M15491" s="2">
        <v>35004.0</v>
      </c>
      <c r="N15491" s="2" t="s">
        <v>21</v>
      </c>
    </row>
    <row r="15492" ht="15.75" customHeight="1">
      <c r="A15492" s="2">
        <v>2021.0</v>
      </c>
      <c r="B15492" s="2" t="s">
        <v>59278</v>
      </c>
      <c r="C15492" s="2" t="s">
        <v>59278</v>
      </c>
      <c r="D15492" s="2" t="str">
        <f>"(864) 340-5183"</f>
        <v>(864) 340-5183</v>
      </c>
      <c r="E15492" s="2" t="s">
        <v>59279</v>
      </c>
      <c r="F15492" s="2" t="s">
        <v>5911</v>
      </c>
      <c r="G15492" s="2" t="str">
        <f>"SR-22375"</f>
        <v>SR-22375</v>
      </c>
      <c r="H15492" s="2" t="s">
        <v>59280</v>
      </c>
      <c r="I15492" s="2" t="s">
        <v>59281</v>
      </c>
      <c r="K15492" s="2" t="s">
        <v>4095</v>
      </c>
      <c r="L15492" s="2" t="s">
        <v>55</v>
      </c>
      <c r="M15492" s="2">
        <v>29644.0</v>
      </c>
      <c r="N15492" s="2" t="s">
        <v>21</v>
      </c>
    </row>
    <row r="15493" ht="15.75" customHeight="1">
      <c r="A15493" s="2">
        <v>2021.0</v>
      </c>
      <c r="B15493" s="2" t="s">
        <v>42346</v>
      </c>
      <c r="C15493" s="2" t="s">
        <v>59282</v>
      </c>
      <c r="D15493" s="2" t="str">
        <f>"7342637100"</f>
        <v>7342637100</v>
      </c>
      <c r="E15493" s="2" t="s">
        <v>1483</v>
      </c>
      <c r="F15493" s="2" t="s">
        <v>42348</v>
      </c>
      <c r="G15493" s="2" t="str">
        <f>"SR-22407"</f>
        <v>SR-22407</v>
      </c>
      <c r="H15493" s="2" t="s">
        <v>59283</v>
      </c>
      <c r="I15493" s="2" t="s">
        <v>42350</v>
      </c>
      <c r="K15493" s="2" t="s">
        <v>7174</v>
      </c>
      <c r="L15493" s="2" t="s">
        <v>29</v>
      </c>
      <c r="M15493" s="2">
        <v>48130.0</v>
      </c>
      <c r="N15493" s="2" t="s">
        <v>21</v>
      </c>
    </row>
    <row r="15494" ht="15.75" customHeight="1">
      <c r="A15494" s="2">
        <v>2021.0</v>
      </c>
      <c r="B15494" s="2" t="s">
        <v>59284</v>
      </c>
      <c r="C15494" s="2" t="s">
        <v>59285</v>
      </c>
      <c r="D15494" s="2" t="str">
        <f>"9369004009"</f>
        <v>9369004009</v>
      </c>
      <c r="E15494" s="2" t="s">
        <v>7145</v>
      </c>
      <c r="F15494" s="2" t="s">
        <v>2985</v>
      </c>
      <c r="G15494" s="2" t="str">
        <f>"SR-22403"</f>
        <v>SR-22403</v>
      </c>
      <c r="H15494" s="2" t="s">
        <v>59286</v>
      </c>
      <c r="I15494" s="2" t="s">
        <v>59287</v>
      </c>
      <c r="K15494" s="2" t="s">
        <v>9594</v>
      </c>
      <c r="L15494" s="2" t="s">
        <v>172</v>
      </c>
      <c r="M15494" s="2">
        <v>77378.0</v>
      </c>
      <c r="N15494" s="2" t="s">
        <v>21</v>
      </c>
    </row>
    <row r="15495" ht="15.75" customHeight="1">
      <c r="A15495" s="2">
        <v>2021.0</v>
      </c>
      <c r="B15495" s="2" t="s">
        <v>59213</v>
      </c>
      <c r="C15495" s="2" t="s">
        <v>59288</v>
      </c>
      <c r="D15495" s="2" t="str">
        <f>"2085446458"</f>
        <v>2085446458</v>
      </c>
      <c r="E15495" s="2" t="s">
        <v>59289</v>
      </c>
      <c r="F15495" s="2" t="s">
        <v>59215</v>
      </c>
      <c r="G15495" s="2" t="str">
        <f>"SR-22367"</f>
        <v>SR-22367</v>
      </c>
      <c r="H15495" s="2" t="s">
        <v>59290</v>
      </c>
      <c r="I15495" s="2" t="s">
        <v>59217</v>
      </c>
      <c r="K15495" s="2" t="s">
        <v>20172</v>
      </c>
      <c r="L15495" s="2" t="s">
        <v>2613</v>
      </c>
      <c r="M15495" s="2">
        <v>83301.0</v>
      </c>
      <c r="N15495" s="2" t="s">
        <v>21</v>
      </c>
    </row>
    <row r="15496" ht="15.75" customHeight="1">
      <c r="A15496" s="2">
        <v>2021.0</v>
      </c>
      <c r="B15496" s="2" t="s">
        <v>59291</v>
      </c>
      <c r="C15496" s="2" t="s">
        <v>59292</v>
      </c>
      <c r="D15496" s="2" t="str">
        <f>"719 900-8612"</f>
        <v>719 900-8612</v>
      </c>
      <c r="E15496" s="2" t="s">
        <v>57527</v>
      </c>
      <c r="F15496" s="2" t="s">
        <v>45681</v>
      </c>
      <c r="G15496" s="2" t="str">
        <f>"SR-22419"</f>
        <v>SR-22419</v>
      </c>
      <c r="H15496" s="2" t="s">
        <v>59293</v>
      </c>
      <c r="I15496" s="2" t="s">
        <v>59294</v>
      </c>
      <c r="K15496" s="2" t="s">
        <v>809</v>
      </c>
      <c r="L15496" s="2" t="s">
        <v>157</v>
      </c>
      <c r="M15496" s="2">
        <v>80906.0</v>
      </c>
      <c r="N15496" s="2" t="s">
        <v>21</v>
      </c>
    </row>
    <row r="15497" ht="15.75" customHeight="1">
      <c r="A15497" s="2">
        <v>2021.0</v>
      </c>
      <c r="B15497" s="2" t="s">
        <v>59295</v>
      </c>
      <c r="C15497" s="2" t="s">
        <v>59296</v>
      </c>
      <c r="D15497" s="2" t="str">
        <f>"919-665-8610"</f>
        <v>919-665-8610</v>
      </c>
      <c r="E15497" s="2" t="s">
        <v>1450</v>
      </c>
      <c r="F15497" s="2" t="s">
        <v>59297</v>
      </c>
      <c r="G15497" s="2" t="str">
        <f>"SR-18883"</f>
        <v>SR-18883</v>
      </c>
      <c r="H15497" s="2" t="s">
        <v>59298</v>
      </c>
      <c r="I15497" s="2" t="s">
        <v>59299</v>
      </c>
      <c r="K15497" s="2" t="s">
        <v>7993</v>
      </c>
      <c r="L15497" s="2" t="s">
        <v>20</v>
      </c>
      <c r="M15497" s="2">
        <v>27615.0</v>
      </c>
      <c r="N15497" s="2" t="s">
        <v>21</v>
      </c>
    </row>
    <row r="15498" ht="15.75" customHeight="1">
      <c r="A15498" s="2">
        <v>2021.0</v>
      </c>
      <c r="B15498" s="2" t="s">
        <v>59300</v>
      </c>
      <c r="C15498" s="2" t="s">
        <v>59301</v>
      </c>
      <c r="D15498" s="2" t="str">
        <f>"423-444-3819"</f>
        <v>423-444-3819</v>
      </c>
      <c r="E15498" s="2" t="s">
        <v>57</v>
      </c>
      <c r="F15498" s="2" t="s">
        <v>89</v>
      </c>
      <c r="G15498" s="2" t="str">
        <f>"SR-22422"</f>
        <v>SR-22422</v>
      </c>
      <c r="H15498" s="2" t="s">
        <v>59302</v>
      </c>
      <c r="I15498" s="2" t="s">
        <v>59303</v>
      </c>
      <c r="K15498" s="2" t="s">
        <v>29965</v>
      </c>
      <c r="L15498" s="2" t="s">
        <v>279</v>
      </c>
      <c r="M15498" s="2">
        <v>37604.0</v>
      </c>
      <c r="N15498" s="2" t="s">
        <v>21</v>
      </c>
    </row>
    <row r="15499" ht="15.75" customHeight="1">
      <c r="A15499" s="2">
        <v>2021.0</v>
      </c>
      <c r="B15499" s="2" t="s">
        <v>59304</v>
      </c>
      <c r="C15499" s="2" t="s">
        <v>59305</v>
      </c>
      <c r="D15499" s="2" t="str">
        <f>"7039320570"</f>
        <v>7039320570</v>
      </c>
      <c r="E15499" s="2" t="s">
        <v>250</v>
      </c>
      <c r="F15499" s="2" t="s">
        <v>5300</v>
      </c>
      <c r="G15499" s="2" t="str">
        <f>"SR-22430"</f>
        <v>SR-22430</v>
      </c>
      <c r="H15499" s="2" t="s">
        <v>59306</v>
      </c>
      <c r="I15499" s="2" t="s">
        <v>59307</v>
      </c>
      <c r="K15499" s="2" t="s">
        <v>21740</v>
      </c>
      <c r="L15499" s="2" t="s">
        <v>165</v>
      </c>
      <c r="M15499" s="2">
        <v>20181.0</v>
      </c>
      <c r="N15499" s="2" t="s">
        <v>21</v>
      </c>
    </row>
    <row r="15500" ht="15.75" customHeight="1">
      <c r="A15500" s="2">
        <v>2021.0</v>
      </c>
      <c r="B15500" s="2" t="s">
        <v>59308</v>
      </c>
      <c r="C15500" s="2" t="s">
        <v>59309</v>
      </c>
      <c r="D15500" s="2" t="str">
        <f>"360 927-7740"</f>
        <v>360 927-7740</v>
      </c>
      <c r="E15500" s="2" t="s">
        <v>1288</v>
      </c>
      <c r="F15500" s="2" t="s">
        <v>11287</v>
      </c>
      <c r="G15500" s="2" t="str">
        <f>"SR-22436"</f>
        <v>SR-22436</v>
      </c>
      <c r="H15500" s="2" t="s">
        <v>59310</v>
      </c>
      <c r="I15500" s="2" t="s">
        <v>59311</v>
      </c>
      <c r="K15500" s="2" t="s">
        <v>7241</v>
      </c>
      <c r="L15500" s="2" t="s">
        <v>86</v>
      </c>
      <c r="M15500" s="2">
        <v>98247.0</v>
      </c>
      <c r="N15500" s="2" t="s">
        <v>21</v>
      </c>
    </row>
    <row r="15501" ht="15.75" customHeight="1">
      <c r="A15501" s="2">
        <v>2021.0</v>
      </c>
      <c r="B15501" s="2" t="s">
        <v>59312</v>
      </c>
      <c r="C15501" s="2" t="s">
        <v>59312</v>
      </c>
      <c r="D15501" s="2" t="str">
        <f>"+34 655224344"</f>
        <v>+34 655224344</v>
      </c>
      <c r="E15501" s="2" t="s">
        <v>47</v>
      </c>
      <c r="F15501" s="2" t="s">
        <v>59313</v>
      </c>
      <c r="G15501" s="2" t="str">
        <f>"SR-22382"</f>
        <v>SR-22382</v>
      </c>
      <c r="H15501" s="2" t="s">
        <v>59314</v>
      </c>
      <c r="I15501" s="2" t="s">
        <v>59315</v>
      </c>
      <c r="J15501" s="2" t="s">
        <v>59316</v>
      </c>
      <c r="K15501" s="2" t="s">
        <v>59317</v>
      </c>
      <c r="L15501" s="2" t="s">
        <v>59318</v>
      </c>
      <c r="M15501" s="2">
        <v>33423.0</v>
      </c>
      <c r="N15501" s="2" t="s">
        <v>33843</v>
      </c>
    </row>
    <row r="15502" ht="15.75" customHeight="1">
      <c r="A15502" s="2">
        <v>2021.0</v>
      </c>
      <c r="B15502" s="2" t="s">
        <v>59319</v>
      </c>
      <c r="C15502" s="2" t="s">
        <v>59320</v>
      </c>
      <c r="D15502" s="2" t="str">
        <f>"470 513 7931"</f>
        <v>470 513 7931</v>
      </c>
      <c r="E15502" s="2" t="s">
        <v>453</v>
      </c>
      <c r="F15502" s="2" t="s">
        <v>59321</v>
      </c>
      <c r="G15502" s="2" t="str">
        <f>"SR-22443"</f>
        <v>SR-22443</v>
      </c>
      <c r="H15502" s="2" t="s">
        <v>59322</v>
      </c>
      <c r="I15502" s="2">
        <v>1165.0</v>
      </c>
      <c r="J15502" s="2" t="s">
        <v>59323</v>
      </c>
      <c r="K15502" s="2" t="s">
        <v>7656</v>
      </c>
      <c r="L15502" s="2" t="s">
        <v>200</v>
      </c>
      <c r="M15502" s="2">
        <v>30094.0</v>
      </c>
      <c r="N15502" s="2" t="s">
        <v>21</v>
      </c>
    </row>
    <row r="15503" ht="15.75" customHeight="1">
      <c r="A15503" s="2">
        <v>2021.0</v>
      </c>
      <c r="B15503" s="2" t="s">
        <v>45544</v>
      </c>
      <c r="C15503" s="2" t="s">
        <v>59324</v>
      </c>
      <c r="D15503" s="2" t="str">
        <f>"9137771274"</f>
        <v>9137771274</v>
      </c>
      <c r="E15503" s="2" t="s">
        <v>2452</v>
      </c>
      <c r="F15503" s="2" t="s">
        <v>45546</v>
      </c>
      <c r="G15503" s="2" t="str">
        <f>"SR-19196"</f>
        <v>SR-19196</v>
      </c>
      <c r="H15503" s="2" t="s">
        <v>59325</v>
      </c>
      <c r="I15503" s="2" t="s">
        <v>45548</v>
      </c>
      <c r="K15503" s="2" t="s">
        <v>3103</v>
      </c>
      <c r="L15503" s="2" t="s">
        <v>272</v>
      </c>
      <c r="M15503" s="2">
        <v>66212.0</v>
      </c>
      <c r="N15503" s="2" t="s">
        <v>21</v>
      </c>
    </row>
    <row r="15504" ht="15.75" customHeight="1">
      <c r="A15504" s="2">
        <v>2021.0</v>
      </c>
      <c r="B15504" s="2" t="s">
        <v>59326</v>
      </c>
      <c r="C15504" s="2" t="s">
        <v>59326</v>
      </c>
      <c r="D15504" s="2" t="str">
        <f>"4322881874"</f>
        <v>4322881874</v>
      </c>
      <c r="E15504" s="2" t="s">
        <v>4111</v>
      </c>
      <c r="F15504" s="2" t="s">
        <v>42188</v>
      </c>
      <c r="G15504" s="2" t="str">
        <f>"SR-22384"</f>
        <v>SR-22384</v>
      </c>
      <c r="H15504" s="2" t="s">
        <v>59327</v>
      </c>
      <c r="I15504" s="2" t="s">
        <v>59328</v>
      </c>
      <c r="K15504" s="2" t="s">
        <v>286</v>
      </c>
      <c r="L15504" s="2" t="s">
        <v>172</v>
      </c>
      <c r="M15504" s="2">
        <v>79701.0</v>
      </c>
      <c r="N15504" s="2" t="s">
        <v>21</v>
      </c>
    </row>
    <row r="15505" ht="15.75" customHeight="1">
      <c r="A15505" s="2">
        <v>2021.0</v>
      </c>
      <c r="B15505" s="2" t="s">
        <v>59329</v>
      </c>
      <c r="C15505" s="2" t="s">
        <v>59329</v>
      </c>
      <c r="D15505" s="2" t="str">
        <f>"4322560392"</f>
        <v>4322560392</v>
      </c>
      <c r="E15505" s="2" t="s">
        <v>1197</v>
      </c>
      <c r="F15505" s="2" t="s">
        <v>256</v>
      </c>
      <c r="G15505" s="2" t="str">
        <f>"SR-22315"</f>
        <v>SR-22315</v>
      </c>
      <c r="H15505" s="2" t="s">
        <v>59330</v>
      </c>
      <c r="I15505" s="2" t="s">
        <v>59331</v>
      </c>
      <c r="K15505" s="2" t="s">
        <v>286</v>
      </c>
      <c r="L15505" s="2" t="s">
        <v>172</v>
      </c>
      <c r="M15505" s="2">
        <v>79705.0</v>
      </c>
      <c r="N15505" s="2" t="s">
        <v>21</v>
      </c>
    </row>
    <row r="15506" ht="15.75" customHeight="1">
      <c r="A15506" s="2">
        <v>2021.0</v>
      </c>
      <c r="B15506" s="2" t="s">
        <v>59332</v>
      </c>
      <c r="C15506" s="2" t="s">
        <v>59332</v>
      </c>
      <c r="D15506" s="2" t="str">
        <f>"4329784202"</f>
        <v>4329784202</v>
      </c>
      <c r="E15506" s="2" t="s">
        <v>137</v>
      </c>
      <c r="F15506" s="2" t="s">
        <v>59333</v>
      </c>
      <c r="G15506" s="2" t="str">
        <f>"SR-22393"</f>
        <v>SR-22393</v>
      </c>
      <c r="H15506" s="2" t="s">
        <v>59334</v>
      </c>
      <c r="I15506" s="2" t="s">
        <v>59335</v>
      </c>
      <c r="K15506" s="2" t="s">
        <v>286</v>
      </c>
      <c r="L15506" s="2" t="s">
        <v>172</v>
      </c>
      <c r="M15506" s="2">
        <v>79705.0</v>
      </c>
      <c r="N15506" s="2" t="s">
        <v>21</v>
      </c>
    </row>
    <row r="15507" ht="15.75" customHeight="1">
      <c r="A15507" s="2">
        <v>2021.0</v>
      </c>
      <c r="B15507" s="2" t="s">
        <v>52715</v>
      </c>
      <c r="C15507" s="2" t="s">
        <v>52716</v>
      </c>
      <c r="D15507" s="2" t="str">
        <f>"4325533468"</f>
        <v>4325533468</v>
      </c>
      <c r="E15507" s="2" t="s">
        <v>42380</v>
      </c>
      <c r="F15507" s="2" t="s">
        <v>4120</v>
      </c>
      <c r="G15507" s="2" t="str">
        <f>"SR-18560"</f>
        <v>SR-18560</v>
      </c>
      <c r="H15507" s="2" t="s">
        <v>52717</v>
      </c>
      <c r="I15507" s="2" t="s">
        <v>52718</v>
      </c>
      <c r="K15507" s="2" t="s">
        <v>286</v>
      </c>
      <c r="L15507" s="2" t="s">
        <v>172</v>
      </c>
      <c r="M15507" s="2">
        <v>79705.0</v>
      </c>
      <c r="N15507" s="2" t="s">
        <v>21</v>
      </c>
    </row>
    <row r="15508" ht="15.75" customHeight="1">
      <c r="A15508" s="2">
        <v>2021.0</v>
      </c>
      <c r="B15508" s="2" t="s">
        <v>59336</v>
      </c>
      <c r="C15508" s="2" t="s">
        <v>59337</v>
      </c>
      <c r="D15508" s="2" t="str">
        <f>"5615695702"</f>
        <v>5615695702</v>
      </c>
      <c r="E15508" s="2" t="s">
        <v>6526</v>
      </c>
      <c r="F15508" s="2" t="s">
        <v>59338</v>
      </c>
      <c r="G15508" s="2" t="str">
        <f>"SR-22427"</f>
        <v>SR-22427</v>
      </c>
      <c r="H15508" s="2" t="s">
        <v>59339</v>
      </c>
      <c r="I15508" s="2" t="s">
        <v>59340</v>
      </c>
      <c r="K15508" s="2" t="s">
        <v>36168</v>
      </c>
      <c r="L15508" s="2" t="s">
        <v>208</v>
      </c>
      <c r="M15508" s="2">
        <v>33483.0</v>
      </c>
      <c r="N15508" s="2" t="s">
        <v>21</v>
      </c>
    </row>
    <row r="15509" ht="15.75" customHeight="1">
      <c r="A15509" s="2">
        <v>2021.0</v>
      </c>
      <c r="B15509" s="2" t="s">
        <v>49461</v>
      </c>
      <c r="C15509" s="2" t="s">
        <v>49462</v>
      </c>
      <c r="D15509" s="2" t="str">
        <f>"4235988919"</f>
        <v>4235988919</v>
      </c>
      <c r="E15509" s="2" t="s">
        <v>596</v>
      </c>
      <c r="F15509" s="2" t="s">
        <v>5668</v>
      </c>
      <c r="G15509" s="2" t="str">
        <f>"SR-17578"</f>
        <v>SR-17578</v>
      </c>
      <c r="H15509" s="2" t="s">
        <v>49463</v>
      </c>
      <c r="I15509" s="2" t="s">
        <v>49464</v>
      </c>
      <c r="K15509" s="2" t="s">
        <v>5671</v>
      </c>
      <c r="L15509" s="2" t="s">
        <v>279</v>
      </c>
      <c r="M15509" s="2">
        <v>37377.0</v>
      </c>
      <c r="N15509" s="2" t="s">
        <v>21</v>
      </c>
    </row>
    <row r="15510" ht="15.75" customHeight="1">
      <c r="A15510" s="2">
        <v>2021.0</v>
      </c>
      <c r="B15510" s="2" t="s">
        <v>59341</v>
      </c>
      <c r="C15510" s="2" t="s">
        <v>59342</v>
      </c>
      <c r="D15510" s="2" t="str">
        <f>"9734524456"</f>
        <v>9734524456</v>
      </c>
      <c r="E15510" s="2" t="s">
        <v>580</v>
      </c>
      <c r="F15510" s="2" t="s">
        <v>12498</v>
      </c>
      <c r="G15510" s="2" t="str">
        <f>"SR-22452"</f>
        <v>SR-22452</v>
      </c>
      <c r="H15510" s="2" t="s">
        <v>59343</v>
      </c>
      <c r="I15510" s="2" t="s">
        <v>59344</v>
      </c>
      <c r="K15510" s="2" t="s">
        <v>13986</v>
      </c>
      <c r="L15510" s="2" t="s">
        <v>3618</v>
      </c>
      <c r="M15510" s="2">
        <v>7834.0</v>
      </c>
      <c r="N15510" s="2" t="s">
        <v>21</v>
      </c>
    </row>
    <row r="15511" ht="15.75" customHeight="1">
      <c r="A15511" s="2">
        <v>2021.0</v>
      </c>
      <c r="B15511" s="2" t="s">
        <v>59345</v>
      </c>
      <c r="C15511" s="2" t="s">
        <v>59345</v>
      </c>
      <c r="D15511" s="2" t="str">
        <f>"2087896233"</f>
        <v>2087896233</v>
      </c>
      <c r="E15511" s="2" t="s">
        <v>4990</v>
      </c>
      <c r="F15511" s="2" t="s">
        <v>59346</v>
      </c>
      <c r="G15511" s="2" t="str">
        <f>"SR-22454"</f>
        <v>SR-22454</v>
      </c>
      <c r="H15511" s="2" t="s">
        <v>59347</v>
      </c>
      <c r="I15511" s="2" t="s">
        <v>59348</v>
      </c>
      <c r="K15511" s="2" t="s">
        <v>6876</v>
      </c>
      <c r="L15511" s="2" t="s">
        <v>2613</v>
      </c>
      <c r="M15511" s="2">
        <v>83616.0</v>
      </c>
      <c r="N15511" s="2" t="s">
        <v>21</v>
      </c>
    </row>
    <row r="15512" ht="15.75" customHeight="1">
      <c r="A15512" s="2">
        <v>2021.0</v>
      </c>
      <c r="B15512" s="2" t="s">
        <v>59349</v>
      </c>
      <c r="C15512" s="2" t="s">
        <v>59350</v>
      </c>
      <c r="D15512" s="2" t="str">
        <f>"3254301771"</f>
        <v>3254301771</v>
      </c>
      <c r="E15512" s="2" t="s">
        <v>705</v>
      </c>
      <c r="F15512" s="2" t="s">
        <v>42381</v>
      </c>
      <c r="G15512" s="2" t="str">
        <f>"SR-22465"</f>
        <v>SR-22465</v>
      </c>
      <c r="H15512" s="2" t="s">
        <v>59351</v>
      </c>
      <c r="I15512" s="2" t="s">
        <v>59352</v>
      </c>
      <c r="K15512" s="2" t="s">
        <v>59353</v>
      </c>
      <c r="L15512" s="2" t="s">
        <v>172</v>
      </c>
      <c r="M15512" s="2">
        <v>76802.0</v>
      </c>
      <c r="N15512" s="2" t="s">
        <v>21</v>
      </c>
    </row>
    <row r="15513" ht="15.75" customHeight="1">
      <c r="A15513" s="2">
        <v>2021.0</v>
      </c>
      <c r="B15513" s="2" t="s">
        <v>59354</v>
      </c>
      <c r="C15513" s="2" t="s">
        <v>59355</v>
      </c>
      <c r="D15513" s="2" t="str">
        <f>"9138202735"</f>
        <v>9138202735</v>
      </c>
      <c r="E15513" s="2" t="s">
        <v>59356</v>
      </c>
      <c r="F15513" s="2" t="s">
        <v>59357</v>
      </c>
      <c r="G15513" s="2" t="str">
        <f>"SR-22445"</f>
        <v>SR-22445</v>
      </c>
      <c r="H15513" s="2" t="s">
        <v>59358</v>
      </c>
      <c r="I15513" s="2" t="s">
        <v>59359</v>
      </c>
      <c r="K15513" s="2" t="s">
        <v>3329</v>
      </c>
      <c r="L15513" s="2" t="s">
        <v>272</v>
      </c>
      <c r="M15513" s="2">
        <v>66215.0</v>
      </c>
      <c r="N15513" s="2" t="s">
        <v>21</v>
      </c>
    </row>
    <row r="15514" ht="15.75" customHeight="1">
      <c r="A15514" s="2">
        <v>2021.0</v>
      </c>
      <c r="B15514" s="2" t="s">
        <v>59360</v>
      </c>
      <c r="C15514" s="2" t="s">
        <v>59360</v>
      </c>
      <c r="D15514" s="2" t="str">
        <f>"4707741008"</f>
        <v>4707741008</v>
      </c>
      <c r="E15514" s="2" t="s">
        <v>718</v>
      </c>
      <c r="F15514" s="2" t="s">
        <v>10393</v>
      </c>
      <c r="G15514" s="2" t="str">
        <f>"SR-22470"</f>
        <v>SR-22470</v>
      </c>
      <c r="H15514" s="2" t="s">
        <v>59361</v>
      </c>
      <c r="I15514" s="2" t="s">
        <v>59362</v>
      </c>
      <c r="K15514" s="2" t="s">
        <v>11963</v>
      </c>
      <c r="L15514" s="2" t="s">
        <v>200</v>
      </c>
      <c r="M15514" s="2">
        <v>30115.0</v>
      </c>
      <c r="N15514" s="2" t="s">
        <v>21</v>
      </c>
    </row>
    <row r="15515" ht="15.75" customHeight="1">
      <c r="A15515" s="2">
        <v>2021.0</v>
      </c>
      <c r="B15515" s="2" t="s">
        <v>59363</v>
      </c>
      <c r="C15515" s="2" t="s">
        <v>59364</v>
      </c>
      <c r="D15515" s="2" t="str">
        <f>"9379030150"</f>
        <v>9379030150</v>
      </c>
      <c r="E15515" s="2" t="s">
        <v>59365</v>
      </c>
      <c r="F15515" s="2" t="s">
        <v>10856</v>
      </c>
      <c r="G15515" s="2" t="str">
        <f>"SR-22395"</f>
        <v>SR-22395</v>
      </c>
      <c r="H15515" s="2" t="s">
        <v>59366</v>
      </c>
      <c r="I15515" s="2" t="s">
        <v>59367</v>
      </c>
      <c r="K15515" s="2" t="s">
        <v>17392</v>
      </c>
      <c r="L15515" s="2" t="s">
        <v>344</v>
      </c>
      <c r="M15515" s="2">
        <v>45318.0</v>
      </c>
      <c r="N15515" s="2" t="s">
        <v>21</v>
      </c>
    </row>
    <row r="15516" ht="15.75" customHeight="1">
      <c r="A15516" s="2">
        <v>2021.0</v>
      </c>
      <c r="B15516" s="2" t="s">
        <v>59368</v>
      </c>
      <c r="C15516" s="2" t="s">
        <v>59369</v>
      </c>
      <c r="D15516" s="2" t="str">
        <f>"8328172781"</f>
        <v>8328172781</v>
      </c>
      <c r="E15516" s="2" t="s">
        <v>1022</v>
      </c>
      <c r="F15516" s="2" t="s">
        <v>59370</v>
      </c>
      <c r="G15516" s="2" t="str">
        <f>"SR-22472"</f>
        <v>SR-22472</v>
      </c>
      <c r="H15516" s="2" t="s">
        <v>59371</v>
      </c>
      <c r="I15516" s="2" t="s">
        <v>59372</v>
      </c>
      <c r="K15516" s="2" t="s">
        <v>3229</v>
      </c>
      <c r="L15516" s="2" t="s">
        <v>279</v>
      </c>
      <c r="M15516" s="2">
        <v>37078.0</v>
      </c>
      <c r="N15516" s="2" t="s">
        <v>21</v>
      </c>
    </row>
    <row r="15517" ht="15.75" customHeight="1">
      <c r="A15517" s="2">
        <v>2021.0</v>
      </c>
      <c r="B15517" s="2" t="s">
        <v>59373</v>
      </c>
      <c r="C15517" s="2" t="s">
        <v>59373</v>
      </c>
      <c r="D15517" s="2" t="str">
        <f>"515-512-2011"</f>
        <v>515-512-2011</v>
      </c>
      <c r="E15517" s="2" t="s">
        <v>217</v>
      </c>
      <c r="F15517" s="2" t="s">
        <v>847</v>
      </c>
      <c r="G15517" s="2" t="str">
        <f>"SR-21757"</f>
        <v>SR-21757</v>
      </c>
      <c r="H15517" s="2" t="s">
        <v>59374</v>
      </c>
      <c r="I15517" s="2" t="s">
        <v>59375</v>
      </c>
      <c r="K15517" s="2" t="s">
        <v>20632</v>
      </c>
      <c r="L15517" s="2" t="s">
        <v>560</v>
      </c>
      <c r="M15517" s="2">
        <v>50263.0</v>
      </c>
      <c r="N15517" s="2" t="s">
        <v>21</v>
      </c>
    </row>
    <row r="15518" ht="15.75" customHeight="1">
      <c r="A15518" s="2">
        <v>2021.0</v>
      </c>
      <c r="B15518" s="2" t="s">
        <v>48969</v>
      </c>
      <c r="C15518" s="2" t="s">
        <v>48975</v>
      </c>
      <c r="D15518" s="2" t="str">
        <f>"8188572694"</f>
        <v>8188572694</v>
      </c>
      <c r="E15518" s="2" t="s">
        <v>225</v>
      </c>
      <c r="F15518" s="2" t="s">
        <v>6121</v>
      </c>
      <c r="G15518" s="2" t="str">
        <f>"SR-17297"</f>
        <v>SR-17297</v>
      </c>
      <c r="H15518" s="2" t="s">
        <v>48976</v>
      </c>
      <c r="I15518" s="2" t="s">
        <v>48972</v>
      </c>
      <c r="J15518" s="2">
        <v>180.0</v>
      </c>
      <c r="K15518" s="2" t="s">
        <v>48977</v>
      </c>
      <c r="L15518" s="2" t="s">
        <v>222</v>
      </c>
      <c r="M15518" s="2">
        <v>91301.0</v>
      </c>
      <c r="N15518" s="2" t="s">
        <v>21</v>
      </c>
    </row>
    <row r="15519" ht="15.75" customHeight="1">
      <c r="A15519" s="2">
        <v>2021.0</v>
      </c>
      <c r="B15519" s="2" t="s">
        <v>59376</v>
      </c>
      <c r="C15519" s="2" t="s">
        <v>59376</v>
      </c>
      <c r="D15519" s="2" t="str">
        <f>"320-266-8600"</f>
        <v>320-266-8600</v>
      </c>
      <c r="E15519" s="2" t="s">
        <v>22628</v>
      </c>
      <c r="F15519" s="2" t="s">
        <v>11455</v>
      </c>
      <c r="G15519" s="2" t="str">
        <f>"SR-22234"</f>
        <v>SR-22234</v>
      </c>
      <c r="H15519" s="2" t="s">
        <v>51752</v>
      </c>
      <c r="I15519" s="2" t="s">
        <v>51756</v>
      </c>
      <c r="K15519" s="2" t="s">
        <v>12059</v>
      </c>
      <c r="L15519" s="2" t="s">
        <v>62</v>
      </c>
      <c r="M15519" s="2">
        <v>56329.0</v>
      </c>
      <c r="N15519" s="2" t="s">
        <v>21</v>
      </c>
    </row>
    <row r="15520" ht="15.75" customHeight="1">
      <c r="A15520" s="2">
        <v>2021.0</v>
      </c>
      <c r="B15520" s="2" t="s">
        <v>59377</v>
      </c>
      <c r="C15520" s="2" t="s">
        <v>59378</v>
      </c>
      <c r="D15520" s="2" t="str">
        <f>"8173077625"</f>
        <v>8173077625</v>
      </c>
      <c r="E15520" s="2" t="s">
        <v>4057</v>
      </c>
      <c r="F15520" s="2" t="s">
        <v>59379</v>
      </c>
      <c r="G15520" s="2" t="str">
        <f>"SR-22478"</f>
        <v>SR-22478</v>
      </c>
      <c r="H15520" s="2" t="s">
        <v>59380</v>
      </c>
      <c r="I15520" s="2" t="s">
        <v>59381</v>
      </c>
      <c r="K15520" s="2" t="s">
        <v>9307</v>
      </c>
      <c r="L15520" s="2" t="s">
        <v>172</v>
      </c>
      <c r="M15520" s="2">
        <v>76052.0</v>
      </c>
      <c r="N15520" s="2" t="s">
        <v>21</v>
      </c>
    </row>
    <row r="15521" ht="15.75" customHeight="1">
      <c r="A15521" s="2">
        <v>2021.0</v>
      </c>
      <c r="B15521" s="2" t="s">
        <v>59382</v>
      </c>
      <c r="C15521" s="2" t="s">
        <v>59382</v>
      </c>
      <c r="D15521" s="2" t="str">
        <f>"210-763-1087"</f>
        <v>210-763-1087</v>
      </c>
      <c r="E15521" s="2" t="s">
        <v>2857</v>
      </c>
      <c r="F15521" s="2" t="s">
        <v>59383</v>
      </c>
      <c r="G15521" s="2" t="str">
        <f>"SR-22481"</f>
        <v>SR-22481</v>
      </c>
      <c r="H15521" s="2" t="s">
        <v>59384</v>
      </c>
      <c r="I15521" s="2" t="s">
        <v>59385</v>
      </c>
      <c r="K15521" s="2" t="s">
        <v>606</v>
      </c>
      <c r="L15521" s="2" t="s">
        <v>272</v>
      </c>
      <c r="M15521" s="2">
        <v>67235.0</v>
      </c>
      <c r="N15521" s="2" t="s">
        <v>21</v>
      </c>
    </row>
    <row r="15522" ht="15.75" customHeight="1">
      <c r="A15522" s="2">
        <v>2021.0</v>
      </c>
      <c r="B15522" s="2" t="s">
        <v>59386</v>
      </c>
      <c r="C15522" s="2" t="s">
        <v>59387</v>
      </c>
      <c r="D15522" s="2" t="str">
        <f>"281-433-0329"</f>
        <v>281-433-0329</v>
      </c>
      <c r="E15522" s="2" t="s">
        <v>4888</v>
      </c>
      <c r="F15522" s="2" t="s">
        <v>1269</v>
      </c>
      <c r="G15522" s="2" t="str">
        <f>"SR-22482"</f>
        <v>SR-22482</v>
      </c>
      <c r="H15522" s="2" t="s">
        <v>59388</v>
      </c>
      <c r="I15522" s="2" t="s">
        <v>59389</v>
      </c>
      <c r="K15522" s="2" t="s">
        <v>3524</v>
      </c>
      <c r="L15522" s="2" t="s">
        <v>172</v>
      </c>
      <c r="M15522" s="2">
        <v>77546.0</v>
      </c>
      <c r="N15522" s="2" t="s">
        <v>21</v>
      </c>
    </row>
    <row r="15523" ht="15.75" customHeight="1">
      <c r="A15523" s="2">
        <v>2021.0</v>
      </c>
      <c r="B15523" s="2" t="s">
        <v>59390</v>
      </c>
      <c r="C15523" s="2" t="s">
        <v>59390</v>
      </c>
      <c r="D15523" s="2" t="str">
        <f>"2146206112"</f>
        <v>2146206112</v>
      </c>
      <c r="E15523" s="2" t="s">
        <v>485</v>
      </c>
      <c r="F15523" s="2" t="s">
        <v>457</v>
      </c>
      <c r="G15523" s="2" t="str">
        <f>"SR-22449"</f>
        <v>SR-22449</v>
      </c>
      <c r="H15523" s="2" t="s">
        <v>59391</v>
      </c>
      <c r="I15523" s="2" t="s">
        <v>59392</v>
      </c>
      <c r="K15523" s="2" t="s">
        <v>59393</v>
      </c>
      <c r="L15523" s="2" t="s">
        <v>344</v>
      </c>
      <c r="M15523" s="2">
        <v>43015.0</v>
      </c>
      <c r="N15523" s="2" t="s">
        <v>21</v>
      </c>
    </row>
    <row r="15524" ht="15.75" customHeight="1">
      <c r="A15524" s="2">
        <v>2021.0</v>
      </c>
      <c r="B15524" s="2" t="s">
        <v>59394</v>
      </c>
      <c r="C15524" s="2" t="s">
        <v>59395</v>
      </c>
      <c r="D15524" s="2" t="str">
        <f>"8104985324"</f>
        <v>8104985324</v>
      </c>
      <c r="E15524" s="2" t="s">
        <v>1529</v>
      </c>
      <c r="F15524" s="2" t="s">
        <v>984</v>
      </c>
      <c r="G15524" s="2" t="str">
        <f>"SR-22487"</f>
        <v>SR-22487</v>
      </c>
      <c r="H15524" s="2" t="s">
        <v>59396</v>
      </c>
      <c r="I15524" s="2" t="s">
        <v>42876</v>
      </c>
      <c r="K15524" s="2" t="s">
        <v>42877</v>
      </c>
      <c r="L15524" s="2" t="s">
        <v>29</v>
      </c>
      <c r="M15524" s="2">
        <v>48430.0</v>
      </c>
      <c r="N15524" s="2" t="s">
        <v>21</v>
      </c>
    </row>
    <row r="15525" ht="15.75" customHeight="1">
      <c r="A15525" s="2">
        <v>2021.0</v>
      </c>
      <c r="B15525" s="2" t="s">
        <v>59397</v>
      </c>
      <c r="C15525" s="2" t="s">
        <v>59398</v>
      </c>
      <c r="D15525" s="2" t="str">
        <f>"713-907-9722"</f>
        <v>713-907-9722</v>
      </c>
      <c r="E15525" s="2" t="s">
        <v>3037</v>
      </c>
      <c r="F15525" s="2" t="s">
        <v>39336</v>
      </c>
      <c r="G15525" s="2" t="str">
        <f>"SR-22435"</f>
        <v>SR-22435</v>
      </c>
      <c r="H15525" s="2" t="s">
        <v>59399</v>
      </c>
      <c r="I15525" s="2" t="s">
        <v>59400</v>
      </c>
      <c r="K15525" s="2" t="s">
        <v>444</v>
      </c>
      <c r="L15525" s="2" t="s">
        <v>172</v>
      </c>
      <c r="M15525" s="2">
        <v>77024.0</v>
      </c>
      <c r="N15525" s="2" t="s">
        <v>21</v>
      </c>
    </row>
    <row r="15526" ht="15.75" customHeight="1">
      <c r="A15526" s="2">
        <v>2021.0</v>
      </c>
      <c r="B15526" s="2" t="s">
        <v>59401</v>
      </c>
      <c r="C15526" s="2" t="s">
        <v>59402</v>
      </c>
      <c r="D15526" s="2" t="str">
        <f>"803-645-0921"</f>
        <v>803-645-0921</v>
      </c>
      <c r="E15526" s="2" t="s">
        <v>339</v>
      </c>
      <c r="F15526" s="2" t="s">
        <v>11769</v>
      </c>
      <c r="G15526" s="2" t="str">
        <f>"SR-22489"</f>
        <v>SR-22489</v>
      </c>
      <c r="H15526" s="2" t="s">
        <v>59403</v>
      </c>
      <c r="I15526" s="2" t="s">
        <v>59404</v>
      </c>
      <c r="K15526" s="2" t="s">
        <v>4267</v>
      </c>
      <c r="L15526" s="2" t="s">
        <v>55</v>
      </c>
      <c r="M15526" s="2">
        <v>29801.0</v>
      </c>
      <c r="N15526" s="2" t="s">
        <v>21</v>
      </c>
    </row>
    <row r="15527" ht="15.75" customHeight="1">
      <c r="A15527" s="2">
        <v>2021.0</v>
      </c>
      <c r="B15527" s="2" t="s">
        <v>59405</v>
      </c>
      <c r="C15527" s="2" t="s">
        <v>59405</v>
      </c>
      <c r="D15527" s="2" t="str">
        <f>"8642073491"</f>
        <v>8642073491</v>
      </c>
      <c r="E15527" s="2" t="s">
        <v>3693</v>
      </c>
      <c r="F15527" s="2" t="s">
        <v>30729</v>
      </c>
      <c r="G15527" s="2" t="str">
        <f>"SR-22490"</f>
        <v>SR-22490</v>
      </c>
      <c r="H15527" s="2" t="s">
        <v>59406</v>
      </c>
      <c r="I15527" s="2" t="s">
        <v>59407</v>
      </c>
      <c r="K15527" s="2" t="s">
        <v>19801</v>
      </c>
      <c r="L15527" s="2" t="s">
        <v>55</v>
      </c>
      <c r="M15527" s="2">
        <v>29642.0</v>
      </c>
      <c r="N15527" s="2" t="s">
        <v>21</v>
      </c>
    </row>
    <row r="15528" ht="15.75" customHeight="1">
      <c r="A15528" s="2">
        <v>2021.0</v>
      </c>
      <c r="B15528" s="2" t="s">
        <v>59408</v>
      </c>
      <c r="C15528" s="2" t="s">
        <v>59409</v>
      </c>
      <c r="D15528" s="2" t="str">
        <f>"719-440-8329"</f>
        <v>719-440-8329</v>
      </c>
      <c r="E15528" s="2" t="s">
        <v>36331</v>
      </c>
      <c r="F15528" s="2" t="s">
        <v>59410</v>
      </c>
      <c r="G15528" s="2" t="str">
        <f>"SR-22494"</f>
        <v>SR-22494</v>
      </c>
      <c r="H15528" s="2" t="s">
        <v>59411</v>
      </c>
      <c r="I15528" s="2" t="s">
        <v>59412</v>
      </c>
      <c r="K15528" s="2" t="s">
        <v>809</v>
      </c>
      <c r="L15528" s="2" t="s">
        <v>157</v>
      </c>
      <c r="M15528" s="2">
        <v>80921.0</v>
      </c>
      <c r="N15528" s="2" t="s">
        <v>21</v>
      </c>
    </row>
    <row r="15529" ht="15.75" customHeight="1">
      <c r="A15529" s="2">
        <v>2021.0</v>
      </c>
      <c r="B15529" s="2" t="s">
        <v>59413</v>
      </c>
      <c r="C15529" s="2" t="s">
        <v>59414</v>
      </c>
      <c r="D15529" s="2" t="str">
        <f>"5132662774"</f>
        <v>5132662774</v>
      </c>
      <c r="E15529" s="2" t="s">
        <v>18277</v>
      </c>
      <c r="F15529" s="2" t="s">
        <v>9802</v>
      </c>
      <c r="G15529" s="2" t="str">
        <f>"SR-22418"</f>
        <v>SR-22418</v>
      </c>
      <c r="H15529" s="2" t="s">
        <v>59415</v>
      </c>
      <c r="I15529" s="2" t="s">
        <v>59416</v>
      </c>
      <c r="K15529" s="2" t="s">
        <v>10119</v>
      </c>
      <c r="L15529" s="2" t="s">
        <v>344</v>
      </c>
      <c r="M15529" s="2">
        <v>45247.0</v>
      </c>
      <c r="N15529" s="2" t="s">
        <v>21</v>
      </c>
    </row>
    <row r="15530" ht="15.75" customHeight="1">
      <c r="A15530" s="2">
        <v>2021.0</v>
      </c>
      <c r="B15530" s="2" t="s">
        <v>59417</v>
      </c>
      <c r="C15530" s="2" t="s">
        <v>59417</v>
      </c>
      <c r="D15530" s="2" t="str">
        <f>"8064076229"</f>
        <v>8064076229</v>
      </c>
      <c r="E15530" s="2" t="s">
        <v>5858</v>
      </c>
      <c r="F15530" s="2" t="s">
        <v>3394</v>
      </c>
      <c r="G15530" s="2" t="str">
        <f>"SR-22498"</f>
        <v>SR-22498</v>
      </c>
      <c r="H15530" s="2" t="s">
        <v>59418</v>
      </c>
      <c r="I15530" s="2" t="s">
        <v>59419</v>
      </c>
      <c r="K15530" s="2" t="s">
        <v>1121</v>
      </c>
      <c r="L15530" s="2" t="s">
        <v>172</v>
      </c>
      <c r="M15530" s="2">
        <v>79416.0</v>
      </c>
      <c r="N15530" s="2" t="s">
        <v>21</v>
      </c>
    </row>
    <row r="15531" ht="15.75" customHeight="1">
      <c r="A15531" s="2">
        <v>2021.0</v>
      </c>
      <c r="B15531" s="2" t="s">
        <v>59420</v>
      </c>
      <c r="C15531" s="2" t="s">
        <v>59421</v>
      </c>
      <c r="D15531" s="2" t="str">
        <f>"8653042481"</f>
        <v>8653042481</v>
      </c>
      <c r="E15531" s="2" t="s">
        <v>705</v>
      </c>
      <c r="F15531" s="2" t="s">
        <v>30201</v>
      </c>
      <c r="G15531" s="2" t="str">
        <f>"SR-22501"</f>
        <v>SR-22501</v>
      </c>
      <c r="H15531" s="2" t="s">
        <v>59422</v>
      </c>
      <c r="I15531" s="2" t="s">
        <v>59423</v>
      </c>
      <c r="K15531" s="2" t="s">
        <v>22167</v>
      </c>
      <c r="L15531" s="2" t="s">
        <v>279</v>
      </c>
      <c r="M15531" s="2">
        <v>37804.0</v>
      </c>
      <c r="N15531" s="2" t="s">
        <v>21</v>
      </c>
    </row>
    <row r="15532" ht="15.75" customHeight="1">
      <c r="A15532" s="2">
        <v>2021.0</v>
      </c>
      <c r="B15532" s="2" t="s">
        <v>59424</v>
      </c>
      <c r="C15532" s="2" t="s">
        <v>59424</v>
      </c>
      <c r="D15532" s="2" t="str">
        <f>"6785523628"</f>
        <v>6785523628</v>
      </c>
      <c r="E15532" s="2" t="s">
        <v>453</v>
      </c>
      <c r="F15532" s="2" t="s">
        <v>59425</v>
      </c>
      <c r="G15532" s="2" t="str">
        <f>"SR-22507"</f>
        <v>SR-22507</v>
      </c>
      <c r="H15532" s="2" t="s">
        <v>59426</v>
      </c>
      <c r="I15532" s="2" t="s">
        <v>59427</v>
      </c>
      <c r="K15532" s="2" t="s">
        <v>59428</v>
      </c>
      <c r="L15532" s="2" t="s">
        <v>200</v>
      </c>
      <c r="M15532" s="2">
        <v>30277.0</v>
      </c>
      <c r="N15532" s="2" t="s">
        <v>21</v>
      </c>
    </row>
    <row r="15533" ht="15.75" customHeight="1">
      <c r="A15533" s="2">
        <v>2021.0</v>
      </c>
      <c r="B15533" s="2" t="s">
        <v>35397</v>
      </c>
      <c r="C15533" s="2" t="s">
        <v>59429</v>
      </c>
      <c r="D15533" s="2" t="str">
        <f>"6614777096"</f>
        <v>6614777096</v>
      </c>
      <c r="E15533" s="2" t="s">
        <v>651</v>
      </c>
      <c r="F15533" s="2" t="s">
        <v>17018</v>
      </c>
      <c r="G15533" s="2" t="str">
        <f>"SR-22514"</f>
        <v>SR-22514</v>
      </c>
      <c r="H15533" s="2" t="s">
        <v>59430</v>
      </c>
      <c r="I15533" s="2" t="s">
        <v>59431</v>
      </c>
      <c r="K15533" s="2" t="s">
        <v>11198</v>
      </c>
      <c r="L15533" s="2" t="s">
        <v>222</v>
      </c>
      <c r="M15533" s="2">
        <v>93308.0</v>
      </c>
      <c r="N15533" s="2" t="s">
        <v>21</v>
      </c>
    </row>
    <row r="15534" ht="15.75" customHeight="1">
      <c r="A15534" s="2">
        <v>2021.0</v>
      </c>
      <c r="B15534" s="2" t="s">
        <v>59432</v>
      </c>
      <c r="C15534" s="2" t="s">
        <v>59433</v>
      </c>
      <c r="D15534" s="2" t="str">
        <f>"2177147761"</f>
        <v>2177147761</v>
      </c>
      <c r="E15534" s="2" t="s">
        <v>10652</v>
      </c>
      <c r="F15534" s="2" t="s">
        <v>46130</v>
      </c>
      <c r="G15534" s="2" t="str">
        <f>"SR-22491"</f>
        <v>SR-22491</v>
      </c>
      <c r="H15534" s="2" t="s">
        <v>59434</v>
      </c>
      <c r="I15534" s="2" t="s">
        <v>59435</v>
      </c>
      <c r="K15534" s="2" t="s">
        <v>28366</v>
      </c>
      <c r="L15534" s="2" t="s">
        <v>105</v>
      </c>
      <c r="M15534" s="2">
        <v>61802.0</v>
      </c>
      <c r="N15534" s="2" t="s">
        <v>21</v>
      </c>
    </row>
    <row r="15535" ht="15.75" customHeight="1">
      <c r="A15535" s="2">
        <v>2021.0</v>
      </c>
      <c r="B15535" s="2" t="s">
        <v>59436</v>
      </c>
      <c r="C15535" s="2" t="s">
        <v>59437</v>
      </c>
      <c r="D15535" s="2" t="str">
        <f>"6145128167"</f>
        <v>6145128167</v>
      </c>
      <c r="E15535" s="2" t="s">
        <v>562</v>
      </c>
      <c r="F15535" s="2" t="s">
        <v>59438</v>
      </c>
      <c r="G15535" s="2" t="str">
        <f>"SR-22519"</f>
        <v>SR-22519</v>
      </c>
      <c r="H15535" s="2" t="s">
        <v>59439</v>
      </c>
      <c r="I15535" s="2" t="s">
        <v>59440</v>
      </c>
      <c r="K15535" s="2" t="s">
        <v>59441</v>
      </c>
      <c r="L15535" s="2" t="s">
        <v>344</v>
      </c>
      <c r="M15535" s="2">
        <v>43066.0</v>
      </c>
      <c r="N15535" s="2" t="s">
        <v>21</v>
      </c>
    </row>
    <row r="15536" ht="15.75" customHeight="1">
      <c r="A15536" s="2">
        <v>2021.0</v>
      </c>
      <c r="B15536" s="2" t="s">
        <v>59442</v>
      </c>
      <c r="C15536" s="2" t="s">
        <v>59443</v>
      </c>
      <c r="D15536" s="2" t="str">
        <f>"8136259582"</f>
        <v>8136259582</v>
      </c>
      <c r="E15536" s="2" t="s">
        <v>1257</v>
      </c>
      <c r="F15536" s="2" t="s">
        <v>59444</v>
      </c>
      <c r="G15536" s="2" t="str">
        <f>"SR-22521"</f>
        <v>SR-22521</v>
      </c>
      <c r="H15536" s="2" t="s">
        <v>59445</v>
      </c>
      <c r="I15536" s="2" t="s">
        <v>59446</v>
      </c>
      <c r="K15536" s="2" t="s">
        <v>5683</v>
      </c>
      <c r="L15536" s="2" t="s">
        <v>208</v>
      </c>
      <c r="M15536" s="2">
        <v>33594.0</v>
      </c>
      <c r="N15536" s="2" t="s">
        <v>21</v>
      </c>
    </row>
    <row r="15537" ht="15.75" customHeight="1">
      <c r="A15537" s="2">
        <v>2021.0</v>
      </c>
      <c r="B15537" s="2" t="s">
        <v>59394</v>
      </c>
      <c r="C15537" s="2" t="s">
        <v>59447</v>
      </c>
      <c r="D15537" s="2" t="str">
        <f>"8104459469"</f>
        <v>8104459469</v>
      </c>
      <c r="E15537" s="2" t="s">
        <v>3878</v>
      </c>
      <c r="F15537" s="2" t="s">
        <v>984</v>
      </c>
      <c r="G15537" s="2" t="str">
        <f>"SR-22524"</f>
        <v>SR-22524</v>
      </c>
      <c r="H15537" s="2" t="s">
        <v>12348</v>
      </c>
      <c r="I15537" s="2" t="s">
        <v>42876</v>
      </c>
      <c r="K15537" s="2" t="s">
        <v>42877</v>
      </c>
      <c r="L15537" s="2" t="s">
        <v>29</v>
      </c>
      <c r="M15537" s="2">
        <v>48430.0</v>
      </c>
      <c r="N15537" s="2" t="s">
        <v>21</v>
      </c>
    </row>
    <row r="15538" ht="15.75" customHeight="1">
      <c r="A15538" s="2">
        <v>2021.0</v>
      </c>
      <c r="B15538" s="2" t="s">
        <v>59448</v>
      </c>
      <c r="C15538" s="2" t="s">
        <v>59448</v>
      </c>
      <c r="D15538" s="2" t="str">
        <f>"9196240071"</f>
        <v>9196240071</v>
      </c>
      <c r="E15538" s="2" t="s">
        <v>6526</v>
      </c>
      <c r="F15538" s="2" t="s">
        <v>59449</v>
      </c>
      <c r="G15538" s="2" t="str">
        <f>"SR-22249"</f>
        <v>SR-22249</v>
      </c>
      <c r="H15538" s="2" t="s">
        <v>59450</v>
      </c>
      <c r="I15538" s="2" t="s">
        <v>59451</v>
      </c>
      <c r="K15538" s="2" t="s">
        <v>59452</v>
      </c>
      <c r="L15538" s="2" t="s">
        <v>20</v>
      </c>
      <c r="M15538" s="2">
        <v>27514.0</v>
      </c>
      <c r="N15538" s="2" t="s">
        <v>21</v>
      </c>
    </row>
    <row r="15539" ht="15.75" customHeight="1">
      <c r="A15539" s="2">
        <v>2021.0</v>
      </c>
      <c r="B15539" s="2" t="s">
        <v>59453</v>
      </c>
      <c r="C15539" s="2" t="s">
        <v>59454</v>
      </c>
      <c r="D15539" s="2" t="str">
        <f>"9734323237"</f>
        <v>9734323237</v>
      </c>
      <c r="E15539" s="2" t="s">
        <v>1810</v>
      </c>
      <c r="F15539" s="2" t="s">
        <v>46942</v>
      </c>
      <c r="G15539" s="2" t="str">
        <f>"SR-22525"</f>
        <v>SR-22525</v>
      </c>
      <c r="H15539" s="2" t="s">
        <v>59455</v>
      </c>
      <c r="I15539" s="2" t="s">
        <v>59456</v>
      </c>
      <c r="K15539" s="2" t="s">
        <v>19644</v>
      </c>
      <c r="L15539" s="2" t="s">
        <v>208</v>
      </c>
      <c r="M15539" s="2">
        <v>33317.0</v>
      </c>
      <c r="N15539" s="2" t="s">
        <v>21</v>
      </c>
    </row>
    <row r="15540" ht="15.75" customHeight="1">
      <c r="A15540" s="2">
        <v>2021.0</v>
      </c>
      <c r="B15540" s="2" t="s">
        <v>44746</v>
      </c>
      <c r="C15540" s="2" t="s">
        <v>44746</v>
      </c>
      <c r="D15540" s="2" t="str">
        <f>"5125902447"</f>
        <v>5125902447</v>
      </c>
      <c r="E15540" s="2" t="s">
        <v>1263</v>
      </c>
      <c r="F15540" s="2" t="s">
        <v>40547</v>
      </c>
      <c r="G15540" s="2" t="str">
        <f>"SR-15598"</f>
        <v>SR-15598</v>
      </c>
      <c r="H15540" s="2" t="s">
        <v>44747</v>
      </c>
      <c r="I15540" s="2" t="s">
        <v>44748</v>
      </c>
      <c r="K15540" s="2" t="s">
        <v>44749</v>
      </c>
      <c r="L15540" s="2" t="s">
        <v>172</v>
      </c>
      <c r="M15540" s="2">
        <v>78737.0</v>
      </c>
      <c r="N15540" s="2" t="s">
        <v>21</v>
      </c>
    </row>
    <row r="15541" ht="15.75" customHeight="1">
      <c r="A15541" s="2">
        <v>2021.0</v>
      </c>
      <c r="B15541" s="2" t="s">
        <v>36293</v>
      </c>
      <c r="C15541" s="2" t="s">
        <v>59457</v>
      </c>
      <c r="D15541" s="2" t="str">
        <f>"407-879-6722"</f>
        <v>407-879-6722</v>
      </c>
      <c r="E15541" s="2" t="s">
        <v>59458</v>
      </c>
      <c r="F15541" s="2" t="s">
        <v>36296</v>
      </c>
      <c r="G15541" s="2" t="str">
        <f>"SR-22474"</f>
        <v>SR-22474</v>
      </c>
      <c r="H15541" s="2" t="s">
        <v>59459</v>
      </c>
      <c r="I15541" s="2" t="s">
        <v>36298</v>
      </c>
      <c r="K15541" s="2" t="s">
        <v>34032</v>
      </c>
      <c r="L15541" s="2" t="s">
        <v>208</v>
      </c>
      <c r="M15541" s="2">
        <v>32701.0</v>
      </c>
      <c r="N15541" s="2" t="s">
        <v>21</v>
      </c>
    </row>
    <row r="15542" ht="15.75" customHeight="1">
      <c r="A15542" s="2">
        <v>2021.0</v>
      </c>
      <c r="B15542" s="2" t="s">
        <v>59460</v>
      </c>
      <c r="C15542" s="2" t="s">
        <v>59461</v>
      </c>
      <c r="D15542" s="2" t="str">
        <f>"7208087422"</f>
        <v>7208087422</v>
      </c>
      <c r="E15542" s="2" t="s">
        <v>59462</v>
      </c>
      <c r="F15542" s="2" t="s">
        <v>20218</v>
      </c>
      <c r="G15542" s="2" t="str">
        <f>"SR-22529"</f>
        <v>SR-22529</v>
      </c>
      <c r="H15542" s="2" t="s">
        <v>59463</v>
      </c>
      <c r="I15542" s="2" t="s">
        <v>59464</v>
      </c>
      <c r="K15542" s="2" t="s">
        <v>992</v>
      </c>
      <c r="L15542" s="2" t="s">
        <v>157</v>
      </c>
      <c r="M15542" s="2">
        <v>80015.0</v>
      </c>
      <c r="N15542" s="2" t="s">
        <v>21</v>
      </c>
    </row>
    <row r="15543" ht="15.75" customHeight="1">
      <c r="A15543" s="2">
        <v>2021.0</v>
      </c>
      <c r="B15543" s="2" t="s">
        <v>59465</v>
      </c>
      <c r="C15543" s="2" t="s">
        <v>59465</v>
      </c>
      <c r="D15543" s="2" t="str">
        <f>"206-498-1904"</f>
        <v>206-498-1904</v>
      </c>
      <c r="E15543" s="2" t="s">
        <v>3878</v>
      </c>
      <c r="F15543" s="2" t="s">
        <v>59466</v>
      </c>
      <c r="G15543" s="2" t="str">
        <f>"SR-22530"</f>
        <v>SR-22530</v>
      </c>
      <c r="H15543" s="2" t="s">
        <v>59467</v>
      </c>
      <c r="I15543" s="2" t="s">
        <v>59468</v>
      </c>
      <c r="K15543" s="2" t="s">
        <v>59469</v>
      </c>
      <c r="L15543" s="2" t="s">
        <v>86</v>
      </c>
      <c r="M15543" s="2">
        <v>98038.0</v>
      </c>
      <c r="N15543" s="2" t="s">
        <v>21</v>
      </c>
    </row>
    <row r="15544" ht="15.75" customHeight="1">
      <c r="A15544" s="2">
        <v>2021.0</v>
      </c>
      <c r="B15544" s="2" t="s">
        <v>59470</v>
      </c>
      <c r="C15544" s="2" t="s">
        <v>59471</v>
      </c>
      <c r="D15544" s="2" t="str">
        <f>"5177568042"</f>
        <v>5177568042</v>
      </c>
      <c r="E15544" s="2" t="s">
        <v>217</v>
      </c>
      <c r="F15544" s="2" t="s">
        <v>7174</v>
      </c>
      <c r="G15544" s="2" t="str">
        <f>"SR-22531"</f>
        <v>SR-22531</v>
      </c>
      <c r="H15544" s="2" t="s">
        <v>59472</v>
      </c>
      <c r="I15544" s="2" t="s">
        <v>59473</v>
      </c>
      <c r="K15544" s="2" t="s">
        <v>59474</v>
      </c>
      <c r="L15544" s="2" t="s">
        <v>29</v>
      </c>
      <c r="M15544" s="2">
        <v>49094.0</v>
      </c>
      <c r="N15544" s="2" t="s">
        <v>21</v>
      </c>
    </row>
    <row r="15545" ht="15.75" customHeight="1">
      <c r="A15545" s="2">
        <v>2021.0</v>
      </c>
      <c r="B15545" s="2" t="s">
        <v>59475</v>
      </c>
      <c r="C15545" s="2" t="s">
        <v>59475</v>
      </c>
      <c r="D15545" s="2" t="str">
        <f>"9095321196"</f>
        <v>9095321196</v>
      </c>
      <c r="E15545" s="2" t="s">
        <v>1483</v>
      </c>
      <c r="F15545" s="2" t="s">
        <v>59476</v>
      </c>
      <c r="G15545" s="2" t="str">
        <f>"SR-22267"</f>
        <v>SR-22267</v>
      </c>
      <c r="H15545" s="2" t="s">
        <v>59477</v>
      </c>
      <c r="I15545" s="2" t="s">
        <v>59478</v>
      </c>
      <c r="K15545" s="2" t="s">
        <v>10557</v>
      </c>
      <c r="L15545" s="2" t="s">
        <v>222</v>
      </c>
      <c r="M15545" s="2">
        <v>91730.0</v>
      </c>
      <c r="N15545" s="2" t="s">
        <v>21</v>
      </c>
    </row>
    <row r="15546" ht="15.75" customHeight="1">
      <c r="A15546" s="2">
        <v>2021.0</v>
      </c>
      <c r="B15546" s="2" t="s">
        <v>59479</v>
      </c>
      <c r="C15546" s="2" t="s">
        <v>59479</v>
      </c>
      <c r="D15546" s="2" t="str">
        <f>"2623021441"</f>
        <v>2623021441</v>
      </c>
      <c r="E15546" s="2" t="s">
        <v>2126</v>
      </c>
      <c r="F15546" s="2" t="s">
        <v>6453</v>
      </c>
      <c r="G15546" s="2" t="str">
        <f>"SR-22532"</f>
        <v>SR-22532</v>
      </c>
      <c r="H15546" s="2" t="s">
        <v>59480</v>
      </c>
      <c r="I15546" s="2" t="s">
        <v>59481</v>
      </c>
      <c r="K15546" s="2" t="s">
        <v>59482</v>
      </c>
      <c r="L15546" s="2" t="s">
        <v>193</v>
      </c>
      <c r="M15546" s="2">
        <v>53092.0</v>
      </c>
      <c r="N15546" s="2" t="s">
        <v>21</v>
      </c>
    </row>
    <row r="15547" ht="15.75" customHeight="1">
      <c r="A15547" s="2">
        <v>2021.0</v>
      </c>
      <c r="B15547" s="2" t="s">
        <v>59483</v>
      </c>
      <c r="C15547" s="2" t="s">
        <v>59484</v>
      </c>
      <c r="D15547" s="2" t="str">
        <f>"6303971085"</f>
        <v>6303971085</v>
      </c>
      <c r="E15547" s="2" t="s">
        <v>59485</v>
      </c>
      <c r="F15547" s="2" t="s">
        <v>59486</v>
      </c>
      <c r="G15547" s="2" t="str">
        <f>"SR-22522"</f>
        <v>SR-22522</v>
      </c>
      <c r="H15547" s="2" t="s">
        <v>59487</v>
      </c>
      <c r="I15547" s="2" t="s">
        <v>59488</v>
      </c>
      <c r="K15547" s="2" t="s">
        <v>59489</v>
      </c>
      <c r="L15547" s="2" t="s">
        <v>105</v>
      </c>
      <c r="M15547" s="2">
        <v>60172.0</v>
      </c>
      <c r="N15547" s="2" t="s">
        <v>21</v>
      </c>
    </row>
    <row r="15548" ht="15.75" customHeight="1">
      <c r="A15548" s="2">
        <v>2021.0</v>
      </c>
      <c r="B15548" s="2" t="s">
        <v>59490</v>
      </c>
      <c r="C15548" s="2" t="s">
        <v>59490</v>
      </c>
      <c r="D15548" s="2" t="str">
        <f>"7207684889"</f>
        <v>7207684889</v>
      </c>
      <c r="E15548" s="2" t="s">
        <v>651</v>
      </c>
      <c r="F15548" s="2" t="s">
        <v>8873</v>
      </c>
      <c r="G15548" s="2" t="str">
        <f>"SR-22537"</f>
        <v>SR-22537</v>
      </c>
      <c r="H15548" s="2" t="s">
        <v>59491</v>
      </c>
      <c r="I15548" s="2" t="s">
        <v>8875</v>
      </c>
      <c r="K15548" s="2" t="s">
        <v>1520</v>
      </c>
      <c r="L15548" s="2" t="s">
        <v>157</v>
      </c>
      <c r="M15548" s="2">
        <v>80013.0</v>
      </c>
      <c r="N15548" s="2" t="s">
        <v>21</v>
      </c>
    </row>
    <row r="15549" ht="15.75" customHeight="1">
      <c r="A15549" s="2">
        <v>2021.0</v>
      </c>
      <c r="B15549" s="2" t="s">
        <v>59492</v>
      </c>
      <c r="C15549" s="2" t="s">
        <v>59493</v>
      </c>
      <c r="D15549" s="2" t="str">
        <f>"5127172839"</f>
        <v>5127172839</v>
      </c>
      <c r="E15549" s="2" t="s">
        <v>59494</v>
      </c>
      <c r="F15549" s="2" t="s">
        <v>585</v>
      </c>
      <c r="G15549" s="2" t="str">
        <f>"SR-22516"</f>
        <v>SR-22516</v>
      </c>
      <c r="H15549" s="2" t="s">
        <v>59495</v>
      </c>
      <c r="I15549" s="2" t="s">
        <v>59496</v>
      </c>
      <c r="K15549" s="2" t="s">
        <v>1141</v>
      </c>
      <c r="L15549" s="2" t="s">
        <v>172</v>
      </c>
      <c r="M15549" s="2">
        <v>78727.0</v>
      </c>
      <c r="N15549" s="2" t="s">
        <v>21</v>
      </c>
    </row>
    <row r="15550" ht="15.75" customHeight="1">
      <c r="A15550" s="2">
        <v>2021.0</v>
      </c>
      <c r="B15550" s="2" t="s">
        <v>59497</v>
      </c>
      <c r="C15550" s="2" t="s">
        <v>59497</v>
      </c>
      <c r="D15550" s="2" t="str">
        <f>"9016900497"</f>
        <v>9016900497</v>
      </c>
      <c r="E15550" s="2" t="s">
        <v>11423</v>
      </c>
      <c r="F15550" s="2" t="s">
        <v>10210</v>
      </c>
      <c r="G15550" s="2" t="str">
        <f>"SR-22331"</f>
        <v>SR-22331</v>
      </c>
      <c r="H15550" s="2" t="s">
        <v>59498</v>
      </c>
      <c r="I15550" s="2" t="s">
        <v>59499</v>
      </c>
      <c r="K15550" s="2" t="s">
        <v>22064</v>
      </c>
      <c r="L15550" s="2" t="s">
        <v>279</v>
      </c>
      <c r="M15550" s="2">
        <v>38016.0</v>
      </c>
      <c r="N15550" s="2" t="s">
        <v>21</v>
      </c>
    </row>
    <row r="15551" ht="15.75" customHeight="1">
      <c r="A15551" s="2">
        <v>2021.0</v>
      </c>
      <c r="B15551" s="2" t="s">
        <v>59500</v>
      </c>
      <c r="C15551" s="2" t="s">
        <v>59501</v>
      </c>
      <c r="D15551" s="2" t="str">
        <f t="shared" ref="D15551:D15552" si="249">"5035549424"</f>
        <v>5035549424</v>
      </c>
      <c r="E15551" s="2" t="s">
        <v>44587</v>
      </c>
      <c r="F15551" s="2" t="s">
        <v>6655</v>
      </c>
      <c r="G15551" s="2" t="str">
        <f>"SR-22556"</f>
        <v>SR-22556</v>
      </c>
      <c r="H15551" s="2" t="s">
        <v>59502</v>
      </c>
      <c r="I15551" s="2" t="s">
        <v>59503</v>
      </c>
      <c r="K15551" s="2" t="s">
        <v>59504</v>
      </c>
      <c r="L15551" s="2" t="s">
        <v>2389</v>
      </c>
      <c r="M15551" s="2">
        <v>97132.0</v>
      </c>
      <c r="N15551" s="2" t="s">
        <v>21</v>
      </c>
    </row>
    <row r="15552" ht="15.75" customHeight="1">
      <c r="A15552" s="2">
        <v>2021.0</v>
      </c>
      <c r="B15552" s="2" t="s">
        <v>59500</v>
      </c>
      <c r="C15552" s="2" t="s">
        <v>59505</v>
      </c>
      <c r="D15552" s="2" t="str">
        <f t="shared" si="249"/>
        <v>5035549424</v>
      </c>
      <c r="E15552" s="2" t="s">
        <v>11528</v>
      </c>
      <c r="F15552" s="2" t="s">
        <v>6655</v>
      </c>
      <c r="G15552" s="2" t="str">
        <f>"SR-22555"</f>
        <v>SR-22555</v>
      </c>
      <c r="H15552" s="2" t="s">
        <v>59506</v>
      </c>
      <c r="I15552" s="2" t="s">
        <v>59503</v>
      </c>
      <c r="K15552" s="2" t="s">
        <v>59504</v>
      </c>
      <c r="L15552" s="2" t="s">
        <v>2389</v>
      </c>
      <c r="M15552" s="2">
        <v>97132.0</v>
      </c>
      <c r="N15552" s="2" t="s">
        <v>21</v>
      </c>
    </row>
    <row r="15553" ht="15.75" customHeight="1">
      <c r="A15553" s="2">
        <v>2021.0</v>
      </c>
      <c r="B15553" s="2" t="s">
        <v>59507</v>
      </c>
      <c r="C15553" s="2" t="s">
        <v>59508</v>
      </c>
      <c r="D15553" s="2" t="str">
        <f>"219-477-7241"</f>
        <v>219-477-7241</v>
      </c>
      <c r="E15553" s="2" t="s">
        <v>3585</v>
      </c>
      <c r="F15553" s="2" t="s">
        <v>11517</v>
      </c>
      <c r="G15553" s="2" t="str">
        <f>"SR-22558"</f>
        <v>SR-22558</v>
      </c>
      <c r="H15553" s="2" t="s">
        <v>59509</v>
      </c>
      <c r="I15553" s="2" t="s">
        <v>59510</v>
      </c>
      <c r="K15553" s="2" t="s">
        <v>10407</v>
      </c>
      <c r="L15553" s="2" t="s">
        <v>149</v>
      </c>
      <c r="M15553" s="2">
        <v>46032.0</v>
      </c>
      <c r="N15553" s="2" t="s">
        <v>21</v>
      </c>
    </row>
    <row r="15554" ht="15.75" customHeight="1">
      <c r="A15554" s="2">
        <v>2021.0</v>
      </c>
      <c r="B15554" s="2" t="s">
        <v>59511</v>
      </c>
      <c r="C15554" s="2" t="s">
        <v>59512</v>
      </c>
      <c r="D15554" s="2" t="str">
        <f>"3013058554"</f>
        <v>3013058554</v>
      </c>
      <c r="E15554" s="2" t="s">
        <v>5906</v>
      </c>
      <c r="F15554" s="2" t="s">
        <v>9835</v>
      </c>
      <c r="G15554" s="2" t="str">
        <f>"SR-22563"</f>
        <v>SR-22563</v>
      </c>
      <c r="H15554" s="2" t="s">
        <v>59513</v>
      </c>
      <c r="I15554" s="2" t="s">
        <v>59514</v>
      </c>
      <c r="K15554" s="2" t="s">
        <v>17226</v>
      </c>
      <c r="L15554" s="2" t="s">
        <v>1868</v>
      </c>
      <c r="M15554" s="2">
        <v>21702.0</v>
      </c>
      <c r="N15554" s="2" t="s">
        <v>21</v>
      </c>
    </row>
    <row r="15555" ht="15.75" customHeight="1">
      <c r="A15555" s="2">
        <v>2021.0</v>
      </c>
      <c r="B15555" s="2" t="s">
        <v>23992</v>
      </c>
      <c r="C15555" s="2" t="s">
        <v>23992</v>
      </c>
      <c r="D15555" s="2" t="str">
        <f>"630 506 3067"</f>
        <v>630 506 3067</v>
      </c>
      <c r="E15555" s="2" t="s">
        <v>4769</v>
      </c>
      <c r="F15555" s="2" t="s">
        <v>23908</v>
      </c>
      <c r="G15555" s="2" t="str">
        <f>"SR-22568"</f>
        <v>SR-22568</v>
      </c>
      <c r="H15555" s="2" t="s">
        <v>52045</v>
      </c>
      <c r="I15555" s="2" t="s">
        <v>52046</v>
      </c>
      <c r="K15555" s="2" t="s">
        <v>6248</v>
      </c>
      <c r="L15555" s="2" t="s">
        <v>105</v>
      </c>
      <c r="M15555" s="2">
        <v>60126.0</v>
      </c>
      <c r="N15555" s="2" t="s">
        <v>21</v>
      </c>
    </row>
    <row r="15556" ht="15.75" customHeight="1">
      <c r="A15556" s="2">
        <v>2021.0</v>
      </c>
      <c r="B15556" s="2" t="s">
        <v>59515</v>
      </c>
      <c r="C15556" s="2" t="s">
        <v>59516</v>
      </c>
      <c r="D15556" s="2" t="str">
        <f>"9707323230"</f>
        <v>9707323230</v>
      </c>
      <c r="E15556" s="2" t="s">
        <v>59517</v>
      </c>
      <c r="F15556" s="2" t="s">
        <v>59518</v>
      </c>
      <c r="G15556" s="2" t="str">
        <f>"SR-22569"</f>
        <v>SR-22569</v>
      </c>
      <c r="H15556" s="2" t="s">
        <v>59519</v>
      </c>
      <c r="I15556" s="2" t="s">
        <v>59520</v>
      </c>
      <c r="K15556" s="2" t="s">
        <v>656</v>
      </c>
      <c r="L15556" s="2" t="s">
        <v>157</v>
      </c>
      <c r="M15556" s="2">
        <v>80525.0</v>
      </c>
      <c r="N15556" s="2" t="s">
        <v>21</v>
      </c>
    </row>
    <row r="15557" ht="15.75" customHeight="1">
      <c r="A15557" s="2">
        <v>2021.0</v>
      </c>
      <c r="B15557" s="2" t="s">
        <v>59521</v>
      </c>
      <c r="C15557" s="2" t="s">
        <v>59522</v>
      </c>
      <c r="D15557" s="2" t="str">
        <f>"3018008112"</f>
        <v>3018008112</v>
      </c>
      <c r="E15557" s="2" t="s">
        <v>1094</v>
      </c>
      <c r="F15557" s="2" t="s">
        <v>59523</v>
      </c>
      <c r="G15557" s="2" t="str">
        <f>"SR-22572"</f>
        <v>SR-22572</v>
      </c>
      <c r="H15557" s="2" t="s">
        <v>59524</v>
      </c>
      <c r="I15557" s="2" t="s">
        <v>59525</v>
      </c>
      <c r="K15557" s="2" t="s">
        <v>632</v>
      </c>
      <c r="L15557" s="2" t="s">
        <v>172</v>
      </c>
      <c r="M15557" s="2">
        <v>78212.0</v>
      </c>
      <c r="N15557" s="2" t="s">
        <v>21</v>
      </c>
    </row>
    <row r="15558" ht="15.75" customHeight="1">
      <c r="A15558" s="2">
        <v>2021.0</v>
      </c>
      <c r="B15558" s="2" t="s">
        <v>59526</v>
      </c>
      <c r="C15558" s="2" t="s">
        <v>59526</v>
      </c>
      <c r="D15558" s="2" t="str">
        <f>"4435454969"</f>
        <v>4435454969</v>
      </c>
      <c r="E15558" s="2" t="s">
        <v>2514</v>
      </c>
      <c r="F15558" s="2" t="s">
        <v>59527</v>
      </c>
      <c r="G15558" s="2" t="str">
        <f>"SR-22581"</f>
        <v>SR-22581</v>
      </c>
      <c r="H15558" s="2" t="s">
        <v>59528</v>
      </c>
      <c r="I15558" s="2" t="s">
        <v>59529</v>
      </c>
      <c r="K15558" s="2" t="s">
        <v>1778</v>
      </c>
      <c r="L15558" s="2" t="s">
        <v>1868</v>
      </c>
      <c r="M15558" s="2">
        <v>20759.0</v>
      </c>
      <c r="N15558" s="2" t="s">
        <v>21</v>
      </c>
    </row>
    <row r="15559" ht="15.75" customHeight="1">
      <c r="A15559" s="2">
        <v>2021.0</v>
      </c>
      <c r="B15559" s="2" t="s">
        <v>58280</v>
      </c>
      <c r="C15559" s="2" t="s">
        <v>59530</v>
      </c>
      <c r="D15559" s="2" t="str">
        <f>"(717) 275-3496"</f>
        <v>(717) 275-3496</v>
      </c>
      <c r="E15559" s="2" t="s">
        <v>47338</v>
      </c>
      <c r="F15559" s="2" t="s">
        <v>1859</v>
      </c>
      <c r="G15559" s="2" t="str">
        <f>"SR-22588"</f>
        <v>SR-22588</v>
      </c>
      <c r="H15559" s="2" t="s">
        <v>59531</v>
      </c>
      <c r="I15559" s="2" t="s">
        <v>59532</v>
      </c>
      <c r="K15559" s="2" t="s">
        <v>33825</v>
      </c>
      <c r="L15559" s="2" t="s">
        <v>179</v>
      </c>
      <c r="M15559" s="2">
        <v>17074.0</v>
      </c>
      <c r="N15559" s="2" t="s">
        <v>21</v>
      </c>
    </row>
    <row r="15560" ht="15.75" customHeight="1">
      <c r="A15560" s="2">
        <v>2021.0</v>
      </c>
      <c r="B15560" s="2" t="s">
        <v>59533</v>
      </c>
      <c r="C15560" s="2" t="s">
        <v>59534</v>
      </c>
      <c r="D15560" s="2" t="str">
        <f>"6019468885"</f>
        <v>6019468885</v>
      </c>
      <c r="E15560" s="2" t="s">
        <v>1164</v>
      </c>
      <c r="F15560" s="2" t="s">
        <v>8766</v>
      </c>
      <c r="G15560" s="2" t="str">
        <f>"SR-22505"</f>
        <v>SR-22505</v>
      </c>
      <c r="H15560" s="2" t="s">
        <v>59535</v>
      </c>
      <c r="I15560" s="2" t="s">
        <v>59536</v>
      </c>
      <c r="K15560" s="2" t="s">
        <v>659</v>
      </c>
      <c r="L15560" s="2" t="s">
        <v>1722</v>
      </c>
      <c r="M15560" s="2">
        <v>39110.0</v>
      </c>
      <c r="N15560" s="2" t="s">
        <v>21</v>
      </c>
    </row>
    <row r="15561" ht="15.75" customHeight="1">
      <c r="A15561" s="2">
        <v>2021.0</v>
      </c>
      <c r="B15561" s="2" t="s">
        <v>19246</v>
      </c>
      <c r="C15561" s="2" t="s">
        <v>59537</v>
      </c>
      <c r="D15561" s="2" t="str">
        <f>"8043933293"</f>
        <v>8043933293</v>
      </c>
      <c r="E15561" s="2" t="s">
        <v>59538</v>
      </c>
      <c r="F15561" s="2" t="s">
        <v>685</v>
      </c>
      <c r="G15561" s="2" t="str">
        <f>"SR-22589"</f>
        <v>SR-22589</v>
      </c>
      <c r="H15561" s="2" t="s">
        <v>59539</v>
      </c>
      <c r="I15561" s="2" t="s">
        <v>59540</v>
      </c>
      <c r="K15561" s="2" t="s">
        <v>48404</v>
      </c>
      <c r="L15561" s="2" t="s">
        <v>165</v>
      </c>
      <c r="M15561" s="2">
        <v>23139.0</v>
      </c>
      <c r="N15561" s="2" t="s">
        <v>21</v>
      </c>
    </row>
    <row r="15562" ht="15.75" customHeight="1">
      <c r="A15562" s="2">
        <v>2021.0</v>
      </c>
      <c r="B15562" s="2" t="s">
        <v>59541</v>
      </c>
      <c r="C15562" s="2" t="s">
        <v>59542</v>
      </c>
      <c r="D15562" s="2" t="str">
        <f>"7207952538"</f>
        <v>7207952538</v>
      </c>
      <c r="E15562" s="2" t="s">
        <v>19271</v>
      </c>
      <c r="F15562" s="2" t="s">
        <v>1612</v>
      </c>
      <c r="G15562" s="2" t="str">
        <f>"SR-22199"</f>
        <v>SR-22199</v>
      </c>
      <c r="H15562" s="2" t="s">
        <v>59543</v>
      </c>
      <c r="I15562" s="2" t="s">
        <v>59544</v>
      </c>
      <c r="K15562" s="2" t="s">
        <v>1054</v>
      </c>
      <c r="L15562" s="2" t="s">
        <v>157</v>
      </c>
      <c r="M15562" s="2">
        <v>80138.0</v>
      </c>
      <c r="N15562" s="2" t="s">
        <v>21</v>
      </c>
    </row>
    <row r="15563" ht="15.75" customHeight="1">
      <c r="A15563" s="2">
        <v>2021.0</v>
      </c>
      <c r="B15563" s="2" t="s">
        <v>59545</v>
      </c>
      <c r="C15563" s="2" t="s">
        <v>59545</v>
      </c>
      <c r="D15563" s="2" t="str">
        <f>"5012659508"</f>
        <v>5012659508</v>
      </c>
      <c r="E15563" s="2" t="s">
        <v>23106</v>
      </c>
      <c r="F15563" s="2" t="s">
        <v>35099</v>
      </c>
      <c r="G15563" s="2" t="str">
        <f>"SR-22361"</f>
        <v>SR-22361</v>
      </c>
      <c r="H15563" s="2" t="s">
        <v>35112</v>
      </c>
      <c r="I15563" s="2" t="s">
        <v>59546</v>
      </c>
      <c r="K15563" s="2" t="s">
        <v>59547</v>
      </c>
      <c r="L15563" s="2" t="s">
        <v>1012</v>
      </c>
      <c r="M15563" s="2">
        <v>72206.0</v>
      </c>
      <c r="N15563" s="2" t="s">
        <v>21</v>
      </c>
    </row>
    <row r="15564" ht="15.75" customHeight="1">
      <c r="A15564" s="2">
        <v>2021.0</v>
      </c>
      <c r="B15564" s="2" t="s">
        <v>48524</v>
      </c>
      <c r="C15564" s="2" t="s">
        <v>59548</v>
      </c>
      <c r="D15564" s="2" t="str">
        <f>"417-592-7002"</f>
        <v>417-592-7002</v>
      </c>
      <c r="E15564" s="2" t="s">
        <v>453</v>
      </c>
      <c r="F15564" s="2" t="s">
        <v>9856</v>
      </c>
      <c r="G15564" s="2" t="str">
        <f>"SR-22602"</f>
        <v>SR-22602</v>
      </c>
      <c r="H15564" s="2" t="s">
        <v>59549</v>
      </c>
      <c r="I15564" s="2" t="s">
        <v>48527</v>
      </c>
      <c r="K15564" s="2" t="s">
        <v>48528</v>
      </c>
      <c r="L15564" s="2" t="s">
        <v>214</v>
      </c>
      <c r="M15564" s="2">
        <v>64866.0</v>
      </c>
      <c r="N15564" s="2" t="s">
        <v>21</v>
      </c>
    </row>
    <row r="15565" ht="15.75" customHeight="1">
      <c r="A15565" s="2">
        <v>2021.0</v>
      </c>
      <c r="B15565" s="2" t="s">
        <v>59550</v>
      </c>
      <c r="C15565" s="2" t="s">
        <v>59550</v>
      </c>
      <c r="D15565" s="2" t="str">
        <f>"574-382-0773"</f>
        <v>574-382-0773</v>
      </c>
      <c r="E15565" s="2" t="s">
        <v>2857</v>
      </c>
      <c r="F15565" s="2" t="s">
        <v>2858</v>
      </c>
      <c r="G15565" s="2" t="str">
        <f>"SR-14361"</f>
        <v>SR-14361</v>
      </c>
      <c r="H15565" s="2" t="s">
        <v>2859</v>
      </c>
      <c r="I15565" s="2" t="s">
        <v>2860</v>
      </c>
      <c r="K15565" s="2" t="s">
        <v>2861</v>
      </c>
      <c r="L15565" s="2" t="s">
        <v>149</v>
      </c>
      <c r="M15565" s="2">
        <v>46951.0</v>
      </c>
      <c r="N15565" s="2" t="s">
        <v>21</v>
      </c>
    </row>
    <row r="15566" ht="15.75" customHeight="1">
      <c r="A15566" s="2">
        <v>2021.0</v>
      </c>
      <c r="B15566" s="2" t="s">
        <v>59551</v>
      </c>
      <c r="C15566" s="2" t="s">
        <v>59552</v>
      </c>
      <c r="D15566" s="2" t="str">
        <f t="shared" ref="D15566:D15568" si="250">"2149897710"</f>
        <v>2149897710</v>
      </c>
      <c r="E15566" s="2" t="s">
        <v>6966</v>
      </c>
      <c r="F15566" s="2" t="s">
        <v>2662</v>
      </c>
      <c r="G15566" s="2" t="str">
        <f>"SR-22609"</f>
        <v>SR-22609</v>
      </c>
      <c r="H15566" s="2" t="s">
        <v>59553</v>
      </c>
      <c r="I15566" s="2" t="s">
        <v>59554</v>
      </c>
      <c r="K15566" s="2" t="s">
        <v>59555</v>
      </c>
      <c r="L15566" s="2" t="s">
        <v>59556</v>
      </c>
      <c r="M15566" s="2" t="s">
        <v>59557</v>
      </c>
      <c r="N15566" s="2" t="s">
        <v>47198</v>
      </c>
    </row>
    <row r="15567" ht="15.75" customHeight="1">
      <c r="A15567" s="2">
        <v>2021.0</v>
      </c>
      <c r="B15567" s="2" t="s">
        <v>59551</v>
      </c>
      <c r="C15567" s="2" t="s">
        <v>59558</v>
      </c>
      <c r="D15567" s="2" t="str">
        <f t="shared" si="250"/>
        <v>2149897710</v>
      </c>
      <c r="E15567" s="2" t="s">
        <v>8893</v>
      </c>
      <c r="F15567" s="2" t="s">
        <v>2662</v>
      </c>
      <c r="G15567" s="2" t="str">
        <f>"SR-22608"</f>
        <v>SR-22608</v>
      </c>
      <c r="H15567" s="2" t="s">
        <v>59559</v>
      </c>
      <c r="I15567" s="2" t="s">
        <v>59554</v>
      </c>
      <c r="K15567" s="2" t="s">
        <v>59555</v>
      </c>
      <c r="L15567" s="2" t="s">
        <v>59556</v>
      </c>
      <c r="M15567" s="2" t="s">
        <v>59557</v>
      </c>
      <c r="N15567" s="2" t="s">
        <v>47198</v>
      </c>
    </row>
    <row r="15568" ht="15.75" customHeight="1">
      <c r="A15568" s="2">
        <v>2021.0</v>
      </c>
      <c r="B15568" s="2" t="s">
        <v>59551</v>
      </c>
      <c r="C15568" s="2" t="s">
        <v>59560</v>
      </c>
      <c r="D15568" s="2" t="str">
        <f t="shared" si="250"/>
        <v>2149897710</v>
      </c>
      <c r="E15568" s="2" t="s">
        <v>59561</v>
      </c>
      <c r="F15568" s="2" t="s">
        <v>2662</v>
      </c>
      <c r="G15568" s="2" t="str">
        <f>"SR-22607"</f>
        <v>SR-22607</v>
      </c>
      <c r="H15568" s="2" t="s">
        <v>59562</v>
      </c>
      <c r="I15568" s="2" t="s">
        <v>59554</v>
      </c>
      <c r="K15568" s="2" t="s">
        <v>59555</v>
      </c>
      <c r="L15568" s="2" t="s">
        <v>59556</v>
      </c>
      <c r="M15568" s="2" t="s">
        <v>59557</v>
      </c>
      <c r="N15568" s="2" t="s">
        <v>47198</v>
      </c>
    </row>
    <row r="15569" ht="15.75" customHeight="1">
      <c r="A15569" s="2">
        <v>2021.0</v>
      </c>
      <c r="B15569" s="2" t="s">
        <v>59563</v>
      </c>
      <c r="C15569" s="2" t="s">
        <v>59563</v>
      </c>
      <c r="D15569" s="2" t="str">
        <f>"5408100810"</f>
        <v>5408100810</v>
      </c>
      <c r="E15569" s="2" t="s">
        <v>651</v>
      </c>
      <c r="F15569" s="2" t="s">
        <v>20584</v>
      </c>
      <c r="G15569" s="2" t="str">
        <f>"SR-22541"</f>
        <v>SR-22541</v>
      </c>
      <c r="H15569" s="2" t="s">
        <v>59564</v>
      </c>
      <c r="I15569" s="2" t="s">
        <v>59565</v>
      </c>
      <c r="K15569" s="2" t="s">
        <v>8093</v>
      </c>
      <c r="L15569" s="2" t="s">
        <v>165</v>
      </c>
      <c r="M15569" s="2">
        <v>22815.0</v>
      </c>
      <c r="N15569" s="2" t="s">
        <v>21</v>
      </c>
    </row>
    <row r="15570" ht="15.75" customHeight="1">
      <c r="A15570" s="2">
        <v>2021.0</v>
      </c>
      <c r="B15570" s="2" t="s">
        <v>54771</v>
      </c>
      <c r="C15570" s="2" t="s">
        <v>54772</v>
      </c>
      <c r="D15570" s="2" t="str">
        <f>"7199223485"</f>
        <v>7199223485</v>
      </c>
      <c r="E15570" s="2" t="s">
        <v>6170</v>
      </c>
      <c r="F15570" s="2" t="s">
        <v>2063</v>
      </c>
      <c r="G15570" s="2" t="str">
        <f>"SR-20358"</f>
        <v>SR-20358</v>
      </c>
      <c r="H15570" s="2" t="s">
        <v>54773</v>
      </c>
      <c r="I15570" s="2" t="s">
        <v>54774</v>
      </c>
      <c r="J15570" s="2" t="s">
        <v>54775</v>
      </c>
      <c r="K15570" s="2" t="s">
        <v>2098</v>
      </c>
      <c r="L15570" s="2" t="s">
        <v>157</v>
      </c>
      <c r="M15570" s="2">
        <v>80841.0</v>
      </c>
      <c r="N15570" s="2" t="s">
        <v>21</v>
      </c>
    </row>
    <row r="15571" ht="15.75" customHeight="1">
      <c r="A15571" s="2">
        <v>2021.0</v>
      </c>
      <c r="B15571" s="2" t="s">
        <v>59566</v>
      </c>
      <c r="C15571" s="2" t="s">
        <v>59567</v>
      </c>
      <c r="D15571" s="2" t="str">
        <f>"805 561 9328"</f>
        <v>805 561 9328</v>
      </c>
      <c r="E15571" s="2" t="s">
        <v>59568</v>
      </c>
      <c r="F15571" s="2" t="s">
        <v>40264</v>
      </c>
      <c r="G15571" s="2" t="str">
        <f>"SR-22620"</f>
        <v>SR-22620</v>
      </c>
      <c r="H15571" s="2" t="s">
        <v>59569</v>
      </c>
      <c r="I15571" s="2" t="s">
        <v>59570</v>
      </c>
      <c r="K15571" s="2" t="s">
        <v>36028</v>
      </c>
      <c r="L15571" s="2" t="s">
        <v>222</v>
      </c>
      <c r="M15571" s="2">
        <v>93003.0</v>
      </c>
      <c r="N15571" s="2" t="s">
        <v>21</v>
      </c>
    </row>
    <row r="15572" ht="15.75" customHeight="1">
      <c r="A15572" s="2">
        <v>2021.0</v>
      </c>
      <c r="B15572" s="2" t="s">
        <v>59571</v>
      </c>
      <c r="C15572" s="2" t="s">
        <v>59571</v>
      </c>
      <c r="D15572" s="2" t="str">
        <f>"606-216-1375"</f>
        <v>606-216-1375</v>
      </c>
      <c r="E15572" s="2" t="s">
        <v>59572</v>
      </c>
      <c r="F15572" s="2" t="s">
        <v>59573</v>
      </c>
      <c r="G15572" s="2" t="str">
        <f>"SR-22622"</f>
        <v>SR-22622</v>
      </c>
      <c r="H15572" s="2" t="s">
        <v>59574</v>
      </c>
      <c r="I15572" s="2" t="s">
        <v>59575</v>
      </c>
      <c r="K15572" s="2" t="s">
        <v>10034</v>
      </c>
      <c r="L15572" s="2" t="s">
        <v>1236</v>
      </c>
      <c r="M15572" s="2">
        <v>40972.0</v>
      </c>
      <c r="N15572" s="2" t="s">
        <v>21</v>
      </c>
    </row>
    <row r="15573" ht="15.75" customHeight="1">
      <c r="A15573" s="2">
        <v>2021.0</v>
      </c>
      <c r="B15573" s="2" t="s">
        <v>59576</v>
      </c>
      <c r="C15573" s="2" t="s">
        <v>59577</v>
      </c>
      <c r="D15573" s="2" t="str">
        <f>"4076759423"</f>
        <v>4076759423</v>
      </c>
      <c r="E15573" s="2" t="s">
        <v>59578</v>
      </c>
      <c r="F15573" s="2" t="s">
        <v>59579</v>
      </c>
      <c r="G15573" s="2" t="str">
        <f>"SR-22566"</f>
        <v>SR-22566</v>
      </c>
      <c r="H15573" s="2" t="s">
        <v>59580</v>
      </c>
      <c r="I15573" s="2" t="s">
        <v>59581</v>
      </c>
      <c r="K15573" s="2" t="s">
        <v>4724</v>
      </c>
      <c r="L15573" s="2" t="s">
        <v>208</v>
      </c>
      <c r="M15573" s="2">
        <v>32832.0</v>
      </c>
      <c r="N15573" s="2" t="s">
        <v>21</v>
      </c>
    </row>
    <row r="15574" ht="15.75" customHeight="1">
      <c r="A15574" s="2">
        <v>2021.0</v>
      </c>
      <c r="B15574" s="2" t="s">
        <v>59582</v>
      </c>
      <c r="C15574" s="2" t="s">
        <v>59582</v>
      </c>
      <c r="D15574" s="2" t="str">
        <f>"6209514590"</f>
        <v>6209514590</v>
      </c>
      <c r="E15574" s="2" t="s">
        <v>59583</v>
      </c>
      <c r="F15574" s="2" t="s">
        <v>59584</v>
      </c>
      <c r="G15574" s="2" t="str">
        <f>"SR-22626"</f>
        <v>SR-22626</v>
      </c>
      <c r="H15574" s="2" t="s">
        <v>59585</v>
      </c>
      <c r="I15574" s="2" t="s">
        <v>59586</v>
      </c>
      <c r="K15574" s="2" t="s">
        <v>10093</v>
      </c>
      <c r="L15574" s="2" t="s">
        <v>272</v>
      </c>
      <c r="M15574" s="2">
        <v>67062.0</v>
      </c>
      <c r="N15574" s="2" t="s">
        <v>21</v>
      </c>
    </row>
    <row r="15575" ht="15.75" customHeight="1">
      <c r="A15575" s="2">
        <v>2021.0</v>
      </c>
      <c r="B15575" s="2" t="s">
        <v>59587</v>
      </c>
      <c r="C15575" s="2" t="s">
        <v>59587</v>
      </c>
      <c r="D15575" s="2" t="str">
        <f>"4796899174"</f>
        <v>4796899174</v>
      </c>
      <c r="E15575" s="2" t="s">
        <v>1015</v>
      </c>
      <c r="F15575" s="2" t="s">
        <v>59588</v>
      </c>
      <c r="G15575" s="2" t="str">
        <f>"SR-22627"</f>
        <v>SR-22627</v>
      </c>
      <c r="H15575" s="2" t="s">
        <v>59589</v>
      </c>
      <c r="I15575" s="2" t="s">
        <v>59590</v>
      </c>
      <c r="K15575" s="2" t="s">
        <v>7501</v>
      </c>
      <c r="L15575" s="2" t="s">
        <v>1012</v>
      </c>
      <c r="M15575" s="2">
        <v>72952.0</v>
      </c>
      <c r="N15575" s="2" t="s">
        <v>21</v>
      </c>
    </row>
    <row r="15576" ht="15.75" customHeight="1">
      <c r="A15576" s="2">
        <v>2021.0</v>
      </c>
      <c r="B15576" s="2" t="s">
        <v>59591</v>
      </c>
      <c r="C15576" s="2" t="s">
        <v>59591</v>
      </c>
      <c r="D15576" s="2" t="str">
        <f>"6366287870"</f>
        <v>6366287870</v>
      </c>
      <c r="E15576" s="2" t="s">
        <v>3305</v>
      </c>
      <c r="F15576" s="2" t="s">
        <v>309</v>
      </c>
      <c r="G15576" s="2" t="str">
        <f>"SR-22630"</f>
        <v>SR-22630</v>
      </c>
      <c r="H15576" s="2" t="s">
        <v>59592</v>
      </c>
      <c r="I15576" s="2" t="s">
        <v>59593</v>
      </c>
      <c r="K15576" s="2" t="s">
        <v>8122</v>
      </c>
      <c r="L15576" s="2" t="s">
        <v>214</v>
      </c>
      <c r="M15576" s="2">
        <v>63005.0</v>
      </c>
      <c r="N15576" s="2" t="s">
        <v>21</v>
      </c>
    </row>
    <row r="15577" ht="15.75" customHeight="1">
      <c r="A15577" s="2">
        <v>2021.0</v>
      </c>
      <c r="B15577" s="2" t="s">
        <v>16924</v>
      </c>
      <c r="C15577" s="2" t="s">
        <v>59594</v>
      </c>
      <c r="D15577" s="2" t="str">
        <f>"(763) 325-4202"</f>
        <v>(763) 325-4202</v>
      </c>
      <c r="E15577" s="2" t="s">
        <v>6170</v>
      </c>
      <c r="F15577" s="2" t="s">
        <v>16926</v>
      </c>
      <c r="G15577" s="2" t="str">
        <f>"SR-22591"</f>
        <v>SR-22591</v>
      </c>
      <c r="H15577" s="2" t="s">
        <v>59595</v>
      </c>
      <c r="I15577" s="2" t="s">
        <v>16928</v>
      </c>
      <c r="K15577" s="2" t="s">
        <v>2267</v>
      </c>
      <c r="L15577" s="2" t="s">
        <v>62</v>
      </c>
      <c r="M15577" s="2">
        <v>55044.0</v>
      </c>
      <c r="N15577" s="2" t="s">
        <v>21</v>
      </c>
    </row>
    <row r="15578" ht="15.75" customHeight="1">
      <c r="A15578" s="2">
        <v>2021.0</v>
      </c>
      <c r="B15578" s="2" t="s">
        <v>59596</v>
      </c>
      <c r="C15578" s="2" t="s">
        <v>59596</v>
      </c>
      <c r="D15578" s="2" t="str">
        <f>"7208109615"</f>
        <v>7208109615</v>
      </c>
      <c r="E15578" s="2" t="s">
        <v>1946</v>
      </c>
      <c r="F15578" s="2" t="s">
        <v>23520</v>
      </c>
      <c r="G15578" s="2" t="str">
        <f>"SR-22636"</f>
        <v>SR-22636</v>
      </c>
      <c r="H15578" s="2" t="s">
        <v>59597</v>
      </c>
      <c r="I15578" s="2" t="s">
        <v>59598</v>
      </c>
      <c r="K15578" s="2" t="s">
        <v>1520</v>
      </c>
      <c r="L15578" s="2" t="s">
        <v>157</v>
      </c>
      <c r="M15578" s="2">
        <v>80014.0</v>
      </c>
      <c r="N15578" s="2" t="s">
        <v>21</v>
      </c>
    </row>
    <row r="15579" ht="15.75" customHeight="1">
      <c r="A15579" s="2">
        <v>2021.0</v>
      </c>
      <c r="B15579" s="2" t="s">
        <v>59599</v>
      </c>
      <c r="C15579" s="2" t="s">
        <v>59600</v>
      </c>
      <c r="D15579" s="2" t="str">
        <f>"8593171404"</f>
        <v>8593171404</v>
      </c>
      <c r="E15579" s="2" t="s">
        <v>417</v>
      </c>
      <c r="F15579" s="2" t="s">
        <v>585</v>
      </c>
      <c r="G15579" s="2" t="str">
        <f>"SR-22637"</f>
        <v>SR-22637</v>
      </c>
      <c r="H15579" s="2" t="s">
        <v>59601</v>
      </c>
      <c r="I15579" s="2" t="s">
        <v>59602</v>
      </c>
      <c r="K15579" s="2" t="s">
        <v>4482</v>
      </c>
      <c r="L15579" s="2" t="s">
        <v>1236</v>
      </c>
      <c r="M15579" s="2">
        <v>40324.0</v>
      </c>
      <c r="N15579" s="2" t="s">
        <v>21</v>
      </c>
    </row>
    <row r="15580" ht="15.75" customHeight="1">
      <c r="A15580" s="2">
        <v>2021.0</v>
      </c>
      <c r="B15580" s="2" t="s">
        <v>59603</v>
      </c>
      <c r="C15580" s="2" t="s">
        <v>59603</v>
      </c>
      <c r="D15580" s="2" t="str">
        <f>"9703728263"</f>
        <v>9703728263</v>
      </c>
      <c r="E15580" s="2" t="s">
        <v>59604</v>
      </c>
      <c r="F15580" s="2" t="s">
        <v>9820</v>
      </c>
      <c r="G15580" s="2" t="str">
        <f>"SR-22638"</f>
        <v>SR-22638</v>
      </c>
      <c r="H15580" s="2" t="s">
        <v>59605</v>
      </c>
      <c r="I15580" s="2" t="s">
        <v>59606</v>
      </c>
      <c r="K15580" s="2" t="s">
        <v>656</v>
      </c>
      <c r="L15580" s="2" t="s">
        <v>157</v>
      </c>
      <c r="M15580" s="2">
        <v>80526.0</v>
      </c>
      <c r="N15580" s="2" t="s">
        <v>21</v>
      </c>
    </row>
    <row r="15581" ht="15.75" customHeight="1">
      <c r="A15581" s="2">
        <v>2021.0</v>
      </c>
      <c r="B15581" s="2" t="s">
        <v>59607</v>
      </c>
      <c r="C15581" s="2" t="s">
        <v>59607</v>
      </c>
      <c r="D15581" s="2" t="str">
        <f>"2085820082"</f>
        <v>2085820082</v>
      </c>
      <c r="E15581" s="2" t="s">
        <v>1585</v>
      </c>
      <c r="F15581" s="2" t="s">
        <v>28588</v>
      </c>
      <c r="G15581" s="2" t="str">
        <f>"SR-22577"</f>
        <v>SR-22577</v>
      </c>
      <c r="H15581" s="2" t="s">
        <v>59608</v>
      </c>
      <c r="I15581" s="2" t="s">
        <v>59609</v>
      </c>
      <c r="K15581" s="2" t="s">
        <v>975</v>
      </c>
      <c r="L15581" s="2" t="s">
        <v>157</v>
      </c>
      <c r="M15581" s="2">
        <v>80831.0</v>
      </c>
      <c r="N15581" s="2" t="s">
        <v>21</v>
      </c>
    </row>
    <row r="15582" ht="15.75" customHeight="1">
      <c r="A15582" s="2">
        <v>2021.0</v>
      </c>
      <c r="B15582" s="2" t="s">
        <v>59610</v>
      </c>
      <c r="C15582" s="2" t="s">
        <v>59611</v>
      </c>
      <c r="D15582" s="2" t="str">
        <f>"806-881-7318"</f>
        <v>806-881-7318</v>
      </c>
      <c r="E15582" s="2" t="s">
        <v>16650</v>
      </c>
      <c r="F15582" s="2" t="s">
        <v>59612</v>
      </c>
      <c r="G15582" s="2" t="str">
        <f>"SR-22642"</f>
        <v>SR-22642</v>
      </c>
      <c r="H15582" s="2" t="s">
        <v>59613</v>
      </c>
      <c r="I15582" s="2" t="s">
        <v>59614</v>
      </c>
      <c r="K15582" s="2" t="s">
        <v>14992</v>
      </c>
      <c r="L15582" s="2" t="s">
        <v>172</v>
      </c>
      <c r="M15582" s="2">
        <v>79124.0</v>
      </c>
      <c r="N15582" s="2" t="s">
        <v>21</v>
      </c>
    </row>
    <row r="15583" ht="15.75" customHeight="1">
      <c r="A15583" s="2">
        <v>2021.0</v>
      </c>
      <c r="B15583" s="2" t="s">
        <v>59615</v>
      </c>
      <c r="C15583" s="2" t="s">
        <v>59616</v>
      </c>
      <c r="D15583" s="2" t="str">
        <f>"8435718974"</f>
        <v>8435718974</v>
      </c>
      <c r="E15583" s="2" t="s">
        <v>59617</v>
      </c>
      <c r="F15583" s="2" t="s">
        <v>21737</v>
      </c>
      <c r="G15583" s="2" t="str">
        <f>"SR-22312"</f>
        <v>SR-22312</v>
      </c>
      <c r="H15583" s="2" t="s">
        <v>59618</v>
      </c>
      <c r="I15583" s="2" t="s">
        <v>59619</v>
      </c>
      <c r="K15583" s="2" t="s">
        <v>59620</v>
      </c>
      <c r="L15583" s="2" t="s">
        <v>55</v>
      </c>
      <c r="M15583" s="2">
        <v>29455.0</v>
      </c>
      <c r="N15583" s="2" t="s">
        <v>21</v>
      </c>
    </row>
    <row r="15584" ht="15.75" customHeight="1">
      <c r="A15584" s="2">
        <v>2021.0</v>
      </c>
      <c r="B15584" s="2" t="s">
        <v>59621</v>
      </c>
      <c r="C15584" s="2" t="s">
        <v>59622</v>
      </c>
      <c r="D15584" s="2" t="str">
        <f>"6622951988"</f>
        <v>6622951988</v>
      </c>
      <c r="E15584" s="2" t="s">
        <v>301</v>
      </c>
      <c r="F15584" s="2" t="s">
        <v>3144</v>
      </c>
      <c r="G15584" s="2" t="str">
        <f>"SR-22646"</f>
        <v>SR-22646</v>
      </c>
      <c r="H15584" s="2" t="s">
        <v>59623</v>
      </c>
      <c r="I15584" s="2" t="s">
        <v>59624</v>
      </c>
      <c r="K15584" s="2" t="s">
        <v>59625</v>
      </c>
      <c r="L15584" s="2" t="s">
        <v>1722</v>
      </c>
      <c r="M15584" s="2">
        <v>39773.0</v>
      </c>
      <c r="N15584" s="2" t="s">
        <v>21</v>
      </c>
    </row>
    <row r="15585" ht="15.75" customHeight="1">
      <c r="A15585" s="2">
        <v>2021.0</v>
      </c>
      <c r="B15585" s="2" t="s">
        <v>59626</v>
      </c>
      <c r="C15585" s="2" t="s">
        <v>59627</v>
      </c>
      <c r="D15585" s="2" t="str">
        <f>"5873417505"</f>
        <v>5873417505</v>
      </c>
      <c r="E15585" s="2" t="s">
        <v>339</v>
      </c>
      <c r="F15585" s="2" t="s">
        <v>6494</v>
      </c>
      <c r="G15585" s="2" t="str">
        <f>"SR-20956"</f>
        <v>SR-20956</v>
      </c>
      <c r="H15585" s="2" t="s">
        <v>59628</v>
      </c>
      <c r="I15585" s="2" t="s">
        <v>59629</v>
      </c>
      <c r="K15585" s="2" t="s">
        <v>13836</v>
      </c>
      <c r="L15585" s="2" t="s">
        <v>6726</v>
      </c>
      <c r="M15585" s="2" t="s">
        <v>59630</v>
      </c>
      <c r="N15585" s="2" t="s">
        <v>1602</v>
      </c>
    </row>
    <row r="15586" ht="15.75" customHeight="1">
      <c r="A15586" s="2">
        <v>2021.0</v>
      </c>
      <c r="B15586" s="2" t="s">
        <v>59631</v>
      </c>
      <c r="C15586" s="2" t="s">
        <v>59631</v>
      </c>
      <c r="D15586" s="2" t="str">
        <f>"18690180888"</f>
        <v>18690180888</v>
      </c>
      <c r="E15586" s="2" t="s">
        <v>59632</v>
      </c>
      <c r="F15586" s="2" t="s">
        <v>43087</v>
      </c>
      <c r="G15586" s="2" t="str">
        <f>"SR-22639"</f>
        <v>SR-22639</v>
      </c>
      <c r="H15586" s="2" t="s">
        <v>59633</v>
      </c>
      <c r="I15586" s="2" t="s">
        <v>59634</v>
      </c>
      <c r="K15586" s="2" t="s">
        <v>59635</v>
      </c>
      <c r="L15586" s="2" t="s">
        <v>59636</v>
      </c>
      <c r="N15586" s="2" t="s">
        <v>20821</v>
      </c>
    </row>
    <row r="15587" ht="15.75" customHeight="1">
      <c r="A15587" s="2">
        <v>2021.0</v>
      </c>
      <c r="B15587" s="2" t="s">
        <v>59637</v>
      </c>
      <c r="C15587" s="2" t="s">
        <v>59638</v>
      </c>
      <c r="D15587" s="2" t="str">
        <f>"9132258165"</f>
        <v>9132258165</v>
      </c>
      <c r="E15587" s="2" t="s">
        <v>59639</v>
      </c>
      <c r="F15587" s="2" t="s">
        <v>1441</v>
      </c>
      <c r="G15587" s="2" t="str">
        <f>"SR-22575"</f>
        <v>SR-22575</v>
      </c>
      <c r="H15587" s="2" t="s">
        <v>59640</v>
      </c>
      <c r="I15587" s="2" t="s">
        <v>59641</v>
      </c>
      <c r="K15587" s="2" t="s">
        <v>4514</v>
      </c>
      <c r="L15587" s="2" t="s">
        <v>272</v>
      </c>
      <c r="M15587" s="2">
        <v>66203.0</v>
      </c>
      <c r="N15587" s="2" t="s">
        <v>21</v>
      </c>
    </row>
    <row r="15588" ht="15.75" customHeight="1">
      <c r="A15588" s="2">
        <v>2021.0</v>
      </c>
      <c r="B15588" s="2" t="s">
        <v>59642</v>
      </c>
      <c r="C15588" s="2" t="s">
        <v>59643</v>
      </c>
      <c r="D15588" s="2" t="str">
        <f>"9294972691"</f>
        <v>9294972691</v>
      </c>
      <c r="E15588" s="2" t="s">
        <v>59644</v>
      </c>
      <c r="F15588" s="2" t="s">
        <v>5895</v>
      </c>
      <c r="G15588" s="2" t="str">
        <f>"SR-22659"</f>
        <v>SR-22659</v>
      </c>
      <c r="H15588" s="2" t="s">
        <v>59645</v>
      </c>
      <c r="I15588" s="2" t="s">
        <v>59646</v>
      </c>
      <c r="K15588" s="2" t="s">
        <v>18981</v>
      </c>
      <c r="L15588" s="2" t="s">
        <v>142</v>
      </c>
      <c r="M15588" s="2">
        <v>10456.0</v>
      </c>
      <c r="N15588" s="2" t="s">
        <v>21</v>
      </c>
    </row>
    <row r="15589" ht="15.75" customHeight="1">
      <c r="A15589" s="2">
        <v>2021.0</v>
      </c>
      <c r="B15589" s="2" t="s">
        <v>59647</v>
      </c>
      <c r="C15589" s="2" t="s">
        <v>59647</v>
      </c>
      <c r="D15589" s="2" t="str">
        <f>"3606127237"</f>
        <v>3606127237</v>
      </c>
      <c r="E15589" s="2" t="s">
        <v>3977</v>
      </c>
      <c r="F15589" s="2" t="s">
        <v>59648</v>
      </c>
      <c r="G15589" s="2" t="str">
        <f>"SR-22662"</f>
        <v>SR-22662</v>
      </c>
      <c r="H15589" s="2" t="s">
        <v>59649</v>
      </c>
      <c r="I15589" s="2" t="s">
        <v>59650</v>
      </c>
      <c r="K15589" s="2" t="s">
        <v>809</v>
      </c>
      <c r="L15589" s="2" t="s">
        <v>157</v>
      </c>
      <c r="M15589" s="2">
        <v>80924.0</v>
      </c>
      <c r="N15589" s="2" t="s">
        <v>21</v>
      </c>
    </row>
    <row r="15590" ht="15.75" customHeight="1">
      <c r="A15590" s="2">
        <v>2021.0</v>
      </c>
      <c r="B15590" s="2" t="s">
        <v>59651</v>
      </c>
      <c r="C15590" s="2" t="s">
        <v>59651</v>
      </c>
      <c r="D15590" s="2" t="str">
        <f>"8059523712"</f>
        <v>8059523712</v>
      </c>
      <c r="E15590" s="2" t="s">
        <v>167</v>
      </c>
      <c r="F15590" s="2" t="s">
        <v>58872</v>
      </c>
      <c r="G15590" s="2" t="str">
        <f>"SR-22663"</f>
        <v>SR-22663</v>
      </c>
      <c r="H15590" s="2" t="s">
        <v>59652</v>
      </c>
      <c r="I15590" s="2" t="s">
        <v>58874</v>
      </c>
      <c r="K15590" s="2" t="s">
        <v>10498</v>
      </c>
      <c r="L15590" s="2" t="s">
        <v>222</v>
      </c>
      <c r="M15590" s="2">
        <v>93422.0</v>
      </c>
      <c r="N15590" s="2" t="s">
        <v>21</v>
      </c>
    </row>
    <row r="15591" ht="15.75" customHeight="1">
      <c r="A15591" s="2">
        <v>2021.0</v>
      </c>
      <c r="B15591" s="2" t="s">
        <v>59653</v>
      </c>
      <c r="C15591" s="2" t="s">
        <v>59653</v>
      </c>
      <c r="D15591" s="2" t="str">
        <f>"8643843551"</f>
        <v>8643843551</v>
      </c>
      <c r="E15591" s="2" t="s">
        <v>56894</v>
      </c>
      <c r="F15591" s="2" t="s">
        <v>59654</v>
      </c>
      <c r="G15591" s="2" t="str">
        <f>"SR-22664"</f>
        <v>SR-22664</v>
      </c>
      <c r="H15591" s="2" t="s">
        <v>59655</v>
      </c>
      <c r="I15591" s="2" t="s">
        <v>59656</v>
      </c>
      <c r="K15591" s="2" t="s">
        <v>11586</v>
      </c>
      <c r="L15591" s="2" t="s">
        <v>55</v>
      </c>
      <c r="M15591" s="2">
        <v>29349.0</v>
      </c>
      <c r="N15591" s="2" t="s">
        <v>21</v>
      </c>
    </row>
    <row r="15592" ht="15.75" customHeight="1">
      <c r="A15592" s="2">
        <v>2021.0</v>
      </c>
      <c r="B15592" s="2" t="s">
        <v>59576</v>
      </c>
      <c r="C15592" s="2" t="s">
        <v>59657</v>
      </c>
      <c r="D15592" s="2" t="str">
        <f>"4078133154"</f>
        <v>4078133154</v>
      </c>
      <c r="E15592" s="2" t="s">
        <v>59658</v>
      </c>
      <c r="F15592" s="2" t="s">
        <v>59659</v>
      </c>
      <c r="G15592" s="2" t="str">
        <f>"SR-22584"</f>
        <v>SR-22584</v>
      </c>
      <c r="H15592" s="2" t="s">
        <v>59660</v>
      </c>
      <c r="I15592" s="2" t="s">
        <v>59581</v>
      </c>
      <c r="K15592" s="2" t="s">
        <v>4724</v>
      </c>
      <c r="L15592" s="2" t="s">
        <v>208</v>
      </c>
      <c r="M15592" s="2">
        <v>32832.0</v>
      </c>
      <c r="N15592" s="2" t="s">
        <v>21</v>
      </c>
    </row>
    <row r="15593" ht="15.75" customHeight="1">
      <c r="A15593" s="2">
        <v>2021.0</v>
      </c>
      <c r="B15593" s="2" t="s">
        <v>59661</v>
      </c>
      <c r="C15593" s="2" t="s">
        <v>59662</v>
      </c>
      <c r="D15593" s="2" t="str">
        <f>"706-836-1436"</f>
        <v>706-836-1436</v>
      </c>
      <c r="E15593" s="2" t="s">
        <v>3434</v>
      </c>
      <c r="F15593" s="2" t="s">
        <v>28555</v>
      </c>
      <c r="G15593" s="2" t="str">
        <f>"SR-21735"</f>
        <v>SR-21735</v>
      </c>
      <c r="H15593" s="2" t="s">
        <v>59663</v>
      </c>
      <c r="I15593" s="2" t="s">
        <v>28557</v>
      </c>
      <c r="K15593" s="2" t="s">
        <v>11436</v>
      </c>
      <c r="L15593" s="2" t="s">
        <v>200</v>
      </c>
      <c r="M15593" s="2">
        <v>30813.0</v>
      </c>
      <c r="N15593" s="2" t="s">
        <v>21</v>
      </c>
    </row>
    <row r="15594" ht="15.75" customHeight="1">
      <c r="A15594" s="2">
        <v>2021.0</v>
      </c>
      <c r="B15594" s="2" t="s">
        <v>51714</v>
      </c>
      <c r="C15594" s="2" t="s">
        <v>51714</v>
      </c>
      <c r="D15594" s="2" t="str">
        <f>"407-620-3529"</f>
        <v>407-620-3529</v>
      </c>
      <c r="E15594" s="2" t="s">
        <v>1088</v>
      </c>
      <c r="F15594" s="2" t="s">
        <v>3656</v>
      </c>
      <c r="G15594" s="2" t="str">
        <f>"SR-22670"</f>
        <v>SR-22670</v>
      </c>
      <c r="H15594" s="2" t="s">
        <v>51715</v>
      </c>
      <c r="I15594" s="2" t="s">
        <v>51716</v>
      </c>
      <c r="K15594" s="2" t="s">
        <v>51717</v>
      </c>
      <c r="L15594" s="2" t="s">
        <v>208</v>
      </c>
      <c r="M15594" s="2">
        <v>33823.0</v>
      </c>
      <c r="N15594" s="2" t="s">
        <v>21</v>
      </c>
    </row>
    <row r="15595" ht="15.75" customHeight="1">
      <c r="A15595" s="2">
        <v>2021.0</v>
      </c>
      <c r="B15595" s="2" t="s">
        <v>59664</v>
      </c>
      <c r="C15595" s="2" t="s">
        <v>59664</v>
      </c>
      <c r="D15595" s="2" t="str">
        <f>"9708171792"</f>
        <v>9708171792</v>
      </c>
      <c r="E15595" s="2" t="s">
        <v>16650</v>
      </c>
      <c r="F15595" s="2" t="s">
        <v>59665</v>
      </c>
      <c r="G15595" s="2" t="str">
        <f>"SR-22679"</f>
        <v>SR-22679</v>
      </c>
      <c r="H15595" s="2" t="s">
        <v>59666</v>
      </c>
      <c r="I15595" s="2" t="s">
        <v>59667</v>
      </c>
      <c r="K15595" s="2" t="s">
        <v>656</v>
      </c>
      <c r="L15595" s="2" t="s">
        <v>157</v>
      </c>
      <c r="M15595" s="2">
        <v>80528.0</v>
      </c>
      <c r="N15595" s="2" t="s">
        <v>21</v>
      </c>
    </row>
    <row r="15596" ht="15.75" customHeight="1">
      <c r="A15596" s="2">
        <v>2021.0</v>
      </c>
      <c r="B15596" s="2" t="s">
        <v>59668</v>
      </c>
      <c r="C15596" s="2" t="s">
        <v>59669</v>
      </c>
      <c r="D15596" s="2" t="str">
        <f>"6692079451"</f>
        <v>6692079451</v>
      </c>
      <c r="E15596" s="2" t="s">
        <v>261</v>
      </c>
      <c r="F15596" s="2" t="s">
        <v>59670</v>
      </c>
      <c r="G15596" s="2" t="str">
        <f>"SR-22677"</f>
        <v>SR-22677</v>
      </c>
      <c r="H15596" s="2" t="s">
        <v>59671</v>
      </c>
      <c r="I15596" s="2" t="s">
        <v>59672</v>
      </c>
      <c r="K15596" s="2" t="s">
        <v>5826</v>
      </c>
      <c r="L15596" s="2" t="s">
        <v>222</v>
      </c>
      <c r="M15596" s="2">
        <v>95132.0</v>
      </c>
      <c r="N15596" s="2" t="s">
        <v>21</v>
      </c>
    </row>
    <row r="15597" ht="15.75" customHeight="1">
      <c r="A15597" s="2">
        <v>2021.0</v>
      </c>
      <c r="B15597" s="2" t="s">
        <v>59673</v>
      </c>
      <c r="C15597" s="2" t="s">
        <v>59673</v>
      </c>
      <c r="D15597" s="2" t="str">
        <f>"4078652515"</f>
        <v>4078652515</v>
      </c>
      <c r="E15597" s="2" t="s">
        <v>3750</v>
      </c>
      <c r="F15597" s="2" t="s">
        <v>5476</v>
      </c>
      <c r="G15597" s="2" t="str">
        <f>"SR-22684"</f>
        <v>SR-22684</v>
      </c>
      <c r="H15597" s="2" t="s">
        <v>59674</v>
      </c>
      <c r="I15597" s="2" t="s">
        <v>59675</v>
      </c>
      <c r="K15597" s="2" t="s">
        <v>12702</v>
      </c>
      <c r="L15597" s="2" t="s">
        <v>208</v>
      </c>
      <c r="M15597" s="2">
        <v>32765.0</v>
      </c>
      <c r="N15597" s="2" t="s">
        <v>21</v>
      </c>
    </row>
    <row r="15598" ht="15.75" customHeight="1">
      <c r="A15598" s="2">
        <v>2021.0</v>
      </c>
      <c r="B15598" s="2" t="s">
        <v>59676</v>
      </c>
      <c r="C15598" s="2" t="s">
        <v>59676</v>
      </c>
      <c r="D15598" s="2" t="str">
        <f>"719-322-7009"</f>
        <v>719-322-7009</v>
      </c>
      <c r="E15598" s="2" t="s">
        <v>13598</v>
      </c>
      <c r="F15598" s="2" t="s">
        <v>51711</v>
      </c>
      <c r="G15598" s="2" t="str">
        <f>"SR-22685"</f>
        <v>SR-22685</v>
      </c>
      <c r="H15598" s="2" t="s">
        <v>59677</v>
      </c>
      <c r="I15598" s="2" t="s">
        <v>51713</v>
      </c>
      <c r="K15598" s="2" t="s">
        <v>6998</v>
      </c>
      <c r="L15598" s="2" t="s">
        <v>157</v>
      </c>
      <c r="M15598" s="2">
        <v>80829.0</v>
      </c>
      <c r="N15598" s="2" t="s">
        <v>21</v>
      </c>
    </row>
    <row r="15599" ht="15.75" customHeight="1">
      <c r="A15599" s="2">
        <v>2021.0</v>
      </c>
      <c r="B15599" s="2" t="s">
        <v>59678</v>
      </c>
      <c r="C15599" s="2" t="s">
        <v>59679</v>
      </c>
      <c r="D15599" s="2" t="str">
        <f>"8035564010"</f>
        <v>8035564010</v>
      </c>
      <c r="E15599" s="2" t="s">
        <v>1239</v>
      </c>
      <c r="F15599" s="2" t="s">
        <v>26583</v>
      </c>
      <c r="G15599" s="2" t="str">
        <f>"SR-22631"</f>
        <v>SR-22631</v>
      </c>
      <c r="H15599" s="2" t="s">
        <v>59680</v>
      </c>
      <c r="I15599" s="2" t="s">
        <v>59681</v>
      </c>
      <c r="K15599" s="2" t="s">
        <v>2750</v>
      </c>
      <c r="L15599" s="2" t="s">
        <v>55</v>
      </c>
      <c r="M15599" s="2">
        <v>29229.0</v>
      </c>
      <c r="N15599" s="2" t="s">
        <v>21</v>
      </c>
    </row>
    <row r="15600" ht="15.75" customHeight="1">
      <c r="A15600" s="2">
        <v>2021.0</v>
      </c>
      <c r="B15600" s="2" t="s">
        <v>59682</v>
      </c>
      <c r="C15600" s="2" t="s">
        <v>59683</v>
      </c>
      <c r="D15600" s="2" t="str">
        <f>"7809329300"</f>
        <v>7809329300</v>
      </c>
      <c r="E15600" s="2" t="s">
        <v>4888</v>
      </c>
      <c r="F15600" s="2" t="s">
        <v>12049</v>
      </c>
      <c r="G15600" s="2" t="str">
        <f>"SR-22673"</f>
        <v>SR-22673</v>
      </c>
      <c r="H15600" s="2" t="s">
        <v>59684</v>
      </c>
      <c r="I15600" s="2" t="s">
        <v>59685</v>
      </c>
      <c r="K15600" s="2" t="s">
        <v>59686</v>
      </c>
      <c r="L15600" s="2" t="s">
        <v>422</v>
      </c>
      <c r="M15600" s="2">
        <v>85258.0</v>
      </c>
      <c r="N15600" s="2" t="s">
        <v>21</v>
      </c>
    </row>
    <row r="15601" ht="15.75" customHeight="1">
      <c r="A15601" s="2">
        <v>2021.0</v>
      </c>
      <c r="B15601" s="2" t="s">
        <v>59687</v>
      </c>
      <c r="C15601" s="2" t="s">
        <v>59687</v>
      </c>
      <c r="D15601" s="2" t="str">
        <f>"3865465298"</f>
        <v>3865465298</v>
      </c>
      <c r="E15601" s="2" t="s">
        <v>386</v>
      </c>
      <c r="F15601" s="2" t="s">
        <v>59688</v>
      </c>
      <c r="G15601" s="2" t="str">
        <f>"SR-22693"</f>
        <v>SR-22693</v>
      </c>
      <c r="H15601" s="2" t="s">
        <v>59689</v>
      </c>
      <c r="I15601" s="2" t="s">
        <v>59690</v>
      </c>
      <c r="K15601" s="2" t="s">
        <v>59691</v>
      </c>
      <c r="L15601" s="2" t="s">
        <v>208</v>
      </c>
      <c r="M15601" s="2">
        <v>32007.0</v>
      </c>
      <c r="N15601" s="2" t="s">
        <v>21</v>
      </c>
    </row>
    <row r="15602" ht="15.75" customHeight="1">
      <c r="A15602" s="2">
        <v>2021.0</v>
      </c>
      <c r="B15602" s="2" t="s">
        <v>59692</v>
      </c>
      <c r="C15602" s="2" t="s">
        <v>59693</v>
      </c>
      <c r="D15602" s="2" t="str">
        <f>"3146093575"</f>
        <v>3146093575</v>
      </c>
      <c r="E15602" s="2" t="s">
        <v>38102</v>
      </c>
      <c r="F15602" s="2" t="s">
        <v>7940</v>
      </c>
      <c r="G15602" s="2" t="str">
        <f>"SR-22695"</f>
        <v>SR-22695</v>
      </c>
      <c r="H15602" s="2" t="s">
        <v>59694</v>
      </c>
      <c r="I15602" s="2" t="s">
        <v>59695</v>
      </c>
      <c r="K15602" s="2" t="s">
        <v>23824</v>
      </c>
      <c r="L15602" s="2" t="s">
        <v>214</v>
      </c>
      <c r="M15602" s="2">
        <v>63011.0</v>
      </c>
      <c r="N15602" s="2" t="s">
        <v>21</v>
      </c>
    </row>
    <row r="15603" ht="15.75" customHeight="1">
      <c r="A15603" s="2">
        <v>2021.0</v>
      </c>
      <c r="B15603" s="2" t="s">
        <v>59696</v>
      </c>
      <c r="C15603" s="2" t="s">
        <v>59696</v>
      </c>
      <c r="D15603" s="2" t="str">
        <f>"2018733631"</f>
        <v>2018733631</v>
      </c>
      <c r="E15603" s="2" t="s">
        <v>453</v>
      </c>
      <c r="F15603" s="2" t="s">
        <v>59697</v>
      </c>
      <c r="G15603" s="2" t="str">
        <f>"SR-22681"</f>
        <v>SR-22681</v>
      </c>
      <c r="H15603" s="2" t="s">
        <v>59698</v>
      </c>
      <c r="I15603" s="2" t="s">
        <v>59699</v>
      </c>
      <c r="K15603" s="2" t="s">
        <v>59700</v>
      </c>
      <c r="L15603" s="2" t="s">
        <v>3618</v>
      </c>
      <c r="M15603" s="2">
        <v>7662.0</v>
      </c>
      <c r="N15603" s="2" t="s">
        <v>21</v>
      </c>
    </row>
    <row r="15604" ht="15.75" customHeight="1">
      <c r="A15604" s="2">
        <v>2021.0</v>
      </c>
      <c r="B15604" s="2" t="s">
        <v>59701</v>
      </c>
      <c r="C15604" s="2" t="s">
        <v>59701</v>
      </c>
      <c r="D15604" s="2" t="str">
        <f>"509 715 7298"</f>
        <v>509 715 7298</v>
      </c>
      <c r="E15604" s="2" t="s">
        <v>12075</v>
      </c>
      <c r="F15604" s="2" t="s">
        <v>2174</v>
      </c>
      <c r="G15604" s="2" t="str">
        <f>"SR-22675"</f>
        <v>SR-22675</v>
      </c>
      <c r="H15604" s="2" t="s">
        <v>59702</v>
      </c>
      <c r="I15604" s="2" t="s">
        <v>59703</v>
      </c>
      <c r="K15604" s="2" t="s">
        <v>59704</v>
      </c>
      <c r="L15604" s="2" t="s">
        <v>86</v>
      </c>
      <c r="M15604" s="2">
        <v>99163.0</v>
      </c>
      <c r="N15604" s="2" t="s">
        <v>21</v>
      </c>
    </row>
    <row r="15605" ht="15.75" customHeight="1">
      <c r="A15605" s="2">
        <v>2021.0</v>
      </c>
      <c r="B15605" s="2" t="s">
        <v>57548</v>
      </c>
      <c r="C15605" s="2" t="s">
        <v>57548</v>
      </c>
      <c r="D15605" s="2" t="str">
        <f>"260-312-0736"</f>
        <v>260-312-0736</v>
      </c>
      <c r="E15605" s="2" t="s">
        <v>22628</v>
      </c>
      <c r="F15605" s="2" t="s">
        <v>50472</v>
      </c>
      <c r="G15605" s="2" t="str">
        <f>"SR-22694"</f>
        <v>SR-22694</v>
      </c>
      <c r="H15605" s="2" t="s">
        <v>50473</v>
      </c>
      <c r="I15605" s="2" t="s">
        <v>59705</v>
      </c>
      <c r="K15605" s="2" t="s">
        <v>59706</v>
      </c>
      <c r="L15605" s="2" t="s">
        <v>29</v>
      </c>
      <c r="M15605" s="2">
        <v>49431.0</v>
      </c>
      <c r="N15605" s="2" t="s">
        <v>21</v>
      </c>
    </row>
    <row r="15606" ht="15.75" customHeight="1">
      <c r="A15606" s="2">
        <v>2021.0</v>
      </c>
      <c r="B15606" s="2" t="s">
        <v>59707</v>
      </c>
      <c r="C15606" s="2" t="s">
        <v>59707</v>
      </c>
      <c r="D15606" s="2" t="str">
        <f>"3475978607"</f>
        <v>3475978607</v>
      </c>
      <c r="E15606" s="2" t="s">
        <v>1974</v>
      </c>
      <c r="F15606" s="2" t="s">
        <v>59708</v>
      </c>
      <c r="G15606" s="2" t="str">
        <f>"SR-22682"</f>
        <v>SR-22682</v>
      </c>
      <c r="H15606" s="2" t="s">
        <v>59709</v>
      </c>
      <c r="I15606" s="2" t="s">
        <v>59710</v>
      </c>
      <c r="J15606" s="2" t="s">
        <v>59711</v>
      </c>
      <c r="K15606" s="2" t="s">
        <v>18981</v>
      </c>
      <c r="L15606" s="2" t="s">
        <v>142</v>
      </c>
      <c r="M15606" s="2">
        <v>10453.0</v>
      </c>
      <c r="N15606" s="2" t="s">
        <v>21</v>
      </c>
    </row>
    <row r="15607" ht="15.75" customHeight="1">
      <c r="A15607" s="2">
        <v>2021.0</v>
      </c>
      <c r="B15607" s="2" t="s">
        <v>59712</v>
      </c>
      <c r="C15607" s="2" t="s">
        <v>59713</v>
      </c>
      <c r="D15607" s="2" t="str">
        <f>"3077577871"</f>
        <v>3077577871</v>
      </c>
      <c r="E15607" s="2" t="s">
        <v>2695</v>
      </c>
      <c r="F15607" s="2" t="s">
        <v>59714</v>
      </c>
      <c r="G15607" s="2" t="str">
        <f>"SR-22700"</f>
        <v>SR-22700</v>
      </c>
      <c r="H15607" s="2" t="s">
        <v>59715</v>
      </c>
      <c r="I15607" s="2" t="s">
        <v>59716</v>
      </c>
      <c r="K15607" s="2" t="s">
        <v>10638</v>
      </c>
      <c r="L15607" s="2" t="s">
        <v>1540</v>
      </c>
      <c r="M15607" s="2">
        <v>82009.0</v>
      </c>
      <c r="N15607" s="2" t="s">
        <v>21</v>
      </c>
    </row>
    <row r="15608" ht="15.75" customHeight="1">
      <c r="A15608" s="2">
        <v>2021.0</v>
      </c>
      <c r="B15608" s="2" t="s">
        <v>59717</v>
      </c>
      <c r="C15608" s="2" t="s">
        <v>59717</v>
      </c>
      <c r="D15608" s="2" t="str">
        <f>"6056261668"</f>
        <v>6056261668</v>
      </c>
      <c r="E15608" s="2" t="s">
        <v>651</v>
      </c>
      <c r="F15608" s="2" t="s">
        <v>511</v>
      </c>
      <c r="G15608" s="2" t="str">
        <f>"SR-22703"</f>
        <v>SR-22703</v>
      </c>
      <c r="H15608" s="2" t="s">
        <v>3847</v>
      </c>
      <c r="I15608" s="2" t="s">
        <v>59718</v>
      </c>
      <c r="K15608" s="2" t="s">
        <v>6075</v>
      </c>
      <c r="L15608" s="2" t="s">
        <v>272</v>
      </c>
      <c r="M15608" s="2">
        <v>66839.0</v>
      </c>
      <c r="N15608" s="2" t="s">
        <v>21</v>
      </c>
    </row>
    <row r="15609" ht="15.75" customHeight="1">
      <c r="A15609" s="2">
        <v>2021.0</v>
      </c>
      <c r="B15609" s="2" t="s">
        <v>59719</v>
      </c>
      <c r="C15609" s="2" t="s">
        <v>59720</v>
      </c>
      <c r="D15609" s="2" t="str">
        <f>"858-716-6654"</f>
        <v>858-716-6654</v>
      </c>
      <c r="E15609" s="2" t="s">
        <v>1946</v>
      </c>
      <c r="F15609" s="2" t="s">
        <v>14111</v>
      </c>
      <c r="G15609" s="2" t="str">
        <f>"SR-22708"</f>
        <v>SR-22708</v>
      </c>
      <c r="H15609" s="2" t="s">
        <v>59721</v>
      </c>
      <c r="I15609" s="2" t="s">
        <v>59722</v>
      </c>
      <c r="K15609" s="2" t="s">
        <v>15205</v>
      </c>
      <c r="L15609" s="2" t="s">
        <v>222</v>
      </c>
      <c r="M15609" s="2">
        <v>92025.0</v>
      </c>
      <c r="N15609" s="2" t="s">
        <v>21</v>
      </c>
    </row>
    <row r="15610" ht="15.75" customHeight="1">
      <c r="A15610" s="2">
        <v>2021.0</v>
      </c>
      <c r="B15610" s="2" t="s">
        <v>59723</v>
      </c>
      <c r="C15610" s="2" t="s">
        <v>59723</v>
      </c>
      <c r="D15610" s="2" t="str">
        <f>"5033186987"</f>
        <v>5033186987</v>
      </c>
      <c r="E15610" s="2" t="s">
        <v>1767</v>
      </c>
      <c r="F15610" s="2" t="s">
        <v>59724</v>
      </c>
      <c r="G15610" s="2" t="str">
        <f>"SR-22715"</f>
        <v>SR-22715</v>
      </c>
      <c r="H15610" s="2" t="s">
        <v>59725</v>
      </c>
      <c r="I15610" s="2" t="s">
        <v>59726</v>
      </c>
      <c r="K15610" s="2" t="s">
        <v>4054</v>
      </c>
      <c r="L15610" s="2" t="s">
        <v>2389</v>
      </c>
      <c r="M15610" s="2">
        <v>97119.0</v>
      </c>
      <c r="N15610" s="2" t="s">
        <v>21</v>
      </c>
    </row>
    <row r="15611" ht="15.75" customHeight="1">
      <c r="A15611" s="2">
        <v>2021.0</v>
      </c>
      <c r="B15611" s="2" t="s">
        <v>59727</v>
      </c>
      <c r="C15611" s="2" t="s">
        <v>59728</v>
      </c>
      <c r="D15611" s="2" t="str">
        <f>"737-215-0402"</f>
        <v>737-215-0402</v>
      </c>
      <c r="E15611" s="2" t="s">
        <v>59729</v>
      </c>
      <c r="F15611" s="2" t="s">
        <v>59730</v>
      </c>
      <c r="G15611" s="2" t="str">
        <f>"SR-22720"</f>
        <v>SR-22720</v>
      </c>
      <c r="H15611" s="2" t="s">
        <v>59731</v>
      </c>
      <c r="I15611" s="2" t="s">
        <v>59732</v>
      </c>
      <c r="K15611" s="2" t="s">
        <v>59733</v>
      </c>
      <c r="L15611" s="2" t="s">
        <v>172</v>
      </c>
      <c r="M15611" s="2">
        <v>78628.0</v>
      </c>
      <c r="N15611" s="2" t="s">
        <v>21</v>
      </c>
    </row>
    <row r="15612" ht="15.75" customHeight="1">
      <c r="A15612" s="2">
        <v>2021.0</v>
      </c>
      <c r="B15612" s="2" t="s">
        <v>59734</v>
      </c>
      <c r="C15612" s="2" t="s">
        <v>59734</v>
      </c>
      <c r="D15612" s="2" t="str">
        <f>"9202850394"</f>
        <v>9202850394</v>
      </c>
      <c r="E15612" s="2" t="s">
        <v>59735</v>
      </c>
      <c r="F15612" s="2" t="s">
        <v>59736</v>
      </c>
      <c r="G15612" s="2" t="str">
        <f>"SR-22723"</f>
        <v>SR-22723</v>
      </c>
      <c r="H15612" s="2" t="s">
        <v>59737</v>
      </c>
      <c r="I15612" s="2" t="s">
        <v>59738</v>
      </c>
      <c r="K15612" s="2" t="s">
        <v>53403</v>
      </c>
      <c r="L15612" s="2" t="s">
        <v>208</v>
      </c>
      <c r="M15612" s="2">
        <v>33547.0</v>
      </c>
      <c r="N15612" s="2" t="s">
        <v>21</v>
      </c>
    </row>
    <row r="15613" ht="15.75" customHeight="1">
      <c r="A15613" s="2">
        <v>2021.0</v>
      </c>
      <c r="B15613" s="2" t="s">
        <v>59739</v>
      </c>
      <c r="C15613" s="2" t="s">
        <v>59739</v>
      </c>
      <c r="D15613" s="2" t="str">
        <f>"4407969528"</f>
        <v>4407969528</v>
      </c>
      <c r="E15613" s="2" t="s">
        <v>19334</v>
      </c>
      <c r="F15613" s="2" t="s">
        <v>59740</v>
      </c>
      <c r="G15613" s="2" t="str">
        <f>"SR-22725"</f>
        <v>SR-22725</v>
      </c>
      <c r="H15613" s="2" t="s">
        <v>59741</v>
      </c>
      <c r="I15613" s="2" t="s">
        <v>59742</v>
      </c>
      <c r="K15613" s="2" t="s">
        <v>59743</v>
      </c>
      <c r="L15613" s="2" t="s">
        <v>344</v>
      </c>
      <c r="M15613" s="2">
        <v>44124.0</v>
      </c>
      <c r="N15613" s="2" t="s">
        <v>21</v>
      </c>
    </row>
    <row r="15614" ht="15.75" customHeight="1">
      <c r="A15614" s="2">
        <v>2021.0</v>
      </c>
      <c r="B15614" s="2" t="s">
        <v>59744</v>
      </c>
      <c r="C15614" s="2" t="s">
        <v>59744</v>
      </c>
      <c r="D15614" s="2" t="str">
        <f>"9708173793"</f>
        <v>9708173793</v>
      </c>
      <c r="E15614" s="2" t="s">
        <v>59745</v>
      </c>
      <c r="F15614" s="2" t="s">
        <v>59665</v>
      </c>
      <c r="G15614" s="2" t="str">
        <f>"SR-22726"</f>
        <v>SR-22726</v>
      </c>
      <c r="H15614" s="2" t="s">
        <v>59746</v>
      </c>
      <c r="I15614" s="2" t="s">
        <v>59747</v>
      </c>
      <c r="K15614" s="2" t="s">
        <v>656</v>
      </c>
      <c r="L15614" s="2" t="s">
        <v>157</v>
      </c>
      <c r="M15614" s="2">
        <v>80528.0</v>
      </c>
      <c r="N15614" s="2" t="s">
        <v>21</v>
      </c>
    </row>
    <row r="15615" ht="15.75" customHeight="1">
      <c r="A15615" s="2">
        <v>2021.0</v>
      </c>
      <c r="B15615" s="2" t="s">
        <v>59748</v>
      </c>
      <c r="C15615" s="2" t="s">
        <v>59748</v>
      </c>
      <c r="D15615" s="2" t="str">
        <f>"281-964-9181"</f>
        <v>281-964-9181</v>
      </c>
      <c r="E15615" s="2" t="s">
        <v>288</v>
      </c>
      <c r="F15615" s="2" t="s">
        <v>35543</v>
      </c>
      <c r="G15615" s="2" t="str">
        <f>"SR-22727"</f>
        <v>SR-22727</v>
      </c>
      <c r="H15615" s="2" t="s">
        <v>59749</v>
      </c>
      <c r="I15615" s="2" t="s">
        <v>59750</v>
      </c>
      <c r="K15615" s="2" t="s">
        <v>3006</v>
      </c>
      <c r="L15615" s="2" t="s">
        <v>172</v>
      </c>
      <c r="M15615" s="2">
        <v>77346.0</v>
      </c>
      <c r="N15615" s="2" t="s">
        <v>21</v>
      </c>
    </row>
    <row r="15616" ht="15.75" customHeight="1">
      <c r="A15616" s="2">
        <v>2021.0</v>
      </c>
      <c r="B15616" s="2" t="s">
        <v>59751</v>
      </c>
      <c r="C15616" s="2" t="s">
        <v>59752</v>
      </c>
      <c r="D15616" s="2" t="str">
        <f>"7207573133"</f>
        <v>7207573133</v>
      </c>
      <c r="E15616" s="2" t="s">
        <v>339</v>
      </c>
      <c r="F15616" s="2" t="s">
        <v>59753</v>
      </c>
      <c r="G15616" s="2" t="str">
        <f>"SR-22728"</f>
        <v>SR-22728</v>
      </c>
      <c r="H15616" s="2" t="s">
        <v>59754</v>
      </c>
      <c r="I15616" s="2" t="s">
        <v>59755</v>
      </c>
      <c r="K15616" s="2" t="s">
        <v>1520</v>
      </c>
      <c r="L15616" s="2" t="s">
        <v>157</v>
      </c>
      <c r="M15616" s="2">
        <v>80011.0</v>
      </c>
      <c r="N15616" s="2" t="s">
        <v>21</v>
      </c>
    </row>
    <row r="15617" ht="15.75" customHeight="1">
      <c r="A15617" s="2">
        <v>2021.0</v>
      </c>
      <c r="B15617" s="2" t="s">
        <v>59756</v>
      </c>
      <c r="C15617" s="2" t="s">
        <v>59757</v>
      </c>
      <c r="D15617" s="2" t="str">
        <f>"585-519-5058"</f>
        <v>585-519-5058</v>
      </c>
      <c r="E15617" s="2" t="s">
        <v>217</v>
      </c>
      <c r="F15617" s="2" t="s">
        <v>59758</v>
      </c>
      <c r="G15617" s="2" t="str">
        <f>"SR-22741"</f>
        <v>SR-22741</v>
      </c>
      <c r="H15617" s="2" t="s">
        <v>59759</v>
      </c>
      <c r="I15617" s="2" t="s">
        <v>59760</v>
      </c>
      <c r="K15617" s="2" t="s">
        <v>59761</v>
      </c>
      <c r="L15617" s="2" t="s">
        <v>142</v>
      </c>
      <c r="M15617" s="2">
        <v>14437.0</v>
      </c>
      <c r="N15617" s="2" t="s">
        <v>21</v>
      </c>
    </row>
    <row r="15618" ht="15.75" customHeight="1">
      <c r="A15618" s="2">
        <v>2021.0</v>
      </c>
      <c r="B15618" s="2" t="s">
        <v>59762</v>
      </c>
      <c r="C15618" s="2" t="s">
        <v>59763</v>
      </c>
      <c r="D15618" s="2" t="str">
        <f>"7199634896"</f>
        <v>7199634896</v>
      </c>
      <c r="E15618" s="2" t="s">
        <v>34156</v>
      </c>
      <c r="F15618" s="2" t="s">
        <v>59764</v>
      </c>
      <c r="G15618" s="2" t="str">
        <f>"SR-22742"</f>
        <v>SR-22742</v>
      </c>
      <c r="H15618" s="2" t="s">
        <v>59765</v>
      </c>
      <c r="I15618" s="2" t="s">
        <v>59766</v>
      </c>
      <c r="K15618" s="2" t="s">
        <v>809</v>
      </c>
      <c r="L15618" s="2" t="s">
        <v>157</v>
      </c>
      <c r="M15618" s="2">
        <v>80908.0</v>
      </c>
      <c r="N15618" s="2" t="s">
        <v>21</v>
      </c>
    </row>
    <row r="15619" ht="15.75" customHeight="1">
      <c r="A15619" s="2">
        <v>2021.0</v>
      </c>
      <c r="B15619" s="2" t="s">
        <v>56440</v>
      </c>
      <c r="C15619" s="2" t="s">
        <v>59767</v>
      </c>
      <c r="D15619" s="2" t="str">
        <f>"(210) 440-5546"</f>
        <v>(210) 440-5546</v>
      </c>
      <c r="E15619" s="2" t="s">
        <v>1274</v>
      </c>
      <c r="F15619" s="2" t="s">
        <v>56442</v>
      </c>
      <c r="G15619" s="2" t="str">
        <f>"SR-22743"</f>
        <v>SR-22743</v>
      </c>
      <c r="H15619" s="2" t="s">
        <v>59768</v>
      </c>
      <c r="I15619" s="2" t="s">
        <v>59769</v>
      </c>
      <c r="K15619" s="2" t="s">
        <v>56445</v>
      </c>
      <c r="L15619" s="2" t="s">
        <v>222</v>
      </c>
      <c r="M15619" s="2">
        <v>96073.0</v>
      </c>
      <c r="N15619" s="2" t="s">
        <v>21</v>
      </c>
    </row>
    <row r="15620" ht="15.75" customHeight="1">
      <c r="A15620" s="2">
        <v>2021.0</v>
      </c>
      <c r="B15620" s="2" t="s">
        <v>59770</v>
      </c>
      <c r="C15620" s="2" t="s">
        <v>59771</v>
      </c>
      <c r="D15620" s="2" t="str">
        <f>"6468866209"</f>
        <v>6468866209</v>
      </c>
      <c r="E15620" s="2" t="s">
        <v>59772</v>
      </c>
      <c r="F15620" s="2" t="s">
        <v>59773</v>
      </c>
      <c r="G15620" s="2" t="str">
        <f>"SR-22745"</f>
        <v>SR-22745</v>
      </c>
      <c r="H15620" s="2" t="s">
        <v>59774</v>
      </c>
      <c r="I15620" s="2" t="s">
        <v>59775</v>
      </c>
      <c r="K15620" s="2" t="s">
        <v>18981</v>
      </c>
      <c r="L15620" s="2" t="s">
        <v>142</v>
      </c>
      <c r="M15620" s="2">
        <v>10466.0</v>
      </c>
      <c r="N15620" s="2" t="s">
        <v>21</v>
      </c>
    </row>
    <row r="15621" ht="15.75" customHeight="1">
      <c r="A15621" s="2">
        <v>2021.0</v>
      </c>
      <c r="B15621" s="2" t="s">
        <v>59776</v>
      </c>
      <c r="C15621" s="2" t="s">
        <v>59777</v>
      </c>
      <c r="D15621" s="2" t="str">
        <f>"4088283674"</f>
        <v>4088283674</v>
      </c>
      <c r="E15621" s="2" t="s">
        <v>8210</v>
      </c>
      <c r="F15621" s="2" t="s">
        <v>278</v>
      </c>
      <c r="G15621" s="2" t="str">
        <f>"SR-22746"</f>
        <v>SR-22746</v>
      </c>
      <c r="H15621" s="2" t="s">
        <v>59778</v>
      </c>
      <c r="I15621" s="2" t="s">
        <v>59779</v>
      </c>
      <c r="K15621" s="2" t="s">
        <v>850</v>
      </c>
      <c r="L15621" s="2" t="s">
        <v>222</v>
      </c>
      <c r="M15621" s="2">
        <v>95008.0</v>
      </c>
      <c r="N15621" s="2" t="s">
        <v>21</v>
      </c>
    </row>
    <row r="15622" ht="15.75" customHeight="1">
      <c r="A15622" s="2">
        <v>2021.0</v>
      </c>
      <c r="B15622" s="2" t="s">
        <v>59780</v>
      </c>
      <c r="C15622" s="2" t="s">
        <v>59781</v>
      </c>
      <c r="D15622" s="2" t="str">
        <f>"763-404-0920"</f>
        <v>763-404-0920</v>
      </c>
      <c r="E15622" s="2" t="s">
        <v>3693</v>
      </c>
      <c r="F15622" s="2" t="s">
        <v>59782</v>
      </c>
      <c r="G15622" s="2" t="str">
        <f>"SR-22749"</f>
        <v>SR-22749</v>
      </c>
      <c r="H15622" s="2" t="s">
        <v>59783</v>
      </c>
      <c r="I15622" s="2" t="s">
        <v>59784</v>
      </c>
      <c r="K15622" s="2" t="s">
        <v>2909</v>
      </c>
      <c r="L15622" s="2" t="s">
        <v>62</v>
      </c>
      <c r="M15622" s="2">
        <v>55447.0</v>
      </c>
      <c r="N15622" s="2" t="s">
        <v>21</v>
      </c>
    </row>
    <row r="15623" ht="15.75" customHeight="1">
      <c r="A15623" s="2">
        <v>2021.0</v>
      </c>
      <c r="B15623" s="2" t="s">
        <v>59785</v>
      </c>
      <c r="C15623" s="2" t="s">
        <v>59785</v>
      </c>
      <c r="D15623" s="2" t="str">
        <f>"9739670190"</f>
        <v>9739670190</v>
      </c>
      <c r="E15623" s="2" t="s">
        <v>132</v>
      </c>
      <c r="F15623" s="2" t="s">
        <v>1864</v>
      </c>
      <c r="G15623" s="2" t="str">
        <f>"SR-22667"</f>
        <v>SR-22667</v>
      </c>
      <c r="H15623" s="2" t="s">
        <v>59786</v>
      </c>
      <c r="I15623" s="2" t="s">
        <v>59787</v>
      </c>
      <c r="K15623" s="2" t="s">
        <v>2784</v>
      </c>
      <c r="L15623" s="2" t="s">
        <v>3618</v>
      </c>
      <c r="M15623" s="2">
        <v>7039.0</v>
      </c>
      <c r="N15623" s="2" t="s">
        <v>21</v>
      </c>
    </row>
    <row r="15624" ht="15.75" customHeight="1">
      <c r="A15624" s="2">
        <v>2021.0</v>
      </c>
      <c r="B15624" s="2" t="s">
        <v>59788</v>
      </c>
      <c r="C15624" s="2" t="s">
        <v>59789</v>
      </c>
      <c r="D15624" s="2" t="str">
        <f>"2564874043"</f>
        <v>2564874043</v>
      </c>
      <c r="E15624" s="2" t="s">
        <v>1585</v>
      </c>
      <c r="F15624" s="2" t="s">
        <v>15797</v>
      </c>
      <c r="G15624" s="2" t="str">
        <f>"SR-21737"</f>
        <v>SR-21737</v>
      </c>
      <c r="H15624" s="2" t="s">
        <v>59790</v>
      </c>
      <c r="I15624" s="2" t="s">
        <v>59791</v>
      </c>
      <c r="K15624" s="2" t="s">
        <v>14699</v>
      </c>
      <c r="L15624" s="2" t="s">
        <v>539</v>
      </c>
      <c r="M15624" s="2">
        <v>35150.0</v>
      </c>
      <c r="N15624" s="2" t="s">
        <v>21</v>
      </c>
    </row>
    <row r="15625" ht="15.75" customHeight="1">
      <c r="A15625" s="2">
        <v>2021.0</v>
      </c>
      <c r="B15625" s="2" t="s">
        <v>59792</v>
      </c>
      <c r="C15625" s="2" t="s">
        <v>59793</v>
      </c>
      <c r="D15625" s="2" t="str">
        <f>"540-352-6084"</f>
        <v>540-352-6084</v>
      </c>
      <c r="E15625" s="2" t="s">
        <v>59794</v>
      </c>
      <c r="F15625" s="2" t="s">
        <v>6824</v>
      </c>
      <c r="G15625" s="2" t="str">
        <f>"SR-22750"</f>
        <v>SR-22750</v>
      </c>
      <c r="H15625" s="2" t="s">
        <v>59795</v>
      </c>
      <c r="I15625" s="2" t="s">
        <v>59796</v>
      </c>
      <c r="K15625" s="2" t="s">
        <v>9877</v>
      </c>
      <c r="L15625" s="2" t="s">
        <v>165</v>
      </c>
      <c r="M15625" s="2">
        <v>24060.0</v>
      </c>
      <c r="N15625" s="2" t="s">
        <v>21</v>
      </c>
    </row>
    <row r="15626" ht="15.75" customHeight="1">
      <c r="A15626" s="2">
        <v>2021.0</v>
      </c>
      <c r="B15626" s="2" t="s">
        <v>58242</v>
      </c>
      <c r="C15626" s="2" t="s">
        <v>59797</v>
      </c>
      <c r="D15626" s="2" t="str">
        <f>"740-541-6989"</f>
        <v>740-541-6989</v>
      </c>
      <c r="E15626" s="2" t="s">
        <v>59798</v>
      </c>
      <c r="F15626" s="2" t="s">
        <v>7466</v>
      </c>
      <c r="G15626" s="2" t="str">
        <f>"SR-22757"</f>
        <v>SR-22757</v>
      </c>
      <c r="H15626" s="2" t="s">
        <v>59799</v>
      </c>
      <c r="I15626" s="2" t="s">
        <v>59800</v>
      </c>
      <c r="K15626" s="2" t="s">
        <v>5108</v>
      </c>
      <c r="L15626" s="2" t="s">
        <v>344</v>
      </c>
      <c r="M15626" s="2">
        <v>45701.0</v>
      </c>
      <c r="N15626" s="2" t="s">
        <v>21</v>
      </c>
    </row>
    <row r="15627" ht="15.75" customHeight="1">
      <c r="A15627" s="2">
        <v>2021.0</v>
      </c>
      <c r="B15627" s="2" t="s">
        <v>59801</v>
      </c>
      <c r="C15627" s="2" t="s">
        <v>59801</v>
      </c>
      <c r="D15627" s="2" t="str">
        <f>"972-835-9921"</f>
        <v>972-835-9921</v>
      </c>
      <c r="E15627" s="2" t="s">
        <v>33885</v>
      </c>
      <c r="F15627" s="2" t="s">
        <v>59802</v>
      </c>
      <c r="G15627" s="2" t="str">
        <f>"SR-22758"</f>
        <v>SR-22758</v>
      </c>
      <c r="H15627" s="2" t="s">
        <v>59803</v>
      </c>
      <c r="I15627" s="2" t="s">
        <v>59804</v>
      </c>
      <c r="K15627" s="2" t="s">
        <v>104</v>
      </c>
      <c r="L15627" s="2" t="s">
        <v>422</v>
      </c>
      <c r="M15627" s="2">
        <v>85383.0</v>
      </c>
      <c r="N15627" s="2" t="s">
        <v>21</v>
      </c>
    </row>
    <row r="15628" ht="15.75" customHeight="1">
      <c r="A15628" s="2">
        <v>2021.0</v>
      </c>
      <c r="B15628" s="2" t="s">
        <v>59805</v>
      </c>
      <c r="C15628" s="2" t="s">
        <v>59805</v>
      </c>
      <c r="D15628" s="2" t="str">
        <f>"8125490538"</f>
        <v>8125490538</v>
      </c>
      <c r="E15628" s="2" t="s">
        <v>12392</v>
      </c>
      <c r="F15628" s="2" t="s">
        <v>59806</v>
      </c>
      <c r="G15628" s="2" t="str">
        <f>"SR-22759"</f>
        <v>SR-22759</v>
      </c>
      <c r="H15628" s="2" t="s">
        <v>59807</v>
      </c>
      <c r="I15628" s="2" t="s">
        <v>59808</v>
      </c>
      <c r="K15628" s="2" t="s">
        <v>148</v>
      </c>
      <c r="L15628" s="2" t="s">
        <v>149</v>
      </c>
      <c r="M15628" s="2">
        <v>47715.0</v>
      </c>
      <c r="N15628" s="2" t="s">
        <v>21</v>
      </c>
    </row>
    <row r="15629" ht="15.75" customHeight="1">
      <c r="A15629" s="2">
        <v>2021.0</v>
      </c>
      <c r="B15629" s="2" t="s">
        <v>59809</v>
      </c>
      <c r="C15629" s="2" t="s">
        <v>59810</v>
      </c>
      <c r="D15629" s="2" t="str">
        <f>"(717) 578-3908"</f>
        <v>(717) 578-3908</v>
      </c>
      <c r="E15629" s="2" t="s">
        <v>385</v>
      </c>
      <c r="F15629" s="2" t="s">
        <v>59811</v>
      </c>
      <c r="G15629" s="2" t="str">
        <f>"SR-20850"</f>
        <v>SR-20850</v>
      </c>
      <c r="H15629" s="2" t="s">
        <v>59812</v>
      </c>
      <c r="I15629" s="2" t="s">
        <v>59813</v>
      </c>
      <c r="K15629" s="2" t="s">
        <v>16541</v>
      </c>
      <c r="L15629" s="2" t="s">
        <v>179</v>
      </c>
      <c r="M15629" s="2">
        <v>17408.0</v>
      </c>
      <c r="N15629" s="2" t="s">
        <v>21</v>
      </c>
    </row>
    <row r="15630" ht="15.75" customHeight="1">
      <c r="A15630" s="2">
        <v>2021.0</v>
      </c>
      <c r="B15630" s="2" t="s">
        <v>59814</v>
      </c>
      <c r="C15630" s="2" t="s">
        <v>59814</v>
      </c>
      <c r="D15630" s="2" t="str">
        <f>"5743770293"</f>
        <v>5743770293</v>
      </c>
      <c r="E15630" s="2" t="s">
        <v>5637</v>
      </c>
      <c r="F15630" s="2" t="s">
        <v>59815</v>
      </c>
      <c r="G15630" s="2" t="str">
        <f>"SR-22760"</f>
        <v>SR-22760</v>
      </c>
      <c r="H15630" s="2" t="s">
        <v>59816</v>
      </c>
      <c r="I15630" s="2" t="s">
        <v>59817</v>
      </c>
      <c r="K15630" s="2" t="s">
        <v>58881</v>
      </c>
      <c r="L15630" s="2" t="s">
        <v>149</v>
      </c>
      <c r="M15630" s="2">
        <v>46590.0</v>
      </c>
      <c r="N15630" s="2" t="s">
        <v>21</v>
      </c>
    </row>
    <row r="15631" ht="15.75" customHeight="1">
      <c r="A15631" s="2">
        <v>2021.0</v>
      </c>
      <c r="B15631" s="2" t="s">
        <v>59818</v>
      </c>
      <c r="C15631" s="2" t="s">
        <v>59818</v>
      </c>
      <c r="D15631" s="2" t="str">
        <f>"720212831"</f>
        <v>720212831</v>
      </c>
      <c r="E15631" s="2" t="s">
        <v>59819</v>
      </c>
      <c r="F15631" s="2" t="s">
        <v>19126</v>
      </c>
      <c r="G15631" s="2" t="str">
        <f>"SR-22767"</f>
        <v>SR-22767</v>
      </c>
      <c r="H15631" s="2" t="s">
        <v>59820</v>
      </c>
      <c r="I15631" s="2" t="s">
        <v>59821</v>
      </c>
      <c r="K15631" s="2" t="s">
        <v>1520</v>
      </c>
      <c r="L15631" s="2" t="s">
        <v>157</v>
      </c>
      <c r="M15631" s="2">
        <v>80015.0</v>
      </c>
      <c r="N15631" s="2" t="s">
        <v>21</v>
      </c>
    </row>
    <row r="15632" ht="15.75" customHeight="1">
      <c r="A15632" s="2">
        <v>2021.0</v>
      </c>
      <c r="B15632" s="2" t="s">
        <v>59822</v>
      </c>
      <c r="C15632" s="2" t="s">
        <v>59822</v>
      </c>
      <c r="D15632" s="2" t="str">
        <f>"9493920583"</f>
        <v>9493920583</v>
      </c>
      <c r="E15632" s="2" t="s">
        <v>59823</v>
      </c>
      <c r="F15632" s="2" t="s">
        <v>59824</v>
      </c>
      <c r="G15632" s="2" t="str">
        <f>"SR-22658"</f>
        <v>SR-22658</v>
      </c>
      <c r="H15632" s="2" t="s">
        <v>59825</v>
      </c>
      <c r="I15632" s="2" t="s">
        <v>59826</v>
      </c>
      <c r="K15632" s="2" t="s">
        <v>24136</v>
      </c>
      <c r="L15632" s="2" t="s">
        <v>222</v>
      </c>
      <c r="M15632" s="2">
        <v>92603.0</v>
      </c>
      <c r="N15632" s="2" t="s">
        <v>21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2022-02-11T21:38:58Z</dcterms:created>
  <dc:creator>Microsoft Office User</dc:creator>
</cp:coreProperties>
</file>